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28.100.20.101\commun\commun\I NTEGRA\WYCC\CLIENTS WYCC ACTIF\Boatrust\Hutiane\"/>
    </mc:Choice>
  </mc:AlternateContent>
  <bookViews>
    <workbookView xWindow="0" yWindow="0" windowWidth="28800" windowHeight="12135" tabRatio="829"/>
  </bookViews>
  <sheets>
    <sheet name="Admin" sheetId="12" r:id="rId1"/>
    <sheet name="HISTORY" sheetId="45" r:id="rId2"/>
    <sheet name="Cotations" sheetId="19" r:id="rId3"/>
    <sheet name="Calcul" sheetId="25" state="hidden" r:id="rId4"/>
    <sheet name="RECAPITULATIF" sheetId="35" r:id="rId5"/>
    <sheet name="Source" sheetId="1" r:id="rId6"/>
    <sheet name="Crewlist" sheetId="20" r:id="rId7"/>
    <sheet name="Detail" sheetId="34" r:id="rId8"/>
    <sheet name="exportClient" sheetId="42" r:id="rId9"/>
    <sheet name="Company " sheetId="3" r:id="rId10"/>
    <sheet name="Manual invoice" sheetId="10" r:id="rId11"/>
    <sheet name="Import" sheetId="2" r:id="rId12"/>
    <sheet name="Certificat" sheetId="11" r:id="rId13"/>
    <sheet name="Modules" sheetId="22" state="hidden" r:id="rId14"/>
    <sheet name="APPORTEURS" sheetId="13" state="hidden" r:id="rId15"/>
    <sheet name="USER" sheetId="14" state="hidden" r:id="rId16"/>
    <sheet name="Vocabulaire" sheetId="17" state="hidden" r:id="rId17"/>
    <sheet name="NAMES" sheetId="18" state="hidden" r:id="rId18"/>
    <sheet name="LISTES" sheetId="21" state="hidden" r:id="rId19"/>
    <sheet name="LIST" sheetId="36" state="hidden" r:id="rId20"/>
    <sheet name="Rates" sheetId="37" state="hidden" r:id="rId21"/>
    <sheet name="Structure" sheetId="40" state="hidden" r:id="rId22"/>
    <sheet name="Config" sheetId="43" state="hidden" r:id="rId23"/>
    <sheet name="Currency" sheetId="44" state="hidden" r:id="rId24"/>
    <sheet name="Formules" sheetId="46" state="hidden" r:id="rId25"/>
  </sheets>
  <functionGroups builtInGroupCount="18"/>
  <definedNames>
    <definedName name="_xlnm._FilterDatabase" localSheetId="9" hidden="1">'Company '!$A$29:$V$92</definedName>
    <definedName name="_xlnm._FilterDatabase" localSheetId="6" hidden="1">Crewlist!$A$14:$Y$103</definedName>
    <definedName name="_xlnm._FilterDatabase" localSheetId="7" hidden="1">Detail!$A$14:$CO$55</definedName>
    <definedName name="_xlnm._FilterDatabase" localSheetId="8" hidden="1">exportClient!$A$29:$AL$119</definedName>
    <definedName name="_xlnm._FilterDatabase" localSheetId="20" hidden="1">Rates!$A$4:$AJ$333</definedName>
    <definedName name="ALLTHESAME">NAMES!$D$3</definedName>
    <definedName name="ANCERTIF">NAMES!$D$21</definedName>
    <definedName name="ANRENOUV">NAMES!$D$28</definedName>
    <definedName name="ANRENOUVMOINSDEUX">NAMES!$D$30</definedName>
    <definedName name="ANRENOUVMOINSUN">NAMES!$D$29</definedName>
    <definedName name="ANRENOUVSHORT">NAMES!$D$31</definedName>
    <definedName name="BRaddress">Certificat!$C$19</definedName>
    <definedName name="BRcity">Certificat!$C$21</definedName>
    <definedName name="BRcountry">Certificat!$C$22</definedName>
    <definedName name="BRname">Certificat!$C$18</definedName>
    <definedName name="BRpostalcode">Certificat!$C$20</definedName>
    <definedName name="CALCMOIS">NAMES!$D$4</definedName>
    <definedName name="certificateNB">NAMES!$D$42</definedName>
    <definedName name="colAssureur">Rates!$F$1:$F$367</definedName>
    <definedName name="colchoice">Rates!$E$1:$E$367</definedName>
    <definedName name="colchoiceProduct">Rates!$D$1:$D$367</definedName>
    <definedName name="colCurrency">Rates!$W$1:$W$367</definedName>
    <definedName name="colmodecalcul">Rates!$Y$1:$Y$367</definedName>
    <definedName name="colProduct">Rates!$H$1:$H$367</definedName>
    <definedName name="colRatesHT">Rates!$O$1:$O$367</definedName>
    <definedName name="colRatesHTsurcom">Rates!$R$1:$R$367</definedName>
    <definedName name="colSURCOM">Rates!$Q$1:$Q$367</definedName>
    <definedName name="colTTCcompare">Rates!#REF!</definedName>
    <definedName name="COMPANY_LIST" comment="Liste des compagnies d'assurance du contrat courant">OFFSET(Source!$B$17,0,0,COUNTA(Source!$B$17:$B$24),1)</definedName>
    <definedName name="CURRENCY_LIST" localSheetId="1">OFFSET(Source!#REF!,0,0,COUNTA(Source!#REF!),1)</definedName>
    <definedName name="CURRENCY_LIST">OFFSET(Source!#REF!,0,0,COUNTA(Source!#REF!),1)</definedName>
    <definedName name="DATECANCEL">NAMES!$D$27</definedName>
    <definedName name="DATECERTIF">NAMES!$D$23</definedName>
    <definedName name="DATECREWLIST">NAMES!$D$22</definedName>
    <definedName name="DATERENOUV">NAMES!$D$24</definedName>
    <definedName name="DATERENOUVMOINS365">NAMES!$D$25</definedName>
    <definedName name="DATERENOUVMOINS730">NAMES!$D$26</definedName>
    <definedName name="DCIPSUPP">NAMES!#REF!</definedName>
    <definedName name="DEVISEANKER">LISTES!$C$70</definedName>
    <definedName name="EMaddress">Certificat!$C$9</definedName>
    <definedName name="EMcity">Certificat!$C$11</definedName>
    <definedName name="EMcountry">Certificat!$C$12</definedName>
    <definedName name="EMname">Certificat!$C$8</definedName>
    <definedName name="EMpostalcode">Certificat!$C$10</definedName>
    <definedName name="FEESALL">NAMES!$D$6</definedName>
    <definedName name="_xlnm.Print_Titles" localSheetId="9">'Company '!$28:$29</definedName>
    <definedName name="_xlnm.Print_Titles" localSheetId="8">exportClient!$26:$29</definedName>
    <definedName name="_xlnm.Print_Titles" localSheetId="20">Rates!$1:$4</definedName>
    <definedName name="lig0_Persons">NAMES!$D$43</definedName>
    <definedName name="lig0_POL_Legal">NAMES!$D$44</definedName>
    <definedName name="lig0_POL_RC">NAMES!$D$45</definedName>
    <definedName name="lig1_Formula_MED">NAMES!$D$51</definedName>
    <definedName name="lig1_Formula_PREVOY">NAMES!$D$52</definedName>
    <definedName name="lig1_Persons">NAMES!$D$48</definedName>
    <definedName name="lig1_POL_MED">NAMES!$D$49</definedName>
    <definedName name="lig1_POL_PREVOY">NAMES!$D$50</definedName>
    <definedName name="lig2_Formula_MED">NAMES!$D$56</definedName>
    <definedName name="lig2_Formula_PREVOY">NAMES!$D$57</definedName>
    <definedName name="lig2_Persons">NAMES!$D$53</definedName>
    <definedName name="lig2_POL_MED">NAMES!$D$54</definedName>
    <definedName name="lig2_POL_PREVO">NAMES!$D$55</definedName>
    <definedName name="lig3_Formula_MED">NAMES!$D$61</definedName>
    <definedName name="lig3_Formula_PREVOY">NAMES!$D$62</definedName>
    <definedName name="lig3_Persons">NAMES!$D$58</definedName>
    <definedName name="lig3_POL_MED">NAMES!$D$59</definedName>
    <definedName name="lig3_POL_PREVOY">NAMES!$D$60</definedName>
    <definedName name="LISTALLTHESAME">NAMES!$D$5</definedName>
    <definedName name="LOLaccCompare">#REF!</definedName>
    <definedName name="LOLillCompare">#REF!</definedName>
    <definedName name="MAaddress">Certificat!$C$14</definedName>
    <definedName name="MAcity">Certificat!$C$16</definedName>
    <definedName name="MAcountry">Certificat!$C$17</definedName>
    <definedName name="MAname">Certificat!$C$13</definedName>
    <definedName name="MApostalcode">Certificat!$C$15</definedName>
    <definedName name="masse_salariale">Cotations!$AE$2</definedName>
    <definedName name="MAXDAYS">NAMES!$D$34</definedName>
    <definedName name="MAXMONTHS">NAMES!$D$35</definedName>
    <definedName name="PHaddress">Certificat!$C$4</definedName>
    <definedName name="PHcity">Certificat!$C$6</definedName>
    <definedName name="PHcountry">Certificat!$C$7</definedName>
    <definedName name="PHname">Certificat!$C$3</definedName>
    <definedName name="PHpostalcode">Certificat!$C$5</definedName>
    <definedName name="PTDaccCompare">#REF!</definedName>
    <definedName name="PTDillCompare">#REF!</definedName>
    <definedName name="REALDAYS1">Admin!$G$30</definedName>
    <definedName name="REALMONTHS1">Admin!$F$30</definedName>
    <definedName name="TAXE">NAMES!$D$16</definedName>
    <definedName name="TTDaccCompare">#REF!</definedName>
    <definedName name="TTDillCompare">#REF!</definedName>
    <definedName name="YACHTNAME">NAMES!$D$20</definedName>
    <definedName name="_xlnm.Print_Area" localSheetId="0">Admin!$A$1:$N$131</definedName>
    <definedName name="_xlnm.Print_Area" localSheetId="9">'Company '!$A$1:$U$39</definedName>
    <definedName name="_xlnm.Print_Area" localSheetId="6">Crewlist!$B$1:$Y$24</definedName>
    <definedName name="_xlnm.Print_Area" localSheetId="8">exportClient!$A$1:$X$39</definedName>
    <definedName name="_xlnm.Print_Area" localSheetId="1">HISTORY!$A$1:$Q$81</definedName>
    <definedName name="_xlnm.Print_Area" localSheetId="10">'Manual invoice'!$A$1:$G$60</definedName>
    <definedName name="_xlnm.Print_Area" localSheetId="20">Rates!$A$1:$AA$367</definedName>
    <definedName name="_xlnm.Print_Area" localSheetId="4">RECAPITULATIF!$A$1:$U$35</definedName>
  </definedNames>
  <calcPr calcId="152511"/>
</workbook>
</file>

<file path=xl/calcChain.xml><?xml version="1.0" encoding="utf-8"?>
<calcChain xmlns="http://schemas.openxmlformats.org/spreadsheetml/2006/main">
  <c r="M16" i="3" l="1"/>
  <c r="M15" i="3"/>
  <c r="H16" i="45"/>
  <c r="G16" i="45"/>
  <c r="K24" i="3" l="1"/>
  <c r="K23" i="3"/>
  <c r="K51" i="22"/>
  <c r="J51" i="22"/>
  <c r="I51" i="22"/>
  <c r="I57" i="22" s="1"/>
  <c r="H51" i="22"/>
  <c r="G51" i="22"/>
  <c r="G57" i="22"/>
  <c r="F62" i="22" s="1"/>
  <c r="F51" i="22"/>
  <c r="F54" i="22" s="1"/>
  <c r="K22" i="22"/>
  <c r="J22" i="22"/>
  <c r="I22" i="22"/>
  <c r="I26" i="22" s="1"/>
  <c r="H22" i="22"/>
  <c r="H26" i="22" s="1"/>
  <c r="G22" i="22"/>
  <c r="F22" i="22"/>
  <c r="F26" i="22" s="1"/>
  <c r="G56" i="22"/>
  <c r="K20" i="3" s="1"/>
  <c r="J16" i="19"/>
  <c r="L16" i="19"/>
  <c r="M16" i="19"/>
  <c r="J17" i="19"/>
  <c r="L17" i="19"/>
  <c r="M17" i="19"/>
  <c r="J18" i="19"/>
  <c r="L18" i="19"/>
  <c r="M18" i="19"/>
  <c r="J19" i="19"/>
  <c r="L19" i="19"/>
  <c r="M19" i="19"/>
  <c r="J20" i="19"/>
  <c r="L20" i="19"/>
  <c r="M20" i="19"/>
  <c r="J21" i="19"/>
  <c r="L21" i="19"/>
  <c r="M21" i="19"/>
  <c r="J22" i="19"/>
  <c r="L22" i="19"/>
  <c r="M22" i="19"/>
  <c r="J23" i="19"/>
  <c r="L23" i="19"/>
  <c r="J24" i="19"/>
  <c r="L24" i="19"/>
  <c r="J25" i="19"/>
  <c r="L25" i="19"/>
  <c r="M25" i="19"/>
  <c r="J26" i="19"/>
  <c r="L26" i="19"/>
  <c r="M26" i="19"/>
  <c r="J27" i="19"/>
  <c r="L27" i="19"/>
  <c r="M27" i="19"/>
  <c r="J28" i="19"/>
  <c r="L28" i="19"/>
  <c r="M28" i="19"/>
  <c r="J29" i="19"/>
  <c r="L29" i="19"/>
  <c r="M29" i="19"/>
  <c r="J30" i="19"/>
  <c r="L30" i="19"/>
  <c r="M30" i="19"/>
  <c r="J31" i="19"/>
  <c r="L31" i="19"/>
  <c r="M31" i="19"/>
  <c r="J32" i="19"/>
  <c r="L32" i="19"/>
  <c r="M32" i="19"/>
  <c r="J33" i="19"/>
  <c r="L33" i="19"/>
  <c r="M33" i="19"/>
  <c r="J34" i="19"/>
  <c r="L34" i="19"/>
  <c r="M34" i="19"/>
  <c r="J35" i="19"/>
  <c r="L35" i="19"/>
  <c r="M35" i="19"/>
  <c r="J36" i="19"/>
  <c r="L36" i="19"/>
  <c r="M36" i="19"/>
  <c r="J37" i="19"/>
  <c r="L37" i="19"/>
  <c r="M37" i="19"/>
  <c r="J38" i="19"/>
  <c r="L38" i="19"/>
  <c r="M38" i="19"/>
  <c r="J39" i="19"/>
  <c r="L39" i="19"/>
  <c r="M39" i="19"/>
  <c r="J40" i="19"/>
  <c r="L40" i="19"/>
  <c r="M40" i="19"/>
  <c r="J41" i="19"/>
  <c r="L41" i="19"/>
  <c r="M41" i="19"/>
  <c r="J42" i="19"/>
  <c r="L42" i="19"/>
  <c r="M42" i="19"/>
  <c r="J43" i="19"/>
  <c r="L43" i="19"/>
  <c r="M43" i="19"/>
  <c r="J44" i="19"/>
  <c r="L44" i="19"/>
  <c r="M44" i="19"/>
  <c r="J45" i="19"/>
  <c r="L45" i="19"/>
  <c r="M45" i="19"/>
  <c r="J46" i="19"/>
  <c r="L46" i="19"/>
  <c r="M46" i="19"/>
  <c r="J47" i="19"/>
  <c r="L47" i="19"/>
  <c r="M47" i="19"/>
  <c r="J48" i="19"/>
  <c r="L48" i="19"/>
  <c r="M48" i="19"/>
  <c r="J49" i="19"/>
  <c r="L49" i="19"/>
  <c r="M49" i="19"/>
  <c r="J50" i="19"/>
  <c r="L50" i="19"/>
  <c r="M50" i="19"/>
  <c r="J51" i="19"/>
  <c r="L51" i="19"/>
  <c r="M51" i="19"/>
  <c r="J52" i="19"/>
  <c r="L52" i="19"/>
  <c r="M52" i="19"/>
  <c r="J53" i="19"/>
  <c r="L53" i="19"/>
  <c r="M53" i="19"/>
  <c r="J54" i="19"/>
  <c r="L54" i="19"/>
  <c r="M54" i="19"/>
  <c r="J55" i="19"/>
  <c r="L55" i="19"/>
  <c r="M55" i="19"/>
  <c r="J56" i="19"/>
  <c r="L56" i="19"/>
  <c r="M56" i="19"/>
  <c r="J57" i="19"/>
  <c r="L57" i="19"/>
  <c r="M57" i="19"/>
  <c r="J58" i="19"/>
  <c r="L58" i="19"/>
  <c r="M58" i="19"/>
  <c r="J59" i="19"/>
  <c r="L59" i="19"/>
  <c r="M59" i="19"/>
  <c r="J60" i="19"/>
  <c r="L60" i="19"/>
  <c r="M60" i="19"/>
  <c r="J61" i="19"/>
  <c r="L61" i="19"/>
  <c r="M61" i="19"/>
  <c r="J62" i="19"/>
  <c r="L62" i="19"/>
  <c r="M62" i="19"/>
  <c r="J63" i="19"/>
  <c r="L63" i="19"/>
  <c r="M63" i="19"/>
  <c r="J64" i="19"/>
  <c r="L64" i="19"/>
  <c r="M64" i="19"/>
  <c r="J65" i="19"/>
  <c r="L65" i="19"/>
  <c r="M65" i="19"/>
  <c r="J66" i="19"/>
  <c r="L66" i="19"/>
  <c r="M66" i="19"/>
  <c r="J67" i="19"/>
  <c r="L67" i="19"/>
  <c r="M67" i="19"/>
  <c r="J68" i="19"/>
  <c r="L68" i="19"/>
  <c r="M68" i="19"/>
  <c r="J69" i="19"/>
  <c r="L69" i="19"/>
  <c r="M69" i="19"/>
  <c r="J70" i="19"/>
  <c r="L70" i="19"/>
  <c r="M70" i="19"/>
  <c r="J71" i="19"/>
  <c r="L71" i="19"/>
  <c r="M71" i="19"/>
  <c r="J72" i="19"/>
  <c r="K72" i="19"/>
  <c r="L72" i="19"/>
  <c r="M72" i="19"/>
  <c r="J73" i="19"/>
  <c r="K73" i="19"/>
  <c r="L73" i="19"/>
  <c r="M73" i="19"/>
  <c r="J74" i="19"/>
  <c r="K74" i="19"/>
  <c r="L74" i="19"/>
  <c r="M74" i="19"/>
  <c r="J75" i="19"/>
  <c r="K75" i="19"/>
  <c r="L75" i="19"/>
  <c r="M75" i="19"/>
  <c r="J76" i="19"/>
  <c r="K76" i="19"/>
  <c r="L76" i="19"/>
  <c r="M76" i="19"/>
  <c r="J77" i="19"/>
  <c r="K77" i="19"/>
  <c r="L77" i="19"/>
  <c r="M77" i="19"/>
  <c r="J78" i="19"/>
  <c r="K78" i="19"/>
  <c r="L78" i="19"/>
  <c r="M78" i="19"/>
  <c r="J79" i="19"/>
  <c r="K79" i="19"/>
  <c r="L79" i="19"/>
  <c r="M79" i="19"/>
  <c r="J80" i="19"/>
  <c r="K80" i="19"/>
  <c r="L80" i="19"/>
  <c r="M80" i="19"/>
  <c r="J81" i="19"/>
  <c r="K81" i="19"/>
  <c r="L81" i="19"/>
  <c r="M81" i="19"/>
  <c r="J82" i="19"/>
  <c r="K82" i="19"/>
  <c r="L82" i="19"/>
  <c r="M82" i="19"/>
  <c r="J83" i="19"/>
  <c r="K83" i="19"/>
  <c r="L83" i="19"/>
  <c r="M83" i="19"/>
  <c r="J84" i="19"/>
  <c r="K84" i="19"/>
  <c r="L84" i="19"/>
  <c r="M84" i="19"/>
  <c r="J85" i="19"/>
  <c r="K85" i="19"/>
  <c r="L85" i="19"/>
  <c r="M85" i="19"/>
  <c r="J86" i="19"/>
  <c r="K86" i="19"/>
  <c r="L86" i="19"/>
  <c r="M86" i="19"/>
  <c r="J87" i="19"/>
  <c r="K87" i="19"/>
  <c r="L87" i="19"/>
  <c r="M87" i="19"/>
  <c r="J88" i="19"/>
  <c r="K88" i="19"/>
  <c r="L88" i="19"/>
  <c r="M88" i="19"/>
  <c r="J89" i="19"/>
  <c r="K89" i="19"/>
  <c r="L89" i="19"/>
  <c r="M89" i="19"/>
  <c r="J90" i="19"/>
  <c r="K90" i="19"/>
  <c r="L90" i="19"/>
  <c r="M90" i="19"/>
  <c r="J91" i="19"/>
  <c r="K91" i="19"/>
  <c r="L91" i="19"/>
  <c r="M91" i="19"/>
  <c r="J92" i="19"/>
  <c r="K92" i="19"/>
  <c r="L92" i="19"/>
  <c r="M92" i="19"/>
  <c r="J93" i="19"/>
  <c r="K93" i="19"/>
  <c r="L93" i="19"/>
  <c r="M93" i="19"/>
  <c r="J94" i="19"/>
  <c r="K94" i="19"/>
  <c r="L94" i="19"/>
  <c r="M94" i="19"/>
  <c r="J95" i="19"/>
  <c r="K95" i="19"/>
  <c r="L95" i="19"/>
  <c r="M95" i="19"/>
  <c r="J96" i="19"/>
  <c r="K96" i="19"/>
  <c r="L96" i="19"/>
  <c r="M96" i="19"/>
  <c r="J97" i="19"/>
  <c r="K97" i="19"/>
  <c r="L97" i="19"/>
  <c r="M97" i="19"/>
  <c r="J98" i="19"/>
  <c r="K98" i="19"/>
  <c r="L98" i="19"/>
  <c r="M98" i="19"/>
  <c r="J99" i="19"/>
  <c r="K99" i="19"/>
  <c r="L99" i="19"/>
  <c r="M99" i="19"/>
  <c r="J100" i="19"/>
  <c r="K100" i="19"/>
  <c r="L100" i="19"/>
  <c r="M100" i="19"/>
  <c r="J101" i="19"/>
  <c r="K101" i="19"/>
  <c r="L101" i="19"/>
  <c r="M101" i="19"/>
  <c r="J102" i="19"/>
  <c r="K102" i="19"/>
  <c r="L102" i="19"/>
  <c r="M102" i="19"/>
  <c r="J103" i="19"/>
  <c r="K103" i="19"/>
  <c r="L103" i="19"/>
  <c r="M103" i="19"/>
  <c r="J104" i="19"/>
  <c r="K104" i="19"/>
  <c r="L104" i="19"/>
  <c r="M104" i="19"/>
  <c r="J105" i="19"/>
  <c r="K105" i="19"/>
  <c r="L105" i="19"/>
  <c r="M105" i="19"/>
  <c r="J106" i="19"/>
  <c r="K106" i="19"/>
  <c r="L106" i="19"/>
  <c r="M106" i="19"/>
  <c r="J107" i="19"/>
  <c r="K107" i="19"/>
  <c r="L107" i="19"/>
  <c r="M107" i="19"/>
  <c r="J108" i="19"/>
  <c r="K108" i="19"/>
  <c r="L108" i="19"/>
  <c r="M108" i="19"/>
  <c r="J109" i="19"/>
  <c r="K109" i="19"/>
  <c r="L109" i="19"/>
  <c r="M109" i="19"/>
  <c r="J110" i="19"/>
  <c r="K110" i="19"/>
  <c r="L110" i="19"/>
  <c r="M110" i="19"/>
  <c r="J111" i="19"/>
  <c r="K111" i="19"/>
  <c r="L111" i="19"/>
  <c r="M111" i="19"/>
  <c r="J112" i="19"/>
  <c r="K112" i="19"/>
  <c r="L112" i="19"/>
  <c r="M112" i="19"/>
  <c r="J113" i="19"/>
  <c r="K113" i="19"/>
  <c r="L113" i="19"/>
  <c r="M113" i="19"/>
  <c r="J114" i="19"/>
  <c r="K114" i="19"/>
  <c r="L114" i="19"/>
  <c r="M114" i="19"/>
  <c r="J115" i="19"/>
  <c r="K115" i="19"/>
  <c r="L115" i="19"/>
  <c r="M115" i="19"/>
  <c r="J116" i="19"/>
  <c r="K116" i="19"/>
  <c r="L116" i="19"/>
  <c r="M116" i="19"/>
  <c r="J117" i="19"/>
  <c r="K117" i="19"/>
  <c r="L117" i="19"/>
  <c r="M117" i="19"/>
  <c r="J118" i="19"/>
  <c r="K118" i="19"/>
  <c r="L118" i="19"/>
  <c r="M118" i="19"/>
  <c r="J119" i="19"/>
  <c r="K119" i="19"/>
  <c r="L119" i="19"/>
  <c r="M119" i="19"/>
  <c r="J120" i="19"/>
  <c r="K120" i="19"/>
  <c r="L120" i="19"/>
  <c r="M120" i="19"/>
  <c r="C5" i="14"/>
  <c r="D5" i="14"/>
  <c r="C6" i="14"/>
  <c r="D6" i="14"/>
  <c r="C7" i="14"/>
  <c r="D7" i="14"/>
  <c r="C8" i="14"/>
  <c r="D8" i="14"/>
  <c r="C9" i="14"/>
  <c r="D9" i="14"/>
  <c r="C10" i="14"/>
  <c r="D10" i="14"/>
  <c r="C11" i="14"/>
  <c r="D11" i="14"/>
  <c r="C12" i="14"/>
  <c r="D12" i="14"/>
  <c r="C13" i="14"/>
  <c r="D13" i="14"/>
  <c r="C14" i="14"/>
  <c r="D14" i="14"/>
  <c r="C15" i="14"/>
  <c r="D15" i="14"/>
  <c r="C16" i="14"/>
  <c r="D16" i="14"/>
  <c r="C17" i="14"/>
  <c r="D17" i="14"/>
  <c r="C18" i="14"/>
  <c r="D18" i="14"/>
  <c r="C19" i="14"/>
  <c r="D19" i="14"/>
  <c r="C20" i="14"/>
  <c r="D20" i="14"/>
  <c r="C21" i="14"/>
  <c r="D21" i="14"/>
  <c r="C22" i="14"/>
  <c r="D22" i="14"/>
  <c r="C23" i="14"/>
  <c r="D23" i="14"/>
  <c r="C24" i="14"/>
  <c r="D24" i="14"/>
  <c r="C25" i="14"/>
  <c r="D25" i="14"/>
  <c r="C26" i="14"/>
  <c r="D26" i="14"/>
  <c r="C27" i="14"/>
  <c r="D27" i="14"/>
  <c r="C28" i="14"/>
  <c r="D28" i="14"/>
  <c r="C29" i="14"/>
  <c r="D29" i="14"/>
  <c r="C30" i="14"/>
  <c r="D30" i="14"/>
  <c r="C31" i="14"/>
  <c r="D31" i="14"/>
  <c r="C32" i="14"/>
  <c r="D32" i="14"/>
  <c r="C33" i="14"/>
  <c r="D33" i="14"/>
  <c r="C34" i="14"/>
  <c r="D34" i="14"/>
  <c r="C35" i="14"/>
  <c r="D35" i="14"/>
  <c r="C36" i="14"/>
  <c r="D36" i="14"/>
  <c r="C37" i="14"/>
  <c r="D37" i="14"/>
  <c r="C38" i="14"/>
  <c r="D38" i="14"/>
  <c r="C39" i="14"/>
  <c r="D39" i="14"/>
  <c r="C40" i="14"/>
  <c r="D40" i="14"/>
  <c r="C41" i="14"/>
  <c r="D41" i="14"/>
  <c r="C42" i="14"/>
  <c r="D42" i="14"/>
  <c r="C43" i="14"/>
  <c r="D43" i="14"/>
  <c r="C44" i="14"/>
  <c r="D44" i="14"/>
  <c r="C45" i="14"/>
  <c r="D45" i="14"/>
  <c r="C46" i="14"/>
  <c r="D46" i="14"/>
  <c r="C47" i="14"/>
  <c r="D47" i="14"/>
  <c r="C48" i="14"/>
  <c r="D48" i="14"/>
  <c r="C49" i="14"/>
  <c r="D49" i="14"/>
  <c r="C50" i="14"/>
  <c r="D50" i="14"/>
  <c r="C51" i="14"/>
  <c r="D51" i="14"/>
  <c r="C52" i="14"/>
  <c r="D52" i="14"/>
  <c r="C53" i="14"/>
  <c r="D53" i="14"/>
  <c r="C54" i="14"/>
  <c r="D54" i="14"/>
  <c r="C55" i="14"/>
  <c r="D55" i="14"/>
  <c r="C56" i="14"/>
  <c r="D56" i="14"/>
  <c r="C57" i="14"/>
  <c r="D57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D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86" i="14"/>
  <c r="D86" i="14"/>
  <c r="C87" i="14"/>
  <c r="D87" i="14"/>
  <c r="C88" i="14"/>
  <c r="D88" i="14"/>
  <c r="C89" i="14"/>
  <c r="D89" i="14"/>
  <c r="C90" i="14"/>
  <c r="D90" i="14"/>
  <c r="C91" i="14"/>
  <c r="D91" i="14"/>
  <c r="C92" i="14"/>
  <c r="D92" i="14"/>
  <c r="C93" i="14"/>
  <c r="D93" i="14"/>
  <c r="C94" i="14"/>
  <c r="D94" i="14"/>
  <c r="C95" i="14"/>
  <c r="D95" i="14"/>
  <c r="C96" i="14"/>
  <c r="D96" i="14"/>
  <c r="C97" i="14"/>
  <c r="D97" i="14"/>
  <c r="C98" i="14"/>
  <c r="D98" i="14"/>
  <c r="C99" i="14"/>
  <c r="D99" i="14"/>
  <c r="C100" i="14"/>
  <c r="D100" i="14"/>
  <c r="C101" i="14"/>
  <c r="D101" i="14"/>
  <c r="C102" i="14"/>
  <c r="D102" i="14"/>
  <c r="C103" i="14"/>
  <c r="D103" i="14"/>
  <c r="C104" i="14"/>
  <c r="D104" i="14"/>
  <c r="C105" i="14"/>
  <c r="D105" i="14"/>
  <c r="C106" i="14"/>
  <c r="D106" i="14"/>
  <c r="C107" i="14"/>
  <c r="D107" i="14"/>
  <c r="C108" i="14"/>
  <c r="D108" i="14"/>
  <c r="C109" i="14"/>
  <c r="D109" i="14"/>
  <c r="C110" i="14"/>
  <c r="D110" i="14"/>
  <c r="C111" i="14"/>
  <c r="D111" i="14"/>
  <c r="C112" i="14"/>
  <c r="D112" i="14"/>
  <c r="C113" i="14"/>
  <c r="D113" i="14"/>
  <c r="C114" i="14"/>
  <c r="D114" i="14"/>
  <c r="C115" i="14"/>
  <c r="D115" i="14"/>
  <c r="C116" i="14"/>
  <c r="D116" i="14"/>
  <c r="C117" i="14"/>
  <c r="D117" i="14"/>
  <c r="C118" i="14"/>
  <c r="D118" i="14"/>
  <c r="C119" i="14"/>
  <c r="D119" i="14"/>
  <c r="C120" i="14"/>
  <c r="D120" i="14"/>
  <c r="C121" i="14"/>
  <c r="D121" i="14"/>
  <c r="C122" i="14"/>
  <c r="D122" i="14"/>
  <c r="C123" i="14"/>
  <c r="D123" i="14"/>
  <c r="C124" i="14"/>
  <c r="D124" i="14"/>
  <c r="C125" i="14"/>
  <c r="D125" i="14"/>
  <c r="C126" i="14"/>
  <c r="D126" i="14"/>
  <c r="C127" i="14"/>
  <c r="D127" i="14"/>
  <c r="C128" i="14"/>
  <c r="D128" i="14"/>
  <c r="C129" i="14"/>
  <c r="D129" i="14"/>
  <c r="C130" i="14"/>
  <c r="D130" i="14"/>
  <c r="C131" i="14"/>
  <c r="D131" i="14"/>
  <c r="C132" i="14"/>
  <c r="D132" i="14"/>
  <c r="C133" i="14"/>
  <c r="D133" i="14"/>
  <c r="C134" i="14"/>
  <c r="D134" i="14"/>
  <c r="C135" i="14"/>
  <c r="D135" i="14"/>
  <c r="C136" i="14"/>
  <c r="D136" i="14"/>
  <c r="C137" i="14"/>
  <c r="D137" i="14"/>
  <c r="C138" i="14"/>
  <c r="D138" i="14"/>
  <c r="C139" i="14"/>
  <c r="D139" i="14"/>
  <c r="C140" i="14"/>
  <c r="D140" i="14"/>
  <c r="C141" i="14"/>
  <c r="D141" i="14"/>
  <c r="C142" i="14"/>
  <c r="D142" i="14"/>
  <c r="C143" i="14"/>
  <c r="D143" i="14"/>
  <c r="C144" i="14"/>
  <c r="D144" i="14"/>
  <c r="C145" i="14"/>
  <c r="D145" i="14"/>
  <c r="C146" i="14"/>
  <c r="D146" i="14"/>
  <c r="C147" i="14"/>
  <c r="D147" i="14"/>
  <c r="C148" i="14"/>
  <c r="D148" i="14"/>
  <c r="C149" i="14"/>
  <c r="D149" i="14"/>
  <c r="C150" i="14"/>
  <c r="D150" i="14"/>
  <c r="C151" i="14"/>
  <c r="D151" i="14"/>
  <c r="C152" i="14"/>
  <c r="D152" i="14"/>
  <c r="C153" i="14"/>
  <c r="D153" i="14"/>
  <c r="C154" i="14"/>
  <c r="D154" i="14"/>
  <c r="C155" i="14"/>
  <c r="D155" i="14"/>
  <c r="C156" i="14"/>
  <c r="D156" i="14"/>
  <c r="C157" i="14"/>
  <c r="D157" i="14"/>
  <c r="C158" i="14"/>
  <c r="D158" i="14"/>
  <c r="C159" i="14"/>
  <c r="D159" i="14"/>
  <c r="C160" i="14"/>
  <c r="D160" i="14"/>
  <c r="C161" i="14"/>
  <c r="D161" i="14"/>
  <c r="C162" i="14"/>
  <c r="D162" i="14"/>
  <c r="C163" i="14"/>
  <c r="D163" i="14"/>
  <c r="C164" i="14"/>
  <c r="D164" i="14"/>
  <c r="C165" i="14"/>
  <c r="D165" i="14"/>
  <c r="C166" i="14"/>
  <c r="D166" i="14"/>
  <c r="C167" i="14"/>
  <c r="D167" i="14"/>
  <c r="C168" i="14"/>
  <c r="D168" i="14"/>
  <c r="C169" i="14"/>
  <c r="D169" i="14"/>
  <c r="C170" i="14"/>
  <c r="D170" i="14"/>
  <c r="C171" i="14"/>
  <c r="D171" i="14"/>
  <c r="C172" i="14"/>
  <c r="D172" i="14"/>
  <c r="C173" i="14"/>
  <c r="D173" i="14"/>
  <c r="C174" i="14"/>
  <c r="D174" i="14"/>
  <c r="C175" i="14"/>
  <c r="D175" i="14"/>
  <c r="C176" i="14"/>
  <c r="D176" i="14"/>
  <c r="C177" i="14"/>
  <c r="D177" i="14"/>
  <c r="C178" i="14"/>
  <c r="D178" i="14"/>
  <c r="C179" i="14"/>
  <c r="D179" i="14"/>
  <c r="C180" i="14"/>
  <c r="D180" i="14"/>
  <c r="C181" i="14"/>
  <c r="D181" i="14"/>
  <c r="C182" i="14"/>
  <c r="D182" i="14"/>
  <c r="C183" i="14"/>
  <c r="D183" i="14"/>
  <c r="C184" i="14"/>
  <c r="D184" i="14"/>
  <c r="C185" i="14"/>
  <c r="D185" i="14"/>
  <c r="C186" i="14"/>
  <c r="D186" i="14"/>
  <c r="C187" i="14"/>
  <c r="D187" i="14"/>
  <c r="C188" i="14"/>
  <c r="D188" i="14"/>
  <c r="C189" i="14"/>
  <c r="D189" i="14"/>
  <c r="C190" i="14"/>
  <c r="D190" i="14"/>
  <c r="C191" i="14"/>
  <c r="D191" i="14"/>
  <c r="C192" i="14"/>
  <c r="D192" i="14"/>
  <c r="C193" i="14"/>
  <c r="D193" i="14"/>
  <c r="C194" i="14"/>
  <c r="D194" i="14"/>
  <c r="C195" i="14"/>
  <c r="D195" i="14"/>
  <c r="C196" i="14"/>
  <c r="D196" i="14"/>
  <c r="C197" i="14"/>
  <c r="D197" i="14"/>
  <c r="C198" i="14"/>
  <c r="D198" i="14"/>
  <c r="C199" i="14"/>
  <c r="D199" i="14"/>
  <c r="C200" i="14"/>
  <c r="D200" i="14"/>
  <c r="C201" i="14"/>
  <c r="D201" i="14"/>
  <c r="C202" i="14"/>
  <c r="D202" i="14"/>
  <c r="C203" i="14"/>
  <c r="D203" i="14"/>
  <c r="C204" i="14"/>
  <c r="D204" i="14"/>
  <c r="C205" i="14"/>
  <c r="D205" i="14"/>
  <c r="C206" i="14"/>
  <c r="D206" i="14"/>
  <c r="C207" i="14"/>
  <c r="D207" i="14"/>
  <c r="C208" i="14"/>
  <c r="D208" i="14"/>
  <c r="C209" i="14"/>
  <c r="D209" i="14"/>
  <c r="C210" i="14"/>
  <c r="D210" i="14"/>
  <c r="C211" i="14"/>
  <c r="D211" i="14"/>
  <c r="C212" i="14"/>
  <c r="D212" i="14"/>
  <c r="C213" i="14"/>
  <c r="D213" i="14"/>
  <c r="C214" i="14"/>
  <c r="D214" i="14"/>
  <c r="C215" i="14"/>
  <c r="D215" i="14"/>
  <c r="C216" i="14"/>
  <c r="D216" i="14"/>
  <c r="C217" i="14"/>
  <c r="D217" i="14"/>
  <c r="C218" i="14"/>
  <c r="D218" i="14"/>
  <c r="C219" i="14"/>
  <c r="D219" i="14"/>
  <c r="C220" i="14"/>
  <c r="D220" i="14"/>
  <c r="C221" i="14"/>
  <c r="D221" i="14"/>
  <c r="C222" i="14"/>
  <c r="D222" i="14"/>
  <c r="C223" i="14"/>
  <c r="D223" i="14"/>
  <c r="C224" i="14"/>
  <c r="D224" i="14"/>
  <c r="C225" i="14"/>
  <c r="D225" i="14"/>
  <c r="C226" i="14"/>
  <c r="D226" i="14"/>
  <c r="C227" i="14"/>
  <c r="D227" i="14"/>
  <c r="C228" i="14"/>
  <c r="D228" i="14"/>
  <c r="C229" i="14"/>
  <c r="D229" i="14"/>
  <c r="C230" i="14"/>
  <c r="D230" i="14"/>
  <c r="C231" i="14"/>
  <c r="D231" i="14"/>
  <c r="C232" i="14"/>
  <c r="D232" i="14"/>
  <c r="C233" i="14"/>
  <c r="D233" i="14"/>
  <c r="C234" i="14"/>
  <c r="D234" i="14"/>
  <c r="C235" i="14"/>
  <c r="D235" i="14"/>
  <c r="C236" i="14"/>
  <c r="D236" i="14"/>
  <c r="C237" i="14"/>
  <c r="D237" i="14"/>
  <c r="C238" i="14"/>
  <c r="D238" i="14"/>
  <c r="C239" i="14"/>
  <c r="D239" i="14"/>
  <c r="C240" i="14"/>
  <c r="D240" i="14"/>
  <c r="C241" i="14"/>
  <c r="D241" i="14"/>
  <c r="C242" i="14"/>
  <c r="D242" i="14"/>
  <c r="C243" i="14"/>
  <c r="D243" i="14"/>
  <c r="C244" i="14"/>
  <c r="D244" i="14"/>
  <c r="C245" i="14"/>
  <c r="D245" i="14"/>
  <c r="C246" i="14"/>
  <c r="D246" i="14"/>
  <c r="C247" i="14"/>
  <c r="D247" i="14"/>
  <c r="C248" i="14"/>
  <c r="D248" i="14"/>
  <c r="C249" i="14"/>
  <c r="D249" i="14"/>
  <c r="C250" i="14"/>
  <c r="D250" i="14"/>
  <c r="C251" i="14"/>
  <c r="D251" i="14"/>
  <c r="C252" i="14"/>
  <c r="D252" i="14"/>
  <c r="C5" i="13"/>
  <c r="D5" i="13"/>
  <c r="C6" i="13"/>
  <c r="D6" i="13"/>
  <c r="C7" i="13"/>
  <c r="D7" i="13"/>
  <c r="C8" i="13"/>
  <c r="D8" i="13"/>
  <c r="C9" i="13"/>
  <c r="D9" i="13"/>
  <c r="C10" i="13"/>
  <c r="D10" i="13"/>
  <c r="C11" i="13"/>
  <c r="D11" i="13"/>
  <c r="C12" i="13"/>
  <c r="D12" i="13"/>
  <c r="C13" i="13"/>
  <c r="D13" i="13"/>
  <c r="C14" i="13"/>
  <c r="D14" i="13"/>
  <c r="C15" i="13"/>
  <c r="D15" i="13"/>
  <c r="C16" i="13"/>
  <c r="D16" i="13"/>
  <c r="C17" i="13"/>
  <c r="D17" i="13"/>
  <c r="C18" i="13"/>
  <c r="D18" i="13"/>
  <c r="C19" i="13"/>
  <c r="D19" i="13"/>
  <c r="C20" i="13"/>
  <c r="D20" i="13"/>
  <c r="C21" i="13"/>
  <c r="D21" i="13"/>
  <c r="C22" i="13"/>
  <c r="D22" i="13"/>
  <c r="C23" i="13"/>
  <c r="D23" i="13"/>
  <c r="C24" i="13"/>
  <c r="D24" i="13"/>
  <c r="C25" i="13"/>
  <c r="D25" i="13"/>
  <c r="C26" i="13"/>
  <c r="D26" i="13"/>
  <c r="C27" i="13"/>
  <c r="D27" i="13"/>
  <c r="C28" i="13"/>
  <c r="D28" i="13"/>
  <c r="C29" i="13"/>
  <c r="D29" i="13"/>
  <c r="C30" i="13"/>
  <c r="D30" i="13"/>
  <c r="C31" i="13"/>
  <c r="D31" i="13"/>
  <c r="C32" i="13"/>
  <c r="D32" i="13"/>
  <c r="C33" i="13"/>
  <c r="D33" i="13"/>
  <c r="C34" i="13"/>
  <c r="D34" i="13"/>
  <c r="C35" i="13"/>
  <c r="D35" i="13"/>
  <c r="C36" i="13"/>
  <c r="D36" i="13"/>
  <c r="C37" i="13"/>
  <c r="D37" i="13"/>
  <c r="C38" i="13"/>
  <c r="D38" i="13"/>
  <c r="C39" i="13"/>
  <c r="D39" i="13"/>
  <c r="C40" i="13"/>
  <c r="D40" i="13"/>
  <c r="C41" i="13"/>
  <c r="D41" i="13"/>
  <c r="C42" i="13"/>
  <c r="D42" i="13"/>
  <c r="C43" i="13"/>
  <c r="D43" i="13"/>
  <c r="C44" i="13"/>
  <c r="D44" i="13"/>
  <c r="C45" i="13"/>
  <c r="D45" i="13"/>
  <c r="C46" i="13"/>
  <c r="D46" i="13"/>
  <c r="C47" i="13"/>
  <c r="D47" i="13"/>
  <c r="C48" i="13"/>
  <c r="D48" i="13"/>
  <c r="C49" i="13"/>
  <c r="D49" i="13"/>
  <c r="C50" i="13"/>
  <c r="D50" i="13"/>
  <c r="C51" i="13"/>
  <c r="D51" i="13"/>
  <c r="C52" i="13"/>
  <c r="D52" i="13"/>
  <c r="C53" i="13"/>
  <c r="D53" i="13"/>
  <c r="C54" i="13"/>
  <c r="D54" i="13"/>
  <c r="C55" i="13"/>
  <c r="D55" i="13"/>
  <c r="C56" i="13"/>
  <c r="D56" i="13"/>
  <c r="C57" i="13"/>
  <c r="D57" i="13"/>
  <c r="C58" i="13"/>
  <c r="D58" i="13"/>
  <c r="C59" i="13"/>
  <c r="D59" i="13"/>
  <c r="C60" i="13"/>
  <c r="D60" i="13"/>
  <c r="C61" i="13"/>
  <c r="D61" i="13"/>
  <c r="C62" i="13"/>
  <c r="D62" i="13"/>
  <c r="C63" i="13"/>
  <c r="D63" i="13"/>
  <c r="C64" i="13"/>
  <c r="D64" i="13"/>
  <c r="C65" i="13"/>
  <c r="D65" i="13"/>
  <c r="C66" i="13"/>
  <c r="D66" i="13"/>
  <c r="C67" i="13"/>
  <c r="D67" i="13"/>
  <c r="C68" i="13"/>
  <c r="D68" i="13"/>
  <c r="C69" i="13"/>
  <c r="D69" i="13"/>
  <c r="C70" i="13"/>
  <c r="D70" i="13"/>
  <c r="C71" i="13"/>
  <c r="D71" i="13"/>
  <c r="C72" i="13"/>
  <c r="D72" i="13"/>
  <c r="C73" i="13"/>
  <c r="D73" i="13"/>
  <c r="C74" i="13"/>
  <c r="D74" i="13"/>
  <c r="C75" i="13"/>
  <c r="D75" i="13"/>
  <c r="C76" i="13"/>
  <c r="D76" i="13"/>
  <c r="C77" i="13"/>
  <c r="D77" i="13"/>
  <c r="C78" i="13"/>
  <c r="D78" i="13"/>
  <c r="C79" i="13"/>
  <c r="D79" i="13"/>
  <c r="C80" i="13"/>
  <c r="D80" i="13"/>
  <c r="C81" i="13"/>
  <c r="D81" i="13"/>
  <c r="C82" i="13"/>
  <c r="D82" i="13"/>
  <c r="C83" i="13"/>
  <c r="D83" i="13"/>
  <c r="C84" i="13"/>
  <c r="D84" i="13"/>
  <c r="C85" i="13"/>
  <c r="D85" i="13"/>
  <c r="C86" i="13"/>
  <c r="D86" i="13"/>
  <c r="C87" i="13"/>
  <c r="D87" i="13"/>
  <c r="C88" i="13"/>
  <c r="D88" i="13"/>
  <c r="C89" i="13"/>
  <c r="D89" i="13"/>
  <c r="C90" i="13"/>
  <c r="D90" i="13"/>
  <c r="C91" i="13"/>
  <c r="D91" i="13"/>
  <c r="C92" i="13"/>
  <c r="D92" i="13"/>
  <c r="C93" i="13"/>
  <c r="D93" i="13"/>
  <c r="C94" i="13"/>
  <c r="D94" i="13"/>
  <c r="C95" i="13"/>
  <c r="D95" i="13"/>
  <c r="C96" i="13"/>
  <c r="D96" i="13"/>
  <c r="C97" i="13"/>
  <c r="D97" i="13"/>
  <c r="C98" i="13"/>
  <c r="D98" i="13"/>
  <c r="C99" i="13"/>
  <c r="D99" i="13"/>
  <c r="C100" i="13"/>
  <c r="D100" i="13"/>
  <c r="C101" i="13"/>
  <c r="D101" i="13"/>
  <c r="C102" i="13"/>
  <c r="D102" i="13"/>
  <c r="C103" i="13"/>
  <c r="D103" i="13"/>
  <c r="C104" i="13"/>
  <c r="D104" i="13"/>
  <c r="C105" i="13"/>
  <c r="D105" i="13"/>
  <c r="C106" i="13"/>
  <c r="D106" i="13"/>
  <c r="C107" i="13"/>
  <c r="D107" i="13"/>
  <c r="C108" i="13"/>
  <c r="D108" i="13"/>
  <c r="C109" i="13"/>
  <c r="D109" i="13"/>
  <c r="C110" i="13"/>
  <c r="D110" i="13"/>
  <c r="C111" i="13"/>
  <c r="D111" i="13"/>
  <c r="C112" i="13"/>
  <c r="D112" i="13"/>
  <c r="C113" i="13"/>
  <c r="D113" i="13"/>
  <c r="C114" i="13"/>
  <c r="D114" i="13"/>
  <c r="C115" i="13"/>
  <c r="D115" i="13"/>
  <c r="C116" i="13"/>
  <c r="D116" i="13"/>
  <c r="C117" i="13"/>
  <c r="D117" i="13"/>
  <c r="C118" i="13"/>
  <c r="D118" i="13"/>
  <c r="C119" i="13"/>
  <c r="D119" i="13"/>
  <c r="C120" i="13"/>
  <c r="D120" i="13"/>
  <c r="C121" i="13"/>
  <c r="D121" i="13"/>
  <c r="C122" i="13"/>
  <c r="D122" i="13"/>
  <c r="C123" i="13"/>
  <c r="D123" i="13"/>
  <c r="C124" i="13"/>
  <c r="D124" i="13"/>
  <c r="C125" i="13"/>
  <c r="D125" i="13"/>
  <c r="C126" i="13"/>
  <c r="D126" i="13"/>
  <c r="C127" i="13"/>
  <c r="D127" i="13"/>
  <c r="C128" i="13"/>
  <c r="D128" i="13"/>
  <c r="C129" i="13"/>
  <c r="D129" i="13"/>
  <c r="C130" i="13"/>
  <c r="D130" i="13"/>
  <c r="C131" i="13"/>
  <c r="D131" i="13"/>
  <c r="C132" i="13"/>
  <c r="D132" i="13"/>
  <c r="C133" i="13"/>
  <c r="D133" i="13"/>
  <c r="C134" i="13"/>
  <c r="D134" i="13"/>
  <c r="C135" i="13"/>
  <c r="D135" i="13"/>
  <c r="C136" i="13"/>
  <c r="D136" i="13"/>
  <c r="C137" i="13"/>
  <c r="D137" i="13"/>
  <c r="C138" i="13"/>
  <c r="D138" i="13"/>
  <c r="C139" i="13"/>
  <c r="D139" i="13"/>
  <c r="C140" i="13"/>
  <c r="D140" i="13"/>
  <c r="C141" i="13"/>
  <c r="D141" i="13"/>
  <c r="C142" i="13"/>
  <c r="D142" i="13"/>
  <c r="C143" i="13"/>
  <c r="D143" i="13"/>
  <c r="C144" i="13"/>
  <c r="D144" i="13"/>
  <c r="C145" i="13"/>
  <c r="D145" i="13"/>
  <c r="C146" i="13"/>
  <c r="D146" i="13"/>
  <c r="C147" i="13"/>
  <c r="D147" i="13"/>
  <c r="C148" i="13"/>
  <c r="D148" i="13"/>
  <c r="C149" i="13"/>
  <c r="D149" i="13"/>
  <c r="C150" i="13"/>
  <c r="D150" i="13"/>
  <c r="C151" i="13"/>
  <c r="D151" i="13"/>
  <c r="C152" i="13"/>
  <c r="D152" i="13"/>
  <c r="C153" i="13"/>
  <c r="D153" i="13"/>
  <c r="C154" i="13"/>
  <c r="D154" i="13"/>
  <c r="BM6" i="19"/>
  <c r="BY6" i="19" s="1"/>
  <c r="CK6" i="19" s="1"/>
  <c r="DI6" i="19"/>
  <c r="K26" i="22" l="1"/>
  <c r="J26" i="22"/>
  <c r="G26" i="22"/>
  <c r="C24" i="11"/>
  <c r="H26" i="42"/>
  <c r="M119" i="42"/>
  <c r="E39" i="37"/>
  <c r="O39" i="37" s="1"/>
  <c r="T39" i="37" s="1"/>
  <c r="C39" i="37"/>
  <c r="D39" i="37" s="1"/>
  <c r="E38" i="37"/>
  <c r="C38" i="37"/>
  <c r="D38" i="37" s="1"/>
  <c r="O259" i="37"/>
  <c r="T26" i="37"/>
  <c r="C25" i="11"/>
  <c r="AA13" i="34"/>
  <c r="G58" i="10"/>
  <c r="R29" i="10"/>
  <c r="R30" i="10" s="1"/>
  <c r="DO50" i="19"/>
  <c r="DO51" i="19"/>
  <c r="DO52" i="19"/>
  <c r="DO53" i="19"/>
  <c r="DO54" i="19"/>
  <c r="DO55" i="19"/>
  <c r="DO56" i="19"/>
  <c r="DO57" i="19"/>
  <c r="DO58" i="19"/>
  <c r="DO59" i="19"/>
  <c r="DO60" i="19"/>
  <c r="DO61" i="19"/>
  <c r="DO62" i="19"/>
  <c r="DO63" i="19"/>
  <c r="DO64" i="19"/>
  <c r="DO65" i="19"/>
  <c r="DO66" i="19"/>
  <c r="DO67" i="19"/>
  <c r="DO68" i="19"/>
  <c r="DO69" i="19"/>
  <c r="DO70" i="19"/>
  <c r="DO71" i="19"/>
  <c r="DO72" i="19"/>
  <c r="DO73" i="19"/>
  <c r="DO74" i="19"/>
  <c r="DO75" i="19"/>
  <c r="DO76" i="19"/>
  <c r="DO77" i="19"/>
  <c r="DO78" i="19"/>
  <c r="DO79" i="19"/>
  <c r="DO80" i="19"/>
  <c r="DO81" i="19"/>
  <c r="DO82" i="19"/>
  <c r="DO83" i="19"/>
  <c r="DO84" i="19"/>
  <c r="DO85" i="19"/>
  <c r="DO86" i="19"/>
  <c r="DO87" i="19"/>
  <c r="DO88" i="19"/>
  <c r="DO89" i="19"/>
  <c r="DO90" i="19"/>
  <c r="DO91" i="19"/>
  <c r="DO92" i="19"/>
  <c r="DO93" i="19"/>
  <c r="DO94" i="19"/>
  <c r="DO95" i="19"/>
  <c r="DO96" i="19"/>
  <c r="DO97" i="19"/>
  <c r="DO98" i="19"/>
  <c r="DO99" i="19"/>
  <c r="DO100" i="19"/>
  <c r="DO101" i="19"/>
  <c r="DO102" i="19"/>
  <c r="DO103" i="19"/>
  <c r="DO104" i="19"/>
  <c r="DO105" i="19"/>
  <c r="DO106" i="19"/>
  <c r="DO107" i="19"/>
  <c r="DO108" i="19"/>
  <c r="DO109" i="19"/>
  <c r="DO110" i="19"/>
  <c r="DO111" i="19"/>
  <c r="DO112" i="19"/>
  <c r="DO113" i="19"/>
  <c r="DO114" i="19"/>
  <c r="DO115" i="19"/>
  <c r="DO116" i="19"/>
  <c r="DO117" i="19"/>
  <c r="DO118" i="19"/>
  <c r="DO119" i="19"/>
  <c r="DO120" i="19"/>
  <c r="DO16" i="19"/>
  <c r="DO17" i="19"/>
  <c r="DO18" i="19"/>
  <c r="DO19" i="19"/>
  <c r="DO20" i="19"/>
  <c r="DO21" i="19"/>
  <c r="DO22" i="19"/>
  <c r="DO23" i="19"/>
  <c r="DO24" i="19"/>
  <c r="DO25" i="19"/>
  <c r="DO26" i="19"/>
  <c r="DO27" i="19"/>
  <c r="DO28" i="19"/>
  <c r="DO29" i="19"/>
  <c r="DO30" i="19"/>
  <c r="DO31" i="19"/>
  <c r="DO32" i="19"/>
  <c r="DO33" i="19"/>
  <c r="DO34" i="19"/>
  <c r="DO35" i="19"/>
  <c r="DO36" i="19"/>
  <c r="DO37" i="19"/>
  <c r="DO38" i="19"/>
  <c r="DO39" i="19"/>
  <c r="DO40" i="19"/>
  <c r="DO41" i="19"/>
  <c r="DO42" i="19"/>
  <c r="DO43" i="19"/>
  <c r="DO44" i="19"/>
  <c r="DO45" i="19"/>
  <c r="DO46" i="19"/>
  <c r="DO47" i="19"/>
  <c r="DO48" i="19"/>
  <c r="DO49" i="19"/>
  <c r="R18" i="20"/>
  <c r="S18" i="20"/>
  <c r="R19" i="20"/>
  <c r="S19" i="20"/>
  <c r="R20" i="20"/>
  <c r="S20" i="20"/>
  <c r="R21" i="20"/>
  <c r="S21" i="20"/>
  <c r="R22" i="20"/>
  <c r="S22" i="20"/>
  <c r="S23" i="20"/>
  <c r="S24" i="20"/>
  <c r="R25" i="20"/>
  <c r="S25" i="20"/>
  <c r="DO15" i="19"/>
  <c r="C4" i="11"/>
  <c r="C3" i="11"/>
  <c r="D88" i="12"/>
  <c r="D87" i="12"/>
  <c r="D95" i="12"/>
  <c r="I56" i="22"/>
  <c r="I59" i="22"/>
  <c r="H59" i="22"/>
  <c r="G59" i="22"/>
  <c r="F59" i="22"/>
  <c r="F60" i="22" s="1"/>
  <c r="I55" i="22"/>
  <c r="H55" i="22"/>
  <c r="G55" i="22"/>
  <c r="I54" i="22"/>
  <c r="H54" i="22"/>
  <c r="G54" i="22"/>
  <c r="B56" i="18"/>
  <c r="D56" i="18" s="1"/>
  <c r="E64" i="22" s="1"/>
  <c r="C30" i="10" s="1"/>
  <c r="B62" i="18"/>
  <c r="D62" i="18" s="1"/>
  <c r="F86" i="22" s="1"/>
  <c r="C34" i="10" s="1"/>
  <c r="B57" i="18"/>
  <c r="D57" i="18" s="1"/>
  <c r="F64" i="22" s="1"/>
  <c r="C33" i="10" s="1"/>
  <c r="B52" i="18"/>
  <c r="D52" i="18" s="1"/>
  <c r="F35" i="22" s="1"/>
  <c r="C32" i="10" s="1"/>
  <c r="B59" i="18"/>
  <c r="D59" i="18" s="1"/>
  <c r="G8" i="45" s="1"/>
  <c r="M6" i="20" s="1"/>
  <c r="K80" i="22"/>
  <c r="K81" i="22" s="1"/>
  <c r="J80" i="22"/>
  <c r="J81" i="22" s="1"/>
  <c r="J90" i="22" s="1"/>
  <c r="K79" i="22"/>
  <c r="J79" i="22"/>
  <c r="K82" i="22"/>
  <c r="K83" i="22" s="1"/>
  <c r="J82" i="22"/>
  <c r="K59" i="22"/>
  <c r="J59" i="22"/>
  <c r="J30" i="22"/>
  <c r="K30" i="22"/>
  <c r="K55" i="22"/>
  <c r="J55" i="22"/>
  <c r="I82" i="22"/>
  <c r="I83" i="22" s="1"/>
  <c r="H82" i="22"/>
  <c r="H83" i="22" s="1"/>
  <c r="G82" i="22"/>
  <c r="G83" i="22" s="1"/>
  <c r="F82" i="22"/>
  <c r="F83" i="22" s="1"/>
  <c r="I80" i="22"/>
  <c r="H80" i="22"/>
  <c r="G80" i="22"/>
  <c r="F80" i="22"/>
  <c r="I79" i="22"/>
  <c r="H79" i="22"/>
  <c r="G79" i="22"/>
  <c r="F79" i="22"/>
  <c r="B60" i="18"/>
  <c r="D60" i="18" s="1"/>
  <c r="F76" i="22" s="1"/>
  <c r="B58" i="18"/>
  <c r="D58" i="18" s="1"/>
  <c r="B48" i="18"/>
  <c r="D48" i="18" s="1"/>
  <c r="E39" i="22" s="1"/>
  <c r="K78" i="22"/>
  <c r="J78" i="22"/>
  <c r="J85" i="22" s="1"/>
  <c r="B53" i="18"/>
  <c r="D53" i="18" s="1"/>
  <c r="F68" i="22" s="1"/>
  <c r="K53" i="22"/>
  <c r="K63" i="22" s="1"/>
  <c r="J53" i="22"/>
  <c r="H122" i="12"/>
  <c r="H123" i="12"/>
  <c r="H124" i="12"/>
  <c r="H121" i="12"/>
  <c r="I128" i="12"/>
  <c r="I127" i="12"/>
  <c r="I124" i="12"/>
  <c r="I122" i="12"/>
  <c r="K115" i="12"/>
  <c r="D108" i="12"/>
  <c r="D107" i="12"/>
  <c r="L121" i="12" s="1"/>
  <c r="B43" i="18"/>
  <c r="D43" i="18" s="1"/>
  <c r="E7" i="22" s="1"/>
  <c r="D3" i="46"/>
  <c r="I30" i="22"/>
  <c r="I25" i="22"/>
  <c r="K24" i="22"/>
  <c r="K34" i="22" s="1"/>
  <c r="J24" i="22"/>
  <c r="J34" i="22" s="1"/>
  <c r="H30" i="22"/>
  <c r="F30" i="22"/>
  <c r="F31" i="22" s="1"/>
  <c r="G30" i="22"/>
  <c r="H25" i="22"/>
  <c r="G25" i="22"/>
  <c r="F25" i="22"/>
  <c r="G27" i="12"/>
  <c r="DG4" i="19"/>
  <c r="CU4" i="19"/>
  <c r="CI4" i="19"/>
  <c r="BW4" i="19"/>
  <c r="BK4" i="19"/>
  <c r="AY4" i="19"/>
  <c r="AP5" i="19"/>
  <c r="AP4" i="19"/>
  <c r="AG5" i="19"/>
  <c r="AG4" i="19"/>
  <c r="AC12" i="19"/>
  <c r="K89" i="12"/>
  <c r="C95" i="21"/>
  <c r="AD72" i="19"/>
  <c r="AD73" i="19"/>
  <c r="AD74" i="19"/>
  <c r="AD75" i="19"/>
  <c r="AD76" i="19"/>
  <c r="AD77" i="19"/>
  <c r="AD78" i="19"/>
  <c r="AD79" i="19"/>
  <c r="AD80" i="19"/>
  <c r="AD81" i="19"/>
  <c r="AD82" i="19"/>
  <c r="AD83" i="19"/>
  <c r="AD84" i="19"/>
  <c r="AD85" i="19"/>
  <c r="AD86" i="19"/>
  <c r="AD87" i="19"/>
  <c r="AD88" i="19"/>
  <c r="AD89" i="19"/>
  <c r="AD90" i="19"/>
  <c r="AD91" i="19"/>
  <c r="AD92" i="19"/>
  <c r="AD93" i="19"/>
  <c r="AD94" i="19"/>
  <c r="AD95" i="19"/>
  <c r="AD96" i="19"/>
  <c r="AD97" i="19"/>
  <c r="AD98" i="19"/>
  <c r="AD99" i="19"/>
  <c r="AD100" i="19"/>
  <c r="AD101" i="19"/>
  <c r="AD102" i="19"/>
  <c r="AD103" i="19"/>
  <c r="AD104" i="19"/>
  <c r="AD105" i="19"/>
  <c r="AD106" i="19"/>
  <c r="AD107" i="19"/>
  <c r="AD108" i="19"/>
  <c r="AD109" i="19"/>
  <c r="AD110" i="19"/>
  <c r="AD111" i="19"/>
  <c r="AD112" i="19"/>
  <c r="AD113" i="19"/>
  <c r="AD114" i="19"/>
  <c r="AD115" i="19"/>
  <c r="AD116" i="19"/>
  <c r="AD117" i="19"/>
  <c r="AD118" i="19"/>
  <c r="AD119" i="19"/>
  <c r="AD120" i="19"/>
  <c r="AC72" i="19"/>
  <c r="AC73" i="19"/>
  <c r="AC74" i="19"/>
  <c r="AC75" i="19"/>
  <c r="AC76" i="19"/>
  <c r="AC77" i="19"/>
  <c r="AC78" i="19"/>
  <c r="AC79" i="19"/>
  <c r="AC80" i="19"/>
  <c r="AC81" i="19"/>
  <c r="AC82" i="19"/>
  <c r="AC83" i="19"/>
  <c r="AC84" i="19"/>
  <c r="AC85" i="19"/>
  <c r="AC86" i="19"/>
  <c r="AC87" i="19"/>
  <c r="AC88" i="19"/>
  <c r="AC89" i="19"/>
  <c r="AC90" i="19"/>
  <c r="AC91" i="19"/>
  <c r="AC92" i="19"/>
  <c r="AC93" i="19"/>
  <c r="AC94" i="19"/>
  <c r="AC95" i="19"/>
  <c r="AC96" i="19"/>
  <c r="AC97" i="19"/>
  <c r="AC98" i="19"/>
  <c r="AC99" i="19"/>
  <c r="AC100" i="19"/>
  <c r="AC101" i="19"/>
  <c r="AC102" i="19"/>
  <c r="AC103" i="19"/>
  <c r="AC104" i="19"/>
  <c r="AC105" i="19"/>
  <c r="AC106" i="19"/>
  <c r="AC107" i="19"/>
  <c r="AC108" i="19"/>
  <c r="AC109" i="19"/>
  <c r="AC110" i="19"/>
  <c r="AC111" i="19"/>
  <c r="AC112" i="19"/>
  <c r="AC113" i="19"/>
  <c r="AC114" i="19"/>
  <c r="AC115" i="19"/>
  <c r="AC116" i="19"/>
  <c r="AC117" i="19"/>
  <c r="AC118" i="19"/>
  <c r="AC119" i="19"/>
  <c r="AC120" i="19"/>
  <c r="M23" i="42" l="1"/>
  <c r="M22" i="42"/>
  <c r="L22" i="42" s="1"/>
  <c r="M21" i="42"/>
  <c r="M19" i="42"/>
  <c r="O19" i="42" s="1"/>
  <c r="M20" i="42"/>
  <c r="L20" i="42" s="1"/>
  <c r="M24" i="42"/>
  <c r="K22" i="3"/>
  <c r="M15" i="42"/>
  <c r="M16" i="42"/>
  <c r="V20" i="3"/>
  <c r="O21" i="42"/>
  <c r="O20" i="42"/>
  <c r="K27" i="22"/>
  <c r="J28" i="22"/>
  <c r="K28" i="22"/>
  <c r="J27" i="22"/>
  <c r="O38" i="37"/>
  <c r="T38" i="37" s="1"/>
  <c r="R39" i="37"/>
  <c r="I129" i="12"/>
  <c r="B34" i="10"/>
  <c r="B31" i="10"/>
  <c r="V24" i="3"/>
  <c r="V21" i="3"/>
  <c r="V22" i="3"/>
  <c r="V23" i="3"/>
  <c r="K16" i="3"/>
  <c r="K15" i="3"/>
  <c r="K57" i="22"/>
  <c r="J57" i="22"/>
  <c r="E52" i="22"/>
  <c r="Q7" i="45"/>
  <c r="F53" i="22"/>
  <c r="F7" i="22"/>
  <c r="F55" i="22"/>
  <c r="F93" i="22"/>
  <c r="F95" i="22" s="1"/>
  <c r="J87" i="22"/>
  <c r="J89" i="22"/>
  <c r="J88" i="22"/>
  <c r="J84" i="22"/>
  <c r="F88" i="22"/>
  <c r="F89" i="22" s="1"/>
  <c r="F78" i="22"/>
  <c r="G78" i="22" s="1"/>
  <c r="J83" i="22"/>
  <c r="H88" i="22"/>
  <c r="H89" i="22" s="1"/>
  <c r="G76" i="22"/>
  <c r="H76" i="22" s="1"/>
  <c r="I76" i="22" s="1"/>
  <c r="J76" i="22" s="1"/>
  <c r="K76" i="22" s="1"/>
  <c r="K85" i="22"/>
  <c r="K60" i="22"/>
  <c r="J60" i="22"/>
  <c r="L114" i="12"/>
  <c r="L122" i="12"/>
  <c r="L113" i="12"/>
  <c r="L123" i="12"/>
  <c r="L124" i="12"/>
  <c r="F39" i="22"/>
  <c r="J63" i="22"/>
  <c r="ET5" i="19"/>
  <c r="AK8" i="19"/>
  <c r="ET4" i="19"/>
  <c r="DJ16" i="19"/>
  <c r="DJ17" i="19"/>
  <c r="DJ18" i="19"/>
  <c r="DJ19" i="19"/>
  <c r="DJ20" i="19"/>
  <c r="DJ21" i="19"/>
  <c r="DJ22" i="19"/>
  <c r="DJ23" i="19"/>
  <c r="DJ24" i="19"/>
  <c r="DJ25" i="19"/>
  <c r="DJ26" i="19"/>
  <c r="DJ27" i="19"/>
  <c r="DJ28" i="19"/>
  <c r="DJ29" i="19"/>
  <c r="DJ30" i="19"/>
  <c r="DJ31" i="19"/>
  <c r="DJ32" i="19"/>
  <c r="DJ33" i="19"/>
  <c r="DJ34" i="19"/>
  <c r="DJ35" i="19"/>
  <c r="DJ36" i="19"/>
  <c r="DJ37" i="19"/>
  <c r="DJ38" i="19"/>
  <c r="DJ39" i="19"/>
  <c r="DJ40" i="19"/>
  <c r="DJ41" i="19"/>
  <c r="DJ42" i="19"/>
  <c r="DJ43" i="19"/>
  <c r="DJ44" i="19"/>
  <c r="DJ45" i="19"/>
  <c r="DJ46" i="19"/>
  <c r="DJ47" i="19"/>
  <c r="DJ48" i="19"/>
  <c r="DJ49" i="19"/>
  <c r="DJ50" i="19"/>
  <c r="DJ51" i="19"/>
  <c r="DJ52" i="19"/>
  <c r="DJ53" i="19"/>
  <c r="DJ54" i="19"/>
  <c r="DJ55" i="19"/>
  <c r="DJ56" i="19"/>
  <c r="DJ57" i="19"/>
  <c r="DJ58" i="19"/>
  <c r="DJ59" i="19"/>
  <c r="DJ60" i="19"/>
  <c r="DJ61" i="19"/>
  <c r="DJ62" i="19"/>
  <c r="DJ63" i="19"/>
  <c r="DJ64" i="19"/>
  <c r="DJ65" i="19"/>
  <c r="DJ66" i="19"/>
  <c r="DJ67" i="19"/>
  <c r="DJ68" i="19"/>
  <c r="DJ69" i="19"/>
  <c r="DJ70" i="19"/>
  <c r="DJ71" i="19"/>
  <c r="DJ72" i="19"/>
  <c r="DJ73" i="19"/>
  <c r="DJ74" i="19"/>
  <c r="DJ75" i="19"/>
  <c r="DJ76" i="19"/>
  <c r="DJ77" i="19"/>
  <c r="DJ78" i="19"/>
  <c r="DJ79" i="19"/>
  <c r="DJ80" i="19"/>
  <c r="DJ81" i="19"/>
  <c r="DJ82" i="19"/>
  <c r="DJ83" i="19"/>
  <c r="DJ84" i="19"/>
  <c r="DJ85" i="19"/>
  <c r="DJ86" i="19"/>
  <c r="DJ87" i="19"/>
  <c r="DJ88" i="19"/>
  <c r="DJ89" i="19"/>
  <c r="DJ90" i="19"/>
  <c r="DJ91" i="19"/>
  <c r="DJ92" i="19"/>
  <c r="DJ93" i="19"/>
  <c r="DJ94" i="19"/>
  <c r="DJ95" i="19"/>
  <c r="DJ96" i="19"/>
  <c r="DJ97" i="19"/>
  <c r="DJ98" i="19"/>
  <c r="DJ99" i="19"/>
  <c r="DJ100" i="19"/>
  <c r="DJ101" i="19"/>
  <c r="DJ102" i="19"/>
  <c r="DJ103" i="19"/>
  <c r="DJ104" i="19"/>
  <c r="DJ105" i="19"/>
  <c r="DJ106" i="19"/>
  <c r="DJ107" i="19"/>
  <c r="DJ108" i="19"/>
  <c r="DJ109" i="19"/>
  <c r="DJ110" i="19"/>
  <c r="DJ111" i="19"/>
  <c r="DJ112" i="19"/>
  <c r="DJ113" i="19"/>
  <c r="DJ114" i="19"/>
  <c r="DJ115" i="19"/>
  <c r="DJ116" i="19"/>
  <c r="DJ117" i="19"/>
  <c r="DJ118" i="19"/>
  <c r="DJ119" i="19"/>
  <c r="DJ120" i="19"/>
  <c r="DJ15" i="19"/>
  <c r="L23" i="42" l="1"/>
  <c r="O23" i="42"/>
  <c r="O22" i="42"/>
  <c r="L24" i="42"/>
  <c r="O24" i="42"/>
  <c r="N19" i="3"/>
  <c r="N22" i="3"/>
  <c r="N23" i="3"/>
  <c r="N21" i="3"/>
  <c r="N24" i="3"/>
  <c r="N20" i="3"/>
  <c r="J61" i="22"/>
  <c r="J29" i="22"/>
  <c r="J62" i="22"/>
  <c r="J58" i="22"/>
  <c r="J65" i="22" s="1"/>
  <c r="J66" i="22" s="1"/>
  <c r="F57" i="22"/>
  <c r="R38" i="37"/>
  <c r="F56" i="22"/>
  <c r="J33" i="22"/>
  <c r="J23" i="3"/>
  <c r="J24" i="3"/>
  <c r="G81" i="22"/>
  <c r="F84" i="22" s="1"/>
  <c r="H78" i="22"/>
  <c r="I78" i="22" s="1"/>
  <c r="I81" i="22" s="1"/>
  <c r="H84" i="22" s="1"/>
  <c r="F81" i="22"/>
  <c r="J91" i="22"/>
  <c r="X8" i="20"/>
  <c r="U20" i="42"/>
  <c r="T18" i="3"/>
  <c r="R4" i="3"/>
  <c r="F7" i="20"/>
  <c r="B27" i="18"/>
  <c r="D27" i="18" s="1"/>
  <c r="I3" i="45"/>
  <c r="I4" i="45"/>
  <c r="I2" i="45"/>
  <c r="A7" i="45"/>
  <c r="A8" i="45"/>
  <c r="A9" i="45"/>
  <c r="A10" i="45"/>
  <c r="A11" i="45"/>
  <c r="A12" i="45"/>
  <c r="A13" i="45"/>
  <c r="A6" i="45"/>
  <c r="B7" i="45"/>
  <c r="B8" i="45"/>
  <c r="B9" i="45"/>
  <c r="B10" i="45"/>
  <c r="B11" i="45"/>
  <c r="B12" i="45"/>
  <c r="B13" i="45"/>
  <c r="C7" i="45"/>
  <c r="C8" i="45"/>
  <c r="C9" i="45"/>
  <c r="C10" i="45"/>
  <c r="C11" i="45"/>
  <c r="C12" i="45"/>
  <c r="C13" i="45"/>
  <c r="C6" i="45"/>
  <c r="B45" i="18"/>
  <c r="B44" i="18"/>
  <c r="L19" i="42" l="1"/>
  <c r="K19" i="3"/>
  <c r="F58" i="22"/>
  <c r="F65" i="22" s="1"/>
  <c r="H81" i="22"/>
  <c r="H87" i="22" s="1"/>
  <c r="F87" i="22"/>
  <c r="D44" i="18"/>
  <c r="E4" i="22" s="1"/>
  <c r="D45" i="18"/>
  <c r="B16" i="18"/>
  <c r="D16" i="18" s="1"/>
  <c r="D28" i="12"/>
  <c r="C119" i="21"/>
  <c r="C112" i="21"/>
  <c r="F27" i="12"/>
  <c r="S15" i="20"/>
  <c r="B20" i="18"/>
  <c r="K64" i="12"/>
  <c r="P35" i="35"/>
  <c r="O35" i="35"/>
  <c r="N35" i="35"/>
  <c r="M35" i="35"/>
  <c r="L35" i="35"/>
  <c r="K35" i="35"/>
  <c r="J35" i="35"/>
  <c r="I35" i="35"/>
  <c r="H35" i="35"/>
  <c r="G35" i="35"/>
  <c r="D35" i="35"/>
  <c r="C35" i="35"/>
  <c r="B35" i="35"/>
  <c r="P34" i="35"/>
  <c r="O34" i="35"/>
  <c r="N34" i="35"/>
  <c r="M34" i="35"/>
  <c r="L34" i="35"/>
  <c r="K34" i="35"/>
  <c r="J34" i="35"/>
  <c r="I34" i="35"/>
  <c r="H34" i="35"/>
  <c r="G34" i="35"/>
  <c r="D34" i="35"/>
  <c r="C34" i="35"/>
  <c r="B34" i="35"/>
  <c r="P33" i="35"/>
  <c r="O33" i="35"/>
  <c r="N33" i="35"/>
  <c r="M33" i="35"/>
  <c r="L33" i="35"/>
  <c r="K33" i="35"/>
  <c r="J33" i="35"/>
  <c r="I33" i="35"/>
  <c r="H33" i="35"/>
  <c r="G33" i="35"/>
  <c r="D33" i="35"/>
  <c r="C33" i="35"/>
  <c r="B33" i="35"/>
  <c r="P32" i="35"/>
  <c r="O32" i="35"/>
  <c r="N32" i="35"/>
  <c r="M32" i="35"/>
  <c r="L32" i="35"/>
  <c r="K32" i="35"/>
  <c r="J32" i="35"/>
  <c r="I32" i="35"/>
  <c r="H32" i="35"/>
  <c r="G32" i="35"/>
  <c r="D32" i="35"/>
  <c r="B32" i="35"/>
  <c r="P31" i="35"/>
  <c r="O31" i="35"/>
  <c r="N31" i="35"/>
  <c r="M31" i="35"/>
  <c r="L31" i="35"/>
  <c r="K31" i="35"/>
  <c r="J31" i="35"/>
  <c r="I31" i="35"/>
  <c r="H31" i="35"/>
  <c r="G31" i="35"/>
  <c r="D31" i="35"/>
  <c r="B31" i="35"/>
  <c r="P30" i="35"/>
  <c r="O30" i="35"/>
  <c r="N30" i="35"/>
  <c r="M30" i="35"/>
  <c r="L30" i="35"/>
  <c r="K30" i="35"/>
  <c r="J30" i="35"/>
  <c r="I30" i="35"/>
  <c r="H30" i="35"/>
  <c r="G30" i="35"/>
  <c r="D30" i="35"/>
  <c r="B30" i="35"/>
  <c r="P29" i="35"/>
  <c r="O29" i="35"/>
  <c r="N29" i="35"/>
  <c r="M29" i="35"/>
  <c r="L29" i="35"/>
  <c r="K29" i="35"/>
  <c r="J29" i="35"/>
  <c r="I29" i="35"/>
  <c r="H29" i="35"/>
  <c r="G29" i="35"/>
  <c r="D29" i="35"/>
  <c r="B29" i="35"/>
  <c r="P28" i="35"/>
  <c r="O28" i="35"/>
  <c r="N28" i="35"/>
  <c r="M28" i="35"/>
  <c r="L28" i="35"/>
  <c r="K28" i="35"/>
  <c r="J28" i="35"/>
  <c r="I28" i="35"/>
  <c r="H28" i="35"/>
  <c r="G28" i="35"/>
  <c r="D28" i="35"/>
  <c r="B28" i="35"/>
  <c r="P27" i="35"/>
  <c r="O27" i="35"/>
  <c r="N27" i="35"/>
  <c r="M27" i="35"/>
  <c r="L27" i="35"/>
  <c r="K27" i="35"/>
  <c r="J27" i="35"/>
  <c r="I27" i="35"/>
  <c r="H27" i="35"/>
  <c r="G27" i="35"/>
  <c r="D27" i="35"/>
  <c r="B27" i="35"/>
  <c r="P26" i="35"/>
  <c r="O26" i="35"/>
  <c r="N26" i="35"/>
  <c r="M26" i="35"/>
  <c r="L26" i="35"/>
  <c r="K26" i="35"/>
  <c r="J26" i="35"/>
  <c r="I26" i="35"/>
  <c r="H26" i="35"/>
  <c r="G26" i="35"/>
  <c r="D26" i="35"/>
  <c r="B26" i="35"/>
  <c r="P25" i="35"/>
  <c r="O25" i="35"/>
  <c r="N25" i="35"/>
  <c r="M25" i="35"/>
  <c r="L25" i="35"/>
  <c r="K25" i="35"/>
  <c r="J25" i="35"/>
  <c r="I25" i="35"/>
  <c r="H25" i="35"/>
  <c r="G25" i="35"/>
  <c r="D25" i="35"/>
  <c r="B25" i="35"/>
  <c r="P24" i="35"/>
  <c r="O24" i="35"/>
  <c r="N24" i="35"/>
  <c r="M24" i="35"/>
  <c r="L24" i="35"/>
  <c r="K24" i="35"/>
  <c r="J24" i="35"/>
  <c r="I24" i="35"/>
  <c r="H24" i="35"/>
  <c r="G24" i="35"/>
  <c r="D24" i="35"/>
  <c r="B24" i="35"/>
  <c r="P23" i="35"/>
  <c r="O23" i="35"/>
  <c r="N23" i="35"/>
  <c r="M23" i="35"/>
  <c r="L23" i="35"/>
  <c r="K23" i="35"/>
  <c r="J23" i="35"/>
  <c r="I23" i="35"/>
  <c r="H23" i="35"/>
  <c r="G23" i="35"/>
  <c r="D23" i="35"/>
  <c r="B23" i="35"/>
  <c r="P22" i="35"/>
  <c r="O22" i="35"/>
  <c r="N22" i="35"/>
  <c r="M22" i="35"/>
  <c r="L22" i="35"/>
  <c r="K22" i="35"/>
  <c r="J22" i="35"/>
  <c r="I22" i="35"/>
  <c r="H22" i="35"/>
  <c r="G22" i="35"/>
  <c r="D22" i="35"/>
  <c r="B22" i="35"/>
  <c r="P21" i="35"/>
  <c r="O21" i="35"/>
  <c r="N21" i="35"/>
  <c r="M21" i="35"/>
  <c r="L21" i="35"/>
  <c r="K21" i="35"/>
  <c r="J21" i="35"/>
  <c r="I21" i="35"/>
  <c r="H21" i="35"/>
  <c r="G21" i="35"/>
  <c r="D21" i="35"/>
  <c r="B21" i="35"/>
  <c r="B42" i="18"/>
  <c r="D42" i="18" s="1"/>
  <c r="Q208" i="45"/>
  <c r="Q204" i="45"/>
  <c r="P204" i="45"/>
  <c r="O202" i="45"/>
  <c r="Q195" i="45"/>
  <c r="Q191" i="45"/>
  <c r="P191" i="45"/>
  <c r="O189" i="45"/>
  <c r="Q182" i="45"/>
  <c r="Q178" i="45"/>
  <c r="P178" i="45"/>
  <c r="O176" i="45"/>
  <c r="Q168" i="45"/>
  <c r="P164" i="45"/>
  <c r="C32" i="35" s="1"/>
  <c r="O162" i="45"/>
  <c r="Q155" i="45"/>
  <c r="P151" i="45"/>
  <c r="C31" i="35" s="1"/>
  <c r="O149" i="45"/>
  <c r="Q142" i="45"/>
  <c r="P138" i="45"/>
  <c r="C30" i="35" s="1"/>
  <c r="O136" i="45"/>
  <c r="Q128" i="45"/>
  <c r="P124" i="45"/>
  <c r="C29" i="35" s="1"/>
  <c r="O122" i="45"/>
  <c r="Q115" i="45"/>
  <c r="P111" i="45"/>
  <c r="C28" i="35" s="1"/>
  <c r="Q102" i="45"/>
  <c r="P98" i="45"/>
  <c r="C27" i="35" s="1"/>
  <c r="O96" i="45"/>
  <c r="Q88" i="45"/>
  <c r="P84" i="45"/>
  <c r="C26" i="35" s="1"/>
  <c r="O82" i="45"/>
  <c r="Q75" i="45"/>
  <c r="P71" i="45"/>
  <c r="C25" i="35" s="1"/>
  <c r="O69" i="45"/>
  <c r="Q62" i="45"/>
  <c r="P58" i="45"/>
  <c r="C24" i="35" s="1"/>
  <c r="O56" i="45"/>
  <c r="Q48" i="45"/>
  <c r="C23" i="35"/>
  <c r="O42" i="45"/>
  <c r="Q35" i="45"/>
  <c r="C22" i="35"/>
  <c r="O29" i="45"/>
  <c r="Q22" i="45"/>
  <c r="P18" i="45"/>
  <c r="C21" i="35" s="1"/>
  <c r="M18" i="3"/>
  <c r="M17" i="3"/>
  <c r="N18" i="3"/>
  <c r="N17" i="3"/>
  <c r="WB4" i="25"/>
  <c r="VB4" i="25"/>
  <c r="EW120" i="19"/>
  <c r="EW119" i="19"/>
  <c r="EW118" i="19"/>
  <c r="EW117" i="19"/>
  <c r="EW116" i="19"/>
  <c r="EW115" i="19"/>
  <c r="EW114" i="19"/>
  <c r="EW113" i="19"/>
  <c r="EW112" i="19"/>
  <c r="EW111" i="19"/>
  <c r="EW110" i="19"/>
  <c r="EW109" i="19"/>
  <c r="EW108" i="19"/>
  <c r="EW107" i="19"/>
  <c r="EW106" i="19"/>
  <c r="EW105" i="19"/>
  <c r="EW104" i="19"/>
  <c r="EW103" i="19"/>
  <c r="EW102" i="19"/>
  <c r="EW101" i="19"/>
  <c r="EW100" i="19"/>
  <c r="EW99" i="19"/>
  <c r="EW98" i="19"/>
  <c r="EW97" i="19"/>
  <c r="EW96" i="19"/>
  <c r="EW95" i="19"/>
  <c r="EW94" i="19"/>
  <c r="EW93" i="19"/>
  <c r="EW92" i="19"/>
  <c r="EW91" i="19"/>
  <c r="EW90" i="19"/>
  <c r="EW89" i="19"/>
  <c r="EW88" i="19"/>
  <c r="EW87" i="19"/>
  <c r="EW86" i="19"/>
  <c r="EW85" i="19"/>
  <c r="EW84" i="19"/>
  <c r="EW83" i="19"/>
  <c r="EW82" i="19"/>
  <c r="EW81" i="19"/>
  <c r="EW80" i="19"/>
  <c r="EW79" i="19"/>
  <c r="EW78" i="19"/>
  <c r="EW77" i="19"/>
  <c r="EW76" i="19"/>
  <c r="EW75" i="19"/>
  <c r="EW74" i="19"/>
  <c r="EW73" i="19"/>
  <c r="EW72" i="19"/>
  <c r="EW71" i="19"/>
  <c r="EW70" i="19"/>
  <c r="EW69" i="19"/>
  <c r="EW68" i="19"/>
  <c r="EW67" i="19"/>
  <c r="EW66" i="19"/>
  <c r="EW65" i="19"/>
  <c r="EW64" i="19"/>
  <c r="EW63" i="19"/>
  <c r="EW62" i="19"/>
  <c r="EW61" i="19"/>
  <c r="EW60" i="19"/>
  <c r="EW59" i="19"/>
  <c r="EW58" i="19"/>
  <c r="EW57" i="19"/>
  <c r="EW56" i="19"/>
  <c r="EW55" i="19"/>
  <c r="EW54" i="19"/>
  <c r="EW53" i="19"/>
  <c r="EW52" i="19"/>
  <c r="EW51" i="19"/>
  <c r="EW50" i="19"/>
  <c r="EW49" i="19"/>
  <c r="EW48" i="19"/>
  <c r="EW47" i="19"/>
  <c r="EW46" i="19"/>
  <c r="EW45" i="19"/>
  <c r="EW44" i="19"/>
  <c r="EW43" i="19"/>
  <c r="EW42" i="19"/>
  <c r="EW41" i="19"/>
  <c r="EW40" i="19"/>
  <c r="EW39" i="19"/>
  <c r="EW38" i="19"/>
  <c r="EW37" i="19"/>
  <c r="EW36" i="19"/>
  <c r="EW35" i="19"/>
  <c r="EW34" i="19"/>
  <c r="EW33" i="19"/>
  <c r="EW32" i="19"/>
  <c r="EW31" i="19"/>
  <c r="EW30" i="19"/>
  <c r="EW29" i="19"/>
  <c r="EW28" i="19"/>
  <c r="EW27" i="19"/>
  <c r="EW26" i="19"/>
  <c r="EW25" i="19"/>
  <c r="EW24" i="19"/>
  <c r="EW23" i="19"/>
  <c r="EW22" i="19"/>
  <c r="EW21" i="19"/>
  <c r="EW20" i="19"/>
  <c r="EW5" i="19"/>
  <c r="EW3" i="19"/>
  <c r="EQ120" i="19"/>
  <c r="EZ120" i="19" s="1"/>
  <c r="EQ119" i="19"/>
  <c r="EZ119" i="19" s="1"/>
  <c r="EQ118" i="19"/>
  <c r="EZ118" i="19" s="1"/>
  <c r="EQ117" i="19"/>
  <c r="EZ117" i="19" s="1"/>
  <c r="EQ116" i="19"/>
  <c r="EZ116" i="19" s="1"/>
  <c r="EQ115" i="19"/>
  <c r="EZ115" i="19" s="1"/>
  <c r="EQ114" i="19"/>
  <c r="EZ114" i="19" s="1"/>
  <c r="EQ113" i="19"/>
  <c r="EZ113" i="19" s="1"/>
  <c r="EQ112" i="19"/>
  <c r="EZ112" i="19" s="1"/>
  <c r="EQ111" i="19"/>
  <c r="EZ111" i="19" s="1"/>
  <c r="EQ110" i="19"/>
  <c r="EZ110" i="19" s="1"/>
  <c r="EQ109" i="19"/>
  <c r="EZ109" i="19" s="1"/>
  <c r="EQ108" i="19"/>
  <c r="EZ108" i="19" s="1"/>
  <c r="EQ107" i="19"/>
  <c r="EZ107" i="19" s="1"/>
  <c r="EQ106" i="19"/>
  <c r="EZ106" i="19" s="1"/>
  <c r="EQ105" i="19"/>
  <c r="EZ105" i="19" s="1"/>
  <c r="EQ104" i="19"/>
  <c r="EZ104" i="19" s="1"/>
  <c r="EQ103" i="19"/>
  <c r="EZ103" i="19" s="1"/>
  <c r="EQ102" i="19"/>
  <c r="EZ102" i="19" s="1"/>
  <c r="EQ101" i="19"/>
  <c r="EZ101" i="19" s="1"/>
  <c r="EQ100" i="19"/>
  <c r="EZ100" i="19" s="1"/>
  <c r="EQ99" i="19"/>
  <c r="EZ99" i="19" s="1"/>
  <c r="EQ98" i="19"/>
  <c r="EZ98" i="19" s="1"/>
  <c r="EQ97" i="19"/>
  <c r="EZ97" i="19" s="1"/>
  <c r="EQ96" i="19"/>
  <c r="EZ96" i="19" s="1"/>
  <c r="EQ95" i="19"/>
  <c r="EZ95" i="19" s="1"/>
  <c r="EQ94" i="19"/>
  <c r="EZ94" i="19" s="1"/>
  <c r="EQ93" i="19"/>
  <c r="EZ93" i="19" s="1"/>
  <c r="EQ92" i="19"/>
  <c r="EZ92" i="19" s="1"/>
  <c r="EQ91" i="19"/>
  <c r="EZ91" i="19" s="1"/>
  <c r="EQ90" i="19"/>
  <c r="EZ90" i="19" s="1"/>
  <c r="EQ89" i="19"/>
  <c r="EZ89" i="19" s="1"/>
  <c r="EQ88" i="19"/>
  <c r="EZ88" i="19" s="1"/>
  <c r="EQ87" i="19"/>
  <c r="EZ87" i="19" s="1"/>
  <c r="EQ86" i="19"/>
  <c r="EZ86" i="19" s="1"/>
  <c r="EQ85" i="19"/>
  <c r="EZ85" i="19" s="1"/>
  <c r="EQ84" i="19"/>
  <c r="EZ84" i="19" s="1"/>
  <c r="EQ83" i="19"/>
  <c r="EZ83" i="19" s="1"/>
  <c r="EQ82" i="19"/>
  <c r="EZ82" i="19" s="1"/>
  <c r="EQ81" i="19"/>
  <c r="EZ81" i="19" s="1"/>
  <c r="EQ80" i="19"/>
  <c r="EZ80" i="19" s="1"/>
  <c r="EQ79" i="19"/>
  <c r="EZ79" i="19" s="1"/>
  <c r="EQ78" i="19"/>
  <c r="EZ78" i="19" s="1"/>
  <c r="EQ77" i="19"/>
  <c r="EZ77" i="19" s="1"/>
  <c r="EQ76" i="19"/>
  <c r="EZ76" i="19" s="1"/>
  <c r="EQ75" i="19"/>
  <c r="EZ75" i="19" s="1"/>
  <c r="EQ74" i="19"/>
  <c r="EZ74" i="19" s="1"/>
  <c r="EQ73" i="19"/>
  <c r="EZ73" i="19" s="1"/>
  <c r="EQ72" i="19"/>
  <c r="EZ72" i="19" s="1"/>
  <c r="EQ71" i="19"/>
  <c r="EZ71" i="19" s="1"/>
  <c r="EQ70" i="19"/>
  <c r="EZ70" i="19" s="1"/>
  <c r="EQ69" i="19"/>
  <c r="EZ69" i="19" s="1"/>
  <c r="EQ68" i="19"/>
  <c r="EZ68" i="19" s="1"/>
  <c r="EQ67" i="19"/>
  <c r="EZ67" i="19" s="1"/>
  <c r="EQ66" i="19"/>
  <c r="EZ66" i="19" s="1"/>
  <c r="EQ65" i="19"/>
  <c r="EZ65" i="19" s="1"/>
  <c r="EQ64" i="19"/>
  <c r="EZ64" i="19" s="1"/>
  <c r="EQ63" i="19"/>
  <c r="EZ63" i="19" s="1"/>
  <c r="EQ62" i="19"/>
  <c r="EZ62" i="19" s="1"/>
  <c r="EQ61" i="19"/>
  <c r="EZ61" i="19" s="1"/>
  <c r="EQ60" i="19"/>
  <c r="EZ60" i="19" s="1"/>
  <c r="EQ59" i="19"/>
  <c r="EZ59" i="19" s="1"/>
  <c r="EQ58" i="19"/>
  <c r="EZ58" i="19" s="1"/>
  <c r="EQ57" i="19"/>
  <c r="EZ57" i="19" s="1"/>
  <c r="EQ56" i="19"/>
  <c r="EZ56" i="19" s="1"/>
  <c r="EQ55" i="19"/>
  <c r="EZ55" i="19" s="1"/>
  <c r="EQ54" i="19"/>
  <c r="EZ54" i="19" s="1"/>
  <c r="EQ53" i="19"/>
  <c r="EZ53" i="19" s="1"/>
  <c r="EQ52" i="19"/>
  <c r="EZ52" i="19" s="1"/>
  <c r="EQ51" i="19"/>
  <c r="EZ51" i="19" s="1"/>
  <c r="EQ50" i="19"/>
  <c r="EZ50" i="19" s="1"/>
  <c r="EQ49" i="19"/>
  <c r="EZ49" i="19" s="1"/>
  <c r="EQ48" i="19"/>
  <c r="EZ48" i="19" s="1"/>
  <c r="EQ47" i="19"/>
  <c r="EZ47" i="19" s="1"/>
  <c r="EQ46" i="19"/>
  <c r="EZ46" i="19" s="1"/>
  <c r="EQ45" i="19"/>
  <c r="EZ45" i="19" s="1"/>
  <c r="EQ44" i="19"/>
  <c r="EZ44" i="19" s="1"/>
  <c r="EQ43" i="19"/>
  <c r="EZ43" i="19" s="1"/>
  <c r="EQ42" i="19"/>
  <c r="EZ42" i="19" s="1"/>
  <c r="EQ41" i="19"/>
  <c r="EZ41" i="19" s="1"/>
  <c r="EQ40" i="19"/>
  <c r="EZ40" i="19" s="1"/>
  <c r="EQ39" i="19"/>
  <c r="EZ39" i="19" s="1"/>
  <c r="EQ38" i="19"/>
  <c r="EZ38" i="19" s="1"/>
  <c r="EQ37" i="19"/>
  <c r="EZ37" i="19" s="1"/>
  <c r="EQ36" i="19"/>
  <c r="EZ36" i="19" s="1"/>
  <c r="EQ35" i="19"/>
  <c r="EZ35" i="19" s="1"/>
  <c r="EQ34" i="19"/>
  <c r="EZ34" i="19" s="1"/>
  <c r="EQ33" i="19"/>
  <c r="EZ33" i="19" s="1"/>
  <c r="EQ32" i="19"/>
  <c r="EZ32" i="19" s="1"/>
  <c r="EQ31" i="19"/>
  <c r="EZ31" i="19" s="1"/>
  <c r="EQ30" i="19"/>
  <c r="EZ30" i="19" s="1"/>
  <c r="EQ29" i="19"/>
  <c r="EZ29" i="19" s="1"/>
  <c r="EQ28" i="19"/>
  <c r="EZ28" i="19" s="1"/>
  <c r="EQ27" i="19"/>
  <c r="EZ27" i="19" s="1"/>
  <c r="EQ26" i="19"/>
  <c r="EZ26" i="19" s="1"/>
  <c r="EQ25" i="19"/>
  <c r="EZ25" i="19" s="1"/>
  <c r="EQ24" i="19"/>
  <c r="EZ24" i="19" s="1"/>
  <c r="EQ23" i="19"/>
  <c r="EZ23" i="19" s="1"/>
  <c r="EQ22" i="19"/>
  <c r="EZ22" i="19" s="1"/>
  <c r="EQ21" i="19"/>
  <c r="EZ21" i="19" s="1"/>
  <c r="EQ20" i="19"/>
  <c r="EZ20" i="19" s="1"/>
  <c r="EQ19" i="19"/>
  <c r="EZ19" i="19" s="1"/>
  <c r="EQ18" i="19"/>
  <c r="EZ18" i="19" s="1"/>
  <c r="EQ17" i="19"/>
  <c r="EZ17" i="19" s="1"/>
  <c r="EQ16" i="19"/>
  <c r="EZ16" i="19" s="1"/>
  <c r="EQ15" i="19"/>
  <c r="EZ15" i="19" s="1"/>
  <c r="ES8" i="19"/>
  <c r="EN5" i="19"/>
  <c r="ES6" i="19" s="1"/>
  <c r="FC4" i="19"/>
  <c r="FA8" i="19" s="1"/>
  <c r="EQ4" i="19"/>
  <c r="EZ4" i="19" s="1"/>
  <c r="EN3" i="19"/>
  <c r="E191" i="37"/>
  <c r="C191" i="37"/>
  <c r="D191" i="37" s="1"/>
  <c r="E186" i="37"/>
  <c r="C186" i="37"/>
  <c r="D186" i="37" s="1"/>
  <c r="E188" i="37"/>
  <c r="C188" i="37"/>
  <c r="D188" i="37" s="1"/>
  <c r="E187" i="37"/>
  <c r="C187" i="37"/>
  <c r="D187" i="37" s="1"/>
  <c r="E190" i="37"/>
  <c r="C190" i="37"/>
  <c r="D190" i="37" s="1"/>
  <c r="E189" i="37"/>
  <c r="C189" i="37"/>
  <c r="D189" i="37" s="1"/>
  <c r="C185" i="37"/>
  <c r="AR16" i="19"/>
  <c r="AR17" i="19"/>
  <c r="AR18" i="19"/>
  <c r="AR19" i="19"/>
  <c r="AR20" i="19"/>
  <c r="AR21" i="19"/>
  <c r="AR22" i="19"/>
  <c r="AR23" i="19"/>
  <c r="AR24" i="19"/>
  <c r="AR25" i="19"/>
  <c r="AR26" i="19"/>
  <c r="AR27" i="19"/>
  <c r="AR28" i="19"/>
  <c r="AR29" i="19"/>
  <c r="AR30" i="19"/>
  <c r="AR31" i="19"/>
  <c r="AR32" i="19"/>
  <c r="AR33" i="19"/>
  <c r="AR34" i="19"/>
  <c r="AR35" i="19"/>
  <c r="AR36" i="19"/>
  <c r="AR37" i="19"/>
  <c r="AR38" i="19"/>
  <c r="AR39" i="19"/>
  <c r="AR40" i="19"/>
  <c r="AR41" i="19"/>
  <c r="AR42" i="19"/>
  <c r="AR43" i="19"/>
  <c r="AR44" i="19"/>
  <c r="AR45" i="19"/>
  <c r="AR46" i="19"/>
  <c r="AR47" i="19"/>
  <c r="AR48" i="19"/>
  <c r="AR49" i="19"/>
  <c r="AR50" i="19"/>
  <c r="AR51" i="19"/>
  <c r="AR52" i="19"/>
  <c r="AR53" i="19"/>
  <c r="AR54" i="19"/>
  <c r="AR55" i="19"/>
  <c r="AR56" i="19"/>
  <c r="AR57" i="19"/>
  <c r="AR58" i="19"/>
  <c r="AR59" i="19"/>
  <c r="AR60" i="19"/>
  <c r="AR61" i="19"/>
  <c r="AR62" i="19"/>
  <c r="AR63" i="19"/>
  <c r="AR64" i="19"/>
  <c r="AR65" i="19"/>
  <c r="AR66" i="19"/>
  <c r="AR67" i="19"/>
  <c r="AR68" i="19"/>
  <c r="AR69" i="19"/>
  <c r="AR70" i="19"/>
  <c r="AR71" i="19"/>
  <c r="AR72" i="19"/>
  <c r="AR73" i="19"/>
  <c r="AR74" i="19"/>
  <c r="AR75" i="19"/>
  <c r="AR76" i="19"/>
  <c r="AR77" i="19"/>
  <c r="AR78" i="19"/>
  <c r="AR79" i="19"/>
  <c r="AR80" i="19"/>
  <c r="AR81" i="19"/>
  <c r="AR82" i="19"/>
  <c r="AR83" i="19"/>
  <c r="AR84" i="19"/>
  <c r="AR85" i="19"/>
  <c r="AR86" i="19"/>
  <c r="AR87" i="19"/>
  <c r="AR88" i="19"/>
  <c r="AR89" i="19"/>
  <c r="AR90" i="19"/>
  <c r="AR91" i="19"/>
  <c r="AR92" i="19"/>
  <c r="AR93" i="19"/>
  <c r="AR94" i="19"/>
  <c r="AR95" i="19"/>
  <c r="AR96" i="19"/>
  <c r="AR97" i="19"/>
  <c r="AR98" i="19"/>
  <c r="AR99" i="19"/>
  <c r="AR100" i="19"/>
  <c r="AR101" i="19"/>
  <c r="AR102" i="19"/>
  <c r="AR103" i="19"/>
  <c r="AR104" i="19"/>
  <c r="AR105" i="19"/>
  <c r="AR106" i="19"/>
  <c r="AR107" i="19"/>
  <c r="AR108" i="19"/>
  <c r="AR109" i="19"/>
  <c r="AR110" i="19"/>
  <c r="AR111" i="19"/>
  <c r="AR112" i="19"/>
  <c r="AR113" i="19"/>
  <c r="AR114" i="19"/>
  <c r="AR115" i="19"/>
  <c r="AR116" i="19"/>
  <c r="AR117" i="19"/>
  <c r="AR118" i="19"/>
  <c r="AR119" i="19"/>
  <c r="AR120" i="19"/>
  <c r="G10" i="45" l="1"/>
  <c r="A21" i="12" s="1"/>
  <c r="F4" i="22"/>
  <c r="E8" i="22"/>
  <c r="H9" i="45" s="1"/>
  <c r="B20" i="12" s="1"/>
  <c r="E9" i="22"/>
  <c r="G9" i="45"/>
  <c r="A20" i="12" s="1"/>
  <c r="B34" i="18"/>
  <c r="D34" i="18" s="1"/>
  <c r="B35" i="18"/>
  <c r="D35" i="18" s="1"/>
  <c r="F28" i="12" s="1"/>
  <c r="ER8" i="19"/>
  <c r="ET8" i="19" s="1"/>
  <c r="FC5" i="19"/>
  <c r="FB8" i="19" s="1"/>
  <c r="FC8" i="19" s="1"/>
  <c r="FA6" i="19"/>
  <c r="FA7" i="19" s="1"/>
  <c r="ER6" i="19"/>
  <c r="ER7" i="19" s="1"/>
  <c r="O188" i="37"/>
  <c r="O187" i="37"/>
  <c r="O190" i="37"/>
  <c r="O189" i="37"/>
  <c r="AR15" i="19"/>
  <c r="L16" i="42"/>
  <c r="L15" i="42"/>
  <c r="U23" i="42"/>
  <c r="U22" i="42"/>
  <c r="U14" i="42"/>
  <c r="DN7" i="19"/>
  <c r="DB7" i="19"/>
  <c r="CP7" i="19"/>
  <c r="CD7" i="19"/>
  <c r="BR7" i="19"/>
  <c r="S4" i="3"/>
  <c r="AR4" i="19"/>
  <c r="A49" i="42"/>
  <c r="A50" i="42"/>
  <c r="A51" i="42"/>
  <c r="A52" i="42"/>
  <c r="A53" i="42"/>
  <c r="A31" i="42"/>
  <c r="A32" i="42"/>
  <c r="A33" i="42"/>
  <c r="A34" i="42"/>
  <c r="A35" i="42"/>
  <c r="A36" i="42"/>
  <c r="A37" i="42"/>
  <c r="A38" i="42"/>
  <c r="A39" i="42"/>
  <c r="A40" i="42"/>
  <c r="A41" i="42"/>
  <c r="A42" i="42"/>
  <c r="A43" i="42"/>
  <c r="A44" i="42"/>
  <c r="A45" i="42"/>
  <c r="A46" i="42"/>
  <c r="A47" i="42"/>
  <c r="A48" i="42"/>
  <c r="B6" i="45"/>
  <c r="A4" i="44"/>
  <c r="A5" i="44"/>
  <c r="A6" i="44"/>
  <c r="A7" i="44"/>
  <c r="A8" i="44"/>
  <c r="A3" i="44"/>
  <c r="A9" i="44"/>
  <c r="A2" i="44"/>
  <c r="E7" i="20" s="1"/>
  <c r="C71" i="21"/>
  <c r="C70" i="21"/>
  <c r="C69" i="21"/>
  <c r="B95" i="21"/>
  <c r="C17" i="21"/>
  <c r="C2" i="21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5" i="25"/>
  <c r="T22" i="42"/>
  <c r="T23" i="42"/>
  <c r="U15" i="42"/>
  <c r="C27" i="21"/>
  <c r="E13" i="35"/>
  <c r="E12" i="35"/>
  <c r="S9" i="35"/>
  <c r="S25" i="35"/>
  <c r="S26" i="35"/>
  <c r="S27" i="35"/>
  <c r="S28" i="35"/>
  <c r="S29" i="35"/>
  <c r="S30" i="35"/>
  <c r="S31" i="35"/>
  <c r="S32" i="35"/>
  <c r="S33" i="35"/>
  <c r="F31" i="10"/>
  <c r="F34" i="10"/>
  <c r="P9" i="35"/>
  <c r="O9" i="35"/>
  <c r="R9" i="35"/>
  <c r="F9" i="22" l="1"/>
  <c r="F8" i="22"/>
  <c r="H10" i="45" s="1"/>
  <c r="B21" i="12" s="1"/>
  <c r="L127" i="12"/>
  <c r="L128" i="12"/>
  <c r="FB6" i="19"/>
  <c r="FB7" i="19" s="1"/>
  <c r="FB9" i="19" s="1"/>
  <c r="L101" i="12"/>
  <c r="L102" i="12"/>
  <c r="G28" i="12"/>
  <c r="L76" i="12"/>
  <c r="L75" i="12"/>
  <c r="ES7" i="19"/>
  <c r="ES9" i="19" s="1"/>
  <c r="FA9" i="19"/>
  <c r="ET6" i="19"/>
  <c r="ER9" i="19"/>
  <c r="Q33" i="35"/>
  <c r="Q35" i="35"/>
  <c r="Q34" i="35"/>
  <c r="F9" i="35"/>
  <c r="H6" i="35"/>
  <c r="H16" i="35" s="1"/>
  <c r="G6" i="35"/>
  <c r="G16" i="35" s="1"/>
  <c r="T18" i="35"/>
  <c r="T19" i="35"/>
  <c r="T20" i="35"/>
  <c r="Q27" i="35"/>
  <c r="H9" i="35"/>
  <c r="I9" i="35"/>
  <c r="J9" i="35"/>
  <c r="K9" i="35"/>
  <c r="L9" i="35"/>
  <c r="M9" i="35"/>
  <c r="N9" i="35"/>
  <c r="G9" i="35"/>
  <c r="P16" i="35"/>
  <c r="N16" i="35"/>
  <c r="M16" i="35"/>
  <c r="L16" i="35"/>
  <c r="K16" i="35"/>
  <c r="J16" i="35"/>
  <c r="I16" i="35"/>
  <c r="I20" i="35"/>
  <c r="M20" i="35"/>
  <c r="N20" i="35"/>
  <c r="G20" i="35"/>
  <c r="G19" i="35"/>
  <c r="FC6" i="19" l="1"/>
  <c r="AD13" i="19" s="1"/>
  <c r="FC7" i="19"/>
  <c r="ET9" i="19"/>
  <c r="ET7" i="19"/>
  <c r="FC9" i="19"/>
  <c r="F28" i="35"/>
  <c r="R28" i="35" s="1"/>
  <c r="L19" i="35"/>
  <c r="L8" i="35" s="1"/>
  <c r="P34" i="10" s="1"/>
  <c r="P19" i="35"/>
  <c r="P8" i="35" s="1"/>
  <c r="P41" i="10" s="1"/>
  <c r="H19" i="35"/>
  <c r="H8" i="35" s="1"/>
  <c r="P30" i="10" s="1"/>
  <c r="G8" i="35"/>
  <c r="P29" i="10" s="1"/>
  <c r="F34" i="35"/>
  <c r="R34" i="35" s="1"/>
  <c r="S34" i="35" s="1"/>
  <c r="F33" i="35"/>
  <c r="R33" i="35" s="1"/>
  <c r="F30" i="35"/>
  <c r="R30" i="35" s="1"/>
  <c r="F35" i="35"/>
  <c r="R35" i="35" s="1"/>
  <c r="S35" i="35" s="1"/>
  <c r="F31" i="35"/>
  <c r="R31" i="35" s="1"/>
  <c r="F32" i="35"/>
  <c r="R32" i="35" s="1"/>
  <c r="F29" i="35"/>
  <c r="R29" i="35" s="1"/>
  <c r="F27" i="35"/>
  <c r="R27" i="35" s="1"/>
  <c r="J20" i="35"/>
  <c r="F26" i="35"/>
  <c r="R26" i="35" s="1"/>
  <c r="Q30" i="35"/>
  <c r="Q29" i="35"/>
  <c r="Q32" i="35"/>
  <c r="Q31" i="35"/>
  <c r="M19" i="35"/>
  <c r="M7" i="35" s="1"/>
  <c r="P35" i="10" s="1"/>
  <c r="O20" i="35"/>
  <c r="O19" i="35"/>
  <c r="O8" i="35" s="1"/>
  <c r="K19" i="35"/>
  <c r="K8" i="35" s="1"/>
  <c r="P33" i="10" s="1"/>
  <c r="P20" i="35"/>
  <c r="L20" i="35"/>
  <c r="N19" i="35"/>
  <c r="N8" i="35" s="1"/>
  <c r="P39" i="10" s="1"/>
  <c r="H20" i="35"/>
  <c r="I19" i="35"/>
  <c r="I8" i="35" s="1"/>
  <c r="P31" i="10" s="1"/>
  <c r="J19" i="35"/>
  <c r="J8" i="35" s="1"/>
  <c r="P32" i="10" s="1"/>
  <c r="K20" i="35"/>
  <c r="O18" i="35"/>
  <c r="K18" i="35"/>
  <c r="G18" i="35"/>
  <c r="P18" i="35"/>
  <c r="L18" i="35"/>
  <c r="H18" i="35"/>
  <c r="M18" i="35"/>
  <c r="I18" i="35"/>
  <c r="N18" i="35"/>
  <c r="J18" i="35"/>
  <c r="F23" i="35"/>
  <c r="R23" i="35" s="1"/>
  <c r="S23" i="35" s="1"/>
  <c r="F25" i="35"/>
  <c r="R25" i="35" s="1"/>
  <c r="F21" i="35"/>
  <c r="R21" i="35" s="1"/>
  <c r="S21" i="35" s="1"/>
  <c r="F22" i="35"/>
  <c r="R22" i="35" s="1"/>
  <c r="S22" i="35" s="1"/>
  <c r="F24" i="35"/>
  <c r="R24" i="35" s="1"/>
  <c r="S24" i="35" s="1"/>
  <c r="S20" i="35" s="1"/>
  <c r="E145" i="37"/>
  <c r="C145" i="37"/>
  <c r="D145" i="37" s="1"/>
  <c r="E144" i="37"/>
  <c r="C144" i="37"/>
  <c r="D144" i="37" s="1"/>
  <c r="E143" i="37"/>
  <c r="C143" i="37"/>
  <c r="D143" i="37" s="1"/>
  <c r="E142" i="37"/>
  <c r="C142" i="37"/>
  <c r="D142" i="37" s="1"/>
  <c r="E141" i="37"/>
  <c r="C141" i="37"/>
  <c r="D141" i="37" s="1"/>
  <c r="E133" i="37"/>
  <c r="C133" i="37"/>
  <c r="D133" i="37" s="1"/>
  <c r="E132" i="37"/>
  <c r="C132" i="37"/>
  <c r="D132" i="37" s="1"/>
  <c r="E131" i="37"/>
  <c r="C131" i="37"/>
  <c r="D131" i="37" s="1"/>
  <c r="E130" i="37"/>
  <c r="C130" i="37"/>
  <c r="D130" i="37" s="1"/>
  <c r="E129" i="37"/>
  <c r="C129" i="37"/>
  <c r="D129" i="37" s="1"/>
  <c r="E48" i="37"/>
  <c r="C48" i="37"/>
  <c r="D48" i="37" s="1"/>
  <c r="E25" i="37"/>
  <c r="C25" i="37"/>
  <c r="D25" i="37" s="1"/>
  <c r="E47" i="37"/>
  <c r="C47" i="37"/>
  <c r="D47" i="37" s="1"/>
  <c r="E46" i="37"/>
  <c r="C46" i="37"/>
  <c r="D46" i="37" s="1"/>
  <c r="E45" i="37"/>
  <c r="C45" i="37"/>
  <c r="D45" i="37" s="1"/>
  <c r="E44" i="37"/>
  <c r="C44" i="37"/>
  <c r="D44" i="37" s="1"/>
  <c r="E43" i="37"/>
  <c r="C43" i="37"/>
  <c r="D43" i="37" s="1"/>
  <c r="E42" i="37"/>
  <c r="C42" i="37"/>
  <c r="D42" i="37" s="1"/>
  <c r="E19" i="37"/>
  <c r="E20" i="37"/>
  <c r="E21" i="37"/>
  <c r="E22" i="37"/>
  <c r="E23" i="37"/>
  <c r="E24" i="37"/>
  <c r="E26" i="37"/>
  <c r="C19" i="37"/>
  <c r="D19" i="37" s="1"/>
  <c r="C20" i="37"/>
  <c r="D20" i="37" s="1"/>
  <c r="C21" i="37"/>
  <c r="D21" i="37" s="1"/>
  <c r="C22" i="37"/>
  <c r="D22" i="37" s="1"/>
  <c r="C23" i="37"/>
  <c r="D23" i="37" s="1"/>
  <c r="C24" i="37"/>
  <c r="D24" i="37" s="1"/>
  <c r="DI16" i="19"/>
  <c r="DI17" i="19"/>
  <c r="DI18" i="19"/>
  <c r="DI19" i="19"/>
  <c r="DI20" i="19"/>
  <c r="DI21" i="19"/>
  <c r="DI22" i="19"/>
  <c r="DI23" i="19"/>
  <c r="DI24" i="19"/>
  <c r="DI25" i="19"/>
  <c r="DI26" i="19"/>
  <c r="DI27" i="19"/>
  <c r="DI28" i="19"/>
  <c r="DI29" i="19"/>
  <c r="DI30" i="19"/>
  <c r="DI31" i="19"/>
  <c r="DI32" i="19"/>
  <c r="DI33" i="19"/>
  <c r="DI34" i="19"/>
  <c r="DI35" i="19"/>
  <c r="DI36" i="19"/>
  <c r="DI37" i="19"/>
  <c r="DI38" i="19"/>
  <c r="DI39" i="19"/>
  <c r="DI40" i="19"/>
  <c r="DI41" i="19"/>
  <c r="DI42" i="19"/>
  <c r="DI43" i="19"/>
  <c r="DI44" i="19"/>
  <c r="DI45" i="19"/>
  <c r="DI46" i="19"/>
  <c r="DI47" i="19"/>
  <c r="DI48" i="19"/>
  <c r="DI49" i="19"/>
  <c r="DI50" i="19"/>
  <c r="DI51" i="19"/>
  <c r="DI52" i="19"/>
  <c r="DI53" i="19"/>
  <c r="DI54" i="19"/>
  <c r="DI55" i="19"/>
  <c r="DI56" i="19"/>
  <c r="DI57" i="19"/>
  <c r="DI58" i="19"/>
  <c r="DI59" i="19"/>
  <c r="DI60" i="19"/>
  <c r="DI61" i="19"/>
  <c r="DI62" i="19"/>
  <c r="DI63" i="19"/>
  <c r="DI64" i="19"/>
  <c r="DI65" i="19"/>
  <c r="DI66" i="19"/>
  <c r="DI67" i="19"/>
  <c r="DI68" i="19"/>
  <c r="DI69" i="19"/>
  <c r="DI70" i="19"/>
  <c r="DI71" i="19"/>
  <c r="DI72" i="19"/>
  <c r="DI73" i="19"/>
  <c r="DI74" i="19"/>
  <c r="DI75" i="19"/>
  <c r="DI76" i="19"/>
  <c r="DI77" i="19"/>
  <c r="DI78" i="19"/>
  <c r="DI79" i="19"/>
  <c r="DI80" i="19"/>
  <c r="DI81" i="19"/>
  <c r="DI82" i="19"/>
  <c r="DI83" i="19"/>
  <c r="DI84" i="19"/>
  <c r="DI85" i="19"/>
  <c r="DI86" i="19"/>
  <c r="DI87" i="19"/>
  <c r="DI88" i="19"/>
  <c r="DI89" i="19"/>
  <c r="DI90" i="19"/>
  <c r="DI91" i="19"/>
  <c r="DI92" i="19"/>
  <c r="DI93" i="19"/>
  <c r="DI94" i="19"/>
  <c r="DI95" i="19"/>
  <c r="DI96" i="19"/>
  <c r="DI97" i="19"/>
  <c r="DI98" i="19"/>
  <c r="DI99" i="19"/>
  <c r="DI100" i="19"/>
  <c r="DI101" i="19"/>
  <c r="DI102" i="19"/>
  <c r="DI103" i="19"/>
  <c r="DI104" i="19"/>
  <c r="DI105" i="19"/>
  <c r="DI106" i="19"/>
  <c r="DI107" i="19"/>
  <c r="DI108" i="19"/>
  <c r="DI109" i="19"/>
  <c r="DI110" i="19"/>
  <c r="DI111" i="19"/>
  <c r="DI112" i="19"/>
  <c r="DI113" i="19"/>
  <c r="DI114" i="19"/>
  <c r="DI115" i="19"/>
  <c r="DI116" i="19"/>
  <c r="DI117" i="19"/>
  <c r="DI118" i="19"/>
  <c r="DI119" i="19"/>
  <c r="DI120" i="19"/>
  <c r="DI15" i="19"/>
  <c r="P100" i="20"/>
  <c r="P101" i="20"/>
  <c r="P102" i="20"/>
  <c r="P103" i="20"/>
  <c r="R103" i="20"/>
  <c r="S103" i="20"/>
  <c r="S98" i="20"/>
  <c r="S99" i="20"/>
  <c r="R100" i="20"/>
  <c r="S100" i="20"/>
  <c r="R101" i="20"/>
  <c r="S101" i="20"/>
  <c r="R102" i="20"/>
  <c r="S102" i="20"/>
  <c r="A114" i="42"/>
  <c r="A115" i="42"/>
  <c r="A116" i="42"/>
  <c r="A117" i="42"/>
  <c r="A118" i="42"/>
  <c r="R26" i="20"/>
  <c r="S26" i="20"/>
  <c r="S27" i="20"/>
  <c r="S32" i="20"/>
  <c r="R28" i="20"/>
  <c r="S28" i="20"/>
  <c r="R29" i="20"/>
  <c r="S29" i="20"/>
  <c r="S30" i="20"/>
  <c r="S31" i="20"/>
  <c r="S33" i="20"/>
  <c r="S34" i="20"/>
  <c r="S35" i="20"/>
  <c r="S36" i="20"/>
  <c r="S37" i="20"/>
  <c r="S38" i="20"/>
  <c r="S39" i="20"/>
  <c r="S40" i="20"/>
  <c r="S41" i="20"/>
  <c r="S42" i="20"/>
  <c r="S43" i="20"/>
  <c r="S44" i="20"/>
  <c r="S45" i="20"/>
  <c r="S46" i="20"/>
  <c r="S47" i="20"/>
  <c r="S48" i="20"/>
  <c r="S49" i="20"/>
  <c r="S52" i="20"/>
  <c r="S50" i="20"/>
  <c r="S51" i="20"/>
  <c r="S53" i="20"/>
  <c r="S54" i="20"/>
  <c r="S55" i="20"/>
  <c r="S56" i="20"/>
  <c r="S57" i="20"/>
  <c r="S58" i="20"/>
  <c r="S59" i="20"/>
  <c r="S60" i="20"/>
  <c r="S61" i="20"/>
  <c r="S62" i="20"/>
  <c r="S63" i="20"/>
  <c r="S64" i="20"/>
  <c r="S65" i="20"/>
  <c r="S66" i="20"/>
  <c r="S67" i="20"/>
  <c r="S68" i="20"/>
  <c r="S69" i="20"/>
  <c r="S70" i="20"/>
  <c r="S71" i="20"/>
  <c r="S72" i="20"/>
  <c r="S73" i="20"/>
  <c r="S74" i="20"/>
  <c r="S75" i="20"/>
  <c r="S76" i="20"/>
  <c r="S77" i="20"/>
  <c r="S78" i="20"/>
  <c r="S79" i="20"/>
  <c r="S80" i="20"/>
  <c r="S81" i="20"/>
  <c r="S82" i="20"/>
  <c r="S83" i="20"/>
  <c r="S84" i="20"/>
  <c r="S85" i="20"/>
  <c r="S86" i="20"/>
  <c r="S87" i="20"/>
  <c r="S88" i="20"/>
  <c r="S89" i="20"/>
  <c r="S90" i="20"/>
  <c r="S91" i="20"/>
  <c r="S92" i="20"/>
  <c r="S93" i="20"/>
  <c r="S94" i="20"/>
  <c r="S95" i="20"/>
  <c r="S96" i="20"/>
  <c r="S97" i="20"/>
  <c r="R26" i="37" l="1"/>
  <c r="O26" i="37"/>
  <c r="O21" i="37"/>
  <c r="R21" i="37" s="1"/>
  <c r="O42" i="37"/>
  <c r="R42" i="37" s="1"/>
  <c r="O44" i="37"/>
  <c r="R44" i="37" s="1"/>
  <c r="O46" i="37"/>
  <c r="R46" i="37" s="1"/>
  <c r="O25" i="37"/>
  <c r="R25" i="37" s="1"/>
  <c r="O22" i="37"/>
  <c r="R22" i="37" s="1"/>
  <c r="O23" i="37"/>
  <c r="R23" i="37" s="1"/>
  <c r="O19" i="37"/>
  <c r="R19" i="37" s="1"/>
  <c r="O43" i="37"/>
  <c r="R43" i="37" s="1"/>
  <c r="O45" i="37"/>
  <c r="R45" i="37" s="1"/>
  <c r="O47" i="37"/>
  <c r="R47" i="37" s="1"/>
  <c r="O48" i="37"/>
  <c r="R48" i="37" s="1"/>
  <c r="O24" i="37"/>
  <c r="R24" i="37" s="1"/>
  <c r="O20" i="37"/>
  <c r="R20" i="37" s="1"/>
  <c r="S19" i="35"/>
  <c r="S8" i="35" s="1"/>
  <c r="S18" i="35"/>
  <c r="R20" i="35"/>
  <c r="Q28" i="35"/>
  <c r="R19" i="35"/>
  <c r="R8" i="35" s="1"/>
  <c r="P37" i="10" s="1"/>
  <c r="R18" i="35"/>
  <c r="F18" i="35"/>
  <c r="F20" i="35"/>
  <c r="F19" i="35"/>
  <c r="F8" i="35" s="1"/>
  <c r="O142" i="37"/>
  <c r="O144" i="37"/>
  <c r="O141" i="37"/>
  <c r="O143" i="37"/>
  <c r="O145" i="37"/>
  <c r="O132" i="37"/>
  <c r="O133" i="37"/>
  <c r="O130" i="37"/>
  <c r="O129" i="37"/>
  <c r="O131" i="37"/>
  <c r="T25" i="37"/>
  <c r="T21" i="37"/>
  <c r="T43" i="37"/>
  <c r="T45" i="37"/>
  <c r="T23" i="37"/>
  <c r="T24" i="37"/>
  <c r="C23" i="11"/>
  <c r="T20" i="37" l="1"/>
  <c r="T22" i="37"/>
  <c r="T42" i="37"/>
  <c r="T47" i="37"/>
  <c r="T19" i="37"/>
  <c r="T44" i="37"/>
  <c r="T46" i="37"/>
  <c r="T48" i="37"/>
  <c r="AJ8" i="19"/>
  <c r="W15" i="42" l="1"/>
  <c r="L15" i="19" l="1"/>
  <c r="O15" i="19" s="1"/>
  <c r="E41" i="37"/>
  <c r="C41" i="37"/>
  <c r="D41" i="37" s="1"/>
  <c r="E40" i="37"/>
  <c r="C40" i="37"/>
  <c r="D40" i="37" s="1"/>
  <c r="E18" i="37"/>
  <c r="C18" i="37"/>
  <c r="D18" i="37" s="1"/>
  <c r="E17" i="37"/>
  <c r="C17" i="37"/>
  <c r="D17" i="37" s="1"/>
  <c r="O17" i="37" l="1"/>
  <c r="R17" i="37" s="1"/>
  <c r="O40" i="37"/>
  <c r="R40" i="37" s="1"/>
  <c r="O18" i="37"/>
  <c r="R18" i="37" s="1"/>
  <c r="O41" i="37"/>
  <c r="R41" i="37" s="1"/>
  <c r="T41" i="37" l="1"/>
  <c r="T18" i="37"/>
  <c r="T17" i="37"/>
  <c r="T40" i="37"/>
  <c r="AA26" i="42" l="1"/>
  <c r="AU5" i="19" l="1"/>
  <c r="AT8" i="19" s="1"/>
  <c r="AU4" i="19"/>
  <c r="AS8" i="19" s="1"/>
  <c r="AO5" i="19"/>
  <c r="AL8" i="19"/>
  <c r="AF5" i="19"/>
  <c r="AK6" i="19" s="1"/>
  <c r="AK7" i="19" s="1"/>
  <c r="AK9" i="19" s="1"/>
  <c r="AB13" i="19"/>
  <c r="M17" i="35" s="1"/>
  <c r="C2" i="13"/>
  <c r="B50" i="18"/>
  <c r="D50" i="18" s="1"/>
  <c r="B32" i="10" s="1"/>
  <c r="F32" i="10" s="1"/>
  <c r="B55" i="18"/>
  <c r="D55" i="18" s="1"/>
  <c r="B33" i="10" s="1"/>
  <c r="F33" i="10" s="1"/>
  <c r="B54" i="18"/>
  <c r="D54" i="18" s="1"/>
  <c r="B30" i="10" s="1"/>
  <c r="F30" i="10" s="1"/>
  <c r="E76" i="22"/>
  <c r="B49" i="18"/>
  <c r="D49" i="18" s="1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30" i="3"/>
  <c r="E21" i="22" l="1"/>
  <c r="E41" i="22" s="1"/>
  <c r="B29" i="10"/>
  <c r="F29" i="10" s="1"/>
  <c r="E50" i="22"/>
  <c r="E68" i="22" s="1"/>
  <c r="G7" i="45"/>
  <c r="M5" i="20" s="1"/>
  <c r="E93" i="22"/>
  <c r="F50" i="22"/>
  <c r="AT6" i="19"/>
  <c r="AU8" i="19"/>
  <c r="A83" i="3"/>
  <c r="O15" i="42" l="1"/>
  <c r="O16" i="42"/>
  <c r="N16" i="3"/>
  <c r="N15" i="3"/>
  <c r="V16" i="3"/>
  <c r="V15" i="3"/>
  <c r="E69" i="22"/>
  <c r="H7" i="45" s="1"/>
  <c r="N5" i="20" s="1"/>
  <c r="E70" i="22"/>
  <c r="C30" i="11" s="1"/>
  <c r="F70" i="22"/>
  <c r="E95" i="22"/>
  <c r="G50" i="22"/>
  <c r="H50" i="22" s="1"/>
  <c r="I50" i="22" s="1"/>
  <c r="J50" i="22" s="1"/>
  <c r="K50" i="22" s="1"/>
  <c r="G53" i="22"/>
  <c r="AT7" i="19"/>
  <c r="AT9" i="19" s="1"/>
  <c r="A84" i="3"/>
  <c r="H53" i="22" l="1"/>
  <c r="A85" i="3"/>
  <c r="H57" i="22" l="1"/>
  <c r="H58" i="22" s="1"/>
  <c r="H56" i="22"/>
  <c r="I53" i="22"/>
  <c r="A86" i="3"/>
  <c r="L21" i="42" l="1"/>
  <c r="K21" i="3"/>
  <c r="H62" i="22"/>
  <c r="A87" i="3"/>
  <c r="A88" i="3"/>
  <c r="A89" i="3" l="1"/>
  <c r="A90" i="3" l="1"/>
  <c r="A91" i="3" l="1"/>
  <c r="A92" i="3" l="1"/>
  <c r="K37" i="10" l="1"/>
  <c r="K36" i="10"/>
  <c r="J36" i="10"/>
  <c r="J35" i="10"/>
  <c r="J30" i="10"/>
  <c r="J31" i="10"/>
  <c r="J32" i="10"/>
  <c r="J33" i="10"/>
  <c r="J29" i="10"/>
  <c r="A98" i="42"/>
  <c r="A99" i="42"/>
  <c r="A100" i="42"/>
  <c r="A101" i="42"/>
  <c r="A102" i="42"/>
  <c r="A103" i="42"/>
  <c r="A104" i="42"/>
  <c r="A105" i="42"/>
  <c r="A106" i="42"/>
  <c r="A107" i="42"/>
  <c r="A108" i="42"/>
  <c r="A109" i="42"/>
  <c r="A110" i="42"/>
  <c r="A111" i="42"/>
  <c r="A112" i="42"/>
  <c r="A113" i="42"/>
  <c r="A54" i="42"/>
  <c r="A55" i="42"/>
  <c r="A56" i="42"/>
  <c r="A57" i="42"/>
  <c r="A58" i="42"/>
  <c r="A59" i="42"/>
  <c r="A60" i="42"/>
  <c r="A61" i="42"/>
  <c r="A62" i="42"/>
  <c r="A63" i="42"/>
  <c r="A64" i="42"/>
  <c r="A65" i="42"/>
  <c r="A66" i="42"/>
  <c r="A67" i="42"/>
  <c r="A68" i="42"/>
  <c r="A69" i="42"/>
  <c r="A70" i="42"/>
  <c r="A71" i="42"/>
  <c r="A72" i="42"/>
  <c r="A73" i="42"/>
  <c r="A74" i="42"/>
  <c r="A75" i="42"/>
  <c r="A76" i="42"/>
  <c r="A77" i="42"/>
  <c r="A78" i="42"/>
  <c r="A79" i="42"/>
  <c r="A80" i="42"/>
  <c r="A81" i="42"/>
  <c r="A82" i="42"/>
  <c r="A83" i="42"/>
  <c r="A84" i="42"/>
  <c r="A85" i="42"/>
  <c r="A86" i="42"/>
  <c r="A87" i="42"/>
  <c r="A88" i="42"/>
  <c r="A89" i="42"/>
  <c r="A90" i="42"/>
  <c r="A91" i="42"/>
  <c r="A92" i="42"/>
  <c r="A93" i="42"/>
  <c r="A94" i="42"/>
  <c r="A95" i="42"/>
  <c r="A96" i="42"/>
  <c r="A97" i="42"/>
  <c r="O16" i="19"/>
  <c r="O17" i="19"/>
  <c r="O18" i="19"/>
  <c r="O19" i="19"/>
  <c r="O20" i="19"/>
  <c r="O21" i="19"/>
  <c r="O22" i="19"/>
  <c r="O23" i="19"/>
  <c r="O24" i="19"/>
  <c r="O25" i="19"/>
  <c r="O26" i="19"/>
  <c r="O27" i="19"/>
  <c r="O28" i="19"/>
  <c r="O29" i="19"/>
  <c r="O30" i="19"/>
  <c r="O31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O58" i="19"/>
  <c r="O59" i="19"/>
  <c r="O60" i="19"/>
  <c r="O61" i="19"/>
  <c r="O62" i="19"/>
  <c r="O63" i="19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93" i="19"/>
  <c r="O94" i="19"/>
  <c r="O95" i="19"/>
  <c r="O96" i="19"/>
  <c r="O97" i="19"/>
  <c r="O98" i="19"/>
  <c r="O99" i="19"/>
  <c r="O100" i="19"/>
  <c r="O101" i="19"/>
  <c r="O102" i="19"/>
  <c r="O103" i="19"/>
  <c r="O104" i="19"/>
  <c r="O105" i="19"/>
  <c r="O106" i="19"/>
  <c r="O107" i="19"/>
  <c r="O108" i="19"/>
  <c r="O109" i="19"/>
  <c r="O110" i="19"/>
  <c r="O111" i="19"/>
  <c r="O112" i="19"/>
  <c r="O113" i="19"/>
  <c r="O114" i="19"/>
  <c r="O115" i="19"/>
  <c r="O116" i="19"/>
  <c r="O117" i="19"/>
  <c r="O118" i="19"/>
  <c r="O119" i="19"/>
  <c r="O120" i="19"/>
  <c r="T14" i="3"/>
  <c r="T15" i="3"/>
  <c r="I4" i="3"/>
  <c r="B15" i="3"/>
  <c r="O117" i="25" l="1"/>
  <c r="O116" i="25"/>
  <c r="O115" i="25"/>
  <c r="O114" i="25"/>
  <c r="O113" i="25"/>
  <c r="O120" i="25"/>
  <c r="O119" i="25"/>
  <c r="O118" i="25"/>
  <c r="O112" i="25"/>
  <c r="O111" i="25"/>
  <c r="O110" i="25"/>
  <c r="O109" i="25"/>
  <c r="O108" i="25"/>
  <c r="O107" i="25"/>
  <c r="O106" i="25"/>
  <c r="O105" i="25"/>
  <c r="O104" i="25"/>
  <c r="N32" i="25"/>
  <c r="P32" i="25" s="1"/>
  <c r="O32" i="19"/>
  <c r="N30" i="25"/>
  <c r="N116" i="25"/>
  <c r="N112" i="25"/>
  <c r="N108" i="25"/>
  <c r="N104" i="25"/>
  <c r="N100" i="25"/>
  <c r="N96" i="25"/>
  <c r="N94" i="25"/>
  <c r="N92" i="25"/>
  <c r="N90" i="25"/>
  <c r="N87" i="25"/>
  <c r="N83" i="25"/>
  <c r="N79" i="25"/>
  <c r="N75" i="25"/>
  <c r="N71" i="25"/>
  <c r="N67" i="25"/>
  <c r="N63" i="25"/>
  <c r="N59" i="25"/>
  <c r="N55" i="25"/>
  <c r="N118" i="25"/>
  <c r="N114" i="25"/>
  <c r="N110" i="25"/>
  <c r="N106" i="25"/>
  <c r="N102" i="25"/>
  <c r="N98" i="25"/>
  <c r="N88" i="25"/>
  <c r="N84" i="25"/>
  <c r="N80" i="25"/>
  <c r="N76" i="25"/>
  <c r="N72" i="25"/>
  <c r="N68" i="25"/>
  <c r="N64" i="25"/>
  <c r="N60" i="25"/>
  <c r="N56" i="25"/>
  <c r="N52" i="25"/>
  <c r="N50" i="25"/>
  <c r="N48" i="25"/>
  <c r="N46" i="25"/>
  <c r="N44" i="25"/>
  <c r="N42" i="25"/>
  <c r="N40" i="25"/>
  <c r="N38" i="25"/>
  <c r="N36" i="25"/>
  <c r="N34" i="25"/>
  <c r="N29" i="25"/>
  <c r="N119" i="25"/>
  <c r="N115" i="25"/>
  <c r="N111" i="25"/>
  <c r="N107" i="25"/>
  <c r="N103" i="25"/>
  <c r="N99" i="25"/>
  <c r="N95" i="25"/>
  <c r="N93" i="25"/>
  <c r="N91" i="25"/>
  <c r="N89" i="25"/>
  <c r="N85" i="25"/>
  <c r="N81" i="25"/>
  <c r="N77" i="25"/>
  <c r="N73" i="25"/>
  <c r="N69" i="25"/>
  <c r="N65" i="25"/>
  <c r="N61" i="25"/>
  <c r="N57" i="25"/>
  <c r="N53" i="25"/>
  <c r="N31" i="25"/>
  <c r="N120" i="25"/>
  <c r="N117" i="25"/>
  <c r="N113" i="25"/>
  <c r="N109" i="25"/>
  <c r="N105" i="25"/>
  <c r="N101" i="25"/>
  <c r="N97" i="25"/>
  <c r="N86" i="25"/>
  <c r="N82" i="25"/>
  <c r="N78" i="25"/>
  <c r="N74" i="25"/>
  <c r="N70" i="25"/>
  <c r="N66" i="25"/>
  <c r="N62" i="25"/>
  <c r="N58" i="25"/>
  <c r="N54" i="25"/>
  <c r="N51" i="25"/>
  <c r="N49" i="25"/>
  <c r="N47" i="25"/>
  <c r="N45" i="25"/>
  <c r="N43" i="25"/>
  <c r="N41" i="25"/>
  <c r="N39" i="25"/>
  <c r="N37" i="25"/>
  <c r="N35" i="25"/>
  <c r="N33" i="25"/>
  <c r="N28" i="25"/>
  <c r="N27" i="25"/>
  <c r="N25" i="25"/>
  <c r="N23" i="25"/>
  <c r="N20" i="25"/>
  <c r="N18" i="25"/>
  <c r="N16" i="25"/>
  <c r="N21" i="25"/>
  <c r="N26" i="25"/>
  <c r="N24" i="25"/>
  <c r="N22" i="25"/>
  <c r="N19" i="25"/>
  <c r="N17" i="25"/>
  <c r="V12" i="19"/>
  <c r="D32" i="25" l="1"/>
  <c r="D19" i="25"/>
  <c r="P19" i="25"/>
  <c r="D23" i="25"/>
  <c r="P23" i="25"/>
  <c r="D78" i="25"/>
  <c r="P78" i="25"/>
  <c r="D22" i="25"/>
  <c r="P22" i="25"/>
  <c r="D16" i="25"/>
  <c r="P16" i="25"/>
  <c r="D25" i="25"/>
  <c r="P25" i="25"/>
  <c r="D35" i="25"/>
  <c r="P35" i="25"/>
  <c r="D43" i="25"/>
  <c r="P43" i="25"/>
  <c r="D51" i="25"/>
  <c r="P51" i="25"/>
  <c r="D66" i="25"/>
  <c r="P66" i="25"/>
  <c r="D82" i="25"/>
  <c r="P82" i="25"/>
  <c r="D105" i="25"/>
  <c r="P105" i="25"/>
  <c r="D120" i="25"/>
  <c r="P120" i="25"/>
  <c r="D61" i="25"/>
  <c r="P61" i="25"/>
  <c r="D77" i="25"/>
  <c r="P77" i="25"/>
  <c r="D91" i="25"/>
  <c r="P91" i="25"/>
  <c r="D103" i="25"/>
  <c r="P103" i="25"/>
  <c r="D119" i="25"/>
  <c r="P119" i="25"/>
  <c r="D38" i="25"/>
  <c r="P38" i="25"/>
  <c r="D46" i="25"/>
  <c r="P46" i="25"/>
  <c r="D56" i="25"/>
  <c r="P56" i="25"/>
  <c r="D72" i="25"/>
  <c r="P72" i="25"/>
  <c r="D88" i="25"/>
  <c r="P88" i="25"/>
  <c r="D110" i="25"/>
  <c r="P110" i="25"/>
  <c r="D59" i="25"/>
  <c r="P59" i="25"/>
  <c r="D75" i="25"/>
  <c r="P75" i="25"/>
  <c r="D90" i="25"/>
  <c r="P90" i="25"/>
  <c r="D100" i="25"/>
  <c r="P100" i="25"/>
  <c r="D116" i="25"/>
  <c r="P116" i="25"/>
  <c r="D33" i="25"/>
  <c r="P33" i="25"/>
  <c r="D62" i="25"/>
  <c r="P62" i="25"/>
  <c r="D117" i="25"/>
  <c r="P117" i="25"/>
  <c r="D73" i="25"/>
  <c r="P73" i="25"/>
  <c r="D89" i="25"/>
  <c r="P89" i="25"/>
  <c r="D99" i="25"/>
  <c r="P99" i="25"/>
  <c r="D115" i="25"/>
  <c r="P115" i="25"/>
  <c r="D36" i="25"/>
  <c r="P36" i="25"/>
  <c r="D44" i="25"/>
  <c r="P44" i="25"/>
  <c r="D52" i="25"/>
  <c r="P52" i="25"/>
  <c r="D68" i="25"/>
  <c r="P68" i="25"/>
  <c r="D84" i="25"/>
  <c r="P84" i="25"/>
  <c r="D106" i="25"/>
  <c r="P106" i="25"/>
  <c r="D55" i="25"/>
  <c r="P55" i="25"/>
  <c r="D71" i="25"/>
  <c r="P71" i="25"/>
  <c r="D87" i="25"/>
  <c r="P87" i="25"/>
  <c r="D96" i="25"/>
  <c r="P96" i="25"/>
  <c r="D112" i="25"/>
  <c r="P112" i="25"/>
  <c r="D21" i="25"/>
  <c r="P21" i="25"/>
  <c r="D49" i="25"/>
  <c r="P49" i="25"/>
  <c r="D57" i="25"/>
  <c r="P57" i="25"/>
  <c r="D17" i="25"/>
  <c r="P17" i="25"/>
  <c r="D26" i="25"/>
  <c r="P26" i="25"/>
  <c r="D20" i="25"/>
  <c r="P20" i="25"/>
  <c r="D28" i="25"/>
  <c r="P28" i="25"/>
  <c r="D39" i="25"/>
  <c r="P39" i="25"/>
  <c r="D47" i="25"/>
  <c r="P47" i="25"/>
  <c r="D58" i="25"/>
  <c r="P58" i="25"/>
  <c r="D74" i="25"/>
  <c r="P74" i="25"/>
  <c r="D97" i="25"/>
  <c r="P97" i="25"/>
  <c r="D113" i="25"/>
  <c r="P113" i="25"/>
  <c r="D53" i="25"/>
  <c r="P53" i="25"/>
  <c r="D69" i="25"/>
  <c r="P69" i="25"/>
  <c r="D85" i="25"/>
  <c r="P85" i="25"/>
  <c r="D95" i="25"/>
  <c r="P95" i="25"/>
  <c r="D111" i="25"/>
  <c r="P111" i="25"/>
  <c r="D34" i="25"/>
  <c r="P34" i="25"/>
  <c r="D42" i="25"/>
  <c r="P42" i="25"/>
  <c r="D50" i="25"/>
  <c r="P50" i="25"/>
  <c r="D64" i="25"/>
  <c r="P64" i="25"/>
  <c r="D80" i="25"/>
  <c r="P80" i="25"/>
  <c r="D102" i="25"/>
  <c r="P102" i="25"/>
  <c r="D118" i="25"/>
  <c r="P118" i="25"/>
  <c r="D67" i="25"/>
  <c r="P67" i="25"/>
  <c r="D83" i="25"/>
  <c r="P83" i="25"/>
  <c r="D94" i="25"/>
  <c r="P94" i="25"/>
  <c r="D108" i="25"/>
  <c r="P108" i="25"/>
  <c r="D30" i="25"/>
  <c r="P30" i="25"/>
  <c r="D41" i="25"/>
  <c r="P41" i="25"/>
  <c r="D101" i="25"/>
  <c r="P101" i="25"/>
  <c r="D24" i="25"/>
  <c r="P24" i="25"/>
  <c r="D18" i="25"/>
  <c r="P18" i="25"/>
  <c r="D27" i="25"/>
  <c r="P27" i="25"/>
  <c r="D37" i="25"/>
  <c r="P37" i="25"/>
  <c r="D45" i="25"/>
  <c r="P45" i="25"/>
  <c r="D54" i="25"/>
  <c r="P54" i="25"/>
  <c r="D70" i="25"/>
  <c r="P70" i="25"/>
  <c r="D86" i="25"/>
  <c r="P86" i="25"/>
  <c r="D109" i="25"/>
  <c r="P109" i="25"/>
  <c r="D31" i="25"/>
  <c r="P31" i="25"/>
  <c r="D65" i="25"/>
  <c r="P65" i="25"/>
  <c r="D81" i="25"/>
  <c r="P81" i="25"/>
  <c r="D93" i="25"/>
  <c r="P93" i="25"/>
  <c r="D107" i="25"/>
  <c r="P107" i="25"/>
  <c r="D29" i="25"/>
  <c r="P29" i="25"/>
  <c r="D40" i="25"/>
  <c r="P40" i="25"/>
  <c r="D48" i="25"/>
  <c r="P48" i="25"/>
  <c r="D60" i="25"/>
  <c r="P60" i="25"/>
  <c r="D76" i="25"/>
  <c r="P76" i="25"/>
  <c r="D98" i="25"/>
  <c r="P98" i="25"/>
  <c r="D114" i="25"/>
  <c r="P114" i="25"/>
  <c r="D63" i="25"/>
  <c r="P63" i="25"/>
  <c r="D79" i="25"/>
  <c r="P79" i="25"/>
  <c r="D92" i="25"/>
  <c r="P92" i="25"/>
  <c r="D104" i="25"/>
  <c r="P104" i="25"/>
  <c r="A30" i="42"/>
  <c r="AD3" i="2" l="1"/>
  <c r="AD4" i="2"/>
  <c r="AD5" i="2"/>
  <c r="AD6" i="2"/>
  <c r="AD2" i="2"/>
  <c r="AC3" i="2"/>
  <c r="AC4" i="2"/>
  <c r="AC5" i="2"/>
  <c r="AC6" i="2"/>
  <c r="AC2" i="2"/>
  <c r="AB3" i="2"/>
  <c r="AB4" i="2"/>
  <c r="AB5" i="2"/>
  <c r="AB6" i="2"/>
  <c r="AB7" i="2"/>
  <c r="AB8" i="2"/>
  <c r="AB9" i="2"/>
  <c r="AB2" i="2"/>
  <c r="AA3" i="2"/>
  <c r="AA4" i="2"/>
  <c r="AA5" i="2"/>
  <c r="AA6" i="2"/>
  <c r="AA7" i="2"/>
  <c r="AA8" i="2"/>
  <c r="AA9" i="2"/>
  <c r="AA2" i="2"/>
  <c r="Z3" i="2"/>
  <c r="Z4" i="2"/>
  <c r="Z5" i="2"/>
  <c r="Z6" i="2"/>
  <c r="Z7" i="2"/>
  <c r="Z8" i="2"/>
  <c r="Z9" i="2"/>
  <c r="Z2" i="2"/>
  <c r="Y3" i="2"/>
  <c r="Y4" i="2"/>
  <c r="Y5" i="2"/>
  <c r="Y6" i="2"/>
  <c r="Y7" i="2"/>
  <c r="Y8" i="2"/>
  <c r="Y9" i="2"/>
  <c r="Y2" i="2"/>
  <c r="X3" i="2"/>
  <c r="X4" i="2"/>
  <c r="X5" i="2"/>
  <c r="X6" i="2"/>
  <c r="X7" i="2"/>
  <c r="X8" i="2"/>
  <c r="X9" i="2"/>
  <c r="X2" i="2"/>
  <c r="W3" i="2"/>
  <c r="W4" i="2"/>
  <c r="W5" i="2"/>
  <c r="W6" i="2"/>
  <c r="W7" i="2"/>
  <c r="W8" i="2"/>
  <c r="W9" i="2"/>
  <c r="W2" i="2"/>
  <c r="U7" i="2"/>
  <c r="V8" i="2"/>
  <c r="V9" i="2"/>
  <c r="V3" i="2"/>
  <c r="V4" i="2"/>
  <c r="V5" i="2"/>
  <c r="V6" i="2"/>
  <c r="V7" i="2"/>
  <c r="V2" i="2"/>
  <c r="U3" i="2"/>
  <c r="U4" i="2"/>
  <c r="U5" i="2"/>
  <c r="U6" i="2"/>
  <c r="U2" i="2"/>
  <c r="T2" i="2"/>
  <c r="S2" i="2"/>
  <c r="R2" i="2"/>
  <c r="Q2" i="2"/>
  <c r="P2" i="2"/>
  <c r="O2" i="2"/>
  <c r="N2" i="2"/>
  <c r="L2" i="2"/>
  <c r="J2" i="2"/>
  <c r="I2" i="2"/>
  <c r="H2" i="2"/>
  <c r="G2" i="2"/>
  <c r="F2" i="2"/>
  <c r="D2" i="2"/>
  <c r="C2" i="2"/>
  <c r="B2" i="2"/>
  <c r="A2" i="2"/>
  <c r="B9" i="42" l="1"/>
  <c r="E1" i="14"/>
  <c r="F1" i="14"/>
  <c r="G1" i="14"/>
  <c r="H1" i="14"/>
  <c r="I1" i="14"/>
  <c r="J1" i="14"/>
  <c r="G13" i="12" s="1"/>
  <c r="K1" i="14"/>
  <c r="L13" i="12" s="1"/>
  <c r="L1" i="14"/>
  <c r="M1" i="14"/>
  <c r="C13" i="12" s="1"/>
  <c r="N1" i="14"/>
  <c r="O1" i="14"/>
  <c r="B1" i="14"/>
  <c r="E2" i="14"/>
  <c r="F2" i="14"/>
  <c r="G2" i="14"/>
  <c r="H2" i="14"/>
  <c r="I2" i="14"/>
  <c r="J2" i="14"/>
  <c r="G14" i="12" s="1"/>
  <c r="K2" i="14"/>
  <c r="L14" i="12" s="1"/>
  <c r="L2" i="14"/>
  <c r="M2" i="14"/>
  <c r="C14" i="12" s="1"/>
  <c r="N2" i="14"/>
  <c r="O2" i="14"/>
  <c r="B2" i="14"/>
  <c r="D2" i="13"/>
  <c r="C13" i="11" s="1"/>
  <c r="E2" i="13"/>
  <c r="F2" i="13"/>
  <c r="G2" i="13"/>
  <c r="H2" i="13"/>
  <c r="C12" i="12" s="1"/>
  <c r="I2" i="13"/>
  <c r="H12" i="12" s="1"/>
  <c r="J2" i="13"/>
  <c r="I12" i="12" s="1"/>
  <c r="K2" i="13"/>
  <c r="L12" i="12" s="1"/>
  <c r="L2" i="13"/>
  <c r="M2" i="13"/>
  <c r="N2" i="13"/>
  <c r="O2" i="13"/>
  <c r="P2" i="13"/>
  <c r="Q2" i="13"/>
  <c r="R2" i="13"/>
  <c r="S2" i="13"/>
  <c r="T2" i="13"/>
  <c r="E1" i="13"/>
  <c r="R9" i="3" s="1"/>
  <c r="F1" i="13"/>
  <c r="G1" i="13"/>
  <c r="H1" i="13"/>
  <c r="I1" i="13"/>
  <c r="H11" i="12" s="1"/>
  <c r="J1" i="13"/>
  <c r="I11" i="12" s="1"/>
  <c r="K1" i="13"/>
  <c r="L11" i="12" s="1"/>
  <c r="L1" i="13"/>
  <c r="M1" i="13"/>
  <c r="N1" i="13"/>
  <c r="O1" i="13"/>
  <c r="P1" i="13"/>
  <c r="Q1" i="13"/>
  <c r="R1" i="13"/>
  <c r="S1" i="13"/>
  <c r="T1" i="13"/>
  <c r="B1" i="13"/>
  <c r="D4" i="13"/>
  <c r="C4" i="13"/>
  <c r="B2" i="13"/>
  <c r="C4" i="14"/>
  <c r="D4" i="14"/>
  <c r="C1" i="14"/>
  <c r="D366" i="37"/>
  <c r="D367" i="37"/>
  <c r="E365" i="37"/>
  <c r="C365" i="37"/>
  <c r="D365" i="37" s="1"/>
  <c r="E364" i="37"/>
  <c r="C364" i="37"/>
  <c r="D364" i="37" s="1"/>
  <c r="E363" i="37"/>
  <c r="C363" i="37"/>
  <c r="D363" i="37" s="1"/>
  <c r="E362" i="37"/>
  <c r="C362" i="37"/>
  <c r="D362" i="37" s="1"/>
  <c r="E361" i="37"/>
  <c r="C361" i="37"/>
  <c r="D361" i="37" s="1"/>
  <c r="E360" i="37"/>
  <c r="C360" i="37"/>
  <c r="D360" i="37" s="1"/>
  <c r="E359" i="37"/>
  <c r="C359" i="37"/>
  <c r="D359" i="37" s="1"/>
  <c r="E358" i="37"/>
  <c r="C358" i="37"/>
  <c r="D358" i="37" s="1"/>
  <c r="E357" i="37"/>
  <c r="C357" i="37"/>
  <c r="D357" i="37" s="1"/>
  <c r="E356" i="37"/>
  <c r="C356" i="37"/>
  <c r="D356" i="37" s="1"/>
  <c r="E355" i="37"/>
  <c r="C355" i="37"/>
  <c r="D355" i="37" s="1"/>
  <c r="O354" i="37"/>
  <c r="E354" i="37"/>
  <c r="C354" i="37"/>
  <c r="D354" i="37" s="1"/>
  <c r="O353" i="37"/>
  <c r="E353" i="37"/>
  <c r="C353" i="37"/>
  <c r="D353" i="37" s="1"/>
  <c r="O352" i="37"/>
  <c r="E352" i="37"/>
  <c r="C352" i="37"/>
  <c r="D352" i="37" s="1"/>
  <c r="O351" i="37"/>
  <c r="E351" i="37"/>
  <c r="C351" i="37"/>
  <c r="D351" i="37" s="1"/>
  <c r="E350" i="37"/>
  <c r="C350" i="37"/>
  <c r="D350" i="37" s="1"/>
  <c r="C349" i="37"/>
  <c r="E348" i="37"/>
  <c r="C348" i="37"/>
  <c r="D348" i="37" s="1"/>
  <c r="O347" i="37"/>
  <c r="E347" i="37"/>
  <c r="C347" i="37"/>
  <c r="D347" i="37" s="1"/>
  <c r="O346" i="37"/>
  <c r="E346" i="37"/>
  <c r="C346" i="37"/>
  <c r="D346" i="37" s="1"/>
  <c r="O345" i="37"/>
  <c r="E345" i="37"/>
  <c r="C345" i="37"/>
  <c r="D345" i="37" s="1"/>
  <c r="O344" i="37"/>
  <c r="E344" i="37"/>
  <c r="C344" i="37"/>
  <c r="D344" i="37" s="1"/>
  <c r="O343" i="37"/>
  <c r="E343" i="37"/>
  <c r="C343" i="37"/>
  <c r="D343" i="37" s="1"/>
  <c r="E342" i="37"/>
  <c r="C342" i="37"/>
  <c r="D342" i="37" s="1"/>
  <c r="U342" i="37" s="1"/>
  <c r="O341" i="37"/>
  <c r="E341" i="37"/>
  <c r="C341" i="37"/>
  <c r="D341" i="37" s="1"/>
  <c r="O340" i="37"/>
  <c r="E340" i="37"/>
  <c r="C340" i="37"/>
  <c r="D340" i="37" s="1"/>
  <c r="O339" i="37"/>
  <c r="E339" i="37"/>
  <c r="C339" i="37"/>
  <c r="D339" i="37" s="1"/>
  <c r="O338" i="37"/>
  <c r="E338" i="37"/>
  <c r="C338" i="37"/>
  <c r="D338" i="37" s="1"/>
  <c r="O337" i="37"/>
  <c r="E337" i="37"/>
  <c r="C337" i="37"/>
  <c r="D337" i="37" s="1"/>
  <c r="E336" i="37"/>
  <c r="C336" i="37"/>
  <c r="D336" i="37" s="1"/>
  <c r="C335" i="37"/>
  <c r="E334" i="37"/>
  <c r="C334" i="37"/>
  <c r="D334" i="37" s="1"/>
  <c r="E333" i="37"/>
  <c r="C333" i="37"/>
  <c r="D333" i="37" s="1"/>
  <c r="E332" i="37"/>
  <c r="C332" i="37"/>
  <c r="D332" i="37" s="1"/>
  <c r="E331" i="37"/>
  <c r="C331" i="37"/>
  <c r="D331" i="37" s="1"/>
  <c r="E330" i="37"/>
  <c r="C330" i="37"/>
  <c r="D330" i="37" s="1"/>
  <c r="E329" i="37"/>
  <c r="C329" i="37"/>
  <c r="D329" i="37" s="1"/>
  <c r="E328" i="37"/>
  <c r="C328" i="37"/>
  <c r="D328" i="37" s="1"/>
  <c r="E327" i="37"/>
  <c r="C327" i="37"/>
  <c r="D327" i="37" s="1"/>
  <c r="E326" i="37"/>
  <c r="C326" i="37"/>
  <c r="D326" i="37" s="1"/>
  <c r="E325" i="37"/>
  <c r="C325" i="37"/>
  <c r="D325" i="37" s="1"/>
  <c r="E324" i="37"/>
  <c r="C324" i="37"/>
  <c r="D324" i="37" s="1"/>
  <c r="O323" i="37"/>
  <c r="E323" i="37"/>
  <c r="C323" i="37"/>
  <c r="D323" i="37" s="1"/>
  <c r="O322" i="37"/>
  <c r="E322" i="37"/>
  <c r="C322" i="37"/>
  <c r="D322" i="37" s="1"/>
  <c r="O321" i="37"/>
  <c r="E321" i="37"/>
  <c r="C321" i="37"/>
  <c r="D321" i="37" s="1"/>
  <c r="O320" i="37"/>
  <c r="E320" i="37"/>
  <c r="C320" i="37"/>
  <c r="D320" i="37" s="1"/>
  <c r="E319" i="37"/>
  <c r="C319" i="37"/>
  <c r="D319" i="37" s="1"/>
  <c r="C318" i="37"/>
  <c r="E317" i="37"/>
  <c r="C317" i="37"/>
  <c r="D317" i="37" s="1"/>
  <c r="O316" i="37"/>
  <c r="E316" i="37"/>
  <c r="C316" i="37"/>
  <c r="D316" i="37" s="1"/>
  <c r="O315" i="37"/>
  <c r="E315" i="37"/>
  <c r="C315" i="37"/>
  <c r="D315" i="37" s="1"/>
  <c r="O314" i="37"/>
  <c r="E314" i="37"/>
  <c r="C314" i="37"/>
  <c r="D314" i="37" s="1"/>
  <c r="O313" i="37"/>
  <c r="E313" i="37"/>
  <c r="C313" i="37"/>
  <c r="D313" i="37" s="1"/>
  <c r="O312" i="37"/>
  <c r="E312" i="37"/>
  <c r="C312" i="37"/>
  <c r="D312" i="37" s="1"/>
  <c r="O311" i="37"/>
  <c r="E311" i="37"/>
  <c r="C311" i="37"/>
  <c r="D311" i="37" s="1"/>
  <c r="O310" i="37"/>
  <c r="E310" i="37"/>
  <c r="C310" i="37"/>
  <c r="D310" i="37" s="1"/>
  <c r="O309" i="37"/>
  <c r="E309" i="37"/>
  <c r="C309" i="37"/>
  <c r="D309" i="37" s="1"/>
  <c r="O308" i="37"/>
  <c r="E308" i="37"/>
  <c r="C308" i="37"/>
  <c r="D308" i="37" s="1"/>
  <c r="O307" i="37"/>
  <c r="E307" i="37"/>
  <c r="C307" i="37"/>
  <c r="D307" i="37" s="1"/>
  <c r="O306" i="37"/>
  <c r="E306" i="37"/>
  <c r="C306" i="37"/>
  <c r="D306" i="37" s="1"/>
  <c r="E305" i="37"/>
  <c r="C305" i="37"/>
  <c r="D305" i="37" s="1"/>
  <c r="U305" i="37" s="1"/>
  <c r="C304" i="37"/>
  <c r="E303" i="37"/>
  <c r="C303" i="37"/>
  <c r="O302" i="37"/>
  <c r="E302" i="37"/>
  <c r="C302" i="37"/>
  <c r="O301" i="37"/>
  <c r="E301" i="37"/>
  <c r="C301" i="37"/>
  <c r="D301" i="37" s="1"/>
  <c r="E300" i="37"/>
  <c r="C300" i="37"/>
  <c r="D300" i="37" s="1"/>
  <c r="E299" i="37"/>
  <c r="C299" i="37"/>
  <c r="D299" i="37" s="1"/>
  <c r="E298" i="37"/>
  <c r="C298" i="37"/>
  <c r="D298" i="37" s="1"/>
  <c r="O297" i="37"/>
  <c r="E297" i="37"/>
  <c r="C297" i="37"/>
  <c r="D297" i="37" s="1"/>
  <c r="O296" i="37"/>
  <c r="E296" i="37"/>
  <c r="C296" i="37"/>
  <c r="D296" i="37" s="1"/>
  <c r="E295" i="37"/>
  <c r="C295" i="37"/>
  <c r="D295" i="37" s="1"/>
  <c r="E294" i="37"/>
  <c r="C294" i="37"/>
  <c r="D294" i="37" s="1"/>
  <c r="E293" i="37"/>
  <c r="C293" i="37"/>
  <c r="D293" i="37" s="1"/>
  <c r="O292" i="37"/>
  <c r="E292" i="37"/>
  <c r="C292" i="37"/>
  <c r="D292" i="37" s="1"/>
  <c r="O291" i="37"/>
  <c r="E291" i="37"/>
  <c r="C291" i="37"/>
  <c r="D291" i="37" s="1"/>
  <c r="O290" i="37"/>
  <c r="E290" i="37"/>
  <c r="C290" i="37"/>
  <c r="D290" i="37" s="1"/>
  <c r="O289" i="37"/>
  <c r="E289" i="37"/>
  <c r="C289" i="37"/>
  <c r="D289" i="37" s="1"/>
  <c r="E288" i="37"/>
  <c r="C288" i="37"/>
  <c r="D288" i="37" s="1"/>
  <c r="C287" i="37"/>
  <c r="E286" i="37"/>
  <c r="C286" i="37"/>
  <c r="D286" i="37" s="1"/>
  <c r="U286" i="37" s="1"/>
  <c r="O285" i="37"/>
  <c r="E285" i="37"/>
  <c r="C285" i="37"/>
  <c r="D285" i="37" s="1"/>
  <c r="O284" i="37"/>
  <c r="E284" i="37"/>
  <c r="C284" i="37"/>
  <c r="D284" i="37" s="1"/>
  <c r="U284" i="37" s="1"/>
  <c r="O283" i="37"/>
  <c r="E283" i="37"/>
  <c r="C283" i="37"/>
  <c r="D283" i="37" s="1"/>
  <c r="O282" i="37"/>
  <c r="E282" i="37"/>
  <c r="C282" i="37"/>
  <c r="D282" i="37" s="1"/>
  <c r="E281" i="37"/>
  <c r="C281" i="37"/>
  <c r="D281" i="37" s="1"/>
  <c r="C280" i="37"/>
  <c r="E279" i="37"/>
  <c r="C279" i="37"/>
  <c r="D279" i="37" s="1"/>
  <c r="E278" i="37"/>
  <c r="C278" i="37"/>
  <c r="D278" i="37" s="1"/>
  <c r="E277" i="37"/>
  <c r="C277" i="37"/>
  <c r="D277" i="37" s="1"/>
  <c r="O276" i="37"/>
  <c r="E276" i="37"/>
  <c r="C276" i="37"/>
  <c r="D276" i="37" s="1"/>
  <c r="O275" i="37"/>
  <c r="E275" i="37"/>
  <c r="C275" i="37"/>
  <c r="D275" i="37" s="1"/>
  <c r="E274" i="37"/>
  <c r="C274" i="37"/>
  <c r="D274" i="37" s="1"/>
  <c r="E273" i="37"/>
  <c r="C273" i="37"/>
  <c r="D273" i="37" s="1"/>
  <c r="E272" i="37"/>
  <c r="C272" i="37"/>
  <c r="D272" i="37" s="1"/>
  <c r="E271" i="37"/>
  <c r="C271" i="37"/>
  <c r="D271" i="37" s="1"/>
  <c r="E270" i="37"/>
  <c r="C270" i="37"/>
  <c r="D270" i="37" s="1"/>
  <c r="O269" i="37"/>
  <c r="E269" i="37"/>
  <c r="C269" i="37"/>
  <c r="D269" i="37" s="1"/>
  <c r="U269" i="37" s="1"/>
  <c r="O268" i="37"/>
  <c r="E268" i="37"/>
  <c r="C268" i="37"/>
  <c r="E267" i="37"/>
  <c r="C267" i="37"/>
  <c r="D267" i="37" s="1"/>
  <c r="E266" i="37"/>
  <c r="C266" i="37"/>
  <c r="D266" i="37" s="1"/>
  <c r="E265" i="37"/>
  <c r="C265" i="37"/>
  <c r="D265" i="37" s="1"/>
  <c r="E264" i="37"/>
  <c r="C264" i="37"/>
  <c r="D264" i="37" s="1"/>
  <c r="E263" i="37"/>
  <c r="C263" i="37"/>
  <c r="D263" i="37" s="1"/>
  <c r="O262" i="37"/>
  <c r="E262" i="37"/>
  <c r="C262" i="37"/>
  <c r="D262" i="37" s="1"/>
  <c r="O261" i="37"/>
  <c r="E261" i="37"/>
  <c r="C261" i="37"/>
  <c r="O260" i="37"/>
  <c r="E260" i="37"/>
  <c r="C260" i="37"/>
  <c r="D260" i="37" s="1"/>
  <c r="E259" i="37"/>
  <c r="C259" i="37"/>
  <c r="D259" i="37" s="1"/>
  <c r="E258" i="37"/>
  <c r="C258" i="37"/>
  <c r="D258" i="37" s="1"/>
  <c r="C257" i="37"/>
  <c r="E256" i="37"/>
  <c r="C256" i="37"/>
  <c r="D256" i="37" s="1"/>
  <c r="E255" i="37"/>
  <c r="C255" i="37"/>
  <c r="D255" i="37" s="1"/>
  <c r="E254" i="37"/>
  <c r="C254" i="37"/>
  <c r="D254" i="37" s="1"/>
  <c r="O253" i="37"/>
  <c r="E253" i="37"/>
  <c r="C253" i="37"/>
  <c r="D253" i="37" s="1"/>
  <c r="O252" i="37"/>
  <c r="E252" i="37"/>
  <c r="C252" i="37"/>
  <c r="D252" i="37" s="1"/>
  <c r="O251" i="37"/>
  <c r="E251" i="37"/>
  <c r="C251" i="37"/>
  <c r="D251" i="37" s="1"/>
  <c r="O250" i="37"/>
  <c r="E250" i="37"/>
  <c r="C250" i="37"/>
  <c r="D250" i="37" s="1"/>
  <c r="E249" i="37"/>
  <c r="C249" i="37"/>
  <c r="D249" i="37" s="1"/>
  <c r="C248" i="37"/>
  <c r="E247" i="37"/>
  <c r="C247" i="37"/>
  <c r="D247" i="37" s="1"/>
  <c r="O246" i="37"/>
  <c r="E246" i="37"/>
  <c r="C246" i="37"/>
  <c r="D246" i="37" s="1"/>
  <c r="O245" i="37"/>
  <c r="E245" i="37"/>
  <c r="C245" i="37"/>
  <c r="D245" i="37" s="1"/>
  <c r="E244" i="37"/>
  <c r="C244" i="37"/>
  <c r="D244" i="37" s="1"/>
  <c r="E243" i="37"/>
  <c r="C243" i="37"/>
  <c r="D243" i="37" s="1"/>
  <c r="E242" i="37"/>
  <c r="C242" i="37"/>
  <c r="D242" i="37" s="1"/>
  <c r="O241" i="37"/>
  <c r="E241" i="37"/>
  <c r="C241" i="37"/>
  <c r="D241" i="37" s="1"/>
  <c r="O240" i="37"/>
  <c r="E240" i="37"/>
  <c r="C240" i="37"/>
  <c r="E239" i="37"/>
  <c r="C239" i="37"/>
  <c r="D239" i="37" s="1"/>
  <c r="E238" i="37"/>
  <c r="C238" i="37"/>
  <c r="D238" i="37" s="1"/>
  <c r="E237" i="37"/>
  <c r="C237" i="37"/>
  <c r="D237" i="37" s="1"/>
  <c r="O236" i="37"/>
  <c r="E236" i="37"/>
  <c r="C236" i="37"/>
  <c r="D236" i="37" s="1"/>
  <c r="O235" i="37"/>
  <c r="E235" i="37"/>
  <c r="C235" i="37"/>
  <c r="D235" i="37" s="1"/>
  <c r="O234" i="37"/>
  <c r="E234" i="37"/>
  <c r="C234" i="37"/>
  <c r="D234" i="37" s="1"/>
  <c r="O233" i="37"/>
  <c r="E233" i="37"/>
  <c r="C233" i="37"/>
  <c r="D233" i="37" s="1"/>
  <c r="E232" i="37"/>
  <c r="C232" i="37"/>
  <c r="D232" i="37" s="1"/>
  <c r="C231" i="37"/>
  <c r="E230" i="37"/>
  <c r="C230" i="37"/>
  <c r="D230" i="37" s="1"/>
  <c r="O229" i="37"/>
  <c r="E229" i="37"/>
  <c r="C229" i="37"/>
  <c r="D229" i="37" s="1"/>
  <c r="O228" i="37"/>
  <c r="E228" i="37"/>
  <c r="C228" i="37"/>
  <c r="D228" i="37" s="1"/>
  <c r="O227" i="37"/>
  <c r="E227" i="37"/>
  <c r="C227" i="37"/>
  <c r="D227" i="37" s="1"/>
  <c r="O226" i="37"/>
  <c r="E226" i="37"/>
  <c r="C226" i="37"/>
  <c r="D226" i="37" s="1"/>
  <c r="E225" i="37"/>
  <c r="C225" i="37"/>
  <c r="D225" i="37" s="1"/>
  <c r="C224" i="37"/>
  <c r="E223" i="37"/>
  <c r="C223" i="37"/>
  <c r="D223" i="37" s="1"/>
  <c r="E222" i="37"/>
  <c r="C222" i="37"/>
  <c r="D222" i="37" s="1"/>
  <c r="E221" i="37"/>
  <c r="C221" i="37"/>
  <c r="D221" i="37" s="1"/>
  <c r="O220" i="37"/>
  <c r="E220" i="37"/>
  <c r="C220" i="37"/>
  <c r="D220" i="37" s="1"/>
  <c r="O219" i="37"/>
  <c r="E219" i="37"/>
  <c r="C219" i="37"/>
  <c r="D219" i="37" s="1"/>
  <c r="E218" i="37"/>
  <c r="C218" i="37"/>
  <c r="D218" i="37" s="1"/>
  <c r="E217" i="37"/>
  <c r="C217" i="37"/>
  <c r="D217" i="37" s="1"/>
  <c r="E216" i="37"/>
  <c r="C216" i="37"/>
  <c r="D216" i="37" s="1"/>
  <c r="E215" i="37"/>
  <c r="C215" i="37"/>
  <c r="D215" i="37" s="1"/>
  <c r="E214" i="37"/>
  <c r="C214" i="37"/>
  <c r="D214" i="37" s="1"/>
  <c r="O213" i="37"/>
  <c r="E213" i="37"/>
  <c r="C213" i="37"/>
  <c r="D213" i="37" s="1"/>
  <c r="O212" i="37"/>
  <c r="E212" i="37"/>
  <c r="C212" i="37"/>
  <c r="E211" i="37"/>
  <c r="C211" i="37"/>
  <c r="D211" i="37" s="1"/>
  <c r="E210" i="37"/>
  <c r="C210" i="37"/>
  <c r="D210" i="37" s="1"/>
  <c r="E209" i="37"/>
  <c r="C209" i="37"/>
  <c r="D209" i="37" s="1"/>
  <c r="E208" i="37"/>
  <c r="C208" i="37"/>
  <c r="D208" i="37" s="1"/>
  <c r="E207" i="37"/>
  <c r="C207" i="37"/>
  <c r="D207" i="37" s="1"/>
  <c r="O206" i="37"/>
  <c r="E206" i="37"/>
  <c r="C206" i="37"/>
  <c r="D206" i="37" s="1"/>
  <c r="O205" i="37"/>
  <c r="E205" i="37"/>
  <c r="C205" i="37"/>
  <c r="D205" i="37" s="1"/>
  <c r="O204" i="37"/>
  <c r="E204" i="37"/>
  <c r="C204" i="37"/>
  <c r="D204" i="37" s="1"/>
  <c r="O203" i="37"/>
  <c r="E203" i="37"/>
  <c r="C203" i="37"/>
  <c r="D203" i="37" s="1"/>
  <c r="E202" i="37"/>
  <c r="C202" i="37"/>
  <c r="D202" i="37" s="1"/>
  <c r="C201" i="37"/>
  <c r="E200" i="37"/>
  <c r="C200" i="37"/>
  <c r="D200" i="37" s="1"/>
  <c r="E199" i="37"/>
  <c r="C199" i="37"/>
  <c r="D199" i="37" s="1"/>
  <c r="E198" i="37"/>
  <c r="C198" i="37"/>
  <c r="D198" i="37" s="1"/>
  <c r="O197" i="37"/>
  <c r="E197" i="37"/>
  <c r="C197" i="37"/>
  <c r="D197" i="37" s="1"/>
  <c r="O196" i="37"/>
  <c r="E196" i="37"/>
  <c r="C196" i="37"/>
  <c r="D196" i="37" s="1"/>
  <c r="O195" i="37"/>
  <c r="E195" i="37"/>
  <c r="C195" i="37"/>
  <c r="D195" i="37" s="1"/>
  <c r="O194" i="37"/>
  <c r="E194" i="37"/>
  <c r="C194" i="37"/>
  <c r="D194" i="37" s="1"/>
  <c r="E193" i="37"/>
  <c r="C193" i="37"/>
  <c r="D193" i="37" s="1"/>
  <c r="C192" i="37"/>
  <c r="U206" i="37" l="1"/>
  <c r="U213" i="37"/>
  <c r="U292" i="37"/>
  <c r="U297" i="37"/>
  <c r="C19" i="11"/>
  <c r="C11" i="12"/>
  <c r="C1" i="13"/>
  <c r="R10" i="3"/>
  <c r="U205" i="37"/>
  <c r="U245" i="37"/>
  <c r="U301" i="37"/>
  <c r="U309" i="37"/>
  <c r="R12" i="3"/>
  <c r="C20" i="11"/>
  <c r="R11" i="3"/>
  <c r="C21" i="11"/>
  <c r="S11" i="3"/>
  <c r="T10" i="42"/>
  <c r="N9" i="42"/>
  <c r="L9" i="3"/>
  <c r="U241" i="37"/>
  <c r="A17" i="10"/>
  <c r="D1" i="13"/>
  <c r="U262" i="37"/>
  <c r="U276" i="37"/>
  <c r="D1" i="14"/>
  <c r="C15" i="11"/>
  <c r="U235" i="37"/>
  <c r="U225" i="37"/>
  <c r="U249" i="37"/>
  <c r="U255" i="37"/>
  <c r="C17" i="11"/>
  <c r="C22" i="11"/>
  <c r="U229" i="37"/>
  <c r="U246" i="37"/>
  <c r="U253" i="37"/>
  <c r="D268" i="37"/>
  <c r="U268" i="37" s="1"/>
  <c r="D302" i="37"/>
  <c r="U302" i="37" s="1"/>
  <c r="C2" i="14"/>
  <c r="C16" i="11"/>
  <c r="C14" i="11"/>
  <c r="A14" i="10" s="1"/>
  <c r="U219" i="37"/>
  <c r="U285" i="37"/>
  <c r="U296" i="37"/>
  <c r="D2" i="14"/>
  <c r="U236" i="37"/>
  <c r="D212" i="37"/>
  <c r="D240" i="37"/>
  <c r="U240" i="37" s="1"/>
  <c r="D261" i="37"/>
  <c r="U261" i="37" s="1"/>
  <c r="U252" i="37"/>
  <c r="U275" i="37"/>
  <c r="U193" i="37"/>
  <c r="U207" i="37"/>
  <c r="U195" i="37"/>
  <c r="U199" i="37"/>
  <c r="U196" i="37"/>
  <c r="U209" i="37"/>
  <c r="U197" i="37"/>
  <c r="U203" i="37"/>
  <c r="U211" i="37"/>
  <c r="U217" i="37"/>
  <c r="U258" i="37"/>
  <c r="U263" i="37"/>
  <c r="U265" i="37"/>
  <c r="U267" i="37"/>
  <c r="U278" i="37"/>
  <c r="U198" i="37"/>
  <c r="U200" i="37"/>
  <c r="U216" i="37"/>
  <c r="U222" i="37"/>
  <c r="U226" i="37"/>
  <c r="U271" i="37"/>
  <c r="U273" i="37"/>
  <c r="U202" i="37"/>
  <c r="U208" i="37"/>
  <c r="U210" i="37"/>
  <c r="U220" i="37"/>
  <c r="U215" i="37"/>
  <c r="U221" i="37"/>
  <c r="U227" i="37"/>
  <c r="U259" i="37"/>
  <c r="U264" i="37"/>
  <c r="U266" i="37"/>
  <c r="U277" i="37"/>
  <c r="U279" i="37"/>
  <c r="U228" i="37"/>
  <c r="U214" i="37"/>
  <c r="U218" i="37"/>
  <c r="U223" i="37"/>
  <c r="U230" i="37"/>
  <c r="U251" i="37"/>
  <c r="U270" i="37"/>
  <c r="U272" i="37"/>
  <c r="U274" i="37"/>
  <c r="U283" i="37"/>
  <c r="U194" i="37"/>
  <c r="U204" i="37"/>
  <c r="U311" i="37"/>
  <c r="U337" i="37"/>
  <c r="U339" i="37"/>
  <c r="U348" i="37"/>
  <c r="U254" i="37"/>
  <c r="U256" i="37"/>
  <c r="U281" i="37"/>
  <c r="U291" i="37"/>
  <c r="U307" i="37"/>
  <c r="U306" i="37"/>
  <c r="U317" i="37"/>
  <c r="U341" i="37"/>
  <c r="U282" i="37"/>
  <c r="U314" i="37"/>
  <c r="U336" i="37"/>
  <c r="U308" i="37"/>
  <c r="U310" i="37"/>
  <c r="U315" i="37"/>
  <c r="U344" i="37"/>
  <c r="U346" i="37"/>
  <c r="U250" i="37"/>
  <c r="U260" i="37"/>
  <c r="U313" i="37"/>
  <c r="U340" i="37"/>
  <c r="U343" i="37"/>
  <c r="U347" i="37"/>
  <c r="U312" i="37"/>
  <c r="U316" i="37"/>
  <c r="U338" i="37"/>
  <c r="U345" i="37"/>
  <c r="B15" i="10" l="1"/>
  <c r="A15" i="10"/>
  <c r="U11" i="42"/>
  <c r="T11" i="42"/>
  <c r="C18" i="11"/>
  <c r="A13" i="10" s="1"/>
  <c r="M2" i="20"/>
  <c r="T12" i="42"/>
  <c r="A16" i="10"/>
  <c r="N12" i="42"/>
  <c r="L12" i="3"/>
  <c r="N11" i="42"/>
  <c r="L11" i="3"/>
  <c r="O11" i="42"/>
  <c r="M11" i="3"/>
  <c r="N10" i="42"/>
  <c r="L10" i="3"/>
  <c r="U212" i="37"/>
  <c r="T9" i="42" l="1"/>
  <c r="J4" i="42" l="1"/>
  <c r="U19" i="42"/>
  <c r="G12" i="42"/>
  <c r="G11" i="42"/>
  <c r="G10" i="42"/>
  <c r="G9" i="42"/>
  <c r="B12" i="42"/>
  <c r="C11" i="42"/>
  <c r="B11" i="42"/>
  <c r="B10" i="42"/>
  <c r="S1" i="42"/>
  <c r="T20" i="3" l="1"/>
  <c r="S20" i="3"/>
  <c r="S21" i="3"/>
  <c r="T21" i="3"/>
  <c r="T17" i="3"/>
  <c r="B19" i="10" l="1"/>
  <c r="G1" i="10"/>
  <c r="F57" i="10"/>
  <c r="F59" i="10"/>
  <c r="F58" i="10"/>
  <c r="E78" i="37"/>
  <c r="C78" i="37"/>
  <c r="D78" i="37" s="1"/>
  <c r="E12" i="37"/>
  <c r="C12" i="37"/>
  <c r="D12" i="37" s="1"/>
  <c r="E33" i="37"/>
  <c r="C33" i="37"/>
  <c r="D33" i="37" s="1"/>
  <c r="H27" i="3"/>
  <c r="G27" i="3"/>
  <c r="O12" i="37" l="1"/>
  <c r="T12" i="37" s="1"/>
  <c r="O33" i="37"/>
  <c r="T33" i="37" s="1"/>
  <c r="O78" i="37"/>
  <c r="T78" i="37" s="1"/>
  <c r="F19" i="3"/>
  <c r="B16" i="3"/>
  <c r="F18" i="3"/>
  <c r="F20" i="3"/>
  <c r="F17" i="3"/>
  <c r="F16" i="3"/>
  <c r="R33" i="37" l="1"/>
  <c r="R12" i="37"/>
  <c r="R78" i="37"/>
  <c r="C16" i="3"/>
  <c r="B17" i="3"/>
  <c r="C17" i="3" l="1"/>
  <c r="B20" i="3"/>
  <c r="D18" i="3"/>
  <c r="B18" i="3"/>
  <c r="D17" i="3"/>
  <c r="B19" i="3"/>
  <c r="D19" i="3"/>
  <c r="D20" i="3"/>
  <c r="F15" i="3"/>
  <c r="E17" i="3" l="1"/>
  <c r="E19" i="3"/>
  <c r="E20" i="3"/>
  <c r="E18" i="3"/>
  <c r="C20" i="3"/>
  <c r="C19" i="3"/>
  <c r="C18" i="3"/>
  <c r="C15" i="3" l="1"/>
  <c r="R1" i="3" l="1"/>
  <c r="J15" i="19"/>
  <c r="D10" i="18"/>
  <c r="C68" i="11"/>
  <c r="C37" i="10"/>
  <c r="A33" i="10"/>
  <c r="A29" i="10"/>
  <c r="A12" i="10"/>
  <c r="K39" i="10"/>
  <c r="K30" i="10"/>
  <c r="K31" i="10"/>
  <c r="K32" i="10"/>
  <c r="K33" i="10"/>
  <c r="K29" i="10"/>
  <c r="K35" i="10"/>
  <c r="T51" i="37"/>
  <c r="T13" i="34"/>
  <c r="U13" i="34"/>
  <c r="T74" i="37"/>
  <c r="C86" i="37"/>
  <c r="D86" i="37" s="1"/>
  <c r="E86" i="37"/>
  <c r="C87" i="37"/>
  <c r="D87" i="37" s="1"/>
  <c r="E87" i="37"/>
  <c r="C88" i="37"/>
  <c r="D88" i="37" s="1"/>
  <c r="E88" i="37"/>
  <c r="C89" i="37"/>
  <c r="D89" i="37" s="1"/>
  <c r="E89" i="37"/>
  <c r="C90" i="37"/>
  <c r="D90" i="37" s="1"/>
  <c r="E90" i="37"/>
  <c r="C91" i="37"/>
  <c r="D91" i="37" s="1"/>
  <c r="E91" i="37"/>
  <c r="C92" i="37"/>
  <c r="D92" i="37" s="1"/>
  <c r="E92" i="37"/>
  <c r="C93" i="37"/>
  <c r="D93" i="37" s="1"/>
  <c r="E93" i="37"/>
  <c r="C94" i="37"/>
  <c r="D94" i="37" s="1"/>
  <c r="E94" i="37"/>
  <c r="C95" i="37"/>
  <c r="D95" i="37" s="1"/>
  <c r="E95" i="37"/>
  <c r="C96" i="37"/>
  <c r="D96" i="37" s="1"/>
  <c r="E96" i="37"/>
  <c r="C97" i="37"/>
  <c r="D97" i="37" s="1"/>
  <c r="E97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C62" i="37"/>
  <c r="D62" i="37" s="1"/>
  <c r="C63" i="37"/>
  <c r="D63" i="37" s="1"/>
  <c r="C64" i="37"/>
  <c r="D64" i="37" s="1"/>
  <c r="C65" i="37"/>
  <c r="D65" i="37" s="1"/>
  <c r="C66" i="37"/>
  <c r="D66" i="37" s="1"/>
  <c r="C67" i="37"/>
  <c r="D67" i="37" s="1"/>
  <c r="C68" i="37"/>
  <c r="D68" i="37" s="1"/>
  <c r="C69" i="37"/>
  <c r="D69" i="37" s="1"/>
  <c r="C70" i="37"/>
  <c r="D70" i="37" s="1"/>
  <c r="C71" i="37"/>
  <c r="D71" i="37" s="1"/>
  <c r="C72" i="37"/>
  <c r="D72" i="37" s="1"/>
  <c r="C73" i="37"/>
  <c r="D73" i="37" s="1"/>
  <c r="O71" i="37" l="1"/>
  <c r="R71" i="37" s="1"/>
  <c r="O67" i="37"/>
  <c r="R67" i="37" s="1"/>
  <c r="O63" i="37"/>
  <c r="T63" i="37" s="1"/>
  <c r="O96" i="37"/>
  <c r="R96" i="37" s="1"/>
  <c r="O94" i="37"/>
  <c r="T94" i="37" s="1"/>
  <c r="O92" i="37"/>
  <c r="R92" i="37" s="1"/>
  <c r="O90" i="37"/>
  <c r="R90" i="37" s="1"/>
  <c r="O88" i="37"/>
  <c r="R88" i="37" s="1"/>
  <c r="O86" i="37"/>
  <c r="R86" i="37" s="1"/>
  <c r="O72" i="37"/>
  <c r="T72" i="37" s="1"/>
  <c r="O68" i="37"/>
  <c r="T68" i="37" s="1"/>
  <c r="O64" i="37"/>
  <c r="T64" i="37" s="1"/>
  <c r="O73" i="37"/>
  <c r="R73" i="37" s="1"/>
  <c r="O69" i="37"/>
  <c r="R69" i="37" s="1"/>
  <c r="O65" i="37"/>
  <c r="R65" i="37" s="1"/>
  <c r="O97" i="37"/>
  <c r="R97" i="37" s="1"/>
  <c r="O95" i="37"/>
  <c r="T95" i="37" s="1"/>
  <c r="O93" i="37"/>
  <c r="T93" i="37" s="1"/>
  <c r="O91" i="37"/>
  <c r="R91" i="37" s="1"/>
  <c r="O89" i="37"/>
  <c r="R89" i="37" s="1"/>
  <c r="O87" i="37"/>
  <c r="T87" i="37" s="1"/>
  <c r="O70" i="37"/>
  <c r="R70" i="37" s="1"/>
  <c r="O66" i="37"/>
  <c r="R66" i="37" s="1"/>
  <c r="O62" i="37"/>
  <c r="R62" i="37" s="1"/>
  <c r="N15" i="25"/>
  <c r="T91" i="37"/>
  <c r="K41" i="10"/>
  <c r="G57" i="10"/>
  <c r="T97" i="37"/>
  <c r="T90" i="37"/>
  <c r="T96" i="37"/>
  <c r="T92" i="37"/>
  <c r="T88" i="37"/>
  <c r="G38" i="10"/>
  <c r="T71" i="37"/>
  <c r="T70" i="37"/>
  <c r="T69" i="37"/>
  <c r="T67" i="37"/>
  <c r="T66" i="37"/>
  <c r="T65" i="37"/>
  <c r="CJ10" i="25"/>
  <c r="CT10" i="25"/>
  <c r="C104" i="21"/>
  <c r="S16" i="20"/>
  <c r="S17" i="20"/>
  <c r="B96" i="21"/>
  <c r="C96" i="21"/>
  <c r="F37" i="10"/>
  <c r="F36" i="10"/>
  <c r="B21" i="10"/>
  <c r="B55" i="10"/>
  <c r="C6" i="11"/>
  <c r="C5" i="11"/>
  <c r="T86" i="37" l="1"/>
  <c r="T73" i="37"/>
  <c r="T62" i="37"/>
  <c r="R87" i="37"/>
  <c r="R95" i="37"/>
  <c r="R68" i="37"/>
  <c r="R94" i="37"/>
  <c r="R63" i="37"/>
  <c r="T89" i="37"/>
  <c r="R93" i="37"/>
  <c r="R64" i="37"/>
  <c r="R72" i="37"/>
  <c r="D15" i="25"/>
  <c r="P15" i="25"/>
  <c r="C19" i="10"/>
  <c r="G59" i="10"/>
  <c r="C12" i="11" l="1"/>
  <c r="C11" i="11"/>
  <c r="F10" i="10" s="1"/>
  <c r="C10" i="11"/>
  <c r="E10" i="10" s="1"/>
  <c r="C9" i="11"/>
  <c r="E9" i="10" s="1"/>
  <c r="C8" i="11"/>
  <c r="C7" i="11"/>
  <c r="V9" i="3" l="1"/>
  <c r="V12" i="3" s="1"/>
  <c r="E11" i="10"/>
  <c r="E16" i="25"/>
  <c r="C16" i="25" s="1"/>
  <c r="A16" i="25" s="1"/>
  <c r="F16" i="25"/>
  <c r="G16" i="25"/>
  <c r="H16" i="25"/>
  <c r="E17" i="25"/>
  <c r="C17" i="25" s="1"/>
  <c r="A17" i="25" s="1"/>
  <c r="F17" i="25"/>
  <c r="G17" i="25"/>
  <c r="H17" i="25"/>
  <c r="E18" i="25"/>
  <c r="C18" i="25" s="1"/>
  <c r="A18" i="25" s="1"/>
  <c r="F18" i="25"/>
  <c r="G18" i="25"/>
  <c r="H18" i="25"/>
  <c r="E19" i="25"/>
  <c r="C19" i="25" s="1"/>
  <c r="A19" i="25" s="1"/>
  <c r="F19" i="25"/>
  <c r="G19" i="25"/>
  <c r="H19" i="25"/>
  <c r="E20" i="25"/>
  <c r="C20" i="25" s="1"/>
  <c r="A20" i="25" s="1"/>
  <c r="F20" i="25"/>
  <c r="G20" i="25"/>
  <c r="H20" i="25"/>
  <c r="E21" i="25"/>
  <c r="C21" i="25" s="1"/>
  <c r="A21" i="25" s="1"/>
  <c r="F21" i="25"/>
  <c r="G21" i="25"/>
  <c r="H21" i="25"/>
  <c r="E22" i="25"/>
  <c r="C22" i="25" s="1"/>
  <c r="A22" i="25" s="1"/>
  <c r="F22" i="25"/>
  <c r="G22" i="25"/>
  <c r="H22" i="25"/>
  <c r="E23" i="25"/>
  <c r="C23" i="25" s="1"/>
  <c r="A23" i="25" s="1"/>
  <c r="F23" i="25"/>
  <c r="G23" i="25"/>
  <c r="H23" i="25"/>
  <c r="E24" i="25"/>
  <c r="C24" i="25" s="1"/>
  <c r="A24" i="25" s="1"/>
  <c r="F24" i="25"/>
  <c r="G24" i="25"/>
  <c r="H24" i="25"/>
  <c r="E25" i="25"/>
  <c r="C25" i="25" s="1"/>
  <c r="A25" i="25" s="1"/>
  <c r="F25" i="25"/>
  <c r="G25" i="25"/>
  <c r="H25" i="25"/>
  <c r="E26" i="25"/>
  <c r="C26" i="25" s="1"/>
  <c r="A26" i="25" s="1"/>
  <c r="F26" i="25"/>
  <c r="G26" i="25"/>
  <c r="H26" i="25"/>
  <c r="E27" i="25"/>
  <c r="C27" i="25" s="1"/>
  <c r="A27" i="25" s="1"/>
  <c r="F27" i="25"/>
  <c r="G27" i="25"/>
  <c r="H27" i="25"/>
  <c r="E28" i="25"/>
  <c r="C28" i="25" s="1"/>
  <c r="A28" i="25" s="1"/>
  <c r="F28" i="25"/>
  <c r="G28" i="25"/>
  <c r="H28" i="25"/>
  <c r="E29" i="25"/>
  <c r="C29" i="25" s="1"/>
  <c r="A29" i="25" s="1"/>
  <c r="F29" i="25"/>
  <c r="G29" i="25"/>
  <c r="H29" i="25"/>
  <c r="E30" i="25"/>
  <c r="C30" i="25" s="1"/>
  <c r="A30" i="25" s="1"/>
  <c r="F30" i="25"/>
  <c r="G30" i="25"/>
  <c r="H30" i="25"/>
  <c r="E31" i="25"/>
  <c r="C31" i="25" s="1"/>
  <c r="A31" i="25" s="1"/>
  <c r="F31" i="25"/>
  <c r="G31" i="25"/>
  <c r="H31" i="25"/>
  <c r="E32" i="25"/>
  <c r="C32" i="25" s="1"/>
  <c r="A32" i="25" s="1"/>
  <c r="F32" i="25"/>
  <c r="G32" i="25"/>
  <c r="H32" i="25"/>
  <c r="E33" i="25"/>
  <c r="C33" i="25" s="1"/>
  <c r="A33" i="25" s="1"/>
  <c r="F33" i="25"/>
  <c r="G33" i="25"/>
  <c r="H33" i="25"/>
  <c r="E34" i="25"/>
  <c r="C34" i="25" s="1"/>
  <c r="A34" i="25" s="1"/>
  <c r="F34" i="25"/>
  <c r="G34" i="25"/>
  <c r="H34" i="25"/>
  <c r="E35" i="25"/>
  <c r="C35" i="25" s="1"/>
  <c r="A35" i="25" s="1"/>
  <c r="F35" i="25"/>
  <c r="G35" i="25"/>
  <c r="H35" i="25"/>
  <c r="E36" i="25"/>
  <c r="C36" i="25" s="1"/>
  <c r="A36" i="25" s="1"/>
  <c r="F36" i="25"/>
  <c r="G36" i="25"/>
  <c r="H36" i="25"/>
  <c r="E37" i="25"/>
  <c r="C37" i="25" s="1"/>
  <c r="A37" i="25" s="1"/>
  <c r="F37" i="25"/>
  <c r="G37" i="25"/>
  <c r="H37" i="25"/>
  <c r="E38" i="25"/>
  <c r="C38" i="25" s="1"/>
  <c r="A38" i="25" s="1"/>
  <c r="F38" i="25"/>
  <c r="G38" i="25"/>
  <c r="H38" i="25"/>
  <c r="E39" i="25"/>
  <c r="C39" i="25" s="1"/>
  <c r="A39" i="25" s="1"/>
  <c r="F39" i="25"/>
  <c r="G39" i="25"/>
  <c r="H39" i="25"/>
  <c r="E40" i="25"/>
  <c r="C40" i="25" s="1"/>
  <c r="A40" i="25" s="1"/>
  <c r="F40" i="25"/>
  <c r="G40" i="25"/>
  <c r="H40" i="25"/>
  <c r="E41" i="25"/>
  <c r="C41" i="25" s="1"/>
  <c r="A41" i="25" s="1"/>
  <c r="F41" i="25"/>
  <c r="G41" i="25"/>
  <c r="H41" i="25"/>
  <c r="E42" i="25"/>
  <c r="C42" i="25" s="1"/>
  <c r="A42" i="25" s="1"/>
  <c r="F42" i="25"/>
  <c r="G42" i="25"/>
  <c r="H42" i="25"/>
  <c r="E43" i="25"/>
  <c r="C43" i="25" s="1"/>
  <c r="A43" i="25" s="1"/>
  <c r="F43" i="25"/>
  <c r="G43" i="25"/>
  <c r="H43" i="25"/>
  <c r="E44" i="25"/>
  <c r="C44" i="25" s="1"/>
  <c r="A44" i="25" s="1"/>
  <c r="F44" i="25"/>
  <c r="G44" i="25"/>
  <c r="H44" i="25"/>
  <c r="E45" i="25"/>
  <c r="C45" i="25" s="1"/>
  <c r="A45" i="25" s="1"/>
  <c r="F45" i="25"/>
  <c r="G45" i="25"/>
  <c r="H45" i="25"/>
  <c r="E46" i="25"/>
  <c r="C46" i="25" s="1"/>
  <c r="A46" i="25" s="1"/>
  <c r="F46" i="25"/>
  <c r="G46" i="25"/>
  <c r="H46" i="25"/>
  <c r="E47" i="25"/>
  <c r="C47" i="25" s="1"/>
  <c r="A47" i="25" s="1"/>
  <c r="F47" i="25"/>
  <c r="G47" i="25"/>
  <c r="H47" i="25"/>
  <c r="E48" i="25"/>
  <c r="C48" i="25" s="1"/>
  <c r="A48" i="25" s="1"/>
  <c r="F48" i="25"/>
  <c r="G48" i="25"/>
  <c r="H48" i="25"/>
  <c r="E49" i="25"/>
  <c r="C49" i="25" s="1"/>
  <c r="A49" i="25" s="1"/>
  <c r="F49" i="25"/>
  <c r="G49" i="25"/>
  <c r="H49" i="25"/>
  <c r="E50" i="25"/>
  <c r="C50" i="25" s="1"/>
  <c r="A50" i="25" s="1"/>
  <c r="F50" i="25"/>
  <c r="G50" i="25"/>
  <c r="H50" i="25"/>
  <c r="E51" i="25"/>
  <c r="C51" i="25" s="1"/>
  <c r="A51" i="25" s="1"/>
  <c r="F51" i="25"/>
  <c r="G51" i="25"/>
  <c r="H51" i="25"/>
  <c r="E52" i="25"/>
  <c r="C52" i="25" s="1"/>
  <c r="A52" i="25" s="1"/>
  <c r="F52" i="25"/>
  <c r="G52" i="25"/>
  <c r="H52" i="25"/>
  <c r="E53" i="25"/>
  <c r="C53" i="25" s="1"/>
  <c r="A53" i="25" s="1"/>
  <c r="F53" i="25"/>
  <c r="G53" i="25"/>
  <c r="H53" i="25"/>
  <c r="E54" i="25"/>
  <c r="C54" i="25" s="1"/>
  <c r="A54" i="25" s="1"/>
  <c r="F54" i="25"/>
  <c r="G54" i="25"/>
  <c r="H54" i="25"/>
  <c r="E55" i="25"/>
  <c r="C55" i="25" s="1"/>
  <c r="A55" i="25" s="1"/>
  <c r="F55" i="25"/>
  <c r="G55" i="25"/>
  <c r="H55" i="25"/>
  <c r="E56" i="25"/>
  <c r="C56" i="25" s="1"/>
  <c r="A56" i="25" s="1"/>
  <c r="F56" i="25"/>
  <c r="G56" i="25"/>
  <c r="H56" i="25"/>
  <c r="E57" i="25"/>
  <c r="C57" i="25" s="1"/>
  <c r="A57" i="25" s="1"/>
  <c r="F57" i="25"/>
  <c r="G57" i="25"/>
  <c r="H57" i="25"/>
  <c r="E58" i="25"/>
  <c r="C58" i="25" s="1"/>
  <c r="A58" i="25" s="1"/>
  <c r="F58" i="25"/>
  <c r="G58" i="25"/>
  <c r="H58" i="25"/>
  <c r="E59" i="25"/>
  <c r="C59" i="25" s="1"/>
  <c r="A59" i="25" s="1"/>
  <c r="F59" i="25"/>
  <c r="G59" i="25"/>
  <c r="H59" i="25"/>
  <c r="E60" i="25"/>
  <c r="C60" i="25" s="1"/>
  <c r="A60" i="25" s="1"/>
  <c r="F60" i="25"/>
  <c r="G60" i="25"/>
  <c r="H60" i="25"/>
  <c r="E61" i="25"/>
  <c r="C61" i="25" s="1"/>
  <c r="A61" i="25" s="1"/>
  <c r="F61" i="25"/>
  <c r="G61" i="25"/>
  <c r="H61" i="25"/>
  <c r="E62" i="25"/>
  <c r="C62" i="25" s="1"/>
  <c r="A62" i="25" s="1"/>
  <c r="F62" i="25"/>
  <c r="G62" i="25"/>
  <c r="H62" i="25"/>
  <c r="E63" i="25"/>
  <c r="C63" i="25" s="1"/>
  <c r="A63" i="25" s="1"/>
  <c r="F63" i="25"/>
  <c r="G63" i="25"/>
  <c r="H63" i="25"/>
  <c r="E64" i="25"/>
  <c r="C64" i="25" s="1"/>
  <c r="A64" i="25" s="1"/>
  <c r="F64" i="25"/>
  <c r="G64" i="25"/>
  <c r="H64" i="25"/>
  <c r="E65" i="25"/>
  <c r="C65" i="25" s="1"/>
  <c r="A65" i="25" s="1"/>
  <c r="F65" i="25"/>
  <c r="G65" i="25"/>
  <c r="H65" i="25"/>
  <c r="E66" i="25"/>
  <c r="C66" i="25" s="1"/>
  <c r="A66" i="25" s="1"/>
  <c r="F66" i="25"/>
  <c r="G66" i="25"/>
  <c r="H66" i="25"/>
  <c r="E67" i="25"/>
  <c r="C67" i="25" s="1"/>
  <c r="A67" i="25" s="1"/>
  <c r="F67" i="25"/>
  <c r="G67" i="25"/>
  <c r="H67" i="25"/>
  <c r="E68" i="25"/>
  <c r="C68" i="25" s="1"/>
  <c r="A68" i="25" s="1"/>
  <c r="F68" i="25"/>
  <c r="G68" i="25"/>
  <c r="H68" i="25"/>
  <c r="E69" i="25"/>
  <c r="C69" i="25" s="1"/>
  <c r="A69" i="25" s="1"/>
  <c r="F69" i="25"/>
  <c r="G69" i="25"/>
  <c r="H69" i="25"/>
  <c r="E70" i="25"/>
  <c r="C70" i="25" s="1"/>
  <c r="A70" i="25" s="1"/>
  <c r="F70" i="25"/>
  <c r="G70" i="25"/>
  <c r="H70" i="25"/>
  <c r="E71" i="25"/>
  <c r="C71" i="25" s="1"/>
  <c r="A71" i="25" s="1"/>
  <c r="F71" i="25"/>
  <c r="G71" i="25"/>
  <c r="H71" i="25"/>
  <c r="E72" i="25"/>
  <c r="C72" i="25" s="1"/>
  <c r="A72" i="25" s="1"/>
  <c r="F72" i="25"/>
  <c r="G72" i="25"/>
  <c r="H72" i="25"/>
  <c r="E73" i="25"/>
  <c r="C73" i="25" s="1"/>
  <c r="A73" i="25" s="1"/>
  <c r="F73" i="25"/>
  <c r="G73" i="25"/>
  <c r="H73" i="25"/>
  <c r="E74" i="25"/>
  <c r="C74" i="25" s="1"/>
  <c r="A74" i="25" s="1"/>
  <c r="F74" i="25"/>
  <c r="G74" i="25"/>
  <c r="H74" i="25"/>
  <c r="E75" i="25"/>
  <c r="C75" i="25" s="1"/>
  <c r="A75" i="25" s="1"/>
  <c r="F75" i="25"/>
  <c r="G75" i="25"/>
  <c r="H75" i="25"/>
  <c r="E76" i="25"/>
  <c r="C76" i="25" s="1"/>
  <c r="A76" i="25" s="1"/>
  <c r="F76" i="25"/>
  <c r="G76" i="25"/>
  <c r="H76" i="25"/>
  <c r="E77" i="25"/>
  <c r="C77" i="25" s="1"/>
  <c r="A77" i="25" s="1"/>
  <c r="F77" i="25"/>
  <c r="G77" i="25"/>
  <c r="H77" i="25"/>
  <c r="E78" i="25"/>
  <c r="C78" i="25" s="1"/>
  <c r="A78" i="25" s="1"/>
  <c r="F78" i="25"/>
  <c r="G78" i="25"/>
  <c r="H78" i="25"/>
  <c r="E79" i="25"/>
  <c r="C79" i="25" s="1"/>
  <c r="A79" i="25" s="1"/>
  <c r="F79" i="25"/>
  <c r="G79" i="25"/>
  <c r="H79" i="25"/>
  <c r="E80" i="25"/>
  <c r="C80" i="25" s="1"/>
  <c r="A80" i="25" s="1"/>
  <c r="F80" i="25"/>
  <c r="G80" i="25"/>
  <c r="H80" i="25"/>
  <c r="E81" i="25"/>
  <c r="C81" i="25" s="1"/>
  <c r="A81" i="25" s="1"/>
  <c r="F81" i="25"/>
  <c r="G81" i="25"/>
  <c r="H81" i="25"/>
  <c r="E82" i="25"/>
  <c r="C82" i="25" s="1"/>
  <c r="A82" i="25" s="1"/>
  <c r="F82" i="25"/>
  <c r="G82" i="25"/>
  <c r="H82" i="25"/>
  <c r="E83" i="25"/>
  <c r="C83" i="25" s="1"/>
  <c r="A83" i="25" s="1"/>
  <c r="F83" i="25"/>
  <c r="G83" i="25"/>
  <c r="H83" i="25"/>
  <c r="E84" i="25"/>
  <c r="C84" i="25" s="1"/>
  <c r="A84" i="25" s="1"/>
  <c r="F84" i="25"/>
  <c r="G84" i="25"/>
  <c r="H84" i="25"/>
  <c r="E85" i="25"/>
  <c r="C85" i="25" s="1"/>
  <c r="A85" i="25" s="1"/>
  <c r="F85" i="25"/>
  <c r="G85" i="25"/>
  <c r="H85" i="25"/>
  <c r="E86" i="25"/>
  <c r="C86" i="25" s="1"/>
  <c r="A86" i="25" s="1"/>
  <c r="F86" i="25"/>
  <c r="G86" i="25"/>
  <c r="H86" i="25"/>
  <c r="E87" i="25"/>
  <c r="C87" i="25" s="1"/>
  <c r="A87" i="25" s="1"/>
  <c r="F87" i="25"/>
  <c r="G87" i="25"/>
  <c r="H87" i="25"/>
  <c r="E88" i="25"/>
  <c r="C88" i="25" s="1"/>
  <c r="A88" i="25" s="1"/>
  <c r="F88" i="25"/>
  <c r="G88" i="25"/>
  <c r="H88" i="25"/>
  <c r="E89" i="25"/>
  <c r="C89" i="25" s="1"/>
  <c r="A89" i="25" s="1"/>
  <c r="F89" i="25"/>
  <c r="G89" i="25"/>
  <c r="H89" i="25"/>
  <c r="E90" i="25"/>
  <c r="C90" i="25" s="1"/>
  <c r="A90" i="25" s="1"/>
  <c r="F90" i="25"/>
  <c r="G90" i="25"/>
  <c r="H90" i="25"/>
  <c r="E91" i="25"/>
  <c r="C91" i="25" s="1"/>
  <c r="A91" i="25" s="1"/>
  <c r="F91" i="25"/>
  <c r="G91" i="25"/>
  <c r="H91" i="25"/>
  <c r="E92" i="25"/>
  <c r="C92" i="25" s="1"/>
  <c r="A92" i="25" s="1"/>
  <c r="F92" i="25"/>
  <c r="G92" i="25"/>
  <c r="H92" i="25"/>
  <c r="E93" i="25"/>
  <c r="C93" i="25" s="1"/>
  <c r="A93" i="25" s="1"/>
  <c r="F93" i="25"/>
  <c r="G93" i="25"/>
  <c r="H93" i="25"/>
  <c r="E94" i="25"/>
  <c r="C94" i="25" s="1"/>
  <c r="A94" i="25" s="1"/>
  <c r="F94" i="25"/>
  <c r="G94" i="25"/>
  <c r="H94" i="25"/>
  <c r="E95" i="25"/>
  <c r="C95" i="25" s="1"/>
  <c r="A95" i="25" s="1"/>
  <c r="F95" i="25"/>
  <c r="G95" i="25"/>
  <c r="H95" i="25"/>
  <c r="E96" i="25"/>
  <c r="C96" i="25" s="1"/>
  <c r="A96" i="25" s="1"/>
  <c r="F96" i="25"/>
  <c r="G96" i="25"/>
  <c r="H96" i="25"/>
  <c r="E97" i="25"/>
  <c r="C97" i="25" s="1"/>
  <c r="A97" i="25" s="1"/>
  <c r="F97" i="25"/>
  <c r="G97" i="25"/>
  <c r="H97" i="25"/>
  <c r="E98" i="25"/>
  <c r="C98" i="25" s="1"/>
  <c r="A98" i="25" s="1"/>
  <c r="F98" i="25"/>
  <c r="G98" i="25"/>
  <c r="H98" i="25"/>
  <c r="E99" i="25"/>
  <c r="C99" i="25" s="1"/>
  <c r="A99" i="25" s="1"/>
  <c r="F99" i="25"/>
  <c r="G99" i="25"/>
  <c r="H99" i="25"/>
  <c r="E100" i="25"/>
  <c r="C100" i="25" s="1"/>
  <c r="A100" i="25" s="1"/>
  <c r="F100" i="25"/>
  <c r="G100" i="25"/>
  <c r="H100" i="25"/>
  <c r="E101" i="25"/>
  <c r="C101" i="25" s="1"/>
  <c r="A101" i="25" s="1"/>
  <c r="F101" i="25"/>
  <c r="G101" i="25"/>
  <c r="H101" i="25"/>
  <c r="E102" i="25"/>
  <c r="C102" i="25" s="1"/>
  <c r="A102" i="25" s="1"/>
  <c r="F102" i="25"/>
  <c r="G102" i="25"/>
  <c r="H102" i="25"/>
  <c r="E103" i="25"/>
  <c r="C103" i="25" s="1"/>
  <c r="A103" i="25" s="1"/>
  <c r="F103" i="25"/>
  <c r="G103" i="25"/>
  <c r="H103" i="25"/>
  <c r="E104" i="25"/>
  <c r="C104" i="25" s="1"/>
  <c r="A104" i="25" s="1"/>
  <c r="F104" i="25"/>
  <c r="G104" i="25"/>
  <c r="H104" i="25"/>
  <c r="E105" i="25"/>
  <c r="C105" i="25" s="1"/>
  <c r="A105" i="25" s="1"/>
  <c r="F105" i="25"/>
  <c r="G105" i="25"/>
  <c r="H105" i="25"/>
  <c r="E106" i="25"/>
  <c r="C106" i="25" s="1"/>
  <c r="A106" i="25" s="1"/>
  <c r="F106" i="25"/>
  <c r="G106" i="25"/>
  <c r="H106" i="25"/>
  <c r="E107" i="25"/>
  <c r="C107" i="25" s="1"/>
  <c r="A107" i="25" s="1"/>
  <c r="F107" i="25"/>
  <c r="G107" i="25"/>
  <c r="H107" i="25"/>
  <c r="E108" i="25"/>
  <c r="C108" i="25" s="1"/>
  <c r="A108" i="25" s="1"/>
  <c r="F108" i="25"/>
  <c r="G108" i="25"/>
  <c r="H108" i="25"/>
  <c r="E109" i="25"/>
  <c r="C109" i="25" s="1"/>
  <c r="A109" i="25" s="1"/>
  <c r="F109" i="25"/>
  <c r="G109" i="25"/>
  <c r="H109" i="25"/>
  <c r="E110" i="25"/>
  <c r="C110" i="25" s="1"/>
  <c r="A110" i="25" s="1"/>
  <c r="F110" i="25"/>
  <c r="G110" i="25"/>
  <c r="H110" i="25"/>
  <c r="E111" i="25"/>
  <c r="C111" i="25" s="1"/>
  <c r="A111" i="25" s="1"/>
  <c r="F111" i="25"/>
  <c r="G111" i="25"/>
  <c r="H111" i="25"/>
  <c r="E112" i="25"/>
  <c r="C112" i="25" s="1"/>
  <c r="A112" i="25" s="1"/>
  <c r="F112" i="25"/>
  <c r="G112" i="25"/>
  <c r="H112" i="25"/>
  <c r="E113" i="25"/>
  <c r="C113" i="25" s="1"/>
  <c r="A113" i="25" s="1"/>
  <c r="F113" i="25"/>
  <c r="G113" i="25"/>
  <c r="H113" i="25"/>
  <c r="E114" i="25"/>
  <c r="C114" i="25" s="1"/>
  <c r="A114" i="25" s="1"/>
  <c r="F114" i="25"/>
  <c r="G114" i="25"/>
  <c r="H114" i="25"/>
  <c r="E115" i="25"/>
  <c r="C115" i="25" s="1"/>
  <c r="A115" i="25" s="1"/>
  <c r="F115" i="25"/>
  <c r="G115" i="25"/>
  <c r="H115" i="25"/>
  <c r="E116" i="25"/>
  <c r="C116" i="25" s="1"/>
  <c r="A116" i="25" s="1"/>
  <c r="F116" i="25"/>
  <c r="G116" i="25"/>
  <c r="H116" i="25"/>
  <c r="E117" i="25"/>
  <c r="C117" i="25" s="1"/>
  <c r="A117" i="25" s="1"/>
  <c r="F117" i="25"/>
  <c r="G117" i="25"/>
  <c r="H117" i="25"/>
  <c r="E118" i="25"/>
  <c r="C118" i="25" s="1"/>
  <c r="A118" i="25" s="1"/>
  <c r="F118" i="25"/>
  <c r="G118" i="25"/>
  <c r="H118" i="25"/>
  <c r="E119" i="25"/>
  <c r="C119" i="25" s="1"/>
  <c r="A119" i="25" s="1"/>
  <c r="F119" i="25"/>
  <c r="G119" i="25"/>
  <c r="H119" i="25"/>
  <c r="E120" i="25"/>
  <c r="C120" i="25" s="1"/>
  <c r="A120" i="25" s="1"/>
  <c r="F120" i="25"/>
  <c r="G120" i="25"/>
  <c r="H120" i="25"/>
  <c r="E15" i="25"/>
  <c r="C15" i="25" s="1"/>
  <c r="A15" i="25" s="1"/>
  <c r="G15" i="25"/>
  <c r="H15" i="25"/>
  <c r="E27" i="37"/>
  <c r="E30" i="37"/>
  <c r="E32" i="37"/>
  <c r="E34" i="37"/>
  <c r="E37" i="37"/>
  <c r="E36" i="37"/>
  <c r="E31" i="37"/>
  <c r="E29" i="37"/>
  <c r="E28" i="37"/>
  <c r="E35" i="37"/>
  <c r="E6" i="37"/>
  <c r="E9" i="37"/>
  <c r="E11" i="37"/>
  <c r="E13" i="37"/>
  <c r="E16" i="37"/>
  <c r="E15" i="37"/>
  <c r="E10" i="37"/>
  <c r="E8" i="37"/>
  <c r="E7" i="37"/>
  <c r="E14" i="37"/>
  <c r="E49" i="37"/>
  <c r="E51" i="37"/>
  <c r="P51" i="37" s="1"/>
  <c r="E52" i="37"/>
  <c r="E53" i="37"/>
  <c r="E54" i="37"/>
  <c r="E55" i="37"/>
  <c r="E56" i="37"/>
  <c r="E57" i="37"/>
  <c r="E58" i="37"/>
  <c r="E59" i="37"/>
  <c r="E60" i="37"/>
  <c r="E61" i="37"/>
  <c r="E74" i="37"/>
  <c r="E75" i="37"/>
  <c r="E76" i="37"/>
  <c r="E77" i="37"/>
  <c r="E79" i="37"/>
  <c r="E80" i="37"/>
  <c r="E81" i="37"/>
  <c r="E82" i="37"/>
  <c r="E83" i="37"/>
  <c r="E84" i="37"/>
  <c r="E85" i="37"/>
  <c r="E98" i="37"/>
  <c r="E99" i="37"/>
  <c r="E100" i="37"/>
  <c r="E101" i="37"/>
  <c r="E102" i="37"/>
  <c r="E103" i="37"/>
  <c r="E104" i="37"/>
  <c r="E105" i="37"/>
  <c r="E106" i="37"/>
  <c r="E107" i="37"/>
  <c r="E108" i="37"/>
  <c r="E109" i="37"/>
  <c r="E110" i="37"/>
  <c r="E111" i="37"/>
  <c r="E112" i="37"/>
  <c r="E113" i="37"/>
  <c r="E114" i="37"/>
  <c r="E115" i="37"/>
  <c r="E116" i="37"/>
  <c r="E117" i="37"/>
  <c r="E118" i="37"/>
  <c r="E119" i="37"/>
  <c r="E120" i="37"/>
  <c r="E122" i="37"/>
  <c r="P122" i="37" s="1"/>
  <c r="E123" i="37"/>
  <c r="E124" i="37"/>
  <c r="E125" i="37"/>
  <c r="E126" i="37"/>
  <c r="E127" i="37"/>
  <c r="E128" i="37"/>
  <c r="E134" i="37"/>
  <c r="E135" i="37"/>
  <c r="E136" i="37"/>
  <c r="E137" i="37"/>
  <c r="E138" i="37"/>
  <c r="E139" i="37"/>
  <c r="E140" i="37"/>
  <c r="E146" i="37"/>
  <c r="E148" i="37"/>
  <c r="E149" i="37"/>
  <c r="E150" i="37"/>
  <c r="E151" i="37"/>
  <c r="E152" i="37"/>
  <c r="E153" i="37"/>
  <c r="E154" i="37"/>
  <c r="E155" i="37"/>
  <c r="E156" i="37"/>
  <c r="E157" i="37"/>
  <c r="E158" i="37"/>
  <c r="E159" i="37"/>
  <c r="E160" i="37"/>
  <c r="E161" i="37"/>
  <c r="E162" i="37"/>
  <c r="E163" i="37"/>
  <c r="E164" i="37"/>
  <c r="E165" i="37"/>
  <c r="E166" i="37"/>
  <c r="E167" i="37"/>
  <c r="E168" i="37"/>
  <c r="E169" i="37"/>
  <c r="E170" i="37"/>
  <c r="E171" i="37"/>
  <c r="E172" i="37"/>
  <c r="E173" i="37"/>
  <c r="E174" i="37"/>
  <c r="E175" i="37"/>
  <c r="E176" i="37"/>
  <c r="E177" i="37"/>
  <c r="E178" i="37"/>
  <c r="E179" i="37"/>
  <c r="E180" i="37"/>
  <c r="E181" i="37"/>
  <c r="E182" i="37"/>
  <c r="E183" i="37"/>
  <c r="E184" i="37"/>
  <c r="E5" i="37"/>
  <c r="P5" i="37" s="1"/>
  <c r="SB4" i="25"/>
  <c r="RB4" i="25"/>
  <c r="QB4" i="25"/>
  <c r="PB4" i="25"/>
  <c r="OB4" i="25"/>
  <c r="NB4" i="25"/>
  <c r="MB4" i="25"/>
  <c r="LB4" i="25"/>
  <c r="KB4" i="25"/>
  <c r="EO120" i="25" l="1"/>
  <c r="AP120" i="25"/>
  <c r="EO118" i="25"/>
  <c r="AP118" i="25"/>
  <c r="EO115" i="25"/>
  <c r="AP115" i="25"/>
  <c r="EO112" i="25"/>
  <c r="AP112" i="25"/>
  <c r="EO109" i="25"/>
  <c r="AP109" i="25"/>
  <c r="EO106" i="25"/>
  <c r="AP106" i="25"/>
  <c r="EO103" i="25"/>
  <c r="AP103" i="25"/>
  <c r="EO100" i="25"/>
  <c r="AP100" i="25"/>
  <c r="EO98" i="25"/>
  <c r="AP98" i="25"/>
  <c r="EO95" i="25"/>
  <c r="AP95" i="25"/>
  <c r="EO92" i="25"/>
  <c r="AP92" i="25"/>
  <c r="EO88" i="25"/>
  <c r="AP88" i="25"/>
  <c r="EO85" i="25"/>
  <c r="AP85" i="25"/>
  <c r="EO82" i="25"/>
  <c r="AP82" i="25"/>
  <c r="EO79" i="25"/>
  <c r="AP79" i="25"/>
  <c r="EO76" i="25"/>
  <c r="AP76" i="25"/>
  <c r="EO73" i="25"/>
  <c r="AP73" i="25"/>
  <c r="EO69" i="25"/>
  <c r="AP69" i="25"/>
  <c r="EO66" i="25"/>
  <c r="AP66" i="25"/>
  <c r="EO64" i="25"/>
  <c r="AP64" i="25"/>
  <c r="EO61" i="25"/>
  <c r="AP61" i="25"/>
  <c r="EO58" i="25"/>
  <c r="AP58" i="25"/>
  <c r="EO56" i="25"/>
  <c r="AP56" i="25"/>
  <c r="EO53" i="25"/>
  <c r="AP53" i="25"/>
  <c r="EO51" i="25"/>
  <c r="AP51" i="25"/>
  <c r="EO49" i="25"/>
  <c r="AP49" i="25"/>
  <c r="EO48" i="25"/>
  <c r="AP48" i="25"/>
  <c r="EO47" i="25"/>
  <c r="AP47" i="25"/>
  <c r="EO44" i="25"/>
  <c r="AP44" i="25"/>
  <c r="EO43" i="25"/>
  <c r="AP43" i="25"/>
  <c r="EO42" i="25"/>
  <c r="AP42" i="25"/>
  <c r="EO41" i="25"/>
  <c r="AP41" i="25"/>
  <c r="EO40" i="25"/>
  <c r="AP40" i="25"/>
  <c r="EO39" i="25"/>
  <c r="AP39" i="25"/>
  <c r="EO38" i="25"/>
  <c r="AP38" i="25"/>
  <c r="EO37" i="25"/>
  <c r="AP37" i="25"/>
  <c r="EO36" i="25"/>
  <c r="AP36" i="25"/>
  <c r="EO35" i="25"/>
  <c r="AP35" i="25"/>
  <c r="EO34" i="25"/>
  <c r="AP34" i="25"/>
  <c r="EO33" i="25"/>
  <c r="AP33" i="25"/>
  <c r="EO32" i="25"/>
  <c r="AP32" i="25"/>
  <c r="EO31" i="25"/>
  <c r="AP31" i="25"/>
  <c r="EO30" i="25"/>
  <c r="AP30" i="25"/>
  <c r="EO29" i="25"/>
  <c r="AP29" i="25"/>
  <c r="EO28" i="25"/>
  <c r="AP28" i="25"/>
  <c r="EO27" i="25"/>
  <c r="AP27" i="25"/>
  <c r="EO26" i="25"/>
  <c r="AP26" i="25"/>
  <c r="EO25" i="25"/>
  <c r="AP25" i="25"/>
  <c r="EO117" i="25"/>
  <c r="AP117" i="25"/>
  <c r="EO114" i="25"/>
  <c r="AP114" i="25"/>
  <c r="EO111" i="25"/>
  <c r="AP111" i="25"/>
  <c r="EO108" i="25"/>
  <c r="AP108" i="25"/>
  <c r="EO105" i="25"/>
  <c r="AP105" i="25"/>
  <c r="EO102" i="25"/>
  <c r="AP102" i="25"/>
  <c r="EO97" i="25"/>
  <c r="AP97" i="25"/>
  <c r="EO94" i="25"/>
  <c r="AP94" i="25"/>
  <c r="EO91" i="25"/>
  <c r="AP91" i="25"/>
  <c r="EO89" i="25"/>
  <c r="AP89" i="25"/>
  <c r="EO86" i="25"/>
  <c r="AP86" i="25"/>
  <c r="EO83" i="25"/>
  <c r="AP83" i="25"/>
  <c r="EO80" i="25"/>
  <c r="AP80" i="25"/>
  <c r="EO77" i="25"/>
  <c r="AP77" i="25"/>
  <c r="EO74" i="25"/>
  <c r="AP74" i="25"/>
  <c r="EO71" i="25"/>
  <c r="AP71" i="25"/>
  <c r="EO68" i="25"/>
  <c r="AP68" i="25"/>
  <c r="EO65" i="25"/>
  <c r="AP65" i="25"/>
  <c r="EO62" i="25"/>
  <c r="AP62" i="25"/>
  <c r="EO59" i="25"/>
  <c r="AP59" i="25"/>
  <c r="EO54" i="25"/>
  <c r="AP54" i="25"/>
  <c r="EO45" i="25"/>
  <c r="AP45" i="25"/>
  <c r="EO119" i="25"/>
  <c r="AP119" i="25"/>
  <c r="EO116" i="25"/>
  <c r="AP116" i="25"/>
  <c r="EO113" i="25"/>
  <c r="AP113" i="25"/>
  <c r="EO110" i="25"/>
  <c r="AP110" i="25"/>
  <c r="EO107" i="25"/>
  <c r="AP107" i="25"/>
  <c r="EO104" i="25"/>
  <c r="AP104" i="25"/>
  <c r="EO101" i="25"/>
  <c r="AP101" i="25"/>
  <c r="EO99" i="25"/>
  <c r="AP99" i="25"/>
  <c r="EO96" i="25"/>
  <c r="AP96" i="25"/>
  <c r="EO93" i="25"/>
  <c r="AP93" i="25"/>
  <c r="EO90" i="25"/>
  <c r="AP90" i="25"/>
  <c r="EO87" i="25"/>
  <c r="AP87" i="25"/>
  <c r="EO84" i="25"/>
  <c r="AP84" i="25"/>
  <c r="EO81" i="25"/>
  <c r="AP81" i="25"/>
  <c r="EO78" i="25"/>
  <c r="AP78" i="25"/>
  <c r="EO75" i="25"/>
  <c r="AP75" i="25"/>
  <c r="EO72" i="25"/>
  <c r="AP72" i="25"/>
  <c r="EO70" i="25"/>
  <c r="AP70" i="25"/>
  <c r="EO67" i="25"/>
  <c r="AP67" i="25"/>
  <c r="EO63" i="25"/>
  <c r="AP63" i="25"/>
  <c r="EO60" i="25"/>
  <c r="AP60" i="25"/>
  <c r="EO57" i="25"/>
  <c r="AP57" i="25"/>
  <c r="EO55" i="25"/>
  <c r="AP55" i="25"/>
  <c r="EO52" i="25"/>
  <c r="AP52" i="25"/>
  <c r="EO50" i="25"/>
  <c r="AP50" i="25"/>
  <c r="EO46" i="25"/>
  <c r="AP46" i="25"/>
  <c r="W119" i="25"/>
  <c r="U119" i="25"/>
  <c r="ID119" i="25"/>
  <c r="W115" i="25"/>
  <c r="U115" i="25"/>
  <c r="ID115" i="25"/>
  <c r="W111" i="25"/>
  <c r="U111" i="25"/>
  <c r="ID111" i="25"/>
  <c r="W107" i="25"/>
  <c r="U107" i="25"/>
  <c r="ID107" i="25"/>
  <c r="W103" i="25"/>
  <c r="U103" i="25"/>
  <c r="ID103" i="25"/>
  <c r="W99" i="25"/>
  <c r="U99" i="25"/>
  <c r="ID99" i="25"/>
  <c r="W95" i="25"/>
  <c r="U95" i="25"/>
  <c r="ID95" i="25"/>
  <c r="W91" i="25"/>
  <c r="U91" i="25"/>
  <c r="ID91" i="25"/>
  <c r="W87" i="25"/>
  <c r="U87" i="25"/>
  <c r="ID87" i="25"/>
  <c r="W83" i="25"/>
  <c r="U83" i="25"/>
  <c r="ID83" i="25"/>
  <c r="W79" i="25"/>
  <c r="U79" i="25"/>
  <c r="ID79" i="25"/>
  <c r="W75" i="25"/>
  <c r="U75" i="25"/>
  <c r="ID75" i="25"/>
  <c r="ID73" i="25"/>
  <c r="W73" i="25"/>
  <c r="U73" i="25"/>
  <c r="ID71" i="25"/>
  <c r="ID69" i="25"/>
  <c r="ID67" i="25"/>
  <c r="ID62" i="25"/>
  <c r="ID116" i="25"/>
  <c r="W116" i="25"/>
  <c r="U116" i="25"/>
  <c r="ID112" i="25"/>
  <c r="W112" i="25"/>
  <c r="U112" i="25"/>
  <c r="ID108" i="25"/>
  <c r="W108" i="25"/>
  <c r="U108" i="25"/>
  <c r="ID104" i="25"/>
  <c r="W104" i="25"/>
  <c r="U104" i="25"/>
  <c r="ID100" i="25"/>
  <c r="W100" i="25"/>
  <c r="U100" i="25"/>
  <c r="ID96" i="25"/>
  <c r="W96" i="25"/>
  <c r="U96" i="25"/>
  <c r="ID92" i="25"/>
  <c r="W92" i="25"/>
  <c r="U92" i="25"/>
  <c r="ID88" i="25"/>
  <c r="W88" i="25"/>
  <c r="U88" i="25"/>
  <c r="ID85" i="25"/>
  <c r="W85" i="25"/>
  <c r="U85" i="25"/>
  <c r="ID80" i="25"/>
  <c r="W80" i="25"/>
  <c r="U80" i="25"/>
  <c r="ID77" i="25"/>
  <c r="W77" i="25"/>
  <c r="U77" i="25"/>
  <c r="ID61" i="25"/>
  <c r="ID120" i="25"/>
  <c r="W120" i="25"/>
  <c r="U120" i="25"/>
  <c r="ID117" i="25"/>
  <c r="W117" i="25"/>
  <c r="U117" i="25"/>
  <c r="ID113" i="25"/>
  <c r="W113" i="25"/>
  <c r="U113" i="25"/>
  <c r="ID109" i="25"/>
  <c r="W109" i="25"/>
  <c r="U109" i="25"/>
  <c r="ID105" i="25"/>
  <c r="W105" i="25"/>
  <c r="U105" i="25"/>
  <c r="ID101" i="25"/>
  <c r="W101" i="25"/>
  <c r="U101" i="25"/>
  <c r="ID97" i="25"/>
  <c r="W97" i="25"/>
  <c r="U97" i="25"/>
  <c r="ID93" i="25"/>
  <c r="W93" i="25"/>
  <c r="U93" i="25"/>
  <c r="ID89" i="25"/>
  <c r="W89" i="25"/>
  <c r="U89" i="25"/>
  <c r="ID86" i="25"/>
  <c r="W86" i="25"/>
  <c r="U86" i="25"/>
  <c r="ID82" i="25"/>
  <c r="W82" i="25"/>
  <c r="U82" i="25"/>
  <c r="ID78" i="25"/>
  <c r="W78" i="25"/>
  <c r="U78" i="25"/>
  <c r="ID74" i="25"/>
  <c r="W74" i="25"/>
  <c r="U74" i="25"/>
  <c r="ID72" i="25"/>
  <c r="W72" i="25"/>
  <c r="U72" i="25"/>
  <c r="ID70" i="25"/>
  <c r="ID68" i="25"/>
  <c r="ID66" i="25"/>
  <c r="ID65" i="25"/>
  <c r="ID64" i="25"/>
  <c r="ID63" i="25"/>
  <c r="ID118" i="25"/>
  <c r="W118" i="25"/>
  <c r="U118" i="25"/>
  <c r="ID114" i="25"/>
  <c r="W114" i="25"/>
  <c r="U114" i="25"/>
  <c r="ID110" i="25"/>
  <c r="W110" i="25"/>
  <c r="U110" i="25"/>
  <c r="ID106" i="25"/>
  <c r="W106" i="25"/>
  <c r="U106" i="25"/>
  <c r="ID102" i="25"/>
  <c r="W102" i="25"/>
  <c r="U102" i="25"/>
  <c r="ID98" i="25"/>
  <c r="W98" i="25"/>
  <c r="U98" i="25"/>
  <c r="ID94" i="25"/>
  <c r="W94" i="25"/>
  <c r="U94" i="25"/>
  <c r="ID90" i="25"/>
  <c r="W90" i="25"/>
  <c r="U90" i="25"/>
  <c r="ID84" i="25"/>
  <c r="W84" i="25"/>
  <c r="U84" i="25"/>
  <c r="ID81" i="25"/>
  <c r="W81" i="25"/>
  <c r="U81" i="25"/>
  <c r="ID76" i="25"/>
  <c r="W76" i="25"/>
  <c r="U76" i="25"/>
  <c r="ID60" i="25"/>
  <c r="ID47" i="25"/>
  <c r="ID46" i="25"/>
  <c r="ID45" i="25"/>
  <c r="ID44" i="25"/>
  <c r="ID43" i="25"/>
  <c r="ID42" i="25"/>
  <c r="ID41" i="25"/>
  <c r="ID40" i="25"/>
  <c r="ID39" i="25"/>
  <c r="ID38" i="25"/>
  <c r="ID37" i="25"/>
  <c r="ID36" i="25"/>
  <c r="ID35" i="25"/>
  <c r="ID34" i="25"/>
  <c r="ID33" i="25"/>
  <c r="ID32" i="25"/>
  <c r="ID31" i="25"/>
  <c r="ID30" i="25"/>
  <c r="ID29" i="25"/>
  <c r="ID28" i="25"/>
  <c r="ID27" i="25"/>
  <c r="ID26" i="25"/>
  <c r="ID25" i="25"/>
  <c r="ID24" i="25"/>
  <c r="ID23" i="25"/>
  <c r="ID22" i="25"/>
  <c r="ID21" i="25"/>
  <c r="ID20" i="25"/>
  <c r="ID19" i="25"/>
  <c r="ID18" i="25"/>
  <c r="ID17" i="25"/>
  <c r="ID16" i="25"/>
  <c r="ID15" i="25"/>
  <c r="ID59" i="25"/>
  <c r="ID58" i="25"/>
  <c r="ID57" i="25"/>
  <c r="ID56" i="25"/>
  <c r="ID55" i="25"/>
  <c r="ID54" i="25"/>
  <c r="ID53" i="25"/>
  <c r="ID52" i="25"/>
  <c r="ID51" i="25"/>
  <c r="ID50" i="25"/>
  <c r="ID49" i="25"/>
  <c r="ID48" i="25"/>
  <c r="AK119" i="25"/>
  <c r="AJ119" i="25"/>
  <c r="AK116" i="25"/>
  <c r="AJ116" i="25"/>
  <c r="AK112" i="25"/>
  <c r="AJ112" i="25"/>
  <c r="AK109" i="25"/>
  <c r="AJ109" i="25"/>
  <c r="AK118" i="25"/>
  <c r="AJ118" i="25"/>
  <c r="AK113" i="25"/>
  <c r="AJ113" i="25"/>
  <c r="AK107" i="25"/>
  <c r="AJ107" i="25"/>
  <c r="AK120" i="25"/>
  <c r="AJ120" i="25"/>
  <c r="AK115" i="25"/>
  <c r="AJ115" i="25"/>
  <c r="AK111" i="25"/>
  <c r="AJ111" i="25"/>
  <c r="AK110" i="25"/>
  <c r="AJ110" i="25"/>
  <c r="AK108" i="25"/>
  <c r="AJ108" i="25"/>
  <c r="AK105" i="25"/>
  <c r="AJ105" i="25"/>
  <c r="AK104" i="25"/>
  <c r="AJ104" i="25"/>
  <c r="AK103" i="25"/>
  <c r="AJ103" i="25"/>
  <c r="AK102" i="25"/>
  <c r="AJ102" i="25"/>
  <c r="AK101" i="25"/>
  <c r="AJ101" i="25"/>
  <c r="AK100" i="25"/>
  <c r="AJ100" i="25"/>
  <c r="AK99" i="25"/>
  <c r="AJ99" i="25"/>
  <c r="AK98" i="25"/>
  <c r="AJ98" i="25"/>
  <c r="AK97" i="25"/>
  <c r="AJ97" i="25"/>
  <c r="AK96" i="25"/>
  <c r="AJ96" i="25"/>
  <c r="AK95" i="25"/>
  <c r="AJ95" i="25"/>
  <c r="AK94" i="25"/>
  <c r="AJ94" i="25"/>
  <c r="AK93" i="25"/>
  <c r="AJ93" i="25"/>
  <c r="AK92" i="25"/>
  <c r="AJ92" i="25"/>
  <c r="AK91" i="25"/>
  <c r="AJ91" i="25"/>
  <c r="AK90" i="25"/>
  <c r="AJ90" i="25"/>
  <c r="AK89" i="25"/>
  <c r="AJ89" i="25"/>
  <c r="AK88" i="25"/>
  <c r="AJ88" i="25"/>
  <c r="AK87" i="25"/>
  <c r="AJ87" i="25"/>
  <c r="AK86" i="25"/>
  <c r="AJ86" i="25"/>
  <c r="AK85" i="25"/>
  <c r="AJ85" i="25"/>
  <c r="AK84" i="25"/>
  <c r="AJ84" i="25"/>
  <c r="AK83" i="25"/>
  <c r="AJ83" i="25"/>
  <c r="AK82" i="25"/>
  <c r="AJ82" i="25"/>
  <c r="AK81" i="25"/>
  <c r="AJ81" i="25"/>
  <c r="AK80" i="25"/>
  <c r="AJ80" i="25"/>
  <c r="AK79" i="25"/>
  <c r="AJ79" i="25"/>
  <c r="AK78" i="25"/>
  <c r="AJ78" i="25"/>
  <c r="AK77" i="25"/>
  <c r="AJ77" i="25"/>
  <c r="AK76" i="25"/>
  <c r="AJ76" i="25"/>
  <c r="AK75" i="25"/>
  <c r="AJ75" i="25"/>
  <c r="AK74" i="25"/>
  <c r="AJ74" i="25"/>
  <c r="AK73" i="25"/>
  <c r="AJ73" i="25"/>
  <c r="AK72" i="25"/>
  <c r="AJ72" i="25"/>
  <c r="AK117" i="25"/>
  <c r="AJ117" i="25"/>
  <c r="AK114" i="25"/>
  <c r="AJ114" i="25"/>
  <c r="AK106" i="25"/>
  <c r="AJ106" i="25"/>
  <c r="AH119" i="25"/>
  <c r="AN119" i="25"/>
  <c r="Y119" i="19" s="1"/>
  <c r="AI119" i="25"/>
  <c r="AH115" i="25"/>
  <c r="AN115" i="25"/>
  <c r="Y115" i="19" s="1"/>
  <c r="AI115" i="25"/>
  <c r="AH111" i="25"/>
  <c r="AN111" i="25"/>
  <c r="Y111" i="19" s="1"/>
  <c r="AI111" i="25"/>
  <c r="AI108" i="25"/>
  <c r="AH108" i="25"/>
  <c r="AN108" i="25"/>
  <c r="Y108" i="19" s="1"/>
  <c r="AI120" i="25"/>
  <c r="AH120" i="25"/>
  <c r="AN120" i="25"/>
  <c r="Y120" i="19" s="1"/>
  <c r="AI117" i="25"/>
  <c r="AH117" i="25"/>
  <c r="AN117" i="25"/>
  <c r="Y117" i="19" s="1"/>
  <c r="AI112" i="25"/>
  <c r="AH112" i="25"/>
  <c r="AN112" i="25"/>
  <c r="Y112" i="19" s="1"/>
  <c r="AH106" i="25"/>
  <c r="AN106" i="25"/>
  <c r="Y106" i="19" s="1"/>
  <c r="AI106" i="25"/>
  <c r="AH118" i="25"/>
  <c r="AN118" i="25"/>
  <c r="Y118" i="19" s="1"/>
  <c r="AI118" i="25"/>
  <c r="AH114" i="25"/>
  <c r="AN114" i="25"/>
  <c r="Y114" i="19" s="1"/>
  <c r="AI114" i="25"/>
  <c r="AH110" i="25"/>
  <c r="AN110" i="25"/>
  <c r="Y110" i="19" s="1"/>
  <c r="AI110" i="25"/>
  <c r="AI109" i="25"/>
  <c r="AH109" i="25"/>
  <c r="AN109" i="25"/>
  <c r="Y109" i="19" s="1"/>
  <c r="AI105" i="25"/>
  <c r="AH105" i="25"/>
  <c r="AN105" i="25"/>
  <c r="Y105" i="19" s="1"/>
  <c r="AI104" i="25"/>
  <c r="AH104" i="25"/>
  <c r="AN104" i="25"/>
  <c r="Y104" i="19" s="1"/>
  <c r="AH103" i="25"/>
  <c r="AN103" i="25"/>
  <c r="Y103" i="19" s="1"/>
  <c r="AI103" i="25"/>
  <c r="AH102" i="25"/>
  <c r="AN102" i="25"/>
  <c r="Y102" i="19" s="1"/>
  <c r="AI102" i="25"/>
  <c r="AI101" i="25"/>
  <c r="AH101" i="25"/>
  <c r="AN101" i="25"/>
  <c r="Y101" i="19" s="1"/>
  <c r="AI100" i="25"/>
  <c r="AH100" i="25"/>
  <c r="AN100" i="25"/>
  <c r="Y100" i="19" s="1"/>
  <c r="AH99" i="25"/>
  <c r="AN99" i="25"/>
  <c r="Y99" i="19" s="1"/>
  <c r="AI99" i="25"/>
  <c r="AH98" i="25"/>
  <c r="AN98" i="25"/>
  <c r="Y98" i="19" s="1"/>
  <c r="AI98" i="25"/>
  <c r="AI97" i="25"/>
  <c r="AH97" i="25"/>
  <c r="AN97" i="25"/>
  <c r="Y97" i="19" s="1"/>
  <c r="AI96" i="25"/>
  <c r="AH96" i="25"/>
  <c r="AN96" i="25"/>
  <c r="Y96" i="19" s="1"/>
  <c r="AH95" i="25"/>
  <c r="AN95" i="25"/>
  <c r="Y95" i="19" s="1"/>
  <c r="AI95" i="25"/>
  <c r="AH94" i="25"/>
  <c r="AN94" i="25"/>
  <c r="Y94" i="19" s="1"/>
  <c r="AI94" i="25"/>
  <c r="AI93" i="25"/>
  <c r="AH93" i="25"/>
  <c r="AN93" i="25"/>
  <c r="Y93" i="19" s="1"/>
  <c r="AI92" i="25"/>
  <c r="AH92" i="25"/>
  <c r="AN92" i="25"/>
  <c r="Y92" i="19" s="1"/>
  <c r="AH91" i="25"/>
  <c r="AN91" i="25"/>
  <c r="Y91" i="19" s="1"/>
  <c r="AI91" i="25"/>
  <c r="AH90" i="25"/>
  <c r="AN90" i="25"/>
  <c r="Y90" i="19" s="1"/>
  <c r="AI90" i="25"/>
  <c r="AI89" i="25"/>
  <c r="AH89" i="25"/>
  <c r="AN89" i="25"/>
  <c r="Y89" i="19" s="1"/>
  <c r="AI88" i="25"/>
  <c r="AH88" i="25"/>
  <c r="AN88" i="25"/>
  <c r="Y88" i="19" s="1"/>
  <c r="AH87" i="25"/>
  <c r="AN87" i="25"/>
  <c r="Y87" i="19" s="1"/>
  <c r="AI87" i="25"/>
  <c r="AH86" i="25"/>
  <c r="AN86" i="25"/>
  <c r="Y86" i="19" s="1"/>
  <c r="AI86" i="25"/>
  <c r="AI85" i="25"/>
  <c r="AH85" i="25"/>
  <c r="AN85" i="25"/>
  <c r="Y85" i="19" s="1"/>
  <c r="AI84" i="25"/>
  <c r="AH84" i="25"/>
  <c r="AN84" i="25"/>
  <c r="Y84" i="19" s="1"/>
  <c r="AH83" i="25"/>
  <c r="AN83" i="25"/>
  <c r="Y83" i="19" s="1"/>
  <c r="AI83" i="25"/>
  <c r="AH82" i="25"/>
  <c r="AN82" i="25"/>
  <c r="Y82" i="19" s="1"/>
  <c r="AI82" i="25"/>
  <c r="AI81" i="25"/>
  <c r="AH81" i="25"/>
  <c r="AN81" i="25"/>
  <c r="Y81" i="19" s="1"/>
  <c r="AI80" i="25"/>
  <c r="AH80" i="25"/>
  <c r="AN80" i="25"/>
  <c r="Y80" i="19" s="1"/>
  <c r="AH79" i="25"/>
  <c r="AN79" i="25"/>
  <c r="Y79" i="19" s="1"/>
  <c r="AI79" i="25"/>
  <c r="AH78" i="25"/>
  <c r="AN78" i="25"/>
  <c r="Y78" i="19" s="1"/>
  <c r="AI78" i="25"/>
  <c r="AI77" i="25"/>
  <c r="AH77" i="25"/>
  <c r="AN77" i="25"/>
  <c r="Y77" i="19" s="1"/>
  <c r="AI76" i="25"/>
  <c r="AH76" i="25"/>
  <c r="AN76" i="25"/>
  <c r="Y76" i="19" s="1"/>
  <c r="AH75" i="25"/>
  <c r="AN75" i="25"/>
  <c r="Y75" i="19" s="1"/>
  <c r="AI75" i="25"/>
  <c r="AH74" i="25"/>
  <c r="AN74" i="25"/>
  <c r="Y74" i="19" s="1"/>
  <c r="AI74" i="25"/>
  <c r="AI73" i="25"/>
  <c r="AH73" i="25"/>
  <c r="AN73" i="25"/>
  <c r="Y73" i="19" s="1"/>
  <c r="AI72" i="25"/>
  <c r="AH72" i="25"/>
  <c r="AN72" i="25"/>
  <c r="Y72" i="19" s="1"/>
  <c r="AI116" i="25"/>
  <c r="AH116" i="25"/>
  <c r="AN116" i="25"/>
  <c r="Y116" i="19" s="1"/>
  <c r="AI113" i="25"/>
  <c r="AH113" i="25"/>
  <c r="AN113" i="25"/>
  <c r="Y113" i="19" s="1"/>
  <c r="AH107" i="25"/>
  <c r="AN107" i="25"/>
  <c r="Y107" i="19" s="1"/>
  <c r="AI107" i="25"/>
  <c r="EH117" i="25"/>
  <c r="EY117" i="25"/>
  <c r="EH113" i="25"/>
  <c r="EY113" i="25"/>
  <c r="EH109" i="25"/>
  <c r="EY109" i="25"/>
  <c r="EY107" i="25"/>
  <c r="EH107" i="25"/>
  <c r="EH102" i="25"/>
  <c r="EY102" i="25"/>
  <c r="EY119" i="25"/>
  <c r="EH119" i="25"/>
  <c r="EY115" i="25"/>
  <c r="EH115" i="25"/>
  <c r="EY111" i="25"/>
  <c r="EH111" i="25"/>
  <c r="EH106" i="25"/>
  <c r="EY106" i="25"/>
  <c r="EH101" i="25"/>
  <c r="EY101" i="25"/>
  <c r="EY120" i="25"/>
  <c r="EH120" i="25"/>
  <c r="EY116" i="25"/>
  <c r="EH116" i="25"/>
  <c r="EY112" i="25"/>
  <c r="EH112" i="25"/>
  <c r="EY108" i="25"/>
  <c r="EH108" i="25"/>
  <c r="EY104" i="25"/>
  <c r="EH104" i="25"/>
  <c r="EY103" i="25"/>
  <c r="EH103" i="25"/>
  <c r="EY99" i="25"/>
  <c r="EH99" i="25"/>
  <c r="EH98" i="25"/>
  <c r="EY98" i="25"/>
  <c r="EH97" i="25"/>
  <c r="EY97" i="25"/>
  <c r="EY96" i="25"/>
  <c r="EH96" i="25"/>
  <c r="EY95" i="25"/>
  <c r="EH95" i="25"/>
  <c r="EH94" i="25"/>
  <c r="EY94" i="25"/>
  <c r="EH93" i="25"/>
  <c r="EY93" i="25"/>
  <c r="EY92" i="25"/>
  <c r="EH92" i="25"/>
  <c r="EY91" i="25"/>
  <c r="EH91" i="25"/>
  <c r="EH90" i="25"/>
  <c r="EY90" i="25"/>
  <c r="EH89" i="25"/>
  <c r="EY89" i="25"/>
  <c r="EY88" i="25"/>
  <c r="EH88" i="25"/>
  <c r="EY87" i="25"/>
  <c r="EH87" i="25"/>
  <c r="EH86" i="25"/>
  <c r="EY86" i="25"/>
  <c r="EH85" i="25"/>
  <c r="EY85" i="25"/>
  <c r="EY84" i="25"/>
  <c r="EH84" i="25"/>
  <c r="EY83" i="25"/>
  <c r="EH83" i="25"/>
  <c r="EH82" i="25"/>
  <c r="EY82" i="25"/>
  <c r="EH81" i="25"/>
  <c r="EY81" i="25"/>
  <c r="EY80" i="25"/>
  <c r="EH80" i="25"/>
  <c r="EY79" i="25"/>
  <c r="EH79" i="25"/>
  <c r="EH78" i="25"/>
  <c r="EY78" i="25"/>
  <c r="EH77" i="25"/>
  <c r="EY77" i="25"/>
  <c r="EY76" i="25"/>
  <c r="EH76" i="25"/>
  <c r="EY75" i="25"/>
  <c r="EH75" i="25"/>
  <c r="EH74" i="25"/>
  <c r="EY74" i="25"/>
  <c r="EH73" i="25"/>
  <c r="EY73" i="25"/>
  <c r="EY72" i="25"/>
  <c r="EH72" i="25"/>
  <c r="EH118" i="25"/>
  <c r="EY118" i="25"/>
  <c r="EH114" i="25"/>
  <c r="EY114" i="25"/>
  <c r="EH110" i="25"/>
  <c r="EY110" i="25"/>
  <c r="EH105" i="25"/>
  <c r="EY105" i="25"/>
  <c r="EY100" i="25"/>
  <c r="EH100" i="25"/>
  <c r="BE120" i="25"/>
  <c r="EP120" i="25"/>
  <c r="EN120" i="25"/>
  <c r="BE116" i="25"/>
  <c r="EP116" i="25"/>
  <c r="EN116" i="25"/>
  <c r="BE113" i="25"/>
  <c r="EN113" i="25"/>
  <c r="EP113" i="25"/>
  <c r="BE111" i="25"/>
  <c r="EP111" i="25"/>
  <c r="EN111" i="25"/>
  <c r="BE106" i="25"/>
  <c r="EN106" i="25"/>
  <c r="EP106" i="25"/>
  <c r="BE118" i="25"/>
  <c r="EN118" i="25"/>
  <c r="EP118" i="25"/>
  <c r="BE114" i="25"/>
  <c r="EN114" i="25"/>
  <c r="EP114" i="25"/>
  <c r="BE110" i="25"/>
  <c r="EN110" i="25"/>
  <c r="EP110" i="25"/>
  <c r="BE104" i="25"/>
  <c r="EP104" i="25"/>
  <c r="EN104" i="25"/>
  <c r="BE117" i="25"/>
  <c r="EN117" i="25"/>
  <c r="EP117" i="25"/>
  <c r="BE112" i="25"/>
  <c r="EP112" i="25"/>
  <c r="EN112" i="25"/>
  <c r="BE108" i="25"/>
  <c r="EP108" i="25"/>
  <c r="EN108" i="25"/>
  <c r="BE107" i="25"/>
  <c r="EP107" i="25"/>
  <c r="EN107" i="25"/>
  <c r="BE105" i="25"/>
  <c r="EN105" i="25"/>
  <c r="EP105" i="25"/>
  <c r="BE102" i="25"/>
  <c r="EN102" i="25"/>
  <c r="EP102" i="25"/>
  <c r="BE101" i="25"/>
  <c r="EN101" i="25"/>
  <c r="EP101" i="25"/>
  <c r="BE100" i="25"/>
  <c r="EP100" i="25"/>
  <c r="EN100" i="25"/>
  <c r="BE99" i="25"/>
  <c r="EP99" i="25"/>
  <c r="EN99" i="25"/>
  <c r="BE98" i="25"/>
  <c r="EN98" i="25"/>
  <c r="EP98" i="25"/>
  <c r="BE97" i="25"/>
  <c r="EN97" i="25"/>
  <c r="EP97" i="25"/>
  <c r="BE96" i="25"/>
  <c r="EP96" i="25"/>
  <c r="EN96" i="25"/>
  <c r="BE95" i="25"/>
  <c r="EP95" i="25"/>
  <c r="EN95" i="25"/>
  <c r="BE94" i="25"/>
  <c r="EN94" i="25"/>
  <c r="EP94" i="25"/>
  <c r="BE93" i="25"/>
  <c r="EN93" i="25"/>
  <c r="EP93" i="25"/>
  <c r="BE92" i="25"/>
  <c r="EP92" i="25"/>
  <c r="EN92" i="25"/>
  <c r="BE91" i="25"/>
  <c r="EP91" i="25"/>
  <c r="EN91" i="25"/>
  <c r="BE90" i="25"/>
  <c r="EN90" i="25"/>
  <c r="EP90" i="25"/>
  <c r="BE89" i="25"/>
  <c r="EN89" i="25"/>
  <c r="EP89" i="25"/>
  <c r="BE88" i="25"/>
  <c r="EP88" i="25"/>
  <c r="EN88" i="25"/>
  <c r="BE87" i="25"/>
  <c r="EP87" i="25"/>
  <c r="EN87" i="25"/>
  <c r="BE86" i="25"/>
  <c r="EN86" i="25"/>
  <c r="EP86" i="25"/>
  <c r="BE85" i="25"/>
  <c r="EN85" i="25"/>
  <c r="EP85" i="25"/>
  <c r="BE84" i="25"/>
  <c r="EP84" i="25"/>
  <c r="EN84" i="25"/>
  <c r="BE83" i="25"/>
  <c r="EP83" i="25"/>
  <c r="EN83" i="25"/>
  <c r="BE82" i="25"/>
  <c r="EN82" i="25"/>
  <c r="EP82" i="25"/>
  <c r="BE81" i="25"/>
  <c r="EN81" i="25"/>
  <c r="EP81" i="25"/>
  <c r="BE80" i="25"/>
  <c r="EP80" i="25"/>
  <c r="EN80" i="25"/>
  <c r="BE79" i="25"/>
  <c r="EP79" i="25"/>
  <c r="EN79" i="25"/>
  <c r="BE78" i="25"/>
  <c r="EN78" i="25"/>
  <c r="EP78" i="25"/>
  <c r="BE77" i="25"/>
  <c r="EN77" i="25"/>
  <c r="EP77" i="25"/>
  <c r="BE76" i="25"/>
  <c r="EP76" i="25"/>
  <c r="EN76" i="25"/>
  <c r="BE75" i="25"/>
  <c r="EP75" i="25"/>
  <c r="EN75" i="25"/>
  <c r="BE74" i="25"/>
  <c r="EN74" i="25"/>
  <c r="EP74" i="25"/>
  <c r="BE73" i="25"/>
  <c r="EN73" i="25"/>
  <c r="EP73" i="25"/>
  <c r="BE72" i="25"/>
  <c r="EP72" i="25"/>
  <c r="EN72" i="25"/>
  <c r="BE119" i="25"/>
  <c r="EP119" i="25"/>
  <c r="EN119" i="25"/>
  <c r="BE115" i="25"/>
  <c r="EP115" i="25"/>
  <c r="EN115" i="25"/>
  <c r="BE109" i="25"/>
  <c r="EN109" i="25"/>
  <c r="EP109" i="25"/>
  <c r="BE103" i="25"/>
  <c r="EP103" i="25"/>
  <c r="EN103" i="25"/>
  <c r="EJ120" i="25"/>
  <c r="EK120" i="25"/>
  <c r="EJ116" i="25"/>
  <c r="EK116" i="25"/>
  <c r="EJ112" i="25"/>
  <c r="EK112" i="25"/>
  <c r="EJ108" i="25"/>
  <c r="EK108" i="25"/>
  <c r="EK105" i="25"/>
  <c r="EJ105" i="25"/>
  <c r="EJ118" i="25"/>
  <c r="EK118" i="25"/>
  <c r="EK115" i="25"/>
  <c r="EJ115" i="25"/>
  <c r="EK111" i="25"/>
  <c r="EJ111" i="25"/>
  <c r="EJ104" i="25"/>
  <c r="EK104" i="25"/>
  <c r="EK117" i="25"/>
  <c r="EJ117" i="25"/>
  <c r="EK113" i="25"/>
  <c r="EJ113" i="25"/>
  <c r="EK109" i="25"/>
  <c r="EJ109" i="25"/>
  <c r="EK107" i="25"/>
  <c r="EJ107" i="25"/>
  <c r="EJ106" i="25"/>
  <c r="EK106" i="25"/>
  <c r="EJ102" i="25"/>
  <c r="EK102" i="25"/>
  <c r="EK101" i="25"/>
  <c r="EJ101" i="25"/>
  <c r="EJ100" i="25"/>
  <c r="EK100" i="25"/>
  <c r="EK99" i="25"/>
  <c r="EJ99" i="25"/>
  <c r="EJ98" i="25"/>
  <c r="EK98" i="25"/>
  <c r="EK97" i="25"/>
  <c r="EJ97" i="25"/>
  <c r="EJ96" i="25"/>
  <c r="EK96" i="25"/>
  <c r="EK95" i="25"/>
  <c r="EJ95" i="25"/>
  <c r="EJ94" i="25"/>
  <c r="EK94" i="25"/>
  <c r="EK93" i="25"/>
  <c r="EJ93" i="25"/>
  <c r="EJ92" i="25"/>
  <c r="EK92" i="25"/>
  <c r="EK91" i="25"/>
  <c r="EJ91" i="25"/>
  <c r="EJ90" i="25"/>
  <c r="EK90" i="25"/>
  <c r="EK89" i="25"/>
  <c r="EJ89" i="25"/>
  <c r="EJ88" i="25"/>
  <c r="EK88" i="25"/>
  <c r="EK87" i="25"/>
  <c r="EJ87" i="25"/>
  <c r="EJ86" i="25"/>
  <c r="EK86" i="25"/>
  <c r="EK85" i="25"/>
  <c r="EJ85" i="25"/>
  <c r="EJ84" i="25"/>
  <c r="EK84" i="25"/>
  <c r="EK83" i="25"/>
  <c r="EJ83" i="25"/>
  <c r="EJ82" i="25"/>
  <c r="EK82" i="25"/>
  <c r="EK81" i="25"/>
  <c r="EJ81" i="25"/>
  <c r="EJ80" i="25"/>
  <c r="EK80" i="25"/>
  <c r="EK79" i="25"/>
  <c r="EJ79" i="25"/>
  <c r="EJ78" i="25"/>
  <c r="EK78" i="25"/>
  <c r="EK77" i="25"/>
  <c r="EJ77" i="25"/>
  <c r="EJ76" i="25"/>
  <c r="EK76" i="25"/>
  <c r="EK75" i="25"/>
  <c r="EJ75" i="25"/>
  <c r="EJ74" i="25"/>
  <c r="EK74" i="25"/>
  <c r="EK73" i="25"/>
  <c r="EJ73" i="25"/>
  <c r="EJ72" i="25"/>
  <c r="EK72" i="25"/>
  <c r="EK119" i="25"/>
  <c r="EJ119" i="25"/>
  <c r="EJ114" i="25"/>
  <c r="EK114" i="25"/>
  <c r="EJ110" i="25"/>
  <c r="EK110" i="25"/>
  <c r="EK103" i="25"/>
  <c r="EJ103" i="25"/>
  <c r="EL23" i="25"/>
  <c r="EI120" i="25"/>
  <c r="EI116" i="25"/>
  <c r="EI114" i="25"/>
  <c r="EI109" i="25"/>
  <c r="EI117" i="25"/>
  <c r="EI113" i="25"/>
  <c r="EI108" i="25"/>
  <c r="EI119" i="25"/>
  <c r="EI115" i="25"/>
  <c r="EI111" i="25"/>
  <c r="EI110" i="25"/>
  <c r="EI106" i="25"/>
  <c r="EI105" i="25"/>
  <c r="EI104" i="25"/>
  <c r="EI103" i="25"/>
  <c r="EI102" i="25"/>
  <c r="EI101" i="25"/>
  <c r="EI100" i="25"/>
  <c r="EI99" i="25"/>
  <c r="EI98" i="25"/>
  <c r="EI97" i="25"/>
  <c r="EI96" i="25"/>
  <c r="EI95" i="25"/>
  <c r="EI94" i="25"/>
  <c r="EI93" i="25"/>
  <c r="EI92" i="25"/>
  <c r="EI91" i="25"/>
  <c r="EI90" i="25"/>
  <c r="EI89" i="25"/>
  <c r="EI88" i="25"/>
  <c r="EI87" i="25"/>
  <c r="EI86" i="25"/>
  <c r="EI85" i="25"/>
  <c r="EI84" i="25"/>
  <c r="EI83" i="25"/>
  <c r="EI82" i="25"/>
  <c r="EI81" i="25"/>
  <c r="EI80" i="25"/>
  <c r="EI79" i="25"/>
  <c r="EI78" i="25"/>
  <c r="EI77" i="25"/>
  <c r="EI76" i="25"/>
  <c r="EI75" i="25"/>
  <c r="EI74" i="25"/>
  <c r="EI73" i="25"/>
  <c r="EI72" i="25"/>
  <c r="EI118" i="25"/>
  <c r="EI112" i="25"/>
  <c r="EI107" i="25"/>
  <c r="O118" i="37"/>
  <c r="R118" i="37" s="1"/>
  <c r="O114" i="37"/>
  <c r="R114" i="37" s="1"/>
  <c r="O110" i="37"/>
  <c r="R110" i="37" s="1"/>
  <c r="O106" i="37"/>
  <c r="R106" i="37" s="1"/>
  <c r="O102" i="37"/>
  <c r="R102" i="37" s="1"/>
  <c r="R98" i="37"/>
  <c r="O98" i="37"/>
  <c r="O82" i="37"/>
  <c r="R82" i="37" s="1"/>
  <c r="O77" i="37"/>
  <c r="R77" i="37" s="1"/>
  <c r="O61" i="37"/>
  <c r="R61" i="37" s="1"/>
  <c r="O57" i="37"/>
  <c r="R57" i="37" s="1"/>
  <c r="O53" i="37"/>
  <c r="R53" i="37" s="1"/>
  <c r="O14" i="37"/>
  <c r="R14" i="37" s="1"/>
  <c r="O15" i="37"/>
  <c r="R15" i="37" s="1"/>
  <c r="O9" i="37"/>
  <c r="R9" i="37" s="1"/>
  <c r="O29" i="37"/>
  <c r="R29" i="37" s="1"/>
  <c r="O34" i="37"/>
  <c r="R34" i="37" s="1"/>
  <c r="O119" i="37"/>
  <c r="R119" i="37" s="1"/>
  <c r="O115" i="37"/>
  <c r="R115" i="37" s="1"/>
  <c r="O111" i="37"/>
  <c r="R111" i="37" s="1"/>
  <c r="O107" i="37"/>
  <c r="R107" i="37" s="1"/>
  <c r="O103" i="37"/>
  <c r="R103" i="37" s="1"/>
  <c r="O99" i="37"/>
  <c r="R99" i="37" s="1"/>
  <c r="O83" i="37"/>
  <c r="R83" i="37" s="1"/>
  <c r="O79" i="37"/>
  <c r="R79" i="37" s="1"/>
  <c r="R74" i="37"/>
  <c r="O74" i="37"/>
  <c r="O58" i="37"/>
  <c r="R58" i="37" s="1"/>
  <c r="O54" i="37"/>
  <c r="R54" i="37" s="1"/>
  <c r="R49" i="37"/>
  <c r="O49" i="37"/>
  <c r="O10" i="37"/>
  <c r="R10" i="37" s="1"/>
  <c r="O11" i="37"/>
  <c r="R11" i="37" s="1"/>
  <c r="O28" i="37"/>
  <c r="R28" i="37" s="1"/>
  <c r="O37" i="37"/>
  <c r="R37" i="37" s="1"/>
  <c r="O27" i="37"/>
  <c r="R27" i="37" s="1"/>
  <c r="R120" i="37"/>
  <c r="O120" i="37"/>
  <c r="O116" i="37"/>
  <c r="R116" i="37" s="1"/>
  <c r="O112" i="37"/>
  <c r="R112" i="37" s="1"/>
  <c r="O108" i="37"/>
  <c r="R108" i="37" s="1"/>
  <c r="O104" i="37"/>
  <c r="R104" i="37" s="1"/>
  <c r="O100" i="37"/>
  <c r="R100" i="37" s="1"/>
  <c r="O84" i="37"/>
  <c r="R84" i="37" s="1"/>
  <c r="O80" i="37"/>
  <c r="R80" i="37" s="1"/>
  <c r="O75" i="37"/>
  <c r="R75" i="37" s="1"/>
  <c r="O59" i="37"/>
  <c r="R59" i="37" s="1"/>
  <c r="O55" i="37"/>
  <c r="R55" i="37" s="1"/>
  <c r="R51" i="37"/>
  <c r="O51" i="37"/>
  <c r="O8" i="37"/>
  <c r="R8" i="37" s="1"/>
  <c r="O13" i="37"/>
  <c r="R13" i="37" s="1"/>
  <c r="O35" i="37"/>
  <c r="R35" i="37" s="1"/>
  <c r="O36" i="37"/>
  <c r="R36" i="37" s="1"/>
  <c r="O30" i="37"/>
  <c r="R30" i="37" s="1"/>
  <c r="B61" i="18"/>
  <c r="D61" i="18" s="1"/>
  <c r="E86" i="22" s="1"/>
  <c r="D63" i="12"/>
  <c r="O117" i="37"/>
  <c r="R117" i="37" s="1"/>
  <c r="O113" i="37"/>
  <c r="R113" i="37" s="1"/>
  <c r="R109" i="37"/>
  <c r="O109" i="37"/>
  <c r="O105" i="37"/>
  <c r="R105" i="37" s="1"/>
  <c r="O101" i="37"/>
  <c r="R101" i="37" s="1"/>
  <c r="O85" i="37"/>
  <c r="R85" i="37" s="1"/>
  <c r="O81" i="37"/>
  <c r="R81" i="37" s="1"/>
  <c r="O76" i="37"/>
  <c r="R76" i="37" s="1"/>
  <c r="O60" i="37"/>
  <c r="R60" i="37" s="1"/>
  <c r="R56" i="37"/>
  <c r="O56" i="37"/>
  <c r="O52" i="37"/>
  <c r="R52" i="37" s="1"/>
  <c r="O7" i="37"/>
  <c r="R7" i="37" s="1"/>
  <c r="O16" i="37"/>
  <c r="R16" i="37" s="1"/>
  <c r="O6" i="37"/>
  <c r="T6" i="37" s="1"/>
  <c r="O31" i="37"/>
  <c r="R31" i="37" s="1"/>
  <c r="O32" i="37"/>
  <c r="R32" i="37" s="1"/>
  <c r="W11" i="3"/>
  <c r="DD19" i="25"/>
  <c r="DD17" i="25"/>
  <c r="I123" i="12"/>
  <c r="B129" i="12"/>
  <c r="D121" i="12"/>
  <c r="D114" i="12"/>
  <c r="B125" i="12"/>
  <c r="I121" i="12"/>
  <c r="B51" i="18"/>
  <c r="D51" i="18" s="1"/>
  <c r="D62" i="12" s="1"/>
  <c r="E35" i="22" s="1"/>
  <c r="B115" i="12"/>
  <c r="D113" i="12"/>
  <c r="AO3" i="19"/>
  <c r="AS6" i="19" s="1"/>
  <c r="D69" i="12"/>
  <c r="DF3" i="19"/>
  <c r="BV3" i="19"/>
  <c r="BJ3" i="19"/>
  <c r="AX3" i="19"/>
  <c r="CH3" i="19"/>
  <c r="CT3" i="19"/>
  <c r="KF119" i="25"/>
  <c r="IF119" i="25"/>
  <c r="KF115" i="25"/>
  <c r="IF115" i="25"/>
  <c r="KF111" i="25"/>
  <c r="IF111" i="25"/>
  <c r="KF107" i="25"/>
  <c r="IF107" i="25"/>
  <c r="KF103" i="25"/>
  <c r="IF103" i="25"/>
  <c r="IF98" i="25"/>
  <c r="KF98" i="25"/>
  <c r="KF95" i="25"/>
  <c r="IF95" i="25"/>
  <c r="KF92" i="25"/>
  <c r="IF92" i="25"/>
  <c r="KF88" i="25"/>
  <c r="IF88" i="25"/>
  <c r="KF84" i="25"/>
  <c r="IF84" i="25"/>
  <c r="KF80" i="25"/>
  <c r="IF80" i="25"/>
  <c r="KF76" i="25"/>
  <c r="IF76" i="25"/>
  <c r="KF72" i="25"/>
  <c r="DD72" i="25"/>
  <c r="IF72" i="25"/>
  <c r="DD68" i="25"/>
  <c r="DD64" i="25"/>
  <c r="DD60" i="25"/>
  <c r="DD56" i="25"/>
  <c r="DD52" i="25"/>
  <c r="DD48" i="25"/>
  <c r="DD44" i="25"/>
  <c r="IF118" i="25"/>
  <c r="KF118" i="25"/>
  <c r="KF113" i="25"/>
  <c r="IF113" i="25"/>
  <c r="KF109" i="25"/>
  <c r="IF109" i="25"/>
  <c r="KF105" i="25"/>
  <c r="IF105" i="25"/>
  <c r="KF101" i="25"/>
  <c r="IF101" i="25"/>
  <c r="KF96" i="25"/>
  <c r="IF96" i="25"/>
  <c r="KF91" i="25"/>
  <c r="IF91" i="25"/>
  <c r="KF87" i="25"/>
  <c r="IF87" i="25"/>
  <c r="KF83" i="25"/>
  <c r="IF83" i="25"/>
  <c r="KF79" i="25"/>
  <c r="IF79" i="25"/>
  <c r="KF75" i="25"/>
  <c r="IF75" i="25"/>
  <c r="DD71" i="25"/>
  <c r="DD67" i="25"/>
  <c r="DD63" i="25"/>
  <c r="DD59" i="25"/>
  <c r="DD55" i="25"/>
  <c r="DD51" i="25"/>
  <c r="DD47" i="25"/>
  <c r="DD46" i="25"/>
  <c r="DD45" i="25"/>
  <c r="DD43" i="25"/>
  <c r="DD40" i="25"/>
  <c r="DD39" i="25"/>
  <c r="DD38" i="25"/>
  <c r="DD37" i="25"/>
  <c r="DD36" i="25"/>
  <c r="DD35" i="25"/>
  <c r="DD34" i="25"/>
  <c r="DD33" i="25"/>
  <c r="DD32" i="25"/>
  <c r="DD31" i="25"/>
  <c r="DD30" i="25"/>
  <c r="DD29" i="25"/>
  <c r="DD28" i="25"/>
  <c r="DD27" i="25"/>
  <c r="DD26" i="25"/>
  <c r="DD25" i="25"/>
  <c r="DD24" i="25"/>
  <c r="DD23" i="25"/>
  <c r="DD22" i="25"/>
  <c r="DD21" i="25"/>
  <c r="DD20" i="25"/>
  <c r="DD18" i="25"/>
  <c r="DD16" i="25"/>
  <c r="KF117" i="25"/>
  <c r="IF117" i="25"/>
  <c r="IF114" i="25"/>
  <c r="KF114" i="25"/>
  <c r="IF110" i="25"/>
  <c r="KF110" i="25"/>
  <c r="IF106" i="25"/>
  <c r="KF106" i="25"/>
  <c r="IF102" i="25"/>
  <c r="KF102" i="25"/>
  <c r="KF99" i="25"/>
  <c r="IF99" i="25"/>
  <c r="KF97" i="25"/>
  <c r="IF97" i="25"/>
  <c r="KF93" i="25"/>
  <c r="IF93" i="25"/>
  <c r="KF89" i="25"/>
  <c r="IF89" i="25"/>
  <c r="KF85" i="25"/>
  <c r="IF85" i="25"/>
  <c r="KF81" i="25"/>
  <c r="IF81" i="25"/>
  <c r="KF77" i="25"/>
  <c r="IF77" i="25"/>
  <c r="KF73" i="25"/>
  <c r="DD73" i="25"/>
  <c r="IF73" i="25"/>
  <c r="DD69" i="25"/>
  <c r="DD65" i="25"/>
  <c r="DD61" i="25"/>
  <c r="DD57" i="25"/>
  <c r="DD53" i="25"/>
  <c r="DD49" i="25"/>
  <c r="DD41" i="25"/>
  <c r="KF120" i="25"/>
  <c r="IF120" i="25"/>
  <c r="KF116" i="25"/>
  <c r="IF116" i="25"/>
  <c r="KF112" i="25"/>
  <c r="IF112" i="25"/>
  <c r="KF108" i="25"/>
  <c r="IF108" i="25"/>
  <c r="KF104" i="25"/>
  <c r="IF104" i="25"/>
  <c r="KF100" i="25"/>
  <c r="IF100" i="25"/>
  <c r="IF94" i="25"/>
  <c r="KF94" i="25"/>
  <c r="IF90" i="25"/>
  <c r="KF90" i="25"/>
  <c r="IF86" i="25"/>
  <c r="KF86" i="25"/>
  <c r="IF82" i="25"/>
  <c r="KF82" i="25"/>
  <c r="IF78" i="25"/>
  <c r="KF78" i="25"/>
  <c r="IF74" i="25"/>
  <c r="KF74" i="25"/>
  <c r="DD74" i="25"/>
  <c r="DD70" i="25"/>
  <c r="DD66" i="25"/>
  <c r="DD62" i="25"/>
  <c r="DD58" i="25"/>
  <c r="DD54" i="25"/>
  <c r="DD50" i="25"/>
  <c r="DD42" i="25"/>
  <c r="I98" i="12"/>
  <c r="I96" i="12"/>
  <c r="D49" i="12"/>
  <c r="Q10" i="45" s="1"/>
  <c r="I101" i="12"/>
  <c r="I87" i="12"/>
  <c r="B73" i="12"/>
  <c r="I102" i="12"/>
  <c r="I97" i="12"/>
  <c r="I95" i="12"/>
  <c r="I88" i="12"/>
  <c r="J88" i="12" s="1"/>
  <c r="D45" i="12"/>
  <c r="Q9" i="45" s="1"/>
  <c r="B89" i="12"/>
  <c r="B77" i="12"/>
  <c r="B103" i="12"/>
  <c r="B64" i="12"/>
  <c r="B99" i="12"/>
  <c r="I71" i="12"/>
  <c r="I75" i="12"/>
  <c r="I70" i="12"/>
  <c r="I49" i="12"/>
  <c r="J49" i="12" s="1"/>
  <c r="I76" i="12"/>
  <c r="I69" i="12"/>
  <c r="I72" i="12"/>
  <c r="I45" i="12"/>
  <c r="J45" i="12" s="1"/>
  <c r="I63" i="12"/>
  <c r="J63" i="12" s="1"/>
  <c r="IG117" i="25"/>
  <c r="AT117" i="25"/>
  <c r="AS117" i="25"/>
  <c r="IG113" i="25"/>
  <c r="AT113" i="25"/>
  <c r="AS113" i="25"/>
  <c r="IG108" i="25"/>
  <c r="AT108" i="25"/>
  <c r="AS108" i="25"/>
  <c r="IG105" i="25"/>
  <c r="AT105" i="25"/>
  <c r="AS105" i="25"/>
  <c r="IG100" i="25"/>
  <c r="AT100" i="25"/>
  <c r="AS100" i="25"/>
  <c r="IG97" i="25"/>
  <c r="AT97" i="25"/>
  <c r="AS97" i="25"/>
  <c r="IG93" i="25"/>
  <c r="AT93" i="25"/>
  <c r="AS93" i="25"/>
  <c r="IG88" i="25"/>
  <c r="AT88" i="25"/>
  <c r="AS88" i="25"/>
  <c r="IG84" i="25"/>
  <c r="AT84" i="25"/>
  <c r="AS84" i="25"/>
  <c r="IG80" i="25"/>
  <c r="AT80" i="25"/>
  <c r="AS80" i="25"/>
  <c r="IG75" i="25"/>
  <c r="AT75" i="25"/>
  <c r="AS75" i="25"/>
  <c r="IG119" i="25"/>
  <c r="AT119" i="25"/>
  <c r="AS119" i="25"/>
  <c r="IG115" i="25"/>
  <c r="AT115" i="25"/>
  <c r="AS115" i="25"/>
  <c r="IG111" i="25"/>
  <c r="AT111" i="25"/>
  <c r="AS111" i="25"/>
  <c r="IG107" i="25"/>
  <c r="AT107" i="25"/>
  <c r="AS107" i="25"/>
  <c r="IG103" i="25"/>
  <c r="AT103" i="25"/>
  <c r="AS103" i="25"/>
  <c r="IG99" i="25"/>
  <c r="AT99" i="25"/>
  <c r="AS99" i="25"/>
  <c r="IG95" i="25"/>
  <c r="AT95" i="25"/>
  <c r="AS95" i="25"/>
  <c r="IG91" i="25"/>
  <c r="AT91" i="25"/>
  <c r="AS91" i="25"/>
  <c r="IG87" i="25"/>
  <c r="AT87" i="25"/>
  <c r="AS87" i="25"/>
  <c r="IG83" i="25"/>
  <c r="AT83" i="25"/>
  <c r="AS83" i="25"/>
  <c r="IG79" i="25"/>
  <c r="AT79" i="25"/>
  <c r="AS79" i="25"/>
  <c r="IG77" i="25"/>
  <c r="AT77" i="25"/>
  <c r="AS77" i="25"/>
  <c r="IG74" i="25"/>
  <c r="AT74" i="25"/>
  <c r="AS74" i="25"/>
  <c r="IG73" i="25"/>
  <c r="AT73" i="25"/>
  <c r="AS73" i="25"/>
  <c r="IG72" i="25"/>
  <c r="AT72" i="25"/>
  <c r="AS72" i="25"/>
  <c r="IG120" i="25"/>
  <c r="AT120" i="25"/>
  <c r="AS120" i="25"/>
  <c r="IG116" i="25"/>
  <c r="AT116" i="25"/>
  <c r="AS116" i="25"/>
  <c r="IG112" i="25"/>
  <c r="AT112" i="25"/>
  <c r="AS112" i="25"/>
  <c r="IG109" i="25"/>
  <c r="AT109" i="25"/>
  <c r="AS109" i="25"/>
  <c r="IG104" i="25"/>
  <c r="AT104" i="25"/>
  <c r="AS104" i="25"/>
  <c r="IG101" i="25"/>
  <c r="AT101" i="25"/>
  <c r="AS101" i="25"/>
  <c r="IG96" i="25"/>
  <c r="AT96" i="25"/>
  <c r="AS96" i="25"/>
  <c r="IG92" i="25"/>
  <c r="AT92" i="25"/>
  <c r="AS92" i="25"/>
  <c r="IG89" i="25"/>
  <c r="AT89" i="25"/>
  <c r="AS89" i="25"/>
  <c r="IG85" i="25"/>
  <c r="AT85" i="25"/>
  <c r="AS85" i="25"/>
  <c r="IG81" i="25"/>
  <c r="AT81" i="25"/>
  <c r="AS81" i="25"/>
  <c r="IG76" i="25"/>
  <c r="AT76" i="25"/>
  <c r="AS76" i="25"/>
  <c r="IG118" i="25"/>
  <c r="AT118" i="25"/>
  <c r="AS118" i="25"/>
  <c r="IG114" i="25"/>
  <c r="AT114" i="25"/>
  <c r="AS114" i="25"/>
  <c r="IG110" i="25"/>
  <c r="AT110" i="25"/>
  <c r="AS110" i="25"/>
  <c r="IG106" i="25"/>
  <c r="AT106" i="25"/>
  <c r="AS106" i="25"/>
  <c r="IG102" i="25"/>
  <c r="AT102" i="25"/>
  <c r="AS102" i="25"/>
  <c r="IG98" i="25"/>
  <c r="AT98" i="25"/>
  <c r="AS98" i="25"/>
  <c r="IG94" i="25"/>
  <c r="AT94" i="25"/>
  <c r="AS94" i="25"/>
  <c r="IG90" i="25"/>
  <c r="AT90" i="25"/>
  <c r="AS90" i="25"/>
  <c r="IG86" i="25"/>
  <c r="AT86" i="25"/>
  <c r="AS86" i="25"/>
  <c r="IG82" i="25"/>
  <c r="AT82" i="25"/>
  <c r="AS82" i="25"/>
  <c r="IG78" i="25"/>
  <c r="AT78" i="25"/>
  <c r="AS78" i="25"/>
  <c r="DL15" i="25"/>
  <c r="BG117" i="25"/>
  <c r="AV117" i="25"/>
  <c r="BD117" i="25"/>
  <c r="BH117" i="25"/>
  <c r="BG114" i="25"/>
  <c r="AV114" i="25"/>
  <c r="BD114" i="25"/>
  <c r="BH114" i="25"/>
  <c r="BG110" i="25"/>
  <c r="AV110" i="25"/>
  <c r="BD110" i="25"/>
  <c r="BH110" i="25"/>
  <c r="BG107" i="25"/>
  <c r="AV107" i="25"/>
  <c r="BD107" i="25"/>
  <c r="BH107" i="25"/>
  <c r="BG104" i="25"/>
  <c r="AV104" i="25"/>
  <c r="BD104" i="25"/>
  <c r="BH104" i="25"/>
  <c r="BG99" i="25"/>
  <c r="AV99" i="25"/>
  <c r="BD99" i="25"/>
  <c r="BH99" i="25"/>
  <c r="BG96" i="25"/>
  <c r="AV96" i="25"/>
  <c r="BD96" i="25"/>
  <c r="BH96" i="25"/>
  <c r="BG92" i="25"/>
  <c r="AV92" i="25"/>
  <c r="BD92" i="25"/>
  <c r="BH92" i="25"/>
  <c r="BG87" i="25"/>
  <c r="AV87" i="25"/>
  <c r="BD87" i="25"/>
  <c r="BH87" i="25"/>
  <c r="BG83" i="25"/>
  <c r="AV83" i="25"/>
  <c r="BD83" i="25"/>
  <c r="BH83" i="25"/>
  <c r="BG79" i="25"/>
  <c r="AV79" i="25"/>
  <c r="BD79" i="25"/>
  <c r="BH79" i="25"/>
  <c r="BG75" i="25"/>
  <c r="AV75" i="25"/>
  <c r="BD75" i="25"/>
  <c r="BH75" i="25"/>
  <c r="BG120" i="25"/>
  <c r="AV120" i="25"/>
  <c r="BD120" i="25"/>
  <c r="BH120" i="25"/>
  <c r="BG115" i="25"/>
  <c r="AV115" i="25"/>
  <c r="BD115" i="25"/>
  <c r="BH115" i="25"/>
  <c r="BG111" i="25"/>
  <c r="AV111" i="25"/>
  <c r="BD111" i="25"/>
  <c r="BH111" i="25"/>
  <c r="BG106" i="25"/>
  <c r="AV106" i="25"/>
  <c r="BD106" i="25"/>
  <c r="BH106" i="25"/>
  <c r="BG101" i="25"/>
  <c r="AV101" i="25"/>
  <c r="BD101" i="25"/>
  <c r="BH101" i="25"/>
  <c r="BG98" i="25"/>
  <c r="AV98" i="25"/>
  <c r="BD98" i="25"/>
  <c r="BH98" i="25"/>
  <c r="BG94" i="25"/>
  <c r="AV94" i="25"/>
  <c r="BD94" i="25"/>
  <c r="BH94" i="25"/>
  <c r="BG90" i="25"/>
  <c r="AV90" i="25"/>
  <c r="BD90" i="25"/>
  <c r="BH90" i="25"/>
  <c r="BG86" i="25"/>
  <c r="AV86" i="25"/>
  <c r="BD86" i="25"/>
  <c r="BH86" i="25"/>
  <c r="BG82" i="25"/>
  <c r="AV82" i="25"/>
  <c r="BD82" i="25"/>
  <c r="BH82" i="25"/>
  <c r="BG78" i="25"/>
  <c r="AV78" i="25"/>
  <c r="BD78" i="25"/>
  <c r="BH78" i="25"/>
  <c r="BG74" i="25"/>
  <c r="AV74" i="25"/>
  <c r="BD74" i="25"/>
  <c r="BH74" i="25"/>
  <c r="BG118" i="25"/>
  <c r="AV118" i="25"/>
  <c r="BD118" i="25"/>
  <c r="BH118" i="25"/>
  <c r="BG113" i="25"/>
  <c r="AV113" i="25"/>
  <c r="BD113" i="25"/>
  <c r="BH113" i="25"/>
  <c r="BG109" i="25"/>
  <c r="AV109" i="25"/>
  <c r="BD109" i="25"/>
  <c r="BH109" i="25"/>
  <c r="BG105" i="25"/>
  <c r="AV105" i="25"/>
  <c r="BD105" i="25"/>
  <c r="BH105" i="25"/>
  <c r="BG102" i="25"/>
  <c r="AV102" i="25"/>
  <c r="BD102" i="25"/>
  <c r="BH102" i="25"/>
  <c r="BG97" i="25"/>
  <c r="AV97" i="25"/>
  <c r="BD97" i="25"/>
  <c r="BH97" i="25"/>
  <c r="BG93" i="25"/>
  <c r="AV93" i="25"/>
  <c r="BD93" i="25"/>
  <c r="BH93" i="25"/>
  <c r="BG89" i="25"/>
  <c r="AV89" i="25"/>
  <c r="BD89" i="25"/>
  <c r="BH89" i="25"/>
  <c r="BG85" i="25"/>
  <c r="AV85" i="25"/>
  <c r="BD85" i="25"/>
  <c r="BH85" i="25"/>
  <c r="BG81" i="25"/>
  <c r="AV81" i="25"/>
  <c r="BD81" i="25"/>
  <c r="BH81" i="25"/>
  <c r="BG77" i="25"/>
  <c r="AV77" i="25"/>
  <c r="BD77" i="25"/>
  <c r="BH77" i="25"/>
  <c r="BG73" i="25"/>
  <c r="AV73" i="25"/>
  <c r="BD73" i="25"/>
  <c r="BH73" i="25"/>
  <c r="BG119" i="25"/>
  <c r="AV119" i="25"/>
  <c r="BD119" i="25"/>
  <c r="BH119" i="25"/>
  <c r="BG116" i="25"/>
  <c r="AV116" i="25"/>
  <c r="BD116" i="25"/>
  <c r="BH116" i="25"/>
  <c r="BG112" i="25"/>
  <c r="AV112" i="25"/>
  <c r="BD112" i="25"/>
  <c r="BH112" i="25"/>
  <c r="BG108" i="25"/>
  <c r="AV108" i="25"/>
  <c r="BD108" i="25"/>
  <c r="BH108" i="25"/>
  <c r="BG103" i="25"/>
  <c r="AV103" i="25"/>
  <c r="BD103" i="25"/>
  <c r="BH103" i="25"/>
  <c r="BG100" i="25"/>
  <c r="AV100" i="25"/>
  <c r="BD100" i="25"/>
  <c r="BH100" i="25"/>
  <c r="BG95" i="25"/>
  <c r="AV95" i="25"/>
  <c r="BD95" i="25"/>
  <c r="BH95" i="25"/>
  <c r="BG91" i="25"/>
  <c r="AV91" i="25"/>
  <c r="BD91" i="25"/>
  <c r="BH91" i="25"/>
  <c r="BG88" i="25"/>
  <c r="AV88" i="25"/>
  <c r="BD88" i="25"/>
  <c r="BH88" i="25"/>
  <c r="BG84" i="25"/>
  <c r="AV84" i="25"/>
  <c r="BD84" i="25"/>
  <c r="BH84" i="25"/>
  <c r="BG80" i="25"/>
  <c r="AV80" i="25"/>
  <c r="BD80" i="25"/>
  <c r="BH80" i="25"/>
  <c r="BG76" i="25"/>
  <c r="AV76" i="25"/>
  <c r="BD76" i="25"/>
  <c r="BH76" i="25"/>
  <c r="BG72" i="25"/>
  <c r="AV72" i="25"/>
  <c r="BD72" i="25"/>
  <c r="BH72" i="25"/>
  <c r="WP118" i="25"/>
  <c r="WU118" i="25"/>
  <c r="WO118" i="25"/>
  <c r="WS118" i="25"/>
  <c r="WN118" i="25"/>
  <c r="WR118" i="25"/>
  <c r="WT118" i="25"/>
  <c r="WM118" i="25"/>
  <c r="WQ118" i="25"/>
  <c r="WD118" i="25"/>
  <c r="WL118" i="25"/>
  <c r="WC118" i="25"/>
  <c r="WK118" i="25"/>
  <c r="WI118" i="25"/>
  <c r="WB118" i="25"/>
  <c r="VO118" i="25"/>
  <c r="VS118" i="25"/>
  <c r="WJ118" i="25"/>
  <c r="WH118" i="25"/>
  <c r="WA118" i="25"/>
  <c r="WG118" i="25"/>
  <c r="VN118" i="25"/>
  <c r="VR118" i="25"/>
  <c r="VM118" i="25"/>
  <c r="VU118" i="25"/>
  <c r="VJ118" i="25"/>
  <c r="VT118" i="25"/>
  <c r="VB118" i="25"/>
  <c r="VQ118" i="25"/>
  <c r="VL118" i="25"/>
  <c r="VI118" i="25"/>
  <c r="VH118" i="25"/>
  <c r="VD118" i="25"/>
  <c r="VA118" i="25"/>
  <c r="VP118" i="25"/>
  <c r="VK118" i="25"/>
  <c r="VG118" i="25"/>
  <c r="VC118" i="25"/>
  <c r="WP114" i="25"/>
  <c r="WU114" i="25"/>
  <c r="WO114" i="25"/>
  <c r="WS114" i="25"/>
  <c r="WN114" i="25"/>
  <c r="WR114" i="25"/>
  <c r="WT114" i="25"/>
  <c r="WM114" i="25"/>
  <c r="WQ114" i="25"/>
  <c r="WD114" i="25"/>
  <c r="WL114" i="25"/>
  <c r="WC114" i="25"/>
  <c r="WK114" i="25"/>
  <c r="WI114" i="25"/>
  <c r="WB114" i="25"/>
  <c r="VO114" i="25"/>
  <c r="VS114" i="25"/>
  <c r="WJ114" i="25"/>
  <c r="WH114" i="25"/>
  <c r="WA114" i="25"/>
  <c r="WG114" i="25"/>
  <c r="VN114" i="25"/>
  <c r="VR114" i="25"/>
  <c r="VQ114" i="25"/>
  <c r="VJ114" i="25"/>
  <c r="VP114" i="25"/>
  <c r="VB114" i="25"/>
  <c r="VM114" i="25"/>
  <c r="VU114" i="25"/>
  <c r="VL114" i="25"/>
  <c r="VI114" i="25"/>
  <c r="VH114" i="25"/>
  <c r="VD114" i="25"/>
  <c r="VA114" i="25"/>
  <c r="VT114" i="25"/>
  <c r="VK114" i="25"/>
  <c r="VG114" i="25"/>
  <c r="VC114" i="25"/>
  <c r="WP108" i="25"/>
  <c r="WU108" i="25"/>
  <c r="WT108" i="25"/>
  <c r="WO108" i="25"/>
  <c r="WS108" i="25"/>
  <c r="WN108" i="25"/>
  <c r="WR108" i="25"/>
  <c r="WM108" i="25"/>
  <c r="WQ108" i="25"/>
  <c r="WK108" i="25"/>
  <c r="WB108" i="25"/>
  <c r="WJ108" i="25"/>
  <c r="WA108" i="25"/>
  <c r="WG108" i="25"/>
  <c r="WI108" i="25"/>
  <c r="WD108" i="25"/>
  <c r="VM108" i="25"/>
  <c r="VQ108" i="25"/>
  <c r="VU108" i="25"/>
  <c r="WL108" i="25"/>
  <c r="WH108" i="25"/>
  <c r="WC108" i="25"/>
  <c r="VP108" i="25"/>
  <c r="VT108" i="25"/>
  <c r="VO108" i="25"/>
  <c r="VL108" i="25"/>
  <c r="VI108" i="25"/>
  <c r="VA108" i="25"/>
  <c r="VN108" i="25"/>
  <c r="VK108" i="25"/>
  <c r="VS108" i="25"/>
  <c r="VJ108" i="25"/>
  <c r="VH108" i="25"/>
  <c r="VD108" i="25"/>
  <c r="VR108" i="25"/>
  <c r="VG108" i="25"/>
  <c r="VC108" i="25"/>
  <c r="VB108" i="25"/>
  <c r="WP120" i="25"/>
  <c r="WU120" i="25"/>
  <c r="WT120" i="25"/>
  <c r="WO120" i="25"/>
  <c r="WS120" i="25"/>
  <c r="WN120" i="25"/>
  <c r="WR120" i="25"/>
  <c r="WM120" i="25"/>
  <c r="WQ120" i="25"/>
  <c r="WK120" i="25"/>
  <c r="WB120" i="25"/>
  <c r="WJ120" i="25"/>
  <c r="WA120" i="25"/>
  <c r="WG120" i="25"/>
  <c r="WI120" i="25"/>
  <c r="WD120" i="25"/>
  <c r="VM120" i="25"/>
  <c r="VQ120" i="25"/>
  <c r="VU120" i="25"/>
  <c r="WL120" i="25"/>
  <c r="WH120" i="25"/>
  <c r="WC120" i="25"/>
  <c r="VP120" i="25"/>
  <c r="VT120" i="25"/>
  <c r="VS120" i="25"/>
  <c r="VL120" i="25"/>
  <c r="VI120" i="25"/>
  <c r="VA120" i="25"/>
  <c r="VR120" i="25"/>
  <c r="VK120" i="25"/>
  <c r="VO120" i="25"/>
  <c r="VJ120" i="25"/>
  <c r="VH120" i="25"/>
  <c r="VD120" i="25"/>
  <c r="VN120" i="25"/>
  <c r="VG120" i="25"/>
  <c r="VC120" i="25"/>
  <c r="VB120" i="25"/>
  <c r="WP115" i="25"/>
  <c r="WU115" i="25"/>
  <c r="WO115" i="25"/>
  <c r="WS115" i="25"/>
  <c r="WT115" i="25"/>
  <c r="WN115" i="25"/>
  <c r="WR115" i="25"/>
  <c r="WM115" i="25"/>
  <c r="WQ115" i="25"/>
  <c r="WJ115" i="25"/>
  <c r="WI115" i="25"/>
  <c r="WC115" i="25"/>
  <c r="WH115" i="25"/>
  <c r="WB115" i="25"/>
  <c r="WL115" i="25"/>
  <c r="WA115" i="25"/>
  <c r="WG115" i="25"/>
  <c r="VN115" i="25"/>
  <c r="VR115" i="25"/>
  <c r="WK115" i="25"/>
  <c r="WD115" i="25"/>
  <c r="VM115" i="25"/>
  <c r="VQ115" i="25"/>
  <c r="VU115" i="25"/>
  <c r="VP115" i="25"/>
  <c r="VK115" i="25"/>
  <c r="VH115" i="25"/>
  <c r="VD115" i="25"/>
  <c r="VB115" i="25"/>
  <c r="VO115" i="25"/>
  <c r="VJ115" i="25"/>
  <c r="VI115" i="25"/>
  <c r="VG115" i="25"/>
  <c r="VC115" i="25"/>
  <c r="VA115" i="25"/>
  <c r="VT115" i="25"/>
  <c r="VS115" i="25"/>
  <c r="VL115" i="25"/>
  <c r="WP112" i="25"/>
  <c r="WU112" i="25"/>
  <c r="WT112" i="25"/>
  <c r="WO112" i="25"/>
  <c r="WS112" i="25"/>
  <c r="WN112" i="25"/>
  <c r="WR112" i="25"/>
  <c r="WM112" i="25"/>
  <c r="WQ112" i="25"/>
  <c r="WK112" i="25"/>
  <c r="WB112" i="25"/>
  <c r="WJ112" i="25"/>
  <c r="WA112" i="25"/>
  <c r="WG112" i="25"/>
  <c r="WI112" i="25"/>
  <c r="WD112" i="25"/>
  <c r="VM112" i="25"/>
  <c r="VQ112" i="25"/>
  <c r="VU112" i="25"/>
  <c r="WL112" i="25"/>
  <c r="WH112" i="25"/>
  <c r="WC112" i="25"/>
  <c r="VP112" i="25"/>
  <c r="VT112" i="25"/>
  <c r="VS112" i="25"/>
  <c r="VL112" i="25"/>
  <c r="VI112" i="25"/>
  <c r="VA112" i="25"/>
  <c r="VR112" i="25"/>
  <c r="VK112" i="25"/>
  <c r="VO112" i="25"/>
  <c r="VJ112" i="25"/>
  <c r="VH112" i="25"/>
  <c r="VD112" i="25"/>
  <c r="VN112" i="25"/>
  <c r="VG112" i="25"/>
  <c r="VC112" i="25"/>
  <c r="VB112" i="25"/>
  <c r="WP110" i="25"/>
  <c r="WU110" i="25"/>
  <c r="WO110" i="25"/>
  <c r="WS110" i="25"/>
  <c r="WN110" i="25"/>
  <c r="WR110" i="25"/>
  <c r="WT110" i="25"/>
  <c r="WM110" i="25"/>
  <c r="WQ110" i="25"/>
  <c r="WD110" i="25"/>
  <c r="WL110" i="25"/>
  <c r="WC110" i="25"/>
  <c r="WK110" i="25"/>
  <c r="WI110" i="25"/>
  <c r="WB110" i="25"/>
  <c r="VO110" i="25"/>
  <c r="VS110" i="25"/>
  <c r="WJ110" i="25"/>
  <c r="WH110" i="25"/>
  <c r="WA110" i="25"/>
  <c r="WG110" i="25"/>
  <c r="VN110" i="25"/>
  <c r="VR110" i="25"/>
  <c r="VM110" i="25"/>
  <c r="VU110" i="25"/>
  <c r="VJ110" i="25"/>
  <c r="VT110" i="25"/>
  <c r="VB110" i="25"/>
  <c r="VQ110" i="25"/>
  <c r="VL110" i="25"/>
  <c r="VI110" i="25"/>
  <c r="VH110" i="25"/>
  <c r="VD110" i="25"/>
  <c r="VA110" i="25"/>
  <c r="VP110" i="25"/>
  <c r="VK110" i="25"/>
  <c r="VG110" i="25"/>
  <c r="VC110" i="25"/>
  <c r="WP107" i="25"/>
  <c r="WU107" i="25"/>
  <c r="WO107" i="25"/>
  <c r="WS107" i="25"/>
  <c r="WT107" i="25"/>
  <c r="WN107" i="25"/>
  <c r="WR107" i="25"/>
  <c r="WM107" i="25"/>
  <c r="WQ107" i="25"/>
  <c r="WJ107" i="25"/>
  <c r="WI107" i="25"/>
  <c r="WC107" i="25"/>
  <c r="WH107" i="25"/>
  <c r="WB107" i="25"/>
  <c r="WL107" i="25"/>
  <c r="WA107" i="25"/>
  <c r="WG107" i="25"/>
  <c r="VN107" i="25"/>
  <c r="VR107" i="25"/>
  <c r="WK107" i="25"/>
  <c r="WD107" i="25"/>
  <c r="VM107" i="25"/>
  <c r="VQ107" i="25"/>
  <c r="VU107" i="25"/>
  <c r="VP107" i="25"/>
  <c r="VK107" i="25"/>
  <c r="VH107" i="25"/>
  <c r="VD107" i="25"/>
  <c r="VB107" i="25"/>
  <c r="VO107" i="25"/>
  <c r="VJ107" i="25"/>
  <c r="VI107" i="25"/>
  <c r="VG107" i="25"/>
  <c r="VC107" i="25"/>
  <c r="VA107" i="25"/>
  <c r="VT107" i="25"/>
  <c r="VS107" i="25"/>
  <c r="VL107" i="25"/>
  <c r="WP106" i="25"/>
  <c r="WU106" i="25"/>
  <c r="WO106" i="25"/>
  <c r="WS106" i="25"/>
  <c r="WN106" i="25"/>
  <c r="WR106" i="25"/>
  <c r="WT106" i="25"/>
  <c r="WM106" i="25"/>
  <c r="WQ106" i="25"/>
  <c r="WD106" i="25"/>
  <c r="WL106" i="25"/>
  <c r="WC106" i="25"/>
  <c r="WK106" i="25"/>
  <c r="WI106" i="25"/>
  <c r="WB106" i="25"/>
  <c r="VO106" i="25"/>
  <c r="VS106" i="25"/>
  <c r="WJ106" i="25"/>
  <c r="WH106" i="25"/>
  <c r="WA106" i="25"/>
  <c r="WG106" i="25"/>
  <c r="VN106" i="25"/>
  <c r="VR106" i="25"/>
  <c r="VQ106" i="25"/>
  <c r="VJ106" i="25"/>
  <c r="VP106" i="25"/>
  <c r="VB106" i="25"/>
  <c r="VM106" i="25"/>
  <c r="VU106" i="25"/>
  <c r="VL106" i="25"/>
  <c r="VI106" i="25"/>
  <c r="VH106" i="25"/>
  <c r="VD106" i="25"/>
  <c r="VA106" i="25"/>
  <c r="VT106" i="25"/>
  <c r="VK106" i="25"/>
  <c r="VG106" i="25"/>
  <c r="VC106" i="25"/>
  <c r="WT105" i="25"/>
  <c r="WP105" i="25"/>
  <c r="WU105" i="25"/>
  <c r="WO105" i="25"/>
  <c r="WS105" i="25"/>
  <c r="WN105" i="25"/>
  <c r="WR105" i="25"/>
  <c r="WM105" i="25"/>
  <c r="WQ105" i="25"/>
  <c r="WL105" i="25"/>
  <c r="WI105" i="25"/>
  <c r="WA105" i="25"/>
  <c r="WG105" i="25"/>
  <c r="WK105" i="25"/>
  <c r="WH105" i="25"/>
  <c r="WD105" i="25"/>
  <c r="WJ105" i="25"/>
  <c r="WC105" i="25"/>
  <c r="VP105" i="25"/>
  <c r="VT105" i="25"/>
  <c r="WB105" i="25"/>
  <c r="VO105" i="25"/>
  <c r="VS105" i="25"/>
  <c r="VR105" i="25"/>
  <c r="VH105" i="25"/>
  <c r="VD105" i="25"/>
  <c r="VQ105" i="25"/>
  <c r="VL105" i="25"/>
  <c r="VG105" i="25"/>
  <c r="VC105" i="25"/>
  <c r="VN105" i="25"/>
  <c r="VK105" i="25"/>
  <c r="VB105" i="25"/>
  <c r="VM105" i="25"/>
  <c r="VU105" i="25"/>
  <c r="VJ105" i="25"/>
  <c r="VI105" i="25"/>
  <c r="VA105" i="25"/>
  <c r="WP104" i="25"/>
  <c r="WU104" i="25"/>
  <c r="WT104" i="25"/>
  <c r="WO104" i="25"/>
  <c r="WS104" i="25"/>
  <c r="WN104" i="25"/>
  <c r="WR104" i="25"/>
  <c r="WM104" i="25"/>
  <c r="WQ104" i="25"/>
  <c r="WK104" i="25"/>
  <c r="WB104" i="25"/>
  <c r="WJ104" i="25"/>
  <c r="WA104" i="25"/>
  <c r="WG104" i="25"/>
  <c r="WI104" i="25"/>
  <c r="WD104" i="25"/>
  <c r="VM104" i="25"/>
  <c r="VQ104" i="25"/>
  <c r="VU104" i="25"/>
  <c r="WL104" i="25"/>
  <c r="WH104" i="25"/>
  <c r="WC104" i="25"/>
  <c r="VP104" i="25"/>
  <c r="VT104" i="25"/>
  <c r="VS104" i="25"/>
  <c r="VL104" i="25"/>
  <c r="VI104" i="25"/>
  <c r="VA104" i="25"/>
  <c r="VR104" i="25"/>
  <c r="VK104" i="25"/>
  <c r="VO104" i="25"/>
  <c r="VJ104" i="25"/>
  <c r="VH104" i="25"/>
  <c r="VD104" i="25"/>
  <c r="VN104" i="25"/>
  <c r="VG104" i="25"/>
  <c r="VC104" i="25"/>
  <c r="VB104" i="25"/>
  <c r="WP103" i="25"/>
  <c r="WU103" i="25"/>
  <c r="WO103" i="25"/>
  <c r="WS103" i="25"/>
  <c r="WT103" i="25"/>
  <c r="WN103" i="25"/>
  <c r="WR103" i="25"/>
  <c r="WM103" i="25"/>
  <c r="WQ103" i="25"/>
  <c r="WJ103" i="25"/>
  <c r="WI103" i="25"/>
  <c r="WC103" i="25"/>
  <c r="WH103" i="25"/>
  <c r="WB103" i="25"/>
  <c r="WL103" i="25"/>
  <c r="WA103" i="25"/>
  <c r="WG103" i="25"/>
  <c r="VN103" i="25"/>
  <c r="VR103" i="25"/>
  <c r="WK103" i="25"/>
  <c r="WD103" i="25"/>
  <c r="VM103" i="25"/>
  <c r="VQ103" i="25"/>
  <c r="VU103" i="25"/>
  <c r="VT103" i="25"/>
  <c r="VK103" i="25"/>
  <c r="VH103" i="25"/>
  <c r="VD103" i="25"/>
  <c r="VB103" i="25"/>
  <c r="VS103" i="25"/>
  <c r="VJ103" i="25"/>
  <c r="VI103" i="25"/>
  <c r="VG103" i="25"/>
  <c r="VC103" i="25"/>
  <c r="VA103" i="25"/>
  <c r="VP103" i="25"/>
  <c r="VO103" i="25"/>
  <c r="VL103" i="25"/>
  <c r="WP102" i="25"/>
  <c r="WU102" i="25"/>
  <c r="WO102" i="25"/>
  <c r="WS102" i="25"/>
  <c r="WN102" i="25"/>
  <c r="WR102" i="25"/>
  <c r="WT102" i="25"/>
  <c r="WM102" i="25"/>
  <c r="WQ102" i="25"/>
  <c r="WD102" i="25"/>
  <c r="WL102" i="25"/>
  <c r="WC102" i="25"/>
  <c r="WK102" i="25"/>
  <c r="WI102" i="25"/>
  <c r="WB102" i="25"/>
  <c r="VO102" i="25"/>
  <c r="VS102" i="25"/>
  <c r="WJ102" i="25"/>
  <c r="WH102" i="25"/>
  <c r="WA102" i="25"/>
  <c r="WG102" i="25"/>
  <c r="VN102" i="25"/>
  <c r="VR102" i="25"/>
  <c r="VM102" i="25"/>
  <c r="VU102" i="25"/>
  <c r="VJ102" i="25"/>
  <c r="VT102" i="25"/>
  <c r="VB102" i="25"/>
  <c r="VQ102" i="25"/>
  <c r="VL102" i="25"/>
  <c r="VI102" i="25"/>
  <c r="VH102" i="25"/>
  <c r="VD102" i="25"/>
  <c r="VA102" i="25"/>
  <c r="VP102" i="25"/>
  <c r="VK102" i="25"/>
  <c r="VG102" i="25"/>
  <c r="VC102" i="25"/>
  <c r="WT101" i="25"/>
  <c r="WP101" i="25"/>
  <c r="WU101" i="25"/>
  <c r="WO101" i="25"/>
  <c r="WS101" i="25"/>
  <c r="WN101" i="25"/>
  <c r="WR101" i="25"/>
  <c r="WM101" i="25"/>
  <c r="WQ101" i="25"/>
  <c r="WL101" i="25"/>
  <c r="WI101" i="25"/>
  <c r="WA101" i="25"/>
  <c r="WG101" i="25"/>
  <c r="WK101" i="25"/>
  <c r="WH101" i="25"/>
  <c r="WD101" i="25"/>
  <c r="WJ101" i="25"/>
  <c r="WC101" i="25"/>
  <c r="VP101" i="25"/>
  <c r="VT101" i="25"/>
  <c r="WB101" i="25"/>
  <c r="VO101" i="25"/>
  <c r="VS101" i="25"/>
  <c r="VN101" i="25"/>
  <c r="VH101" i="25"/>
  <c r="VD101" i="25"/>
  <c r="VM101" i="25"/>
  <c r="VU101" i="25"/>
  <c r="VL101" i="25"/>
  <c r="VG101" i="25"/>
  <c r="VC101" i="25"/>
  <c r="VR101" i="25"/>
  <c r="VK101" i="25"/>
  <c r="VB101" i="25"/>
  <c r="VQ101" i="25"/>
  <c r="VJ101" i="25"/>
  <c r="VI101" i="25"/>
  <c r="VA101" i="25"/>
  <c r="WP100" i="25"/>
  <c r="WU100" i="25"/>
  <c r="WT100" i="25"/>
  <c r="WO100" i="25"/>
  <c r="WS100" i="25"/>
  <c r="WN100" i="25"/>
  <c r="WR100" i="25"/>
  <c r="WM100" i="25"/>
  <c r="WQ100" i="25"/>
  <c r="WK100" i="25"/>
  <c r="WB100" i="25"/>
  <c r="WJ100" i="25"/>
  <c r="WA100" i="25"/>
  <c r="WG100" i="25"/>
  <c r="WI100" i="25"/>
  <c r="WD100" i="25"/>
  <c r="VM100" i="25"/>
  <c r="VQ100" i="25"/>
  <c r="VU100" i="25"/>
  <c r="WL100" i="25"/>
  <c r="WH100" i="25"/>
  <c r="WC100" i="25"/>
  <c r="VP100" i="25"/>
  <c r="VT100" i="25"/>
  <c r="VO100" i="25"/>
  <c r="VL100" i="25"/>
  <c r="VI100" i="25"/>
  <c r="VA100" i="25"/>
  <c r="VN100" i="25"/>
  <c r="VK100" i="25"/>
  <c r="VS100" i="25"/>
  <c r="VJ100" i="25"/>
  <c r="VH100" i="25"/>
  <c r="VD100" i="25"/>
  <c r="VR100" i="25"/>
  <c r="VG100" i="25"/>
  <c r="VC100" i="25"/>
  <c r="VB100" i="25"/>
  <c r="WP99" i="25"/>
  <c r="WU99" i="25"/>
  <c r="WO99" i="25"/>
  <c r="WS99" i="25"/>
  <c r="WT99" i="25"/>
  <c r="WN99" i="25"/>
  <c r="WR99" i="25"/>
  <c r="WM99" i="25"/>
  <c r="WQ99" i="25"/>
  <c r="WJ99" i="25"/>
  <c r="WI99" i="25"/>
  <c r="WC99" i="25"/>
  <c r="WH99" i="25"/>
  <c r="WB99" i="25"/>
  <c r="WL99" i="25"/>
  <c r="WA99" i="25"/>
  <c r="WG99" i="25"/>
  <c r="VN99" i="25"/>
  <c r="VR99" i="25"/>
  <c r="WK99" i="25"/>
  <c r="WD99" i="25"/>
  <c r="VM99" i="25"/>
  <c r="VQ99" i="25"/>
  <c r="VU99" i="25"/>
  <c r="VP99" i="25"/>
  <c r="VK99" i="25"/>
  <c r="VH99" i="25"/>
  <c r="VD99" i="25"/>
  <c r="VB99" i="25"/>
  <c r="VO99" i="25"/>
  <c r="VJ99" i="25"/>
  <c r="VI99" i="25"/>
  <c r="VG99" i="25"/>
  <c r="VC99" i="25"/>
  <c r="VA99" i="25"/>
  <c r="VT99" i="25"/>
  <c r="VS99" i="25"/>
  <c r="VL99" i="25"/>
  <c r="WP98" i="25"/>
  <c r="WU98" i="25"/>
  <c r="WO98" i="25"/>
  <c r="WS98" i="25"/>
  <c r="WN98" i="25"/>
  <c r="WR98" i="25"/>
  <c r="WT98" i="25"/>
  <c r="WM98" i="25"/>
  <c r="WQ98" i="25"/>
  <c r="WD98" i="25"/>
  <c r="WL98" i="25"/>
  <c r="WC98" i="25"/>
  <c r="WK98" i="25"/>
  <c r="WI98" i="25"/>
  <c r="WB98" i="25"/>
  <c r="VO98" i="25"/>
  <c r="VS98" i="25"/>
  <c r="WJ98" i="25"/>
  <c r="WH98" i="25"/>
  <c r="WA98" i="25"/>
  <c r="WG98" i="25"/>
  <c r="VN98" i="25"/>
  <c r="VR98" i="25"/>
  <c r="VQ98" i="25"/>
  <c r="VJ98" i="25"/>
  <c r="VP98" i="25"/>
  <c r="VB98" i="25"/>
  <c r="VM98" i="25"/>
  <c r="VU98" i="25"/>
  <c r="VL98" i="25"/>
  <c r="VI98" i="25"/>
  <c r="VH98" i="25"/>
  <c r="VD98" i="25"/>
  <c r="VA98" i="25"/>
  <c r="VT98" i="25"/>
  <c r="VK98" i="25"/>
  <c r="VG98" i="25"/>
  <c r="VC98" i="25"/>
  <c r="WT97" i="25"/>
  <c r="WP97" i="25"/>
  <c r="WU97" i="25"/>
  <c r="WO97" i="25"/>
  <c r="WS97" i="25"/>
  <c r="WN97" i="25"/>
  <c r="WR97" i="25"/>
  <c r="WM97" i="25"/>
  <c r="WQ97" i="25"/>
  <c r="WL97" i="25"/>
  <c r="WI97" i="25"/>
  <c r="WA97" i="25"/>
  <c r="WG97" i="25"/>
  <c r="WK97" i="25"/>
  <c r="WH97" i="25"/>
  <c r="WD97" i="25"/>
  <c r="WJ97" i="25"/>
  <c r="WC97" i="25"/>
  <c r="VP97" i="25"/>
  <c r="VT97" i="25"/>
  <c r="WB97" i="25"/>
  <c r="VO97" i="25"/>
  <c r="VS97" i="25"/>
  <c r="VR97" i="25"/>
  <c r="VH97" i="25"/>
  <c r="VD97" i="25"/>
  <c r="VQ97" i="25"/>
  <c r="VL97" i="25"/>
  <c r="VG97" i="25"/>
  <c r="VC97" i="25"/>
  <c r="VN97" i="25"/>
  <c r="VK97" i="25"/>
  <c r="VB97" i="25"/>
  <c r="VM97" i="25"/>
  <c r="VU97" i="25"/>
  <c r="VJ97" i="25"/>
  <c r="VI97" i="25"/>
  <c r="VA97" i="25"/>
  <c r="WP96" i="25"/>
  <c r="WU96" i="25"/>
  <c r="WT96" i="25"/>
  <c r="WO96" i="25"/>
  <c r="WS96" i="25"/>
  <c r="WN96" i="25"/>
  <c r="WR96" i="25"/>
  <c r="WM96" i="25"/>
  <c r="WQ96" i="25"/>
  <c r="WK96" i="25"/>
  <c r="WB96" i="25"/>
  <c r="WJ96" i="25"/>
  <c r="WA96" i="25"/>
  <c r="WG96" i="25"/>
  <c r="WI96" i="25"/>
  <c r="WD96" i="25"/>
  <c r="VM96" i="25"/>
  <c r="VQ96" i="25"/>
  <c r="VU96" i="25"/>
  <c r="WL96" i="25"/>
  <c r="WH96" i="25"/>
  <c r="WC96" i="25"/>
  <c r="VP96" i="25"/>
  <c r="VT96" i="25"/>
  <c r="VS96" i="25"/>
  <c r="VL96" i="25"/>
  <c r="VI96" i="25"/>
  <c r="VA96" i="25"/>
  <c r="VR96" i="25"/>
  <c r="VK96" i="25"/>
  <c r="VO96" i="25"/>
  <c r="VJ96" i="25"/>
  <c r="VH96" i="25"/>
  <c r="VD96" i="25"/>
  <c r="VN96" i="25"/>
  <c r="VG96" i="25"/>
  <c r="VC96" i="25"/>
  <c r="VB96" i="25"/>
  <c r="WP95" i="25"/>
  <c r="WU95" i="25"/>
  <c r="WO95" i="25"/>
  <c r="WS95" i="25"/>
  <c r="WT95" i="25"/>
  <c r="WN95" i="25"/>
  <c r="WR95" i="25"/>
  <c r="WM95" i="25"/>
  <c r="WQ95" i="25"/>
  <c r="WJ95" i="25"/>
  <c r="WI95" i="25"/>
  <c r="WC95" i="25"/>
  <c r="VP95" i="25"/>
  <c r="WH95" i="25"/>
  <c r="WB95" i="25"/>
  <c r="VO95" i="25"/>
  <c r="WL95" i="25"/>
  <c r="WA95" i="25"/>
  <c r="WG95" i="25"/>
  <c r="VN95" i="25"/>
  <c r="VR95" i="25"/>
  <c r="WK95" i="25"/>
  <c r="WD95" i="25"/>
  <c r="VM95" i="25"/>
  <c r="VQ95" i="25"/>
  <c r="VU95" i="25"/>
  <c r="VT95" i="25"/>
  <c r="VK95" i="25"/>
  <c r="VH95" i="25"/>
  <c r="VD95" i="25"/>
  <c r="VB95" i="25"/>
  <c r="VS95" i="25"/>
  <c r="VJ95" i="25"/>
  <c r="VI95" i="25"/>
  <c r="VG95" i="25"/>
  <c r="VC95" i="25"/>
  <c r="VA95" i="25"/>
  <c r="VL95" i="25"/>
  <c r="WP94" i="25"/>
  <c r="WU94" i="25"/>
  <c r="WO94" i="25"/>
  <c r="WS94" i="25"/>
  <c r="WN94" i="25"/>
  <c r="WR94" i="25"/>
  <c r="WT94" i="25"/>
  <c r="WM94" i="25"/>
  <c r="WQ94" i="25"/>
  <c r="WD94" i="25"/>
  <c r="VM94" i="25"/>
  <c r="VQ94" i="25"/>
  <c r="VU94" i="25"/>
  <c r="WL94" i="25"/>
  <c r="WC94" i="25"/>
  <c r="VP94" i="25"/>
  <c r="VT94" i="25"/>
  <c r="WK94" i="25"/>
  <c r="WI94" i="25"/>
  <c r="WB94" i="25"/>
  <c r="VO94" i="25"/>
  <c r="VS94" i="25"/>
  <c r="WJ94" i="25"/>
  <c r="WH94" i="25"/>
  <c r="WA94" i="25"/>
  <c r="WG94" i="25"/>
  <c r="VN94" i="25"/>
  <c r="VR94" i="25"/>
  <c r="VJ94" i="25"/>
  <c r="VB94" i="25"/>
  <c r="VL94" i="25"/>
  <c r="VI94" i="25"/>
  <c r="VH94" i="25"/>
  <c r="VD94" i="25"/>
  <c r="VA94" i="25"/>
  <c r="VK94" i="25"/>
  <c r="VG94" i="25"/>
  <c r="VC94" i="25"/>
  <c r="WT93" i="25"/>
  <c r="WP93" i="25"/>
  <c r="WU93" i="25"/>
  <c r="WO93" i="25"/>
  <c r="WS93" i="25"/>
  <c r="WN93" i="25"/>
  <c r="WR93" i="25"/>
  <c r="WM93" i="25"/>
  <c r="WQ93" i="25"/>
  <c r="WL93" i="25"/>
  <c r="WI93" i="25"/>
  <c r="WA93" i="25"/>
  <c r="WG93" i="25"/>
  <c r="VN93" i="25"/>
  <c r="VR93" i="25"/>
  <c r="WK93" i="25"/>
  <c r="WH93" i="25"/>
  <c r="WD93" i="25"/>
  <c r="VM93" i="25"/>
  <c r="VQ93" i="25"/>
  <c r="VU93" i="25"/>
  <c r="WJ93" i="25"/>
  <c r="WC93" i="25"/>
  <c r="VP93" i="25"/>
  <c r="VT93" i="25"/>
  <c r="WB93" i="25"/>
  <c r="VO93" i="25"/>
  <c r="VS93" i="25"/>
  <c r="VH93" i="25"/>
  <c r="VD93" i="25"/>
  <c r="VL93" i="25"/>
  <c r="VG93" i="25"/>
  <c r="VC93" i="25"/>
  <c r="VK93" i="25"/>
  <c r="VB93" i="25"/>
  <c r="VJ93" i="25"/>
  <c r="VI93" i="25"/>
  <c r="VA93" i="25"/>
  <c r="WP92" i="25"/>
  <c r="WU92" i="25"/>
  <c r="WT92" i="25"/>
  <c r="WO92" i="25"/>
  <c r="WS92" i="25"/>
  <c r="WN92" i="25"/>
  <c r="WR92" i="25"/>
  <c r="WM92" i="25"/>
  <c r="WQ92" i="25"/>
  <c r="WK92" i="25"/>
  <c r="WB92" i="25"/>
  <c r="VO92" i="25"/>
  <c r="VS92" i="25"/>
  <c r="WJ92" i="25"/>
  <c r="WA92" i="25"/>
  <c r="WG92" i="25"/>
  <c r="VN92" i="25"/>
  <c r="VR92" i="25"/>
  <c r="WI92" i="25"/>
  <c r="WD92" i="25"/>
  <c r="VM92" i="25"/>
  <c r="VQ92" i="25"/>
  <c r="VU92" i="25"/>
  <c r="WL92" i="25"/>
  <c r="WH92" i="25"/>
  <c r="WC92" i="25"/>
  <c r="VP92" i="25"/>
  <c r="VT92" i="25"/>
  <c r="VL92" i="25"/>
  <c r="VI92" i="25"/>
  <c r="VK92" i="25"/>
  <c r="VJ92" i="25"/>
  <c r="VH92" i="25"/>
  <c r="VD92" i="25"/>
  <c r="VA92" i="25"/>
  <c r="VG92" i="25"/>
  <c r="VC92" i="25"/>
  <c r="VB92" i="25"/>
  <c r="WP91" i="25"/>
  <c r="WU91" i="25"/>
  <c r="WO91" i="25"/>
  <c r="WS91" i="25"/>
  <c r="WT91" i="25"/>
  <c r="WN91" i="25"/>
  <c r="WR91" i="25"/>
  <c r="WM91" i="25"/>
  <c r="WQ91" i="25"/>
  <c r="WJ91" i="25"/>
  <c r="WI91" i="25"/>
  <c r="WC91" i="25"/>
  <c r="VP91" i="25"/>
  <c r="VT91" i="25"/>
  <c r="WH91" i="25"/>
  <c r="WB91" i="25"/>
  <c r="VO91" i="25"/>
  <c r="VS91" i="25"/>
  <c r="WL91" i="25"/>
  <c r="WA91" i="25"/>
  <c r="WG91" i="25"/>
  <c r="VN91" i="25"/>
  <c r="VR91" i="25"/>
  <c r="WK91" i="25"/>
  <c r="WD91" i="25"/>
  <c r="VM91" i="25"/>
  <c r="VQ91" i="25"/>
  <c r="VU91" i="25"/>
  <c r="VK91" i="25"/>
  <c r="VH91" i="25"/>
  <c r="VD91" i="25"/>
  <c r="VB91" i="25"/>
  <c r="VJ91" i="25"/>
  <c r="VI91" i="25"/>
  <c r="VG91" i="25"/>
  <c r="VC91" i="25"/>
  <c r="VA91" i="25"/>
  <c r="VL91" i="25"/>
  <c r="WP90" i="25"/>
  <c r="WU90" i="25"/>
  <c r="WO90" i="25"/>
  <c r="WS90" i="25"/>
  <c r="WN90" i="25"/>
  <c r="WR90" i="25"/>
  <c r="WT90" i="25"/>
  <c r="WM90" i="25"/>
  <c r="WQ90" i="25"/>
  <c r="WD90" i="25"/>
  <c r="VM90" i="25"/>
  <c r="VQ90" i="25"/>
  <c r="VU90" i="25"/>
  <c r="WL90" i="25"/>
  <c r="WC90" i="25"/>
  <c r="VP90" i="25"/>
  <c r="VT90" i="25"/>
  <c r="WK90" i="25"/>
  <c r="WI90" i="25"/>
  <c r="WB90" i="25"/>
  <c r="VO90" i="25"/>
  <c r="VS90" i="25"/>
  <c r="WJ90" i="25"/>
  <c r="WH90" i="25"/>
  <c r="WA90" i="25"/>
  <c r="WG90" i="25"/>
  <c r="VN90" i="25"/>
  <c r="VR90" i="25"/>
  <c r="VJ90" i="25"/>
  <c r="VB90" i="25"/>
  <c r="VL90" i="25"/>
  <c r="VI90" i="25"/>
  <c r="VH90" i="25"/>
  <c r="VD90" i="25"/>
  <c r="VA90" i="25"/>
  <c r="VK90" i="25"/>
  <c r="VG90" i="25"/>
  <c r="VC90" i="25"/>
  <c r="WT89" i="25"/>
  <c r="WP89" i="25"/>
  <c r="WU89" i="25"/>
  <c r="WO89" i="25"/>
  <c r="WS89" i="25"/>
  <c r="WN89" i="25"/>
  <c r="WR89" i="25"/>
  <c r="WM89" i="25"/>
  <c r="WQ89" i="25"/>
  <c r="WL89" i="25"/>
  <c r="WI89" i="25"/>
  <c r="WA89" i="25"/>
  <c r="WG89" i="25"/>
  <c r="VN89" i="25"/>
  <c r="VR89" i="25"/>
  <c r="WK89" i="25"/>
  <c r="WH89" i="25"/>
  <c r="WD89" i="25"/>
  <c r="VM89" i="25"/>
  <c r="VQ89" i="25"/>
  <c r="VU89" i="25"/>
  <c r="WJ89" i="25"/>
  <c r="WC89" i="25"/>
  <c r="VP89" i="25"/>
  <c r="VT89" i="25"/>
  <c r="WB89" i="25"/>
  <c r="VO89" i="25"/>
  <c r="VS89" i="25"/>
  <c r="VH89" i="25"/>
  <c r="VD89" i="25"/>
  <c r="VL89" i="25"/>
  <c r="VG89" i="25"/>
  <c r="VC89" i="25"/>
  <c r="VK89" i="25"/>
  <c r="VB89" i="25"/>
  <c r="VJ89" i="25"/>
  <c r="VI89" i="25"/>
  <c r="VA89" i="25"/>
  <c r="WP88" i="25"/>
  <c r="WU88" i="25"/>
  <c r="WT88" i="25"/>
  <c r="WO88" i="25"/>
  <c r="WS88" i="25"/>
  <c r="WN88" i="25"/>
  <c r="WR88" i="25"/>
  <c r="WM88" i="25"/>
  <c r="WQ88" i="25"/>
  <c r="WK88" i="25"/>
  <c r="WB88" i="25"/>
  <c r="VO88" i="25"/>
  <c r="VS88" i="25"/>
  <c r="WJ88" i="25"/>
  <c r="WA88" i="25"/>
  <c r="WG88" i="25"/>
  <c r="VN88" i="25"/>
  <c r="VR88" i="25"/>
  <c r="WI88" i="25"/>
  <c r="WD88" i="25"/>
  <c r="VM88" i="25"/>
  <c r="VQ88" i="25"/>
  <c r="VU88" i="25"/>
  <c r="WL88" i="25"/>
  <c r="WH88" i="25"/>
  <c r="WC88" i="25"/>
  <c r="VP88" i="25"/>
  <c r="VT88" i="25"/>
  <c r="VL88" i="25"/>
  <c r="VI88" i="25"/>
  <c r="VK88" i="25"/>
  <c r="VJ88" i="25"/>
  <c r="VH88" i="25"/>
  <c r="VD88" i="25"/>
  <c r="VG88" i="25"/>
  <c r="VC88" i="25"/>
  <c r="VB88" i="25"/>
  <c r="VA88" i="25"/>
  <c r="WP87" i="25"/>
  <c r="WU87" i="25"/>
  <c r="WO87" i="25"/>
  <c r="WS87" i="25"/>
  <c r="WT87" i="25"/>
  <c r="WN87" i="25"/>
  <c r="WR87" i="25"/>
  <c r="WM87" i="25"/>
  <c r="WQ87" i="25"/>
  <c r="WJ87" i="25"/>
  <c r="WI87" i="25"/>
  <c r="WC87" i="25"/>
  <c r="VP87" i="25"/>
  <c r="VT87" i="25"/>
  <c r="WH87" i="25"/>
  <c r="WB87" i="25"/>
  <c r="VO87" i="25"/>
  <c r="VS87" i="25"/>
  <c r="WL87" i="25"/>
  <c r="WA87" i="25"/>
  <c r="WG87" i="25"/>
  <c r="VN87" i="25"/>
  <c r="VR87" i="25"/>
  <c r="WK87" i="25"/>
  <c r="WD87" i="25"/>
  <c r="VM87" i="25"/>
  <c r="VQ87" i="25"/>
  <c r="VU87" i="25"/>
  <c r="VK87" i="25"/>
  <c r="VH87" i="25"/>
  <c r="VD87" i="25"/>
  <c r="VB87" i="25"/>
  <c r="VJ87" i="25"/>
  <c r="VI87" i="25"/>
  <c r="VG87" i="25"/>
  <c r="VC87" i="25"/>
  <c r="VA87" i="25"/>
  <c r="VL87" i="25"/>
  <c r="WP86" i="25"/>
  <c r="WU86" i="25"/>
  <c r="WO86" i="25"/>
  <c r="WS86" i="25"/>
  <c r="WN86" i="25"/>
  <c r="WR86" i="25"/>
  <c r="WT86" i="25"/>
  <c r="WM86" i="25"/>
  <c r="WQ86" i="25"/>
  <c r="WD86" i="25"/>
  <c r="VM86" i="25"/>
  <c r="VQ86" i="25"/>
  <c r="VU86" i="25"/>
  <c r="WL86" i="25"/>
  <c r="WC86" i="25"/>
  <c r="VP86" i="25"/>
  <c r="VT86" i="25"/>
  <c r="WK86" i="25"/>
  <c r="WI86" i="25"/>
  <c r="WB86" i="25"/>
  <c r="VO86" i="25"/>
  <c r="VS86" i="25"/>
  <c r="WJ86" i="25"/>
  <c r="WH86" i="25"/>
  <c r="WA86" i="25"/>
  <c r="WG86" i="25"/>
  <c r="VN86" i="25"/>
  <c r="VR86" i="25"/>
  <c r="VJ86" i="25"/>
  <c r="VB86" i="25"/>
  <c r="VL86" i="25"/>
  <c r="VI86" i="25"/>
  <c r="VH86" i="25"/>
  <c r="VD86" i="25"/>
  <c r="VA86" i="25"/>
  <c r="VK86" i="25"/>
  <c r="VG86" i="25"/>
  <c r="VC86" i="25"/>
  <c r="WT85" i="25"/>
  <c r="WP85" i="25"/>
  <c r="WU85" i="25"/>
  <c r="WO85" i="25"/>
  <c r="WS85" i="25"/>
  <c r="WN85" i="25"/>
  <c r="WR85" i="25"/>
  <c r="WM85" i="25"/>
  <c r="WQ85" i="25"/>
  <c r="WL85" i="25"/>
  <c r="WI85" i="25"/>
  <c r="WA85" i="25"/>
  <c r="WG85" i="25"/>
  <c r="VN85" i="25"/>
  <c r="VR85" i="25"/>
  <c r="WK85" i="25"/>
  <c r="WH85" i="25"/>
  <c r="WD85" i="25"/>
  <c r="VM85" i="25"/>
  <c r="VQ85" i="25"/>
  <c r="VU85" i="25"/>
  <c r="WJ85" i="25"/>
  <c r="WC85" i="25"/>
  <c r="VP85" i="25"/>
  <c r="VT85" i="25"/>
  <c r="WB85" i="25"/>
  <c r="VO85" i="25"/>
  <c r="VS85" i="25"/>
  <c r="VH85" i="25"/>
  <c r="VD85" i="25"/>
  <c r="VL85" i="25"/>
  <c r="VG85" i="25"/>
  <c r="VC85" i="25"/>
  <c r="VK85" i="25"/>
  <c r="VB85" i="25"/>
  <c r="VJ85" i="25"/>
  <c r="VI85" i="25"/>
  <c r="VA85" i="25"/>
  <c r="WP84" i="25"/>
  <c r="WU84" i="25"/>
  <c r="WT84" i="25"/>
  <c r="WO84" i="25"/>
  <c r="WS84" i="25"/>
  <c r="WN84" i="25"/>
  <c r="WR84" i="25"/>
  <c r="WM84" i="25"/>
  <c r="WQ84" i="25"/>
  <c r="WK84" i="25"/>
  <c r="WB84" i="25"/>
  <c r="VO84" i="25"/>
  <c r="VS84" i="25"/>
  <c r="WJ84" i="25"/>
  <c r="WA84" i="25"/>
  <c r="WG84" i="25"/>
  <c r="VN84" i="25"/>
  <c r="VR84" i="25"/>
  <c r="WI84" i="25"/>
  <c r="WD84" i="25"/>
  <c r="VM84" i="25"/>
  <c r="VQ84" i="25"/>
  <c r="VU84" i="25"/>
  <c r="WL84" i="25"/>
  <c r="WH84" i="25"/>
  <c r="WC84" i="25"/>
  <c r="VP84" i="25"/>
  <c r="VT84" i="25"/>
  <c r="VL84" i="25"/>
  <c r="VI84" i="25"/>
  <c r="VA84" i="25"/>
  <c r="VK84" i="25"/>
  <c r="VJ84" i="25"/>
  <c r="VH84" i="25"/>
  <c r="VD84" i="25"/>
  <c r="VG84" i="25"/>
  <c r="VC84" i="25"/>
  <c r="VB84" i="25"/>
  <c r="WP83" i="25"/>
  <c r="WU83" i="25"/>
  <c r="WO83" i="25"/>
  <c r="WS83" i="25"/>
  <c r="WT83" i="25"/>
  <c r="WN83" i="25"/>
  <c r="WR83" i="25"/>
  <c r="WM83" i="25"/>
  <c r="WQ83" i="25"/>
  <c r="WJ83" i="25"/>
  <c r="WI83" i="25"/>
  <c r="WC83" i="25"/>
  <c r="VP83" i="25"/>
  <c r="VT83" i="25"/>
  <c r="WH83" i="25"/>
  <c r="WB83" i="25"/>
  <c r="VO83" i="25"/>
  <c r="VS83" i="25"/>
  <c r="WL83" i="25"/>
  <c r="WA83" i="25"/>
  <c r="WG83" i="25"/>
  <c r="VN83" i="25"/>
  <c r="VR83" i="25"/>
  <c r="WK83" i="25"/>
  <c r="WD83" i="25"/>
  <c r="VM83" i="25"/>
  <c r="VQ83" i="25"/>
  <c r="VU83" i="25"/>
  <c r="VK83" i="25"/>
  <c r="VH83" i="25"/>
  <c r="VD83" i="25"/>
  <c r="VB83" i="25"/>
  <c r="VJ83" i="25"/>
  <c r="VI83" i="25"/>
  <c r="VG83" i="25"/>
  <c r="VC83" i="25"/>
  <c r="VA83" i="25"/>
  <c r="VL83" i="25"/>
  <c r="WP82" i="25"/>
  <c r="WU82" i="25"/>
  <c r="WO82" i="25"/>
  <c r="WS82" i="25"/>
  <c r="WN82" i="25"/>
  <c r="WR82" i="25"/>
  <c r="WT82" i="25"/>
  <c r="WM82" i="25"/>
  <c r="WQ82" i="25"/>
  <c r="WD82" i="25"/>
  <c r="VM82" i="25"/>
  <c r="VQ82" i="25"/>
  <c r="VU82" i="25"/>
  <c r="WL82" i="25"/>
  <c r="WC82" i="25"/>
  <c r="VP82" i="25"/>
  <c r="VT82" i="25"/>
  <c r="WK82" i="25"/>
  <c r="WI82" i="25"/>
  <c r="WB82" i="25"/>
  <c r="VO82" i="25"/>
  <c r="VS82" i="25"/>
  <c r="WJ82" i="25"/>
  <c r="WH82" i="25"/>
  <c r="WA82" i="25"/>
  <c r="WG82" i="25"/>
  <c r="VN82" i="25"/>
  <c r="VR82" i="25"/>
  <c r="VJ82" i="25"/>
  <c r="VB82" i="25"/>
  <c r="VL82" i="25"/>
  <c r="VI82" i="25"/>
  <c r="VH82" i="25"/>
  <c r="VD82" i="25"/>
  <c r="VA82" i="25"/>
  <c r="VK82" i="25"/>
  <c r="VG82" i="25"/>
  <c r="VC82" i="25"/>
  <c r="WT81" i="25"/>
  <c r="WP81" i="25"/>
  <c r="WU81" i="25"/>
  <c r="WO81" i="25"/>
  <c r="WS81" i="25"/>
  <c r="WN81" i="25"/>
  <c r="WR81" i="25"/>
  <c r="WM81" i="25"/>
  <c r="WQ81" i="25"/>
  <c r="WL81" i="25"/>
  <c r="WI81" i="25"/>
  <c r="WA81" i="25"/>
  <c r="WG81" i="25"/>
  <c r="VN81" i="25"/>
  <c r="VR81" i="25"/>
  <c r="WK81" i="25"/>
  <c r="WH81" i="25"/>
  <c r="WD81" i="25"/>
  <c r="VM81" i="25"/>
  <c r="VQ81" i="25"/>
  <c r="VU81" i="25"/>
  <c r="WJ81" i="25"/>
  <c r="WC81" i="25"/>
  <c r="VP81" i="25"/>
  <c r="VT81" i="25"/>
  <c r="WB81" i="25"/>
  <c r="VO81" i="25"/>
  <c r="VS81" i="25"/>
  <c r="VH81" i="25"/>
  <c r="VD81" i="25"/>
  <c r="VL81" i="25"/>
  <c r="VG81" i="25"/>
  <c r="VC81" i="25"/>
  <c r="VK81" i="25"/>
  <c r="VB81" i="25"/>
  <c r="VJ81" i="25"/>
  <c r="VI81" i="25"/>
  <c r="VA81" i="25"/>
  <c r="WP80" i="25"/>
  <c r="WU80" i="25"/>
  <c r="WT80" i="25"/>
  <c r="WO80" i="25"/>
  <c r="WS80" i="25"/>
  <c r="WN80" i="25"/>
  <c r="WR80" i="25"/>
  <c r="WM80" i="25"/>
  <c r="WQ80" i="25"/>
  <c r="WK80" i="25"/>
  <c r="WB80" i="25"/>
  <c r="VO80" i="25"/>
  <c r="VS80" i="25"/>
  <c r="WJ80" i="25"/>
  <c r="WA80" i="25"/>
  <c r="WG80" i="25"/>
  <c r="VN80" i="25"/>
  <c r="VR80" i="25"/>
  <c r="WI80" i="25"/>
  <c r="WD80" i="25"/>
  <c r="VM80" i="25"/>
  <c r="VQ80" i="25"/>
  <c r="VU80" i="25"/>
  <c r="WL80" i="25"/>
  <c r="WH80" i="25"/>
  <c r="WC80" i="25"/>
  <c r="VP80" i="25"/>
  <c r="VT80" i="25"/>
  <c r="VL80" i="25"/>
  <c r="VI80" i="25"/>
  <c r="VA80" i="25"/>
  <c r="VK80" i="25"/>
  <c r="VJ80" i="25"/>
  <c r="VH80" i="25"/>
  <c r="VD80" i="25"/>
  <c r="VG80" i="25"/>
  <c r="VC80" i="25"/>
  <c r="VB80" i="25"/>
  <c r="WP79" i="25"/>
  <c r="WU79" i="25"/>
  <c r="WO79" i="25"/>
  <c r="WS79" i="25"/>
  <c r="WT79" i="25"/>
  <c r="WN79" i="25"/>
  <c r="WR79" i="25"/>
  <c r="WM79" i="25"/>
  <c r="WQ79" i="25"/>
  <c r="WJ79" i="25"/>
  <c r="WI79" i="25"/>
  <c r="WC79" i="25"/>
  <c r="VP79" i="25"/>
  <c r="VT79" i="25"/>
  <c r="WH79" i="25"/>
  <c r="WB79" i="25"/>
  <c r="VO79" i="25"/>
  <c r="VS79" i="25"/>
  <c r="WL79" i="25"/>
  <c r="WA79" i="25"/>
  <c r="WG79" i="25"/>
  <c r="VN79" i="25"/>
  <c r="VR79" i="25"/>
  <c r="WK79" i="25"/>
  <c r="WD79" i="25"/>
  <c r="VM79" i="25"/>
  <c r="VQ79" i="25"/>
  <c r="VU79" i="25"/>
  <c r="VK79" i="25"/>
  <c r="VH79" i="25"/>
  <c r="VD79" i="25"/>
  <c r="VB79" i="25"/>
  <c r="VJ79" i="25"/>
  <c r="VI79" i="25"/>
  <c r="VG79" i="25"/>
  <c r="VC79" i="25"/>
  <c r="VA79" i="25"/>
  <c r="VL79" i="25"/>
  <c r="WP78" i="25"/>
  <c r="WU78" i="25"/>
  <c r="WO78" i="25"/>
  <c r="WS78" i="25"/>
  <c r="WN78" i="25"/>
  <c r="WR78" i="25"/>
  <c r="WT78" i="25"/>
  <c r="WM78" i="25"/>
  <c r="WQ78" i="25"/>
  <c r="WD78" i="25"/>
  <c r="VM78" i="25"/>
  <c r="VQ78" i="25"/>
  <c r="VU78" i="25"/>
  <c r="WL78" i="25"/>
  <c r="WC78" i="25"/>
  <c r="VP78" i="25"/>
  <c r="VT78" i="25"/>
  <c r="WK78" i="25"/>
  <c r="WI78" i="25"/>
  <c r="WB78" i="25"/>
  <c r="VO78" i="25"/>
  <c r="VS78" i="25"/>
  <c r="WJ78" i="25"/>
  <c r="WH78" i="25"/>
  <c r="WA78" i="25"/>
  <c r="WG78" i="25"/>
  <c r="VN78" i="25"/>
  <c r="VR78" i="25"/>
  <c r="VJ78" i="25"/>
  <c r="VB78" i="25"/>
  <c r="VL78" i="25"/>
  <c r="VI78" i="25"/>
  <c r="VH78" i="25"/>
  <c r="VD78" i="25"/>
  <c r="VA78" i="25"/>
  <c r="VK78" i="25"/>
  <c r="VG78" i="25"/>
  <c r="VC78" i="25"/>
  <c r="WT77" i="25"/>
  <c r="WP77" i="25"/>
  <c r="WU77" i="25"/>
  <c r="WO77" i="25"/>
  <c r="WS77" i="25"/>
  <c r="WN77" i="25"/>
  <c r="WR77" i="25"/>
  <c r="WM77" i="25"/>
  <c r="WQ77" i="25"/>
  <c r="WL77" i="25"/>
  <c r="WI77" i="25"/>
  <c r="WA77" i="25"/>
  <c r="WG77" i="25"/>
  <c r="VN77" i="25"/>
  <c r="VR77" i="25"/>
  <c r="WK77" i="25"/>
  <c r="WH77" i="25"/>
  <c r="WD77" i="25"/>
  <c r="VM77" i="25"/>
  <c r="VQ77" i="25"/>
  <c r="VU77" i="25"/>
  <c r="WJ77" i="25"/>
  <c r="WC77" i="25"/>
  <c r="VP77" i="25"/>
  <c r="VT77" i="25"/>
  <c r="WB77" i="25"/>
  <c r="VO77" i="25"/>
  <c r="VS77" i="25"/>
  <c r="VH77" i="25"/>
  <c r="VD77" i="25"/>
  <c r="VL77" i="25"/>
  <c r="VG77" i="25"/>
  <c r="VC77" i="25"/>
  <c r="VK77" i="25"/>
  <c r="VB77" i="25"/>
  <c r="VJ77" i="25"/>
  <c r="VI77" i="25"/>
  <c r="VA77" i="25"/>
  <c r="WP76" i="25"/>
  <c r="WU76" i="25"/>
  <c r="WT76" i="25"/>
  <c r="WO76" i="25"/>
  <c r="WS76" i="25"/>
  <c r="WN76" i="25"/>
  <c r="WR76" i="25"/>
  <c r="WM76" i="25"/>
  <c r="WQ76" i="25"/>
  <c r="WK76" i="25"/>
  <c r="WB76" i="25"/>
  <c r="VO76" i="25"/>
  <c r="VS76" i="25"/>
  <c r="WJ76" i="25"/>
  <c r="WA76" i="25"/>
  <c r="WG76" i="25"/>
  <c r="VN76" i="25"/>
  <c r="VR76" i="25"/>
  <c r="WI76" i="25"/>
  <c r="WD76" i="25"/>
  <c r="VM76" i="25"/>
  <c r="VQ76" i="25"/>
  <c r="VU76" i="25"/>
  <c r="WL76" i="25"/>
  <c r="WH76" i="25"/>
  <c r="WC76" i="25"/>
  <c r="VP76" i="25"/>
  <c r="VT76" i="25"/>
  <c r="VL76" i="25"/>
  <c r="VI76" i="25"/>
  <c r="VA76" i="25"/>
  <c r="VK76" i="25"/>
  <c r="VJ76" i="25"/>
  <c r="VH76" i="25"/>
  <c r="VD76" i="25"/>
  <c r="VG76" i="25"/>
  <c r="VC76" i="25"/>
  <c r="VB76" i="25"/>
  <c r="WP75" i="25"/>
  <c r="WU75" i="25"/>
  <c r="WO75" i="25"/>
  <c r="WS75" i="25"/>
  <c r="WT75" i="25"/>
  <c r="WN75" i="25"/>
  <c r="WR75" i="25"/>
  <c r="WM75" i="25"/>
  <c r="WQ75" i="25"/>
  <c r="WJ75" i="25"/>
  <c r="WI75" i="25"/>
  <c r="WC75" i="25"/>
  <c r="VP75" i="25"/>
  <c r="VT75" i="25"/>
  <c r="WH75" i="25"/>
  <c r="WB75" i="25"/>
  <c r="VO75" i="25"/>
  <c r="VS75" i="25"/>
  <c r="WL75" i="25"/>
  <c r="WA75" i="25"/>
  <c r="WG75" i="25"/>
  <c r="VN75" i="25"/>
  <c r="VR75" i="25"/>
  <c r="WK75" i="25"/>
  <c r="WD75" i="25"/>
  <c r="VM75" i="25"/>
  <c r="VQ75" i="25"/>
  <c r="VU75" i="25"/>
  <c r="VK75" i="25"/>
  <c r="VH75" i="25"/>
  <c r="VD75" i="25"/>
  <c r="VB75" i="25"/>
  <c r="VJ75" i="25"/>
  <c r="VI75" i="25"/>
  <c r="VG75" i="25"/>
  <c r="VC75" i="25"/>
  <c r="VA75" i="25"/>
  <c r="VL75" i="25"/>
  <c r="WP74" i="25"/>
  <c r="WU74" i="25"/>
  <c r="WO74" i="25"/>
  <c r="WS74" i="25"/>
  <c r="WN74" i="25"/>
  <c r="WR74" i="25"/>
  <c r="WT74" i="25"/>
  <c r="WM74" i="25"/>
  <c r="WQ74" i="25"/>
  <c r="WD74" i="25"/>
  <c r="VM74" i="25"/>
  <c r="VQ74" i="25"/>
  <c r="VU74" i="25"/>
  <c r="WL74" i="25"/>
  <c r="WC74" i="25"/>
  <c r="VP74" i="25"/>
  <c r="VT74" i="25"/>
  <c r="WK74" i="25"/>
  <c r="WI74" i="25"/>
  <c r="WB74" i="25"/>
  <c r="VO74" i="25"/>
  <c r="VS74" i="25"/>
  <c r="WJ74" i="25"/>
  <c r="WH74" i="25"/>
  <c r="WA74" i="25"/>
  <c r="WG74" i="25"/>
  <c r="VN74" i="25"/>
  <c r="VR74" i="25"/>
  <c r="VJ74" i="25"/>
  <c r="VB74" i="25"/>
  <c r="VL74" i="25"/>
  <c r="VI74" i="25"/>
  <c r="VH74" i="25"/>
  <c r="VD74" i="25"/>
  <c r="VA74" i="25"/>
  <c r="VK74" i="25"/>
  <c r="VG74" i="25"/>
  <c r="VC74" i="25"/>
  <c r="WT73" i="25"/>
  <c r="WP73" i="25"/>
  <c r="WU73" i="25"/>
  <c r="WO73" i="25"/>
  <c r="WS73" i="25"/>
  <c r="WN73" i="25"/>
  <c r="WR73" i="25"/>
  <c r="WM73" i="25"/>
  <c r="WQ73" i="25"/>
  <c r="WL73" i="25"/>
  <c r="WI73" i="25"/>
  <c r="WA73" i="25"/>
  <c r="WG73" i="25"/>
  <c r="VN73" i="25"/>
  <c r="VR73" i="25"/>
  <c r="WK73" i="25"/>
  <c r="WH73" i="25"/>
  <c r="WD73" i="25"/>
  <c r="VM73" i="25"/>
  <c r="VQ73" i="25"/>
  <c r="VU73" i="25"/>
  <c r="WJ73" i="25"/>
  <c r="WC73" i="25"/>
  <c r="VP73" i="25"/>
  <c r="VT73" i="25"/>
  <c r="WB73" i="25"/>
  <c r="VO73" i="25"/>
  <c r="VS73" i="25"/>
  <c r="VH73" i="25"/>
  <c r="VD73" i="25"/>
  <c r="VL73" i="25"/>
  <c r="VG73" i="25"/>
  <c r="VC73" i="25"/>
  <c r="VK73" i="25"/>
  <c r="VB73" i="25"/>
  <c r="VJ73" i="25"/>
  <c r="VI73" i="25"/>
  <c r="VA73" i="25"/>
  <c r="WP72" i="25"/>
  <c r="WU72" i="25"/>
  <c r="WT72" i="25"/>
  <c r="WO72" i="25"/>
  <c r="WS72" i="25"/>
  <c r="WN72" i="25"/>
  <c r="WR72" i="25"/>
  <c r="WM72" i="25"/>
  <c r="WQ72" i="25"/>
  <c r="WK72" i="25"/>
  <c r="WB72" i="25"/>
  <c r="VO72" i="25"/>
  <c r="VS72" i="25"/>
  <c r="WJ72" i="25"/>
  <c r="WA72" i="25"/>
  <c r="WG72" i="25"/>
  <c r="VN72" i="25"/>
  <c r="VR72" i="25"/>
  <c r="WI72" i="25"/>
  <c r="WD72" i="25"/>
  <c r="VM72" i="25"/>
  <c r="VQ72" i="25"/>
  <c r="VU72" i="25"/>
  <c r="WL72" i="25"/>
  <c r="WH72" i="25"/>
  <c r="WC72" i="25"/>
  <c r="VP72" i="25"/>
  <c r="VT72" i="25"/>
  <c r="VL72" i="25"/>
  <c r="VI72" i="25"/>
  <c r="VA72" i="25"/>
  <c r="VK72" i="25"/>
  <c r="VJ72" i="25"/>
  <c r="VH72" i="25"/>
  <c r="VD72" i="25"/>
  <c r="VG72" i="25"/>
  <c r="VC72" i="25"/>
  <c r="VB72" i="25"/>
  <c r="WO71" i="25"/>
  <c r="WN71" i="25"/>
  <c r="WM71" i="25"/>
  <c r="WP71" i="25" s="1"/>
  <c r="WI71" i="25"/>
  <c r="WB71" i="25"/>
  <c r="WT71" i="25" s="1"/>
  <c r="VO71" i="25"/>
  <c r="WA71" i="25"/>
  <c r="VN71" i="25"/>
  <c r="VM71" i="25"/>
  <c r="VP71" i="25" s="1"/>
  <c r="VB71" i="25"/>
  <c r="VT71" i="25" s="1"/>
  <c r="VI71" i="25"/>
  <c r="VA71" i="25"/>
  <c r="WO70" i="25"/>
  <c r="WN70" i="25"/>
  <c r="WM70" i="25"/>
  <c r="WP70" i="25" s="1"/>
  <c r="VM70" i="25"/>
  <c r="VP70" i="25" s="1"/>
  <c r="WC70" i="25"/>
  <c r="BH70" i="25" s="1"/>
  <c r="WI70" i="25"/>
  <c r="WB70" i="25"/>
  <c r="WD70" i="25" s="1"/>
  <c r="VO70" i="25"/>
  <c r="WA70" i="25"/>
  <c r="VN70" i="25"/>
  <c r="VB70" i="25"/>
  <c r="VT70" i="25" s="1"/>
  <c r="VI70" i="25"/>
  <c r="VA70" i="25"/>
  <c r="VC70" i="25"/>
  <c r="BG70" i="25" s="1"/>
  <c r="WO69" i="25"/>
  <c r="WN69" i="25"/>
  <c r="WM69" i="25"/>
  <c r="WP69" i="25" s="1"/>
  <c r="WI69" i="25"/>
  <c r="WA69" i="25"/>
  <c r="VN69" i="25"/>
  <c r="VM69" i="25"/>
  <c r="VP69" i="25" s="1"/>
  <c r="WB69" i="25"/>
  <c r="WD69" i="25" s="1"/>
  <c r="VO69" i="25"/>
  <c r="VB69" i="25"/>
  <c r="VD69" i="25" s="1"/>
  <c r="VI69" i="25"/>
  <c r="VA69" i="25"/>
  <c r="WO68" i="25"/>
  <c r="WN68" i="25"/>
  <c r="WM68" i="25"/>
  <c r="WP68" i="25" s="1"/>
  <c r="WB68" i="25"/>
  <c r="WT68" i="25" s="1"/>
  <c r="VO68" i="25"/>
  <c r="WA68" i="25"/>
  <c r="VN68" i="25"/>
  <c r="WI68" i="25"/>
  <c r="VM68" i="25"/>
  <c r="VP68" i="25" s="1"/>
  <c r="VI68" i="25"/>
  <c r="VA68" i="25"/>
  <c r="VB68" i="25"/>
  <c r="VD68" i="25" s="1"/>
  <c r="WO67" i="25"/>
  <c r="WN67" i="25"/>
  <c r="WM67" i="25"/>
  <c r="WP67" i="25" s="1"/>
  <c r="WI67" i="25"/>
  <c r="WB67" i="25"/>
  <c r="WT67" i="25" s="1"/>
  <c r="VO67" i="25"/>
  <c r="WA67" i="25"/>
  <c r="VN67" i="25"/>
  <c r="VM67" i="25"/>
  <c r="VP67" i="25" s="1"/>
  <c r="VB67" i="25"/>
  <c r="VD67" i="25" s="1"/>
  <c r="VI67" i="25"/>
  <c r="VA67" i="25"/>
  <c r="WO66" i="25"/>
  <c r="WN66" i="25"/>
  <c r="WM66" i="25"/>
  <c r="WP66" i="25" s="1"/>
  <c r="VM66" i="25"/>
  <c r="VP66" i="25" s="1"/>
  <c r="WI66" i="25"/>
  <c r="WB66" i="25"/>
  <c r="WT66" i="25" s="1"/>
  <c r="VO66" i="25"/>
  <c r="WA66" i="25"/>
  <c r="VN66" i="25"/>
  <c r="VB66" i="25"/>
  <c r="VT66" i="25" s="1"/>
  <c r="VI66" i="25"/>
  <c r="VA66" i="25"/>
  <c r="WO65" i="25"/>
  <c r="WN65" i="25"/>
  <c r="WM65" i="25"/>
  <c r="WP65" i="25" s="1"/>
  <c r="WI65" i="25"/>
  <c r="WA65" i="25"/>
  <c r="VN65" i="25"/>
  <c r="VM65" i="25"/>
  <c r="VP65" i="25" s="1"/>
  <c r="WB65" i="25"/>
  <c r="WT65" i="25" s="1"/>
  <c r="VO65" i="25"/>
  <c r="VB65" i="25"/>
  <c r="VT65" i="25" s="1"/>
  <c r="VI65" i="25"/>
  <c r="VA65" i="25"/>
  <c r="WO64" i="25"/>
  <c r="WN64" i="25"/>
  <c r="WM64" i="25"/>
  <c r="WP64" i="25" s="1"/>
  <c r="WB64" i="25"/>
  <c r="WT64" i="25" s="1"/>
  <c r="VO64" i="25"/>
  <c r="WA64" i="25"/>
  <c r="VN64" i="25"/>
  <c r="WI64" i="25"/>
  <c r="VM64" i="25"/>
  <c r="VP64" i="25" s="1"/>
  <c r="VI64" i="25"/>
  <c r="VA64" i="25"/>
  <c r="VB64" i="25"/>
  <c r="VD64" i="25" s="1"/>
  <c r="WO63" i="25"/>
  <c r="WN63" i="25"/>
  <c r="WM63" i="25"/>
  <c r="WP63" i="25" s="1"/>
  <c r="WI63" i="25"/>
  <c r="WB63" i="25"/>
  <c r="WT63" i="25" s="1"/>
  <c r="VO63" i="25"/>
  <c r="WA63" i="25"/>
  <c r="VN63" i="25"/>
  <c r="VM63" i="25"/>
  <c r="VP63" i="25" s="1"/>
  <c r="VB63" i="25"/>
  <c r="VD63" i="25" s="1"/>
  <c r="VI63" i="25"/>
  <c r="VA63" i="25"/>
  <c r="WO62" i="25"/>
  <c r="WN62" i="25"/>
  <c r="WM62" i="25"/>
  <c r="WP62" i="25" s="1"/>
  <c r="VM62" i="25"/>
  <c r="VP62" i="25" s="1"/>
  <c r="WI62" i="25"/>
  <c r="WB62" i="25"/>
  <c r="WT62" i="25" s="1"/>
  <c r="VO62" i="25"/>
  <c r="WA62" i="25"/>
  <c r="VN62" i="25"/>
  <c r="VB62" i="25"/>
  <c r="VT62" i="25" s="1"/>
  <c r="VI62" i="25"/>
  <c r="VA62" i="25"/>
  <c r="WO61" i="25"/>
  <c r="WN61" i="25"/>
  <c r="WM61" i="25"/>
  <c r="WP61" i="25" s="1"/>
  <c r="WI61" i="25"/>
  <c r="WA61" i="25"/>
  <c r="VN61" i="25"/>
  <c r="VM61" i="25"/>
  <c r="VP61" i="25" s="1"/>
  <c r="WB61" i="25"/>
  <c r="WT61" i="25" s="1"/>
  <c r="VO61" i="25"/>
  <c r="VB61" i="25"/>
  <c r="VT61" i="25" s="1"/>
  <c r="VI61" i="25"/>
  <c r="VA61" i="25"/>
  <c r="WO60" i="25"/>
  <c r="WN60" i="25"/>
  <c r="WM60" i="25"/>
  <c r="WP60" i="25" s="1"/>
  <c r="WB60" i="25"/>
  <c r="WT60" i="25" s="1"/>
  <c r="VO60" i="25"/>
  <c r="WA60" i="25"/>
  <c r="VN60" i="25"/>
  <c r="WI60" i="25"/>
  <c r="VM60" i="25"/>
  <c r="VP60" i="25" s="1"/>
  <c r="VI60" i="25"/>
  <c r="VA60" i="25"/>
  <c r="VB60" i="25"/>
  <c r="VD60" i="25" s="1"/>
  <c r="WO59" i="25"/>
  <c r="WN59" i="25"/>
  <c r="WM59" i="25"/>
  <c r="WP59" i="25" s="1"/>
  <c r="WI59" i="25"/>
  <c r="WB59" i="25"/>
  <c r="WT59" i="25" s="1"/>
  <c r="VO59" i="25"/>
  <c r="WA59" i="25"/>
  <c r="VN59" i="25"/>
  <c r="VM59" i="25"/>
  <c r="VP59" i="25" s="1"/>
  <c r="VB59" i="25"/>
  <c r="VD59" i="25" s="1"/>
  <c r="VI59" i="25"/>
  <c r="VA59" i="25"/>
  <c r="WO58" i="25"/>
  <c r="WN58" i="25"/>
  <c r="WM58" i="25"/>
  <c r="WP58" i="25" s="1"/>
  <c r="VM58" i="25"/>
  <c r="VP58" i="25" s="1"/>
  <c r="WI58" i="25"/>
  <c r="WB58" i="25"/>
  <c r="WT58" i="25" s="1"/>
  <c r="VO58" i="25"/>
  <c r="WA58" i="25"/>
  <c r="VN58" i="25"/>
  <c r="VB58" i="25"/>
  <c r="VT58" i="25" s="1"/>
  <c r="VI58" i="25"/>
  <c r="VA58" i="25"/>
  <c r="WO57" i="25"/>
  <c r="WN57" i="25"/>
  <c r="WM57" i="25"/>
  <c r="WP57" i="25" s="1"/>
  <c r="WI57" i="25"/>
  <c r="WA57" i="25"/>
  <c r="VN57" i="25"/>
  <c r="VM57" i="25"/>
  <c r="VP57" i="25" s="1"/>
  <c r="WB57" i="25"/>
  <c r="WT57" i="25" s="1"/>
  <c r="VO57" i="25"/>
  <c r="VB57" i="25"/>
  <c r="VT57" i="25" s="1"/>
  <c r="VI57" i="25"/>
  <c r="VA57" i="25"/>
  <c r="WO56" i="25"/>
  <c r="WN56" i="25"/>
  <c r="WM56" i="25"/>
  <c r="WP56" i="25" s="1"/>
  <c r="WB56" i="25"/>
  <c r="WT56" i="25" s="1"/>
  <c r="VO56" i="25"/>
  <c r="WA56" i="25"/>
  <c r="VN56" i="25"/>
  <c r="WI56" i="25"/>
  <c r="VM56" i="25"/>
  <c r="VP56" i="25" s="1"/>
  <c r="VI56" i="25"/>
  <c r="VA56" i="25"/>
  <c r="VB56" i="25"/>
  <c r="VD56" i="25" s="1"/>
  <c r="WO55" i="25"/>
  <c r="WN55" i="25"/>
  <c r="WM55" i="25"/>
  <c r="WP55" i="25" s="1"/>
  <c r="WI55" i="25"/>
  <c r="WB55" i="25"/>
  <c r="WT55" i="25" s="1"/>
  <c r="VO55" i="25"/>
  <c r="WA55" i="25"/>
  <c r="VN55" i="25"/>
  <c r="VM55" i="25"/>
  <c r="VP55" i="25" s="1"/>
  <c r="VB55" i="25"/>
  <c r="VD55" i="25" s="1"/>
  <c r="VI55" i="25"/>
  <c r="VA55" i="25"/>
  <c r="WO54" i="25"/>
  <c r="WN54" i="25"/>
  <c r="WM54" i="25"/>
  <c r="WP54" i="25" s="1"/>
  <c r="VM54" i="25"/>
  <c r="VP54" i="25" s="1"/>
  <c r="WI54" i="25"/>
  <c r="WB54" i="25"/>
  <c r="WD54" i="25" s="1"/>
  <c r="VO54" i="25"/>
  <c r="WA54" i="25"/>
  <c r="VN54" i="25"/>
  <c r="VI54" i="25"/>
  <c r="VA54" i="25"/>
  <c r="WO53" i="25"/>
  <c r="WN53" i="25"/>
  <c r="WM53" i="25"/>
  <c r="WP53" i="25" s="1"/>
  <c r="WI53" i="25"/>
  <c r="WA53" i="25"/>
  <c r="VN53" i="25"/>
  <c r="VM53" i="25"/>
  <c r="VP53" i="25" s="1"/>
  <c r="WB53" i="25"/>
  <c r="WC53" i="25" s="1"/>
  <c r="BH53" i="25" s="1"/>
  <c r="VO53" i="25"/>
  <c r="VI53" i="25"/>
  <c r="VA53" i="25"/>
  <c r="WO52" i="25"/>
  <c r="WN52" i="25"/>
  <c r="WM52" i="25"/>
  <c r="WP52" i="25" s="1"/>
  <c r="WB52" i="25"/>
  <c r="VO52" i="25"/>
  <c r="WA52" i="25"/>
  <c r="VN52" i="25"/>
  <c r="WI52" i="25"/>
  <c r="VM52" i="25"/>
  <c r="VP52" i="25" s="1"/>
  <c r="VI52" i="25"/>
  <c r="VA52" i="25"/>
  <c r="WO51" i="25"/>
  <c r="WN51" i="25"/>
  <c r="WM51" i="25"/>
  <c r="WP51" i="25" s="1"/>
  <c r="WI51" i="25"/>
  <c r="WB51" i="25"/>
  <c r="WC51" i="25" s="1"/>
  <c r="BH51" i="25" s="1"/>
  <c r="VO51" i="25"/>
  <c r="WA51" i="25"/>
  <c r="VN51" i="25"/>
  <c r="VM51" i="25"/>
  <c r="VP51" i="25" s="1"/>
  <c r="VI51" i="25"/>
  <c r="VA51" i="25"/>
  <c r="WO50" i="25"/>
  <c r="WN50" i="25"/>
  <c r="WM50" i="25"/>
  <c r="WP50" i="25" s="1"/>
  <c r="VM50" i="25"/>
  <c r="VP50" i="25" s="1"/>
  <c r="WI50" i="25"/>
  <c r="WB50" i="25"/>
  <c r="WD50" i="25" s="1"/>
  <c r="VO50" i="25"/>
  <c r="WA50" i="25"/>
  <c r="VN50" i="25"/>
  <c r="VI50" i="25"/>
  <c r="VA50" i="25"/>
  <c r="WO49" i="25"/>
  <c r="WN49" i="25"/>
  <c r="WM49" i="25"/>
  <c r="WP49" i="25" s="1"/>
  <c r="WI49" i="25"/>
  <c r="WA49" i="25"/>
  <c r="VN49" i="25"/>
  <c r="VM49" i="25"/>
  <c r="VP49" i="25" s="1"/>
  <c r="WB49" i="25"/>
  <c r="WC49" i="25" s="1"/>
  <c r="BH49" i="25" s="1"/>
  <c r="VO49" i="25"/>
  <c r="VI49" i="25"/>
  <c r="VA49" i="25"/>
  <c r="WO48" i="25"/>
  <c r="WN48" i="25"/>
  <c r="WM48" i="25"/>
  <c r="WP48" i="25" s="1"/>
  <c r="WB48" i="25"/>
  <c r="WC48" i="25" s="1"/>
  <c r="BH48" i="25" s="1"/>
  <c r="VO48" i="25"/>
  <c r="WA48" i="25"/>
  <c r="VN48" i="25"/>
  <c r="WI48" i="25"/>
  <c r="VM48" i="25"/>
  <c r="VP48" i="25" s="1"/>
  <c r="VI48" i="25"/>
  <c r="VA48" i="25"/>
  <c r="WO47" i="25"/>
  <c r="WN47" i="25"/>
  <c r="WM47" i="25"/>
  <c r="WP47" i="25" s="1"/>
  <c r="WI47" i="25"/>
  <c r="WB47" i="25"/>
  <c r="WC47" i="25" s="1"/>
  <c r="BH47" i="25" s="1"/>
  <c r="VO47" i="25"/>
  <c r="WA47" i="25"/>
  <c r="VN47" i="25"/>
  <c r="VM47" i="25"/>
  <c r="VP47" i="25" s="1"/>
  <c r="VI47" i="25"/>
  <c r="VA47" i="25"/>
  <c r="WO46" i="25"/>
  <c r="WN46" i="25"/>
  <c r="WM46" i="25"/>
  <c r="WP46" i="25" s="1"/>
  <c r="VM46" i="25"/>
  <c r="VP46" i="25" s="1"/>
  <c r="WI46" i="25"/>
  <c r="WB46" i="25"/>
  <c r="WD46" i="25" s="1"/>
  <c r="VO46" i="25"/>
  <c r="WA46" i="25"/>
  <c r="VN46" i="25"/>
  <c r="VI46" i="25"/>
  <c r="VA46" i="25"/>
  <c r="WO45" i="25"/>
  <c r="WN45" i="25"/>
  <c r="WM45" i="25"/>
  <c r="WP45" i="25" s="1"/>
  <c r="WI45" i="25"/>
  <c r="WA45" i="25"/>
  <c r="VN45" i="25"/>
  <c r="VM45" i="25"/>
  <c r="VP45" i="25" s="1"/>
  <c r="WB45" i="25"/>
  <c r="WC45" i="25" s="1"/>
  <c r="BH45" i="25" s="1"/>
  <c r="VO45" i="25"/>
  <c r="VI45" i="25"/>
  <c r="VA45" i="25"/>
  <c r="WO44" i="25"/>
  <c r="WN44" i="25"/>
  <c r="WM44" i="25"/>
  <c r="WP44" i="25" s="1"/>
  <c r="WB44" i="25"/>
  <c r="WC44" i="25" s="1"/>
  <c r="BH44" i="25" s="1"/>
  <c r="VO44" i="25"/>
  <c r="WA44" i="25"/>
  <c r="VN44" i="25"/>
  <c r="WI44" i="25"/>
  <c r="VM44" i="25"/>
  <c r="VP44" i="25" s="1"/>
  <c r="VI44" i="25"/>
  <c r="VA44" i="25"/>
  <c r="WO43" i="25"/>
  <c r="WN43" i="25"/>
  <c r="WM43" i="25"/>
  <c r="WP43" i="25" s="1"/>
  <c r="WI43" i="25"/>
  <c r="WB43" i="25"/>
  <c r="WC43" i="25" s="1"/>
  <c r="BH43" i="25" s="1"/>
  <c r="VO43" i="25"/>
  <c r="WA43" i="25"/>
  <c r="VN43" i="25"/>
  <c r="WD43" i="25"/>
  <c r="VM43" i="25"/>
  <c r="VP43" i="25" s="1"/>
  <c r="VI43" i="25"/>
  <c r="VA43" i="25"/>
  <c r="WO42" i="25"/>
  <c r="WN42" i="25"/>
  <c r="WM42" i="25"/>
  <c r="WP42" i="25" s="1"/>
  <c r="VM42" i="25"/>
  <c r="VP42" i="25" s="1"/>
  <c r="WI42" i="25"/>
  <c r="WB42" i="25"/>
  <c r="WD42" i="25" s="1"/>
  <c r="VO42" i="25"/>
  <c r="WA42" i="25"/>
  <c r="VN42" i="25"/>
  <c r="VI42" i="25"/>
  <c r="VA42" i="25"/>
  <c r="WO41" i="25"/>
  <c r="WN41" i="25"/>
  <c r="WM41" i="25"/>
  <c r="WP41" i="25" s="1"/>
  <c r="WI41" i="25"/>
  <c r="WA41" i="25"/>
  <c r="VN41" i="25"/>
  <c r="VM41" i="25"/>
  <c r="VP41" i="25" s="1"/>
  <c r="WB41" i="25"/>
  <c r="WD41" i="25" s="1"/>
  <c r="VO41" i="25"/>
  <c r="VI41" i="25"/>
  <c r="VA41" i="25"/>
  <c r="WO40" i="25"/>
  <c r="WN40" i="25"/>
  <c r="WM40" i="25"/>
  <c r="WP40" i="25" s="1"/>
  <c r="WB40" i="25"/>
  <c r="WT40" i="25" s="1"/>
  <c r="VO40" i="25"/>
  <c r="WA40" i="25"/>
  <c r="VN40" i="25"/>
  <c r="WI40" i="25"/>
  <c r="VM40" i="25"/>
  <c r="VP40" i="25" s="1"/>
  <c r="VI40" i="25"/>
  <c r="VA40" i="25"/>
  <c r="WO39" i="25"/>
  <c r="WN39" i="25"/>
  <c r="WM39" i="25"/>
  <c r="WP39" i="25" s="1"/>
  <c r="WI39" i="25"/>
  <c r="WB39" i="25"/>
  <c r="WT39" i="25" s="1"/>
  <c r="VO39" i="25"/>
  <c r="WA39" i="25"/>
  <c r="VN39" i="25"/>
  <c r="VM39" i="25"/>
  <c r="VP39" i="25" s="1"/>
  <c r="VI39" i="25"/>
  <c r="VA39" i="25"/>
  <c r="WO38" i="25"/>
  <c r="WN38" i="25"/>
  <c r="WM38" i="25"/>
  <c r="WP38" i="25" s="1"/>
  <c r="VM38" i="25"/>
  <c r="VP38" i="25" s="1"/>
  <c r="WI38" i="25"/>
  <c r="WB38" i="25"/>
  <c r="WT38" i="25" s="1"/>
  <c r="VO38" i="25"/>
  <c r="WA38" i="25"/>
  <c r="VN38" i="25"/>
  <c r="VI38" i="25"/>
  <c r="VA38" i="25"/>
  <c r="WO37" i="25"/>
  <c r="WN37" i="25"/>
  <c r="WM37" i="25"/>
  <c r="WP37" i="25" s="1"/>
  <c r="WI37" i="25"/>
  <c r="WA37" i="25"/>
  <c r="VN37" i="25"/>
  <c r="VM37" i="25"/>
  <c r="VP37" i="25" s="1"/>
  <c r="WB37" i="25"/>
  <c r="VO37" i="25"/>
  <c r="VI37" i="25"/>
  <c r="VA37" i="25"/>
  <c r="WO36" i="25"/>
  <c r="WN36" i="25"/>
  <c r="WM36" i="25"/>
  <c r="WP36" i="25" s="1"/>
  <c r="WB36" i="25"/>
  <c r="WT36" i="25" s="1"/>
  <c r="VO36" i="25"/>
  <c r="WA36" i="25"/>
  <c r="VN36" i="25"/>
  <c r="WI36" i="25"/>
  <c r="VM36" i="25"/>
  <c r="VP36" i="25" s="1"/>
  <c r="VI36" i="25"/>
  <c r="VA36" i="25"/>
  <c r="WO35" i="25"/>
  <c r="WN35" i="25"/>
  <c r="WM35" i="25"/>
  <c r="WP35" i="25" s="1"/>
  <c r="WI35" i="25"/>
  <c r="WB35" i="25"/>
  <c r="WT35" i="25" s="1"/>
  <c r="VO35" i="25"/>
  <c r="WA35" i="25"/>
  <c r="VN35" i="25"/>
  <c r="VM35" i="25"/>
  <c r="VP35" i="25" s="1"/>
  <c r="VI35" i="25"/>
  <c r="VA35" i="25"/>
  <c r="WO34" i="25"/>
  <c r="WN34" i="25"/>
  <c r="WM34" i="25"/>
  <c r="WP34" i="25" s="1"/>
  <c r="VM34" i="25"/>
  <c r="VP34" i="25" s="1"/>
  <c r="WI34" i="25"/>
  <c r="WB34" i="25"/>
  <c r="WT34" i="25" s="1"/>
  <c r="VO34" i="25"/>
  <c r="WA34" i="25"/>
  <c r="VN34" i="25"/>
  <c r="VI34" i="25"/>
  <c r="VA34" i="25"/>
  <c r="WO33" i="25"/>
  <c r="WN33" i="25"/>
  <c r="WM33" i="25"/>
  <c r="WP33" i="25" s="1"/>
  <c r="WI33" i="25"/>
  <c r="WA33" i="25"/>
  <c r="VN33" i="25"/>
  <c r="VM33" i="25"/>
  <c r="VP33" i="25" s="1"/>
  <c r="WB33" i="25"/>
  <c r="VO33" i="25"/>
  <c r="VI33" i="25"/>
  <c r="VA33" i="25"/>
  <c r="WO32" i="25"/>
  <c r="WN32" i="25"/>
  <c r="WM32" i="25"/>
  <c r="WP32" i="25" s="1"/>
  <c r="WB32" i="25"/>
  <c r="WT32" i="25" s="1"/>
  <c r="VO32" i="25"/>
  <c r="WA32" i="25"/>
  <c r="VN32" i="25"/>
  <c r="WI32" i="25"/>
  <c r="VM32" i="25"/>
  <c r="VP32" i="25" s="1"/>
  <c r="VI32" i="25"/>
  <c r="VA32" i="25"/>
  <c r="WO31" i="25"/>
  <c r="WN31" i="25"/>
  <c r="WM31" i="25"/>
  <c r="WP31" i="25" s="1"/>
  <c r="WI31" i="25"/>
  <c r="WB31" i="25"/>
  <c r="WT31" i="25" s="1"/>
  <c r="VO31" i="25"/>
  <c r="WA31" i="25"/>
  <c r="VN31" i="25"/>
  <c r="VM31" i="25"/>
  <c r="VP31" i="25" s="1"/>
  <c r="VI31" i="25"/>
  <c r="VA31" i="25"/>
  <c r="WO30" i="25"/>
  <c r="WN30" i="25"/>
  <c r="WM30" i="25"/>
  <c r="WP30" i="25" s="1"/>
  <c r="VM30" i="25"/>
  <c r="VP30" i="25" s="1"/>
  <c r="WI30" i="25"/>
  <c r="WB30" i="25"/>
  <c r="WT30" i="25" s="1"/>
  <c r="VO30" i="25"/>
  <c r="WA30" i="25"/>
  <c r="VN30" i="25"/>
  <c r="VI30" i="25"/>
  <c r="VA30" i="25"/>
  <c r="WO29" i="25"/>
  <c r="WN29" i="25"/>
  <c r="WM29" i="25"/>
  <c r="WP29" i="25" s="1"/>
  <c r="WI29" i="25"/>
  <c r="WA29" i="25"/>
  <c r="VN29" i="25"/>
  <c r="VM29" i="25"/>
  <c r="VP29" i="25" s="1"/>
  <c r="WB29" i="25"/>
  <c r="VO29" i="25"/>
  <c r="VI29" i="25"/>
  <c r="VA29" i="25"/>
  <c r="WO28" i="25"/>
  <c r="WN28" i="25"/>
  <c r="WM28" i="25"/>
  <c r="WP28" i="25" s="1"/>
  <c r="WB28" i="25"/>
  <c r="WT28" i="25" s="1"/>
  <c r="VO28" i="25"/>
  <c r="WA28" i="25"/>
  <c r="VN28" i="25"/>
  <c r="WI28" i="25"/>
  <c r="VM28" i="25"/>
  <c r="VP28" i="25" s="1"/>
  <c r="VI28" i="25"/>
  <c r="VA28" i="25"/>
  <c r="WO27" i="25"/>
  <c r="WN27" i="25"/>
  <c r="WM27" i="25"/>
  <c r="WP27" i="25" s="1"/>
  <c r="WI27" i="25"/>
  <c r="WB27" i="25"/>
  <c r="WT27" i="25" s="1"/>
  <c r="VO27" i="25"/>
  <c r="WA27" i="25"/>
  <c r="VN27" i="25"/>
  <c r="VM27" i="25"/>
  <c r="VP27" i="25" s="1"/>
  <c r="VI27" i="25"/>
  <c r="VA27" i="25"/>
  <c r="WO26" i="25"/>
  <c r="WN26" i="25"/>
  <c r="WM26" i="25"/>
  <c r="WP26" i="25" s="1"/>
  <c r="VM26" i="25"/>
  <c r="VP26" i="25" s="1"/>
  <c r="WI26" i="25"/>
  <c r="WB26" i="25"/>
  <c r="WT26" i="25" s="1"/>
  <c r="VO26" i="25"/>
  <c r="WA26" i="25"/>
  <c r="VN26" i="25"/>
  <c r="VI26" i="25"/>
  <c r="VA26" i="25"/>
  <c r="WO25" i="25"/>
  <c r="WN25" i="25"/>
  <c r="WM25" i="25"/>
  <c r="WP25" i="25" s="1"/>
  <c r="WI25" i="25"/>
  <c r="WA25" i="25"/>
  <c r="VN25" i="25"/>
  <c r="VM25" i="25"/>
  <c r="VP25" i="25" s="1"/>
  <c r="WB25" i="25"/>
  <c r="VO25" i="25"/>
  <c r="VI25" i="25"/>
  <c r="VA25" i="25"/>
  <c r="WO24" i="25"/>
  <c r="WN24" i="25"/>
  <c r="WM24" i="25"/>
  <c r="WP24" i="25" s="1"/>
  <c r="WB24" i="25"/>
  <c r="WT24" i="25" s="1"/>
  <c r="VO24" i="25"/>
  <c r="WA24" i="25"/>
  <c r="VN24" i="25"/>
  <c r="WI24" i="25"/>
  <c r="VM24" i="25"/>
  <c r="VP24" i="25" s="1"/>
  <c r="VI24" i="25"/>
  <c r="VA24" i="25"/>
  <c r="WO23" i="25"/>
  <c r="WN23" i="25"/>
  <c r="WM23" i="25"/>
  <c r="WP23" i="25" s="1"/>
  <c r="WI23" i="25"/>
  <c r="WB23" i="25"/>
  <c r="WT23" i="25" s="1"/>
  <c r="VO23" i="25"/>
  <c r="WA23" i="25"/>
  <c r="VN23" i="25"/>
  <c r="VM23" i="25"/>
  <c r="VP23" i="25" s="1"/>
  <c r="VI23" i="25"/>
  <c r="VA23" i="25"/>
  <c r="WO22" i="25"/>
  <c r="WN22" i="25"/>
  <c r="WM22" i="25"/>
  <c r="WP22" i="25" s="1"/>
  <c r="VM22" i="25"/>
  <c r="VP22" i="25" s="1"/>
  <c r="WI22" i="25"/>
  <c r="WB22" i="25"/>
  <c r="WT22" i="25" s="1"/>
  <c r="VO22" i="25"/>
  <c r="WA22" i="25"/>
  <c r="VN22" i="25"/>
  <c r="VI22" i="25"/>
  <c r="VA22" i="25"/>
  <c r="WO21" i="25"/>
  <c r="WN21" i="25"/>
  <c r="WM21" i="25"/>
  <c r="WP21" i="25" s="1"/>
  <c r="WI21" i="25"/>
  <c r="WA21" i="25"/>
  <c r="VN21" i="25"/>
  <c r="VM21" i="25"/>
  <c r="VP21" i="25" s="1"/>
  <c r="WB21" i="25"/>
  <c r="VO21" i="25"/>
  <c r="VI21" i="25"/>
  <c r="VA21" i="25"/>
  <c r="WO20" i="25"/>
  <c r="WN20" i="25"/>
  <c r="WM20" i="25"/>
  <c r="WP20" i="25" s="1"/>
  <c r="WB20" i="25"/>
  <c r="WC20" i="25" s="1"/>
  <c r="VO20" i="25"/>
  <c r="WA20" i="25"/>
  <c r="VN20" i="25"/>
  <c r="WI20" i="25"/>
  <c r="VM20" i="25"/>
  <c r="VP20" i="25" s="1"/>
  <c r="VI20" i="25"/>
  <c r="VA20" i="25"/>
  <c r="WO19" i="25"/>
  <c r="WN19" i="25"/>
  <c r="WM19" i="25"/>
  <c r="WP19" i="25" s="1"/>
  <c r="WI19" i="25"/>
  <c r="VO19" i="25"/>
  <c r="WA19" i="25"/>
  <c r="VN19" i="25"/>
  <c r="VM19" i="25"/>
  <c r="VP19" i="25" s="1"/>
  <c r="VI19" i="25"/>
  <c r="VA19" i="25"/>
  <c r="WO18" i="25"/>
  <c r="WN18" i="25"/>
  <c r="WM18" i="25"/>
  <c r="WP18" i="25" s="1"/>
  <c r="VM18" i="25"/>
  <c r="VP18" i="25" s="1"/>
  <c r="WI18" i="25"/>
  <c r="VO18" i="25"/>
  <c r="WA18" i="25"/>
  <c r="VN18" i="25"/>
  <c r="VI18" i="25"/>
  <c r="VA18" i="25"/>
  <c r="WO17" i="25"/>
  <c r="WN17" i="25"/>
  <c r="WM17" i="25"/>
  <c r="WP17" i="25" s="1"/>
  <c r="WI17" i="25"/>
  <c r="WA17" i="25"/>
  <c r="VN17" i="25"/>
  <c r="VM17" i="25"/>
  <c r="VP17" i="25" s="1"/>
  <c r="VO17" i="25"/>
  <c r="VI17" i="25"/>
  <c r="VA17" i="25"/>
  <c r="WO16" i="25"/>
  <c r="WN16" i="25"/>
  <c r="WM16" i="25"/>
  <c r="WP16" i="25" s="1"/>
  <c r="VO16" i="25"/>
  <c r="VN16" i="25"/>
  <c r="WI16" i="25"/>
  <c r="VM16" i="25"/>
  <c r="VP16" i="25" s="1"/>
  <c r="WA16" i="25"/>
  <c r="VI16" i="25"/>
  <c r="VA16" i="25"/>
  <c r="WP119" i="25"/>
  <c r="WU119" i="25"/>
  <c r="WO119" i="25"/>
  <c r="WS119" i="25"/>
  <c r="WT119" i="25"/>
  <c r="WN119" i="25"/>
  <c r="WR119" i="25"/>
  <c r="WM119" i="25"/>
  <c r="WQ119" i="25"/>
  <c r="WJ119" i="25"/>
  <c r="WI119" i="25"/>
  <c r="WC119" i="25"/>
  <c r="WH119" i="25"/>
  <c r="WB119" i="25"/>
  <c r="WL119" i="25"/>
  <c r="WA119" i="25"/>
  <c r="WG119" i="25"/>
  <c r="VN119" i="25"/>
  <c r="VR119" i="25"/>
  <c r="WK119" i="25"/>
  <c r="WD119" i="25"/>
  <c r="VM119" i="25"/>
  <c r="VQ119" i="25"/>
  <c r="VU119" i="25"/>
  <c r="VT119" i="25"/>
  <c r="VK119" i="25"/>
  <c r="VH119" i="25"/>
  <c r="VD119" i="25"/>
  <c r="VB119" i="25"/>
  <c r="VS119" i="25"/>
  <c r="VJ119" i="25"/>
  <c r="VI119" i="25"/>
  <c r="VG119" i="25"/>
  <c r="VC119" i="25"/>
  <c r="VA119" i="25"/>
  <c r="VP119" i="25"/>
  <c r="VO119" i="25"/>
  <c r="VL119" i="25"/>
  <c r="WP116" i="25"/>
  <c r="WU116" i="25"/>
  <c r="WT116" i="25"/>
  <c r="WO116" i="25"/>
  <c r="WS116" i="25"/>
  <c r="WN116" i="25"/>
  <c r="WR116" i="25"/>
  <c r="WM116" i="25"/>
  <c r="WQ116" i="25"/>
  <c r="WK116" i="25"/>
  <c r="WB116" i="25"/>
  <c r="WJ116" i="25"/>
  <c r="WA116" i="25"/>
  <c r="WG116" i="25"/>
  <c r="WI116" i="25"/>
  <c r="WD116" i="25"/>
  <c r="VM116" i="25"/>
  <c r="VQ116" i="25"/>
  <c r="VU116" i="25"/>
  <c r="WL116" i="25"/>
  <c r="WH116" i="25"/>
  <c r="WC116" i="25"/>
  <c r="VP116" i="25"/>
  <c r="VT116" i="25"/>
  <c r="VO116" i="25"/>
  <c r="VL116" i="25"/>
  <c r="VI116" i="25"/>
  <c r="VA116" i="25"/>
  <c r="VN116" i="25"/>
  <c r="VK116" i="25"/>
  <c r="VS116" i="25"/>
  <c r="VJ116" i="25"/>
  <c r="VH116" i="25"/>
  <c r="VD116" i="25"/>
  <c r="VR116" i="25"/>
  <c r="VG116" i="25"/>
  <c r="VC116" i="25"/>
  <c r="VB116" i="25"/>
  <c r="WP111" i="25"/>
  <c r="WU111" i="25"/>
  <c r="WO111" i="25"/>
  <c r="WS111" i="25"/>
  <c r="WT111" i="25"/>
  <c r="WN111" i="25"/>
  <c r="WR111" i="25"/>
  <c r="WM111" i="25"/>
  <c r="WQ111" i="25"/>
  <c r="WJ111" i="25"/>
  <c r="WI111" i="25"/>
  <c r="WC111" i="25"/>
  <c r="WH111" i="25"/>
  <c r="WB111" i="25"/>
  <c r="WL111" i="25"/>
  <c r="WA111" i="25"/>
  <c r="WG111" i="25"/>
  <c r="VN111" i="25"/>
  <c r="VR111" i="25"/>
  <c r="WK111" i="25"/>
  <c r="WD111" i="25"/>
  <c r="VM111" i="25"/>
  <c r="VQ111" i="25"/>
  <c r="VU111" i="25"/>
  <c r="VT111" i="25"/>
  <c r="VK111" i="25"/>
  <c r="VH111" i="25"/>
  <c r="VD111" i="25"/>
  <c r="VB111" i="25"/>
  <c r="VS111" i="25"/>
  <c r="VJ111" i="25"/>
  <c r="VI111" i="25"/>
  <c r="VG111" i="25"/>
  <c r="VC111" i="25"/>
  <c r="VA111" i="25"/>
  <c r="VP111" i="25"/>
  <c r="VO111" i="25"/>
  <c r="VL111" i="25"/>
  <c r="WM15" i="25"/>
  <c r="WP15" i="25" s="1"/>
  <c r="WN15" i="25"/>
  <c r="WO15" i="25"/>
  <c r="WA15" i="25"/>
  <c r="WI15" i="25"/>
  <c r="VN15" i="25"/>
  <c r="VA15" i="25"/>
  <c r="VO15" i="25"/>
  <c r="VM15" i="25"/>
  <c r="VP15" i="25" s="1"/>
  <c r="VI15" i="25"/>
  <c r="UA15" i="25"/>
  <c r="WT117" i="25"/>
  <c r="WP117" i="25"/>
  <c r="WU117" i="25"/>
  <c r="WO117" i="25"/>
  <c r="WS117" i="25"/>
  <c r="WN117" i="25"/>
  <c r="WR117" i="25"/>
  <c r="WM117" i="25"/>
  <c r="WQ117" i="25"/>
  <c r="WL117" i="25"/>
  <c r="WI117" i="25"/>
  <c r="WA117" i="25"/>
  <c r="WG117" i="25"/>
  <c r="WK117" i="25"/>
  <c r="WH117" i="25"/>
  <c r="WD117" i="25"/>
  <c r="WJ117" i="25"/>
  <c r="WC117" i="25"/>
  <c r="VP117" i="25"/>
  <c r="VT117" i="25"/>
  <c r="WB117" i="25"/>
  <c r="VO117" i="25"/>
  <c r="VS117" i="25"/>
  <c r="VN117" i="25"/>
  <c r="VH117" i="25"/>
  <c r="VD117" i="25"/>
  <c r="VM117" i="25"/>
  <c r="VU117" i="25"/>
  <c r="VL117" i="25"/>
  <c r="VG117" i="25"/>
  <c r="VC117" i="25"/>
  <c r="VR117" i="25"/>
  <c r="VK117" i="25"/>
  <c r="VB117" i="25"/>
  <c r="VQ117" i="25"/>
  <c r="VJ117" i="25"/>
  <c r="VI117" i="25"/>
  <c r="VA117" i="25"/>
  <c r="WT113" i="25"/>
  <c r="WP113" i="25"/>
  <c r="WU113" i="25"/>
  <c r="WO113" i="25"/>
  <c r="WS113" i="25"/>
  <c r="WN113" i="25"/>
  <c r="WR113" i="25"/>
  <c r="WM113" i="25"/>
  <c r="WQ113" i="25"/>
  <c r="WL113" i="25"/>
  <c r="WI113" i="25"/>
  <c r="WA113" i="25"/>
  <c r="WG113" i="25"/>
  <c r="WK113" i="25"/>
  <c r="WH113" i="25"/>
  <c r="WD113" i="25"/>
  <c r="WJ113" i="25"/>
  <c r="WC113" i="25"/>
  <c r="VP113" i="25"/>
  <c r="VT113" i="25"/>
  <c r="WB113" i="25"/>
  <c r="VO113" i="25"/>
  <c r="VS113" i="25"/>
  <c r="VR113" i="25"/>
  <c r="VH113" i="25"/>
  <c r="VD113" i="25"/>
  <c r="VQ113" i="25"/>
  <c r="VL113" i="25"/>
  <c r="VG113" i="25"/>
  <c r="VC113" i="25"/>
  <c r="VN113" i="25"/>
  <c r="VK113" i="25"/>
  <c r="VB113" i="25"/>
  <c r="VM113" i="25"/>
  <c r="VU113" i="25"/>
  <c r="VJ113" i="25"/>
  <c r="VI113" i="25"/>
  <c r="VA113" i="25"/>
  <c r="WT109" i="25"/>
  <c r="WP109" i="25"/>
  <c r="WU109" i="25"/>
  <c r="WO109" i="25"/>
  <c r="WS109" i="25"/>
  <c r="WN109" i="25"/>
  <c r="WR109" i="25"/>
  <c r="WM109" i="25"/>
  <c r="WQ109" i="25"/>
  <c r="WL109" i="25"/>
  <c r="WI109" i="25"/>
  <c r="WA109" i="25"/>
  <c r="WG109" i="25"/>
  <c r="WK109" i="25"/>
  <c r="WH109" i="25"/>
  <c r="WD109" i="25"/>
  <c r="WJ109" i="25"/>
  <c r="WC109" i="25"/>
  <c r="VP109" i="25"/>
  <c r="VT109" i="25"/>
  <c r="WB109" i="25"/>
  <c r="VO109" i="25"/>
  <c r="VS109" i="25"/>
  <c r="VN109" i="25"/>
  <c r="VH109" i="25"/>
  <c r="VD109" i="25"/>
  <c r="VM109" i="25"/>
  <c r="VU109" i="25"/>
  <c r="VL109" i="25"/>
  <c r="VG109" i="25"/>
  <c r="VC109" i="25"/>
  <c r="VR109" i="25"/>
  <c r="VK109" i="25"/>
  <c r="VB109" i="25"/>
  <c r="VQ109" i="25"/>
  <c r="VJ109" i="25"/>
  <c r="VI109" i="25"/>
  <c r="VA109" i="25"/>
  <c r="AM118" i="25"/>
  <c r="BO118" i="25"/>
  <c r="BC118" i="25"/>
  <c r="AM115" i="25"/>
  <c r="BO115" i="25"/>
  <c r="BC115" i="25"/>
  <c r="AM111" i="25"/>
  <c r="BO111" i="25"/>
  <c r="BC111" i="25"/>
  <c r="AM106" i="25"/>
  <c r="BO106" i="25"/>
  <c r="BC106" i="25"/>
  <c r="AM117" i="25"/>
  <c r="BO117" i="25"/>
  <c r="BC117" i="25"/>
  <c r="AM113" i="25"/>
  <c r="BO113" i="25"/>
  <c r="BC113" i="25"/>
  <c r="AM109" i="25"/>
  <c r="BO109" i="25"/>
  <c r="BC109" i="25"/>
  <c r="AM107" i="25"/>
  <c r="BO107" i="25"/>
  <c r="BC107" i="25"/>
  <c r="AM104" i="25"/>
  <c r="BO104" i="25"/>
  <c r="BC104" i="25"/>
  <c r="AM102" i="25"/>
  <c r="BO102" i="25"/>
  <c r="BC102" i="25"/>
  <c r="AM101" i="25"/>
  <c r="BO101" i="25"/>
  <c r="BC101" i="25"/>
  <c r="AM100" i="25"/>
  <c r="BO100" i="25"/>
  <c r="BC100" i="25"/>
  <c r="AM99" i="25"/>
  <c r="BO99" i="25"/>
  <c r="BC99" i="25"/>
  <c r="AM98" i="25"/>
  <c r="BO98" i="25"/>
  <c r="BC98" i="25"/>
  <c r="AM97" i="25"/>
  <c r="BO97" i="25"/>
  <c r="BC97" i="25"/>
  <c r="AM96" i="25"/>
  <c r="BO96" i="25"/>
  <c r="BC96" i="25"/>
  <c r="AM95" i="25"/>
  <c r="BO95" i="25"/>
  <c r="BC95" i="25"/>
  <c r="AM94" i="25"/>
  <c r="BO94" i="25"/>
  <c r="BC94" i="25"/>
  <c r="AM93" i="25"/>
  <c r="BO93" i="25"/>
  <c r="BC93" i="25"/>
  <c r="AM92" i="25"/>
  <c r="BO92" i="25"/>
  <c r="BC92" i="25"/>
  <c r="AM91" i="25"/>
  <c r="BO91" i="25"/>
  <c r="BC91" i="25"/>
  <c r="AM90" i="25"/>
  <c r="BO90" i="25"/>
  <c r="BC90" i="25"/>
  <c r="AM89" i="25"/>
  <c r="BO89" i="25"/>
  <c r="BC89" i="25"/>
  <c r="AM88" i="25"/>
  <c r="BO88" i="25"/>
  <c r="BC88" i="25"/>
  <c r="AM87" i="25"/>
  <c r="BO87" i="25"/>
  <c r="BC87" i="25"/>
  <c r="AM86" i="25"/>
  <c r="BO86" i="25"/>
  <c r="BC86" i="25"/>
  <c r="AM85" i="25"/>
  <c r="BO85" i="25"/>
  <c r="BC85" i="25"/>
  <c r="AM84" i="25"/>
  <c r="BO84" i="25"/>
  <c r="BC84" i="25"/>
  <c r="AM83" i="25"/>
  <c r="BO83" i="25"/>
  <c r="BC83" i="25"/>
  <c r="AM82" i="25"/>
  <c r="BO82" i="25"/>
  <c r="BC82" i="25"/>
  <c r="AM81" i="25"/>
  <c r="BO81" i="25"/>
  <c r="BC81" i="25"/>
  <c r="AM80" i="25"/>
  <c r="BO80" i="25"/>
  <c r="BC80" i="25"/>
  <c r="AM79" i="25"/>
  <c r="BO79" i="25"/>
  <c r="BC79" i="25"/>
  <c r="AM78" i="25"/>
  <c r="BO78" i="25"/>
  <c r="BC78" i="25"/>
  <c r="AM77" i="25"/>
  <c r="BO77" i="25"/>
  <c r="BC77" i="25"/>
  <c r="AM76" i="25"/>
  <c r="BO76" i="25"/>
  <c r="BC76" i="25"/>
  <c r="AM75" i="25"/>
  <c r="BO75" i="25"/>
  <c r="BC75" i="25"/>
  <c r="AM74" i="25"/>
  <c r="BO74" i="25"/>
  <c r="BC74" i="25"/>
  <c r="AM73" i="25"/>
  <c r="BO73" i="25"/>
  <c r="BC73" i="25"/>
  <c r="AM72" i="25"/>
  <c r="BO72" i="25"/>
  <c r="BC72" i="25"/>
  <c r="AM120" i="25"/>
  <c r="BO120" i="25"/>
  <c r="BC120" i="25"/>
  <c r="AM116" i="25"/>
  <c r="BO116" i="25"/>
  <c r="BC116" i="25"/>
  <c r="AM112" i="25"/>
  <c r="BO112" i="25"/>
  <c r="BC112" i="25"/>
  <c r="AM108" i="25"/>
  <c r="BO108" i="25"/>
  <c r="BC108" i="25"/>
  <c r="AM103" i="25"/>
  <c r="BO103" i="25"/>
  <c r="BC103" i="25"/>
  <c r="AM119" i="25"/>
  <c r="BO119" i="25"/>
  <c r="BC119" i="25"/>
  <c r="AM114" i="25"/>
  <c r="BO114" i="25"/>
  <c r="BC114" i="25"/>
  <c r="AM110" i="25"/>
  <c r="BO110" i="25"/>
  <c r="BC110" i="25"/>
  <c r="AM105" i="25"/>
  <c r="BO105" i="25"/>
  <c r="BC105" i="25"/>
  <c r="RU120" i="25"/>
  <c r="PU120" i="25"/>
  <c r="NU120" i="25"/>
  <c r="RL120" i="25"/>
  <c r="PL120" i="25"/>
  <c r="SU120" i="25"/>
  <c r="QU120" i="25"/>
  <c r="OU120" i="25"/>
  <c r="SL120" i="25"/>
  <c r="QL120" i="25"/>
  <c r="OL120" i="25"/>
  <c r="MU120" i="25"/>
  <c r="KU120" i="25"/>
  <c r="IU120" i="25"/>
  <c r="ML120" i="25"/>
  <c r="KL120" i="25"/>
  <c r="IL120" i="25"/>
  <c r="LU120" i="25"/>
  <c r="JU120" i="25"/>
  <c r="HU120" i="25"/>
  <c r="NL120" i="25"/>
  <c r="LL120" i="25"/>
  <c r="JL120" i="25"/>
  <c r="GU120" i="25"/>
  <c r="GL120" i="25"/>
  <c r="FU120" i="25"/>
  <c r="DX120" i="25"/>
  <c r="HL120" i="25"/>
  <c r="FL120" i="25"/>
  <c r="DO120" i="25"/>
  <c r="RU116" i="25"/>
  <c r="PU116" i="25"/>
  <c r="NU116" i="25"/>
  <c r="RL116" i="25"/>
  <c r="PL116" i="25"/>
  <c r="SU116" i="25"/>
  <c r="QU116" i="25"/>
  <c r="OU116" i="25"/>
  <c r="SL116" i="25"/>
  <c r="QL116" i="25"/>
  <c r="OL116" i="25"/>
  <c r="MU116" i="25"/>
  <c r="KU116" i="25"/>
  <c r="IU116" i="25"/>
  <c r="ML116" i="25"/>
  <c r="KL116" i="25"/>
  <c r="IL116" i="25"/>
  <c r="LU116" i="25"/>
  <c r="JU116" i="25"/>
  <c r="HU116" i="25"/>
  <c r="NL116" i="25"/>
  <c r="LL116" i="25"/>
  <c r="JL116" i="25"/>
  <c r="GU116" i="25"/>
  <c r="GL116" i="25"/>
  <c r="FU116" i="25"/>
  <c r="DX116" i="25"/>
  <c r="HL116" i="25"/>
  <c r="FL116" i="25"/>
  <c r="DO116" i="25"/>
  <c r="SL111" i="25"/>
  <c r="QL111" i="25"/>
  <c r="OL111" i="25"/>
  <c r="RU111" i="25"/>
  <c r="PU111" i="25"/>
  <c r="NU111" i="25"/>
  <c r="RL111" i="25"/>
  <c r="PL111" i="25"/>
  <c r="SU111" i="25"/>
  <c r="QU111" i="25"/>
  <c r="OU111" i="25"/>
  <c r="NL111" i="25"/>
  <c r="LL111" i="25"/>
  <c r="JL111" i="25"/>
  <c r="MU111" i="25"/>
  <c r="KU111" i="25"/>
  <c r="IU111" i="25"/>
  <c r="ML111" i="25"/>
  <c r="KL111" i="25"/>
  <c r="IL111" i="25"/>
  <c r="LU111" i="25"/>
  <c r="JU111" i="25"/>
  <c r="HU111" i="25"/>
  <c r="HL111" i="25"/>
  <c r="FL111" i="25"/>
  <c r="GU111" i="25"/>
  <c r="GL111" i="25"/>
  <c r="DO111" i="25"/>
  <c r="FU111" i="25"/>
  <c r="DX111" i="25"/>
  <c r="SL107" i="25"/>
  <c r="QL107" i="25"/>
  <c r="OL107" i="25"/>
  <c r="RU107" i="25"/>
  <c r="PU107" i="25"/>
  <c r="NU107" i="25"/>
  <c r="RL107" i="25"/>
  <c r="PL107" i="25"/>
  <c r="SU107" i="25"/>
  <c r="QU107" i="25"/>
  <c r="OU107" i="25"/>
  <c r="NL107" i="25"/>
  <c r="LL107" i="25"/>
  <c r="JL107" i="25"/>
  <c r="MU107" i="25"/>
  <c r="KU107" i="25"/>
  <c r="IU107" i="25"/>
  <c r="ML107" i="25"/>
  <c r="KL107" i="25"/>
  <c r="IL107" i="25"/>
  <c r="LU107" i="25"/>
  <c r="JU107" i="25"/>
  <c r="HU107" i="25"/>
  <c r="HL107" i="25"/>
  <c r="FL107" i="25"/>
  <c r="GU107" i="25"/>
  <c r="GL107" i="25"/>
  <c r="FU107" i="25"/>
  <c r="DX107" i="25"/>
  <c r="DO107" i="25"/>
  <c r="SU102" i="25"/>
  <c r="QU102" i="25"/>
  <c r="OU102" i="25"/>
  <c r="SL102" i="25"/>
  <c r="QL102" i="25"/>
  <c r="OL102" i="25"/>
  <c r="RU102" i="25"/>
  <c r="PU102" i="25"/>
  <c r="NU102" i="25"/>
  <c r="RL102" i="25"/>
  <c r="PL102" i="25"/>
  <c r="LU102" i="25"/>
  <c r="JU102" i="25"/>
  <c r="HU102" i="25"/>
  <c r="NL102" i="25"/>
  <c r="LL102" i="25"/>
  <c r="JL102" i="25"/>
  <c r="MU102" i="25"/>
  <c r="KU102" i="25"/>
  <c r="IU102" i="25"/>
  <c r="ML102" i="25"/>
  <c r="KL102" i="25"/>
  <c r="IL102" i="25"/>
  <c r="FU102" i="25"/>
  <c r="HL102" i="25"/>
  <c r="FL102" i="25"/>
  <c r="DO102" i="25"/>
  <c r="GU102" i="25"/>
  <c r="DX102" i="25"/>
  <c r="GL102" i="25"/>
  <c r="RL97" i="25"/>
  <c r="PL97" i="25"/>
  <c r="SU97" i="25"/>
  <c r="QU97" i="25"/>
  <c r="OU97" i="25"/>
  <c r="SL97" i="25"/>
  <c r="QL97" i="25"/>
  <c r="OL97" i="25"/>
  <c r="RU97" i="25"/>
  <c r="PU97" i="25"/>
  <c r="NU97" i="25"/>
  <c r="ML97" i="25"/>
  <c r="KL97" i="25"/>
  <c r="IL97" i="25"/>
  <c r="LU97" i="25"/>
  <c r="JU97" i="25"/>
  <c r="HU97" i="25"/>
  <c r="NL97" i="25"/>
  <c r="LL97" i="25"/>
  <c r="JL97" i="25"/>
  <c r="MU97" i="25"/>
  <c r="KU97" i="25"/>
  <c r="IU97" i="25"/>
  <c r="GL97" i="25"/>
  <c r="DX97" i="25"/>
  <c r="FU97" i="25"/>
  <c r="HL97" i="25"/>
  <c r="FL97" i="25"/>
  <c r="DO97" i="25"/>
  <c r="GU97" i="25"/>
  <c r="SU94" i="25"/>
  <c r="QU94" i="25"/>
  <c r="OU94" i="25"/>
  <c r="SL94" i="25"/>
  <c r="QL94" i="25"/>
  <c r="OL94" i="25"/>
  <c r="RU94" i="25"/>
  <c r="PU94" i="25"/>
  <c r="NU94" i="25"/>
  <c r="RL94" i="25"/>
  <c r="PL94" i="25"/>
  <c r="LU94" i="25"/>
  <c r="JU94" i="25"/>
  <c r="HU94" i="25"/>
  <c r="NL94" i="25"/>
  <c r="LL94" i="25"/>
  <c r="JL94" i="25"/>
  <c r="MU94" i="25"/>
  <c r="KU94" i="25"/>
  <c r="IU94" i="25"/>
  <c r="ML94" i="25"/>
  <c r="KL94" i="25"/>
  <c r="IL94" i="25"/>
  <c r="FU94" i="25"/>
  <c r="DX94" i="25"/>
  <c r="HL94" i="25"/>
  <c r="FL94" i="25"/>
  <c r="GU94" i="25"/>
  <c r="GL94" i="25"/>
  <c r="DO94" i="25"/>
  <c r="SL91" i="25"/>
  <c r="QL91" i="25"/>
  <c r="OL91" i="25"/>
  <c r="RU91" i="25"/>
  <c r="PU91" i="25"/>
  <c r="NU91" i="25"/>
  <c r="RL91" i="25"/>
  <c r="PL91" i="25"/>
  <c r="SU91" i="25"/>
  <c r="QU91" i="25"/>
  <c r="OU91" i="25"/>
  <c r="NL91" i="25"/>
  <c r="LL91" i="25"/>
  <c r="JL91" i="25"/>
  <c r="MU91" i="25"/>
  <c r="KU91" i="25"/>
  <c r="IU91" i="25"/>
  <c r="ML91" i="25"/>
  <c r="KL91" i="25"/>
  <c r="IL91" i="25"/>
  <c r="LU91" i="25"/>
  <c r="JU91" i="25"/>
  <c r="HU91" i="25"/>
  <c r="HL91" i="25"/>
  <c r="FL91" i="25"/>
  <c r="GU91" i="25"/>
  <c r="GL91" i="25"/>
  <c r="FU91" i="25"/>
  <c r="DX91" i="25"/>
  <c r="DO91" i="25"/>
  <c r="SL87" i="25"/>
  <c r="QL87" i="25"/>
  <c r="OL87" i="25"/>
  <c r="RU87" i="25"/>
  <c r="PU87" i="25"/>
  <c r="NU87" i="25"/>
  <c r="RL87" i="25"/>
  <c r="PL87" i="25"/>
  <c r="SU87" i="25"/>
  <c r="QU87" i="25"/>
  <c r="OU87" i="25"/>
  <c r="NL87" i="25"/>
  <c r="LL87" i="25"/>
  <c r="JL87" i="25"/>
  <c r="MU87" i="25"/>
  <c r="KU87" i="25"/>
  <c r="IU87" i="25"/>
  <c r="ML87" i="25"/>
  <c r="KL87" i="25"/>
  <c r="IL87" i="25"/>
  <c r="LU87" i="25"/>
  <c r="JU87" i="25"/>
  <c r="HU87" i="25"/>
  <c r="HL87" i="25"/>
  <c r="GU87" i="25"/>
  <c r="GL87" i="25"/>
  <c r="FL87" i="25"/>
  <c r="DO87" i="25"/>
  <c r="FU87" i="25"/>
  <c r="DX87" i="25"/>
  <c r="SL83" i="25"/>
  <c r="QL83" i="25"/>
  <c r="OL83" i="25"/>
  <c r="RU83" i="25"/>
  <c r="PU83" i="25"/>
  <c r="NU83" i="25"/>
  <c r="RL83" i="25"/>
  <c r="PL83" i="25"/>
  <c r="SU83" i="25"/>
  <c r="QU83" i="25"/>
  <c r="OU83" i="25"/>
  <c r="NL83" i="25"/>
  <c r="LL83" i="25"/>
  <c r="JL83" i="25"/>
  <c r="MU83" i="25"/>
  <c r="KU83" i="25"/>
  <c r="IU83" i="25"/>
  <c r="ML83" i="25"/>
  <c r="KL83" i="25"/>
  <c r="IL83" i="25"/>
  <c r="LU83" i="25"/>
  <c r="JU83" i="25"/>
  <c r="HU83" i="25"/>
  <c r="HL83" i="25"/>
  <c r="GU83" i="25"/>
  <c r="GL83" i="25"/>
  <c r="FU83" i="25"/>
  <c r="DX83" i="25"/>
  <c r="FL83" i="25"/>
  <c r="DO83" i="25"/>
  <c r="SL79" i="25"/>
  <c r="QL79" i="25"/>
  <c r="OL79" i="25"/>
  <c r="RU79" i="25"/>
  <c r="PU79" i="25"/>
  <c r="NU79" i="25"/>
  <c r="RL79" i="25"/>
  <c r="PL79" i="25"/>
  <c r="SU79" i="25"/>
  <c r="QU79" i="25"/>
  <c r="OU79" i="25"/>
  <c r="NL79" i="25"/>
  <c r="LL79" i="25"/>
  <c r="JL79" i="25"/>
  <c r="MU79" i="25"/>
  <c r="KU79" i="25"/>
  <c r="IU79" i="25"/>
  <c r="ML79" i="25"/>
  <c r="KL79" i="25"/>
  <c r="IL79" i="25"/>
  <c r="LU79" i="25"/>
  <c r="JU79" i="25"/>
  <c r="HU79" i="25"/>
  <c r="HL79" i="25"/>
  <c r="FL79" i="25"/>
  <c r="GU79" i="25"/>
  <c r="GL79" i="25"/>
  <c r="DO79" i="25"/>
  <c r="FU79" i="25"/>
  <c r="DX79" i="25"/>
  <c r="RU76" i="25"/>
  <c r="PU76" i="25"/>
  <c r="NU76" i="25"/>
  <c r="RL76" i="25"/>
  <c r="PL76" i="25"/>
  <c r="SU76" i="25"/>
  <c r="QU76" i="25"/>
  <c r="OU76" i="25"/>
  <c r="SL76" i="25"/>
  <c r="QL76" i="25"/>
  <c r="OL76" i="25"/>
  <c r="MU76" i="25"/>
  <c r="KU76" i="25"/>
  <c r="IU76" i="25"/>
  <c r="ML76" i="25"/>
  <c r="KL76" i="25"/>
  <c r="IL76" i="25"/>
  <c r="LU76" i="25"/>
  <c r="JU76" i="25"/>
  <c r="HU76" i="25"/>
  <c r="NL76" i="25"/>
  <c r="LL76" i="25"/>
  <c r="JL76" i="25"/>
  <c r="GU76" i="25"/>
  <c r="GL76" i="25"/>
  <c r="FU76" i="25"/>
  <c r="DX76" i="25"/>
  <c r="HL76" i="25"/>
  <c r="FL76" i="25"/>
  <c r="DO76" i="25"/>
  <c r="RU72" i="25"/>
  <c r="PU72" i="25"/>
  <c r="NU72" i="25"/>
  <c r="RL72" i="25"/>
  <c r="PL72" i="25"/>
  <c r="SU72" i="25"/>
  <c r="QU72" i="25"/>
  <c r="OU72" i="25"/>
  <c r="SL72" i="25"/>
  <c r="QL72" i="25"/>
  <c r="OL72" i="25"/>
  <c r="MU72" i="25"/>
  <c r="KU72" i="25"/>
  <c r="IU72" i="25"/>
  <c r="ML72" i="25"/>
  <c r="KL72" i="25"/>
  <c r="IL72" i="25"/>
  <c r="LU72" i="25"/>
  <c r="JU72" i="25"/>
  <c r="HU72" i="25"/>
  <c r="NL72" i="25"/>
  <c r="LL72" i="25"/>
  <c r="JL72" i="25"/>
  <c r="GU72" i="25"/>
  <c r="GL72" i="25"/>
  <c r="FU72" i="25"/>
  <c r="DX72" i="25"/>
  <c r="HL72" i="25"/>
  <c r="FL72" i="25"/>
  <c r="DO72" i="25"/>
  <c r="SL119" i="25"/>
  <c r="QL119" i="25"/>
  <c r="OL119" i="25"/>
  <c r="RU119" i="25"/>
  <c r="PU119" i="25"/>
  <c r="NU119" i="25"/>
  <c r="RL119" i="25"/>
  <c r="PL119" i="25"/>
  <c r="SU119" i="25"/>
  <c r="QU119" i="25"/>
  <c r="OU119" i="25"/>
  <c r="NL119" i="25"/>
  <c r="LL119" i="25"/>
  <c r="JL119" i="25"/>
  <c r="MU119" i="25"/>
  <c r="KU119" i="25"/>
  <c r="IU119" i="25"/>
  <c r="ML119" i="25"/>
  <c r="KL119" i="25"/>
  <c r="IL119" i="25"/>
  <c r="LU119" i="25"/>
  <c r="JU119" i="25"/>
  <c r="HU119" i="25"/>
  <c r="HL119" i="25"/>
  <c r="FL119" i="25"/>
  <c r="GU119" i="25"/>
  <c r="GL119" i="25"/>
  <c r="DO119" i="25"/>
  <c r="FU119" i="25"/>
  <c r="DX119" i="25"/>
  <c r="SL115" i="25"/>
  <c r="QL115" i="25"/>
  <c r="OL115" i="25"/>
  <c r="RU115" i="25"/>
  <c r="PU115" i="25"/>
  <c r="NU115" i="25"/>
  <c r="RL115" i="25"/>
  <c r="PL115" i="25"/>
  <c r="SU115" i="25"/>
  <c r="QU115" i="25"/>
  <c r="OU115" i="25"/>
  <c r="NL115" i="25"/>
  <c r="LL115" i="25"/>
  <c r="JL115" i="25"/>
  <c r="MU115" i="25"/>
  <c r="KU115" i="25"/>
  <c r="IU115" i="25"/>
  <c r="ML115" i="25"/>
  <c r="KL115" i="25"/>
  <c r="IL115" i="25"/>
  <c r="LU115" i="25"/>
  <c r="JU115" i="25"/>
  <c r="HU115" i="25"/>
  <c r="HL115" i="25"/>
  <c r="FL115" i="25"/>
  <c r="GU115" i="25"/>
  <c r="GL115" i="25"/>
  <c r="FU115" i="25"/>
  <c r="DX115" i="25"/>
  <c r="DO115" i="25"/>
  <c r="RU112" i="25"/>
  <c r="PU112" i="25"/>
  <c r="NU112" i="25"/>
  <c r="RL112" i="25"/>
  <c r="PL112" i="25"/>
  <c r="SU112" i="25"/>
  <c r="QU112" i="25"/>
  <c r="OU112" i="25"/>
  <c r="SL112" i="25"/>
  <c r="QL112" i="25"/>
  <c r="OL112" i="25"/>
  <c r="MU112" i="25"/>
  <c r="KU112" i="25"/>
  <c r="IU112" i="25"/>
  <c r="ML112" i="25"/>
  <c r="KL112" i="25"/>
  <c r="IL112" i="25"/>
  <c r="LU112" i="25"/>
  <c r="JU112" i="25"/>
  <c r="HU112" i="25"/>
  <c r="NL112" i="25"/>
  <c r="LL112" i="25"/>
  <c r="JL112" i="25"/>
  <c r="GU112" i="25"/>
  <c r="GL112" i="25"/>
  <c r="FU112" i="25"/>
  <c r="DX112" i="25"/>
  <c r="HL112" i="25"/>
  <c r="FL112" i="25"/>
  <c r="DO112" i="25"/>
  <c r="RU108" i="25"/>
  <c r="PU108" i="25"/>
  <c r="NU108" i="25"/>
  <c r="RL108" i="25"/>
  <c r="PL108" i="25"/>
  <c r="SU108" i="25"/>
  <c r="QU108" i="25"/>
  <c r="OU108" i="25"/>
  <c r="SL108" i="25"/>
  <c r="QL108" i="25"/>
  <c r="OL108" i="25"/>
  <c r="MU108" i="25"/>
  <c r="KU108" i="25"/>
  <c r="IU108" i="25"/>
  <c r="ML108" i="25"/>
  <c r="KL108" i="25"/>
  <c r="IL108" i="25"/>
  <c r="LU108" i="25"/>
  <c r="JU108" i="25"/>
  <c r="HU108" i="25"/>
  <c r="NL108" i="25"/>
  <c r="LL108" i="25"/>
  <c r="JL108" i="25"/>
  <c r="GU108" i="25"/>
  <c r="GL108" i="25"/>
  <c r="FU108" i="25"/>
  <c r="DX108" i="25"/>
  <c r="HL108" i="25"/>
  <c r="FL108" i="25"/>
  <c r="DO108" i="25"/>
  <c r="RU104" i="25"/>
  <c r="PU104" i="25"/>
  <c r="NU104" i="25"/>
  <c r="RL104" i="25"/>
  <c r="PL104" i="25"/>
  <c r="SU104" i="25"/>
  <c r="QU104" i="25"/>
  <c r="OU104" i="25"/>
  <c r="SL104" i="25"/>
  <c r="QL104" i="25"/>
  <c r="OL104" i="25"/>
  <c r="MU104" i="25"/>
  <c r="KU104" i="25"/>
  <c r="IU104" i="25"/>
  <c r="ML104" i="25"/>
  <c r="KL104" i="25"/>
  <c r="IL104" i="25"/>
  <c r="LU104" i="25"/>
  <c r="JU104" i="25"/>
  <c r="HU104" i="25"/>
  <c r="NL104" i="25"/>
  <c r="LL104" i="25"/>
  <c r="JL104" i="25"/>
  <c r="GU104" i="25"/>
  <c r="GL104" i="25"/>
  <c r="FU104" i="25"/>
  <c r="DX104" i="25"/>
  <c r="HL104" i="25"/>
  <c r="FL104" i="25"/>
  <c r="DO104" i="25"/>
  <c r="RU100" i="25"/>
  <c r="PU100" i="25"/>
  <c r="NU100" i="25"/>
  <c r="RL100" i="25"/>
  <c r="PL100" i="25"/>
  <c r="SU100" i="25"/>
  <c r="QU100" i="25"/>
  <c r="OU100" i="25"/>
  <c r="SL100" i="25"/>
  <c r="QL100" i="25"/>
  <c r="OL100" i="25"/>
  <c r="MU100" i="25"/>
  <c r="KU100" i="25"/>
  <c r="IU100" i="25"/>
  <c r="ML100" i="25"/>
  <c r="KL100" i="25"/>
  <c r="IL100" i="25"/>
  <c r="LU100" i="25"/>
  <c r="JU100" i="25"/>
  <c r="HU100" i="25"/>
  <c r="NL100" i="25"/>
  <c r="LL100" i="25"/>
  <c r="JL100" i="25"/>
  <c r="GU100" i="25"/>
  <c r="GL100" i="25"/>
  <c r="FU100" i="25"/>
  <c r="DX100" i="25"/>
  <c r="HL100" i="25"/>
  <c r="FL100" i="25"/>
  <c r="DO100" i="25"/>
  <c r="RU96" i="25"/>
  <c r="PU96" i="25"/>
  <c r="NU96" i="25"/>
  <c r="RL96" i="25"/>
  <c r="PL96" i="25"/>
  <c r="SU96" i="25"/>
  <c r="QU96" i="25"/>
  <c r="OU96" i="25"/>
  <c r="SL96" i="25"/>
  <c r="QL96" i="25"/>
  <c r="OL96" i="25"/>
  <c r="MU96" i="25"/>
  <c r="KU96" i="25"/>
  <c r="IU96" i="25"/>
  <c r="ML96" i="25"/>
  <c r="KL96" i="25"/>
  <c r="IL96" i="25"/>
  <c r="LU96" i="25"/>
  <c r="JU96" i="25"/>
  <c r="HU96" i="25"/>
  <c r="NL96" i="25"/>
  <c r="LL96" i="25"/>
  <c r="JL96" i="25"/>
  <c r="GU96" i="25"/>
  <c r="GL96" i="25"/>
  <c r="FU96" i="25"/>
  <c r="DX96" i="25"/>
  <c r="HL96" i="25"/>
  <c r="FL96" i="25"/>
  <c r="DO96" i="25"/>
  <c r="RU92" i="25"/>
  <c r="PU92" i="25"/>
  <c r="NU92" i="25"/>
  <c r="RL92" i="25"/>
  <c r="PL92" i="25"/>
  <c r="SU92" i="25"/>
  <c r="QU92" i="25"/>
  <c r="OU92" i="25"/>
  <c r="SL92" i="25"/>
  <c r="QL92" i="25"/>
  <c r="OL92" i="25"/>
  <c r="MU92" i="25"/>
  <c r="KU92" i="25"/>
  <c r="IU92" i="25"/>
  <c r="ML92" i="25"/>
  <c r="KL92" i="25"/>
  <c r="IL92" i="25"/>
  <c r="LU92" i="25"/>
  <c r="JU92" i="25"/>
  <c r="HU92" i="25"/>
  <c r="NL92" i="25"/>
  <c r="LL92" i="25"/>
  <c r="JL92" i="25"/>
  <c r="GU92" i="25"/>
  <c r="GL92" i="25"/>
  <c r="FU92" i="25"/>
  <c r="DX92" i="25"/>
  <c r="HL92" i="25"/>
  <c r="FL92" i="25"/>
  <c r="DO92" i="25"/>
  <c r="RU88" i="25"/>
  <c r="PU88" i="25"/>
  <c r="NU88" i="25"/>
  <c r="RL88" i="25"/>
  <c r="PL88" i="25"/>
  <c r="SU88" i="25"/>
  <c r="QU88" i="25"/>
  <c r="OU88" i="25"/>
  <c r="SL88" i="25"/>
  <c r="QL88" i="25"/>
  <c r="OL88" i="25"/>
  <c r="MU88" i="25"/>
  <c r="KU88" i="25"/>
  <c r="IU88" i="25"/>
  <c r="ML88" i="25"/>
  <c r="KL88" i="25"/>
  <c r="IL88" i="25"/>
  <c r="LU88" i="25"/>
  <c r="JU88" i="25"/>
  <c r="HU88" i="25"/>
  <c r="NL88" i="25"/>
  <c r="LL88" i="25"/>
  <c r="JL88" i="25"/>
  <c r="GU88" i="25"/>
  <c r="GL88" i="25"/>
  <c r="FU88" i="25"/>
  <c r="DX88" i="25"/>
  <c r="HL88" i="25"/>
  <c r="FL88" i="25"/>
  <c r="DO88" i="25"/>
  <c r="RU84" i="25"/>
  <c r="PU84" i="25"/>
  <c r="NU84" i="25"/>
  <c r="RL84" i="25"/>
  <c r="PL84" i="25"/>
  <c r="SU84" i="25"/>
  <c r="QU84" i="25"/>
  <c r="OU84" i="25"/>
  <c r="SL84" i="25"/>
  <c r="QL84" i="25"/>
  <c r="OL84" i="25"/>
  <c r="MU84" i="25"/>
  <c r="KU84" i="25"/>
  <c r="IU84" i="25"/>
  <c r="ML84" i="25"/>
  <c r="KL84" i="25"/>
  <c r="IL84" i="25"/>
  <c r="LU84" i="25"/>
  <c r="JU84" i="25"/>
  <c r="HU84" i="25"/>
  <c r="NL84" i="25"/>
  <c r="LL84" i="25"/>
  <c r="JL84" i="25"/>
  <c r="GU84" i="25"/>
  <c r="GL84" i="25"/>
  <c r="FU84" i="25"/>
  <c r="DX84" i="25"/>
  <c r="HL84" i="25"/>
  <c r="FL84" i="25"/>
  <c r="DO84" i="25"/>
  <c r="RU80" i="25"/>
  <c r="PU80" i="25"/>
  <c r="NU80" i="25"/>
  <c r="RL80" i="25"/>
  <c r="PL80" i="25"/>
  <c r="SU80" i="25"/>
  <c r="QU80" i="25"/>
  <c r="OU80" i="25"/>
  <c r="SL80" i="25"/>
  <c r="QL80" i="25"/>
  <c r="OL80" i="25"/>
  <c r="MU80" i="25"/>
  <c r="KU80" i="25"/>
  <c r="IU80" i="25"/>
  <c r="ML80" i="25"/>
  <c r="KL80" i="25"/>
  <c r="IL80" i="25"/>
  <c r="LU80" i="25"/>
  <c r="JU80" i="25"/>
  <c r="HU80" i="25"/>
  <c r="NL80" i="25"/>
  <c r="LL80" i="25"/>
  <c r="JL80" i="25"/>
  <c r="GU80" i="25"/>
  <c r="GL80" i="25"/>
  <c r="FU80" i="25"/>
  <c r="DX80" i="25"/>
  <c r="HL80" i="25"/>
  <c r="FL80" i="25"/>
  <c r="DO80" i="25"/>
  <c r="SL75" i="25"/>
  <c r="QL75" i="25"/>
  <c r="OL75" i="25"/>
  <c r="RU75" i="25"/>
  <c r="PU75" i="25"/>
  <c r="NU75" i="25"/>
  <c r="RL75" i="25"/>
  <c r="PL75" i="25"/>
  <c r="SU75" i="25"/>
  <c r="QU75" i="25"/>
  <c r="OU75" i="25"/>
  <c r="NL75" i="25"/>
  <c r="LL75" i="25"/>
  <c r="JL75" i="25"/>
  <c r="MU75" i="25"/>
  <c r="KU75" i="25"/>
  <c r="IU75" i="25"/>
  <c r="ML75" i="25"/>
  <c r="KL75" i="25"/>
  <c r="IL75" i="25"/>
  <c r="LU75" i="25"/>
  <c r="JU75" i="25"/>
  <c r="HU75" i="25"/>
  <c r="HL75" i="25"/>
  <c r="FL75" i="25"/>
  <c r="GU75" i="25"/>
  <c r="GL75" i="25"/>
  <c r="FU75" i="25"/>
  <c r="DX75" i="25"/>
  <c r="DO75" i="25"/>
  <c r="AB19" i="25"/>
  <c r="RL117" i="25"/>
  <c r="PL117" i="25"/>
  <c r="SU117" i="25"/>
  <c r="QU117" i="25"/>
  <c r="OU117" i="25"/>
  <c r="SL117" i="25"/>
  <c r="QL117" i="25"/>
  <c r="OL117" i="25"/>
  <c r="RU117" i="25"/>
  <c r="PU117" i="25"/>
  <c r="NU117" i="25"/>
  <c r="ML117" i="25"/>
  <c r="KL117" i="25"/>
  <c r="IL117" i="25"/>
  <c r="LU117" i="25"/>
  <c r="JU117" i="25"/>
  <c r="HU117" i="25"/>
  <c r="NL117" i="25"/>
  <c r="LL117" i="25"/>
  <c r="JL117" i="25"/>
  <c r="MU117" i="25"/>
  <c r="KU117" i="25"/>
  <c r="IU117" i="25"/>
  <c r="GL117" i="25"/>
  <c r="FU117" i="25"/>
  <c r="DX117" i="25"/>
  <c r="HL117" i="25"/>
  <c r="FL117" i="25"/>
  <c r="DO117" i="25"/>
  <c r="GU117" i="25"/>
  <c r="RL113" i="25"/>
  <c r="PL113" i="25"/>
  <c r="SU113" i="25"/>
  <c r="QU113" i="25"/>
  <c r="OU113" i="25"/>
  <c r="SL113" i="25"/>
  <c r="QL113" i="25"/>
  <c r="OL113" i="25"/>
  <c r="RU113" i="25"/>
  <c r="PU113" i="25"/>
  <c r="NU113" i="25"/>
  <c r="ML113" i="25"/>
  <c r="KL113" i="25"/>
  <c r="IL113" i="25"/>
  <c r="LU113" i="25"/>
  <c r="JU113" i="25"/>
  <c r="HU113" i="25"/>
  <c r="NL113" i="25"/>
  <c r="LL113" i="25"/>
  <c r="JL113" i="25"/>
  <c r="MU113" i="25"/>
  <c r="KU113" i="25"/>
  <c r="IU113" i="25"/>
  <c r="GL113" i="25"/>
  <c r="DX113" i="25"/>
  <c r="FU113" i="25"/>
  <c r="HL113" i="25"/>
  <c r="FL113" i="25"/>
  <c r="DO113" i="25"/>
  <c r="GU113" i="25"/>
  <c r="RL109" i="25"/>
  <c r="PL109" i="25"/>
  <c r="SU109" i="25"/>
  <c r="QU109" i="25"/>
  <c r="OU109" i="25"/>
  <c r="SL109" i="25"/>
  <c r="QL109" i="25"/>
  <c r="OL109" i="25"/>
  <c r="RU109" i="25"/>
  <c r="PU109" i="25"/>
  <c r="NU109" i="25"/>
  <c r="ML109" i="25"/>
  <c r="KL109" i="25"/>
  <c r="IL109" i="25"/>
  <c r="LU109" i="25"/>
  <c r="JU109" i="25"/>
  <c r="HU109" i="25"/>
  <c r="NL109" i="25"/>
  <c r="LL109" i="25"/>
  <c r="JL109" i="25"/>
  <c r="MU109" i="25"/>
  <c r="KU109" i="25"/>
  <c r="IU109" i="25"/>
  <c r="GL109" i="25"/>
  <c r="FU109" i="25"/>
  <c r="HL109" i="25"/>
  <c r="FL109" i="25"/>
  <c r="DO109" i="25"/>
  <c r="GU109" i="25"/>
  <c r="DX109" i="25"/>
  <c r="RL105" i="25"/>
  <c r="PL105" i="25"/>
  <c r="SU105" i="25"/>
  <c r="QU105" i="25"/>
  <c r="OU105" i="25"/>
  <c r="SL105" i="25"/>
  <c r="QL105" i="25"/>
  <c r="OL105" i="25"/>
  <c r="RU105" i="25"/>
  <c r="PU105" i="25"/>
  <c r="NU105" i="25"/>
  <c r="ML105" i="25"/>
  <c r="KL105" i="25"/>
  <c r="IL105" i="25"/>
  <c r="LU105" i="25"/>
  <c r="JU105" i="25"/>
  <c r="HU105" i="25"/>
  <c r="NL105" i="25"/>
  <c r="LL105" i="25"/>
  <c r="JL105" i="25"/>
  <c r="MU105" i="25"/>
  <c r="KU105" i="25"/>
  <c r="IU105" i="25"/>
  <c r="GL105" i="25"/>
  <c r="FU105" i="25"/>
  <c r="HL105" i="25"/>
  <c r="FL105" i="25"/>
  <c r="DO105" i="25"/>
  <c r="DX105" i="25"/>
  <c r="GU105" i="25"/>
  <c r="RL101" i="25"/>
  <c r="PL101" i="25"/>
  <c r="SU101" i="25"/>
  <c r="QU101" i="25"/>
  <c r="OU101" i="25"/>
  <c r="SL101" i="25"/>
  <c r="QL101" i="25"/>
  <c r="OL101" i="25"/>
  <c r="RU101" i="25"/>
  <c r="PU101" i="25"/>
  <c r="NU101" i="25"/>
  <c r="ML101" i="25"/>
  <c r="KL101" i="25"/>
  <c r="IL101" i="25"/>
  <c r="LU101" i="25"/>
  <c r="JU101" i="25"/>
  <c r="HU101" i="25"/>
  <c r="NL101" i="25"/>
  <c r="LL101" i="25"/>
  <c r="JL101" i="25"/>
  <c r="MU101" i="25"/>
  <c r="KU101" i="25"/>
  <c r="IU101" i="25"/>
  <c r="GL101" i="25"/>
  <c r="FU101" i="25"/>
  <c r="DX101" i="25"/>
  <c r="HL101" i="25"/>
  <c r="FL101" i="25"/>
  <c r="DO101" i="25"/>
  <c r="GU101" i="25"/>
  <c r="SU98" i="25"/>
  <c r="QU98" i="25"/>
  <c r="OU98" i="25"/>
  <c r="SL98" i="25"/>
  <c r="QL98" i="25"/>
  <c r="OL98" i="25"/>
  <c r="RU98" i="25"/>
  <c r="PU98" i="25"/>
  <c r="NU98" i="25"/>
  <c r="RL98" i="25"/>
  <c r="PL98" i="25"/>
  <c r="LU98" i="25"/>
  <c r="JU98" i="25"/>
  <c r="HU98" i="25"/>
  <c r="NL98" i="25"/>
  <c r="LL98" i="25"/>
  <c r="JL98" i="25"/>
  <c r="MU98" i="25"/>
  <c r="KU98" i="25"/>
  <c r="IU98" i="25"/>
  <c r="ML98" i="25"/>
  <c r="KL98" i="25"/>
  <c r="IL98" i="25"/>
  <c r="FU98" i="25"/>
  <c r="DO98" i="25"/>
  <c r="HL98" i="25"/>
  <c r="FL98" i="25"/>
  <c r="GU98" i="25"/>
  <c r="GL98" i="25"/>
  <c r="DX98" i="25"/>
  <c r="SL95" i="25"/>
  <c r="QL95" i="25"/>
  <c r="OL95" i="25"/>
  <c r="RU95" i="25"/>
  <c r="PU95" i="25"/>
  <c r="NU95" i="25"/>
  <c r="RL95" i="25"/>
  <c r="PL95" i="25"/>
  <c r="SU95" i="25"/>
  <c r="QU95" i="25"/>
  <c r="OU95" i="25"/>
  <c r="NL95" i="25"/>
  <c r="LL95" i="25"/>
  <c r="JL95" i="25"/>
  <c r="MU95" i="25"/>
  <c r="KU95" i="25"/>
  <c r="IU95" i="25"/>
  <c r="ML95" i="25"/>
  <c r="KL95" i="25"/>
  <c r="IL95" i="25"/>
  <c r="LU95" i="25"/>
  <c r="JU95" i="25"/>
  <c r="HU95" i="25"/>
  <c r="HL95" i="25"/>
  <c r="FL95" i="25"/>
  <c r="GU95" i="25"/>
  <c r="GL95" i="25"/>
  <c r="DO95" i="25"/>
  <c r="FU95" i="25"/>
  <c r="DX95" i="25"/>
  <c r="SU90" i="25"/>
  <c r="QU90" i="25"/>
  <c r="OU90" i="25"/>
  <c r="SL90" i="25"/>
  <c r="QL90" i="25"/>
  <c r="OL90" i="25"/>
  <c r="RU90" i="25"/>
  <c r="PU90" i="25"/>
  <c r="NU90" i="25"/>
  <c r="RL90" i="25"/>
  <c r="PL90" i="25"/>
  <c r="LU90" i="25"/>
  <c r="JU90" i="25"/>
  <c r="HU90" i="25"/>
  <c r="NL90" i="25"/>
  <c r="LL90" i="25"/>
  <c r="JL90" i="25"/>
  <c r="MU90" i="25"/>
  <c r="KU90" i="25"/>
  <c r="IU90" i="25"/>
  <c r="ML90" i="25"/>
  <c r="KL90" i="25"/>
  <c r="IL90" i="25"/>
  <c r="FU90" i="25"/>
  <c r="HL90" i="25"/>
  <c r="FL90" i="25"/>
  <c r="GU90" i="25"/>
  <c r="DO90" i="25"/>
  <c r="GL90" i="25"/>
  <c r="DX90" i="25"/>
  <c r="SU86" i="25"/>
  <c r="QU86" i="25"/>
  <c r="OU86" i="25"/>
  <c r="SL86" i="25"/>
  <c r="QL86" i="25"/>
  <c r="OL86" i="25"/>
  <c r="RU86" i="25"/>
  <c r="PU86" i="25"/>
  <c r="NU86" i="25"/>
  <c r="RL86" i="25"/>
  <c r="PL86" i="25"/>
  <c r="LU86" i="25"/>
  <c r="JU86" i="25"/>
  <c r="HU86" i="25"/>
  <c r="NL86" i="25"/>
  <c r="LL86" i="25"/>
  <c r="JL86" i="25"/>
  <c r="MU86" i="25"/>
  <c r="KU86" i="25"/>
  <c r="IU86" i="25"/>
  <c r="ML86" i="25"/>
  <c r="KL86" i="25"/>
  <c r="IL86" i="25"/>
  <c r="FU86" i="25"/>
  <c r="HL86" i="25"/>
  <c r="FL86" i="25"/>
  <c r="DO86" i="25"/>
  <c r="GU86" i="25"/>
  <c r="DX86" i="25"/>
  <c r="GL86" i="25"/>
  <c r="SU82" i="25"/>
  <c r="QU82" i="25"/>
  <c r="OU82" i="25"/>
  <c r="SL82" i="25"/>
  <c r="QL82" i="25"/>
  <c r="OL82" i="25"/>
  <c r="RU82" i="25"/>
  <c r="PU82" i="25"/>
  <c r="NU82" i="25"/>
  <c r="RL82" i="25"/>
  <c r="PL82" i="25"/>
  <c r="LU82" i="25"/>
  <c r="JU82" i="25"/>
  <c r="HU82" i="25"/>
  <c r="NL82" i="25"/>
  <c r="LL82" i="25"/>
  <c r="JL82" i="25"/>
  <c r="MU82" i="25"/>
  <c r="KU82" i="25"/>
  <c r="IU82" i="25"/>
  <c r="ML82" i="25"/>
  <c r="KL82" i="25"/>
  <c r="IL82" i="25"/>
  <c r="FU82" i="25"/>
  <c r="DO82" i="25"/>
  <c r="HL82" i="25"/>
  <c r="FL82" i="25"/>
  <c r="GU82" i="25"/>
  <c r="GL82" i="25"/>
  <c r="DX82" i="25"/>
  <c r="SU78" i="25"/>
  <c r="QU78" i="25"/>
  <c r="OU78" i="25"/>
  <c r="SL78" i="25"/>
  <c r="QL78" i="25"/>
  <c r="OL78" i="25"/>
  <c r="RU78" i="25"/>
  <c r="PU78" i="25"/>
  <c r="NU78" i="25"/>
  <c r="RL78" i="25"/>
  <c r="PL78" i="25"/>
  <c r="LU78" i="25"/>
  <c r="JU78" i="25"/>
  <c r="HU78" i="25"/>
  <c r="NL78" i="25"/>
  <c r="LL78" i="25"/>
  <c r="JL78" i="25"/>
  <c r="MU78" i="25"/>
  <c r="KU78" i="25"/>
  <c r="IU78" i="25"/>
  <c r="ML78" i="25"/>
  <c r="KL78" i="25"/>
  <c r="IL78" i="25"/>
  <c r="FU78" i="25"/>
  <c r="HL78" i="25"/>
  <c r="FL78" i="25"/>
  <c r="GU78" i="25"/>
  <c r="DX78" i="25"/>
  <c r="GL78" i="25"/>
  <c r="DO78" i="25"/>
  <c r="SU74" i="25"/>
  <c r="QU74" i="25"/>
  <c r="OU74" i="25"/>
  <c r="SL74" i="25"/>
  <c r="QL74" i="25"/>
  <c r="OL74" i="25"/>
  <c r="RU74" i="25"/>
  <c r="PU74" i="25"/>
  <c r="NU74" i="25"/>
  <c r="RL74" i="25"/>
  <c r="PL74" i="25"/>
  <c r="LU74" i="25"/>
  <c r="JU74" i="25"/>
  <c r="HU74" i="25"/>
  <c r="NL74" i="25"/>
  <c r="LL74" i="25"/>
  <c r="JL74" i="25"/>
  <c r="MU74" i="25"/>
  <c r="KU74" i="25"/>
  <c r="IU74" i="25"/>
  <c r="ML74" i="25"/>
  <c r="KL74" i="25"/>
  <c r="IL74" i="25"/>
  <c r="FU74" i="25"/>
  <c r="HL74" i="25"/>
  <c r="FL74" i="25"/>
  <c r="GU74" i="25"/>
  <c r="DO74" i="25"/>
  <c r="GL74" i="25"/>
  <c r="DX74" i="25"/>
  <c r="SU118" i="25"/>
  <c r="QU118" i="25"/>
  <c r="OU118" i="25"/>
  <c r="SL118" i="25"/>
  <c r="QL118" i="25"/>
  <c r="OL118" i="25"/>
  <c r="RU118" i="25"/>
  <c r="PU118" i="25"/>
  <c r="NU118" i="25"/>
  <c r="RL118" i="25"/>
  <c r="PL118" i="25"/>
  <c r="LU118" i="25"/>
  <c r="JU118" i="25"/>
  <c r="HU118" i="25"/>
  <c r="NL118" i="25"/>
  <c r="LL118" i="25"/>
  <c r="JL118" i="25"/>
  <c r="MU118" i="25"/>
  <c r="KU118" i="25"/>
  <c r="IU118" i="25"/>
  <c r="ML118" i="25"/>
  <c r="KL118" i="25"/>
  <c r="IL118" i="25"/>
  <c r="FU118" i="25"/>
  <c r="HL118" i="25"/>
  <c r="FL118" i="25"/>
  <c r="DO118" i="25"/>
  <c r="GU118" i="25"/>
  <c r="DX118" i="25"/>
  <c r="GL118" i="25"/>
  <c r="SU114" i="25"/>
  <c r="QU114" i="25"/>
  <c r="OU114" i="25"/>
  <c r="SL114" i="25"/>
  <c r="QL114" i="25"/>
  <c r="OL114" i="25"/>
  <c r="RU114" i="25"/>
  <c r="PU114" i="25"/>
  <c r="NU114" i="25"/>
  <c r="RL114" i="25"/>
  <c r="PL114" i="25"/>
  <c r="LU114" i="25"/>
  <c r="JU114" i="25"/>
  <c r="HU114" i="25"/>
  <c r="NL114" i="25"/>
  <c r="LL114" i="25"/>
  <c r="JL114" i="25"/>
  <c r="MU114" i="25"/>
  <c r="KU114" i="25"/>
  <c r="IU114" i="25"/>
  <c r="ML114" i="25"/>
  <c r="KL114" i="25"/>
  <c r="IL114" i="25"/>
  <c r="FU114" i="25"/>
  <c r="DO114" i="25"/>
  <c r="HL114" i="25"/>
  <c r="FL114" i="25"/>
  <c r="GU114" i="25"/>
  <c r="GL114" i="25"/>
  <c r="DX114" i="25"/>
  <c r="SU110" i="25"/>
  <c r="QU110" i="25"/>
  <c r="OU110" i="25"/>
  <c r="SL110" i="25"/>
  <c r="QL110" i="25"/>
  <c r="OL110" i="25"/>
  <c r="RU110" i="25"/>
  <c r="PU110" i="25"/>
  <c r="NU110" i="25"/>
  <c r="RL110" i="25"/>
  <c r="PL110" i="25"/>
  <c r="LU110" i="25"/>
  <c r="JU110" i="25"/>
  <c r="HU110" i="25"/>
  <c r="NL110" i="25"/>
  <c r="LL110" i="25"/>
  <c r="JL110" i="25"/>
  <c r="MU110" i="25"/>
  <c r="KU110" i="25"/>
  <c r="IU110" i="25"/>
  <c r="ML110" i="25"/>
  <c r="KL110" i="25"/>
  <c r="IL110" i="25"/>
  <c r="FU110" i="25"/>
  <c r="HL110" i="25"/>
  <c r="FL110" i="25"/>
  <c r="GU110" i="25"/>
  <c r="DX110" i="25"/>
  <c r="DO110" i="25"/>
  <c r="GL110" i="25"/>
  <c r="SU106" i="25"/>
  <c r="QU106" i="25"/>
  <c r="OU106" i="25"/>
  <c r="SL106" i="25"/>
  <c r="QL106" i="25"/>
  <c r="OL106" i="25"/>
  <c r="RU106" i="25"/>
  <c r="PU106" i="25"/>
  <c r="NU106" i="25"/>
  <c r="RL106" i="25"/>
  <c r="PL106" i="25"/>
  <c r="LU106" i="25"/>
  <c r="JU106" i="25"/>
  <c r="HU106" i="25"/>
  <c r="NL106" i="25"/>
  <c r="LL106" i="25"/>
  <c r="JL106" i="25"/>
  <c r="MU106" i="25"/>
  <c r="KU106" i="25"/>
  <c r="IU106" i="25"/>
  <c r="ML106" i="25"/>
  <c r="KL106" i="25"/>
  <c r="IL106" i="25"/>
  <c r="FU106" i="25"/>
  <c r="HL106" i="25"/>
  <c r="FL106" i="25"/>
  <c r="GU106" i="25"/>
  <c r="GL106" i="25"/>
  <c r="DX106" i="25"/>
  <c r="DO106" i="25"/>
  <c r="SL103" i="25"/>
  <c r="QL103" i="25"/>
  <c r="OL103" i="25"/>
  <c r="RU103" i="25"/>
  <c r="PU103" i="25"/>
  <c r="NU103" i="25"/>
  <c r="RL103" i="25"/>
  <c r="PL103" i="25"/>
  <c r="SU103" i="25"/>
  <c r="QU103" i="25"/>
  <c r="OU103" i="25"/>
  <c r="NL103" i="25"/>
  <c r="LL103" i="25"/>
  <c r="JL103" i="25"/>
  <c r="MU103" i="25"/>
  <c r="KU103" i="25"/>
  <c r="IU103" i="25"/>
  <c r="ML103" i="25"/>
  <c r="KL103" i="25"/>
  <c r="IL103" i="25"/>
  <c r="LU103" i="25"/>
  <c r="JU103" i="25"/>
  <c r="HU103" i="25"/>
  <c r="HL103" i="25"/>
  <c r="FL103" i="25"/>
  <c r="DO103" i="25"/>
  <c r="GU103" i="25"/>
  <c r="GL103" i="25"/>
  <c r="FU103" i="25"/>
  <c r="DX103" i="25"/>
  <c r="SL99" i="25"/>
  <c r="QL99" i="25"/>
  <c r="OL99" i="25"/>
  <c r="RU99" i="25"/>
  <c r="PU99" i="25"/>
  <c r="NU99" i="25"/>
  <c r="RL99" i="25"/>
  <c r="PL99" i="25"/>
  <c r="SU99" i="25"/>
  <c r="QU99" i="25"/>
  <c r="OU99" i="25"/>
  <c r="NL99" i="25"/>
  <c r="LL99" i="25"/>
  <c r="JL99" i="25"/>
  <c r="MU99" i="25"/>
  <c r="KU99" i="25"/>
  <c r="IU99" i="25"/>
  <c r="ML99" i="25"/>
  <c r="KL99" i="25"/>
  <c r="IL99" i="25"/>
  <c r="LU99" i="25"/>
  <c r="JU99" i="25"/>
  <c r="HU99" i="25"/>
  <c r="HL99" i="25"/>
  <c r="FL99" i="25"/>
  <c r="GU99" i="25"/>
  <c r="GL99" i="25"/>
  <c r="FU99" i="25"/>
  <c r="DX99" i="25"/>
  <c r="DO99" i="25"/>
  <c r="RL93" i="25"/>
  <c r="PL93" i="25"/>
  <c r="SU93" i="25"/>
  <c r="QU93" i="25"/>
  <c r="OU93" i="25"/>
  <c r="SL93" i="25"/>
  <c r="QL93" i="25"/>
  <c r="OL93" i="25"/>
  <c r="RU93" i="25"/>
  <c r="PU93" i="25"/>
  <c r="NU93" i="25"/>
  <c r="ML93" i="25"/>
  <c r="KL93" i="25"/>
  <c r="IL93" i="25"/>
  <c r="LU93" i="25"/>
  <c r="JU93" i="25"/>
  <c r="HU93" i="25"/>
  <c r="NL93" i="25"/>
  <c r="LL93" i="25"/>
  <c r="JL93" i="25"/>
  <c r="MU93" i="25"/>
  <c r="KU93" i="25"/>
  <c r="IU93" i="25"/>
  <c r="GL93" i="25"/>
  <c r="FU93" i="25"/>
  <c r="HL93" i="25"/>
  <c r="FL93" i="25"/>
  <c r="DO93" i="25"/>
  <c r="GU93" i="25"/>
  <c r="DX93" i="25"/>
  <c r="RL89" i="25"/>
  <c r="PL89" i="25"/>
  <c r="SU89" i="25"/>
  <c r="QU89" i="25"/>
  <c r="OU89" i="25"/>
  <c r="SL89" i="25"/>
  <c r="QL89" i="25"/>
  <c r="OL89" i="25"/>
  <c r="RU89" i="25"/>
  <c r="PU89" i="25"/>
  <c r="NU89" i="25"/>
  <c r="ML89" i="25"/>
  <c r="KL89" i="25"/>
  <c r="IL89" i="25"/>
  <c r="LU89" i="25"/>
  <c r="JU89" i="25"/>
  <c r="HU89" i="25"/>
  <c r="NL89" i="25"/>
  <c r="LL89" i="25"/>
  <c r="JL89" i="25"/>
  <c r="MU89" i="25"/>
  <c r="KU89" i="25"/>
  <c r="IU89" i="25"/>
  <c r="GL89" i="25"/>
  <c r="FU89" i="25"/>
  <c r="HL89" i="25"/>
  <c r="FL89" i="25"/>
  <c r="DO89" i="25"/>
  <c r="DX89" i="25"/>
  <c r="GU89" i="25"/>
  <c r="RL85" i="25"/>
  <c r="PL85" i="25"/>
  <c r="SU85" i="25"/>
  <c r="QU85" i="25"/>
  <c r="OU85" i="25"/>
  <c r="SL85" i="25"/>
  <c r="QL85" i="25"/>
  <c r="OL85" i="25"/>
  <c r="RU85" i="25"/>
  <c r="PU85" i="25"/>
  <c r="NU85" i="25"/>
  <c r="ML85" i="25"/>
  <c r="KL85" i="25"/>
  <c r="IL85" i="25"/>
  <c r="LU85" i="25"/>
  <c r="JU85" i="25"/>
  <c r="HU85" i="25"/>
  <c r="NL85" i="25"/>
  <c r="LL85" i="25"/>
  <c r="JL85" i="25"/>
  <c r="MU85" i="25"/>
  <c r="KU85" i="25"/>
  <c r="IU85" i="25"/>
  <c r="GL85" i="25"/>
  <c r="FU85" i="25"/>
  <c r="DX85" i="25"/>
  <c r="HL85" i="25"/>
  <c r="FL85" i="25"/>
  <c r="DO85" i="25"/>
  <c r="GU85" i="25"/>
  <c r="RL81" i="25"/>
  <c r="PL81" i="25"/>
  <c r="SU81" i="25"/>
  <c r="QU81" i="25"/>
  <c r="OU81" i="25"/>
  <c r="SL81" i="25"/>
  <c r="QL81" i="25"/>
  <c r="OL81" i="25"/>
  <c r="RU81" i="25"/>
  <c r="PU81" i="25"/>
  <c r="NU81" i="25"/>
  <c r="ML81" i="25"/>
  <c r="KL81" i="25"/>
  <c r="IL81" i="25"/>
  <c r="LU81" i="25"/>
  <c r="JU81" i="25"/>
  <c r="HU81" i="25"/>
  <c r="NL81" i="25"/>
  <c r="LL81" i="25"/>
  <c r="JL81" i="25"/>
  <c r="MU81" i="25"/>
  <c r="KU81" i="25"/>
  <c r="IU81" i="25"/>
  <c r="GL81" i="25"/>
  <c r="DX81" i="25"/>
  <c r="FU81" i="25"/>
  <c r="HL81" i="25"/>
  <c r="FL81" i="25"/>
  <c r="DO81" i="25"/>
  <c r="GU81" i="25"/>
  <c r="RL77" i="25"/>
  <c r="PL77" i="25"/>
  <c r="SU77" i="25"/>
  <c r="QU77" i="25"/>
  <c r="OU77" i="25"/>
  <c r="SL77" i="25"/>
  <c r="QL77" i="25"/>
  <c r="OL77" i="25"/>
  <c r="RU77" i="25"/>
  <c r="PU77" i="25"/>
  <c r="NU77" i="25"/>
  <c r="ML77" i="25"/>
  <c r="KL77" i="25"/>
  <c r="IL77" i="25"/>
  <c r="LU77" i="25"/>
  <c r="JU77" i="25"/>
  <c r="HU77" i="25"/>
  <c r="NL77" i="25"/>
  <c r="LL77" i="25"/>
  <c r="JL77" i="25"/>
  <c r="MU77" i="25"/>
  <c r="KU77" i="25"/>
  <c r="IU77" i="25"/>
  <c r="GL77" i="25"/>
  <c r="FU77" i="25"/>
  <c r="HL77" i="25"/>
  <c r="FL77" i="25"/>
  <c r="DO77" i="25"/>
  <c r="GU77" i="25"/>
  <c r="DX77" i="25"/>
  <c r="RL73" i="25"/>
  <c r="PL73" i="25"/>
  <c r="SU73" i="25"/>
  <c r="QU73" i="25"/>
  <c r="OU73" i="25"/>
  <c r="SL73" i="25"/>
  <c r="QL73" i="25"/>
  <c r="OL73" i="25"/>
  <c r="RU73" i="25"/>
  <c r="PU73" i="25"/>
  <c r="NU73" i="25"/>
  <c r="ML73" i="25"/>
  <c r="KL73" i="25"/>
  <c r="IL73" i="25"/>
  <c r="LU73" i="25"/>
  <c r="JU73" i="25"/>
  <c r="HU73" i="25"/>
  <c r="NL73" i="25"/>
  <c r="LL73" i="25"/>
  <c r="JL73" i="25"/>
  <c r="MU73" i="25"/>
  <c r="KU73" i="25"/>
  <c r="IU73" i="25"/>
  <c r="GL73" i="25"/>
  <c r="FU73" i="25"/>
  <c r="HL73" i="25"/>
  <c r="FL73" i="25"/>
  <c r="DO73" i="25"/>
  <c r="DX73" i="25"/>
  <c r="GU73" i="25"/>
  <c r="UU120" i="25"/>
  <c r="UL120" i="25"/>
  <c r="TU120" i="25"/>
  <c r="TL120" i="25"/>
  <c r="V120" i="25"/>
  <c r="Z120" i="25"/>
  <c r="Y120" i="25"/>
  <c r="S120" i="19" s="1"/>
  <c r="AG120" i="25"/>
  <c r="T120" i="19" s="1"/>
  <c r="T120" i="25"/>
  <c r="X120" i="25"/>
  <c r="R120" i="19" s="1"/>
  <c r="AB120" i="25"/>
  <c r="AA120" i="25"/>
  <c r="UU116" i="25"/>
  <c r="UL116" i="25"/>
  <c r="TU116" i="25"/>
  <c r="TL116" i="25"/>
  <c r="V116" i="25"/>
  <c r="Z116" i="25"/>
  <c r="Y116" i="25"/>
  <c r="S116" i="19" s="1"/>
  <c r="AG116" i="25"/>
  <c r="T116" i="19" s="1"/>
  <c r="T116" i="25"/>
  <c r="X116" i="25"/>
  <c r="R116" i="19" s="1"/>
  <c r="AB116" i="25"/>
  <c r="AA116" i="25"/>
  <c r="UU112" i="25"/>
  <c r="UL112" i="25"/>
  <c r="TU112" i="25"/>
  <c r="TL112" i="25"/>
  <c r="V112" i="25"/>
  <c r="Z112" i="25"/>
  <c r="Y112" i="25"/>
  <c r="S112" i="19" s="1"/>
  <c r="AG112" i="25"/>
  <c r="T112" i="19" s="1"/>
  <c r="T112" i="25"/>
  <c r="X112" i="25"/>
  <c r="R112" i="19" s="1"/>
  <c r="AB112" i="25"/>
  <c r="AA112" i="25"/>
  <c r="UU108" i="25"/>
  <c r="UL108" i="25"/>
  <c r="TU108" i="25"/>
  <c r="TL108" i="25"/>
  <c r="V108" i="25"/>
  <c r="Z108" i="25"/>
  <c r="Y108" i="25"/>
  <c r="S108" i="19" s="1"/>
  <c r="AG108" i="25"/>
  <c r="T108" i="19" s="1"/>
  <c r="T108" i="25"/>
  <c r="X108" i="25"/>
  <c r="R108" i="19" s="1"/>
  <c r="AB108" i="25"/>
  <c r="AA108" i="25"/>
  <c r="UU103" i="25"/>
  <c r="UL103" i="25"/>
  <c r="TU103" i="25"/>
  <c r="TL103" i="25"/>
  <c r="Y103" i="25"/>
  <c r="S103" i="19" s="1"/>
  <c r="AG103" i="25"/>
  <c r="T103" i="19" s="1"/>
  <c r="T103" i="25"/>
  <c r="X103" i="25"/>
  <c r="R103" i="19" s="1"/>
  <c r="AB103" i="25"/>
  <c r="AA103" i="25"/>
  <c r="V103" i="25"/>
  <c r="Z103" i="25"/>
  <c r="UU99" i="25"/>
  <c r="UL99" i="25"/>
  <c r="TU99" i="25"/>
  <c r="TL99" i="25"/>
  <c r="Y99" i="25"/>
  <c r="S99" i="19" s="1"/>
  <c r="AG99" i="25"/>
  <c r="T99" i="19" s="1"/>
  <c r="T99" i="25"/>
  <c r="X99" i="25"/>
  <c r="R99" i="19" s="1"/>
  <c r="P99" i="20" s="1"/>
  <c r="AB99" i="25"/>
  <c r="AA99" i="25"/>
  <c r="V99" i="25"/>
  <c r="Z99" i="25"/>
  <c r="UU96" i="25"/>
  <c r="UL96" i="25"/>
  <c r="TU96" i="25"/>
  <c r="TL96" i="25"/>
  <c r="V96" i="25"/>
  <c r="Z96" i="25"/>
  <c r="Y96" i="25"/>
  <c r="S96" i="19" s="1"/>
  <c r="AG96" i="25"/>
  <c r="T96" i="19" s="1"/>
  <c r="T96" i="25"/>
  <c r="X96" i="25"/>
  <c r="R96" i="19" s="1"/>
  <c r="P96" i="20" s="1"/>
  <c r="AB96" i="25"/>
  <c r="AA96" i="25"/>
  <c r="UU92" i="25"/>
  <c r="UL92" i="25"/>
  <c r="TU92" i="25"/>
  <c r="TL92" i="25"/>
  <c r="V92" i="25"/>
  <c r="Z92" i="25"/>
  <c r="Y92" i="25"/>
  <c r="S92" i="19" s="1"/>
  <c r="AG92" i="25"/>
  <c r="T92" i="19" s="1"/>
  <c r="T92" i="25"/>
  <c r="X92" i="25"/>
  <c r="R92" i="19" s="1"/>
  <c r="P92" i="20" s="1"/>
  <c r="AB92" i="25"/>
  <c r="AA92" i="25"/>
  <c r="UU87" i="25"/>
  <c r="UL87" i="25"/>
  <c r="TU87" i="25"/>
  <c r="TL87" i="25"/>
  <c r="Y87" i="25"/>
  <c r="S87" i="19" s="1"/>
  <c r="AG87" i="25"/>
  <c r="T87" i="19" s="1"/>
  <c r="T87" i="25"/>
  <c r="X87" i="25"/>
  <c r="R87" i="19" s="1"/>
  <c r="P87" i="20" s="1"/>
  <c r="AB87" i="25"/>
  <c r="AA87" i="25"/>
  <c r="V87" i="25"/>
  <c r="Z87" i="25"/>
  <c r="UU84" i="25"/>
  <c r="UL84" i="25"/>
  <c r="TU84" i="25"/>
  <c r="TL84" i="25"/>
  <c r="V84" i="25"/>
  <c r="Z84" i="25"/>
  <c r="Y84" i="25"/>
  <c r="S84" i="19" s="1"/>
  <c r="AG84" i="25"/>
  <c r="T84" i="19" s="1"/>
  <c r="T84" i="25"/>
  <c r="X84" i="25"/>
  <c r="R84" i="19" s="1"/>
  <c r="P84" i="20" s="1"/>
  <c r="AB84" i="25"/>
  <c r="AA84" i="25"/>
  <c r="UU80" i="25"/>
  <c r="UL80" i="25"/>
  <c r="TU80" i="25"/>
  <c r="TL80" i="25"/>
  <c r="V80" i="25"/>
  <c r="Z80" i="25"/>
  <c r="Y80" i="25"/>
  <c r="S80" i="19" s="1"/>
  <c r="AG80" i="25"/>
  <c r="T80" i="19" s="1"/>
  <c r="T80" i="25"/>
  <c r="X80" i="25"/>
  <c r="R80" i="19" s="1"/>
  <c r="P80" i="20" s="1"/>
  <c r="AB80" i="25"/>
  <c r="AA80" i="25"/>
  <c r="UU76" i="25"/>
  <c r="UL76" i="25"/>
  <c r="TU76" i="25"/>
  <c r="TL76" i="25"/>
  <c r="V76" i="25"/>
  <c r="Z76" i="25"/>
  <c r="Y76" i="25"/>
  <c r="S76" i="19" s="1"/>
  <c r="AG76" i="25"/>
  <c r="T76" i="19" s="1"/>
  <c r="T76" i="25"/>
  <c r="X76" i="25"/>
  <c r="R76" i="19" s="1"/>
  <c r="P76" i="20" s="1"/>
  <c r="AB76" i="25"/>
  <c r="AA76" i="25"/>
  <c r="AB71" i="25"/>
  <c r="AB67" i="25"/>
  <c r="AB63" i="25"/>
  <c r="AB56" i="25"/>
  <c r="UU118" i="25"/>
  <c r="UL118" i="25"/>
  <c r="TU118" i="25"/>
  <c r="TL118" i="25"/>
  <c r="T118" i="25"/>
  <c r="X118" i="25"/>
  <c r="R118" i="19" s="1"/>
  <c r="AB118" i="25"/>
  <c r="AA118" i="25"/>
  <c r="V118" i="25"/>
  <c r="Z118" i="25"/>
  <c r="Y118" i="25"/>
  <c r="S118" i="19" s="1"/>
  <c r="AG118" i="25"/>
  <c r="T118" i="19" s="1"/>
  <c r="UU114" i="25"/>
  <c r="UL114" i="25"/>
  <c r="TU114" i="25"/>
  <c r="TL114" i="25"/>
  <c r="T114" i="25"/>
  <c r="X114" i="25"/>
  <c r="R114" i="19" s="1"/>
  <c r="AB114" i="25"/>
  <c r="AA114" i="25"/>
  <c r="V114" i="25"/>
  <c r="Z114" i="25"/>
  <c r="Y114" i="25"/>
  <c r="S114" i="19" s="1"/>
  <c r="AG114" i="25"/>
  <c r="T114" i="19" s="1"/>
  <c r="UU110" i="25"/>
  <c r="UL110" i="25"/>
  <c r="TU110" i="25"/>
  <c r="TL110" i="25"/>
  <c r="T110" i="25"/>
  <c r="X110" i="25"/>
  <c r="R110" i="19" s="1"/>
  <c r="AB110" i="25"/>
  <c r="AA110" i="25"/>
  <c r="V110" i="25"/>
  <c r="Z110" i="25"/>
  <c r="Y110" i="25"/>
  <c r="S110" i="19" s="1"/>
  <c r="AG110" i="25"/>
  <c r="T110" i="19" s="1"/>
  <c r="UU106" i="25"/>
  <c r="UL106" i="25"/>
  <c r="TU106" i="25"/>
  <c r="TL106" i="25"/>
  <c r="T106" i="25"/>
  <c r="X106" i="25"/>
  <c r="R106" i="19" s="1"/>
  <c r="AB106" i="25"/>
  <c r="AA106" i="25"/>
  <c r="V106" i="25"/>
  <c r="Z106" i="25"/>
  <c r="Y106" i="25"/>
  <c r="S106" i="19" s="1"/>
  <c r="AG106" i="25"/>
  <c r="T106" i="19" s="1"/>
  <c r="UU102" i="25"/>
  <c r="UL102" i="25"/>
  <c r="TU102" i="25"/>
  <c r="TL102" i="25"/>
  <c r="T102" i="25"/>
  <c r="X102" i="25"/>
  <c r="R102" i="19" s="1"/>
  <c r="AB102" i="25"/>
  <c r="AA102" i="25"/>
  <c r="V102" i="25"/>
  <c r="Z102" i="25"/>
  <c r="Y102" i="25"/>
  <c r="S102" i="19" s="1"/>
  <c r="AG102" i="25"/>
  <c r="T102" i="19" s="1"/>
  <c r="UU98" i="25"/>
  <c r="UL98" i="25"/>
  <c r="TU98" i="25"/>
  <c r="TL98" i="25"/>
  <c r="T98" i="25"/>
  <c r="X98" i="25"/>
  <c r="R98" i="19" s="1"/>
  <c r="P98" i="20" s="1"/>
  <c r="AB98" i="25"/>
  <c r="AA98" i="25"/>
  <c r="V98" i="25"/>
  <c r="Z98" i="25"/>
  <c r="Y98" i="25"/>
  <c r="S98" i="19" s="1"/>
  <c r="AG98" i="25"/>
  <c r="T98" i="19" s="1"/>
  <c r="UU94" i="25"/>
  <c r="UL94" i="25"/>
  <c r="TU94" i="25"/>
  <c r="TL94" i="25"/>
  <c r="T94" i="25"/>
  <c r="X94" i="25"/>
  <c r="R94" i="19" s="1"/>
  <c r="P94" i="20" s="1"/>
  <c r="AB94" i="25"/>
  <c r="AA94" i="25"/>
  <c r="V94" i="25"/>
  <c r="Z94" i="25"/>
  <c r="Y94" i="25"/>
  <c r="S94" i="19" s="1"/>
  <c r="AG94" i="25"/>
  <c r="T94" i="19" s="1"/>
  <c r="UU90" i="25"/>
  <c r="UL90" i="25"/>
  <c r="TU90" i="25"/>
  <c r="TL90" i="25"/>
  <c r="T90" i="25"/>
  <c r="X90" i="25"/>
  <c r="R90" i="19" s="1"/>
  <c r="P90" i="20" s="1"/>
  <c r="AB90" i="25"/>
  <c r="AA90" i="25"/>
  <c r="V90" i="25"/>
  <c r="Z90" i="25"/>
  <c r="Y90" i="25"/>
  <c r="S90" i="19" s="1"/>
  <c r="AG90" i="25"/>
  <c r="T90" i="19" s="1"/>
  <c r="UU86" i="25"/>
  <c r="UL86" i="25"/>
  <c r="TU86" i="25"/>
  <c r="TL86" i="25"/>
  <c r="T86" i="25"/>
  <c r="X86" i="25"/>
  <c r="R86" i="19" s="1"/>
  <c r="P86" i="20" s="1"/>
  <c r="AB86" i="25"/>
  <c r="AA86" i="25"/>
  <c r="V86" i="25"/>
  <c r="Z86" i="25"/>
  <c r="Y86" i="25"/>
  <c r="S86" i="19" s="1"/>
  <c r="AG86" i="25"/>
  <c r="T86" i="19" s="1"/>
  <c r="UU82" i="25"/>
  <c r="UL82" i="25"/>
  <c r="TU82" i="25"/>
  <c r="TL82" i="25"/>
  <c r="T82" i="25"/>
  <c r="X82" i="25"/>
  <c r="R82" i="19" s="1"/>
  <c r="P82" i="20" s="1"/>
  <c r="AB82" i="25"/>
  <c r="AA82" i="25"/>
  <c r="V82" i="25"/>
  <c r="Z82" i="25"/>
  <c r="Y82" i="25"/>
  <c r="S82" i="19" s="1"/>
  <c r="AG82" i="25"/>
  <c r="T82" i="19" s="1"/>
  <c r="UU78" i="25"/>
  <c r="UL78" i="25"/>
  <c r="TU78" i="25"/>
  <c r="TL78" i="25"/>
  <c r="T78" i="25"/>
  <c r="X78" i="25"/>
  <c r="R78" i="19" s="1"/>
  <c r="P78" i="20" s="1"/>
  <c r="AB78" i="25"/>
  <c r="AA78" i="25"/>
  <c r="V78" i="25"/>
  <c r="Z78" i="25"/>
  <c r="Y78" i="25"/>
  <c r="S78" i="19" s="1"/>
  <c r="AG78" i="25"/>
  <c r="T78" i="19" s="1"/>
  <c r="UU74" i="25"/>
  <c r="UL74" i="25"/>
  <c r="TU74" i="25"/>
  <c r="TL74" i="25"/>
  <c r="T74" i="25"/>
  <c r="X74" i="25"/>
  <c r="R74" i="19" s="1"/>
  <c r="P74" i="20" s="1"/>
  <c r="AB74" i="25"/>
  <c r="AA74" i="25"/>
  <c r="V74" i="25"/>
  <c r="Z74" i="25"/>
  <c r="Y74" i="25"/>
  <c r="S74" i="19" s="1"/>
  <c r="AG74" i="25"/>
  <c r="T74" i="19" s="1"/>
  <c r="AB70" i="25"/>
  <c r="AB66" i="25"/>
  <c r="AB65" i="25"/>
  <c r="AB61" i="25"/>
  <c r="AB60" i="25"/>
  <c r="AB59" i="25"/>
  <c r="AB58" i="25"/>
  <c r="AB54" i="25"/>
  <c r="AB53" i="25"/>
  <c r="UU119" i="25"/>
  <c r="UL119" i="25"/>
  <c r="TU119" i="25"/>
  <c r="TL119" i="25"/>
  <c r="Y119" i="25"/>
  <c r="S119" i="19" s="1"/>
  <c r="AG119" i="25"/>
  <c r="T119" i="19" s="1"/>
  <c r="T119" i="25"/>
  <c r="X119" i="25"/>
  <c r="R119" i="19" s="1"/>
  <c r="AB119" i="25"/>
  <c r="AA119" i="25"/>
  <c r="V119" i="25"/>
  <c r="Z119" i="25"/>
  <c r="UU115" i="25"/>
  <c r="UL115" i="25"/>
  <c r="TU115" i="25"/>
  <c r="TL115" i="25"/>
  <c r="Y115" i="25"/>
  <c r="S115" i="19" s="1"/>
  <c r="AG115" i="25"/>
  <c r="T115" i="19" s="1"/>
  <c r="T115" i="25"/>
  <c r="X115" i="25"/>
  <c r="R115" i="19" s="1"/>
  <c r="AB115" i="25"/>
  <c r="AA115" i="25"/>
  <c r="V115" i="25"/>
  <c r="Z115" i="25"/>
  <c r="UU111" i="25"/>
  <c r="UL111" i="25"/>
  <c r="TU111" i="25"/>
  <c r="TL111" i="25"/>
  <c r="Y111" i="25"/>
  <c r="S111" i="19" s="1"/>
  <c r="AG111" i="25"/>
  <c r="T111" i="19" s="1"/>
  <c r="T111" i="25"/>
  <c r="X111" i="25"/>
  <c r="R111" i="19" s="1"/>
  <c r="AB111" i="25"/>
  <c r="AA111" i="25"/>
  <c r="V111" i="25"/>
  <c r="Z111" i="25"/>
  <c r="UU107" i="25"/>
  <c r="UL107" i="25"/>
  <c r="TU107" i="25"/>
  <c r="TL107" i="25"/>
  <c r="Y107" i="25"/>
  <c r="S107" i="19" s="1"/>
  <c r="AG107" i="25"/>
  <c r="T107" i="19" s="1"/>
  <c r="T107" i="25"/>
  <c r="X107" i="25"/>
  <c r="R107" i="19" s="1"/>
  <c r="AB107" i="25"/>
  <c r="AA107" i="25"/>
  <c r="V107" i="25"/>
  <c r="Z107" i="25"/>
  <c r="UU104" i="25"/>
  <c r="UL104" i="25"/>
  <c r="TU104" i="25"/>
  <c r="TL104" i="25"/>
  <c r="V104" i="25"/>
  <c r="Z104" i="25"/>
  <c r="Y104" i="25"/>
  <c r="S104" i="19" s="1"/>
  <c r="AG104" i="25"/>
  <c r="T104" i="19" s="1"/>
  <c r="T104" i="25"/>
  <c r="X104" i="25"/>
  <c r="R104" i="19" s="1"/>
  <c r="AB104" i="25"/>
  <c r="AA104" i="25"/>
  <c r="UU101" i="25"/>
  <c r="UL101" i="25"/>
  <c r="TU101" i="25"/>
  <c r="TL101" i="25"/>
  <c r="AA101" i="25"/>
  <c r="V101" i="25"/>
  <c r="Z101" i="25"/>
  <c r="Y101" i="25"/>
  <c r="S101" i="19" s="1"/>
  <c r="AG101" i="25"/>
  <c r="T101" i="19" s="1"/>
  <c r="T101" i="25"/>
  <c r="X101" i="25"/>
  <c r="R101" i="19" s="1"/>
  <c r="AB101" i="25"/>
  <c r="UU97" i="25"/>
  <c r="UL97" i="25"/>
  <c r="TU97" i="25"/>
  <c r="TL97" i="25"/>
  <c r="AA97" i="25"/>
  <c r="V97" i="25"/>
  <c r="Z97" i="25"/>
  <c r="Y97" i="25"/>
  <c r="S97" i="19" s="1"/>
  <c r="AG97" i="25"/>
  <c r="T97" i="19" s="1"/>
  <c r="T97" i="25"/>
  <c r="X97" i="25"/>
  <c r="R97" i="19" s="1"/>
  <c r="P97" i="20" s="1"/>
  <c r="AB97" i="25"/>
  <c r="UU93" i="25"/>
  <c r="UL93" i="25"/>
  <c r="TU93" i="25"/>
  <c r="TL93" i="25"/>
  <c r="AA93" i="25"/>
  <c r="V93" i="25"/>
  <c r="Z93" i="25"/>
  <c r="Y93" i="25"/>
  <c r="S93" i="19" s="1"/>
  <c r="AG93" i="25"/>
  <c r="T93" i="19" s="1"/>
  <c r="T93" i="25"/>
  <c r="X93" i="25"/>
  <c r="R93" i="19" s="1"/>
  <c r="P93" i="20" s="1"/>
  <c r="AB93" i="25"/>
  <c r="UU89" i="25"/>
  <c r="UL89" i="25"/>
  <c r="TU89" i="25"/>
  <c r="TL89" i="25"/>
  <c r="AA89" i="25"/>
  <c r="V89" i="25"/>
  <c r="Z89" i="25"/>
  <c r="Y89" i="25"/>
  <c r="S89" i="19" s="1"/>
  <c r="AG89" i="25"/>
  <c r="T89" i="19" s="1"/>
  <c r="T89" i="25"/>
  <c r="X89" i="25"/>
  <c r="R89" i="19" s="1"/>
  <c r="P89" i="20" s="1"/>
  <c r="AB89" i="25"/>
  <c r="UU85" i="25"/>
  <c r="UL85" i="25"/>
  <c r="TU85" i="25"/>
  <c r="TL85" i="25"/>
  <c r="AA85" i="25"/>
  <c r="V85" i="25"/>
  <c r="Z85" i="25"/>
  <c r="Y85" i="25"/>
  <c r="S85" i="19" s="1"/>
  <c r="AG85" i="25"/>
  <c r="T85" i="19" s="1"/>
  <c r="T85" i="25"/>
  <c r="X85" i="25"/>
  <c r="R85" i="19" s="1"/>
  <c r="P85" i="20" s="1"/>
  <c r="AB85" i="25"/>
  <c r="UU81" i="25"/>
  <c r="UL81" i="25"/>
  <c r="TU81" i="25"/>
  <c r="TL81" i="25"/>
  <c r="AA81" i="25"/>
  <c r="V81" i="25"/>
  <c r="Z81" i="25"/>
  <c r="Y81" i="25"/>
  <c r="S81" i="19" s="1"/>
  <c r="AG81" i="25"/>
  <c r="T81" i="19" s="1"/>
  <c r="T81" i="25"/>
  <c r="X81" i="25"/>
  <c r="R81" i="19" s="1"/>
  <c r="P81" i="20" s="1"/>
  <c r="AB81" i="25"/>
  <c r="UU77" i="25"/>
  <c r="UL77" i="25"/>
  <c r="TU77" i="25"/>
  <c r="TL77" i="25"/>
  <c r="AA77" i="25"/>
  <c r="V77" i="25"/>
  <c r="Z77" i="25"/>
  <c r="Y77" i="25"/>
  <c r="S77" i="19" s="1"/>
  <c r="AG77" i="25"/>
  <c r="T77" i="19" s="1"/>
  <c r="T77" i="25"/>
  <c r="X77" i="25"/>
  <c r="R77" i="19" s="1"/>
  <c r="P77" i="20" s="1"/>
  <c r="AB77" i="25"/>
  <c r="UU73" i="25"/>
  <c r="UL73" i="25"/>
  <c r="TU73" i="25"/>
  <c r="TL73" i="25"/>
  <c r="AA73" i="25"/>
  <c r="V73" i="25"/>
  <c r="Z73" i="25"/>
  <c r="Y73" i="25"/>
  <c r="S73" i="19" s="1"/>
  <c r="AG73" i="25"/>
  <c r="T73" i="19" s="1"/>
  <c r="T73" i="25"/>
  <c r="X73" i="25"/>
  <c r="R73" i="19" s="1"/>
  <c r="P73" i="20" s="1"/>
  <c r="AB73" i="25"/>
  <c r="AB69" i="25"/>
  <c r="AB62" i="25"/>
  <c r="AB55" i="25"/>
  <c r="UU117" i="25"/>
  <c r="UL117" i="25"/>
  <c r="TU117" i="25"/>
  <c r="TL117" i="25"/>
  <c r="AA117" i="25"/>
  <c r="V117" i="25"/>
  <c r="Z117" i="25"/>
  <c r="Y117" i="25"/>
  <c r="S117" i="19" s="1"/>
  <c r="AG117" i="25"/>
  <c r="T117" i="19" s="1"/>
  <c r="T117" i="25"/>
  <c r="X117" i="25"/>
  <c r="R117" i="19" s="1"/>
  <c r="AB117" i="25"/>
  <c r="UU113" i="25"/>
  <c r="UL113" i="25"/>
  <c r="TU113" i="25"/>
  <c r="TL113" i="25"/>
  <c r="AA113" i="25"/>
  <c r="V113" i="25"/>
  <c r="Z113" i="25"/>
  <c r="Y113" i="25"/>
  <c r="S113" i="19" s="1"/>
  <c r="AG113" i="25"/>
  <c r="T113" i="19" s="1"/>
  <c r="T113" i="25"/>
  <c r="X113" i="25"/>
  <c r="R113" i="19" s="1"/>
  <c r="AB113" i="25"/>
  <c r="UU109" i="25"/>
  <c r="UL109" i="25"/>
  <c r="TU109" i="25"/>
  <c r="TL109" i="25"/>
  <c r="AA109" i="25"/>
  <c r="V109" i="25"/>
  <c r="Z109" i="25"/>
  <c r="Y109" i="25"/>
  <c r="S109" i="19" s="1"/>
  <c r="AG109" i="25"/>
  <c r="T109" i="19" s="1"/>
  <c r="T109" i="25"/>
  <c r="X109" i="25"/>
  <c r="R109" i="19" s="1"/>
  <c r="AB109" i="25"/>
  <c r="UU105" i="25"/>
  <c r="UL105" i="25"/>
  <c r="TU105" i="25"/>
  <c r="TL105" i="25"/>
  <c r="AA105" i="25"/>
  <c r="V105" i="25"/>
  <c r="Z105" i="25"/>
  <c r="Y105" i="25"/>
  <c r="S105" i="19" s="1"/>
  <c r="AG105" i="25"/>
  <c r="T105" i="19" s="1"/>
  <c r="T105" i="25"/>
  <c r="X105" i="25"/>
  <c r="R105" i="19" s="1"/>
  <c r="AB105" i="25"/>
  <c r="UU100" i="25"/>
  <c r="UL100" i="25"/>
  <c r="TU100" i="25"/>
  <c r="TL100" i="25"/>
  <c r="V100" i="25"/>
  <c r="Z100" i="25"/>
  <c r="Y100" i="25"/>
  <c r="S100" i="19" s="1"/>
  <c r="AG100" i="25"/>
  <c r="T100" i="19" s="1"/>
  <c r="T100" i="25"/>
  <c r="X100" i="25"/>
  <c r="R100" i="19" s="1"/>
  <c r="AB100" i="25"/>
  <c r="AA100" i="25"/>
  <c r="UU95" i="25"/>
  <c r="UL95" i="25"/>
  <c r="TU95" i="25"/>
  <c r="TL95" i="25"/>
  <c r="Y95" i="25"/>
  <c r="S95" i="19" s="1"/>
  <c r="AG95" i="25"/>
  <c r="T95" i="19" s="1"/>
  <c r="T95" i="25"/>
  <c r="X95" i="25"/>
  <c r="R95" i="19" s="1"/>
  <c r="P95" i="20" s="1"/>
  <c r="AB95" i="25"/>
  <c r="AA95" i="25"/>
  <c r="V95" i="25"/>
  <c r="Z95" i="25"/>
  <c r="UU91" i="25"/>
  <c r="UL91" i="25"/>
  <c r="TU91" i="25"/>
  <c r="TL91" i="25"/>
  <c r="Y91" i="25"/>
  <c r="S91" i="19" s="1"/>
  <c r="AG91" i="25"/>
  <c r="T91" i="19" s="1"/>
  <c r="T91" i="25"/>
  <c r="X91" i="25"/>
  <c r="R91" i="19" s="1"/>
  <c r="P91" i="20" s="1"/>
  <c r="AB91" i="25"/>
  <c r="AA91" i="25"/>
  <c r="V91" i="25"/>
  <c r="Z91" i="25"/>
  <c r="UU88" i="25"/>
  <c r="UL88" i="25"/>
  <c r="TU88" i="25"/>
  <c r="TL88" i="25"/>
  <c r="V88" i="25"/>
  <c r="Z88" i="25"/>
  <c r="Y88" i="25"/>
  <c r="S88" i="19" s="1"/>
  <c r="AG88" i="25"/>
  <c r="T88" i="19" s="1"/>
  <c r="T88" i="25"/>
  <c r="X88" i="25"/>
  <c r="R88" i="19" s="1"/>
  <c r="P88" i="20" s="1"/>
  <c r="AB88" i="25"/>
  <c r="AA88" i="25"/>
  <c r="UU83" i="25"/>
  <c r="UL83" i="25"/>
  <c r="TU83" i="25"/>
  <c r="TL83" i="25"/>
  <c r="Y83" i="25"/>
  <c r="S83" i="19" s="1"/>
  <c r="AG83" i="25"/>
  <c r="T83" i="19" s="1"/>
  <c r="T83" i="25"/>
  <c r="X83" i="25"/>
  <c r="R83" i="19" s="1"/>
  <c r="P83" i="20" s="1"/>
  <c r="AB83" i="25"/>
  <c r="AA83" i="25"/>
  <c r="V83" i="25"/>
  <c r="Z83" i="25"/>
  <c r="UU79" i="25"/>
  <c r="UL79" i="25"/>
  <c r="TU79" i="25"/>
  <c r="TL79" i="25"/>
  <c r="Y79" i="25"/>
  <c r="S79" i="19" s="1"/>
  <c r="AG79" i="25"/>
  <c r="T79" i="19" s="1"/>
  <c r="T79" i="25"/>
  <c r="X79" i="25"/>
  <c r="R79" i="19" s="1"/>
  <c r="P79" i="20" s="1"/>
  <c r="AB79" i="25"/>
  <c r="AA79" i="25"/>
  <c r="V79" i="25"/>
  <c r="Z79" i="25"/>
  <c r="UU75" i="25"/>
  <c r="UL75" i="25"/>
  <c r="TU75" i="25"/>
  <c r="TL75" i="25"/>
  <c r="Y75" i="25"/>
  <c r="S75" i="19" s="1"/>
  <c r="AG75" i="25"/>
  <c r="T75" i="19" s="1"/>
  <c r="T75" i="25"/>
  <c r="X75" i="25"/>
  <c r="R75" i="19" s="1"/>
  <c r="P75" i="20" s="1"/>
  <c r="AB75" i="25"/>
  <c r="AA75" i="25"/>
  <c r="V75" i="25"/>
  <c r="Z75" i="25"/>
  <c r="UU72" i="25"/>
  <c r="UL72" i="25"/>
  <c r="TU72" i="25"/>
  <c r="TL72" i="25"/>
  <c r="V72" i="25"/>
  <c r="Z72" i="25"/>
  <c r="Y72" i="25"/>
  <c r="S72" i="19" s="1"/>
  <c r="AG72" i="25"/>
  <c r="T72" i="19" s="1"/>
  <c r="T72" i="25"/>
  <c r="X72" i="25"/>
  <c r="R72" i="19" s="1"/>
  <c r="P72" i="20" s="1"/>
  <c r="AB72" i="25"/>
  <c r="AA72" i="25"/>
  <c r="AB68" i="25"/>
  <c r="AB64" i="25"/>
  <c r="AB57" i="25"/>
  <c r="AB52" i="25"/>
  <c r="AB51" i="25"/>
  <c r="AB50" i="25"/>
  <c r="AB49" i="25"/>
  <c r="AB48" i="25"/>
  <c r="AB47" i="25"/>
  <c r="AB46" i="25"/>
  <c r="AB45" i="25"/>
  <c r="AB39" i="25"/>
  <c r="AB44" i="25"/>
  <c r="AB43" i="25"/>
  <c r="AB42" i="25"/>
  <c r="AB41" i="25"/>
  <c r="AB37" i="25"/>
  <c r="AB36" i="25"/>
  <c r="AB35" i="25"/>
  <c r="AB34" i="25"/>
  <c r="AB33" i="25"/>
  <c r="AB32" i="25"/>
  <c r="AB31" i="25"/>
  <c r="AB30" i="25"/>
  <c r="AB38" i="25"/>
  <c r="AB40" i="25"/>
  <c r="AB29" i="25"/>
  <c r="AB28" i="25"/>
  <c r="AB27" i="25"/>
  <c r="AB26" i="25"/>
  <c r="AB25" i="25"/>
  <c r="AB24" i="25"/>
  <c r="AB23" i="25"/>
  <c r="AB22" i="25"/>
  <c r="AB21" i="25"/>
  <c r="AB20" i="25"/>
  <c r="AB18" i="25"/>
  <c r="AB17" i="25"/>
  <c r="AB16" i="25"/>
  <c r="AB15" i="25"/>
  <c r="S119" i="25"/>
  <c r="S113" i="25"/>
  <c r="S120" i="25"/>
  <c r="S116" i="25"/>
  <c r="S115" i="25"/>
  <c r="S111" i="25"/>
  <c r="S110" i="25"/>
  <c r="S109" i="25"/>
  <c r="S108" i="25"/>
  <c r="S107" i="25"/>
  <c r="S106" i="25"/>
  <c r="S105" i="25"/>
  <c r="S104" i="25"/>
  <c r="S103" i="25"/>
  <c r="S102" i="25"/>
  <c r="S101" i="25"/>
  <c r="S100" i="25"/>
  <c r="S99" i="25"/>
  <c r="S98" i="25"/>
  <c r="S97" i="25"/>
  <c r="S96" i="25"/>
  <c r="S95" i="25"/>
  <c r="S94" i="25"/>
  <c r="S93" i="25"/>
  <c r="S92" i="25"/>
  <c r="S91" i="25"/>
  <c r="S90" i="25"/>
  <c r="S89" i="25"/>
  <c r="S88" i="25"/>
  <c r="S87" i="25"/>
  <c r="S86" i="25"/>
  <c r="S85" i="25"/>
  <c r="S84" i="25"/>
  <c r="S83" i="25"/>
  <c r="S82" i="25"/>
  <c r="S81" i="25"/>
  <c r="S80" i="25"/>
  <c r="S79" i="25"/>
  <c r="S78" i="25"/>
  <c r="S77" i="25"/>
  <c r="S76" i="25"/>
  <c r="S75" i="25"/>
  <c r="S74" i="25"/>
  <c r="S73" i="25"/>
  <c r="S72" i="25"/>
  <c r="S118" i="25"/>
  <c r="S112" i="25"/>
  <c r="S117" i="25"/>
  <c r="S114" i="25"/>
  <c r="A15" i="19"/>
  <c r="A26" i="19"/>
  <c r="N26" i="19" s="1"/>
  <c r="A25" i="19"/>
  <c r="N25" i="19" s="1"/>
  <c r="A24" i="19"/>
  <c r="A23" i="19"/>
  <c r="A22" i="19"/>
  <c r="A21" i="19"/>
  <c r="A20" i="19"/>
  <c r="A19" i="19"/>
  <c r="A18" i="19"/>
  <c r="A17" i="19"/>
  <c r="A16" i="19"/>
  <c r="A116" i="19"/>
  <c r="N116" i="19" s="1"/>
  <c r="A111" i="19"/>
  <c r="N111" i="19" s="1"/>
  <c r="A106" i="19"/>
  <c r="N106" i="19" s="1"/>
  <c r="A119" i="19"/>
  <c r="N119" i="19" s="1"/>
  <c r="A115" i="19"/>
  <c r="N115" i="19" s="1"/>
  <c r="A113" i="19"/>
  <c r="N113" i="19" s="1"/>
  <c r="A109" i="19"/>
  <c r="N109" i="19" s="1"/>
  <c r="A108" i="19"/>
  <c r="N108" i="19" s="1"/>
  <c r="A104" i="19"/>
  <c r="N104" i="19" s="1"/>
  <c r="A103" i="19"/>
  <c r="N103" i="19" s="1"/>
  <c r="A102" i="19"/>
  <c r="N102" i="19" s="1"/>
  <c r="A101" i="19"/>
  <c r="N101" i="19" s="1"/>
  <c r="A100" i="19"/>
  <c r="N100" i="19" s="1"/>
  <c r="A99" i="19"/>
  <c r="N99" i="19" s="1"/>
  <c r="A98" i="19"/>
  <c r="N98" i="19" s="1"/>
  <c r="A97" i="19"/>
  <c r="N97" i="19" s="1"/>
  <c r="A96" i="19"/>
  <c r="N96" i="19" s="1"/>
  <c r="A95" i="19"/>
  <c r="N95" i="19" s="1"/>
  <c r="A94" i="19"/>
  <c r="N94" i="19" s="1"/>
  <c r="A93" i="19"/>
  <c r="N93" i="19" s="1"/>
  <c r="A92" i="19"/>
  <c r="N92" i="19" s="1"/>
  <c r="A91" i="19"/>
  <c r="N91" i="19" s="1"/>
  <c r="A90" i="19"/>
  <c r="N90" i="19" s="1"/>
  <c r="A89" i="19"/>
  <c r="N89" i="19" s="1"/>
  <c r="A88" i="19"/>
  <c r="N88" i="19" s="1"/>
  <c r="A87" i="19"/>
  <c r="N87" i="19" s="1"/>
  <c r="A86" i="19"/>
  <c r="N86" i="19" s="1"/>
  <c r="A85" i="19"/>
  <c r="N85" i="19" s="1"/>
  <c r="A84" i="19"/>
  <c r="N84" i="19" s="1"/>
  <c r="A83" i="19"/>
  <c r="N83" i="19" s="1"/>
  <c r="A82" i="19"/>
  <c r="N82" i="19" s="1"/>
  <c r="A81" i="19"/>
  <c r="N81" i="19" s="1"/>
  <c r="A80" i="19"/>
  <c r="N80" i="19" s="1"/>
  <c r="A79" i="19"/>
  <c r="N79" i="19" s="1"/>
  <c r="A78" i="19"/>
  <c r="N78" i="19" s="1"/>
  <c r="A77" i="19"/>
  <c r="N77" i="19" s="1"/>
  <c r="A76" i="19"/>
  <c r="N76" i="19" s="1"/>
  <c r="A75" i="19"/>
  <c r="N75" i="19" s="1"/>
  <c r="A74" i="19"/>
  <c r="N74" i="19" s="1"/>
  <c r="A73" i="19"/>
  <c r="N73" i="19" s="1"/>
  <c r="A72" i="19"/>
  <c r="N72" i="19" s="1"/>
  <c r="A71" i="19"/>
  <c r="N71" i="19" s="1"/>
  <c r="A70" i="19"/>
  <c r="N70" i="19" s="1"/>
  <c r="A69" i="19"/>
  <c r="N69" i="19" s="1"/>
  <c r="A68" i="19"/>
  <c r="N68" i="19" s="1"/>
  <c r="A67" i="19"/>
  <c r="N67" i="19" s="1"/>
  <c r="A66" i="19"/>
  <c r="N66" i="19" s="1"/>
  <c r="A65" i="19"/>
  <c r="N65" i="19" s="1"/>
  <c r="A64" i="19"/>
  <c r="N64" i="19" s="1"/>
  <c r="A63" i="19"/>
  <c r="N63" i="19" s="1"/>
  <c r="A62" i="19"/>
  <c r="N62" i="19" s="1"/>
  <c r="A61" i="19"/>
  <c r="N61" i="19" s="1"/>
  <c r="A60" i="19"/>
  <c r="N60" i="19" s="1"/>
  <c r="A59" i="19"/>
  <c r="N59" i="19" s="1"/>
  <c r="A58" i="19"/>
  <c r="N58" i="19" s="1"/>
  <c r="A57" i="19"/>
  <c r="N57" i="19" s="1"/>
  <c r="A56" i="19"/>
  <c r="N56" i="19" s="1"/>
  <c r="A55" i="19"/>
  <c r="N55" i="19" s="1"/>
  <c r="A54" i="19"/>
  <c r="N54" i="19" s="1"/>
  <c r="A53" i="19"/>
  <c r="N53" i="19" s="1"/>
  <c r="A52" i="19"/>
  <c r="N52" i="19" s="1"/>
  <c r="A51" i="19"/>
  <c r="N51" i="19" s="1"/>
  <c r="A50" i="19"/>
  <c r="N50" i="19" s="1"/>
  <c r="A49" i="19"/>
  <c r="N49" i="19" s="1"/>
  <c r="A48" i="19"/>
  <c r="N48" i="19" s="1"/>
  <c r="A47" i="19"/>
  <c r="N47" i="19" s="1"/>
  <c r="A46" i="19"/>
  <c r="N46" i="19" s="1"/>
  <c r="A45" i="19"/>
  <c r="N45" i="19" s="1"/>
  <c r="A44" i="19"/>
  <c r="N44" i="19" s="1"/>
  <c r="A43" i="19"/>
  <c r="N43" i="19" s="1"/>
  <c r="A42" i="19"/>
  <c r="N42" i="19" s="1"/>
  <c r="A41" i="19"/>
  <c r="N41" i="19" s="1"/>
  <c r="A40" i="19"/>
  <c r="N40" i="19" s="1"/>
  <c r="A39" i="19"/>
  <c r="N39" i="19" s="1"/>
  <c r="A38" i="19"/>
  <c r="N38" i="19" s="1"/>
  <c r="A37" i="19"/>
  <c r="N37" i="19" s="1"/>
  <c r="A36" i="19"/>
  <c r="N36" i="19" s="1"/>
  <c r="A35" i="19"/>
  <c r="N35" i="19" s="1"/>
  <c r="A34" i="19"/>
  <c r="N34" i="19" s="1"/>
  <c r="A33" i="19"/>
  <c r="N33" i="19" s="1"/>
  <c r="A32" i="19"/>
  <c r="N32" i="19" s="1"/>
  <c r="A31" i="19"/>
  <c r="N31" i="19" s="1"/>
  <c r="A30" i="19"/>
  <c r="N30" i="19" s="1"/>
  <c r="A29" i="19"/>
  <c r="N29" i="19" s="1"/>
  <c r="A28" i="19"/>
  <c r="N28" i="19" s="1"/>
  <c r="A27" i="19"/>
  <c r="N27" i="19" s="1"/>
  <c r="A120" i="19"/>
  <c r="N120" i="19" s="1"/>
  <c r="A117" i="19"/>
  <c r="N117" i="19" s="1"/>
  <c r="A112" i="19"/>
  <c r="N112" i="19" s="1"/>
  <c r="A105" i="19"/>
  <c r="N105" i="19" s="1"/>
  <c r="A118" i="19"/>
  <c r="N118" i="19" s="1"/>
  <c r="A114" i="19"/>
  <c r="N114" i="19" s="1"/>
  <c r="A110" i="19"/>
  <c r="N110" i="19" s="1"/>
  <c r="A107" i="19"/>
  <c r="N107" i="19" s="1"/>
  <c r="V11" i="3"/>
  <c r="V10" i="3"/>
  <c r="JB4" i="25"/>
  <c r="FB4" i="25"/>
  <c r="DE4" i="25"/>
  <c r="HB4" i="25"/>
  <c r="D9" i="18"/>
  <c r="C27" i="37"/>
  <c r="D27" i="37" s="1"/>
  <c r="C30" i="37"/>
  <c r="D30" i="37" s="1"/>
  <c r="C32" i="37"/>
  <c r="D32" i="37" s="1"/>
  <c r="C34" i="37"/>
  <c r="C37" i="37"/>
  <c r="D37" i="37" s="1"/>
  <c r="C36" i="37"/>
  <c r="D36" i="37" s="1"/>
  <c r="C31" i="37"/>
  <c r="D31" i="37" s="1"/>
  <c r="C29" i="37"/>
  <c r="D29" i="37" s="1"/>
  <c r="C28" i="37"/>
  <c r="D28" i="37" s="1"/>
  <c r="C35" i="37"/>
  <c r="D35" i="37" s="1"/>
  <c r="C26" i="37"/>
  <c r="D26" i="37" s="1"/>
  <c r="C6" i="37"/>
  <c r="D6" i="37" s="1"/>
  <c r="C9" i="37"/>
  <c r="D9" i="37" s="1"/>
  <c r="C11" i="37"/>
  <c r="D11" i="37" s="1"/>
  <c r="C13" i="37"/>
  <c r="D13" i="37" s="1"/>
  <c r="C16" i="37"/>
  <c r="C15" i="37"/>
  <c r="D15" i="37" s="1"/>
  <c r="C10" i="37"/>
  <c r="D10" i="37" s="1"/>
  <c r="C8" i="37"/>
  <c r="D8" i="37" s="1"/>
  <c r="C7" i="37"/>
  <c r="D7" i="37" s="1"/>
  <c r="C14" i="37"/>
  <c r="D14" i="37" s="1"/>
  <c r="C49" i="37"/>
  <c r="D49" i="37" s="1"/>
  <c r="C50" i="37"/>
  <c r="C51" i="37"/>
  <c r="D51" i="37" s="1"/>
  <c r="C52" i="37"/>
  <c r="D52" i="37" s="1"/>
  <c r="C53" i="37"/>
  <c r="D53" i="37" s="1"/>
  <c r="C54" i="37"/>
  <c r="D54" i="37" s="1"/>
  <c r="C55" i="37"/>
  <c r="D55" i="37" s="1"/>
  <c r="C56" i="37"/>
  <c r="D56" i="37" s="1"/>
  <c r="C57" i="37"/>
  <c r="D57" i="37" s="1"/>
  <c r="C58" i="37"/>
  <c r="D58" i="37" s="1"/>
  <c r="C59" i="37"/>
  <c r="D59" i="37" s="1"/>
  <c r="C60" i="37"/>
  <c r="D60" i="37" s="1"/>
  <c r="C61" i="37"/>
  <c r="D61" i="37" s="1"/>
  <c r="C74" i="37"/>
  <c r="D74" i="37" s="1"/>
  <c r="C75" i="37"/>
  <c r="D75" i="37" s="1"/>
  <c r="C76" i="37"/>
  <c r="D76" i="37" s="1"/>
  <c r="C77" i="37"/>
  <c r="D77" i="37" s="1"/>
  <c r="C79" i="37"/>
  <c r="D79" i="37" s="1"/>
  <c r="C80" i="37"/>
  <c r="D80" i="37" s="1"/>
  <c r="C81" i="37"/>
  <c r="D81" i="37" s="1"/>
  <c r="C82" i="37"/>
  <c r="D82" i="37" s="1"/>
  <c r="C83" i="37"/>
  <c r="D83" i="37" s="1"/>
  <c r="C84" i="37"/>
  <c r="D84" i="37" s="1"/>
  <c r="C85" i="37"/>
  <c r="D85" i="37" s="1"/>
  <c r="C98" i="37"/>
  <c r="D98" i="37" s="1"/>
  <c r="C99" i="37"/>
  <c r="D99" i="37" s="1"/>
  <c r="C100" i="37"/>
  <c r="D100" i="37" s="1"/>
  <c r="C101" i="37"/>
  <c r="D101" i="37" s="1"/>
  <c r="C102" i="37"/>
  <c r="D102" i="37" s="1"/>
  <c r="C103" i="37"/>
  <c r="D103" i="37" s="1"/>
  <c r="C104" i="37"/>
  <c r="D104" i="37" s="1"/>
  <c r="C105" i="37"/>
  <c r="D105" i="37" s="1"/>
  <c r="C106" i="37"/>
  <c r="D106" i="37" s="1"/>
  <c r="C107" i="37"/>
  <c r="D107" i="37" s="1"/>
  <c r="C108" i="37"/>
  <c r="D108" i="37" s="1"/>
  <c r="C109" i="37"/>
  <c r="D109" i="37" s="1"/>
  <c r="C110" i="37"/>
  <c r="D110" i="37" s="1"/>
  <c r="C111" i="37"/>
  <c r="D111" i="37" s="1"/>
  <c r="C112" i="37"/>
  <c r="D112" i="37" s="1"/>
  <c r="C113" i="37"/>
  <c r="D113" i="37" s="1"/>
  <c r="C114" i="37"/>
  <c r="D114" i="37" s="1"/>
  <c r="C115" i="37"/>
  <c r="D115" i="37" s="1"/>
  <c r="C116" i="37"/>
  <c r="D116" i="37" s="1"/>
  <c r="C117" i="37"/>
  <c r="D117" i="37" s="1"/>
  <c r="C118" i="37"/>
  <c r="D118" i="37" s="1"/>
  <c r="C119" i="37"/>
  <c r="D119" i="37" s="1"/>
  <c r="C120" i="37"/>
  <c r="D120" i="37" s="1"/>
  <c r="C121" i="37"/>
  <c r="C122" i="37"/>
  <c r="D122" i="37" s="1"/>
  <c r="C123" i="37"/>
  <c r="D123" i="37" s="1"/>
  <c r="C124" i="37"/>
  <c r="D124" i="37" s="1"/>
  <c r="C125" i="37"/>
  <c r="D125" i="37" s="1"/>
  <c r="C126" i="37"/>
  <c r="D126" i="37" s="1"/>
  <c r="C127" i="37"/>
  <c r="D127" i="37" s="1"/>
  <c r="C128" i="37"/>
  <c r="D128" i="37" s="1"/>
  <c r="C134" i="37"/>
  <c r="D134" i="37" s="1"/>
  <c r="C135" i="37"/>
  <c r="D135" i="37" s="1"/>
  <c r="C136" i="37"/>
  <c r="D136" i="37" s="1"/>
  <c r="C137" i="37"/>
  <c r="D137" i="37" s="1"/>
  <c r="C138" i="37"/>
  <c r="D138" i="37" s="1"/>
  <c r="C139" i="37"/>
  <c r="D139" i="37" s="1"/>
  <c r="C140" i="37"/>
  <c r="D140" i="37" s="1"/>
  <c r="C146" i="37"/>
  <c r="D146" i="37" s="1"/>
  <c r="C147" i="37"/>
  <c r="C148" i="37"/>
  <c r="D148" i="37" s="1"/>
  <c r="C149" i="37"/>
  <c r="D149" i="37" s="1"/>
  <c r="C150" i="37"/>
  <c r="D150" i="37" s="1"/>
  <c r="C151" i="37"/>
  <c r="D151" i="37" s="1"/>
  <c r="C152" i="37"/>
  <c r="D152" i="37" s="1"/>
  <c r="C153" i="37"/>
  <c r="D153" i="37" s="1"/>
  <c r="C154" i="37"/>
  <c r="D154" i="37" s="1"/>
  <c r="C155" i="37"/>
  <c r="D155" i="37" s="1"/>
  <c r="C156" i="37"/>
  <c r="D156" i="37" s="1"/>
  <c r="C157" i="37"/>
  <c r="D157" i="37" s="1"/>
  <c r="C158" i="37"/>
  <c r="D158" i="37" s="1"/>
  <c r="C159" i="37"/>
  <c r="D159" i="37" s="1"/>
  <c r="C160" i="37"/>
  <c r="D160" i="37" s="1"/>
  <c r="C161" i="37"/>
  <c r="D161" i="37" s="1"/>
  <c r="C162" i="37"/>
  <c r="D162" i="37" s="1"/>
  <c r="C163" i="37"/>
  <c r="D163" i="37" s="1"/>
  <c r="C164" i="37"/>
  <c r="D164" i="37" s="1"/>
  <c r="C165" i="37"/>
  <c r="D165" i="37" s="1"/>
  <c r="C166" i="37"/>
  <c r="D166" i="37" s="1"/>
  <c r="C167" i="37"/>
  <c r="D167" i="37" s="1"/>
  <c r="C168" i="37"/>
  <c r="D168" i="37" s="1"/>
  <c r="C169" i="37"/>
  <c r="D169" i="37" s="1"/>
  <c r="C170" i="37"/>
  <c r="D170" i="37" s="1"/>
  <c r="C171" i="37"/>
  <c r="D171" i="37" s="1"/>
  <c r="C172" i="37"/>
  <c r="D172" i="37" s="1"/>
  <c r="C173" i="37"/>
  <c r="D173" i="37" s="1"/>
  <c r="C174" i="37"/>
  <c r="D174" i="37" s="1"/>
  <c r="C175" i="37"/>
  <c r="D175" i="37" s="1"/>
  <c r="C176" i="37"/>
  <c r="D176" i="37" s="1"/>
  <c r="C177" i="37"/>
  <c r="D177" i="37" s="1"/>
  <c r="C178" i="37"/>
  <c r="D178" i="37" s="1"/>
  <c r="C179" i="37"/>
  <c r="D179" i="37" s="1"/>
  <c r="C180" i="37"/>
  <c r="D180" i="37" s="1"/>
  <c r="C181" i="37"/>
  <c r="D181" i="37" s="1"/>
  <c r="C182" i="37"/>
  <c r="D182" i="37" s="1"/>
  <c r="C183" i="37"/>
  <c r="D183" i="37" s="1"/>
  <c r="C184" i="37"/>
  <c r="D184" i="37" s="1"/>
  <c r="C5" i="37"/>
  <c r="D5" i="37" s="1"/>
  <c r="D8" i="18"/>
  <c r="T75" i="37"/>
  <c r="T76" i="37"/>
  <c r="T77" i="37"/>
  <c r="T79" i="37"/>
  <c r="T80" i="37"/>
  <c r="T81" i="37"/>
  <c r="T82" i="37"/>
  <c r="T83" i="37"/>
  <c r="T84" i="37"/>
  <c r="T85" i="37"/>
  <c r="T53" i="37"/>
  <c r="T54" i="37"/>
  <c r="T55" i="37"/>
  <c r="T56" i="37"/>
  <c r="T57" i="37"/>
  <c r="T58" i="37"/>
  <c r="T59" i="37"/>
  <c r="T60" i="37"/>
  <c r="T61" i="37"/>
  <c r="T52" i="37"/>
  <c r="O183" i="37"/>
  <c r="O182" i="37"/>
  <c r="O181" i="37"/>
  <c r="O180" i="37"/>
  <c r="O174" i="37"/>
  <c r="O173" i="37"/>
  <c r="O172" i="37"/>
  <c r="O171" i="37"/>
  <c r="O165" i="37"/>
  <c r="O164" i="37"/>
  <c r="O163" i="37"/>
  <c r="O162" i="37"/>
  <c r="O156" i="37"/>
  <c r="O155" i="37"/>
  <c r="O154" i="37"/>
  <c r="O153" i="37"/>
  <c r="VC62" i="25" l="1"/>
  <c r="BG62" i="25" s="1"/>
  <c r="VG61" i="25"/>
  <c r="H34" i="19"/>
  <c r="G34" i="19"/>
  <c r="I34" i="19"/>
  <c r="H46" i="19"/>
  <c r="G46" i="19"/>
  <c r="I46" i="19"/>
  <c r="H58" i="19"/>
  <c r="G58" i="19"/>
  <c r="I58" i="19"/>
  <c r="H66" i="19"/>
  <c r="G66" i="19"/>
  <c r="I66" i="19"/>
  <c r="H74" i="19"/>
  <c r="G74" i="19"/>
  <c r="CK74" i="19"/>
  <c r="BY74" i="19"/>
  <c r="I74" i="19"/>
  <c r="H82" i="19"/>
  <c r="G82" i="19"/>
  <c r="CK82" i="19"/>
  <c r="BY82" i="19"/>
  <c r="I82" i="19"/>
  <c r="H90" i="19"/>
  <c r="G90" i="19"/>
  <c r="CK90" i="19"/>
  <c r="BY90" i="19"/>
  <c r="I90" i="19"/>
  <c r="H102" i="19"/>
  <c r="G102" i="19"/>
  <c r="CK102" i="19"/>
  <c r="BY102" i="19"/>
  <c r="I102" i="19"/>
  <c r="H106" i="19"/>
  <c r="G106" i="19"/>
  <c r="CK106" i="19"/>
  <c r="BY106" i="19"/>
  <c r="I106" i="19"/>
  <c r="G25" i="19"/>
  <c r="I25" i="19"/>
  <c r="H25" i="19"/>
  <c r="WD68" i="25"/>
  <c r="H118" i="19"/>
  <c r="G118" i="19"/>
  <c r="CK118" i="19"/>
  <c r="BY118" i="19"/>
  <c r="I118" i="19"/>
  <c r="H30" i="19"/>
  <c r="G30" i="19"/>
  <c r="I30" i="19"/>
  <c r="H42" i="19"/>
  <c r="G42" i="19"/>
  <c r="I42" i="19"/>
  <c r="H54" i="19"/>
  <c r="G54" i="19"/>
  <c r="I54" i="19"/>
  <c r="H62" i="19"/>
  <c r="G62" i="19"/>
  <c r="I62" i="19"/>
  <c r="H70" i="19"/>
  <c r="G70" i="19"/>
  <c r="I70" i="19"/>
  <c r="H78" i="19"/>
  <c r="G78" i="19"/>
  <c r="CK78" i="19"/>
  <c r="BY78" i="19"/>
  <c r="I78" i="19"/>
  <c r="H86" i="19"/>
  <c r="G86" i="19"/>
  <c r="CK86" i="19"/>
  <c r="BY86" i="19"/>
  <c r="I86" i="19"/>
  <c r="H94" i="19"/>
  <c r="G94" i="19"/>
  <c r="CK94" i="19"/>
  <c r="BY94" i="19"/>
  <c r="I94" i="19"/>
  <c r="H98" i="19"/>
  <c r="G98" i="19"/>
  <c r="CK98" i="19"/>
  <c r="BY98" i="19"/>
  <c r="I98" i="19"/>
  <c r="G109" i="19"/>
  <c r="I109" i="19"/>
  <c r="H109" i="19"/>
  <c r="CK109" i="19"/>
  <c r="BY109" i="19"/>
  <c r="G17" i="19"/>
  <c r="I17" i="19"/>
  <c r="H17" i="19"/>
  <c r="G21" i="19"/>
  <c r="I21" i="19"/>
  <c r="H21" i="19"/>
  <c r="H114" i="19"/>
  <c r="G114" i="19"/>
  <c r="CK114" i="19"/>
  <c r="BY114" i="19"/>
  <c r="I114" i="19"/>
  <c r="G117" i="19"/>
  <c r="I117" i="19"/>
  <c r="H117" i="19"/>
  <c r="CK117" i="19"/>
  <c r="BY117" i="19"/>
  <c r="G29" i="19"/>
  <c r="I29" i="19"/>
  <c r="H29" i="19"/>
  <c r="G33" i="19"/>
  <c r="I33" i="19"/>
  <c r="H33" i="19"/>
  <c r="G37" i="19"/>
  <c r="I37" i="19"/>
  <c r="H37" i="19"/>
  <c r="G41" i="19"/>
  <c r="I41" i="19"/>
  <c r="H41" i="19"/>
  <c r="G45" i="19"/>
  <c r="I45" i="19"/>
  <c r="H45" i="19"/>
  <c r="G49" i="19"/>
  <c r="I49" i="19"/>
  <c r="H49" i="19"/>
  <c r="G53" i="19"/>
  <c r="I53" i="19"/>
  <c r="H53" i="19"/>
  <c r="G57" i="19"/>
  <c r="I57" i="19"/>
  <c r="H57" i="19"/>
  <c r="G61" i="19"/>
  <c r="I61" i="19"/>
  <c r="H61" i="19"/>
  <c r="G65" i="19"/>
  <c r="I65" i="19"/>
  <c r="H65" i="19"/>
  <c r="G69" i="19"/>
  <c r="I69" i="19"/>
  <c r="H69" i="19"/>
  <c r="G73" i="19"/>
  <c r="I73" i="19"/>
  <c r="H73" i="19"/>
  <c r="CK73" i="19"/>
  <c r="BY73" i="19"/>
  <c r="G77" i="19"/>
  <c r="I77" i="19"/>
  <c r="H77" i="19"/>
  <c r="CK77" i="19"/>
  <c r="BY77" i="19"/>
  <c r="G81" i="19"/>
  <c r="I81" i="19"/>
  <c r="H81" i="19"/>
  <c r="CK81" i="19"/>
  <c r="BY81" i="19"/>
  <c r="G85" i="19"/>
  <c r="I85" i="19"/>
  <c r="H85" i="19"/>
  <c r="CK85" i="19"/>
  <c r="BY85" i="19"/>
  <c r="G89" i="19"/>
  <c r="I89" i="19"/>
  <c r="H89" i="19"/>
  <c r="CK89" i="19"/>
  <c r="BY89" i="19"/>
  <c r="G93" i="19"/>
  <c r="I93" i="19"/>
  <c r="H93" i="19"/>
  <c r="CK93" i="19"/>
  <c r="BY93" i="19"/>
  <c r="G97" i="19"/>
  <c r="I97" i="19"/>
  <c r="H97" i="19"/>
  <c r="CK97" i="19"/>
  <c r="BY97" i="19"/>
  <c r="G101" i="19"/>
  <c r="I101" i="19"/>
  <c r="H101" i="19"/>
  <c r="CK101" i="19"/>
  <c r="BY101" i="19"/>
  <c r="CK108" i="19"/>
  <c r="BY108" i="19"/>
  <c r="I108" i="19"/>
  <c r="H108" i="19"/>
  <c r="G108" i="19"/>
  <c r="I119" i="19"/>
  <c r="H119" i="19"/>
  <c r="CK119" i="19"/>
  <c r="BY119" i="19"/>
  <c r="G119" i="19"/>
  <c r="I16" i="19"/>
  <c r="H16" i="19"/>
  <c r="G16" i="19"/>
  <c r="I20" i="19"/>
  <c r="H20" i="19"/>
  <c r="G20" i="19"/>
  <c r="I24" i="19"/>
  <c r="H24" i="19"/>
  <c r="G24" i="19"/>
  <c r="VD62" i="25"/>
  <c r="WC69" i="25"/>
  <c r="BH69" i="25" s="1"/>
  <c r="H38" i="19"/>
  <c r="G38" i="19"/>
  <c r="I38" i="19"/>
  <c r="H110" i="19"/>
  <c r="G110" i="19"/>
  <c r="CK110" i="19"/>
  <c r="BY110" i="19"/>
  <c r="I110" i="19"/>
  <c r="I28" i="19"/>
  <c r="H28" i="19"/>
  <c r="G28" i="19"/>
  <c r="I40" i="19"/>
  <c r="H40" i="19"/>
  <c r="G40" i="19"/>
  <c r="I48" i="19"/>
  <c r="H48" i="19"/>
  <c r="G48" i="19"/>
  <c r="I60" i="19"/>
  <c r="H60" i="19"/>
  <c r="G60" i="19"/>
  <c r="I72" i="19"/>
  <c r="H72" i="19"/>
  <c r="G72" i="19"/>
  <c r="CK80" i="19"/>
  <c r="BY80" i="19"/>
  <c r="I80" i="19"/>
  <c r="H80" i="19"/>
  <c r="G80" i="19"/>
  <c r="CK92" i="19"/>
  <c r="BY92" i="19"/>
  <c r="I92" i="19"/>
  <c r="H92" i="19"/>
  <c r="G92" i="19"/>
  <c r="CK104" i="19"/>
  <c r="BY104" i="19"/>
  <c r="I104" i="19"/>
  <c r="H104" i="19"/>
  <c r="G104" i="19"/>
  <c r="CK116" i="19"/>
  <c r="BY116" i="19"/>
  <c r="I116" i="19"/>
  <c r="H116" i="19"/>
  <c r="G116" i="19"/>
  <c r="I19" i="19"/>
  <c r="H19" i="19"/>
  <c r="G19" i="19"/>
  <c r="WC68" i="25"/>
  <c r="BH68" i="25" s="1"/>
  <c r="WG69" i="25"/>
  <c r="CK120" i="19"/>
  <c r="BY120" i="19"/>
  <c r="I120" i="19"/>
  <c r="H120" i="19"/>
  <c r="G120" i="19"/>
  <c r="H50" i="19"/>
  <c r="G50" i="19"/>
  <c r="I50" i="19"/>
  <c r="CK112" i="19"/>
  <c r="BY112" i="19"/>
  <c r="I112" i="19"/>
  <c r="H112" i="19"/>
  <c r="G112" i="19"/>
  <c r="I32" i="19"/>
  <c r="H32" i="19"/>
  <c r="G32" i="19"/>
  <c r="I36" i="19"/>
  <c r="H36" i="19"/>
  <c r="G36" i="19"/>
  <c r="I44" i="19"/>
  <c r="H44" i="19"/>
  <c r="G44" i="19"/>
  <c r="I52" i="19"/>
  <c r="H52" i="19"/>
  <c r="G52" i="19"/>
  <c r="I56" i="19"/>
  <c r="H56" i="19"/>
  <c r="G56" i="19"/>
  <c r="I64" i="19"/>
  <c r="H64" i="19"/>
  <c r="G64" i="19"/>
  <c r="I68" i="19"/>
  <c r="H68" i="19"/>
  <c r="G68" i="19"/>
  <c r="CK76" i="19"/>
  <c r="BY76" i="19"/>
  <c r="I76" i="19"/>
  <c r="H76" i="19"/>
  <c r="G76" i="19"/>
  <c r="CK84" i="19"/>
  <c r="BY84" i="19"/>
  <c r="I84" i="19"/>
  <c r="H84" i="19"/>
  <c r="G84" i="19"/>
  <c r="CK88" i="19"/>
  <c r="BY88" i="19"/>
  <c r="I88" i="19"/>
  <c r="H88" i="19"/>
  <c r="G88" i="19"/>
  <c r="CK96" i="19"/>
  <c r="BY96" i="19"/>
  <c r="I96" i="19"/>
  <c r="H96" i="19"/>
  <c r="G96" i="19"/>
  <c r="CK100" i="19"/>
  <c r="BY100" i="19"/>
  <c r="I100" i="19"/>
  <c r="H100" i="19"/>
  <c r="G100" i="19"/>
  <c r="I115" i="19"/>
  <c r="H115" i="19"/>
  <c r="CK115" i="19"/>
  <c r="BY115" i="19"/>
  <c r="G115" i="19"/>
  <c r="I23" i="19"/>
  <c r="H23" i="19"/>
  <c r="G23" i="19"/>
  <c r="I107" i="19"/>
  <c r="H107" i="19"/>
  <c r="CK107" i="19"/>
  <c r="BY107" i="19"/>
  <c r="G107" i="19"/>
  <c r="G105" i="19"/>
  <c r="I105" i="19"/>
  <c r="H105" i="19"/>
  <c r="CK105" i="19"/>
  <c r="BY105" i="19"/>
  <c r="I27" i="19"/>
  <c r="H27" i="19"/>
  <c r="G27" i="19"/>
  <c r="I31" i="19"/>
  <c r="H31" i="19"/>
  <c r="G31" i="19"/>
  <c r="I35" i="19"/>
  <c r="H35" i="19"/>
  <c r="G35" i="19"/>
  <c r="I39" i="19"/>
  <c r="H39" i="19"/>
  <c r="G39" i="19"/>
  <c r="I43" i="19"/>
  <c r="H43" i="19"/>
  <c r="G43" i="19"/>
  <c r="I47" i="19"/>
  <c r="H47" i="19"/>
  <c r="G47" i="19"/>
  <c r="I51" i="19"/>
  <c r="H51" i="19"/>
  <c r="G51" i="19"/>
  <c r="I55" i="19"/>
  <c r="H55" i="19"/>
  <c r="G55" i="19"/>
  <c r="I59" i="19"/>
  <c r="H59" i="19"/>
  <c r="G59" i="19"/>
  <c r="I63" i="19"/>
  <c r="H63" i="19"/>
  <c r="G63" i="19"/>
  <c r="I67" i="19"/>
  <c r="H67" i="19"/>
  <c r="G67" i="19"/>
  <c r="I71" i="19"/>
  <c r="H71" i="19"/>
  <c r="G71" i="19"/>
  <c r="I75" i="19"/>
  <c r="H75" i="19"/>
  <c r="CK75" i="19"/>
  <c r="BY75" i="19"/>
  <c r="G75" i="19"/>
  <c r="I79" i="19"/>
  <c r="H79" i="19"/>
  <c r="CK79" i="19"/>
  <c r="BY79" i="19"/>
  <c r="G79" i="19"/>
  <c r="I83" i="19"/>
  <c r="H83" i="19"/>
  <c r="CK83" i="19"/>
  <c r="BY83" i="19"/>
  <c r="G83" i="19"/>
  <c r="I87" i="19"/>
  <c r="H87" i="19"/>
  <c r="CK87" i="19"/>
  <c r="BY87" i="19"/>
  <c r="G87" i="19"/>
  <c r="I91" i="19"/>
  <c r="H91" i="19"/>
  <c r="CK91" i="19"/>
  <c r="BY91" i="19"/>
  <c r="G91" i="19"/>
  <c r="I95" i="19"/>
  <c r="H95" i="19"/>
  <c r="CK95" i="19"/>
  <c r="BY95" i="19"/>
  <c r="G95" i="19"/>
  <c r="I99" i="19"/>
  <c r="H99" i="19"/>
  <c r="CK99" i="19"/>
  <c r="BY99" i="19"/>
  <c r="G99" i="19"/>
  <c r="I103" i="19"/>
  <c r="H103" i="19"/>
  <c r="CK103" i="19"/>
  <c r="BY103" i="19"/>
  <c r="G103" i="19"/>
  <c r="G113" i="19"/>
  <c r="I113" i="19"/>
  <c r="H113" i="19"/>
  <c r="CK113" i="19"/>
  <c r="BY113" i="19"/>
  <c r="I111" i="19"/>
  <c r="H111" i="19"/>
  <c r="CK111" i="19"/>
  <c r="BY111" i="19"/>
  <c r="G111" i="19"/>
  <c r="H18" i="19"/>
  <c r="G18" i="19"/>
  <c r="I18" i="19"/>
  <c r="H22" i="19"/>
  <c r="G22" i="19"/>
  <c r="I22" i="19"/>
  <c r="H26" i="19"/>
  <c r="G26" i="19"/>
  <c r="I26" i="19"/>
  <c r="WC64" i="25"/>
  <c r="BH64" i="25" s="1"/>
  <c r="VG70" i="25"/>
  <c r="WT70" i="25"/>
  <c r="BY72" i="19"/>
  <c r="CK72" i="19"/>
  <c r="WG68" i="25"/>
  <c r="WU68" i="25" s="1"/>
  <c r="WT69" i="25"/>
  <c r="VD70" i="25"/>
  <c r="WG70" i="25"/>
  <c r="WD71" i="25"/>
  <c r="VG71" i="25"/>
  <c r="VG65" i="25"/>
  <c r="VC69" i="25"/>
  <c r="BG69" i="25" s="1"/>
  <c r="WU69" i="25"/>
  <c r="VU70" i="25"/>
  <c r="VC71" i="25"/>
  <c r="BG71" i="25" s="1"/>
  <c r="VD71" i="25"/>
  <c r="WG71" i="25"/>
  <c r="WU71" i="25" s="1"/>
  <c r="VT69" i="25"/>
  <c r="VU61" i="25"/>
  <c r="VG64" i="25"/>
  <c r="VU64" i="25" s="1"/>
  <c r="VC66" i="25"/>
  <c r="BG66" i="25" s="1"/>
  <c r="VG69" i="25"/>
  <c r="WU70" i="25"/>
  <c r="VU71" i="25"/>
  <c r="WC71" i="25"/>
  <c r="BH71" i="25" s="1"/>
  <c r="VD65" i="25"/>
  <c r="VC67" i="25"/>
  <c r="BG67" i="25" s="1"/>
  <c r="VT67" i="25"/>
  <c r="C29" i="10"/>
  <c r="J15" i="3"/>
  <c r="J16" i="3"/>
  <c r="CK28" i="19"/>
  <c r="BY28" i="19"/>
  <c r="CK32" i="19"/>
  <c r="BY32" i="19"/>
  <c r="CK36" i="19"/>
  <c r="BY36" i="19"/>
  <c r="CK40" i="19"/>
  <c r="BY40" i="19"/>
  <c r="CK44" i="19"/>
  <c r="BY44" i="19"/>
  <c r="CK48" i="19"/>
  <c r="BY48" i="19"/>
  <c r="CK52" i="19"/>
  <c r="BY52" i="19"/>
  <c r="CK56" i="19"/>
  <c r="BY56" i="19"/>
  <c r="BY60" i="19"/>
  <c r="CK60" i="19"/>
  <c r="CK64" i="19"/>
  <c r="BY64" i="19"/>
  <c r="CK68" i="19"/>
  <c r="BY68" i="19"/>
  <c r="CK19" i="19"/>
  <c r="BY19" i="19"/>
  <c r="CK23" i="19"/>
  <c r="BY23" i="19"/>
  <c r="CK27" i="19"/>
  <c r="BY27" i="19"/>
  <c r="CK31" i="19"/>
  <c r="BY31" i="19"/>
  <c r="CK35" i="19"/>
  <c r="BY35" i="19"/>
  <c r="CK39" i="19"/>
  <c r="BY39" i="19"/>
  <c r="CK43" i="19"/>
  <c r="BY43" i="19"/>
  <c r="CK47" i="19"/>
  <c r="BY47" i="19"/>
  <c r="CK51" i="19"/>
  <c r="BY51" i="19"/>
  <c r="CK55" i="19"/>
  <c r="BY55" i="19"/>
  <c r="CK59" i="19"/>
  <c r="BY59" i="19"/>
  <c r="CK63" i="19"/>
  <c r="BY63" i="19"/>
  <c r="CK67" i="19"/>
  <c r="BY67" i="19"/>
  <c r="CK71" i="19"/>
  <c r="BY71" i="19"/>
  <c r="CK22" i="19"/>
  <c r="BY22" i="19"/>
  <c r="CK26" i="19"/>
  <c r="BY26" i="19"/>
  <c r="CK30" i="19"/>
  <c r="BY30" i="19"/>
  <c r="CK34" i="19"/>
  <c r="BY34" i="19"/>
  <c r="CK38" i="19"/>
  <c r="BY38" i="19"/>
  <c r="CK42" i="19"/>
  <c r="BY42" i="19"/>
  <c r="CK46" i="19"/>
  <c r="BY46" i="19"/>
  <c r="CK50" i="19"/>
  <c r="BY50" i="19"/>
  <c r="CK54" i="19"/>
  <c r="BY54" i="19"/>
  <c r="CK58" i="19"/>
  <c r="BY58" i="19"/>
  <c r="CK62" i="19"/>
  <c r="BY62" i="19"/>
  <c r="CK66" i="19"/>
  <c r="BY66" i="19"/>
  <c r="CK70" i="19"/>
  <c r="BY70" i="19"/>
  <c r="CK17" i="19"/>
  <c r="BY17" i="19"/>
  <c r="CK21" i="19"/>
  <c r="BY21" i="19"/>
  <c r="CK25" i="19"/>
  <c r="BY25" i="19"/>
  <c r="CK29" i="19"/>
  <c r="BY29" i="19"/>
  <c r="CK33" i="19"/>
  <c r="BY33" i="19"/>
  <c r="CK37" i="19"/>
  <c r="BY37" i="19"/>
  <c r="CK41" i="19"/>
  <c r="BY41" i="19"/>
  <c r="CK45" i="19"/>
  <c r="BY45" i="19"/>
  <c r="CK49" i="19"/>
  <c r="BY49" i="19"/>
  <c r="CK53" i="19"/>
  <c r="BY53" i="19"/>
  <c r="CK57" i="19"/>
  <c r="BY57" i="19"/>
  <c r="CK61" i="19"/>
  <c r="BY61" i="19"/>
  <c r="CK65" i="19"/>
  <c r="BY65" i="19"/>
  <c r="CK69" i="19"/>
  <c r="BY69" i="19"/>
  <c r="CK16" i="19"/>
  <c r="BY16" i="19"/>
  <c r="CK20" i="19"/>
  <c r="BY20" i="19"/>
  <c r="CK24" i="19"/>
  <c r="BY24" i="19"/>
  <c r="BY18" i="19"/>
  <c r="CK18" i="19"/>
  <c r="VC58" i="25"/>
  <c r="BG58" i="25" s="1"/>
  <c r="WC60" i="25"/>
  <c r="BH60" i="25" s="1"/>
  <c r="WD60" i="25"/>
  <c r="VD58" i="25"/>
  <c r="VC55" i="25"/>
  <c r="BG55" i="25" s="1"/>
  <c r="VT55" i="25"/>
  <c r="WC56" i="25"/>
  <c r="BH56" i="25" s="1"/>
  <c r="WD56" i="25"/>
  <c r="R6" i="37"/>
  <c r="C31" i="10"/>
  <c r="E94" i="22"/>
  <c r="H8" i="45" s="1"/>
  <c r="WD47" i="25"/>
  <c r="WC46" i="25"/>
  <c r="BH46" i="25" s="1"/>
  <c r="AF46" i="19"/>
  <c r="AF50" i="19"/>
  <c r="AF54" i="19"/>
  <c r="AF45" i="19"/>
  <c r="AF49" i="19"/>
  <c r="AF53" i="19"/>
  <c r="AF48" i="19"/>
  <c r="AF52" i="19"/>
  <c r="AF56" i="19"/>
  <c r="AF47" i="19"/>
  <c r="AF51" i="19"/>
  <c r="AF55" i="19"/>
  <c r="VD57" i="25"/>
  <c r="VC59" i="25"/>
  <c r="BG59" i="25" s="1"/>
  <c r="VT59" i="25"/>
  <c r="VT64" i="25"/>
  <c r="WD64" i="25"/>
  <c r="VD66" i="25"/>
  <c r="VG68" i="25"/>
  <c r="VU68" i="25" s="1"/>
  <c r="VD61" i="25"/>
  <c r="VC63" i="25"/>
  <c r="BG63" i="25" s="1"/>
  <c r="VT63" i="25"/>
  <c r="WG64" i="25"/>
  <c r="WU64" i="25" s="1"/>
  <c r="VT68" i="25"/>
  <c r="VT56" i="25"/>
  <c r="VT60" i="25"/>
  <c r="VU65" i="25"/>
  <c r="WC32" i="25"/>
  <c r="BH32" i="25" s="1"/>
  <c r="WD57" i="25"/>
  <c r="WD61" i="25"/>
  <c r="WD65" i="25"/>
  <c r="VC56" i="25"/>
  <c r="BG56" i="25" s="1"/>
  <c r="WC57" i="25"/>
  <c r="BH57" i="25" s="1"/>
  <c r="VC60" i="25"/>
  <c r="BG60" i="25" s="1"/>
  <c r="WC61" i="25"/>
  <c r="BH61" i="25" s="1"/>
  <c r="VG62" i="25"/>
  <c r="VG63" i="25"/>
  <c r="VC64" i="25"/>
  <c r="BG64" i="25" s="1"/>
  <c r="WC65" i="25"/>
  <c r="BH65" i="25" s="1"/>
  <c r="VG66" i="25"/>
  <c r="VG67" i="25"/>
  <c r="VC68" i="25"/>
  <c r="BG68" i="25" s="1"/>
  <c r="WC55" i="25"/>
  <c r="BH55" i="25" s="1"/>
  <c r="WD58" i="25"/>
  <c r="WC59" i="25"/>
  <c r="BH59" i="25" s="1"/>
  <c r="WG62" i="25"/>
  <c r="WD62" i="25"/>
  <c r="WC63" i="25"/>
  <c r="BH63" i="25" s="1"/>
  <c r="WG66" i="25"/>
  <c r="WD66" i="25"/>
  <c r="WC67" i="25"/>
  <c r="BH67" i="25" s="1"/>
  <c r="WD55" i="25"/>
  <c r="VC57" i="25"/>
  <c r="BG57" i="25" s="1"/>
  <c r="WC58" i="25"/>
  <c r="BH58" i="25" s="1"/>
  <c r="WD59" i="25"/>
  <c r="VC61" i="25"/>
  <c r="BG61" i="25" s="1"/>
  <c r="WG61" i="25"/>
  <c r="WC62" i="25"/>
  <c r="BH62" i="25" s="1"/>
  <c r="WD63" i="25"/>
  <c r="WG63" i="25"/>
  <c r="VC65" i="25"/>
  <c r="BG65" i="25" s="1"/>
  <c r="WG65" i="25"/>
  <c r="WC66" i="25"/>
  <c r="BH66" i="25" s="1"/>
  <c r="WD67" i="25"/>
  <c r="WG67" i="25"/>
  <c r="WD36" i="25"/>
  <c r="WD40" i="25"/>
  <c r="WT49" i="25"/>
  <c r="WC36" i="25"/>
  <c r="BH36" i="25" s="1"/>
  <c r="WC40" i="25"/>
  <c r="BH40" i="25" s="1"/>
  <c r="WT33" i="25"/>
  <c r="WD39" i="25"/>
  <c r="WT51" i="25"/>
  <c r="WC42" i="25"/>
  <c r="BH42" i="25" s="1"/>
  <c r="WD35" i="25"/>
  <c r="WT37" i="25"/>
  <c r="WT41" i="25"/>
  <c r="WT42" i="25"/>
  <c r="WT45" i="25"/>
  <c r="WT46" i="25"/>
  <c r="WT47" i="25"/>
  <c r="WD51" i="25"/>
  <c r="WD32" i="25"/>
  <c r="WC52" i="25"/>
  <c r="BH52" i="25" s="1"/>
  <c r="WT53" i="25"/>
  <c r="WT50" i="25"/>
  <c r="WC50" i="25"/>
  <c r="BH50" i="25" s="1"/>
  <c r="WT44" i="25"/>
  <c r="WT48" i="25"/>
  <c r="WT52" i="25"/>
  <c r="WC54" i="25"/>
  <c r="BH54" i="25" s="1"/>
  <c r="WT54" i="25"/>
  <c r="WD44" i="25"/>
  <c r="WD45" i="25"/>
  <c r="WD48" i="25"/>
  <c r="WD49" i="25"/>
  <c r="WD52" i="25"/>
  <c r="WD53" i="25"/>
  <c r="WT43" i="25"/>
  <c r="WC35" i="25"/>
  <c r="BH35" i="25" s="1"/>
  <c r="WC39" i="25"/>
  <c r="BH39" i="25" s="1"/>
  <c r="WC33" i="25"/>
  <c r="BH33" i="25" s="1"/>
  <c r="WD33" i="25"/>
  <c r="WC34" i="25"/>
  <c r="BH34" i="25" s="1"/>
  <c r="WD34" i="25"/>
  <c r="WC37" i="25"/>
  <c r="BH37" i="25" s="1"/>
  <c r="WD37" i="25"/>
  <c r="WC38" i="25"/>
  <c r="BH38" i="25" s="1"/>
  <c r="WD38" i="25"/>
  <c r="WC41" i="25"/>
  <c r="BH41" i="25" s="1"/>
  <c r="I103" i="12"/>
  <c r="Q103" i="12" s="1"/>
  <c r="I99" i="12"/>
  <c r="Q99" i="12" s="1"/>
  <c r="I125" i="12"/>
  <c r="I77" i="12"/>
  <c r="I73" i="12"/>
  <c r="Q8" i="45"/>
  <c r="Q71" i="45" s="1"/>
  <c r="E77" i="22"/>
  <c r="E20" i="42"/>
  <c r="G20" i="42" s="1"/>
  <c r="E24" i="42"/>
  <c r="E19" i="42"/>
  <c r="G19" i="42" s="1"/>
  <c r="E23" i="42"/>
  <c r="E21" i="42"/>
  <c r="G21" i="42" s="1"/>
  <c r="E22" i="42"/>
  <c r="G22" i="42" s="1"/>
  <c r="Q11" i="45"/>
  <c r="E23" i="22"/>
  <c r="E15" i="42"/>
  <c r="G15" i="42" s="1"/>
  <c r="E40" i="22"/>
  <c r="H6" i="45" s="1"/>
  <c r="C29" i="11"/>
  <c r="Q12" i="45"/>
  <c r="F52" i="22"/>
  <c r="Q13" i="45"/>
  <c r="F77" i="22"/>
  <c r="AS7" i="19"/>
  <c r="AU6" i="19"/>
  <c r="F23" i="22"/>
  <c r="BM107" i="19"/>
  <c r="BA107" i="19"/>
  <c r="BM105" i="19"/>
  <c r="BA105" i="19"/>
  <c r="EN27" i="19"/>
  <c r="VB27" i="25" s="1"/>
  <c r="VT27" i="25" s="1"/>
  <c r="BM27" i="19"/>
  <c r="BA27" i="19"/>
  <c r="EN31" i="19"/>
  <c r="VB31" i="25" s="1"/>
  <c r="VT31" i="25" s="1"/>
  <c r="BM31" i="19"/>
  <c r="BA31" i="19"/>
  <c r="EN35" i="19"/>
  <c r="VB35" i="25" s="1"/>
  <c r="BM35" i="19"/>
  <c r="BA35" i="19"/>
  <c r="EN39" i="19"/>
  <c r="VB39" i="25" s="1"/>
  <c r="BM39" i="19"/>
  <c r="BA39" i="19"/>
  <c r="EN43" i="19"/>
  <c r="VB43" i="25" s="1"/>
  <c r="BM43" i="19"/>
  <c r="BA43" i="19"/>
  <c r="EN47" i="19"/>
  <c r="VB47" i="25" s="1"/>
  <c r="BM47" i="19"/>
  <c r="BA47" i="19"/>
  <c r="EN51" i="19"/>
  <c r="VB51" i="25" s="1"/>
  <c r="BM51" i="19"/>
  <c r="BA51" i="19"/>
  <c r="EN55" i="19"/>
  <c r="BM55" i="19"/>
  <c r="BA55" i="19"/>
  <c r="EN59" i="19"/>
  <c r="BM59" i="19"/>
  <c r="BA59" i="19"/>
  <c r="EN63" i="19"/>
  <c r="BM63" i="19"/>
  <c r="BA63" i="19"/>
  <c r="EN67" i="19"/>
  <c r="BM67" i="19"/>
  <c r="BA67" i="19"/>
  <c r="EN71" i="19"/>
  <c r="BM71" i="19"/>
  <c r="BA71" i="19"/>
  <c r="EN75" i="19"/>
  <c r="BM75" i="19"/>
  <c r="BA75" i="19"/>
  <c r="EN79" i="19"/>
  <c r="BM79" i="19"/>
  <c r="BA79" i="19"/>
  <c r="EN83" i="19"/>
  <c r="BM83" i="19"/>
  <c r="BA83" i="19"/>
  <c r="BM87" i="19"/>
  <c r="BA87" i="19"/>
  <c r="BM91" i="19"/>
  <c r="BA91" i="19"/>
  <c r="BM95" i="19"/>
  <c r="BA95" i="19"/>
  <c r="BM99" i="19"/>
  <c r="BA99" i="19"/>
  <c r="BM103" i="19"/>
  <c r="BA103" i="19"/>
  <c r="BM113" i="19"/>
  <c r="BA113" i="19"/>
  <c r="BM111" i="19"/>
  <c r="BA111" i="19"/>
  <c r="BM18" i="19"/>
  <c r="BA18" i="19"/>
  <c r="EN22" i="19"/>
  <c r="VB22" i="25" s="1"/>
  <c r="VT22" i="25" s="1"/>
  <c r="BM22" i="19"/>
  <c r="BA22" i="19"/>
  <c r="EN26" i="19"/>
  <c r="VB26" i="25" s="1"/>
  <c r="VC26" i="25" s="1"/>
  <c r="BG26" i="25" s="1"/>
  <c r="BM26" i="19"/>
  <c r="BA26" i="19"/>
  <c r="BM118" i="19"/>
  <c r="BA118" i="19"/>
  <c r="BA120" i="19"/>
  <c r="BM120" i="19"/>
  <c r="EN30" i="19"/>
  <c r="VB30" i="25" s="1"/>
  <c r="VT30" i="25" s="1"/>
  <c r="BM30" i="19"/>
  <c r="BA30" i="19"/>
  <c r="EN34" i="19"/>
  <c r="VB34" i="25" s="1"/>
  <c r="BM34" i="19"/>
  <c r="BA34" i="19"/>
  <c r="EN38" i="19"/>
  <c r="VB38" i="25" s="1"/>
  <c r="BM38" i="19"/>
  <c r="BA38" i="19"/>
  <c r="EN42" i="19"/>
  <c r="VB42" i="25" s="1"/>
  <c r="BM42" i="19"/>
  <c r="BA42" i="19"/>
  <c r="EN46" i="19"/>
  <c r="VB46" i="25" s="1"/>
  <c r="BM46" i="19"/>
  <c r="BA46" i="19"/>
  <c r="EN50" i="19"/>
  <c r="VB50" i="25" s="1"/>
  <c r="BM50" i="19"/>
  <c r="BA50" i="19"/>
  <c r="EN54" i="19"/>
  <c r="VB54" i="25" s="1"/>
  <c r="BM54" i="19"/>
  <c r="BA54" i="19"/>
  <c r="EN58" i="19"/>
  <c r="BM58" i="19"/>
  <c r="BA58" i="19"/>
  <c r="EN62" i="19"/>
  <c r="BM62" i="19"/>
  <c r="BA62" i="19"/>
  <c r="EN66" i="19"/>
  <c r="BM66" i="19"/>
  <c r="BA66" i="19"/>
  <c r="EN70" i="19"/>
  <c r="BM70" i="19"/>
  <c r="BA70" i="19"/>
  <c r="EN74" i="19"/>
  <c r="BM74" i="19"/>
  <c r="BA74" i="19"/>
  <c r="EN78" i="19"/>
  <c r="BM78" i="19"/>
  <c r="BA78" i="19"/>
  <c r="EN82" i="19"/>
  <c r="BM82" i="19"/>
  <c r="BA82" i="19"/>
  <c r="BM86" i="19"/>
  <c r="BA86" i="19"/>
  <c r="BM90" i="19"/>
  <c r="BA90" i="19"/>
  <c r="BM94" i="19"/>
  <c r="BA94" i="19"/>
  <c r="BM98" i="19"/>
  <c r="BA98" i="19"/>
  <c r="BM102" i="19"/>
  <c r="BA102" i="19"/>
  <c r="BM109" i="19"/>
  <c r="BA109" i="19"/>
  <c r="BM106" i="19"/>
  <c r="BA106" i="19"/>
  <c r="EN21" i="19"/>
  <c r="VB21" i="25" s="1"/>
  <c r="VD21" i="25" s="1"/>
  <c r="BM21" i="19"/>
  <c r="BA21" i="19"/>
  <c r="EN25" i="19"/>
  <c r="VB25" i="25" s="1"/>
  <c r="VD25" i="25" s="1"/>
  <c r="BM25" i="19"/>
  <c r="BA25" i="19"/>
  <c r="VD30" i="25"/>
  <c r="BM114" i="19"/>
  <c r="BA114" i="19"/>
  <c r="BM117" i="19"/>
  <c r="BA117" i="19"/>
  <c r="EN29" i="19"/>
  <c r="VB29" i="25" s="1"/>
  <c r="VD29" i="25" s="1"/>
  <c r="BM29" i="19"/>
  <c r="BA29" i="19"/>
  <c r="EN33" i="19"/>
  <c r="VB33" i="25" s="1"/>
  <c r="BM33" i="19"/>
  <c r="BA33" i="19"/>
  <c r="EN37" i="19"/>
  <c r="VB37" i="25" s="1"/>
  <c r="BM37" i="19"/>
  <c r="BA37" i="19"/>
  <c r="EN41" i="19"/>
  <c r="VB41" i="25" s="1"/>
  <c r="BM41" i="19"/>
  <c r="BA41" i="19"/>
  <c r="EN45" i="19"/>
  <c r="VB45" i="25" s="1"/>
  <c r="BM45" i="19"/>
  <c r="BA45" i="19"/>
  <c r="EN49" i="19"/>
  <c r="VB49" i="25" s="1"/>
  <c r="BM49" i="19"/>
  <c r="BA49" i="19"/>
  <c r="EN53" i="19"/>
  <c r="VB53" i="25" s="1"/>
  <c r="BM53" i="19"/>
  <c r="BA53" i="19"/>
  <c r="EN57" i="19"/>
  <c r="BM57" i="19"/>
  <c r="BA57" i="19"/>
  <c r="EN61" i="19"/>
  <c r="BM61" i="19"/>
  <c r="BA61" i="19"/>
  <c r="EN65" i="19"/>
  <c r="BM65" i="19"/>
  <c r="BA65" i="19"/>
  <c r="EN69" i="19"/>
  <c r="BM69" i="19"/>
  <c r="BA69" i="19"/>
  <c r="EN73" i="19"/>
  <c r="BM73" i="19"/>
  <c r="BA73" i="19"/>
  <c r="EN77" i="19"/>
  <c r="BM77" i="19"/>
  <c r="BA77" i="19"/>
  <c r="EN81" i="19"/>
  <c r="BM81" i="19"/>
  <c r="BA81" i="19"/>
  <c r="BM85" i="19"/>
  <c r="BA85" i="19"/>
  <c r="BM89" i="19"/>
  <c r="BA89" i="19"/>
  <c r="BM93" i="19"/>
  <c r="BA93" i="19"/>
  <c r="BM97" i="19"/>
  <c r="BA97" i="19"/>
  <c r="BM101" i="19"/>
  <c r="BA101" i="19"/>
  <c r="BA108" i="19"/>
  <c r="BM108" i="19"/>
  <c r="BM119" i="19"/>
  <c r="BA119" i="19"/>
  <c r="BM16" i="19"/>
  <c r="BA16" i="19"/>
  <c r="EN20" i="19"/>
  <c r="VB20" i="25" s="1"/>
  <c r="VD20" i="25" s="1"/>
  <c r="BA20" i="19"/>
  <c r="BM20" i="19"/>
  <c r="EN24" i="19"/>
  <c r="VB24" i="25" s="1"/>
  <c r="VD24" i="25" s="1"/>
  <c r="BA24" i="19"/>
  <c r="BM24" i="19"/>
  <c r="BM110" i="19"/>
  <c r="BA110" i="19"/>
  <c r="BA112" i="19"/>
  <c r="BM112" i="19"/>
  <c r="EN28" i="19"/>
  <c r="VB28" i="25" s="1"/>
  <c r="VD28" i="25" s="1"/>
  <c r="BA28" i="19"/>
  <c r="BM28" i="19"/>
  <c r="EN32" i="19"/>
  <c r="VB32" i="25" s="1"/>
  <c r="BA32" i="19"/>
  <c r="BM32" i="19"/>
  <c r="EN36" i="19"/>
  <c r="VB36" i="25" s="1"/>
  <c r="BA36" i="19"/>
  <c r="BM36" i="19"/>
  <c r="EN40" i="19"/>
  <c r="VB40" i="25" s="1"/>
  <c r="BA40" i="19"/>
  <c r="BM40" i="19"/>
  <c r="EN44" i="19"/>
  <c r="VB44" i="25" s="1"/>
  <c r="BA44" i="19"/>
  <c r="BM44" i="19"/>
  <c r="EN48" i="19"/>
  <c r="VB48" i="25" s="1"/>
  <c r="BA48" i="19"/>
  <c r="BM48" i="19"/>
  <c r="EN52" i="19"/>
  <c r="VB52" i="25" s="1"/>
  <c r="BA52" i="19"/>
  <c r="BM52" i="19"/>
  <c r="EN56" i="19"/>
  <c r="BA56" i="19"/>
  <c r="BM56" i="19"/>
  <c r="EN60" i="19"/>
  <c r="BA60" i="19"/>
  <c r="BM60" i="19"/>
  <c r="EN64" i="19"/>
  <c r="BA64" i="19"/>
  <c r="BM64" i="19"/>
  <c r="EN68" i="19"/>
  <c r="BA68" i="19"/>
  <c r="BM68" i="19"/>
  <c r="EN72" i="19"/>
  <c r="BA72" i="19"/>
  <c r="BM72" i="19"/>
  <c r="EN76" i="19"/>
  <c r="BA76" i="19"/>
  <c r="BM76" i="19"/>
  <c r="EN80" i="19"/>
  <c r="BA80" i="19"/>
  <c r="BM80" i="19"/>
  <c r="EN84" i="19"/>
  <c r="BA84" i="19"/>
  <c r="BM84" i="19"/>
  <c r="BA88" i="19"/>
  <c r="BM88" i="19"/>
  <c r="BA92" i="19"/>
  <c r="BM92" i="19"/>
  <c r="BA96" i="19"/>
  <c r="BM96" i="19"/>
  <c r="BA100" i="19"/>
  <c r="BM100" i="19"/>
  <c r="BA104" i="19"/>
  <c r="BM104" i="19"/>
  <c r="BM115" i="19"/>
  <c r="BA115" i="19"/>
  <c r="BA116" i="19"/>
  <c r="BM116" i="19"/>
  <c r="EN23" i="19"/>
  <c r="VB23" i="25" s="1"/>
  <c r="VT23" i="25" s="1"/>
  <c r="BM23" i="19"/>
  <c r="BA23" i="19"/>
  <c r="BM15" i="19"/>
  <c r="BA15" i="19"/>
  <c r="BA19" i="19"/>
  <c r="BM19" i="19"/>
  <c r="BA17" i="19"/>
  <c r="BM17" i="19"/>
  <c r="WC28" i="25"/>
  <c r="BH28" i="25" s="1"/>
  <c r="WC24" i="25"/>
  <c r="BH24" i="25" s="1"/>
  <c r="VC27" i="25"/>
  <c r="BG27" i="25" s="1"/>
  <c r="VD27" i="25"/>
  <c r="WT25" i="25"/>
  <c r="WD24" i="25"/>
  <c r="WD27" i="25"/>
  <c r="VC29" i="25"/>
  <c r="BG29" i="25" s="1"/>
  <c r="VD26" i="25"/>
  <c r="WD28" i="25"/>
  <c r="WT29" i="25"/>
  <c r="WT21" i="25"/>
  <c r="WD23" i="25"/>
  <c r="VC31" i="25"/>
  <c r="BG31" i="25" s="1"/>
  <c r="WD31" i="25"/>
  <c r="WC23" i="25"/>
  <c r="BH23" i="25" s="1"/>
  <c r="WC27" i="25"/>
  <c r="BH27" i="25" s="1"/>
  <c r="WC31" i="25"/>
  <c r="BH31" i="25" s="1"/>
  <c r="WC21" i="25"/>
  <c r="BH21" i="25" s="1"/>
  <c r="WD21" i="25"/>
  <c r="WC22" i="25"/>
  <c r="BH22" i="25" s="1"/>
  <c r="WD22" i="25"/>
  <c r="WC25" i="25"/>
  <c r="BH25" i="25" s="1"/>
  <c r="WD25" i="25"/>
  <c r="WC26" i="25"/>
  <c r="BH26" i="25" s="1"/>
  <c r="WD26" i="25"/>
  <c r="WC29" i="25"/>
  <c r="BH29" i="25" s="1"/>
  <c r="WD29" i="25"/>
  <c r="WC30" i="25"/>
  <c r="BH30" i="25" s="1"/>
  <c r="WD30" i="25"/>
  <c r="VC30" i="25"/>
  <c r="BG30" i="25" s="1"/>
  <c r="VD31" i="25"/>
  <c r="Q84" i="45"/>
  <c r="E18" i="42"/>
  <c r="G18" i="42" s="1"/>
  <c r="E17" i="42"/>
  <c r="G17" i="42" s="1"/>
  <c r="Q6" i="45"/>
  <c r="E16" i="42"/>
  <c r="I89" i="12"/>
  <c r="J87" i="12"/>
  <c r="J89" i="12" s="1"/>
  <c r="WD20" i="25"/>
  <c r="EN16" i="19"/>
  <c r="VB16" i="25" s="1"/>
  <c r="VT16" i="25" s="1"/>
  <c r="EW16" i="19"/>
  <c r="WB16" i="25" s="1"/>
  <c r="WD16" i="25" s="1"/>
  <c r="EN15" i="19"/>
  <c r="EW15" i="19"/>
  <c r="WB15" i="25" s="1"/>
  <c r="WD15" i="25" s="1"/>
  <c r="WT20" i="25"/>
  <c r="EN18" i="19"/>
  <c r="VB18" i="25" s="1"/>
  <c r="VT18" i="25" s="1"/>
  <c r="EW18" i="19"/>
  <c r="WB18" i="25" s="1"/>
  <c r="WC18" i="25" s="1"/>
  <c r="EN19" i="19"/>
  <c r="VB19" i="25" s="1"/>
  <c r="VT19" i="25" s="1"/>
  <c r="EW19" i="19"/>
  <c r="WB19" i="25" s="1"/>
  <c r="WD19" i="25" s="1"/>
  <c r="EN17" i="19"/>
  <c r="VB17" i="25" s="1"/>
  <c r="VT17" i="25" s="1"/>
  <c r="EW17" i="19"/>
  <c r="WB17" i="25" s="1"/>
  <c r="WT17" i="25" s="1"/>
  <c r="U103" i="19"/>
  <c r="EN103" i="19"/>
  <c r="U118" i="19"/>
  <c r="EN118" i="19"/>
  <c r="U120" i="19"/>
  <c r="EN120" i="19"/>
  <c r="U86" i="19"/>
  <c r="EN86" i="19"/>
  <c r="U90" i="19"/>
  <c r="EN90" i="19"/>
  <c r="U94" i="19"/>
  <c r="EN94" i="19"/>
  <c r="U98" i="19"/>
  <c r="EN98" i="19"/>
  <c r="U102" i="19"/>
  <c r="EN102" i="19"/>
  <c r="U109" i="19"/>
  <c r="EN109" i="19"/>
  <c r="U106" i="19"/>
  <c r="EN106" i="19"/>
  <c r="U107" i="19"/>
  <c r="EN107" i="19"/>
  <c r="U105" i="19"/>
  <c r="EN105" i="19"/>
  <c r="U91" i="19"/>
  <c r="EN91" i="19"/>
  <c r="U99" i="19"/>
  <c r="EN99" i="19"/>
  <c r="U113" i="19"/>
  <c r="EN113" i="19"/>
  <c r="U111" i="19"/>
  <c r="EN111" i="19"/>
  <c r="U114" i="19"/>
  <c r="EN114" i="19"/>
  <c r="U117" i="19"/>
  <c r="EN117" i="19"/>
  <c r="U85" i="19"/>
  <c r="EN85" i="19"/>
  <c r="U89" i="19"/>
  <c r="EN89" i="19"/>
  <c r="U93" i="19"/>
  <c r="EN93" i="19"/>
  <c r="U97" i="19"/>
  <c r="EN97" i="19"/>
  <c r="U101" i="19"/>
  <c r="EN101" i="19"/>
  <c r="U108" i="19"/>
  <c r="EN108" i="19"/>
  <c r="U119" i="19"/>
  <c r="EN119" i="19"/>
  <c r="U87" i="19"/>
  <c r="EN87" i="19"/>
  <c r="U110" i="19"/>
  <c r="EN110" i="19"/>
  <c r="U112" i="19"/>
  <c r="EN112" i="19"/>
  <c r="U88" i="19"/>
  <c r="EN88" i="19"/>
  <c r="U92" i="19"/>
  <c r="EN92" i="19"/>
  <c r="U96" i="19"/>
  <c r="EN96" i="19"/>
  <c r="U100" i="19"/>
  <c r="EN100" i="19"/>
  <c r="U104" i="19"/>
  <c r="EN104" i="19"/>
  <c r="U115" i="19"/>
  <c r="EN115" i="19"/>
  <c r="U116" i="19"/>
  <c r="EN116" i="19"/>
  <c r="VB15" i="25"/>
  <c r="DF15" i="19"/>
  <c r="U95" i="19"/>
  <c r="EN95" i="19"/>
  <c r="VP11" i="25"/>
  <c r="VP12" i="25" s="1"/>
  <c r="VP13" i="25" s="1"/>
  <c r="WP11" i="25"/>
  <c r="WP12" i="25" s="1"/>
  <c r="WP13" i="25" s="1"/>
  <c r="U56" i="19"/>
  <c r="U80" i="19"/>
  <c r="U54" i="19"/>
  <c r="U58" i="19"/>
  <c r="U62" i="19"/>
  <c r="U66" i="19"/>
  <c r="U70" i="19"/>
  <c r="U74" i="19"/>
  <c r="U78" i="19"/>
  <c r="U82" i="19"/>
  <c r="U72" i="19"/>
  <c r="U53" i="19"/>
  <c r="U57" i="19"/>
  <c r="U61" i="19"/>
  <c r="U65" i="19"/>
  <c r="U69" i="19"/>
  <c r="U73" i="19"/>
  <c r="U77" i="19"/>
  <c r="U81" i="19"/>
  <c r="U64" i="19"/>
  <c r="U68" i="19"/>
  <c r="U76" i="19"/>
  <c r="U60" i="19"/>
  <c r="U84" i="19"/>
  <c r="U55" i="19"/>
  <c r="U59" i="19"/>
  <c r="U63" i="19"/>
  <c r="U67" i="19"/>
  <c r="U71" i="19"/>
  <c r="U75" i="19"/>
  <c r="U79" i="19"/>
  <c r="U83" i="19"/>
  <c r="U45" i="19"/>
  <c r="U49" i="19"/>
  <c r="U48" i="19"/>
  <c r="U52" i="19"/>
  <c r="U47" i="19"/>
  <c r="U51" i="19"/>
  <c r="U46" i="19"/>
  <c r="U50" i="19"/>
  <c r="U30" i="19"/>
  <c r="U33" i="19"/>
  <c r="U32" i="19"/>
  <c r="U36" i="19"/>
  <c r="U40" i="19"/>
  <c r="U44" i="19"/>
  <c r="U38" i="19"/>
  <c r="U37" i="19"/>
  <c r="U41" i="19"/>
  <c r="U31" i="19"/>
  <c r="U35" i="19"/>
  <c r="U39" i="19"/>
  <c r="U43" i="19"/>
  <c r="U42" i="19"/>
  <c r="U34" i="19"/>
  <c r="U28" i="19"/>
  <c r="U23" i="19"/>
  <c r="U27" i="19"/>
  <c r="U22" i="19"/>
  <c r="U26" i="19"/>
  <c r="U21" i="19"/>
  <c r="U25" i="19"/>
  <c r="U29" i="19"/>
  <c r="U20" i="19"/>
  <c r="U24" i="19"/>
  <c r="B110" i="19"/>
  <c r="B118" i="19"/>
  <c r="B112" i="19"/>
  <c r="B120" i="19"/>
  <c r="B72" i="19"/>
  <c r="B74" i="19"/>
  <c r="B76" i="19"/>
  <c r="B78" i="19"/>
  <c r="B80" i="19"/>
  <c r="B82" i="19"/>
  <c r="B84" i="19"/>
  <c r="B86" i="19"/>
  <c r="B88" i="19"/>
  <c r="B90" i="19"/>
  <c r="B92" i="19"/>
  <c r="B94" i="19"/>
  <c r="B96" i="19"/>
  <c r="B98" i="19"/>
  <c r="B100" i="19"/>
  <c r="B102" i="19"/>
  <c r="B104" i="19"/>
  <c r="B109" i="19"/>
  <c r="B115" i="19"/>
  <c r="B106" i="19"/>
  <c r="B116" i="19"/>
  <c r="B107" i="19"/>
  <c r="B114" i="19"/>
  <c r="B105" i="19"/>
  <c r="B117" i="19"/>
  <c r="B73" i="19"/>
  <c r="B75" i="19"/>
  <c r="B77" i="19"/>
  <c r="B79" i="19"/>
  <c r="B81" i="19"/>
  <c r="B83" i="19"/>
  <c r="B85" i="19"/>
  <c r="B87" i="19"/>
  <c r="B89" i="19"/>
  <c r="B91" i="19"/>
  <c r="B93" i="19"/>
  <c r="B95" i="19"/>
  <c r="B97" i="19"/>
  <c r="B99" i="19"/>
  <c r="B101" i="19"/>
  <c r="B103" i="19"/>
  <c r="B108" i="19"/>
  <c r="B113" i="19"/>
  <c r="B119" i="19"/>
  <c r="B111" i="19"/>
  <c r="D16" i="37"/>
  <c r="D34" i="37"/>
  <c r="O136" i="37"/>
  <c r="O146" i="37"/>
  <c r="O124" i="37"/>
  <c r="O139" i="37"/>
  <c r="O135" i="37"/>
  <c r="T8" i="37"/>
  <c r="T13" i="37"/>
  <c r="T32" i="37"/>
  <c r="T14" i="37"/>
  <c r="T15" i="37"/>
  <c r="T9" i="37"/>
  <c r="T28" i="37"/>
  <c r="T27" i="37"/>
  <c r="T10" i="37"/>
  <c r="T11" i="37"/>
  <c r="T35" i="37"/>
  <c r="T36" i="37"/>
  <c r="T30" i="37"/>
  <c r="O122" i="37"/>
  <c r="O125" i="37"/>
  <c r="T29" i="37"/>
  <c r="T7" i="37"/>
  <c r="O127" i="37"/>
  <c r="O128" i="37"/>
  <c r="O140" i="37"/>
  <c r="O5" i="37"/>
  <c r="VG60" i="25" s="1"/>
  <c r="VU60" i="25" s="1"/>
  <c r="O137" i="37"/>
  <c r="O126" i="37"/>
  <c r="O138" i="37"/>
  <c r="I114" i="12" s="1"/>
  <c r="J114" i="12" s="1"/>
  <c r="M114" i="12" s="1"/>
  <c r="N114" i="12" s="1"/>
  <c r="O134" i="37"/>
  <c r="O123" i="37"/>
  <c r="B20" i="35"/>
  <c r="B19" i="35"/>
  <c r="AD8" i="35"/>
  <c r="AD7" i="35"/>
  <c r="AE6" i="35"/>
  <c r="Y8" i="35"/>
  <c r="Y7" i="35"/>
  <c r="Z6" i="35"/>
  <c r="AH8" i="35"/>
  <c r="B3" i="35"/>
  <c r="WT16" i="25" l="1"/>
  <c r="WT15" i="25"/>
  <c r="VC21" i="25"/>
  <c r="BG21" i="25" s="1"/>
  <c r="VT21" i="25"/>
  <c r="WC15" i="25"/>
  <c r="VC22" i="25"/>
  <c r="BG22" i="25" s="1"/>
  <c r="VD22" i="25"/>
  <c r="VC19" i="25"/>
  <c r="VT20" i="25"/>
  <c r="VC20" i="25"/>
  <c r="VU69" i="25"/>
  <c r="WG57" i="25"/>
  <c r="WG58" i="25"/>
  <c r="WU58" i="25" s="1"/>
  <c r="VG58" i="25"/>
  <c r="VG57" i="25"/>
  <c r="VU57" i="25" s="1"/>
  <c r="VG59" i="25"/>
  <c r="VG55" i="25"/>
  <c r="WG55" i="25"/>
  <c r="WG60" i="25"/>
  <c r="WU60" i="25" s="1"/>
  <c r="WG56" i="25"/>
  <c r="WU56" i="25" s="1"/>
  <c r="WG59" i="25"/>
  <c r="VG56" i="25"/>
  <c r="VU56" i="25" s="1"/>
  <c r="N6" i="20"/>
  <c r="B19" i="12"/>
  <c r="T37" i="37"/>
  <c r="AF3" i="19"/>
  <c r="AJ6" i="19" s="1"/>
  <c r="AJ7" i="19" s="1"/>
  <c r="I62" i="12"/>
  <c r="I113" i="12"/>
  <c r="J113" i="12" s="1"/>
  <c r="M113" i="12" s="1"/>
  <c r="N113" i="12" s="1"/>
  <c r="T31" i="37"/>
  <c r="WC16" i="25"/>
  <c r="VC25" i="25"/>
  <c r="BG25" i="25" s="1"/>
  <c r="VT26" i="25"/>
  <c r="VT25" i="25"/>
  <c r="VT29" i="25"/>
  <c r="VC28" i="25"/>
  <c r="BG28" i="25" s="1"/>
  <c r="VT28" i="25"/>
  <c r="VC18" i="25"/>
  <c r="VD19" i="25"/>
  <c r="VD23" i="25"/>
  <c r="VC24" i="25"/>
  <c r="BG24" i="25" s="1"/>
  <c r="VC16" i="25"/>
  <c r="VT24" i="25"/>
  <c r="VD16" i="25"/>
  <c r="VD18" i="25"/>
  <c r="WU61" i="25"/>
  <c r="VU66" i="25"/>
  <c r="VU63" i="25"/>
  <c r="WU67" i="25"/>
  <c r="WU59" i="25"/>
  <c r="VU67" i="25"/>
  <c r="WU65" i="25"/>
  <c r="WU57" i="25"/>
  <c r="WU66" i="25"/>
  <c r="WU62" i="25"/>
  <c r="VU58" i="25"/>
  <c r="VU55" i="25"/>
  <c r="WU63" i="25"/>
  <c r="WU55" i="25"/>
  <c r="VU62" i="25"/>
  <c r="VU59" i="25"/>
  <c r="WD18" i="25"/>
  <c r="WG25" i="25"/>
  <c r="WU25" i="25" s="1"/>
  <c r="WG40" i="25"/>
  <c r="WU40" i="25" s="1"/>
  <c r="VD17" i="25"/>
  <c r="VC17" i="25"/>
  <c r="WG46" i="25"/>
  <c r="WU46" i="25" s="1"/>
  <c r="WG36" i="25"/>
  <c r="WU36" i="25" s="1"/>
  <c r="WG35" i="25"/>
  <c r="WU35" i="25" s="1"/>
  <c r="WG48" i="25"/>
  <c r="WU48" i="25" s="1"/>
  <c r="WG44" i="25"/>
  <c r="WU44" i="25" s="1"/>
  <c r="WG54" i="25"/>
  <c r="WU54" i="25" s="1"/>
  <c r="WG42" i="25"/>
  <c r="WU42" i="25" s="1"/>
  <c r="WG32" i="25"/>
  <c r="WU32" i="25" s="1"/>
  <c r="WG33" i="25"/>
  <c r="WU33" i="25" s="1"/>
  <c r="WG50" i="25"/>
  <c r="WU50" i="25" s="1"/>
  <c r="WG49" i="25"/>
  <c r="WU49" i="25" s="1"/>
  <c r="WG47" i="25"/>
  <c r="WU47" i="25" s="1"/>
  <c r="WG38" i="25"/>
  <c r="WU38" i="25" s="1"/>
  <c r="WG53" i="25"/>
  <c r="WU53" i="25" s="1"/>
  <c r="WG45" i="25"/>
  <c r="WU45" i="25" s="1"/>
  <c r="WG52" i="25"/>
  <c r="WU52" i="25" s="1"/>
  <c r="WG41" i="25"/>
  <c r="WG43" i="25"/>
  <c r="WG39" i="25"/>
  <c r="WU39" i="25" s="1"/>
  <c r="WG51" i="25"/>
  <c r="WU51" i="25" s="1"/>
  <c r="WG34" i="25"/>
  <c r="WU34" i="25" s="1"/>
  <c r="WG37" i="25"/>
  <c r="WU37" i="25" s="1"/>
  <c r="WC17" i="25"/>
  <c r="WT19" i="25"/>
  <c r="VC46" i="25"/>
  <c r="BG46" i="25" s="1"/>
  <c r="VT46" i="25"/>
  <c r="VG46" i="25"/>
  <c r="VD46" i="25"/>
  <c r="VD47" i="25"/>
  <c r="VG47" i="25"/>
  <c r="VT47" i="25"/>
  <c r="VC47" i="25"/>
  <c r="BG47" i="25" s="1"/>
  <c r="VT44" i="25"/>
  <c r="VC44" i="25"/>
  <c r="BG44" i="25" s="1"/>
  <c r="VG44" i="25"/>
  <c r="VD44" i="25"/>
  <c r="VD45" i="25"/>
  <c r="VC45" i="25"/>
  <c r="BG45" i="25" s="1"/>
  <c r="VT45" i="25"/>
  <c r="VG45" i="25"/>
  <c r="VC50" i="25"/>
  <c r="BG50" i="25" s="1"/>
  <c r="VT50" i="25"/>
  <c r="VG50" i="25"/>
  <c r="VD50" i="25"/>
  <c r="VD51" i="25"/>
  <c r="VC51" i="25"/>
  <c r="BG51" i="25" s="1"/>
  <c r="VT51" i="25"/>
  <c r="VG51" i="25"/>
  <c r="VD48" i="25"/>
  <c r="VT48" i="25"/>
  <c r="VC48" i="25"/>
  <c r="BG48" i="25" s="1"/>
  <c r="VG48" i="25"/>
  <c r="VD49" i="25"/>
  <c r="VC49" i="25"/>
  <c r="BG49" i="25" s="1"/>
  <c r="VG49" i="25"/>
  <c r="VT49" i="25"/>
  <c r="VC54" i="25"/>
  <c r="BG54" i="25" s="1"/>
  <c r="VT54" i="25"/>
  <c r="VG54" i="25"/>
  <c r="VD54" i="25"/>
  <c r="VT52" i="25"/>
  <c r="VC52" i="25"/>
  <c r="BG52" i="25" s="1"/>
  <c r="VG52" i="25"/>
  <c r="VD52" i="25"/>
  <c r="VD53" i="25"/>
  <c r="VC53" i="25"/>
  <c r="BG53" i="25" s="1"/>
  <c r="VT53" i="25"/>
  <c r="VG53" i="25"/>
  <c r="VD40" i="25"/>
  <c r="VT40" i="25"/>
  <c r="VC40" i="25"/>
  <c r="BG40" i="25" s="1"/>
  <c r="VG40" i="25"/>
  <c r="VD41" i="25"/>
  <c r="VC41" i="25"/>
  <c r="BG41" i="25" s="1"/>
  <c r="VG41" i="25"/>
  <c r="VT41" i="25"/>
  <c r="WU41" i="25"/>
  <c r="WU43" i="25"/>
  <c r="VC34" i="25"/>
  <c r="BG34" i="25" s="1"/>
  <c r="VG34" i="25"/>
  <c r="VT34" i="25"/>
  <c r="VD34" i="25"/>
  <c r="VT35" i="25"/>
  <c r="VD35" i="25"/>
  <c r="VC35" i="25"/>
  <c r="BG35" i="25" s="1"/>
  <c r="VG35" i="25"/>
  <c r="VD32" i="25"/>
  <c r="VT32" i="25"/>
  <c r="VC32" i="25"/>
  <c r="BG32" i="25" s="1"/>
  <c r="VG32" i="25"/>
  <c r="VD33" i="25"/>
  <c r="VC33" i="25"/>
  <c r="BG33" i="25" s="1"/>
  <c r="VG33" i="25"/>
  <c r="VT33" i="25"/>
  <c r="VC38" i="25"/>
  <c r="BG38" i="25" s="1"/>
  <c r="VG38" i="25"/>
  <c r="VT38" i="25"/>
  <c r="VD38" i="25"/>
  <c r="VT39" i="25"/>
  <c r="VD39" i="25"/>
  <c r="VG39" i="25"/>
  <c r="VC39" i="25"/>
  <c r="BG39" i="25" s="1"/>
  <c r="VT36" i="25"/>
  <c r="VC36" i="25"/>
  <c r="BG36" i="25" s="1"/>
  <c r="VG36" i="25"/>
  <c r="VD36" i="25"/>
  <c r="VD37" i="25"/>
  <c r="VC37" i="25"/>
  <c r="BG37" i="25" s="1"/>
  <c r="VT37" i="25"/>
  <c r="VG37" i="25"/>
  <c r="VC42" i="25"/>
  <c r="BG42" i="25" s="1"/>
  <c r="VT42" i="25"/>
  <c r="VG42" i="25"/>
  <c r="VD42" i="25"/>
  <c r="VD43" i="25"/>
  <c r="VC43" i="25"/>
  <c r="BG43" i="25" s="1"/>
  <c r="VT43" i="25"/>
  <c r="VG43" i="25"/>
  <c r="VC23" i="25"/>
  <c r="BG23" i="25" s="1"/>
  <c r="WC19" i="25"/>
  <c r="WT18" i="25"/>
  <c r="WD17" i="25"/>
  <c r="D15" i="42"/>
  <c r="G24" i="42"/>
  <c r="D24" i="42"/>
  <c r="G23" i="42"/>
  <c r="D23" i="42"/>
  <c r="D16" i="42"/>
  <c r="G16" i="42"/>
  <c r="G52" i="22"/>
  <c r="G77" i="22"/>
  <c r="H77" i="22" s="1"/>
  <c r="F90" i="22"/>
  <c r="AU7" i="19"/>
  <c r="AS9" i="19"/>
  <c r="AU9" i="19" s="1"/>
  <c r="G23" i="22"/>
  <c r="VG17" i="25"/>
  <c r="VU17" i="25" s="1"/>
  <c r="VG15" i="25"/>
  <c r="VU15" i="25" s="1"/>
  <c r="VG16" i="25"/>
  <c r="VU16" i="25" s="1"/>
  <c r="WG17" i="25"/>
  <c r="WU17" i="25" s="1"/>
  <c r="VC15" i="25"/>
  <c r="WG19" i="25"/>
  <c r="WU19" i="25" s="1"/>
  <c r="WG20" i="25"/>
  <c r="WU20" i="25" s="1"/>
  <c r="VG31" i="25"/>
  <c r="VU31" i="25" s="1"/>
  <c r="VG26" i="25"/>
  <c r="VU26" i="25" s="1"/>
  <c r="WG28" i="25"/>
  <c r="WU28" i="25" s="1"/>
  <c r="VG21" i="25"/>
  <c r="VU21" i="25" s="1"/>
  <c r="VG28" i="25"/>
  <c r="VU28" i="25" s="1"/>
  <c r="WG24" i="25"/>
  <c r="WU24" i="25" s="1"/>
  <c r="VG24" i="25"/>
  <c r="VU24" i="25" s="1"/>
  <c r="WG21" i="25"/>
  <c r="WU21" i="25" s="1"/>
  <c r="VG19" i="25"/>
  <c r="VU19" i="25" s="1"/>
  <c r="VG23" i="25"/>
  <c r="VU23" i="25" s="1"/>
  <c r="VG30" i="25"/>
  <c r="VG29" i="25"/>
  <c r="VU29" i="25" s="1"/>
  <c r="WG16" i="25"/>
  <c r="WU16" i="25" s="1"/>
  <c r="WG30" i="25"/>
  <c r="WU30" i="25" s="1"/>
  <c r="VG27" i="25"/>
  <c r="VU27" i="25" s="1"/>
  <c r="WG22" i="25"/>
  <c r="WU22" i="25" s="1"/>
  <c r="WG27" i="25"/>
  <c r="WU27" i="25" s="1"/>
  <c r="WG26" i="25"/>
  <c r="WU26" i="25" s="1"/>
  <c r="VG25" i="25"/>
  <c r="VU25" i="25" s="1"/>
  <c r="VG18" i="25"/>
  <c r="VU18" i="25" s="1"/>
  <c r="WG31" i="25"/>
  <c r="WU31" i="25" s="1"/>
  <c r="WG23" i="25"/>
  <c r="WU23" i="25" s="1"/>
  <c r="WG29" i="25"/>
  <c r="WU29" i="25" s="1"/>
  <c r="VG20" i="25"/>
  <c r="VU20" i="25" s="1"/>
  <c r="VG22" i="25"/>
  <c r="VU22" i="25" s="1"/>
  <c r="WG18" i="25"/>
  <c r="WU18" i="25" s="1"/>
  <c r="VU30" i="25"/>
  <c r="Q124" i="45"/>
  <c r="Q58" i="45"/>
  <c r="Q98" i="45"/>
  <c r="Q18" i="45"/>
  <c r="Q44" i="45"/>
  <c r="Q138" i="45"/>
  <c r="Q164" i="45"/>
  <c r="Q31" i="45"/>
  <c r="Q111" i="45"/>
  <c r="Q151" i="45"/>
  <c r="VT15" i="25"/>
  <c r="VD15" i="25"/>
  <c r="WG15" i="25"/>
  <c r="WU15" i="25" s="1"/>
  <c r="T16" i="37"/>
  <c r="T34" i="37"/>
  <c r="OF120" i="25"/>
  <c r="MF120" i="25"/>
  <c r="OF119" i="25"/>
  <c r="MF119" i="25"/>
  <c r="QF120" i="25"/>
  <c r="SF120" i="25"/>
  <c r="SF119" i="25"/>
  <c r="QF119" i="25"/>
  <c r="PF119" i="25"/>
  <c r="EC59" i="19"/>
  <c r="CH59" i="19"/>
  <c r="AO59" i="19"/>
  <c r="CT59" i="19"/>
  <c r="AX59" i="19"/>
  <c r="DF59" i="19"/>
  <c r="BJ59" i="19"/>
  <c r="DR59" i="19"/>
  <c r="BV59" i="19"/>
  <c r="EC63" i="19"/>
  <c r="CH63" i="19"/>
  <c r="AO63" i="19"/>
  <c r="CT63" i="19"/>
  <c r="AX63" i="19"/>
  <c r="BJ63" i="19"/>
  <c r="DF63" i="19"/>
  <c r="BV63" i="19"/>
  <c r="DR63" i="19"/>
  <c r="EC67" i="19"/>
  <c r="CH67" i="19"/>
  <c r="AO67" i="19"/>
  <c r="CT67" i="19"/>
  <c r="AX67" i="19"/>
  <c r="DF67" i="19"/>
  <c r="BV67" i="19"/>
  <c r="DR67" i="19"/>
  <c r="BJ67" i="19"/>
  <c r="EC71" i="19"/>
  <c r="CH71" i="19"/>
  <c r="AO71" i="19"/>
  <c r="CT71" i="19"/>
  <c r="AX71" i="19"/>
  <c r="BJ71" i="19"/>
  <c r="DR71" i="19"/>
  <c r="BV71" i="19"/>
  <c r="DF71" i="19"/>
  <c r="EC75" i="19"/>
  <c r="CH75" i="19"/>
  <c r="AO75" i="19"/>
  <c r="CT75" i="19"/>
  <c r="AX75" i="19"/>
  <c r="DF75" i="19"/>
  <c r="BJ75" i="19"/>
  <c r="DR75" i="19"/>
  <c r="BV75" i="19"/>
  <c r="EC79" i="19"/>
  <c r="CH79" i="19"/>
  <c r="AO79" i="19"/>
  <c r="CT79" i="19"/>
  <c r="AX79" i="19"/>
  <c r="BJ79" i="19"/>
  <c r="DF79" i="19"/>
  <c r="BV79" i="19"/>
  <c r="DR79" i="19"/>
  <c r="EC83" i="19"/>
  <c r="CH83" i="19"/>
  <c r="AO83" i="19"/>
  <c r="CT83" i="19"/>
  <c r="AX83" i="19"/>
  <c r="DF83" i="19"/>
  <c r="BV83" i="19"/>
  <c r="DR83" i="19"/>
  <c r="BJ83" i="19"/>
  <c r="EC87" i="19"/>
  <c r="CH87" i="19"/>
  <c r="AO87" i="19"/>
  <c r="CT87" i="19"/>
  <c r="AX87" i="19"/>
  <c r="BJ87" i="19"/>
  <c r="DR87" i="19"/>
  <c r="BV87" i="19"/>
  <c r="DF87" i="19"/>
  <c r="DF89" i="19"/>
  <c r="BJ89" i="19"/>
  <c r="DR89" i="19"/>
  <c r="BV89" i="19"/>
  <c r="CH89" i="19"/>
  <c r="AO89" i="19"/>
  <c r="CT89" i="19"/>
  <c r="EC89" i="19"/>
  <c r="AX89" i="19"/>
  <c r="DF93" i="19"/>
  <c r="BJ93" i="19"/>
  <c r="DR93" i="19"/>
  <c r="BV93" i="19"/>
  <c r="EC93" i="19"/>
  <c r="AO93" i="19"/>
  <c r="CH93" i="19"/>
  <c r="AX93" i="19"/>
  <c r="CT93" i="19"/>
  <c r="DF97" i="19"/>
  <c r="BJ97" i="19"/>
  <c r="DR97" i="19"/>
  <c r="BV97" i="19"/>
  <c r="CH97" i="19"/>
  <c r="EC97" i="19"/>
  <c r="AX97" i="19"/>
  <c r="CT97" i="19"/>
  <c r="AO97" i="19"/>
  <c r="DF101" i="19"/>
  <c r="BJ101" i="19"/>
  <c r="DR101" i="19"/>
  <c r="BV101" i="19"/>
  <c r="EC101" i="19"/>
  <c r="AO101" i="19"/>
  <c r="CT101" i="19"/>
  <c r="AX101" i="19"/>
  <c r="CH101" i="19"/>
  <c r="DF105" i="19"/>
  <c r="BJ105" i="19"/>
  <c r="DR105" i="19"/>
  <c r="BV105" i="19"/>
  <c r="CH105" i="19"/>
  <c r="AO105" i="19"/>
  <c r="CT105" i="19"/>
  <c r="EC105" i="19"/>
  <c r="AX105" i="19"/>
  <c r="DF109" i="19"/>
  <c r="BJ109" i="19"/>
  <c r="DR109" i="19"/>
  <c r="BV109" i="19"/>
  <c r="EC109" i="19"/>
  <c r="AO109" i="19"/>
  <c r="CH109" i="19"/>
  <c r="AX109" i="19"/>
  <c r="CT109" i="19"/>
  <c r="DF113" i="19"/>
  <c r="BJ113" i="19"/>
  <c r="DR113" i="19"/>
  <c r="BV113" i="19"/>
  <c r="CH113" i="19"/>
  <c r="EC113" i="19"/>
  <c r="AX113" i="19"/>
  <c r="CT113" i="19"/>
  <c r="AO113" i="19"/>
  <c r="DF117" i="19"/>
  <c r="BJ117" i="19"/>
  <c r="DR117" i="19"/>
  <c r="BV117" i="19"/>
  <c r="EC117" i="19"/>
  <c r="AO117" i="19"/>
  <c r="CT117" i="19"/>
  <c r="AX117" i="19"/>
  <c r="CH117" i="19"/>
  <c r="DR58" i="19"/>
  <c r="BV58" i="19"/>
  <c r="EC58" i="19"/>
  <c r="CH58" i="19"/>
  <c r="AO58" i="19"/>
  <c r="CT58" i="19"/>
  <c r="BJ58" i="19"/>
  <c r="DF58" i="19"/>
  <c r="AX58" i="19"/>
  <c r="DR62" i="19"/>
  <c r="BV62" i="19"/>
  <c r="EC62" i="19"/>
  <c r="CH62" i="19"/>
  <c r="AO62" i="19"/>
  <c r="AX62" i="19"/>
  <c r="DF62" i="19"/>
  <c r="BJ62" i="19"/>
  <c r="CT62" i="19"/>
  <c r="DR66" i="19"/>
  <c r="BV66" i="19"/>
  <c r="EC66" i="19"/>
  <c r="CH66" i="19"/>
  <c r="AO66" i="19"/>
  <c r="CT66" i="19"/>
  <c r="AX66" i="19"/>
  <c r="DF66" i="19"/>
  <c r="BJ66" i="19"/>
  <c r="DR70" i="19"/>
  <c r="BV70" i="19"/>
  <c r="EC70" i="19"/>
  <c r="CH70" i="19"/>
  <c r="AO70" i="19"/>
  <c r="AX70" i="19"/>
  <c r="CT70" i="19"/>
  <c r="BJ70" i="19"/>
  <c r="DF70" i="19"/>
  <c r="DR74" i="19"/>
  <c r="BV74" i="19"/>
  <c r="EC74" i="19"/>
  <c r="CH74" i="19"/>
  <c r="AO74" i="19"/>
  <c r="CT74" i="19"/>
  <c r="BJ74" i="19"/>
  <c r="DF74" i="19"/>
  <c r="AX74" i="19"/>
  <c r="DR78" i="19"/>
  <c r="BV78" i="19"/>
  <c r="EC78" i="19"/>
  <c r="CH78" i="19"/>
  <c r="AO78" i="19"/>
  <c r="AX78" i="19"/>
  <c r="DF78" i="19"/>
  <c r="BJ78" i="19"/>
  <c r="CT78" i="19"/>
  <c r="DR82" i="19"/>
  <c r="BV82" i="19"/>
  <c r="EC82" i="19"/>
  <c r="CH82" i="19"/>
  <c r="AO82" i="19"/>
  <c r="CT82" i="19"/>
  <c r="AX82" i="19"/>
  <c r="DF82" i="19"/>
  <c r="BJ82" i="19"/>
  <c r="DR86" i="19"/>
  <c r="BV86" i="19"/>
  <c r="EC86" i="19"/>
  <c r="CH86" i="19"/>
  <c r="AO86" i="19"/>
  <c r="AX86" i="19"/>
  <c r="CT86" i="19"/>
  <c r="BJ86" i="19"/>
  <c r="DF86" i="19"/>
  <c r="TE120" i="25"/>
  <c r="BI120" i="25"/>
  <c r="TB120" i="25"/>
  <c r="BK120" i="25"/>
  <c r="UB120" i="25"/>
  <c r="CT92" i="19"/>
  <c r="AX92" i="19"/>
  <c r="DF92" i="19"/>
  <c r="BJ92" i="19"/>
  <c r="DR92" i="19"/>
  <c r="CH92" i="19"/>
  <c r="EC92" i="19"/>
  <c r="AO92" i="19"/>
  <c r="BV92" i="19"/>
  <c r="CT96" i="19"/>
  <c r="AX96" i="19"/>
  <c r="DF96" i="19"/>
  <c r="BJ96" i="19"/>
  <c r="BV96" i="19"/>
  <c r="EC96" i="19"/>
  <c r="CH96" i="19"/>
  <c r="DR96" i="19"/>
  <c r="AO96" i="19"/>
  <c r="CT100" i="19"/>
  <c r="AX100" i="19"/>
  <c r="DF100" i="19"/>
  <c r="BJ100" i="19"/>
  <c r="DR100" i="19"/>
  <c r="BV100" i="19"/>
  <c r="EC100" i="19"/>
  <c r="AO100" i="19"/>
  <c r="CH100" i="19"/>
  <c r="CT104" i="19"/>
  <c r="AX104" i="19"/>
  <c r="DF104" i="19"/>
  <c r="BJ104" i="19"/>
  <c r="BV104" i="19"/>
  <c r="DR104" i="19"/>
  <c r="AO104" i="19"/>
  <c r="CH104" i="19"/>
  <c r="EC104" i="19"/>
  <c r="CT108" i="19"/>
  <c r="AX108" i="19"/>
  <c r="DF108" i="19"/>
  <c r="BJ108" i="19"/>
  <c r="DR108" i="19"/>
  <c r="CH108" i="19"/>
  <c r="EC108" i="19"/>
  <c r="AO108" i="19"/>
  <c r="BV108" i="19"/>
  <c r="CT112" i="19"/>
  <c r="AX112" i="19"/>
  <c r="DF112" i="19"/>
  <c r="BJ112" i="19"/>
  <c r="BV112" i="19"/>
  <c r="EC112" i="19"/>
  <c r="CH112" i="19"/>
  <c r="DR112" i="19"/>
  <c r="AO112" i="19"/>
  <c r="CT116" i="19"/>
  <c r="AX116" i="19"/>
  <c r="DF116" i="19"/>
  <c r="BJ116" i="19"/>
  <c r="DR116" i="19"/>
  <c r="BV116" i="19"/>
  <c r="EC116" i="19"/>
  <c r="AO116" i="19"/>
  <c r="CH116" i="19"/>
  <c r="CT120" i="19"/>
  <c r="AX120" i="19"/>
  <c r="DF120" i="19"/>
  <c r="BJ120" i="19"/>
  <c r="BV120" i="19"/>
  <c r="DR120" i="19"/>
  <c r="AO120" i="19"/>
  <c r="CH120" i="19"/>
  <c r="EC120" i="19"/>
  <c r="BJ15" i="19"/>
  <c r="DR15" i="19"/>
  <c r="BV15" i="19"/>
  <c r="CH15" i="19"/>
  <c r="AO15" i="19"/>
  <c r="CT15" i="19"/>
  <c r="EC15" i="19"/>
  <c r="UB15" i="25" s="1"/>
  <c r="AX15" i="19"/>
  <c r="DF57" i="19"/>
  <c r="BJ57" i="19"/>
  <c r="DR57" i="19"/>
  <c r="BV57" i="19"/>
  <c r="CH57" i="19"/>
  <c r="AO57" i="19"/>
  <c r="CT57" i="19"/>
  <c r="EC57" i="19"/>
  <c r="AX57" i="19"/>
  <c r="DF61" i="19"/>
  <c r="BJ61" i="19"/>
  <c r="DR61" i="19"/>
  <c r="BV61" i="19"/>
  <c r="EC61" i="19"/>
  <c r="AO61" i="19"/>
  <c r="CH61" i="19"/>
  <c r="AX61" i="19"/>
  <c r="CT61" i="19"/>
  <c r="DF65" i="19"/>
  <c r="BJ65" i="19"/>
  <c r="DR65" i="19"/>
  <c r="BV65" i="19"/>
  <c r="CH65" i="19"/>
  <c r="EC65" i="19"/>
  <c r="AX65" i="19"/>
  <c r="CT65" i="19"/>
  <c r="AO65" i="19"/>
  <c r="DF69" i="19"/>
  <c r="BJ69" i="19"/>
  <c r="DR69" i="19"/>
  <c r="BV69" i="19"/>
  <c r="EC69" i="19"/>
  <c r="AO69" i="19"/>
  <c r="CT69" i="19"/>
  <c r="AX69" i="19"/>
  <c r="CH69" i="19"/>
  <c r="DF73" i="19"/>
  <c r="BJ73" i="19"/>
  <c r="DR73" i="19"/>
  <c r="BV73" i="19"/>
  <c r="CH73" i="19"/>
  <c r="AO73" i="19"/>
  <c r="CT73" i="19"/>
  <c r="EC73" i="19"/>
  <c r="AX73" i="19"/>
  <c r="DF77" i="19"/>
  <c r="BJ77" i="19"/>
  <c r="DR77" i="19"/>
  <c r="BV77" i="19"/>
  <c r="EC77" i="19"/>
  <c r="AO77" i="19"/>
  <c r="CH77" i="19"/>
  <c r="AX77" i="19"/>
  <c r="CT77" i="19"/>
  <c r="DF81" i="19"/>
  <c r="BJ81" i="19"/>
  <c r="DR81" i="19"/>
  <c r="BV81" i="19"/>
  <c r="CH81" i="19"/>
  <c r="EC81" i="19"/>
  <c r="AX81" i="19"/>
  <c r="CT81" i="19"/>
  <c r="AO81" i="19"/>
  <c r="DF85" i="19"/>
  <c r="BJ85" i="19"/>
  <c r="DR85" i="19"/>
  <c r="BV85" i="19"/>
  <c r="EC85" i="19"/>
  <c r="AO85" i="19"/>
  <c r="CT85" i="19"/>
  <c r="AX85" i="19"/>
  <c r="CH85" i="19"/>
  <c r="UB119" i="25"/>
  <c r="TE119" i="25"/>
  <c r="BI119" i="25"/>
  <c r="TB119" i="25"/>
  <c r="BK119" i="25"/>
  <c r="EC91" i="19"/>
  <c r="CH91" i="19"/>
  <c r="AO91" i="19"/>
  <c r="CT91" i="19"/>
  <c r="AX91" i="19"/>
  <c r="DF91" i="19"/>
  <c r="BJ91" i="19"/>
  <c r="DR91" i="19"/>
  <c r="BV91" i="19"/>
  <c r="EC95" i="19"/>
  <c r="CH95" i="19"/>
  <c r="AO95" i="19"/>
  <c r="CT95" i="19"/>
  <c r="AX95" i="19"/>
  <c r="BJ95" i="19"/>
  <c r="DF95" i="19"/>
  <c r="BV95" i="19"/>
  <c r="DR95" i="19"/>
  <c r="EC99" i="19"/>
  <c r="CH99" i="19"/>
  <c r="AO99" i="19"/>
  <c r="CT99" i="19"/>
  <c r="AX99" i="19"/>
  <c r="DF99" i="19"/>
  <c r="BV99" i="19"/>
  <c r="DR99" i="19"/>
  <c r="BJ99" i="19"/>
  <c r="EC103" i="19"/>
  <c r="CH103" i="19"/>
  <c r="AO103" i="19"/>
  <c r="CT103" i="19"/>
  <c r="AX103" i="19"/>
  <c r="BJ103" i="19"/>
  <c r="DR103" i="19"/>
  <c r="BV103" i="19"/>
  <c r="DF103" i="19"/>
  <c r="EC107" i="19"/>
  <c r="CH107" i="19"/>
  <c r="AO107" i="19"/>
  <c r="CT107" i="19"/>
  <c r="AX107" i="19"/>
  <c r="DF107" i="19"/>
  <c r="BJ107" i="19"/>
  <c r="DR107" i="19"/>
  <c r="BV107" i="19"/>
  <c r="EC111" i="19"/>
  <c r="CH111" i="19"/>
  <c r="AO111" i="19"/>
  <c r="CT111" i="19"/>
  <c r="AX111" i="19"/>
  <c r="BJ111" i="19"/>
  <c r="DF111" i="19"/>
  <c r="BV111" i="19"/>
  <c r="DR111" i="19"/>
  <c r="EC115" i="19"/>
  <c r="CH115" i="19"/>
  <c r="AO115" i="19"/>
  <c r="CT115" i="19"/>
  <c r="AX115" i="19"/>
  <c r="DF115" i="19"/>
  <c r="BV115" i="19"/>
  <c r="DR115" i="19"/>
  <c r="BJ115" i="19"/>
  <c r="EC119" i="19"/>
  <c r="CH119" i="19"/>
  <c r="AO119" i="19"/>
  <c r="CT119" i="19"/>
  <c r="AX119" i="19"/>
  <c r="BJ119" i="19"/>
  <c r="DR119" i="19"/>
  <c r="BV119" i="19"/>
  <c r="DF119" i="19"/>
  <c r="CT56" i="19"/>
  <c r="AX56" i="19"/>
  <c r="DF56" i="19"/>
  <c r="BJ56" i="19"/>
  <c r="BV56" i="19"/>
  <c r="DR56" i="19"/>
  <c r="AO56" i="19"/>
  <c r="CH56" i="19"/>
  <c r="EC56" i="19"/>
  <c r="CT60" i="19"/>
  <c r="AX60" i="19"/>
  <c r="DF60" i="19"/>
  <c r="BJ60" i="19"/>
  <c r="DR60" i="19"/>
  <c r="CH60" i="19"/>
  <c r="EC60" i="19"/>
  <c r="AO60" i="19"/>
  <c r="BV60" i="19"/>
  <c r="CT64" i="19"/>
  <c r="AX64" i="19"/>
  <c r="DF64" i="19"/>
  <c r="BJ64" i="19"/>
  <c r="BV64" i="19"/>
  <c r="EC64" i="19"/>
  <c r="CH64" i="19"/>
  <c r="DR64" i="19"/>
  <c r="AO64" i="19"/>
  <c r="CT68" i="19"/>
  <c r="AX68" i="19"/>
  <c r="DF68" i="19"/>
  <c r="BJ68" i="19"/>
  <c r="DR68" i="19"/>
  <c r="BV68" i="19"/>
  <c r="EC68" i="19"/>
  <c r="AO68" i="19"/>
  <c r="CH68" i="19"/>
  <c r="CT72" i="19"/>
  <c r="AX72" i="19"/>
  <c r="DF72" i="19"/>
  <c r="BJ72" i="19"/>
  <c r="BV72" i="19"/>
  <c r="DR72" i="19"/>
  <c r="AO72" i="19"/>
  <c r="CH72" i="19"/>
  <c r="EC72" i="19"/>
  <c r="CT76" i="19"/>
  <c r="AX76" i="19"/>
  <c r="DF76" i="19"/>
  <c r="BJ76" i="19"/>
  <c r="DR76" i="19"/>
  <c r="CH76" i="19"/>
  <c r="EC76" i="19"/>
  <c r="AO76" i="19"/>
  <c r="BV76" i="19"/>
  <c r="CT80" i="19"/>
  <c r="AX80" i="19"/>
  <c r="DF80" i="19"/>
  <c r="BJ80" i="19"/>
  <c r="BV80" i="19"/>
  <c r="EC80" i="19"/>
  <c r="CH80" i="19"/>
  <c r="DR80" i="19"/>
  <c r="AO80" i="19"/>
  <c r="CT84" i="19"/>
  <c r="AX84" i="19"/>
  <c r="DF84" i="19"/>
  <c r="BJ84" i="19"/>
  <c r="DR84" i="19"/>
  <c r="BV84" i="19"/>
  <c r="EC84" i="19"/>
  <c r="AO84" i="19"/>
  <c r="CH84" i="19"/>
  <c r="CT88" i="19"/>
  <c r="AX88" i="19"/>
  <c r="DF88" i="19"/>
  <c r="BJ88" i="19"/>
  <c r="BV88" i="19"/>
  <c r="DR88" i="19"/>
  <c r="AO88" i="19"/>
  <c r="CH88" i="19"/>
  <c r="EC88" i="19"/>
  <c r="DR90" i="19"/>
  <c r="BV90" i="19"/>
  <c r="EC90" i="19"/>
  <c r="CH90" i="19"/>
  <c r="AO90" i="19"/>
  <c r="CT90" i="19"/>
  <c r="BJ90" i="19"/>
  <c r="DF90" i="19"/>
  <c r="AX90" i="19"/>
  <c r="DR94" i="19"/>
  <c r="BV94" i="19"/>
  <c r="EC94" i="19"/>
  <c r="CH94" i="19"/>
  <c r="AO94" i="19"/>
  <c r="AX94" i="19"/>
  <c r="DF94" i="19"/>
  <c r="BJ94" i="19"/>
  <c r="CT94" i="19"/>
  <c r="DR98" i="19"/>
  <c r="BV98" i="19"/>
  <c r="EC98" i="19"/>
  <c r="CH98" i="19"/>
  <c r="AO98" i="19"/>
  <c r="CT98" i="19"/>
  <c r="AX98" i="19"/>
  <c r="DF98" i="19"/>
  <c r="BJ98" i="19"/>
  <c r="DR102" i="19"/>
  <c r="BV102" i="19"/>
  <c r="EC102" i="19"/>
  <c r="CH102" i="19"/>
  <c r="AO102" i="19"/>
  <c r="AX102" i="19"/>
  <c r="CT102" i="19"/>
  <c r="BJ102" i="19"/>
  <c r="DF102" i="19"/>
  <c r="DR106" i="19"/>
  <c r="BV106" i="19"/>
  <c r="EC106" i="19"/>
  <c r="CH106" i="19"/>
  <c r="AO106" i="19"/>
  <c r="CT106" i="19"/>
  <c r="BJ106" i="19"/>
  <c r="DF106" i="19"/>
  <c r="AX106" i="19"/>
  <c r="DR110" i="19"/>
  <c r="BV110" i="19"/>
  <c r="EC110" i="19"/>
  <c r="CH110" i="19"/>
  <c r="AO110" i="19"/>
  <c r="AX110" i="19"/>
  <c r="DF110" i="19"/>
  <c r="BJ110" i="19"/>
  <c r="CT110" i="19"/>
  <c r="DR114" i="19"/>
  <c r="BV114" i="19"/>
  <c r="EC114" i="19"/>
  <c r="CH114" i="19"/>
  <c r="AO114" i="19"/>
  <c r="CT114" i="19"/>
  <c r="AX114" i="19"/>
  <c r="DF114" i="19"/>
  <c r="BJ114" i="19"/>
  <c r="DR118" i="19"/>
  <c r="BV118" i="19"/>
  <c r="EC118" i="19"/>
  <c r="CH118" i="19"/>
  <c r="AO118" i="19"/>
  <c r="AX118" i="19"/>
  <c r="CT118" i="19"/>
  <c r="BJ118" i="19"/>
  <c r="DF118" i="19"/>
  <c r="QB119" i="25"/>
  <c r="MB119" i="25"/>
  <c r="IB119" i="25"/>
  <c r="EB119" i="25"/>
  <c r="PB119" i="25"/>
  <c r="SB119" i="25"/>
  <c r="OB119" i="25"/>
  <c r="RB119" i="25"/>
  <c r="JB119" i="25"/>
  <c r="FB119" i="25"/>
  <c r="KB119" i="25"/>
  <c r="LB119" i="25"/>
  <c r="GB119" i="25"/>
  <c r="NB119" i="25"/>
  <c r="HB119" i="25"/>
  <c r="DE119" i="25"/>
  <c r="QB120" i="25"/>
  <c r="MB120" i="25"/>
  <c r="IB120" i="25"/>
  <c r="EB120" i="25"/>
  <c r="SB120" i="25"/>
  <c r="OB120" i="25"/>
  <c r="KB120" i="25"/>
  <c r="GB120" i="25"/>
  <c r="JB120" i="25"/>
  <c r="FB120" i="25"/>
  <c r="HB120" i="25"/>
  <c r="DE120" i="25"/>
  <c r="AL6" i="19"/>
  <c r="AC13" i="19" s="1"/>
  <c r="GH119" i="25"/>
  <c r="TF119" i="25"/>
  <c r="ED119" i="25"/>
  <c r="Q103" i="19"/>
  <c r="Q107" i="19"/>
  <c r="Q111" i="19"/>
  <c r="Q115" i="19"/>
  <c r="Q119" i="19"/>
  <c r="Q102" i="19"/>
  <c r="Q106" i="19"/>
  <c r="Q110" i="19"/>
  <c r="Q114" i="19"/>
  <c r="Q118" i="19"/>
  <c r="Q101" i="19"/>
  <c r="Q105" i="19"/>
  <c r="Q109" i="19"/>
  <c r="Q113" i="19"/>
  <c r="Q117" i="19"/>
  <c r="GH120" i="25"/>
  <c r="TF120" i="25"/>
  <c r="ED120" i="25"/>
  <c r="Q100" i="19"/>
  <c r="Q104" i="19"/>
  <c r="Q108" i="19"/>
  <c r="Q112" i="19"/>
  <c r="Q116" i="19"/>
  <c r="Q120" i="19"/>
  <c r="BJ119" i="25"/>
  <c r="UT119" i="25"/>
  <c r="US119" i="25"/>
  <c r="UR119" i="25"/>
  <c r="UQ119" i="25"/>
  <c r="UM119" i="25"/>
  <c r="UE119" i="25"/>
  <c r="UP119" i="25"/>
  <c r="UH119" i="25"/>
  <c r="UD119" i="25"/>
  <c r="UK119" i="25"/>
  <c r="UO119" i="25"/>
  <c r="UI119" i="25"/>
  <c r="UG119" i="25"/>
  <c r="UJ119" i="25"/>
  <c r="UN119" i="25"/>
  <c r="UF119" i="25"/>
  <c r="UC119" i="25"/>
  <c r="UA119" i="25"/>
  <c r="US120" i="25"/>
  <c r="UR120" i="25"/>
  <c r="UQ120" i="25"/>
  <c r="BJ120" i="25"/>
  <c r="UT120" i="25"/>
  <c r="UJ120" i="25"/>
  <c r="UN120" i="25"/>
  <c r="UE120" i="25"/>
  <c r="UD120" i="25"/>
  <c r="UM120" i="25"/>
  <c r="UI120" i="25"/>
  <c r="UH120" i="25"/>
  <c r="UP120" i="25"/>
  <c r="UG120" i="25"/>
  <c r="UK120" i="25"/>
  <c r="UO120" i="25"/>
  <c r="UF120" i="25"/>
  <c r="UC120" i="25"/>
  <c r="UA120" i="25"/>
  <c r="TQ111" i="25"/>
  <c r="TT119" i="25"/>
  <c r="TN119" i="25"/>
  <c r="TS119" i="25"/>
  <c r="TM119" i="25"/>
  <c r="TQ119" i="25"/>
  <c r="TP119" i="25"/>
  <c r="TR119" i="25"/>
  <c r="TO119" i="25"/>
  <c r="TT120" i="25"/>
  <c r="TS120" i="25"/>
  <c r="TP120" i="25"/>
  <c r="TR120" i="25"/>
  <c r="TO120" i="25"/>
  <c r="TN120" i="25"/>
  <c r="TM120" i="25"/>
  <c r="TQ120" i="25"/>
  <c r="TI111" i="25"/>
  <c r="TD111" i="25"/>
  <c r="TC111" i="25"/>
  <c r="TK119" i="25"/>
  <c r="TJ119" i="25"/>
  <c r="TI119" i="25"/>
  <c r="TH119" i="25"/>
  <c r="TD119" i="25"/>
  <c r="TA119" i="25"/>
  <c r="TG119" i="25"/>
  <c r="TC119" i="25"/>
  <c r="TI99" i="25"/>
  <c r="TD99" i="25"/>
  <c r="TK120" i="25"/>
  <c r="TJ120" i="25"/>
  <c r="TI120" i="25"/>
  <c r="TD120" i="25"/>
  <c r="TA120" i="25"/>
  <c r="TH120" i="25"/>
  <c r="TG120" i="25"/>
  <c r="TC120" i="25"/>
  <c r="AF60" i="19"/>
  <c r="AF64" i="19"/>
  <c r="AF68" i="19"/>
  <c r="AF72" i="19"/>
  <c r="AF76" i="19"/>
  <c r="AF80" i="19"/>
  <c r="AF84" i="19"/>
  <c r="AF88" i="19"/>
  <c r="AQ111" i="25"/>
  <c r="AB111" i="19" s="1"/>
  <c r="AA111" i="19"/>
  <c r="AQ119" i="25"/>
  <c r="AB119" i="19" s="1"/>
  <c r="AA119" i="19"/>
  <c r="AF91" i="19"/>
  <c r="AF95" i="19"/>
  <c r="AF99" i="19"/>
  <c r="AF103" i="19"/>
  <c r="AF107" i="19"/>
  <c r="AF111" i="19"/>
  <c r="AF115" i="19"/>
  <c r="AF119" i="19"/>
  <c r="AF59" i="19"/>
  <c r="AF63" i="19"/>
  <c r="AF67" i="19"/>
  <c r="AF71" i="19"/>
  <c r="AF75" i="19"/>
  <c r="AF79" i="19"/>
  <c r="AF83" i="19"/>
  <c r="AF87" i="19"/>
  <c r="AF90" i="19"/>
  <c r="AF94" i="19"/>
  <c r="AF98" i="19"/>
  <c r="AF102" i="19"/>
  <c r="AF106" i="19"/>
  <c r="AF110" i="19"/>
  <c r="AF114" i="19"/>
  <c r="AF118" i="19"/>
  <c r="AF58" i="19"/>
  <c r="AF62" i="19"/>
  <c r="AF66" i="19"/>
  <c r="AF70" i="19"/>
  <c r="AF74" i="19"/>
  <c r="AF78" i="19"/>
  <c r="AF82" i="19"/>
  <c r="AF86" i="19"/>
  <c r="AF89" i="19"/>
  <c r="AF93" i="19"/>
  <c r="AF97" i="19"/>
  <c r="AF101" i="19"/>
  <c r="AF105" i="19"/>
  <c r="AF109" i="19"/>
  <c r="AF113" i="19"/>
  <c r="AF117" i="19"/>
  <c r="AF57" i="19"/>
  <c r="AF61" i="19"/>
  <c r="AF65" i="19"/>
  <c r="AF69" i="19"/>
  <c r="AF73" i="19"/>
  <c r="AF77" i="19"/>
  <c r="AF81" i="19"/>
  <c r="AF85" i="19"/>
  <c r="AQ120" i="25"/>
  <c r="AB120" i="19" s="1"/>
  <c r="AA120" i="19"/>
  <c r="AF92" i="19"/>
  <c r="AF96" i="19"/>
  <c r="AF100" i="19"/>
  <c r="AF104" i="19"/>
  <c r="AF108" i="19"/>
  <c r="AF112" i="19"/>
  <c r="AF116" i="19"/>
  <c r="AF120" i="19"/>
  <c r="V111" i="19"/>
  <c r="CA111" i="25"/>
  <c r="BZ111" i="25"/>
  <c r="BY111" i="25"/>
  <c r="V119" i="19"/>
  <c r="CA119" i="25"/>
  <c r="Q119" i="25"/>
  <c r="AL119" i="25"/>
  <c r="W119" i="19" s="1"/>
  <c r="BZ119" i="25"/>
  <c r="BY119" i="25"/>
  <c r="V120" i="19"/>
  <c r="Q120" i="25"/>
  <c r="AL120" i="25"/>
  <c r="W120" i="19" s="1"/>
  <c r="CA120" i="25"/>
  <c r="BZ120" i="25"/>
  <c r="BY120" i="25"/>
  <c r="J56" i="25"/>
  <c r="B56" i="19"/>
  <c r="J60" i="25"/>
  <c r="B60" i="19"/>
  <c r="J64" i="25"/>
  <c r="B64" i="19"/>
  <c r="J68" i="25"/>
  <c r="B68" i="19"/>
  <c r="J72" i="25"/>
  <c r="J76" i="25"/>
  <c r="J80" i="25"/>
  <c r="J84" i="25"/>
  <c r="I84" i="25"/>
  <c r="J88" i="25"/>
  <c r="J91" i="25"/>
  <c r="J95" i="25"/>
  <c r="J99" i="25"/>
  <c r="J103" i="25"/>
  <c r="J107" i="25"/>
  <c r="J111" i="25"/>
  <c r="J115" i="25"/>
  <c r="J59" i="25"/>
  <c r="B59" i="19"/>
  <c r="J63" i="25"/>
  <c r="B63" i="19"/>
  <c r="J67" i="25"/>
  <c r="B67" i="19"/>
  <c r="J71" i="25"/>
  <c r="B71" i="19"/>
  <c r="J75" i="25"/>
  <c r="J79" i="25"/>
  <c r="J83" i="25"/>
  <c r="I83" i="25"/>
  <c r="J87" i="25"/>
  <c r="J90" i="25"/>
  <c r="J94" i="25"/>
  <c r="J98" i="25"/>
  <c r="J102" i="25"/>
  <c r="J106" i="25"/>
  <c r="J110" i="25"/>
  <c r="J114" i="25"/>
  <c r="J58" i="25"/>
  <c r="B58" i="19"/>
  <c r="J62" i="25"/>
  <c r="B62" i="19"/>
  <c r="J66" i="25"/>
  <c r="B66" i="19"/>
  <c r="J70" i="25"/>
  <c r="B70" i="19"/>
  <c r="J74" i="25"/>
  <c r="J78" i="25"/>
  <c r="J82" i="25"/>
  <c r="J86" i="25"/>
  <c r="J89" i="25"/>
  <c r="I89" i="25"/>
  <c r="J93" i="25"/>
  <c r="I93" i="25"/>
  <c r="J97" i="25"/>
  <c r="J101" i="25"/>
  <c r="J105" i="25"/>
  <c r="J109" i="25"/>
  <c r="J113" i="25"/>
  <c r="J117" i="25"/>
  <c r="J57" i="25"/>
  <c r="B57" i="19"/>
  <c r="J61" i="25"/>
  <c r="B61" i="19"/>
  <c r="J65" i="25"/>
  <c r="B65" i="19"/>
  <c r="J69" i="25"/>
  <c r="B69" i="19"/>
  <c r="J73" i="25"/>
  <c r="J77" i="25"/>
  <c r="J81" i="25"/>
  <c r="J85" i="25"/>
  <c r="I85" i="25"/>
  <c r="J92" i="25"/>
  <c r="J96" i="25"/>
  <c r="J100" i="25"/>
  <c r="J104" i="25"/>
  <c r="J108" i="25"/>
  <c r="J112" i="25"/>
  <c r="J116" i="25"/>
  <c r="P107" i="19"/>
  <c r="P111" i="19"/>
  <c r="P115" i="19"/>
  <c r="P119" i="19"/>
  <c r="P106" i="19"/>
  <c r="P110" i="19"/>
  <c r="P114" i="19"/>
  <c r="P118" i="19"/>
  <c r="P105" i="19"/>
  <c r="P109" i="19"/>
  <c r="P113" i="19"/>
  <c r="P117" i="19"/>
  <c r="P104" i="19"/>
  <c r="P108" i="19"/>
  <c r="P112" i="19"/>
  <c r="P116" i="19"/>
  <c r="P120" i="19"/>
  <c r="SP111" i="25"/>
  <c r="RP111" i="25"/>
  <c r="NP111" i="25"/>
  <c r="MP111" i="25"/>
  <c r="JP111" i="25"/>
  <c r="IP111" i="25"/>
  <c r="FP111" i="25"/>
  <c r="DS111" i="25"/>
  <c r="BF119" i="25"/>
  <c r="PP119" i="25"/>
  <c r="SP119" i="25"/>
  <c r="RP119" i="25"/>
  <c r="QP119" i="25"/>
  <c r="OP119" i="25"/>
  <c r="NP119" i="25"/>
  <c r="MP119" i="25"/>
  <c r="LP119" i="25"/>
  <c r="KP119" i="25"/>
  <c r="JP119" i="25"/>
  <c r="IP119" i="25"/>
  <c r="HP119" i="25"/>
  <c r="GP119" i="25"/>
  <c r="FP119" i="25"/>
  <c r="DS119" i="25"/>
  <c r="ET119" i="25"/>
  <c r="BF120" i="25"/>
  <c r="SP120" i="25"/>
  <c r="RP120" i="25"/>
  <c r="QP120" i="25"/>
  <c r="OP120" i="25"/>
  <c r="NP120" i="25"/>
  <c r="MP120" i="25"/>
  <c r="LP120" i="25"/>
  <c r="KP120" i="25"/>
  <c r="JP120" i="25"/>
  <c r="IP120" i="25"/>
  <c r="HP120" i="25"/>
  <c r="GP120" i="25"/>
  <c r="FP120" i="25"/>
  <c r="ET120" i="25"/>
  <c r="DS120" i="25"/>
  <c r="PP120" i="25"/>
  <c r="BF107" i="25"/>
  <c r="PP107" i="25"/>
  <c r="OP107" i="25"/>
  <c r="KP107" i="25"/>
  <c r="GP107" i="25"/>
  <c r="RP115" i="25"/>
  <c r="RA95" i="25"/>
  <c r="BN107" i="25"/>
  <c r="RA107" i="25"/>
  <c r="BL107" i="25"/>
  <c r="QA107" i="25"/>
  <c r="BQ111" i="25"/>
  <c r="BU111" i="25"/>
  <c r="BP111" i="25"/>
  <c r="AE111" i="19" s="1"/>
  <c r="BT111" i="25"/>
  <c r="BS111" i="25"/>
  <c r="BW111" i="25"/>
  <c r="BR111" i="25"/>
  <c r="PA111" i="25"/>
  <c r="BN119" i="25"/>
  <c r="BM119" i="25"/>
  <c r="BQ119" i="25"/>
  <c r="BU119" i="25"/>
  <c r="RA119" i="25"/>
  <c r="BL119" i="25"/>
  <c r="BP119" i="25"/>
  <c r="AE119" i="19" s="1"/>
  <c r="BT119" i="25"/>
  <c r="BX119" i="25"/>
  <c r="BS119" i="25"/>
  <c r="BW119" i="25"/>
  <c r="SA119" i="25"/>
  <c r="BV119" i="25"/>
  <c r="BR119" i="25"/>
  <c r="PA119" i="25"/>
  <c r="QA119" i="25"/>
  <c r="BM120" i="25"/>
  <c r="BL120" i="25"/>
  <c r="BS120" i="25"/>
  <c r="BW120" i="25"/>
  <c r="BR120" i="25"/>
  <c r="BV120" i="25"/>
  <c r="SA120" i="25"/>
  <c r="BN120" i="25"/>
  <c r="BQ120" i="25"/>
  <c r="BU120" i="25"/>
  <c r="RA120" i="25"/>
  <c r="PA120" i="25"/>
  <c r="BX120" i="25"/>
  <c r="BT120" i="25"/>
  <c r="QA120" i="25"/>
  <c r="BP120" i="25"/>
  <c r="AE120" i="19" s="1"/>
  <c r="BQ108" i="25"/>
  <c r="BV116" i="25"/>
  <c r="QA116" i="25"/>
  <c r="CY6" i="19"/>
  <c r="BO6" i="19"/>
  <c r="NN100" i="25"/>
  <c r="SI90" i="25"/>
  <c r="DR99" i="25"/>
  <c r="FM99" i="25"/>
  <c r="FP99" i="25" s="1"/>
  <c r="DQ99" i="25"/>
  <c r="FO99" i="25"/>
  <c r="FN99" i="25"/>
  <c r="DR111" i="25"/>
  <c r="DQ111" i="25"/>
  <c r="DP111" i="25"/>
  <c r="FO111" i="25"/>
  <c r="DR119" i="25"/>
  <c r="FM119" i="25"/>
  <c r="DQ119" i="25"/>
  <c r="DP119" i="25"/>
  <c r="FO119" i="25"/>
  <c r="FN119" i="25"/>
  <c r="DR120" i="25"/>
  <c r="FM120" i="25"/>
  <c r="DQ120" i="25"/>
  <c r="DP120" i="25"/>
  <c r="FO120" i="25"/>
  <c r="FN120" i="25"/>
  <c r="DR92" i="25"/>
  <c r="FM92" i="25"/>
  <c r="DQ92" i="25"/>
  <c r="DP92" i="25"/>
  <c r="FO92" i="25"/>
  <c r="FN92" i="25"/>
  <c r="FO108" i="25"/>
  <c r="FM116" i="25"/>
  <c r="FN116" i="25"/>
  <c r="FM95" i="25"/>
  <c r="DP107" i="25"/>
  <c r="LF108" i="25"/>
  <c r="LF107" i="25"/>
  <c r="LF111" i="25"/>
  <c r="LF119" i="25"/>
  <c r="LF120" i="25"/>
  <c r="RG115" i="25"/>
  <c r="LG108" i="25"/>
  <c r="SG108" i="25"/>
  <c r="CN108" i="25"/>
  <c r="NG116" i="25"/>
  <c r="RG116" i="25"/>
  <c r="HG116" i="25"/>
  <c r="CP116" i="25"/>
  <c r="PG116" i="25"/>
  <c r="CQ116" i="25"/>
  <c r="MG107" i="25"/>
  <c r="CM107" i="25"/>
  <c r="CP107" i="25"/>
  <c r="PG107" i="25"/>
  <c r="NG111" i="25"/>
  <c r="LG111" i="25"/>
  <c r="JG111" i="25"/>
  <c r="RG111" i="25"/>
  <c r="OG111" i="25"/>
  <c r="MG111" i="25"/>
  <c r="KG111" i="25"/>
  <c r="HG111" i="25"/>
  <c r="SG111" i="25"/>
  <c r="CM111" i="25"/>
  <c r="CQ111" i="25"/>
  <c r="QG111" i="25"/>
  <c r="CL111" i="25"/>
  <c r="CP111" i="25"/>
  <c r="CK111" i="25"/>
  <c r="CO111" i="25"/>
  <c r="CS111" i="25"/>
  <c r="PG111" i="25"/>
  <c r="CN111" i="25"/>
  <c r="CR111" i="25"/>
  <c r="NG119" i="25"/>
  <c r="LG119" i="25"/>
  <c r="JG119" i="25"/>
  <c r="RG119" i="25"/>
  <c r="OG119" i="25"/>
  <c r="MG119" i="25"/>
  <c r="KG119" i="25"/>
  <c r="HG119" i="25"/>
  <c r="SG119" i="25"/>
  <c r="CM119" i="25"/>
  <c r="CQ119" i="25"/>
  <c r="QG119" i="25"/>
  <c r="CL119" i="25"/>
  <c r="CP119" i="25"/>
  <c r="CK119" i="25"/>
  <c r="CO119" i="25"/>
  <c r="CS119" i="25"/>
  <c r="PG119" i="25"/>
  <c r="CN119" i="25"/>
  <c r="CR119" i="25"/>
  <c r="NG120" i="25"/>
  <c r="LG120" i="25"/>
  <c r="JG120" i="25"/>
  <c r="RG120" i="25"/>
  <c r="OG120" i="25"/>
  <c r="MG120" i="25"/>
  <c r="KG120" i="25"/>
  <c r="HG120" i="25"/>
  <c r="SG120" i="25"/>
  <c r="QG120" i="25"/>
  <c r="CL120" i="25"/>
  <c r="CP120" i="25"/>
  <c r="CK120" i="25"/>
  <c r="CO120" i="25"/>
  <c r="CS120" i="25"/>
  <c r="PG120" i="25"/>
  <c r="CN120" i="25"/>
  <c r="CR120" i="25"/>
  <c r="CM120" i="25"/>
  <c r="CQ120" i="25"/>
  <c r="IT107" i="25"/>
  <c r="IR120" i="25"/>
  <c r="IT120" i="25"/>
  <c r="IS120" i="25"/>
  <c r="IT104" i="25"/>
  <c r="IT119" i="25"/>
  <c r="IS119" i="25"/>
  <c r="IR119" i="25"/>
  <c r="IT111" i="25"/>
  <c r="IS111" i="25"/>
  <c r="IR111" i="25"/>
  <c r="CZ107" i="25"/>
  <c r="CX107" i="25"/>
  <c r="DC108" i="25"/>
  <c r="CV120" i="25"/>
  <c r="CZ120" i="25"/>
  <c r="CU120" i="25"/>
  <c r="CY120" i="25"/>
  <c r="DC120" i="25"/>
  <c r="CX120" i="25"/>
  <c r="DB120" i="25"/>
  <c r="CW120" i="25"/>
  <c r="DA120" i="25"/>
  <c r="CW119" i="25"/>
  <c r="DA119" i="25"/>
  <c r="CV119" i="25"/>
  <c r="CZ119" i="25"/>
  <c r="CU119" i="25"/>
  <c r="CY119" i="25"/>
  <c r="DC119" i="25"/>
  <c r="CX119" i="25"/>
  <c r="DB119" i="25"/>
  <c r="CZ116" i="25"/>
  <c r="CX116" i="25"/>
  <c r="CW111" i="25"/>
  <c r="DA111" i="25"/>
  <c r="CV111" i="25"/>
  <c r="CZ111" i="25"/>
  <c r="CU111" i="25"/>
  <c r="CY111" i="25"/>
  <c r="DC111" i="25"/>
  <c r="CX111" i="25"/>
  <c r="DB111" i="25"/>
  <c r="RO99" i="25"/>
  <c r="RN99" i="25"/>
  <c r="SO99" i="25"/>
  <c r="RM99" i="25"/>
  <c r="RP99" i="25" s="1"/>
  <c r="SN99" i="25"/>
  <c r="QO99" i="25"/>
  <c r="NO99" i="25"/>
  <c r="QN99" i="25"/>
  <c r="PO99" i="25"/>
  <c r="NN99" i="25"/>
  <c r="QM99" i="25"/>
  <c r="PN99" i="25"/>
  <c r="NM99" i="25"/>
  <c r="NP99" i="25" s="1"/>
  <c r="PM99" i="25"/>
  <c r="MO99" i="25"/>
  <c r="MN99" i="25"/>
  <c r="MM99" i="25"/>
  <c r="MP99" i="25" s="1"/>
  <c r="RN107" i="25"/>
  <c r="QO107" i="25"/>
  <c r="NN107" i="25"/>
  <c r="PM107" i="25"/>
  <c r="RM108" i="25"/>
  <c r="NO108" i="25"/>
  <c r="PM95" i="25"/>
  <c r="SN120" i="25"/>
  <c r="RO120" i="25"/>
  <c r="RN120" i="25"/>
  <c r="RM120" i="25"/>
  <c r="SO120" i="25"/>
  <c r="QO120" i="25"/>
  <c r="QN120" i="25"/>
  <c r="PO120" i="25"/>
  <c r="QM120" i="25"/>
  <c r="PN120" i="25"/>
  <c r="PM120" i="25"/>
  <c r="NO120" i="25"/>
  <c r="NN120" i="25"/>
  <c r="MO120" i="25"/>
  <c r="NM120" i="25"/>
  <c r="MN120" i="25"/>
  <c r="MM120" i="25"/>
  <c r="SN92" i="25"/>
  <c r="RO92" i="25"/>
  <c r="RN92" i="25"/>
  <c r="RM92" i="25"/>
  <c r="SO92" i="25"/>
  <c r="QO92" i="25"/>
  <c r="NO92" i="25"/>
  <c r="QN92" i="25"/>
  <c r="PO92" i="25"/>
  <c r="NN92" i="25"/>
  <c r="QM92" i="25"/>
  <c r="PN92" i="25"/>
  <c r="NM92" i="25"/>
  <c r="PM92" i="25"/>
  <c r="MO92" i="25"/>
  <c r="MN92" i="25"/>
  <c r="MM92" i="25"/>
  <c r="RO100" i="25"/>
  <c r="RO119" i="25"/>
  <c r="RN119" i="25"/>
  <c r="SO119" i="25"/>
  <c r="RM119" i="25"/>
  <c r="SN119" i="25"/>
  <c r="QO119" i="25"/>
  <c r="QN119" i="25"/>
  <c r="PO119" i="25"/>
  <c r="QM119" i="25"/>
  <c r="PN119" i="25"/>
  <c r="PM119" i="25"/>
  <c r="NO119" i="25"/>
  <c r="NN119" i="25"/>
  <c r="MO119" i="25"/>
  <c r="NM119" i="25"/>
  <c r="MN119" i="25"/>
  <c r="MM119" i="25"/>
  <c r="RM116" i="25"/>
  <c r="PO116" i="25"/>
  <c r="NO116" i="25"/>
  <c r="MN116" i="25"/>
  <c r="RN103" i="25"/>
  <c r="RO111" i="25"/>
  <c r="RN111" i="25"/>
  <c r="SO111" i="25"/>
  <c r="RM111" i="25"/>
  <c r="SN111" i="25"/>
  <c r="QO111" i="25"/>
  <c r="QN111" i="25"/>
  <c r="PO111" i="25"/>
  <c r="QM111" i="25"/>
  <c r="PN111" i="25"/>
  <c r="PM111" i="25"/>
  <c r="NO111" i="25"/>
  <c r="NN111" i="25"/>
  <c r="MO111" i="25"/>
  <c r="NM111" i="25"/>
  <c r="MN111" i="25"/>
  <c r="MM111" i="25"/>
  <c r="NN98" i="25"/>
  <c r="KM99" i="25"/>
  <c r="JO99" i="25"/>
  <c r="KO99" i="25"/>
  <c r="JN99" i="25"/>
  <c r="KN99" i="25"/>
  <c r="JM99" i="25"/>
  <c r="JP99" i="25" s="1"/>
  <c r="IN99" i="25"/>
  <c r="IM99" i="25"/>
  <c r="IP99" i="25" s="1"/>
  <c r="HO99" i="25"/>
  <c r="GO99" i="25"/>
  <c r="HN99" i="25"/>
  <c r="GN99" i="25"/>
  <c r="IO99" i="25"/>
  <c r="HM99" i="25"/>
  <c r="GM99" i="25"/>
  <c r="SM99" i="25"/>
  <c r="SP99" i="25" s="1"/>
  <c r="IN108" i="25"/>
  <c r="HM108" i="25"/>
  <c r="KM120" i="25"/>
  <c r="JO120" i="25"/>
  <c r="KO120" i="25"/>
  <c r="JN120" i="25"/>
  <c r="KN120" i="25"/>
  <c r="JM120" i="25"/>
  <c r="IN120" i="25"/>
  <c r="SM120" i="25"/>
  <c r="IM120" i="25"/>
  <c r="HO120" i="25"/>
  <c r="GO120" i="25"/>
  <c r="HN120" i="25"/>
  <c r="GN120" i="25"/>
  <c r="IO120" i="25"/>
  <c r="HM120" i="25"/>
  <c r="GM120" i="25"/>
  <c r="KM92" i="25"/>
  <c r="JO92" i="25"/>
  <c r="KO92" i="25"/>
  <c r="JN92" i="25"/>
  <c r="KN92" i="25"/>
  <c r="JM92" i="25"/>
  <c r="IN92" i="25"/>
  <c r="SM92" i="25"/>
  <c r="IM92" i="25"/>
  <c r="HO92" i="25"/>
  <c r="GO92" i="25"/>
  <c r="HN92" i="25"/>
  <c r="GN92" i="25"/>
  <c r="IO92" i="25"/>
  <c r="HM92" i="25"/>
  <c r="GM92" i="25"/>
  <c r="IN100" i="25"/>
  <c r="JO107" i="25"/>
  <c r="JM107" i="25"/>
  <c r="GO107" i="25"/>
  <c r="HM107" i="25"/>
  <c r="KM119" i="25"/>
  <c r="JO119" i="25"/>
  <c r="KO119" i="25"/>
  <c r="JN119" i="25"/>
  <c r="KN119" i="25"/>
  <c r="JM119" i="25"/>
  <c r="IN119" i="25"/>
  <c r="IM119" i="25"/>
  <c r="HO119" i="25"/>
  <c r="GO119" i="25"/>
  <c r="HN119" i="25"/>
  <c r="GN119" i="25"/>
  <c r="IO119" i="25"/>
  <c r="HM119" i="25"/>
  <c r="GM119" i="25"/>
  <c r="SM119" i="25"/>
  <c r="KM116" i="25"/>
  <c r="KN116" i="25"/>
  <c r="IM116" i="25"/>
  <c r="GN116" i="25"/>
  <c r="KN103" i="25"/>
  <c r="KM111" i="25"/>
  <c r="JO111" i="25"/>
  <c r="KO111" i="25"/>
  <c r="JN111" i="25"/>
  <c r="KN111" i="25"/>
  <c r="JM111" i="25"/>
  <c r="IN111" i="25"/>
  <c r="IM111" i="25"/>
  <c r="HO111" i="25"/>
  <c r="GO111" i="25"/>
  <c r="HN111" i="25"/>
  <c r="GN111" i="25"/>
  <c r="IO111" i="25"/>
  <c r="HM111" i="25"/>
  <c r="GM111" i="25"/>
  <c r="SM111" i="25"/>
  <c r="GO112" i="25"/>
  <c r="HO98" i="25"/>
  <c r="OO99" i="25"/>
  <c r="ON99" i="25"/>
  <c r="OM99" i="25"/>
  <c r="OO107" i="25"/>
  <c r="OO120" i="25"/>
  <c r="ON120" i="25"/>
  <c r="OM120" i="25"/>
  <c r="OO92" i="25"/>
  <c r="ON92" i="25"/>
  <c r="OM92" i="25"/>
  <c r="OO119" i="25"/>
  <c r="ON119" i="25"/>
  <c r="OM119" i="25"/>
  <c r="OM116" i="25"/>
  <c r="OO111" i="25"/>
  <c r="ON111" i="25"/>
  <c r="OM111" i="25"/>
  <c r="LO99" i="25"/>
  <c r="LN99" i="25"/>
  <c r="LM99" i="25"/>
  <c r="LO107" i="25"/>
  <c r="LO120" i="25"/>
  <c r="LN120" i="25"/>
  <c r="LM120" i="25"/>
  <c r="LO92" i="25"/>
  <c r="LN92" i="25"/>
  <c r="LM92" i="25"/>
  <c r="LO119" i="25"/>
  <c r="LN119" i="25"/>
  <c r="LM119" i="25"/>
  <c r="LO116" i="25"/>
  <c r="LO111" i="25"/>
  <c r="LN111" i="25"/>
  <c r="LM111" i="25"/>
  <c r="ES99" i="25"/>
  <c r="ER99" i="25"/>
  <c r="EQ99" i="25"/>
  <c r="ER107" i="25"/>
  <c r="ES120" i="25"/>
  <c r="ER120" i="25"/>
  <c r="EQ120" i="25"/>
  <c r="ES92" i="25"/>
  <c r="ER92" i="25"/>
  <c r="EQ92" i="25"/>
  <c r="ES119" i="25"/>
  <c r="ER119" i="25"/>
  <c r="EQ119" i="25"/>
  <c r="EQ116" i="25"/>
  <c r="ES111" i="25"/>
  <c r="ER111" i="25"/>
  <c r="EQ111" i="25"/>
  <c r="EA99" i="25"/>
  <c r="EA120" i="25"/>
  <c r="EX92" i="25"/>
  <c r="EA92" i="25"/>
  <c r="EA119" i="25"/>
  <c r="EA111" i="25"/>
  <c r="DL99" i="25"/>
  <c r="AA99" i="19"/>
  <c r="DD99" i="25"/>
  <c r="DD107" i="25"/>
  <c r="DL108" i="25"/>
  <c r="DD120" i="25"/>
  <c r="DK120" i="25"/>
  <c r="DL120" i="25"/>
  <c r="DD92" i="25"/>
  <c r="DL92" i="25"/>
  <c r="DL119" i="25"/>
  <c r="DK119" i="25"/>
  <c r="DD119" i="25"/>
  <c r="DD116" i="25"/>
  <c r="DL111" i="25"/>
  <c r="DK111" i="25"/>
  <c r="DD111" i="25"/>
  <c r="HI99" i="25"/>
  <c r="GI99" i="25"/>
  <c r="GT99" i="25"/>
  <c r="FG99" i="25"/>
  <c r="HA99" i="25"/>
  <c r="GD99" i="25"/>
  <c r="GA99" i="25"/>
  <c r="FT99" i="25"/>
  <c r="FA99" i="25"/>
  <c r="EX99" i="25"/>
  <c r="EL99" i="25"/>
  <c r="JH107" i="25"/>
  <c r="PH107" i="25"/>
  <c r="IH107" i="25"/>
  <c r="HT107" i="25"/>
  <c r="GR107" i="25"/>
  <c r="FQ107" i="25"/>
  <c r="EU107" i="25"/>
  <c r="HH107" i="25"/>
  <c r="HA107" i="25"/>
  <c r="GQ107" i="25"/>
  <c r="FR107" i="25"/>
  <c r="EV107" i="25"/>
  <c r="SH119" i="25"/>
  <c r="OH119" i="25"/>
  <c r="MH119" i="25"/>
  <c r="JH119" i="25"/>
  <c r="HS119" i="25"/>
  <c r="RH119" i="25"/>
  <c r="QH119" i="25"/>
  <c r="PH119" i="25"/>
  <c r="NH119" i="25"/>
  <c r="LH119" i="25"/>
  <c r="KH119" i="25"/>
  <c r="IH119" i="25"/>
  <c r="HR119" i="25"/>
  <c r="HI119" i="25"/>
  <c r="HK119" i="25"/>
  <c r="HT119" i="25"/>
  <c r="GI119" i="25"/>
  <c r="GK119" i="25"/>
  <c r="GR119" i="25"/>
  <c r="GT119" i="25"/>
  <c r="GG119" i="25"/>
  <c r="FQ119" i="25"/>
  <c r="FS119" i="25"/>
  <c r="FH119" i="25"/>
  <c r="EU119" i="25"/>
  <c r="EW119" i="25"/>
  <c r="HF119" i="25"/>
  <c r="HH119" i="25"/>
  <c r="HJ119" i="25"/>
  <c r="HQ119" i="25"/>
  <c r="HA119" i="25"/>
  <c r="GJ119" i="25"/>
  <c r="GQ119" i="25"/>
  <c r="GS119" i="25"/>
  <c r="GD119" i="25"/>
  <c r="GA119" i="25"/>
  <c r="FR119" i="25"/>
  <c r="FT119" i="25"/>
  <c r="FG119" i="25"/>
  <c r="FA119" i="25"/>
  <c r="EV119" i="25"/>
  <c r="EX119" i="25"/>
  <c r="EL119" i="25"/>
  <c r="HI92" i="25"/>
  <c r="HT92" i="25"/>
  <c r="GI92" i="25"/>
  <c r="GT92" i="25"/>
  <c r="FT92" i="25"/>
  <c r="EL92" i="25"/>
  <c r="HA92" i="25"/>
  <c r="GD92" i="25"/>
  <c r="GA92" i="25"/>
  <c r="FA92" i="25"/>
  <c r="FA98" i="25"/>
  <c r="GA100" i="25"/>
  <c r="GI104" i="25"/>
  <c r="SH111" i="25"/>
  <c r="OH111" i="25"/>
  <c r="MH111" i="25"/>
  <c r="JH111" i="25"/>
  <c r="HS111" i="25"/>
  <c r="RH111" i="25"/>
  <c r="QH111" i="25"/>
  <c r="PH111" i="25"/>
  <c r="NH111" i="25"/>
  <c r="LH111" i="25"/>
  <c r="KH111" i="25"/>
  <c r="IH111" i="25"/>
  <c r="HR111" i="25"/>
  <c r="HI111" i="25"/>
  <c r="HK111" i="25"/>
  <c r="HT111" i="25"/>
  <c r="GI111" i="25"/>
  <c r="GK111" i="25"/>
  <c r="GR111" i="25"/>
  <c r="GT111" i="25"/>
  <c r="GG111" i="25"/>
  <c r="FQ111" i="25"/>
  <c r="FS111" i="25"/>
  <c r="FH111" i="25"/>
  <c r="EU111" i="25"/>
  <c r="EW111" i="25"/>
  <c r="HF111" i="25"/>
  <c r="HH111" i="25"/>
  <c r="HJ111" i="25"/>
  <c r="HQ111" i="25"/>
  <c r="HA111" i="25"/>
  <c r="GJ111" i="25"/>
  <c r="GQ111" i="25"/>
  <c r="GS111" i="25"/>
  <c r="GD111" i="25"/>
  <c r="GA111" i="25"/>
  <c r="FR111" i="25"/>
  <c r="FT111" i="25"/>
  <c r="FG111" i="25"/>
  <c r="FA111" i="25"/>
  <c r="EV111" i="25"/>
  <c r="EX111" i="25"/>
  <c r="EL111" i="25"/>
  <c r="HT115" i="25"/>
  <c r="EX115" i="25"/>
  <c r="RH108" i="25"/>
  <c r="OH108" i="25"/>
  <c r="GI108" i="25"/>
  <c r="FH108" i="25"/>
  <c r="HJ108" i="25"/>
  <c r="FS108" i="25"/>
  <c r="HF112" i="25"/>
  <c r="RH116" i="25"/>
  <c r="PH116" i="25"/>
  <c r="LH116" i="25"/>
  <c r="IH116" i="25"/>
  <c r="OH116" i="25"/>
  <c r="JH116" i="25"/>
  <c r="HI116" i="25"/>
  <c r="HT116" i="25"/>
  <c r="GI116" i="25"/>
  <c r="GR116" i="25"/>
  <c r="GG116" i="25"/>
  <c r="FR116" i="25"/>
  <c r="FH116" i="25"/>
  <c r="EV116" i="25"/>
  <c r="EL116" i="25"/>
  <c r="HF116" i="25"/>
  <c r="HJ116" i="25"/>
  <c r="HQ116" i="25"/>
  <c r="GS116" i="25"/>
  <c r="GA116" i="25"/>
  <c r="FS116" i="25"/>
  <c r="FA116" i="25"/>
  <c r="EW116" i="25"/>
  <c r="SH120" i="25"/>
  <c r="RH120" i="25"/>
  <c r="QH120" i="25"/>
  <c r="PH120" i="25"/>
  <c r="NH120" i="25"/>
  <c r="KH120" i="25"/>
  <c r="IH120" i="25"/>
  <c r="HS120" i="25"/>
  <c r="OH120" i="25"/>
  <c r="MH120" i="25"/>
  <c r="LH120" i="25"/>
  <c r="JH120" i="25"/>
  <c r="HR120" i="25"/>
  <c r="HI120" i="25"/>
  <c r="HK120" i="25"/>
  <c r="HT120" i="25"/>
  <c r="GI120" i="25"/>
  <c r="GK120" i="25"/>
  <c r="GR120" i="25"/>
  <c r="GT120" i="25"/>
  <c r="GG120" i="25"/>
  <c r="FR120" i="25"/>
  <c r="FT120" i="25"/>
  <c r="FH120" i="25"/>
  <c r="EV120" i="25"/>
  <c r="EX120" i="25"/>
  <c r="EL120" i="25"/>
  <c r="HF120" i="25"/>
  <c r="HH120" i="25"/>
  <c r="HJ120" i="25"/>
  <c r="HQ120" i="25"/>
  <c r="HA120" i="25"/>
  <c r="GJ120" i="25"/>
  <c r="GQ120" i="25"/>
  <c r="GS120" i="25"/>
  <c r="GD120" i="25"/>
  <c r="GA120" i="25"/>
  <c r="FQ120" i="25"/>
  <c r="FS120" i="25"/>
  <c r="FG120" i="25"/>
  <c r="FA120" i="25"/>
  <c r="EU120" i="25"/>
  <c r="EW120" i="25"/>
  <c r="CC111" i="25"/>
  <c r="CB111" i="25"/>
  <c r="CB120" i="25"/>
  <c r="CC120" i="25"/>
  <c r="CC119" i="25"/>
  <c r="CB119" i="25"/>
  <c r="CB116" i="25"/>
  <c r="CC116" i="25"/>
  <c r="X119" i="19"/>
  <c r="AR119" i="25"/>
  <c r="AX119" i="25"/>
  <c r="BB119" i="25"/>
  <c r="AW119" i="25"/>
  <c r="BA119" i="25"/>
  <c r="AZ119" i="25"/>
  <c r="AO119" i="25"/>
  <c r="Z119" i="19" s="1"/>
  <c r="AU119" i="25"/>
  <c r="AY119" i="25"/>
  <c r="AO116" i="25"/>
  <c r="Z116" i="19" s="1"/>
  <c r="AU116" i="25"/>
  <c r="AY116" i="25"/>
  <c r="X116" i="19"/>
  <c r="AR116" i="25"/>
  <c r="AX116" i="25"/>
  <c r="BB116" i="25"/>
  <c r="AW116" i="25"/>
  <c r="BA116" i="25"/>
  <c r="AZ116" i="25"/>
  <c r="AR112" i="25"/>
  <c r="X107" i="19"/>
  <c r="AW107" i="25"/>
  <c r="AO107" i="25"/>
  <c r="Z107" i="19" s="1"/>
  <c r="X111" i="19"/>
  <c r="AR111" i="25"/>
  <c r="AX111" i="25"/>
  <c r="BB111" i="25"/>
  <c r="AW111" i="25"/>
  <c r="BA111" i="25"/>
  <c r="AZ111" i="25"/>
  <c r="AO111" i="25"/>
  <c r="Z111" i="19" s="1"/>
  <c r="AU111" i="25"/>
  <c r="AY111" i="25"/>
  <c r="AU108" i="25"/>
  <c r="AX108" i="25"/>
  <c r="BA108" i="25"/>
  <c r="AO120" i="25"/>
  <c r="Z120" i="19" s="1"/>
  <c r="AU120" i="25"/>
  <c r="AY120" i="25"/>
  <c r="X120" i="19"/>
  <c r="AR120" i="25"/>
  <c r="AX120" i="25"/>
  <c r="BB120" i="25"/>
  <c r="AW120" i="25"/>
  <c r="BA120" i="25"/>
  <c r="AZ120" i="25"/>
  <c r="CF119" i="25"/>
  <c r="CE119" i="25"/>
  <c r="CI119" i="25"/>
  <c r="CD119" i="25"/>
  <c r="CH119" i="25"/>
  <c r="CG119" i="25"/>
  <c r="CE116" i="25"/>
  <c r="CI116" i="25"/>
  <c r="CD116" i="25"/>
  <c r="CH116" i="25"/>
  <c r="CG116" i="25"/>
  <c r="CF116" i="25"/>
  <c r="CD107" i="25"/>
  <c r="CF111" i="25"/>
  <c r="CE111" i="25"/>
  <c r="CI111" i="25"/>
  <c r="CD111" i="25"/>
  <c r="CH111" i="25"/>
  <c r="CG111" i="25"/>
  <c r="CI108" i="25"/>
  <c r="CH108" i="25"/>
  <c r="CF108" i="25"/>
  <c r="CF104" i="25"/>
  <c r="CE120" i="25"/>
  <c r="CI120" i="25"/>
  <c r="CD120" i="25"/>
  <c r="CH120" i="25"/>
  <c r="CG120" i="25"/>
  <c r="CF120" i="25"/>
  <c r="JR115" i="25"/>
  <c r="DF115" i="25"/>
  <c r="RK115" i="25"/>
  <c r="SQ112" i="25"/>
  <c r="SE112" i="25"/>
  <c r="QE112" i="25"/>
  <c r="RQ112" i="25"/>
  <c r="RI112" i="25"/>
  <c r="SI112" i="25"/>
  <c r="RD112" i="25"/>
  <c r="PQ112" i="25"/>
  <c r="NS112" i="25"/>
  <c r="PJ112" i="25"/>
  <c r="PI112" i="25"/>
  <c r="NK112" i="25"/>
  <c r="NJ112" i="25"/>
  <c r="MR112" i="25"/>
  <c r="LA112" i="25"/>
  <c r="KS112" i="25"/>
  <c r="JT112" i="25"/>
  <c r="LI112" i="25"/>
  <c r="JI112" i="25"/>
  <c r="MT112" i="25"/>
  <c r="KK112" i="25"/>
  <c r="JR112" i="25"/>
  <c r="MS112" i="25"/>
  <c r="JQ112" i="25"/>
  <c r="EG112" i="25"/>
  <c r="DF112" i="25"/>
  <c r="DM112" i="25"/>
  <c r="IE112" i="25"/>
  <c r="EC112" i="25"/>
  <c r="IC112" i="25"/>
  <c r="DG112" i="25"/>
  <c r="RK112" i="25"/>
  <c r="FI91" i="25"/>
  <c r="SI95" i="25"/>
  <c r="MA95" i="25"/>
  <c r="II95" i="25"/>
  <c r="SI99" i="25"/>
  <c r="RT99" i="25"/>
  <c r="QI99" i="25"/>
  <c r="PT99" i="25"/>
  <c r="PI99" i="25"/>
  <c r="RI99" i="25"/>
  <c r="NI99" i="25"/>
  <c r="OA99" i="25"/>
  <c r="MA99" i="25"/>
  <c r="ME99" i="25" s="1"/>
  <c r="JI99" i="25"/>
  <c r="MI99" i="25"/>
  <c r="LI99" i="25"/>
  <c r="LC99" i="25"/>
  <c r="JC99" i="25"/>
  <c r="LA99" i="25"/>
  <c r="KT99" i="25"/>
  <c r="JA99" i="25"/>
  <c r="MC99" i="25"/>
  <c r="KI99" i="25"/>
  <c r="KA99" i="25"/>
  <c r="DJ99" i="25"/>
  <c r="DF99" i="25"/>
  <c r="HE99" i="25"/>
  <c r="EG99" i="25"/>
  <c r="DW99" i="25"/>
  <c r="FD99" i="25"/>
  <c r="HD99" i="25"/>
  <c r="FC99" i="25"/>
  <c r="GC99" i="25"/>
  <c r="BR99" i="25" s="1"/>
  <c r="HC99" i="25"/>
  <c r="EC99" i="25"/>
  <c r="DG99" i="25"/>
  <c r="FI99" i="25"/>
  <c r="II99" i="25"/>
  <c r="IA99" i="25"/>
  <c r="IC99" i="25"/>
  <c r="SI103" i="25"/>
  <c r="SQ107" i="25"/>
  <c r="SE107" i="25"/>
  <c r="RQ107" i="25"/>
  <c r="QR107" i="25"/>
  <c r="RC107" i="25"/>
  <c r="QT107" i="25"/>
  <c r="SC107" i="25"/>
  <c r="QE107" i="25"/>
  <c r="OS107" i="25"/>
  <c r="ND107" i="25"/>
  <c r="OR107" i="25"/>
  <c r="NC107" i="25"/>
  <c r="OQ107" i="25"/>
  <c r="NF107" i="25"/>
  <c r="PT107" i="25"/>
  <c r="NJ107" i="25"/>
  <c r="MT107" i="25"/>
  <c r="LC107" i="25"/>
  <c r="JE107" i="25"/>
  <c r="ME107" i="25"/>
  <c r="LS107" i="25"/>
  <c r="JD107" i="25"/>
  <c r="LR107" i="25"/>
  <c r="KJ107" i="25"/>
  <c r="JQ107" i="25"/>
  <c r="KE107" i="25"/>
  <c r="JF107" i="25"/>
  <c r="DN107" i="25"/>
  <c r="IC107" i="25"/>
  <c r="DM107" i="25"/>
  <c r="IQ107" i="25"/>
  <c r="DV107" i="25"/>
  <c r="IE107" i="25"/>
  <c r="SK111" i="25"/>
  <c r="SQ111" i="25"/>
  <c r="SJ111" i="25"/>
  <c r="ST111" i="25"/>
  <c r="SE111" i="25"/>
  <c r="SI111" i="25"/>
  <c r="SS111" i="25"/>
  <c r="SC111" i="25"/>
  <c r="RQ111" i="25"/>
  <c r="RD111" i="25"/>
  <c r="QC111" i="25"/>
  <c r="QR111" i="25"/>
  <c r="SR111" i="25"/>
  <c r="RT111" i="25"/>
  <c r="RC111" i="25"/>
  <c r="QK111" i="25"/>
  <c r="QQ111" i="25"/>
  <c r="RS111" i="25"/>
  <c r="RF111" i="25"/>
  <c r="QJ111" i="25"/>
  <c r="QT111" i="25"/>
  <c r="RR111" i="25"/>
  <c r="RE111" i="25"/>
  <c r="QE111" i="25"/>
  <c r="QS111" i="25"/>
  <c r="RI111" i="25"/>
  <c r="QI111" i="25"/>
  <c r="PE111" i="25"/>
  <c r="PI111" i="25"/>
  <c r="PS111" i="25"/>
  <c r="OS111" i="25"/>
  <c r="OE111" i="25"/>
  <c r="NI111" i="25"/>
  <c r="NS111" i="25"/>
  <c r="ND111" i="25"/>
  <c r="PD111" i="25"/>
  <c r="PR111" i="25"/>
  <c r="OR111" i="25"/>
  <c r="OC111" i="25"/>
  <c r="NR111" i="25"/>
  <c r="NC111" i="25"/>
  <c r="PC111" i="25"/>
  <c r="PK111" i="25"/>
  <c r="PQ111" i="25"/>
  <c r="OQ111" i="25"/>
  <c r="NK111" i="25"/>
  <c r="NQ111" i="25"/>
  <c r="NF111" i="25"/>
  <c r="PJ111" i="25"/>
  <c r="PT111" i="25"/>
  <c r="OT111" i="25"/>
  <c r="OA111" i="25"/>
  <c r="NJ111" i="25"/>
  <c r="NT111" i="25"/>
  <c r="NE111" i="25"/>
  <c r="MJ111" i="25"/>
  <c r="MT111" i="25"/>
  <c r="MA111" i="25"/>
  <c r="LJ111" i="25"/>
  <c r="LT111" i="25"/>
  <c r="LC111" i="25"/>
  <c r="KC111" i="25"/>
  <c r="KR111" i="25"/>
  <c r="JE111" i="25"/>
  <c r="JI111" i="25"/>
  <c r="JS111" i="25"/>
  <c r="JC111" i="25"/>
  <c r="ME111" i="25"/>
  <c r="MI111" i="25"/>
  <c r="MS111" i="25"/>
  <c r="LI111" i="25"/>
  <c r="LS111" i="25"/>
  <c r="KK111" i="25"/>
  <c r="KQ111" i="25"/>
  <c r="JD111" i="25"/>
  <c r="JR111" i="25"/>
  <c r="MR111" i="25"/>
  <c r="MC111" i="25"/>
  <c r="LR111" i="25"/>
  <c r="LA111" i="25"/>
  <c r="LE111" i="25"/>
  <c r="KJ111" i="25"/>
  <c r="KT111" i="25"/>
  <c r="JK111" i="25"/>
  <c r="JQ111" i="25"/>
  <c r="JA111" i="25"/>
  <c r="MK111" i="25"/>
  <c r="MQ111" i="25"/>
  <c r="LK111" i="25"/>
  <c r="LQ111" i="25"/>
  <c r="LD111" i="25"/>
  <c r="KE111" i="25"/>
  <c r="KI111" i="25"/>
  <c r="KS111" i="25"/>
  <c r="KA111" i="25"/>
  <c r="JF111" i="25"/>
  <c r="JJ111" i="25"/>
  <c r="JT111" i="25"/>
  <c r="DJ111" i="25"/>
  <c r="DN111" i="25"/>
  <c r="DT111" i="25"/>
  <c r="DF111" i="25"/>
  <c r="IC111" i="25"/>
  <c r="HE111" i="25"/>
  <c r="EG111" i="25"/>
  <c r="DM111" i="25"/>
  <c r="DW111" i="25"/>
  <c r="FK111" i="25"/>
  <c r="FD111" i="25"/>
  <c r="IQ111" i="25"/>
  <c r="HD111" i="25"/>
  <c r="DV111" i="25"/>
  <c r="FJ111" i="25"/>
  <c r="FC111" i="25"/>
  <c r="GC111" i="25"/>
  <c r="HC111" i="25"/>
  <c r="EM111" i="25"/>
  <c r="EC111" i="25"/>
  <c r="DU111" i="25"/>
  <c r="DG111" i="25"/>
  <c r="FI111" i="25"/>
  <c r="IE111" i="25"/>
  <c r="II111" i="25"/>
  <c r="IA111" i="25"/>
  <c r="RJ111" i="25"/>
  <c r="RK111" i="25"/>
  <c r="SI98" i="25"/>
  <c r="RI98" i="25"/>
  <c r="QI98" i="25"/>
  <c r="QC98" i="25"/>
  <c r="RD98" i="25"/>
  <c r="PD98" i="25"/>
  <c r="PI98" i="25"/>
  <c r="NI98" i="25"/>
  <c r="OC98" i="25"/>
  <c r="OA98" i="25"/>
  <c r="LA98" i="25"/>
  <c r="KT98" i="25"/>
  <c r="JD98" i="25"/>
  <c r="LI98" i="25"/>
  <c r="KA98" i="25"/>
  <c r="KE98" i="25" s="1"/>
  <c r="JA98" i="25"/>
  <c r="MT98" i="25"/>
  <c r="MC98" i="25"/>
  <c r="KI98" i="25"/>
  <c r="MI98" i="25"/>
  <c r="MA98" i="25"/>
  <c r="LT98" i="25"/>
  <c r="JI98" i="25"/>
  <c r="II98" i="25"/>
  <c r="FI98" i="25"/>
  <c r="IC98" i="25"/>
  <c r="IA98" i="25"/>
  <c r="ST98" i="25"/>
  <c r="SC108" i="25"/>
  <c r="SR108" i="25"/>
  <c r="SK108" i="25"/>
  <c r="SQ108" i="25"/>
  <c r="SJ108" i="25"/>
  <c r="ST108" i="25"/>
  <c r="SS108" i="25"/>
  <c r="RR108" i="25"/>
  <c r="RC108" i="25"/>
  <c r="QE108" i="25"/>
  <c r="QI108" i="25"/>
  <c r="QS108" i="25"/>
  <c r="RQ108" i="25"/>
  <c r="RF108" i="25"/>
  <c r="QC108" i="25"/>
  <c r="QR108" i="25"/>
  <c r="SI108" i="25"/>
  <c r="RT108" i="25"/>
  <c r="RE108" i="25"/>
  <c r="RI108" i="25"/>
  <c r="QK108" i="25"/>
  <c r="QQ108" i="25"/>
  <c r="SE108" i="25"/>
  <c r="QT108" i="25"/>
  <c r="RS108" i="25"/>
  <c r="QJ108" i="25"/>
  <c r="RD108" i="25"/>
  <c r="PC108" i="25"/>
  <c r="PK108" i="25"/>
  <c r="PQ108" i="25"/>
  <c r="OR108" i="25"/>
  <c r="OA108" i="25"/>
  <c r="NI108" i="25"/>
  <c r="NS108" i="25"/>
  <c r="ND108" i="25"/>
  <c r="PJ108" i="25"/>
  <c r="PT108" i="25"/>
  <c r="OQ108" i="25"/>
  <c r="OE108" i="25"/>
  <c r="NR108" i="25"/>
  <c r="NC108" i="25"/>
  <c r="PE108" i="25"/>
  <c r="PI108" i="25"/>
  <c r="PS108" i="25"/>
  <c r="OT108" i="25"/>
  <c r="OC108" i="25"/>
  <c r="NK108" i="25"/>
  <c r="NQ108" i="25"/>
  <c r="NF108" i="25"/>
  <c r="PD108" i="25"/>
  <c r="PR108" i="25"/>
  <c r="OS108" i="25"/>
  <c r="NJ108" i="25"/>
  <c r="NT108" i="25"/>
  <c r="NE108" i="25"/>
  <c r="MR108" i="25"/>
  <c r="LJ108" i="25"/>
  <c r="LT108" i="25"/>
  <c r="LA108" i="25"/>
  <c r="LE108" i="25"/>
  <c r="KE108" i="25"/>
  <c r="KI108" i="25"/>
  <c r="KS108" i="25"/>
  <c r="JF108" i="25"/>
  <c r="JJ108" i="25"/>
  <c r="JT108" i="25"/>
  <c r="MK108" i="25"/>
  <c r="MQ108" i="25"/>
  <c r="MA108" i="25"/>
  <c r="LI108" i="25"/>
  <c r="LS108" i="25"/>
  <c r="LD108" i="25"/>
  <c r="KC108" i="25"/>
  <c r="KR108" i="25"/>
  <c r="KA108" i="25"/>
  <c r="JE108" i="25"/>
  <c r="JI108" i="25"/>
  <c r="JS108" i="25"/>
  <c r="JC108" i="25"/>
  <c r="MJ108" i="25"/>
  <c r="MT108" i="25"/>
  <c r="LR108" i="25"/>
  <c r="LC108" i="25"/>
  <c r="KK108" i="25"/>
  <c r="KQ108" i="25"/>
  <c r="JD108" i="25"/>
  <c r="JR108" i="25"/>
  <c r="ME108" i="25"/>
  <c r="MI108" i="25"/>
  <c r="MS108" i="25"/>
  <c r="MC108" i="25"/>
  <c r="LK108" i="25"/>
  <c r="LQ108" i="25"/>
  <c r="KJ108" i="25"/>
  <c r="KT108" i="25"/>
  <c r="JK108" i="25"/>
  <c r="JQ108" i="25"/>
  <c r="JA108" i="25"/>
  <c r="HE108" i="25"/>
  <c r="EM108" i="25"/>
  <c r="EG108" i="25"/>
  <c r="DJ108" i="25"/>
  <c r="DN108" i="25"/>
  <c r="DT108" i="25"/>
  <c r="DF108" i="25"/>
  <c r="FI108" i="25"/>
  <c r="FD108" i="25"/>
  <c r="HD108" i="25"/>
  <c r="DM108" i="25"/>
  <c r="DW108" i="25"/>
  <c r="FC108" i="25"/>
  <c r="IE108" i="25"/>
  <c r="II108" i="25"/>
  <c r="HC108" i="25"/>
  <c r="EC108" i="25"/>
  <c r="DV108" i="25"/>
  <c r="FK108" i="25"/>
  <c r="GC108" i="25"/>
  <c r="IC108" i="25"/>
  <c r="DU108" i="25"/>
  <c r="DG108" i="25"/>
  <c r="FJ108" i="25"/>
  <c r="IQ108" i="25"/>
  <c r="RK108" i="25"/>
  <c r="IA108" i="25"/>
  <c r="RJ108" i="25"/>
  <c r="QS104" i="25"/>
  <c r="RD104" i="25"/>
  <c r="PJ104" i="25"/>
  <c r="KS104" i="25"/>
  <c r="JI104" i="25"/>
  <c r="MS104" i="25"/>
  <c r="DT104" i="25"/>
  <c r="SC120" i="25"/>
  <c r="SR120" i="25"/>
  <c r="SK120" i="25"/>
  <c r="SQ120" i="25"/>
  <c r="SJ120" i="25"/>
  <c r="ST120" i="25"/>
  <c r="RR120" i="25"/>
  <c r="RE120" i="25"/>
  <c r="RI120" i="25"/>
  <c r="QE120" i="25"/>
  <c r="QI120" i="25"/>
  <c r="QS120" i="25"/>
  <c r="SI120" i="25"/>
  <c r="RQ120" i="25"/>
  <c r="RD120" i="25"/>
  <c r="QC120" i="25"/>
  <c r="QR120" i="25"/>
  <c r="SE120" i="25"/>
  <c r="RT120" i="25"/>
  <c r="RC120" i="25"/>
  <c r="QK120" i="25"/>
  <c r="QQ120" i="25"/>
  <c r="SS120" i="25"/>
  <c r="RS120" i="25"/>
  <c r="QJ120" i="25"/>
  <c r="RF120" i="25"/>
  <c r="RB120" i="25"/>
  <c r="QT120" i="25"/>
  <c r="PC120" i="25"/>
  <c r="PK120" i="25"/>
  <c r="PQ120" i="25"/>
  <c r="OR120" i="25"/>
  <c r="OA120" i="25"/>
  <c r="PB120" i="25"/>
  <c r="PF120" i="25"/>
  <c r="PJ120" i="25"/>
  <c r="PT120" i="25"/>
  <c r="OQ120" i="25"/>
  <c r="OE120" i="25"/>
  <c r="PE120" i="25"/>
  <c r="PI120" i="25"/>
  <c r="PS120" i="25"/>
  <c r="OT120" i="25"/>
  <c r="OC120" i="25"/>
  <c r="PD120" i="25"/>
  <c r="PR120" i="25"/>
  <c r="OS120" i="25"/>
  <c r="MR120" i="25"/>
  <c r="LJ120" i="25"/>
  <c r="LT120" i="25"/>
  <c r="LA120" i="25"/>
  <c r="LE120" i="25"/>
  <c r="KE120" i="25"/>
  <c r="KI120" i="25"/>
  <c r="KS120" i="25"/>
  <c r="JF120" i="25"/>
  <c r="JJ120" i="25"/>
  <c r="JT120" i="25"/>
  <c r="MK120" i="25"/>
  <c r="MQ120" i="25"/>
  <c r="MA120" i="25"/>
  <c r="LI120" i="25"/>
  <c r="LS120" i="25"/>
  <c r="LD120" i="25"/>
  <c r="KC120" i="25"/>
  <c r="KR120" i="25"/>
  <c r="KA120" i="25"/>
  <c r="JE120" i="25"/>
  <c r="JI120" i="25"/>
  <c r="JS120" i="25"/>
  <c r="JC120" i="25"/>
  <c r="MJ120" i="25"/>
  <c r="MT120" i="25"/>
  <c r="LR120" i="25"/>
  <c r="LC120" i="25"/>
  <c r="KK120" i="25"/>
  <c r="KQ120" i="25"/>
  <c r="JD120" i="25"/>
  <c r="JR120" i="25"/>
  <c r="ME120" i="25"/>
  <c r="MI120" i="25"/>
  <c r="MS120" i="25"/>
  <c r="MC120" i="25"/>
  <c r="LK120" i="25"/>
  <c r="LQ120" i="25"/>
  <c r="LB120" i="25"/>
  <c r="KJ120" i="25"/>
  <c r="KT120" i="25"/>
  <c r="JK120" i="25"/>
  <c r="JQ120" i="25"/>
  <c r="JA120" i="25"/>
  <c r="HE120" i="25"/>
  <c r="EM120" i="25"/>
  <c r="EG120" i="25"/>
  <c r="DJ120" i="25"/>
  <c r="DN120" i="25"/>
  <c r="DT120" i="25"/>
  <c r="DF120" i="25"/>
  <c r="FI120" i="25"/>
  <c r="FD120" i="25"/>
  <c r="HD120" i="25"/>
  <c r="DM120" i="25"/>
  <c r="DW120" i="25"/>
  <c r="FC120" i="25"/>
  <c r="IE120" i="25"/>
  <c r="II120" i="25"/>
  <c r="HC120" i="25"/>
  <c r="EC120" i="25"/>
  <c r="DV120" i="25"/>
  <c r="FK120" i="25"/>
  <c r="GC120" i="25"/>
  <c r="IC120" i="25"/>
  <c r="DU120" i="25"/>
  <c r="DG120" i="25"/>
  <c r="FJ120" i="25"/>
  <c r="IQ120" i="25"/>
  <c r="RK120" i="25"/>
  <c r="IA120" i="25"/>
  <c r="RJ120" i="25"/>
  <c r="MA97" i="25"/>
  <c r="RE105" i="25"/>
  <c r="PE105" i="25"/>
  <c r="OS105" i="25"/>
  <c r="NT105" i="25"/>
  <c r="JQ105" i="25"/>
  <c r="JF105" i="25"/>
  <c r="KR105" i="25"/>
  <c r="LK105" i="25"/>
  <c r="DF105" i="25"/>
  <c r="DG105" i="25"/>
  <c r="QJ113" i="25"/>
  <c r="PJ113" i="25"/>
  <c r="MR113" i="25"/>
  <c r="DJ113" i="25"/>
  <c r="IA113" i="25"/>
  <c r="SK119" i="25"/>
  <c r="SQ119" i="25"/>
  <c r="SJ119" i="25"/>
  <c r="ST119" i="25"/>
  <c r="SE119" i="25"/>
  <c r="SI119" i="25"/>
  <c r="SS119" i="25"/>
  <c r="RQ119" i="25"/>
  <c r="RD119" i="25"/>
  <c r="QC119" i="25"/>
  <c r="QR119" i="25"/>
  <c r="RT119" i="25"/>
  <c r="RC119" i="25"/>
  <c r="QK119" i="25"/>
  <c r="QQ119" i="25"/>
  <c r="SC119" i="25"/>
  <c r="RS119" i="25"/>
  <c r="RF119" i="25"/>
  <c r="QJ119" i="25"/>
  <c r="QT119" i="25"/>
  <c r="SR119" i="25"/>
  <c r="RI119" i="25"/>
  <c r="QI119" i="25"/>
  <c r="RR119" i="25"/>
  <c r="RE119" i="25"/>
  <c r="QE119" i="25"/>
  <c r="QS119" i="25"/>
  <c r="PE119" i="25"/>
  <c r="PI119" i="25"/>
  <c r="PS119" i="25"/>
  <c r="OS119" i="25"/>
  <c r="OE119" i="25"/>
  <c r="NI119" i="25"/>
  <c r="NS119" i="25"/>
  <c r="ND119" i="25"/>
  <c r="PD119" i="25"/>
  <c r="PR119" i="25"/>
  <c r="OR119" i="25"/>
  <c r="OC119" i="25"/>
  <c r="NR119" i="25"/>
  <c r="NC119" i="25"/>
  <c r="PC119" i="25"/>
  <c r="PK119" i="25"/>
  <c r="PQ119" i="25"/>
  <c r="OQ119" i="25"/>
  <c r="NK119" i="25"/>
  <c r="NQ119" i="25"/>
  <c r="NF119" i="25"/>
  <c r="PJ119" i="25"/>
  <c r="PT119" i="25"/>
  <c r="OT119" i="25"/>
  <c r="OA119" i="25"/>
  <c r="NJ119" i="25"/>
  <c r="NT119" i="25"/>
  <c r="NE119" i="25"/>
  <c r="MJ119" i="25"/>
  <c r="MT119" i="25"/>
  <c r="MA119" i="25"/>
  <c r="LJ119" i="25"/>
  <c r="LT119" i="25"/>
  <c r="LC119" i="25"/>
  <c r="KC119" i="25"/>
  <c r="KR119" i="25"/>
  <c r="JE119" i="25"/>
  <c r="JI119" i="25"/>
  <c r="JS119" i="25"/>
  <c r="JC119" i="25"/>
  <c r="ME119" i="25"/>
  <c r="MI119" i="25"/>
  <c r="MS119" i="25"/>
  <c r="LI119" i="25"/>
  <c r="LS119" i="25"/>
  <c r="KK119" i="25"/>
  <c r="KQ119" i="25"/>
  <c r="JD119" i="25"/>
  <c r="JR119" i="25"/>
  <c r="MR119" i="25"/>
  <c r="MC119" i="25"/>
  <c r="LR119" i="25"/>
  <c r="LA119" i="25"/>
  <c r="LE119" i="25"/>
  <c r="KJ119" i="25"/>
  <c r="KT119" i="25"/>
  <c r="JK119" i="25"/>
  <c r="JQ119" i="25"/>
  <c r="JA119" i="25"/>
  <c r="MK119" i="25"/>
  <c r="MQ119" i="25"/>
  <c r="LK119" i="25"/>
  <c r="LQ119" i="25"/>
  <c r="LD119" i="25"/>
  <c r="KE119" i="25"/>
  <c r="KI119" i="25"/>
  <c r="KS119" i="25"/>
  <c r="KA119" i="25"/>
  <c r="JF119" i="25"/>
  <c r="JJ119" i="25"/>
  <c r="JT119" i="25"/>
  <c r="DJ119" i="25"/>
  <c r="DN119" i="25"/>
  <c r="DT119" i="25"/>
  <c r="DF119" i="25"/>
  <c r="IC119" i="25"/>
  <c r="HE119" i="25"/>
  <c r="EG119" i="25"/>
  <c r="DM119" i="25"/>
  <c r="DW119" i="25"/>
  <c r="FK119" i="25"/>
  <c r="FD119" i="25"/>
  <c r="IQ119" i="25"/>
  <c r="HD119" i="25"/>
  <c r="DV119" i="25"/>
  <c r="FJ119" i="25"/>
  <c r="FC119" i="25"/>
  <c r="GC119" i="25"/>
  <c r="HC119" i="25"/>
  <c r="EM119" i="25"/>
  <c r="EC119" i="25"/>
  <c r="DU119" i="25"/>
  <c r="DG119" i="25"/>
  <c r="FI119" i="25"/>
  <c r="IE119" i="25"/>
  <c r="II119" i="25"/>
  <c r="IA119" i="25"/>
  <c r="RJ119" i="25"/>
  <c r="RK119" i="25"/>
  <c r="QI92" i="25"/>
  <c r="RC92" i="25"/>
  <c r="SI92" i="25"/>
  <c r="RI92" i="25"/>
  <c r="PT92" i="25"/>
  <c r="PI92" i="25"/>
  <c r="OA92" i="25"/>
  <c r="NI92" i="25"/>
  <c r="OE92" i="25"/>
  <c r="LA92" i="25"/>
  <c r="KI92" i="25"/>
  <c r="HC92" i="25"/>
  <c r="MA92" i="25"/>
  <c r="LI92" i="25"/>
  <c r="LD92" i="25"/>
  <c r="KA92" i="25"/>
  <c r="JI92" i="25"/>
  <c r="MI92" i="25"/>
  <c r="LT92" i="25"/>
  <c r="JA92" i="25"/>
  <c r="HE92" i="25"/>
  <c r="EG92" i="25"/>
  <c r="DJ92" i="25"/>
  <c r="DF92" i="25"/>
  <c r="FI92" i="25"/>
  <c r="HD92" i="25"/>
  <c r="DW92" i="25"/>
  <c r="II92" i="25"/>
  <c r="EC92" i="25"/>
  <c r="GC92" i="25"/>
  <c r="DG92" i="25"/>
  <c r="IA92" i="25"/>
  <c r="ST92" i="25"/>
  <c r="QI96" i="25"/>
  <c r="RD96" i="25"/>
  <c r="QC96" i="25"/>
  <c r="PI96" i="25"/>
  <c r="NI96" i="25"/>
  <c r="OT96" i="25"/>
  <c r="MT96" i="25"/>
  <c r="KI96" i="25"/>
  <c r="KC96" i="25"/>
  <c r="MA96" i="25"/>
  <c r="ME96" i="25" s="1"/>
  <c r="JI96" i="25"/>
  <c r="JC96" i="25"/>
  <c r="MI96" i="25"/>
  <c r="LC96" i="25"/>
  <c r="JA96" i="25"/>
  <c r="FI96" i="25"/>
  <c r="II96" i="25"/>
  <c r="IC96" i="25"/>
  <c r="IA96" i="25"/>
  <c r="ST96" i="25"/>
  <c r="SI100" i="25"/>
  <c r="QC100" i="25"/>
  <c r="PI100" i="25"/>
  <c r="MT100" i="25"/>
  <c r="MA100" i="25"/>
  <c r="JI100" i="25"/>
  <c r="MI100" i="25"/>
  <c r="II100" i="25"/>
  <c r="SC116" i="25"/>
  <c r="SR116" i="25"/>
  <c r="SK116" i="25"/>
  <c r="SQ116" i="25"/>
  <c r="SJ116" i="25"/>
  <c r="ST116" i="25"/>
  <c r="SI116" i="25"/>
  <c r="RR116" i="25"/>
  <c r="RC116" i="25"/>
  <c r="QE116" i="25"/>
  <c r="QI116" i="25"/>
  <c r="QS116" i="25"/>
  <c r="SE116" i="25"/>
  <c r="RQ116" i="25"/>
  <c r="RF116" i="25"/>
  <c r="QC116" i="25"/>
  <c r="QR116" i="25"/>
  <c r="SS116" i="25"/>
  <c r="RT116" i="25"/>
  <c r="RE116" i="25"/>
  <c r="RI116" i="25"/>
  <c r="QK116" i="25"/>
  <c r="QQ116" i="25"/>
  <c r="QJ116" i="25"/>
  <c r="RD116" i="25"/>
  <c r="QT116" i="25"/>
  <c r="RS116" i="25"/>
  <c r="PC116" i="25"/>
  <c r="PK116" i="25"/>
  <c r="PQ116" i="25"/>
  <c r="OR116" i="25"/>
  <c r="OA116" i="25"/>
  <c r="NI116" i="25"/>
  <c r="NS116" i="25"/>
  <c r="ND116" i="25"/>
  <c r="PJ116" i="25"/>
  <c r="PT116" i="25"/>
  <c r="OQ116" i="25"/>
  <c r="OE116" i="25"/>
  <c r="NR116" i="25"/>
  <c r="NC116" i="25"/>
  <c r="PE116" i="25"/>
  <c r="PI116" i="25"/>
  <c r="PS116" i="25"/>
  <c r="OT116" i="25"/>
  <c r="OC116" i="25"/>
  <c r="NK116" i="25"/>
  <c r="NQ116" i="25"/>
  <c r="NF116" i="25"/>
  <c r="PD116" i="25"/>
  <c r="PR116" i="25"/>
  <c r="OS116" i="25"/>
  <c r="NJ116" i="25"/>
  <c r="NT116" i="25"/>
  <c r="NE116" i="25"/>
  <c r="MR116" i="25"/>
  <c r="LJ116" i="25"/>
  <c r="LT116" i="25"/>
  <c r="LA116" i="25"/>
  <c r="LE116" i="25"/>
  <c r="KE116" i="25"/>
  <c r="KI116" i="25"/>
  <c r="KS116" i="25"/>
  <c r="JF116" i="25"/>
  <c r="JJ116" i="25"/>
  <c r="JT116" i="25"/>
  <c r="MK116" i="25"/>
  <c r="MQ116" i="25"/>
  <c r="MA116" i="25"/>
  <c r="LI116" i="25"/>
  <c r="LS116" i="25"/>
  <c r="LD116" i="25"/>
  <c r="KC116" i="25"/>
  <c r="KR116" i="25"/>
  <c r="KA116" i="25"/>
  <c r="JE116" i="25"/>
  <c r="JI116" i="25"/>
  <c r="JS116" i="25"/>
  <c r="JC116" i="25"/>
  <c r="MJ116" i="25"/>
  <c r="MT116" i="25"/>
  <c r="LR116" i="25"/>
  <c r="LC116" i="25"/>
  <c r="KK116" i="25"/>
  <c r="KQ116" i="25"/>
  <c r="JD116" i="25"/>
  <c r="JR116" i="25"/>
  <c r="ME116" i="25"/>
  <c r="MI116" i="25"/>
  <c r="MS116" i="25"/>
  <c r="MC116" i="25"/>
  <c r="LK116" i="25"/>
  <c r="LQ116" i="25"/>
  <c r="KJ116" i="25"/>
  <c r="KT116" i="25"/>
  <c r="JK116" i="25"/>
  <c r="JQ116" i="25"/>
  <c r="JA116" i="25"/>
  <c r="HE116" i="25"/>
  <c r="EM116" i="25"/>
  <c r="EG116" i="25"/>
  <c r="DJ116" i="25"/>
  <c r="DN116" i="25"/>
  <c r="DT116" i="25"/>
  <c r="DF116" i="25"/>
  <c r="FI116" i="25"/>
  <c r="FD116" i="25"/>
  <c r="HD116" i="25"/>
  <c r="DM116" i="25"/>
  <c r="DW116" i="25"/>
  <c r="FC116" i="25"/>
  <c r="IE116" i="25"/>
  <c r="II116" i="25"/>
  <c r="HC116" i="25"/>
  <c r="EC116" i="25"/>
  <c r="DV116" i="25"/>
  <c r="FK116" i="25"/>
  <c r="GC116" i="25"/>
  <c r="IC116" i="25"/>
  <c r="DU116" i="25"/>
  <c r="DG116" i="25"/>
  <c r="FJ116" i="25"/>
  <c r="IQ116" i="25"/>
  <c r="RK116" i="25"/>
  <c r="IA116" i="25"/>
  <c r="RJ116" i="25"/>
  <c r="OI98" i="25"/>
  <c r="NC98" i="25"/>
  <c r="NA98" i="25"/>
  <c r="NA91" i="25"/>
  <c r="OI99" i="25"/>
  <c r="ND99" i="25"/>
  <c r="NA99" i="25"/>
  <c r="OI103" i="25"/>
  <c r="NA103" i="25"/>
  <c r="OJ107" i="25"/>
  <c r="OK111" i="25"/>
  <c r="OJ111" i="25"/>
  <c r="OI111" i="25"/>
  <c r="NA111" i="25"/>
  <c r="OI115" i="25"/>
  <c r="OK119" i="25"/>
  <c r="OJ119" i="25"/>
  <c r="OI119" i="25"/>
  <c r="NA119" i="25"/>
  <c r="OI92" i="25"/>
  <c r="NA92" i="25"/>
  <c r="NT92" i="25"/>
  <c r="OI96" i="25"/>
  <c r="NA96" i="25"/>
  <c r="ND96" i="25"/>
  <c r="NT100" i="25"/>
  <c r="OJ104" i="25"/>
  <c r="OK108" i="25"/>
  <c r="OJ108" i="25"/>
  <c r="OI108" i="25"/>
  <c r="NA108" i="25"/>
  <c r="OK112" i="25"/>
  <c r="OJ112" i="25"/>
  <c r="OI112" i="25"/>
  <c r="NA112" i="25"/>
  <c r="OK116" i="25"/>
  <c r="OJ116" i="25"/>
  <c r="OI116" i="25"/>
  <c r="NA116" i="25"/>
  <c r="OK120" i="25"/>
  <c r="NS120" i="25"/>
  <c r="OJ120" i="25"/>
  <c r="NR120" i="25"/>
  <c r="OI120" i="25"/>
  <c r="NQ120" i="25"/>
  <c r="NK120" i="25"/>
  <c r="NA120" i="25"/>
  <c r="NE120" i="25"/>
  <c r="NI120" i="25"/>
  <c r="NJ120" i="25"/>
  <c r="ND120" i="25"/>
  <c r="NC120" i="25"/>
  <c r="NT120" i="25"/>
  <c r="NB120" i="25"/>
  <c r="NF120" i="25"/>
  <c r="IJ105" i="25"/>
  <c r="IK113" i="25"/>
  <c r="IK107" i="25"/>
  <c r="IK111" i="25"/>
  <c r="IJ111" i="25"/>
  <c r="IK119" i="25"/>
  <c r="IJ119" i="25"/>
  <c r="IK108" i="25"/>
  <c r="IJ108" i="25"/>
  <c r="IK112" i="25"/>
  <c r="IJ112" i="25"/>
  <c r="IK116" i="25"/>
  <c r="IJ116" i="25"/>
  <c r="IK120" i="25"/>
  <c r="IJ120" i="25"/>
  <c r="L111" i="25"/>
  <c r="L119" i="25"/>
  <c r="L108" i="25"/>
  <c r="L112" i="25"/>
  <c r="L116" i="25"/>
  <c r="L120" i="25"/>
  <c r="Q21" i="35"/>
  <c r="Q23" i="35"/>
  <c r="J115" i="12" l="1"/>
  <c r="I115" i="12"/>
  <c r="J62" i="12"/>
  <c r="J64" i="12" s="1"/>
  <c r="I64" i="12"/>
  <c r="VU47" i="25"/>
  <c r="VU52" i="25"/>
  <c r="VU54" i="25"/>
  <c r="VU49" i="25"/>
  <c r="VU50" i="25"/>
  <c r="VU44" i="25"/>
  <c r="VU46" i="25"/>
  <c r="VU53" i="25"/>
  <c r="VU48" i="25"/>
  <c r="VU51" i="25"/>
  <c r="VU45" i="25"/>
  <c r="VU38" i="25"/>
  <c r="VU34" i="25"/>
  <c r="VU42" i="25"/>
  <c r="VU36" i="25"/>
  <c r="VU39" i="25"/>
  <c r="VU33" i="25"/>
  <c r="VU41" i="25"/>
  <c r="VU43" i="25"/>
  <c r="VU37" i="25"/>
  <c r="VU32" i="25"/>
  <c r="VU35" i="25"/>
  <c r="VU40" i="25"/>
  <c r="H52" i="22"/>
  <c r="G60" i="22"/>
  <c r="F61" i="22" s="1"/>
  <c r="I77" i="22"/>
  <c r="J77" i="22" s="1"/>
  <c r="K77" i="22" s="1"/>
  <c r="H90" i="22"/>
  <c r="F91" i="22" s="1"/>
  <c r="F92" i="22" s="1"/>
  <c r="H23" i="22"/>
  <c r="G31" i="22"/>
  <c r="F32" i="22" s="1"/>
  <c r="VG11" i="25"/>
  <c r="VG12" i="25" s="1"/>
  <c r="VG13" i="25" s="1"/>
  <c r="WG11" i="25"/>
  <c r="WG12" i="25" s="1"/>
  <c r="WG13" i="25" s="1"/>
  <c r="WU11" i="25"/>
  <c r="WU13" i="25" s="1"/>
  <c r="AD84" i="25"/>
  <c r="AC84" i="25"/>
  <c r="AF84" i="25"/>
  <c r="AE84" i="25"/>
  <c r="AE85" i="25"/>
  <c r="AD85" i="25"/>
  <c r="AC85" i="25"/>
  <c r="AF85" i="25"/>
  <c r="AC83" i="25"/>
  <c r="AF83" i="25"/>
  <c r="AE83" i="25"/>
  <c r="AD83" i="25"/>
  <c r="AE93" i="25"/>
  <c r="AD93" i="25"/>
  <c r="AC93" i="25"/>
  <c r="AF93" i="25"/>
  <c r="AE89" i="25"/>
  <c r="AD89" i="25"/>
  <c r="AC89" i="25"/>
  <c r="AF89" i="25"/>
  <c r="I109" i="25"/>
  <c r="OI100" i="25"/>
  <c r="IA100" i="25"/>
  <c r="IE100" i="25" s="1"/>
  <c r="JA100" i="25"/>
  <c r="JD100" i="25"/>
  <c r="LD100" i="25"/>
  <c r="LE100" i="25"/>
  <c r="NI100" i="25"/>
  <c r="PD100" i="25"/>
  <c r="RC100" i="25"/>
  <c r="LI90" i="25"/>
  <c r="DL100" i="25"/>
  <c r="EQ100" i="25"/>
  <c r="NA100" i="25"/>
  <c r="ST100" i="25"/>
  <c r="FI100" i="25"/>
  <c r="JT100" i="25"/>
  <c r="KA100" i="25"/>
  <c r="KE100" i="25" s="1"/>
  <c r="KI100" i="25"/>
  <c r="OE100" i="25"/>
  <c r="PT100" i="25"/>
  <c r="RI100" i="25"/>
  <c r="KI90" i="25"/>
  <c r="OI90" i="25"/>
  <c r="IC100" i="25"/>
  <c r="LT100" i="25"/>
  <c r="JC100" i="25"/>
  <c r="LI100" i="25"/>
  <c r="LA100" i="25"/>
  <c r="OA100" i="25"/>
  <c r="RD100" i="25"/>
  <c r="QI100" i="25"/>
  <c r="HM100" i="25"/>
  <c r="B111" i="42"/>
  <c r="B88" i="42"/>
  <c r="B72" i="42"/>
  <c r="B104" i="42"/>
  <c r="B93" i="42"/>
  <c r="B77" i="42"/>
  <c r="B109" i="42"/>
  <c r="G109" i="42" s="1"/>
  <c r="B90" i="42"/>
  <c r="B74" i="42"/>
  <c r="B106" i="42"/>
  <c r="B95" i="42"/>
  <c r="C95" i="42" s="1"/>
  <c r="B79" i="42"/>
  <c r="B107" i="42"/>
  <c r="B100" i="42"/>
  <c r="B84" i="42"/>
  <c r="G84" i="42" s="1"/>
  <c r="B116" i="42"/>
  <c r="B89" i="42"/>
  <c r="B73" i="42"/>
  <c r="B105" i="42"/>
  <c r="J105" i="42" s="1"/>
  <c r="B102" i="42"/>
  <c r="B86" i="42"/>
  <c r="B118" i="42"/>
  <c r="B91" i="42"/>
  <c r="L91" i="42" s="1"/>
  <c r="B75" i="42"/>
  <c r="B96" i="42"/>
  <c r="B80" i="42"/>
  <c r="B112" i="42"/>
  <c r="J112" i="42" s="1"/>
  <c r="B101" i="42"/>
  <c r="B85" i="42"/>
  <c r="B117" i="42"/>
  <c r="B98" i="42"/>
  <c r="G98" i="42" s="1"/>
  <c r="B82" i="42"/>
  <c r="B114" i="42"/>
  <c r="B103" i="42"/>
  <c r="B87" i="42"/>
  <c r="N87" i="42" s="1"/>
  <c r="B71" i="42"/>
  <c r="B115" i="42"/>
  <c r="B92" i="42"/>
  <c r="B76" i="42"/>
  <c r="T76" i="42" s="1"/>
  <c r="B108" i="42"/>
  <c r="B97" i="42"/>
  <c r="B81" i="42"/>
  <c r="B113" i="42"/>
  <c r="J113" i="42" s="1"/>
  <c r="B94" i="42"/>
  <c r="B78" i="42"/>
  <c r="B110" i="42"/>
  <c r="B99" i="42"/>
  <c r="L99" i="42" s="1"/>
  <c r="B83" i="42"/>
  <c r="OF83" i="25"/>
  <c r="MF83" i="25"/>
  <c r="OF84" i="25"/>
  <c r="MF84" i="25"/>
  <c r="OF85" i="25"/>
  <c r="MF85" i="25"/>
  <c r="OF86" i="25"/>
  <c r="MF86" i="25"/>
  <c r="OF110" i="25"/>
  <c r="MF110" i="25"/>
  <c r="OF109" i="25"/>
  <c r="MF109" i="25"/>
  <c r="OF101" i="25"/>
  <c r="MF101" i="25"/>
  <c r="OF93" i="25"/>
  <c r="MF93" i="25"/>
  <c r="OF89" i="25"/>
  <c r="MF89" i="25"/>
  <c r="OF91" i="25"/>
  <c r="MF91" i="25"/>
  <c r="OF96" i="25"/>
  <c r="MF96" i="25"/>
  <c r="OF116" i="25"/>
  <c r="MF116" i="25"/>
  <c r="OF112" i="25"/>
  <c r="MF112" i="25"/>
  <c r="OF111" i="25"/>
  <c r="MF111" i="25"/>
  <c r="OF87" i="25"/>
  <c r="MF87" i="25"/>
  <c r="OF88" i="25"/>
  <c r="MF88" i="25"/>
  <c r="OF72" i="25"/>
  <c r="MF72" i="25"/>
  <c r="OF73" i="25"/>
  <c r="MF73" i="25"/>
  <c r="OF74" i="25"/>
  <c r="MF74" i="25"/>
  <c r="OF114" i="25"/>
  <c r="MF114" i="25"/>
  <c r="OF117" i="25"/>
  <c r="MF117" i="25"/>
  <c r="OF94" i="25"/>
  <c r="MF94" i="25"/>
  <c r="OF90" i="25"/>
  <c r="MF90" i="25"/>
  <c r="OF100" i="25"/>
  <c r="MF100" i="25"/>
  <c r="OF107" i="25"/>
  <c r="MF107" i="25"/>
  <c r="TO111" i="25"/>
  <c r="OF75" i="25"/>
  <c r="MF75" i="25"/>
  <c r="OF76" i="25"/>
  <c r="MF76" i="25"/>
  <c r="OF77" i="25"/>
  <c r="MF77" i="25"/>
  <c r="OF78" i="25"/>
  <c r="MF78" i="25"/>
  <c r="OF118" i="25"/>
  <c r="MF118" i="25"/>
  <c r="OF102" i="25"/>
  <c r="MF102" i="25"/>
  <c r="OF113" i="25"/>
  <c r="MF113" i="25"/>
  <c r="OF105" i="25"/>
  <c r="MF105" i="25"/>
  <c r="OF97" i="25"/>
  <c r="MF97" i="25"/>
  <c r="OF98" i="25"/>
  <c r="MF98" i="25"/>
  <c r="OF104" i="25"/>
  <c r="MF104" i="25"/>
  <c r="OF99" i="25"/>
  <c r="MF99" i="25"/>
  <c r="OF79" i="25"/>
  <c r="MF79" i="25"/>
  <c r="OF80" i="25"/>
  <c r="MF80" i="25"/>
  <c r="OF81" i="25"/>
  <c r="MF81" i="25"/>
  <c r="OF82" i="25"/>
  <c r="MF82" i="25"/>
  <c r="OF106" i="25"/>
  <c r="MF106" i="25"/>
  <c r="OF103" i="25"/>
  <c r="MF103" i="25"/>
  <c r="OF92" i="25"/>
  <c r="MF92" i="25"/>
  <c r="OF108" i="25"/>
  <c r="MF108" i="25"/>
  <c r="OF95" i="25"/>
  <c r="MF95" i="25"/>
  <c r="OF115" i="25"/>
  <c r="MF115" i="25"/>
  <c r="TT111" i="25"/>
  <c r="SF75" i="25"/>
  <c r="QF75" i="25"/>
  <c r="PF75" i="25"/>
  <c r="QF76" i="25"/>
  <c r="PF76" i="25"/>
  <c r="SF76" i="25"/>
  <c r="QF77" i="25"/>
  <c r="PF77" i="25"/>
  <c r="SF77" i="25"/>
  <c r="PF78" i="25"/>
  <c r="SF78" i="25"/>
  <c r="QF78" i="25"/>
  <c r="PF118" i="25"/>
  <c r="SF118" i="25"/>
  <c r="QF118" i="25"/>
  <c r="PF102" i="25"/>
  <c r="SF102" i="25"/>
  <c r="QF102" i="25"/>
  <c r="QF113" i="25"/>
  <c r="PF113" i="25"/>
  <c r="SF113" i="25"/>
  <c r="QF105" i="25"/>
  <c r="PF105" i="25"/>
  <c r="SF105" i="25"/>
  <c r="QF97" i="25"/>
  <c r="PF97" i="25"/>
  <c r="SF97" i="25"/>
  <c r="PF98" i="25"/>
  <c r="SF98" i="25"/>
  <c r="QF98" i="25"/>
  <c r="QF104" i="25"/>
  <c r="PF104" i="25"/>
  <c r="SF104" i="25"/>
  <c r="TN99" i="25"/>
  <c r="SF99" i="25"/>
  <c r="QF99" i="25"/>
  <c r="PF99" i="25"/>
  <c r="SF79" i="25"/>
  <c r="QF79" i="25"/>
  <c r="PF79" i="25"/>
  <c r="QF80" i="25"/>
  <c r="PF80" i="25"/>
  <c r="SF80" i="25"/>
  <c r="QF81" i="25"/>
  <c r="PF81" i="25"/>
  <c r="SF81" i="25"/>
  <c r="PF82" i="25"/>
  <c r="SF82" i="25"/>
  <c r="QF82" i="25"/>
  <c r="PF106" i="25"/>
  <c r="SF106" i="25"/>
  <c r="QF106" i="25"/>
  <c r="SF103" i="25"/>
  <c r="QF103" i="25"/>
  <c r="PF103" i="25"/>
  <c r="QF92" i="25"/>
  <c r="PF92" i="25"/>
  <c r="SF92" i="25"/>
  <c r="QF108" i="25"/>
  <c r="PF108" i="25"/>
  <c r="SF108" i="25"/>
  <c r="SF95" i="25"/>
  <c r="QF95" i="25"/>
  <c r="PF95" i="25"/>
  <c r="SF115" i="25"/>
  <c r="QF115" i="25"/>
  <c r="PF115" i="25"/>
  <c r="SF83" i="25"/>
  <c r="QF83" i="25"/>
  <c r="PF83" i="25"/>
  <c r="QF84" i="25"/>
  <c r="PF84" i="25"/>
  <c r="SF84" i="25"/>
  <c r="QF85" i="25"/>
  <c r="PF85" i="25"/>
  <c r="SF85" i="25"/>
  <c r="PF86" i="25"/>
  <c r="SF86" i="25"/>
  <c r="QF86" i="25"/>
  <c r="PF110" i="25"/>
  <c r="SF110" i="25"/>
  <c r="QF110" i="25"/>
  <c r="QF109" i="25"/>
  <c r="PF109" i="25"/>
  <c r="SF109" i="25"/>
  <c r="QF101" i="25"/>
  <c r="PF101" i="25"/>
  <c r="SF101" i="25"/>
  <c r="QF93" i="25"/>
  <c r="PF93" i="25"/>
  <c r="SF93" i="25"/>
  <c r="QF89" i="25"/>
  <c r="PF89" i="25"/>
  <c r="SF89" i="25"/>
  <c r="SF91" i="25"/>
  <c r="QF91" i="25"/>
  <c r="PF91" i="25"/>
  <c r="QF96" i="25"/>
  <c r="PF96" i="25"/>
  <c r="SF96" i="25"/>
  <c r="QF116" i="25"/>
  <c r="PF116" i="25"/>
  <c r="SF116" i="25"/>
  <c r="QF112" i="25"/>
  <c r="PF112" i="25"/>
  <c r="SF112" i="25"/>
  <c r="TM111" i="25"/>
  <c r="SF111" i="25"/>
  <c r="QF111" i="25"/>
  <c r="PF111" i="25"/>
  <c r="SF87" i="25"/>
  <c r="QF87" i="25"/>
  <c r="PF87" i="25"/>
  <c r="QF88" i="25"/>
  <c r="PF88" i="25"/>
  <c r="SF88" i="25"/>
  <c r="QF72" i="25"/>
  <c r="PF72" i="25"/>
  <c r="SF72" i="25"/>
  <c r="QF73" i="25"/>
  <c r="PF73" i="25"/>
  <c r="SF73" i="25"/>
  <c r="PF74" i="25"/>
  <c r="SF74" i="25"/>
  <c r="QF74" i="25"/>
  <c r="PF114" i="25"/>
  <c r="SF114" i="25"/>
  <c r="QF114" i="25"/>
  <c r="QF117" i="25"/>
  <c r="PF117" i="25"/>
  <c r="SF117" i="25"/>
  <c r="PF94" i="25"/>
  <c r="SF94" i="25"/>
  <c r="QF94" i="25"/>
  <c r="PF90" i="25"/>
  <c r="SF90" i="25"/>
  <c r="QF90" i="25"/>
  <c r="QF100" i="25"/>
  <c r="PF100" i="25"/>
  <c r="SF100" i="25"/>
  <c r="SF107" i="25"/>
  <c r="QF107" i="25"/>
  <c r="PF107" i="25"/>
  <c r="TE83" i="25"/>
  <c r="BK83" i="25"/>
  <c r="UB83" i="25"/>
  <c r="BI83" i="25"/>
  <c r="TB83" i="25"/>
  <c r="TB67" i="25"/>
  <c r="TE67" i="25" s="1"/>
  <c r="UB67" i="25"/>
  <c r="TE84" i="25"/>
  <c r="BI84" i="25"/>
  <c r="TB84" i="25"/>
  <c r="UB84" i="25"/>
  <c r="BK84" i="25"/>
  <c r="TB68" i="25"/>
  <c r="TE68" i="25" s="1"/>
  <c r="UB68" i="25"/>
  <c r="TE85" i="25"/>
  <c r="TB85" i="25"/>
  <c r="BK85" i="25"/>
  <c r="UB85" i="25"/>
  <c r="BI85" i="25"/>
  <c r="TB69" i="25"/>
  <c r="TE69" i="25" s="1"/>
  <c r="UB69" i="25"/>
  <c r="BK86" i="25"/>
  <c r="UB86" i="25"/>
  <c r="TE86" i="25"/>
  <c r="BI86" i="25"/>
  <c r="TB86" i="25"/>
  <c r="UB70" i="25"/>
  <c r="TB70" i="25"/>
  <c r="TE70" i="25" s="1"/>
  <c r="BK110" i="25"/>
  <c r="UB110" i="25"/>
  <c r="TE110" i="25"/>
  <c r="BI110" i="25"/>
  <c r="TB110" i="25"/>
  <c r="TE117" i="25"/>
  <c r="TB117" i="25"/>
  <c r="BK117" i="25"/>
  <c r="UB117" i="25"/>
  <c r="BI117" i="25"/>
  <c r="BK94" i="25"/>
  <c r="UB94" i="25"/>
  <c r="TE94" i="25"/>
  <c r="BI94" i="25"/>
  <c r="TB94" i="25"/>
  <c r="TE90" i="25"/>
  <c r="BK90" i="25"/>
  <c r="UB90" i="25"/>
  <c r="TB90" i="25"/>
  <c r="BI90" i="25"/>
  <c r="TE100" i="25"/>
  <c r="BI100" i="25"/>
  <c r="TB100" i="25"/>
  <c r="UB100" i="25"/>
  <c r="BK100" i="25"/>
  <c r="TE107" i="25"/>
  <c r="BK107" i="25"/>
  <c r="BI107" i="25"/>
  <c r="TB107" i="25"/>
  <c r="UB107" i="25"/>
  <c r="TE111" i="25"/>
  <c r="UB111" i="25"/>
  <c r="BI111" i="25"/>
  <c r="TB111" i="25"/>
  <c r="BK111" i="25"/>
  <c r="TE87" i="25"/>
  <c r="UB87" i="25"/>
  <c r="BI87" i="25"/>
  <c r="TB87" i="25"/>
  <c r="BK87" i="25"/>
  <c r="TB71" i="25"/>
  <c r="TE71" i="25" s="1"/>
  <c r="UB71" i="25"/>
  <c r="TE88" i="25"/>
  <c r="BI88" i="25"/>
  <c r="TB88" i="25"/>
  <c r="BK88" i="25"/>
  <c r="UB88" i="25"/>
  <c r="TE72" i="25"/>
  <c r="BI72" i="25"/>
  <c r="TB72" i="25"/>
  <c r="BK72" i="25"/>
  <c r="UB72" i="25"/>
  <c r="TB56" i="25"/>
  <c r="TE56" i="25" s="1"/>
  <c r="UB56" i="25"/>
  <c r="BI73" i="25"/>
  <c r="TE73" i="25"/>
  <c r="BK73" i="25"/>
  <c r="UB73" i="25"/>
  <c r="TB73" i="25"/>
  <c r="UB57" i="25"/>
  <c r="TB57" i="25"/>
  <c r="TE57" i="25" s="1"/>
  <c r="TE74" i="25"/>
  <c r="BK74" i="25"/>
  <c r="UB74" i="25"/>
  <c r="TB74" i="25"/>
  <c r="BI74" i="25"/>
  <c r="UB58" i="25"/>
  <c r="TB58" i="25"/>
  <c r="TE58" i="25" s="1"/>
  <c r="TE114" i="25"/>
  <c r="BK114" i="25"/>
  <c r="UB114" i="25"/>
  <c r="TB114" i="25"/>
  <c r="BI114" i="25"/>
  <c r="BI113" i="25"/>
  <c r="TE113" i="25"/>
  <c r="BK113" i="25"/>
  <c r="UB113" i="25"/>
  <c r="TB113" i="25"/>
  <c r="BI105" i="25"/>
  <c r="TE105" i="25"/>
  <c r="BK105" i="25"/>
  <c r="UB105" i="25"/>
  <c r="TB105" i="25"/>
  <c r="BI97" i="25"/>
  <c r="TE97" i="25"/>
  <c r="BK97" i="25"/>
  <c r="UB97" i="25"/>
  <c r="TB97" i="25"/>
  <c r="TE98" i="25"/>
  <c r="BK98" i="25"/>
  <c r="UB98" i="25"/>
  <c r="TB98" i="25"/>
  <c r="BI98" i="25"/>
  <c r="TE104" i="25"/>
  <c r="BI104" i="25"/>
  <c r="TB104" i="25"/>
  <c r="BK104" i="25"/>
  <c r="UB104" i="25"/>
  <c r="TE75" i="25"/>
  <c r="BK75" i="25"/>
  <c r="UB75" i="25"/>
  <c r="BI75" i="25"/>
  <c r="TB75" i="25"/>
  <c r="TB59" i="25"/>
  <c r="TE59" i="25" s="1"/>
  <c r="UB59" i="25"/>
  <c r="TE76" i="25"/>
  <c r="BI76" i="25"/>
  <c r="TB76" i="25"/>
  <c r="UB76" i="25"/>
  <c r="BK76" i="25"/>
  <c r="TB60" i="25"/>
  <c r="TE60" i="25" s="1"/>
  <c r="UB60" i="25"/>
  <c r="TB77" i="25"/>
  <c r="BK77" i="25"/>
  <c r="UB77" i="25"/>
  <c r="TE77" i="25"/>
  <c r="BI77" i="25"/>
  <c r="TB61" i="25"/>
  <c r="TE61" i="25" s="1"/>
  <c r="UB61" i="25"/>
  <c r="BK78" i="25"/>
  <c r="UB78" i="25"/>
  <c r="BI78" i="25"/>
  <c r="TE78" i="25"/>
  <c r="TB78" i="25"/>
  <c r="UB62" i="25"/>
  <c r="TB62" i="25"/>
  <c r="TE62" i="25" s="1"/>
  <c r="BK118" i="25"/>
  <c r="UB118" i="25"/>
  <c r="BI118" i="25"/>
  <c r="TE118" i="25"/>
  <c r="TB118" i="25"/>
  <c r="BK102" i="25"/>
  <c r="UB102" i="25"/>
  <c r="BI102" i="25"/>
  <c r="TE102" i="25"/>
  <c r="TB102" i="25"/>
  <c r="TE103" i="25"/>
  <c r="UB103" i="25"/>
  <c r="BI103" i="25"/>
  <c r="TB103" i="25"/>
  <c r="BK103" i="25"/>
  <c r="TE92" i="25"/>
  <c r="BI92" i="25"/>
  <c r="TB92" i="25"/>
  <c r="UB92" i="25"/>
  <c r="BK92" i="25"/>
  <c r="TE108" i="25"/>
  <c r="BI108" i="25"/>
  <c r="TB108" i="25"/>
  <c r="UB108" i="25"/>
  <c r="BK108" i="25"/>
  <c r="TE95" i="25"/>
  <c r="UB95" i="25"/>
  <c r="BI95" i="25"/>
  <c r="TB95" i="25"/>
  <c r="BK95" i="25"/>
  <c r="TE115" i="25"/>
  <c r="BK115" i="25"/>
  <c r="BI115" i="25"/>
  <c r="TB115" i="25"/>
  <c r="UB115" i="25"/>
  <c r="TE99" i="25"/>
  <c r="BK99" i="25"/>
  <c r="BI99" i="25"/>
  <c r="TB99" i="25"/>
  <c r="UB99" i="25"/>
  <c r="TE79" i="25"/>
  <c r="BI79" i="25"/>
  <c r="TB79" i="25"/>
  <c r="BK79" i="25"/>
  <c r="UB79" i="25"/>
  <c r="UB63" i="25"/>
  <c r="TB63" i="25"/>
  <c r="TE63" i="25" s="1"/>
  <c r="TE80" i="25"/>
  <c r="BI80" i="25"/>
  <c r="TB80" i="25"/>
  <c r="BK80" i="25"/>
  <c r="UB80" i="25"/>
  <c r="TB64" i="25"/>
  <c r="TE64" i="25" s="1"/>
  <c r="UB64" i="25"/>
  <c r="BI81" i="25"/>
  <c r="TE81" i="25"/>
  <c r="BK81" i="25"/>
  <c r="UB81" i="25"/>
  <c r="TB81" i="25"/>
  <c r="UB65" i="25"/>
  <c r="TB65" i="25"/>
  <c r="TE65" i="25" s="1"/>
  <c r="TE82" i="25"/>
  <c r="BK82" i="25"/>
  <c r="UB82" i="25"/>
  <c r="TB82" i="25"/>
  <c r="BI82" i="25"/>
  <c r="UB66" i="25"/>
  <c r="TB66" i="25"/>
  <c r="TE66" i="25" s="1"/>
  <c r="TE106" i="25"/>
  <c r="BK106" i="25"/>
  <c r="UB106" i="25"/>
  <c r="TB106" i="25"/>
  <c r="BI106" i="25"/>
  <c r="TB109" i="25"/>
  <c r="BK109" i="25"/>
  <c r="UB109" i="25"/>
  <c r="TE109" i="25"/>
  <c r="BI109" i="25"/>
  <c r="TE101" i="25"/>
  <c r="TB101" i="25"/>
  <c r="BK101" i="25"/>
  <c r="UB101" i="25"/>
  <c r="BI101" i="25"/>
  <c r="TB93" i="25"/>
  <c r="BK93" i="25"/>
  <c r="UB93" i="25"/>
  <c r="TE93" i="25"/>
  <c r="BI93" i="25"/>
  <c r="BI89" i="25"/>
  <c r="TE89" i="25"/>
  <c r="BK89" i="25"/>
  <c r="UB89" i="25"/>
  <c r="TB89" i="25"/>
  <c r="TE91" i="25"/>
  <c r="BK91" i="25"/>
  <c r="BI91" i="25"/>
  <c r="TB91" i="25"/>
  <c r="UB91" i="25"/>
  <c r="TE96" i="25"/>
  <c r="BI96" i="25"/>
  <c r="TB96" i="25"/>
  <c r="BK96" i="25"/>
  <c r="UB96" i="25"/>
  <c r="TE116" i="25"/>
  <c r="BI116" i="25"/>
  <c r="TB116" i="25"/>
  <c r="UB116" i="25"/>
  <c r="BK116" i="25"/>
  <c r="TE112" i="25"/>
  <c r="BI112" i="25"/>
  <c r="TB112" i="25"/>
  <c r="BK112" i="25"/>
  <c r="UB112" i="25"/>
  <c r="QB60" i="25"/>
  <c r="MB60" i="25"/>
  <c r="IB60" i="25"/>
  <c r="EB60" i="25"/>
  <c r="PB60" i="25"/>
  <c r="SB60" i="25"/>
  <c r="OB60" i="25"/>
  <c r="KB60" i="25"/>
  <c r="GB60" i="25"/>
  <c r="RB60" i="25"/>
  <c r="JB60" i="25"/>
  <c r="FB60" i="25"/>
  <c r="LB60" i="25"/>
  <c r="NB60" i="25"/>
  <c r="HB60" i="25"/>
  <c r="DE60" i="25"/>
  <c r="SB62" i="25"/>
  <c r="OB62" i="25"/>
  <c r="KB62" i="25"/>
  <c r="GB62" i="25"/>
  <c r="RB62" i="25"/>
  <c r="QB62" i="25"/>
  <c r="MB62" i="25"/>
  <c r="IB62" i="25"/>
  <c r="EB62" i="25"/>
  <c r="NB62" i="25"/>
  <c r="HB62" i="25"/>
  <c r="DE62" i="25"/>
  <c r="PB62" i="25"/>
  <c r="JB62" i="25"/>
  <c r="FB62" i="25"/>
  <c r="LB62" i="25"/>
  <c r="FM90" i="25"/>
  <c r="SB90" i="25"/>
  <c r="OB90" i="25"/>
  <c r="KB90" i="25"/>
  <c r="GB90" i="25"/>
  <c r="RB90" i="25"/>
  <c r="QB90" i="25"/>
  <c r="MB90" i="25"/>
  <c r="IB90" i="25"/>
  <c r="EB90" i="25"/>
  <c r="NB90" i="25"/>
  <c r="HB90" i="25"/>
  <c r="DE90" i="25"/>
  <c r="PB90" i="25"/>
  <c r="JB90" i="25"/>
  <c r="FB90" i="25"/>
  <c r="LB90" i="25"/>
  <c r="QB103" i="25"/>
  <c r="MB103" i="25"/>
  <c r="IB103" i="25"/>
  <c r="EB103" i="25"/>
  <c r="PB103" i="25"/>
  <c r="SB103" i="25"/>
  <c r="OB103" i="25"/>
  <c r="RB103" i="25"/>
  <c r="JB103" i="25"/>
  <c r="FB103" i="25"/>
  <c r="KB103" i="25"/>
  <c r="LB103" i="25"/>
  <c r="GB103" i="25"/>
  <c r="NB103" i="25"/>
  <c r="HB103" i="25"/>
  <c r="DE103" i="25"/>
  <c r="QB100" i="25"/>
  <c r="MB100" i="25"/>
  <c r="IB100" i="25"/>
  <c r="EB100" i="25"/>
  <c r="PB100" i="25"/>
  <c r="SB100" i="25"/>
  <c r="OB100" i="25"/>
  <c r="KB100" i="25"/>
  <c r="GB100" i="25"/>
  <c r="RB100" i="25"/>
  <c r="JB100" i="25"/>
  <c r="FB100" i="25"/>
  <c r="LB100" i="25"/>
  <c r="NB100" i="25"/>
  <c r="HB100" i="25"/>
  <c r="DE100" i="25"/>
  <c r="QB116" i="25"/>
  <c r="MB116" i="25"/>
  <c r="IB116" i="25"/>
  <c r="EB116" i="25"/>
  <c r="PB116" i="25"/>
  <c r="SB116" i="25"/>
  <c r="OB116" i="25"/>
  <c r="KB116" i="25"/>
  <c r="GB116" i="25"/>
  <c r="RB116" i="25"/>
  <c r="JB116" i="25"/>
  <c r="FB116" i="25"/>
  <c r="LB116" i="25"/>
  <c r="NB116" i="25"/>
  <c r="HB116" i="25"/>
  <c r="DE116" i="25"/>
  <c r="QB112" i="25"/>
  <c r="MB112" i="25"/>
  <c r="IB112" i="25"/>
  <c r="EB112" i="25"/>
  <c r="PB112" i="25"/>
  <c r="SB112" i="25"/>
  <c r="OB112" i="25"/>
  <c r="KB112" i="25"/>
  <c r="GB112" i="25"/>
  <c r="RB112" i="25"/>
  <c r="JB112" i="25"/>
  <c r="FB112" i="25"/>
  <c r="LB112" i="25"/>
  <c r="NB112" i="25"/>
  <c r="HB112" i="25"/>
  <c r="DE112" i="25"/>
  <c r="QB59" i="25"/>
  <c r="MB59" i="25"/>
  <c r="IB59" i="25"/>
  <c r="EB59" i="25"/>
  <c r="PB59" i="25"/>
  <c r="SB59" i="25"/>
  <c r="OB59" i="25"/>
  <c r="KB59" i="25"/>
  <c r="JB59" i="25"/>
  <c r="FB59" i="25"/>
  <c r="FC59" i="25" s="1"/>
  <c r="GB59" i="25"/>
  <c r="LB59" i="25"/>
  <c r="RB59" i="25"/>
  <c r="NB59" i="25"/>
  <c r="HB59" i="25"/>
  <c r="DE59" i="25"/>
  <c r="PB61" i="25"/>
  <c r="SB61" i="25"/>
  <c r="OB61" i="25"/>
  <c r="KB61" i="25"/>
  <c r="GB61" i="25"/>
  <c r="RB61" i="25"/>
  <c r="QB61" i="25"/>
  <c r="MB61" i="25"/>
  <c r="EB61" i="25"/>
  <c r="LB61" i="25"/>
  <c r="NB61" i="25"/>
  <c r="HB61" i="25"/>
  <c r="DE61" i="25"/>
  <c r="IB61" i="25"/>
  <c r="JB61" i="25"/>
  <c r="FB61" i="25"/>
  <c r="SB102" i="25"/>
  <c r="OB102" i="25"/>
  <c r="KB102" i="25"/>
  <c r="GB102" i="25"/>
  <c r="RB102" i="25"/>
  <c r="QB102" i="25"/>
  <c r="MB102" i="25"/>
  <c r="IB102" i="25"/>
  <c r="EB102" i="25"/>
  <c r="NB102" i="25"/>
  <c r="HB102" i="25"/>
  <c r="DE102" i="25"/>
  <c r="JB102" i="25"/>
  <c r="FB102" i="25"/>
  <c r="PB102" i="25"/>
  <c r="LB102" i="25"/>
  <c r="QB79" i="25"/>
  <c r="MB79" i="25"/>
  <c r="IB79" i="25"/>
  <c r="EB79" i="25"/>
  <c r="PB79" i="25"/>
  <c r="SB79" i="25"/>
  <c r="OB79" i="25"/>
  <c r="KB79" i="25"/>
  <c r="GB79" i="25"/>
  <c r="JB79" i="25"/>
  <c r="FB79" i="25"/>
  <c r="RB79" i="25"/>
  <c r="LB79" i="25"/>
  <c r="NB79" i="25"/>
  <c r="HB79" i="25"/>
  <c r="DE79" i="25"/>
  <c r="QB63" i="25"/>
  <c r="MB63" i="25"/>
  <c r="IB63" i="25"/>
  <c r="EB63" i="25"/>
  <c r="PB63" i="25"/>
  <c r="SB63" i="25"/>
  <c r="OB63" i="25"/>
  <c r="KB63" i="25"/>
  <c r="GB63" i="25"/>
  <c r="JB63" i="25"/>
  <c r="FB63" i="25"/>
  <c r="RB63" i="25"/>
  <c r="LB63" i="25"/>
  <c r="NB63" i="25"/>
  <c r="HB63" i="25"/>
  <c r="DE63" i="25"/>
  <c r="QB80" i="25"/>
  <c r="MB80" i="25"/>
  <c r="IB80" i="25"/>
  <c r="EB80" i="25"/>
  <c r="PB80" i="25"/>
  <c r="SB80" i="25"/>
  <c r="OB80" i="25"/>
  <c r="KB80" i="25"/>
  <c r="GB80" i="25"/>
  <c r="RB80" i="25"/>
  <c r="JB80" i="25"/>
  <c r="FB80" i="25"/>
  <c r="LB80" i="25"/>
  <c r="NB80" i="25"/>
  <c r="HB80" i="25"/>
  <c r="DE80" i="25"/>
  <c r="QB64" i="25"/>
  <c r="MB64" i="25"/>
  <c r="IB64" i="25"/>
  <c r="EB64" i="25"/>
  <c r="PB64" i="25"/>
  <c r="SB64" i="25"/>
  <c r="OB64" i="25"/>
  <c r="KB64" i="25"/>
  <c r="GB64" i="25"/>
  <c r="RB64" i="25"/>
  <c r="JB64" i="25"/>
  <c r="FB64" i="25"/>
  <c r="LB64" i="25"/>
  <c r="NB64" i="25"/>
  <c r="HB64" i="25"/>
  <c r="DE64" i="25"/>
  <c r="PB81" i="25"/>
  <c r="SB81" i="25"/>
  <c r="OB81" i="25"/>
  <c r="KB81" i="25"/>
  <c r="GB81" i="25"/>
  <c r="RB81" i="25"/>
  <c r="QB81" i="25"/>
  <c r="MB81" i="25"/>
  <c r="LB81" i="25"/>
  <c r="NB81" i="25"/>
  <c r="HB81" i="25"/>
  <c r="DE81" i="25"/>
  <c r="IB81" i="25"/>
  <c r="EB81" i="25"/>
  <c r="JB81" i="25"/>
  <c r="FB81" i="25"/>
  <c r="PB65" i="25"/>
  <c r="SB65" i="25"/>
  <c r="OB65" i="25"/>
  <c r="KB65" i="25"/>
  <c r="GB65" i="25"/>
  <c r="RB65" i="25"/>
  <c r="QB65" i="25"/>
  <c r="MB65" i="25"/>
  <c r="LB65" i="25"/>
  <c r="NB65" i="25"/>
  <c r="HB65" i="25"/>
  <c r="DE65" i="25"/>
  <c r="IB65" i="25"/>
  <c r="EB65" i="25"/>
  <c r="JB65" i="25"/>
  <c r="FB65" i="25"/>
  <c r="SB82" i="25"/>
  <c r="OB82" i="25"/>
  <c r="KB82" i="25"/>
  <c r="GB82" i="25"/>
  <c r="RB82" i="25"/>
  <c r="QB82" i="25"/>
  <c r="MB82" i="25"/>
  <c r="IB82" i="25"/>
  <c r="EB82" i="25"/>
  <c r="PB82" i="25"/>
  <c r="NB82" i="25"/>
  <c r="HB82" i="25"/>
  <c r="DE82" i="25"/>
  <c r="JB82" i="25"/>
  <c r="FB82" i="25"/>
  <c r="LB82" i="25"/>
  <c r="SB66" i="25"/>
  <c r="OB66" i="25"/>
  <c r="KB66" i="25"/>
  <c r="GB66" i="25"/>
  <c r="RB66" i="25"/>
  <c r="QB66" i="25"/>
  <c r="MB66" i="25"/>
  <c r="IB66" i="25"/>
  <c r="EB66" i="25"/>
  <c r="PB66" i="25"/>
  <c r="NB66" i="25"/>
  <c r="HB66" i="25"/>
  <c r="DE66" i="25"/>
  <c r="JB66" i="25"/>
  <c r="FB66" i="25"/>
  <c r="LB66" i="25"/>
  <c r="SB106" i="25"/>
  <c r="OB106" i="25"/>
  <c r="KB106" i="25"/>
  <c r="GB106" i="25"/>
  <c r="RB106" i="25"/>
  <c r="QB106" i="25"/>
  <c r="MB106" i="25"/>
  <c r="IB106" i="25"/>
  <c r="EB106" i="25"/>
  <c r="NB106" i="25"/>
  <c r="HB106" i="25"/>
  <c r="DE106" i="25"/>
  <c r="PB106" i="25"/>
  <c r="JB106" i="25"/>
  <c r="FB106" i="25"/>
  <c r="LB106" i="25"/>
  <c r="ME109" i="25"/>
  <c r="PB109" i="25"/>
  <c r="SB109" i="25"/>
  <c r="OB109" i="25"/>
  <c r="KB109" i="25"/>
  <c r="GB109" i="25"/>
  <c r="RB109" i="25"/>
  <c r="QB109" i="25"/>
  <c r="MB109" i="25"/>
  <c r="EB109" i="25"/>
  <c r="LB109" i="25"/>
  <c r="NB109" i="25"/>
  <c r="HB109" i="25"/>
  <c r="DE109" i="25"/>
  <c r="IB109" i="25"/>
  <c r="JB109" i="25"/>
  <c r="FB109" i="25"/>
  <c r="PB101" i="25"/>
  <c r="SB101" i="25"/>
  <c r="OB101" i="25"/>
  <c r="KB101" i="25"/>
  <c r="GB101" i="25"/>
  <c r="RB101" i="25"/>
  <c r="QB101" i="25"/>
  <c r="MB101" i="25"/>
  <c r="LB101" i="25"/>
  <c r="IB101" i="25"/>
  <c r="NB101" i="25"/>
  <c r="HB101" i="25"/>
  <c r="DE101" i="25"/>
  <c r="EB101" i="25"/>
  <c r="JB101" i="25"/>
  <c r="FB101" i="25"/>
  <c r="PB93" i="25"/>
  <c r="SB93" i="25"/>
  <c r="OB93" i="25"/>
  <c r="KB93" i="25"/>
  <c r="GB93" i="25"/>
  <c r="RB93" i="25"/>
  <c r="QB93" i="25"/>
  <c r="MB93" i="25"/>
  <c r="EB93" i="25"/>
  <c r="LB93" i="25"/>
  <c r="NB93" i="25"/>
  <c r="HB93" i="25"/>
  <c r="DE93" i="25"/>
  <c r="IB93" i="25"/>
  <c r="JB93" i="25"/>
  <c r="FB93" i="25"/>
  <c r="NI89" i="25"/>
  <c r="PB89" i="25"/>
  <c r="SB89" i="25"/>
  <c r="OB89" i="25"/>
  <c r="KB89" i="25"/>
  <c r="GB89" i="25"/>
  <c r="RB89" i="25"/>
  <c r="QB89" i="25"/>
  <c r="MB89" i="25"/>
  <c r="IB89" i="25"/>
  <c r="LB89" i="25"/>
  <c r="EB89" i="25"/>
  <c r="NB89" i="25"/>
  <c r="HB89" i="25"/>
  <c r="DE89" i="25"/>
  <c r="JB89" i="25"/>
  <c r="FB89" i="25"/>
  <c r="SB98" i="25"/>
  <c r="OB98" i="25"/>
  <c r="KB98" i="25"/>
  <c r="GB98" i="25"/>
  <c r="RB98" i="25"/>
  <c r="QB98" i="25"/>
  <c r="MB98" i="25"/>
  <c r="IB98" i="25"/>
  <c r="EB98" i="25"/>
  <c r="PB98" i="25"/>
  <c r="NB98" i="25"/>
  <c r="HB98" i="25"/>
  <c r="DE98" i="25"/>
  <c r="JB98" i="25"/>
  <c r="FB98" i="25"/>
  <c r="LB98" i="25"/>
  <c r="IM96" i="25"/>
  <c r="QB96" i="25"/>
  <c r="MB96" i="25"/>
  <c r="IB96" i="25"/>
  <c r="EB96" i="25"/>
  <c r="PB96" i="25"/>
  <c r="SB96" i="25"/>
  <c r="OB96" i="25"/>
  <c r="KB96" i="25"/>
  <c r="GB96" i="25"/>
  <c r="RB96" i="25"/>
  <c r="JB96" i="25"/>
  <c r="FB96" i="25"/>
  <c r="LB96" i="25"/>
  <c r="NB96" i="25"/>
  <c r="HB96" i="25"/>
  <c r="DE96" i="25"/>
  <c r="QB107" i="25"/>
  <c r="MB107" i="25"/>
  <c r="IB107" i="25"/>
  <c r="EB107" i="25"/>
  <c r="PB107" i="25"/>
  <c r="SB107" i="25"/>
  <c r="OB107" i="25"/>
  <c r="KB107" i="25"/>
  <c r="JB107" i="25"/>
  <c r="FB107" i="25"/>
  <c r="GB107" i="25"/>
  <c r="LB107" i="25"/>
  <c r="RB107" i="25"/>
  <c r="NB107" i="25"/>
  <c r="HB107" i="25"/>
  <c r="DE107" i="25"/>
  <c r="QB115" i="25"/>
  <c r="MB115" i="25"/>
  <c r="IB115" i="25"/>
  <c r="EB115" i="25"/>
  <c r="PB115" i="25"/>
  <c r="SB115" i="25"/>
  <c r="OB115" i="25"/>
  <c r="GB115" i="25"/>
  <c r="RB115" i="25"/>
  <c r="JB115" i="25"/>
  <c r="FB115" i="25"/>
  <c r="LB115" i="25"/>
  <c r="KB115" i="25"/>
  <c r="NB115" i="25"/>
  <c r="HB115" i="25"/>
  <c r="DE115" i="25"/>
  <c r="JN90" i="25"/>
  <c r="MO90" i="25"/>
  <c r="QB76" i="25"/>
  <c r="MB76" i="25"/>
  <c r="IB76" i="25"/>
  <c r="EB76" i="25"/>
  <c r="PB76" i="25"/>
  <c r="SB76" i="25"/>
  <c r="OB76" i="25"/>
  <c r="KB76" i="25"/>
  <c r="GB76" i="25"/>
  <c r="RB76" i="25"/>
  <c r="JB76" i="25"/>
  <c r="FB76" i="25"/>
  <c r="LB76" i="25"/>
  <c r="NB76" i="25"/>
  <c r="HB76" i="25"/>
  <c r="DE76" i="25"/>
  <c r="SB78" i="25"/>
  <c r="OB78" i="25"/>
  <c r="KB78" i="25"/>
  <c r="GB78" i="25"/>
  <c r="RB78" i="25"/>
  <c r="QB78" i="25"/>
  <c r="MB78" i="25"/>
  <c r="IB78" i="25"/>
  <c r="EB78" i="25"/>
  <c r="NB78" i="25"/>
  <c r="HB78" i="25"/>
  <c r="DE78" i="25"/>
  <c r="PB78" i="25"/>
  <c r="JB78" i="25"/>
  <c r="FB78" i="25"/>
  <c r="LB78" i="25"/>
  <c r="SB118" i="25"/>
  <c r="OB118" i="25"/>
  <c r="KB118" i="25"/>
  <c r="GB118" i="25"/>
  <c r="RB118" i="25"/>
  <c r="QB118" i="25"/>
  <c r="MB118" i="25"/>
  <c r="IB118" i="25"/>
  <c r="EB118" i="25"/>
  <c r="NB118" i="25"/>
  <c r="HB118" i="25"/>
  <c r="DE118" i="25"/>
  <c r="JB118" i="25"/>
  <c r="FB118" i="25"/>
  <c r="PB118" i="25"/>
  <c r="LB118" i="25"/>
  <c r="QB83" i="25"/>
  <c r="MB83" i="25"/>
  <c r="IB83" i="25"/>
  <c r="EB83" i="25"/>
  <c r="PB83" i="25"/>
  <c r="SB83" i="25"/>
  <c r="OB83" i="25"/>
  <c r="GB83" i="25"/>
  <c r="RB83" i="25"/>
  <c r="JB83" i="25"/>
  <c r="FB83" i="25"/>
  <c r="LB83" i="25"/>
  <c r="KB83" i="25"/>
  <c r="NB83" i="25"/>
  <c r="HB83" i="25"/>
  <c r="DE83" i="25"/>
  <c r="QB67" i="25"/>
  <c r="MB67" i="25"/>
  <c r="IB67" i="25"/>
  <c r="EB67" i="25"/>
  <c r="PB67" i="25"/>
  <c r="SB67" i="25"/>
  <c r="OB67" i="25"/>
  <c r="GB67" i="25"/>
  <c r="RB67" i="25"/>
  <c r="JB67" i="25"/>
  <c r="FB67" i="25"/>
  <c r="LB67" i="25"/>
  <c r="KB67" i="25"/>
  <c r="NB67" i="25"/>
  <c r="HB67" i="25"/>
  <c r="DE67" i="25"/>
  <c r="QB84" i="25"/>
  <c r="MB84" i="25"/>
  <c r="IB84" i="25"/>
  <c r="EB84" i="25"/>
  <c r="PB84" i="25"/>
  <c r="SB84" i="25"/>
  <c r="OB84" i="25"/>
  <c r="KB84" i="25"/>
  <c r="GB84" i="25"/>
  <c r="RB84" i="25"/>
  <c r="JB84" i="25"/>
  <c r="FB84" i="25"/>
  <c r="LB84" i="25"/>
  <c r="NB84" i="25"/>
  <c r="HB84" i="25"/>
  <c r="DE84" i="25"/>
  <c r="QB68" i="25"/>
  <c r="MB68" i="25"/>
  <c r="IB68" i="25"/>
  <c r="EB68" i="25"/>
  <c r="PB68" i="25"/>
  <c r="SB68" i="25"/>
  <c r="OB68" i="25"/>
  <c r="KB68" i="25"/>
  <c r="GB68" i="25"/>
  <c r="RB68" i="25"/>
  <c r="JB68" i="25"/>
  <c r="FB68" i="25"/>
  <c r="LB68" i="25"/>
  <c r="NB68" i="25"/>
  <c r="HB68" i="25"/>
  <c r="DE68" i="25"/>
  <c r="PB85" i="25"/>
  <c r="SB85" i="25"/>
  <c r="OB85" i="25"/>
  <c r="KB85" i="25"/>
  <c r="GB85" i="25"/>
  <c r="RB85" i="25"/>
  <c r="QB85" i="25"/>
  <c r="MB85" i="25"/>
  <c r="LB85" i="25"/>
  <c r="IB85" i="25"/>
  <c r="NB85" i="25"/>
  <c r="HB85" i="25"/>
  <c r="DE85" i="25"/>
  <c r="EB85" i="25"/>
  <c r="JB85" i="25"/>
  <c r="FB85" i="25"/>
  <c r="PB69" i="25"/>
  <c r="SB69" i="25"/>
  <c r="OB69" i="25"/>
  <c r="KB69" i="25"/>
  <c r="GB69" i="25"/>
  <c r="RB69" i="25"/>
  <c r="QB69" i="25"/>
  <c r="MB69" i="25"/>
  <c r="LB69" i="25"/>
  <c r="IB69" i="25"/>
  <c r="NB69" i="25"/>
  <c r="HB69" i="25"/>
  <c r="DE69" i="25"/>
  <c r="EB69" i="25"/>
  <c r="JB69" i="25"/>
  <c r="FB69" i="25"/>
  <c r="SB86" i="25"/>
  <c r="OB86" i="25"/>
  <c r="KB86" i="25"/>
  <c r="GB86" i="25"/>
  <c r="RB86" i="25"/>
  <c r="QB86" i="25"/>
  <c r="MB86" i="25"/>
  <c r="IB86" i="25"/>
  <c r="EB86" i="25"/>
  <c r="NB86" i="25"/>
  <c r="HB86" i="25"/>
  <c r="DE86" i="25"/>
  <c r="JB86" i="25"/>
  <c r="FB86" i="25"/>
  <c r="PB86" i="25"/>
  <c r="LB86" i="25"/>
  <c r="SB70" i="25"/>
  <c r="OB70" i="25"/>
  <c r="KB70" i="25"/>
  <c r="GB70" i="25"/>
  <c r="RB70" i="25"/>
  <c r="QB70" i="25"/>
  <c r="MB70" i="25"/>
  <c r="IB70" i="25"/>
  <c r="EB70" i="25"/>
  <c r="NB70" i="25"/>
  <c r="HB70" i="25"/>
  <c r="DE70" i="25"/>
  <c r="JB70" i="25"/>
  <c r="FB70" i="25"/>
  <c r="PB70" i="25"/>
  <c r="LB70" i="25"/>
  <c r="SB110" i="25"/>
  <c r="OB110" i="25"/>
  <c r="KB110" i="25"/>
  <c r="GB110" i="25"/>
  <c r="RB110" i="25"/>
  <c r="QB110" i="25"/>
  <c r="MB110" i="25"/>
  <c r="IB110" i="25"/>
  <c r="EB110" i="25"/>
  <c r="NB110" i="25"/>
  <c r="HB110" i="25"/>
  <c r="DE110" i="25"/>
  <c r="PB110" i="25"/>
  <c r="JB110" i="25"/>
  <c r="FB110" i="25"/>
  <c r="LB110" i="25"/>
  <c r="PB117" i="25"/>
  <c r="SB117" i="25"/>
  <c r="OB117" i="25"/>
  <c r="KB117" i="25"/>
  <c r="GB117" i="25"/>
  <c r="RB117" i="25"/>
  <c r="QB117" i="25"/>
  <c r="MB117" i="25"/>
  <c r="LB117" i="25"/>
  <c r="IB117" i="25"/>
  <c r="NB117" i="25"/>
  <c r="HB117" i="25"/>
  <c r="DE117" i="25"/>
  <c r="EB117" i="25"/>
  <c r="JB117" i="25"/>
  <c r="FB117" i="25"/>
  <c r="SB94" i="25"/>
  <c r="OB94" i="25"/>
  <c r="KB94" i="25"/>
  <c r="GB94" i="25"/>
  <c r="RB94" i="25"/>
  <c r="QB94" i="25"/>
  <c r="MB94" i="25"/>
  <c r="IB94" i="25"/>
  <c r="EB94" i="25"/>
  <c r="NB94" i="25"/>
  <c r="HB94" i="25"/>
  <c r="DE94" i="25"/>
  <c r="PB94" i="25"/>
  <c r="JB94" i="25"/>
  <c r="FB94" i="25"/>
  <c r="LB94" i="25"/>
  <c r="QB92" i="25"/>
  <c r="MB92" i="25"/>
  <c r="IB92" i="25"/>
  <c r="EB92" i="25"/>
  <c r="PB92" i="25"/>
  <c r="SB92" i="25"/>
  <c r="OB92" i="25"/>
  <c r="KB92" i="25"/>
  <c r="GB92" i="25"/>
  <c r="RB92" i="25"/>
  <c r="JB92" i="25"/>
  <c r="FB92" i="25"/>
  <c r="LB92" i="25"/>
  <c r="NB92" i="25"/>
  <c r="HB92" i="25"/>
  <c r="DE92" i="25"/>
  <c r="TO99" i="25"/>
  <c r="QB99" i="25"/>
  <c r="MB99" i="25"/>
  <c r="IB99" i="25"/>
  <c r="EB99" i="25"/>
  <c r="PB99" i="25"/>
  <c r="SB99" i="25"/>
  <c r="OB99" i="25"/>
  <c r="GB99" i="25"/>
  <c r="RB99" i="25"/>
  <c r="JB99" i="25"/>
  <c r="FB99" i="25"/>
  <c r="LB99" i="25"/>
  <c r="KB99" i="25"/>
  <c r="NB99" i="25"/>
  <c r="HB99" i="25"/>
  <c r="DE99" i="25"/>
  <c r="QB75" i="25"/>
  <c r="MB75" i="25"/>
  <c r="IB75" i="25"/>
  <c r="EB75" i="25"/>
  <c r="PB75" i="25"/>
  <c r="SB75" i="25"/>
  <c r="OB75" i="25"/>
  <c r="KB75" i="25"/>
  <c r="JB75" i="25"/>
  <c r="FB75" i="25"/>
  <c r="GB75" i="25"/>
  <c r="LB75" i="25"/>
  <c r="RB75" i="25"/>
  <c r="NB75" i="25"/>
  <c r="HB75" i="25"/>
  <c r="DE75" i="25"/>
  <c r="PB77" i="25"/>
  <c r="SB77" i="25"/>
  <c r="OB77" i="25"/>
  <c r="KB77" i="25"/>
  <c r="GB77" i="25"/>
  <c r="RB77" i="25"/>
  <c r="QB77" i="25"/>
  <c r="MB77" i="25"/>
  <c r="EB77" i="25"/>
  <c r="LB77" i="25"/>
  <c r="NB77" i="25"/>
  <c r="HB77" i="25"/>
  <c r="DE77" i="25"/>
  <c r="IB77" i="25"/>
  <c r="JB77" i="25"/>
  <c r="FB77" i="25"/>
  <c r="QB87" i="25"/>
  <c r="MB87" i="25"/>
  <c r="IB87" i="25"/>
  <c r="EB87" i="25"/>
  <c r="PB87" i="25"/>
  <c r="SB87" i="25"/>
  <c r="OB87" i="25"/>
  <c r="RB87" i="25"/>
  <c r="JB87" i="25"/>
  <c r="FB87" i="25"/>
  <c r="KB87" i="25"/>
  <c r="LB87" i="25"/>
  <c r="GB87" i="25"/>
  <c r="NB87" i="25"/>
  <c r="HB87" i="25"/>
  <c r="DE87" i="25"/>
  <c r="QB71" i="25"/>
  <c r="MB71" i="25"/>
  <c r="IB71" i="25"/>
  <c r="EB71" i="25"/>
  <c r="PB71" i="25"/>
  <c r="SB71" i="25"/>
  <c r="OB71" i="25"/>
  <c r="RB71" i="25"/>
  <c r="JB71" i="25"/>
  <c r="FB71" i="25"/>
  <c r="KB71" i="25"/>
  <c r="LB71" i="25"/>
  <c r="GB71" i="25"/>
  <c r="NB71" i="25"/>
  <c r="HB71" i="25"/>
  <c r="DE71" i="25"/>
  <c r="QB88" i="25"/>
  <c r="MB88" i="25"/>
  <c r="IB88" i="25"/>
  <c r="EB88" i="25"/>
  <c r="PB88" i="25"/>
  <c r="SB88" i="25"/>
  <c r="OB88" i="25"/>
  <c r="KB88" i="25"/>
  <c r="GB88" i="25"/>
  <c r="RB88" i="25"/>
  <c r="JB88" i="25"/>
  <c r="FB88" i="25"/>
  <c r="LB88" i="25"/>
  <c r="NB88" i="25"/>
  <c r="HB88" i="25"/>
  <c r="DE88" i="25"/>
  <c r="QB72" i="25"/>
  <c r="MB72" i="25"/>
  <c r="IB72" i="25"/>
  <c r="EB72" i="25"/>
  <c r="PB72" i="25"/>
  <c r="SB72" i="25"/>
  <c r="OB72" i="25"/>
  <c r="KB72" i="25"/>
  <c r="GB72" i="25"/>
  <c r="RB72" i="25"/>
  <c r="JB72" i="25"/>
  <c r="FB72" i="25"/>
  <c r="LB72" i="25"/>
  <c r="NB72" i="25"/>
  <c r="HB72" i="25"/>
  <c r="DE72" i="25"/>
  <c r="QB56" i="25"/>
  <c r="MB56" i="25"/>
  <c r="IB56" i="25"/>
  <c r="EB56" i="25"/>
  <c r="PB56" i="25"/>
  <c r="SB56" i="25"/>
  <c r="OB56" i="25"/>
  <c r="KB56" i="25"/>
  <c r="GB56" i="25"/>
  <c r="RB56" i="25"/>
  <c r="JB56" i="25"/>
  <c r="FB56" i="25"/>
  <c r="LB56" i="25"/>
  <c r="NB56" i="25"/>
  <c r="HB56" i="25"/>
  <c r="DE56" i="25"/>
  <c r="PB73" i="25"/>
  <c r="SB73" i="25"/>
  <c r="OB73" i="25"/>
  <c r="KB73" i="25"/>
  <c r="GB73" i="25"/>
  <c r="RB73" i="25"/>
  <c r="QB73" i="25"/>
  <c r="MB73" i="25"/>
  <c r="IB73" i="25"/>
  <c r="LB73" i="25"/>
  <c r="EB73" i="25"/>
  <c r="NB73" i="25"/>
  <c r="HB73" i="25"/>
  <c r="DE73" i="25"/>
  <c r="JB73" i="25"/>
  <c r="FB73" i="25"/>
  <c r="PB57" i="25"/>
  <c r="SB57" i="25"/>
  <c r="OB57" i="25"/>
  <c r="KB57" i="25"/>
  <c r="GB57" i="25"/>
  <c r="RB57" i="25"/>
  <c r="QB57" i="25"/>
  <c r="MB57" i="25"/>
  <c r="IB57" i="25"/>
  <c r="LB57" i="25"/>
  <c r="EB57" i="25"/>
  <c r="NB57" i="25"/>
  <c r="HB57" i="25"/>
  <c r="DE57" i="25"/>
  <c r="JB57" i="25"/>
  <c r="FB57" i="25"/>
  <c r="SB74" i="25"/>
  <c r="OB74" i="25"/>
  <c r="KB74" i="25"/>
  <c r="GB74" i="25"/>
  <c r="RB74" i="25"/>
  <c r="QB74" i="25"/>
  <c r="MB74" i="25"/>
  <c r="IB74" i="25"/>
  <c r="EB74" i="25"/>
  <c r="NB74" i="25"/>
  <c r="HB74" i="25"/>
  <c r="DE74" i="25"/>
  <c r="PB74" i="25"/>
  <c r="JB74" i="25"/>
  <c r="FB74" i="25"/>
  <c r="LB74" i="25"/>
  <c r="SB58" i="25"/>
  <c r="OB58" i="25"/>
  <c r="KB58" i="25"/>
  <c r="GB58" i="25"/>
  <c r="RB58" i="25"/>
  <c r="QB58" i="25"/>
  <c r="MB58" i="25"/>
  <c r="IB58" i="25"/>
  <c r="EB58" i="25"/>
  <c r="NB58" i="25"/>
  <c r="HB58" i="25"/>
  <c r="DE58" i="25"/>
  <c r="PB58" i="25"/>
  <c r="JB58" i="25"/>
  <c r="FB58" i="25"/>
  <c r="LB58" i="25"/>
  <c r="SB114" i="25"/>
  <c r="OB114" i="25"/>
  <c r="KB114" i="25"/>
  <c r="GB114" i="25"/>
  <c r="RB114" i="25"/>
  <c r="QB114" i="25"/>
  <c r="MB114" i="25"/>
  <c r="IB114" i="25"/>
  <c r="EB114" i="25"/>
  <c r="PB114" i="25"/>
  <c r="NB114" i="25"/>
  <c r="HB114" i="25"/>
  <c r="DE114" i="25"/>
  <c r="JB114" i="25"/>
  <c r="FB114" i="25"/>
  <c r="LB114" i="25"/>
  <c r="KT113" i="25"/>
  <c r="PB113" i="25"/>
  <c r="SB113" i="25"/>
  <c r="OB113" i="25"/>
  <c r="KB113" i="25"/>
  <c r="GB113" i="25"/>
  <c r="RB113" i="25"/>
  <c r="QB113" i="25"/>
  <c r="MB113" i="25"/>
  <c r="LB113" i="25"/>
  <c r="NB113" i="25"/>
  <c r="HB113" i="25"/>
  <c r="DE113" i="25"/>
  <c r="IB113" i="25"/>
  <c r="EB113" i="25"/>
  <c r="JB113" i="25"/>
  <c r="FB113" i="25"/>
  <c r="PB105" i="25"/>
  <c r="SB105" i="25"/>
  <c r="OB105" i="25"/>
  <c r="KB105" i="25"/>
  <c r="GB105" i="25"/>
  <c r="RB105" i="25"/>
  <c r="QB105" i="25"/>
  <c r="MB105" i="25"/>
  <c r="IB105" i="25"/>
  <c r="LB105" i="25"/>
  <c r="EB105" i="25"/>
  <c r="NB105" i="25"/>
  <c r="HB105" i="25"/>
  <c r="DE105" i="25"/>
  <c r="JB105" i="25"/>
  <c r="FB105" i="25"/>
  <c r="PB97" i="25"/>
  <c r="SB97" i="25"/>
  <c r="OB97" i="25"/>
  <c r="KB97" i="25"/>
  <c r="GB97" i="25"/>
  <c r="RB97" i="25"/>
  <c r="QB97" i="25"/>
  <c r="MB97" i="25"/>
  <c r="LB97" i="25"/>
  <c r="NB97" i="25"/>
  <c r="HB97" i="25"/>
  <c r="DE97" i="25"/>
  <c r="IB97" i="25"/>
  <c r="EB97" i="25"/>
  <c r="JB97" i="25"/>
  <c r="FB97" i="25"/>
  <c r="LD91" i="25"/>
  <c r="QB91" i="25"/>
  <c r="MB91" i="25"/>
  <c r="IB91" i="25"/>
  <c r="EB91" i="25"/>
  <c r="PB91" i="25"/>
  <c r="SB91" i="25"/>
  <c r="OB91" i="25"/>
  <c r="KB91" i="25"/>
  <c r="JB91" i="25"/>
  <c r="FB91" i="25"/>
  <c r="GB91" i="25"/>
  <c r="LB91" i="25"/>
  <c r="RB91" i="25"/>
  <c r="NB91" i="25"/>
  <c r="HB91" i="25"/>
  <c r="DE91" i="25"/>
  <c r="MG104" i="25"/>
  <c r="QB104" i="25"/>
  <c r="MB104" i="25"/>
  <c r="IB104" i="25"/>
  <c r="EB104" i="25"/>
  <c r="PB104" i="25"/>
  <c r="SB104" i="25"/>
  <c r="OB104" i="25"/>
  <c r="KB104" i="25"/>
  <c r="GB104" i="25"/>
  <c r="RB104" i="25"/>
  <c r="JB104" i="25"/>
  <c r="FB104" i="25"/>
  <c r="LB104" i="25"/>
  <c r="NB104" i="25"/>
  <c r="HB104" i="25"/>
  <c r="DE104" i="25"/>
  <c r="BF108" i="25"/>
  <c r="QB108" i="25"/>
  <c r="MB108" i="25"/>
  <c r="IB108" i="25"/>
  <c r="EB108" i="25"/>
  <c r="PB108" i="25"/>
  <c r="SB108" i="25"/>
  <c r="OB108" i="25"/>
  <c r="KB108" i="25"/>
  <c r="GB108" i="25"/>
  <c r="RB108" i="25"/>
  <c r="JB108" i="25"/>
  <c r="FB108" i="25"/>
  <c r="LB108" i="25"/>
  <c r="NB108" i="25"/>
  <c r="HB108" i="25"/>
  <c r="DE108" i="25"/>
  <c r="QB95" i="25"/>
  <c r="MB95" i="25"/>
  <c r="IB95" i="25"/>
  <c r="EB95" i="25"/>
  <c r="PB95" i="25"/>
  <c r="SB95" i="25"/>
  <c r="OB95" i="25"/>
  <c r="KB95" i="25"/>
  <c r="GB95" i="25"/>
  <c r="JB95" i="25"/>
  <c r="FB95" i="25"/>
  <c r="RB95" i="25"/>
  <c r="LB95" i="25"/>
  <c r="NB95" i="25"/>
  <c r="HB95" i="25"/>
  <c r="DE95" i="25"/>
  <c r="QB111" i="25"/>
  <c r="MB111" i="25"/>
  <c r="IB111" i="25"/>
  <c r="EB111" i="25"/>
  <c r="PB111" i="25"/>
  <c r="SB111" i="25"/>
  <c r="OB111" i="25"/>
  <c r="KB111" i="25"/>
  <c r="GB111" i="25"/>
  <c r="JB111" i="25"/>
  <c r="FB111" i="25"/>
  <c r="RB111" i="25"/>
  <c r="LB111" i="25"/>
  <c r="NB111" i="25"/>
  <c r="HB111" i="25"/>
  <c r="DE111" i="25"/>
  <c r="Q26" i="35"/>
  <c r="Q25" i="35"/>
  <c r="Q22" i="35"/>
  <c r="Q19" i="35" s="1"/>
  <c r="Q24" i="35"/>
  <c r="MQ113" i="25"/>
  <c r="QK113" i="25"/>
  <c r="JR105" i="25"/>
  <c r="MR105" i="25"/>
  <c r="MC105" i="25"/>
  <c r="NC105" i="25"/>
  <c r="SS105" i="25"/>
  <c r="DV113" i="25"/>
  <c r="HC105" i="25"/>
  <c r="JS105" i="25"/>
  <c r="NF105" i="25"/>
  <c r="QC105" i="25"/>
  <c r="KT96" i="25"/>
  <c r="LT96" i="25"/>
  <c r="JE98" i="25"/>
  <c r="JT98" i="25"/>
  <c r="ND98" i="25"/>
  <c r="JT99" i="25"/>
  <c r="JD99" i="25"/>
  <c r="CV92" i="25"/>
  <c r="JC98" i="25"/>
  <c r="QT100" i="25"/>
  <c r="OT100" i="25"/>
  <c r="OC100" i="25"/>
  <c r="ME100" i="25"/>
  <c r="MC100" i="25"/>
  <c r="KT100" i="25"/>
  <c r="L116" i="42"/>
  <c r="R116" i="42" s="1"/>
  <c r="SC100" i="25"/>
  <c r="L117" i="42"/>
  <c r="R117" i="42" s="1"/>
  <c r="LC100" i="25"/>
  <c r="JE100" i="25"/>
  <c r="KC100" i="25"/>
  <c r="ND100" i="25"/>
  <c r="PC100" i="25"/>
  <c r="NE100" i="25"/>
  <c r="NC100" i="25"/>
  <c r="RT100" i="25"/>
  <c r="QT92" i="25"/>
  <c r="QT99" i="25"/>
  <c r="MT99" i="25"/>
  <c r="MC96" i="25"/>
  <c r="MT92" i="25"/>
  <c r="KT92" i="25"/>
  <c r="KC98" i="25"/>
  <c r="KE92" i="25"/>
  <c r="IE98" i="25"/>
  <c r="IE99" i="25"/>
  <c r="IE92" i="25"/>
  <c r="GG92" i="25"/>
  <c r="RD92" i="25"/>
  <c r="RC99" i="25"/>
  <c r="RT98" i="25"/>
  <c r="PC99" i="25"/>
  <c r="FG92" i="25"/>
  <c r="FC92" i="25"/>
  <c r="FD92" i="25"/>
  <c r="I61" i="25"/>
  <c r="S61" i="25" s="1"/>
  <c r="NE99" i="25"/>
  <c r="ME98" i="25"/>
  <c r="NT98" i="25"/>
  <c r="RC98" i="25"/>
  <c r="NT99" i="25"/>
  <c r="NC99" i="25"/>
  <c r="PD99" i="25"/>
  <c r="GG99" i="25"/>
  <c r="LD98" i="25"/>
  <c r="LE98" i="25"/>
  <c r="IE96" i="25"/>
  <c r="JE96" i="25"/>
  <c r="PT98" i="25"/>
  <c r="OT99" i="25"/>
  <c r="QC99" i="25"/>
  <c r="NE98" i="25"/>
  <c r="LC98" i="25"/>
  <c r="OE98" i="25"/>
  <c r="PC98" i="25"/>
  <c r="OE99" i="25"/>
  <c r="OC99" i="25"/>
  <c r="JE92" i="25"/>
  <c r="OC92" i="25"/>
  <c r="QC92" i="25"/>
  <c r="ND92" i="25"/>
  <c r="MC92" i="25"/>
  <c r="ME92" i="25"/>
  <c r="SC92" i="25"/>
  <c r="RT92" i="25"/>
  <c r="NP108" i="25"/>
  <c r="IK104" i="25"/>
  <c r="II105" i="25"/>
  <c r="DW105" i="25"/>
  <c r="KQ105" i="25"/>
  <c r="LA105" i="25"/>
  <c r="MS105" i="25"/>
  <c r="PT105" i="25"/>
  <c r="PD105" i="25"/>
  <c r="RF105" i="25"/>
  <c r="FJ104" i="25"/>
  <c r="DW104" i="25"/>
  <c r="MT104" i="25"/>
  <c r="JT104" i="25"/>
  <c r="NJ104" i="25"/>
  <c r="QT104" i="25"/>
  <c r="RF104" i="25"/>
  <c r="RC91" i="25"/>
  <c r="GS108" i="25"/>
  <c r="GG108" i="25"/>
  <c r="LH108" i="25"/>
  <c r="HJ104" i="25"/>
  <c r="GO108" i="25"/>
  <c r="RO104" i="25"/>
  <c r="PO108" i="25"/>
  <c r="CV104" i="25"/>
  <c r="DA108" i="25"/>
  <c r="CK108" i="25"/>
  <c r="BP108" i="25"/>
  <c r="AE108" i="19" s="1"/>
  <c r="FP108" i="25"/>
  <c r="IA104" i="25"/>
  <c r="II104" i="25"/>
  <c r="JK104" i="25"/>
  <c r="KK104" i="25"/>
  <c r="LI104" i="25"/>
  <c r="MR104" i="25"/>
  <c r="PI104" i="25"/>
  <c r="OR104" i="25"/>
  <c r="SE104" i="25"/>
  <c r="OA91" i="25"/>
  <c r="EW104" i="25"/>
  <c r="IN104" i="25"/>
  <c r="DV104" i="25"/>
  <c r="EM104" i="25"/>
  <c r="JR104" i="25"/>
  <c r="LA104" i="25"/>
  <c r="NK104" i="25"/>
  <c r="NS104" i="25"/>
  <c r="QK104" i="25"/>
  <c r="RR104" i="25"/>
  <c r="EW108" i="25"/>
  <c r="EL108" i="25"/>
  <c r="HI108" i="25"/>
  <c r="RH104" i="25"/>
  <c r="GI96" i="25"/>
  <c r="EA108" i="25"/>
  <c r="LO104" i="25"/>
  <c r="KO108" i="25"/>
  <c r="MN108" i="25"/>
  <c r="CV108" i="25"/>
  <c r="IT108" i="25"/>
  <c r="OG108" i="25"/>
  <c r="DR108" i="25"/>
  <c r="BN108" i="25"/>
  <c r="NE92" i="25"/>
  <c r="KE99" i="25"/>
  <c r="LE92" i="25"/>
  <c r="QS105" i="25"/>
  <c r="SK105" i="25"/>
  <c r="HN100" i="25"/>
  <c r="RN100" i="25"/>
  <c r="OA105" i="25"/>
  <c r="QK105" i="25"/>
  <c r="HA100" i="25"/>
  <c r="ER100" i="25"/>
  <c r="OO100" i="25"/>
  <c r="JN100" i="25"/>
  <c r="QM100" i="25"/>
  <c r="HT99" i="25"/>
  <c r="CW99" i="25"/>
  <c r="QG99" i="25"/>
  <c r="JE99" i="25"/>
  <c r="QT98" i="25"/>
  <c r="KC99" i="25"/>
  <c r="ST99" i="25"/>
  <c r="IT99" i="25"/>
  <c r="BQ99" i="25"/>
  <c r="OT98" i="25"/>
  <c r="SC98" i="25"/>
  <c r="LD99" i="25"/>
  <c r="LE99" i="25"/>
  <c r="RD99" i="25"/>
  <c r="CV99" i="25"/>
  <c r="LT99" i="25"/>
  <c r="SC99" i="25"/>
  <c r="CL92" i="25"/>
  <c r="PC92" i="25"/>
  <c r="JD92" i="25"/>
  <c r="JC92" i="25"/>
  <c r="JA95" i="25"/>
  <c r="OT95" i="25"/>
  <c r="RI95" i="25"/>
  <c r="RD95" i="25"/>
  <c r="SC91" i="25"/>
  <c r="KI91" i="25"/>
  <c r="JA91" i="25"/>
  <c r="LC91" i="25"/>
  <c r="NI91" i="25"/>
  <c r="HA95" i="25"/>
  <c r="HA91" i="25"/>
  <c r="RM91" i="25"/>
  <c r="IT92" i="25"/>
  <c r="SA95" i="25"/>
  <c r="N108" i="42"/>
  <c r="D108" i="42"/>
  <c r="JD96" i="25"/>
  <c r="NT96" i="25"/>
  <c r="RC96" i="25"/>
  <c r="IC92" i="25"/>
  <c r="LC92" i="25"/>
  <c r="KC92" i="25"/>
  <c r="BJ92" i="25" s="1"/>
  <c r="JT92" i="25"/>
  <c r="NC92" i="25"/>
  <c r="JI95" i="25"/>
  <c r="QT95" i="25"/>
  <c r="IC91" i="25"/>
  <c r="II91" i="25"/>
  <c r="KA91" i="25"/>
  <c r="LA91" i="25"/>
  <c r="MI91" i="25"/>
  <c r="LN91" i="25"/>
  <c r="LO95" i="25"/>
  <c r="GM91" i="25"/>
  <c r="KO95" i="25"/>
  <c r="N104" i="42"/>
  <c r="L104" i="42"/>
  <c r="T104" i="42"/>
  <c r="C104" i="42"/>
  <c r="D104" i="42"/>
  <c r="G104" i="42"/>
  <c r="PD92" i="25"/>
  <c r="NA95" i="25"/>
  <c r="OI91" i="25"/>
  <c r="NE91" i="25"/>
  <c r="OT92" i="25"/>
  <c r="KI95" i="25"/>
  <c r="LA95" i="25"/>
  <c r="MI95" i="25"/>
  <c r="IA91" i="25"/>
  <c r="LI91" i="25"/>
  <c r="HN95" i="25"/>
  <c r="QO95" i="25"/>
  <c r="L100" i="42"/>
  <c r="L102" i="42"/>
  <c r="R102" i="42"/>
  <c r="T101" i="42"/>
  <c r="G94" i="42"/>
  <c r="D94" i="42"/>
  <c r="C91" i="42"/>
  <c r="G75" i="42"/>
  <c r="N75" i="42"/>
  <c r="D82" i="42"/>
  <c r="G87" i="42"/>
  <c r="D71" i="42"/>
  <c r="G81" i="42"/>
  <c r="T83" i="42"/>
  <c r="G90" i="42"/>
  <c r="N90" i="42"/>
  <c r="G74" i="42"/>
  <c r="L79" i="42"/>
  <c r="AL7" i="19"/>
  <c r="AJ9" i="19"/>
  <c r="AL9" i="19" s="1"/>
  <c r="SG99" i="25"/>
  <c r="QG92" i="25"/>
  <c r="SG92" i="25"/>
  <c r="QG100" i="25"/>
  <c r="SP108" i="25"/>
  <c r="JT117" i="25"/>
  <c r="DR90" i="25"/>
  <c r="FO90" i="25"/>
  <c r="SO90" i="25"/>
  <c r="QO90" i="25"/>
  <c r="NN90" i="25"/>
  <c r="PM90" i="25"/>
  <c r="KO90" i="25"/>
  <c r="IN90" i="25"/>
  <c r="HN90" i="25"/>
  <c r="HM90" i="25"/>
  <c r="ES90" i="25"/>
  <c r="EA90" i="25"/>
  <c r="DD90" i="25"/>
  <c r="QT90" i="25"/>
  <c r="ND90" i="25"/>
  <c r="LA90" i="25"/>
  <c r="JC90" i="25"/>
  <c r="MT90" i="25"/>
  <c r="MI90" i="25"/>
  <c r="IT90" i="25"/>
  <c r="ST90" i="25"/>
  <c r="DP90" i="25"/>
  <c r="RO90" i="25"/>
  <c r="RM90" i="25"/>
  <c r="PO90" i="25"/>
  <c r="NM90" i="25"/>
  <c r="MM90" i="25"/>
  <c r="JO90" i="25"/>
  <c r="JM90" i="25"/>
  <c r="GO90" i="25"/>
  <c r="IO90" i="25"/>
  <c r="OO90" i="25"/>
  <c r="LO90" i="25"/>
  <c r="EQ90" i="25"/>
  <c r="EX90" i="25"/>
  <c r="DL90" i="25"/>
  <c r="GC90" i="25"/>
  <c r="FG90" i="25"/>
  <c r="GA90" i="25"/>
  <c r="FA90" i="25"/>
  <c r="SC90" i="25"/>
  <c r="PD90" i="25"/>
  <c r="OA90" i="25"/>
  <c r="DQ90" i="25"/>
  <c r="SG90" i="25"/>
  <c r="SN90" i="25"/>
  <c r="QN90" i="25"/>
  <c r="PN90" i="25"/>
  <c r="MN90" i="25"/>
  <c r="KM90" i="25"/>
  <c r="KN90" i="25"/>
  <c r="HO90" i="25"/>
  <c r="SM90" i="25"/>
  <c r="OM90" i="25"/>
  <c r="LM90" i="25"/>
  <c r="ER90" i="25"/>
  <c r="DJ90" i="25"/>
  <c r="HI90" i="25"/>
  <c r="GI90" i="25"/>
  <c r="EL90" i="25"/>
  <c r="GD90" i="25"/>
  <c r="QI90" i="25"/>
  <c r="PI90" i="25"/>
  <c r="NI90" i="25"/>
  <c r="NT90" i="25"/>
  <c r="KA90" i="25"/>
  <c r="MA90" i="25"/>
  <c r="JI90" i="25"/>
  <c r="II90" i="25"/>
  <c r="FI90" i="25"/>
  <c r="IA90" i="25"/>
  <c r="DQ103" i="25"/>
  <c r="RO103" i="25"/>
  <c r="SN103" i="25"/>
  <c r="PO103" i="25"/>
  <c r="NM103" i="25"/>
  <c r="MM103" i="25"/>
  <c r="JN103" i="25"/>
  <c r="IM103" i="25"/>
  <c r="GN103" i="25"/>
  <c r="SM103" i="25"/>
  <c r="ON103" i="25"/>
  <c r="LM103" i="25"/>
  <c r="ES103" i="25"/>
  <c r="EA103" i="25"/>
  <c r="DL103" i="25"/>
  <c r="GD103" i="25"/>
  <c r="FG103" i="25"/>
  <c r="EL103" i="25"/>
  <c r="RC103" i="25"/>
  <c r="ND103" i="25"/>
  <c r="NC103" i="25"/>
  <c r="NT103" i="25"/>
  <c r="MA103" i="25"/>
  <c r="JI103" i="25"/>
  <c r="MI103" i="25"/>
  <c r="LA103" i="25"/>
  <c r="KC103" i="25"/>
  <c r="SC103" i="25"/>
  <c r="FM103" i="25"/>
  <c r="FN103" i="25"/>
  <c r="RM103" i="25"/>
  <c r="QN103" i="25"/>
  <c r="PN103" i="25"/>
  <c r="MN103" i="25"/>
  <c r="KO103" i="25"/>
  <c r="IN103" i="25"/>
  <c r="HN103" i="25"/>
  <c r="GM103" i="25"/>
  <c r="OO103" i="25"/>
  <c r="LN103" i="25"/>
  <c r="EC103" i="25"/>
  <c r="DD103" i="25"/>
  <c r="HT103" i="25"/>
  <c r="HA103" i="25"/>
  <c r="FT103" i="25"/>
  <c r="ST103" i="25"/>
  <c r="QI103" i="25"/>
  <c r="JA103" i="25"/>
  <c r="KI103" i="25"/>
  <c r="HE103" i="25"/>
  <c r="HD103" i="25"/>
  <c r="FI103" i="25"/>
  <c r="DR103" i="25"/>
  <c r="FO103" i="25"/>
  <c r="SO103" i="25"/>
  <c r="NO103" i="25"/>
  <c r="QM103" i="25"/>
  <c r="MO103" i="25"/>
  <c r="JO103" i="25"/>
  <c r="JM103" i="25"/>
  <c r="GO103" i="25"/>
  <c r="HM103" i="25"/>
  <c r="LO103" i="25"/>
  <c r="EQ103" i="25"/>
  <c r="GG103" i="25"/>
  <c r="FD103" i="25"/>
  <c r="RT103" i="25"/>
  <c r="RI103" i="25"/>
  <c r="PI103" i="25"/>
  <c r="NI103" i="25"/>
  <c r="OA103" i="25"/>
  <c r="OE103" i="25" s="1"/>
  <c r="LI103" i="25"/>
  <c r="JT103" i="25"/>
  <c r="IC103" i="25"/>
  <c r="IA103" i="25"/>
  <c r="IE103" i="25" s="1"/>
  <c r="I81" i="25"/>
  <c r="I113" i="25"/>
  <c r="I115" i="25"/>
  <c r="I99" i="25"/>
  <c r="BW115" i="25"/>
  <c r="NN115" i="25"/>
  <c r="HN115" i="25"/>
  <c r="PH115" i="25"/>
  <c r="GS115" i="25"/>
  <c r="AY115" i="25"/>
  <c r="SR115" i="25"/>
  <c r="PK115" i="25"/>
  <c r="MS115" i="25"/>
  <c r="KS115" i="25"/>
  <c r="DG115" i="25"/>
  <c r="BQ115" i="25"/>
  <c r="CR115" i="25"/>
  <c r="SN115" i="25"/>
  <c r="KO115" i="25"/>
  <c r="HJ115" i="25"/>
  <c r="AX115" i="25"/>
  <c r="MK115" i="25"/>
  <c r="FC115" i="25"/>
  <c r="IP115" i="25"/>
  <c r="QG115" i="25"/>
  <c r="CX115" i="25"/>
  <c r="FQ115" i="25"/>
  <c r="CG115" i="25"/>
  <c r="SJ115" i="25"/>
  <c r="PI115" i="25"/>
  <c r="NE115" i="25"/>
  <c r="LE115" i="25"/>
  <c r="FK115" i="25"/>
  <c r="DQ96" i="25"/>
  <c r="PN96" i="25"/>
  <c r="DD96" i="25"/>
  <c r="HI96" i="25"/>
  <c r="SC96" i="25"/>
  <c r="RI96" i="25"/>
  <c r="QT96" i="25"/>
  <c r="OA96" i="25"/>
  <c r="OE96" i="25" s="1"/>
  <c r="NC96" i="25"/>
  <c r="LA96" i="25"/>
  <c r="LE96" i="25" s="1"/>
  <c r="JT96" i="25"/>
  <c r="LI96" i="25"/>
  <c r="QN96" i="25"/>
  <c r="LO96" i="25"/>
  <c r="GN96" i="25"/>
  <c r="EL96" i="25"/>
  <c r="RT96" i="25"/>
  <c r="SI96" i="25"/>
  <c r="OC96" i="25"/>
  <c r="NE96" i="25"/>
  <c r="LD96" i="25"/>
  <c r="KA96" i="25"/>
  <c r="KE96" i="25" s="1"/>
  <c r="NP112" i="25"/>
  <c r="LO112" i="25"/>
  <c r="DD112" i="25"/>
  <c r="GR112" i="25"/>
  <c r="SK112" i="25"/>
  <c r="ST112" i="25"/>
  <c r="RC112" i="25"/>
  <c r="SS112" i="25"/>
  <c r="QC112" i="25"/>
  <c r="RE112" i="25"/>
  <c r="RS112" i="25"/>
  <c r="PK112" i="25"/>
  <c r="NI112" i="25"/>
  <c r="OE112" i="25"/>
  <c r="PE112" i="25"/>
  <c r="OC112" i="25"/>
  <c r="PD112" i="25"/>
  <c r="LT112" i="25"/>
  <c r="KI112" i="25"/>
  <c r="JJ112" i="25"/>
  <c r="MA112" i="25"/>
  <c r="KC112" i="25"/>
  <c r="JE112" i="25"/>
  <c r="MJ112" i="25"/>
  <c r="LC112" i="25"/>
  <c r="MI112" i="25"/>
  <c r="LQ112" i="25"/>
  <c r="JK112" i="25"/>
  <c r="EM112" i="25"/>
  <c r="DT112" i="25"/>
  <c r="HD112" i="25"/>
  <c r="FC112" i="25"/>
  <c r="GC112" i="25"/>
  <c r="DU112" i="25"/>
  <c r="FO112" i="25"/>
  <c r="HT112" i="25"/>
  <c r="FA112" i="25"/>
  <c r="CF112" i="25"/>
  <c r="SR112" i="25"/>
  <c r="SJ112" i="25"/>
  <c r="RR112" i="25"/>
  <c r="QS112" i="25"/>
  <c r="RF112" i="25"/>
  <c r="RT112" i="25"/>
  <c r="QQ112" i="25"/>
  <c r="QT112" i="25"/>
  <c r="PC112" i="25"/>
  <c r="OA112" i="25"/>
  <c r="OQ112" i="25"/>
  <c r="NC112" i="25"/>
  <c r="OT112" i="25"/>
  <c r="NF112" i="25"/>
  <c r="OS112" i="25"/>
  <c r="NE112" i="25"/>
  <c r="LJ112" i="25"/>
  <c r="KE112" i="25"/>
  <c r="JF112" i="25"/>
  <c r="MQ112" i="25"/>
  <c r="LD112" i="25"/>
  <c r="KA112" i="25"/>
  <c r="JC112" i="25"/>
  <c r="LR112" i="25"/>
  <c r="JD112" i="25"/>
  <c r="ME112" i="25"/>
  <c r="LK112" i="25"/>
  <c r="KT112" i="25"/>
  <c r="HE112" i="25"/>
  <c r="DN112" i="25"/>
  <c r="FD112" i="25"/>
  <c r="HC112" i="25"/>
  <c r="FK112" i="25"/>
  <c r="IQ112" i="25"/>
  <c r="RJ112" i="25"/>
  <c r="SO112" i="25"/>
  <c r="PH112" i="25"/>
  <c r="HQ112" i="25"/>
  <c r="BB112" i="25"/>
  <c r="QI112" i="25"/>
  <c r="QR112" i="25"/>
  <c r="QK112" i="25"/>
  <c r="QJ112" i="25"/>
  <c r="OR112" i="25"/>
  <c r="ND112" i="25"/>
  <c r="PT112" i="25"/>
  <c r="NR112" i="25"/>
  <c r="PS112" i="25"/>
  <c r="NQ112" i="25"/>
  <c r="PR112" i="25"/>
  <c r="NT112" i="25"/>
  <c r="LE112" i="25"/>
  <c r="MK112" i="25"/>
  <c r="LS112" i="25"/>
  <c r="KR112" i="25"/>
  <c r="JS112" i="25"/>
  <c r="KQ112" i="25"/>
  <c r="MC112" i="25"/>
  <c r="KJ112" i="25"/>
  <c r="JA112" i="25"/>
  <c r="DJ112" i="25"/>
  <c r="FI112" i="25"/>
  <c r="DW112" i="25"/>
  <c r="II112" i="25"/>
  <c r="DV112" i="25"/>
  <c r="FJ112" i="25"/>
  <c r="IA112" i="25"/>
  <c r="JT90" i="25"/>
  <c r="NC90" i="25"/>
  <c r="HC103" i="25"/>
  <c r="RD103" i="25"/>
  <c r="GA103" i="25"/>
  <c r="HD90" i="25"/>
  <c r="ON90" i="25"/>
  <c r="OM103" i="25"/>
  <c r="IM90" i="25"/>
  <c r="HO103" i="25"/>
  <c r="RN90" i="25"/>
  <c r="QO103" i="25"/>
  <c r="QG90" i="25"/>
  <c r="FN90" i="25"/>
  <c r="I120" i="25"/>
  <c r="NA90" i="25"/>
  <c r="IC90" i="25"/>
  <c r="JA90" i="25"/>
  <c r="JE90" i="25" s="1"/>
  <c r="JD90" i="25"/>
  <c r="RT90" i="25"/>
  <c r="RI90" i="25"/>
  <c r="EG103" i="25"/>
  <c r="MC103" i="25"/>
  <c r="OT103" i="25"/>
  <c r="OC103" i="25"/>
  <c r="QG103" i="25"/>
  <c r="FA103" i="25"/>
  <c r="HI103" i="25"/>
  <c r="HA90" i="25"/>
  <c r="GT90" i="25"/>
  <c r="LN90" i="25"/>
  <c r="GN90" i="25"/>
  <c r="IO103" i="25"/>
  <c r="NO90" i="25"/>
  <c r="NN103" i="25"/>
  <c r="IT103" i="25"/>
  <c r="IR115" i="25"/>
  <c r="DR115" i="25"/>
  <c r="OC90" i="25"/>
  <c r="II103" i="25"/>
  <c r="KA103" i="25"/>
  <c r="LE103" i="25"/>
  <c r="NE103" i="25"/>
  <c r="PC103" i="25"/>
  <c r="GI103" i="25"/>
  <c r="FT90" i="25"/>
  <c r="DJ103" i="25"/>
  <c r="ER103" i="25"/>
  <c r="GM90" i="25"/>
  <c r="KM103" i="25"/>
  <c r="QM90" i="25"/>
  <c r="PM103" i="25"/>
  <c r="DP103" i="25"/>
  <c r="JP108" i="25"/>
  <c r="I104" i="25"/>
  <c r="B80" i="3"/>
  <c r="I97" i="25"/>
  <c r="I86" i="25"/>
  <c r="B85" i="3"/>
  <c r="I118" i="25"/>
  <c r="I102" i="25"/>
  <c r="B82" i="3"/>
  <c r="I88" i="25"/>
  <c r="B87" i="3"/>
  <c r="B71" i="3"/>
  <c r="I116" i="25"/>
  <c r="I100" i="25"/>
  <c r="B92" i="3"/>
  <c r="E92" i="3" s="1"/>
  <c r="B76" i="3"/>
  <c r="I82" i="25"/>
  <c r="B81" i="3"/>
  <c r="I114" i="25"/>
  <c r="I98" i="25"/>
  <c r="I79" i="25"/>
  <c r="B78" i="3"/>
  <c r="I111" i="25"/>
  <c r="I95" i="25"/>
  <c r="B83" i="3"/>
  <c r="I112" i="25"/>
  <c r="I96" i="25"/>
  <c r="I105" i="25"/>
  <c r="I78" i="25"/>
  <c r="I110" i="25"/>
  <c r="I94" i="25"/>
  <c r="B74" i="3"/>
  <c r="I107" i="25"/>
  <c r="I91" i="25"/>
  <c r="I80" i="25"/>
  <c r="I108" i="25"/>
  <c r="I92" i="25"/>
  <c r="I117" i="25"/>
  <c r="I101" i="25"/>
  <c r="B89" i="3"/>
  <c r="C89" i="3" s="1"/>
  <c r="B73" i="3"/>
  <c r="I106" i="25"/>
  <c r="I90" i="25"/>
  <c r="I87" i="25"/>
  <c r="I119" i="25"/>
  <c r="I103" i="25"/>
  <c r="B91" i="3"/>
  <c r="E91" i="3" s="1"/>
  <c r="B75" i="3"/>
  <c r="GH118" i="25"/>
  <c r="ED118" i="25"/>
  <c r="TF118" i="25"/>
  <c r="GH113" i="25"/>
  <c r="TF113" i="25"/>
  <c r="ED113" i="25"/>
  <c r="GH105" i="25"/>
  <c r="TF105" i="25"/>
  <c r="ED105" i="25"/>
  <c r="ED90" i="25"/>
  <c r="ED103" i="25"/>
  <c r="GH112" i="25"/>
  <c r="TF112" i="25"/>
  <c r="ED112" i="25"/>
  <c r="GH115" i="25"/>
  <c r="TF115" i="25"/>
  <c r="ED115" i="25"/>
  <c r="GH106" i="25"/>
  <c r="ED106" i="25"/>
  <c r="TF106" i="25"/>
  <c r="ED92" i="25"/>
  <c r="GH107" i="25"/>
  <c r="TF107" i="25"/>
  <c r="ED107" i="25"/>
  <c r="ED99" i="25"/>
  <c r="GH110" i="25"/>
  <c r="ED110" i="25"/>
  <c r="TF110" i="25"/>
  <c r="GH109" i="25"/>
  <c r="TF109" i="25"/>
  <c r="ED109" i="25"/>
  <c r="GH104" i="25"/>
  <c r="TF104" i="25"/>
  <c r="ED104" i="25"/>
  <c r="GH108" i="25"/>
  <c r="TF108" i="25"/>
  <c r="ED108" i="25"/>
  <c r="GH111" i="25"/>
  <c r="TF111" i="25"/>
  <c r="ED111" i="25"/>
  <c r="GH114" i="25"/>
  <c r="ED114" i="25"/>
  <c r="TF114" i="25"/>
  <c r="GH117" i="25"/>
  <c r="TF117" i="25"/>
  <c r="ED117" i="25"/>
  <c r="GH116" i="25"/>
  <c r="TF116" i="25"/>
  <c r="ED116" i="25"/>
  <c r="UM83" i="25"/>
  <c r="UP83" i="25" s="1"/>
  <c r="UD83" i="25"/>
  <c r="UO83" i="25"/>
  <c r="UI83" i="25"/>
  <c r="UN83" i="25"/>
  <c r="UT83" i="25"/>
  <c r="UA83" i="25"/>
  <c r="UM67" i="25"/>
  <c r="UP67" i="25" s="1"/>
  <c r="UD67" i="25"/>
  <c r="UE67" i="25"/>
  <c r="UO67" i="25"/>
  <c r="UI67" i="25"/>
  <c r="UN67" i="25"/>
  <c r="UA67" i="25"/>
  <c r="UN84" i="25"/>
  <c r="UD84" i="25"/>
  <c r="UM84" i="25"/>
  <c r="UP84" i="25" s="1"/>
  <c r="UI84" i="25"/>
  <c r="UO84" i="25"/>
  <c r="UT84" i="25"/>
  <c r="UA84" i="25"/>
  <c r="UN68" i="25"/>
  <c r="UD68" i="25"/>
  <c r="UM68" i="25"/>
  <c r="UP68" i="25" s="1"/>
  <c r="UI68" i="25"/>
  <c r="UO68" i="25"/>
  <c r="UA68" i="25"/>
  <c r="UT68" i="25"/>
  <c r="UO85" i="25"/>
  <c r="UI85" i="25"/>
  <c r="UN85" i="25"/>
  <c r="UM85" i="25"/>
  <c r="UP85" i="25" s="1"/>
  <c r="UD85" i="25"/>
  <c r="UA85" i="25"/>
  <c r="UG85" i="25"/>
  <c r="UO69" i="25"/>
  <c r="UI69" i="25"/>
  <c r="UN69" i="25"/>
  <c r="UM69" i="25"/>
  <c r="UP69" i="25" s="1"/>
  <c r="UD69" i="25"/>
  <c r="UE69" i="25"/>
  <c r="UA69" i="25"/>
  <c r="UO86" i="25"/>
  <c r="UN86" i="25"/>
  <c r="UD86" i="25"/>
  <c r="UM86" i="25"/>
  <c r="UP86" i="25" s="1"/>
  <c r="UI86" i="25"/>
  <c r="UG86" i="25"/>
  <c r="UA86" i="25"/>
  <c r="UO70" i="25"/>
  <c r="UA70" i="25"/>
  <c r="UN70" i="25"/>
  <c r="UD70" i="25"/>
  <c r="UM70" i="25"/>
  <c r="UP70" i="25" s="1"/>
  <c r="UI70" i="25"/>
  <c r="UT70" i="25"/>
  <c r="UQ118" i="25"/>
  <c r="BJ118" i="25"/>
  <c r="UT118" i="25"/>
  <c r="US118" i="25"/>
  <c r="UR118" i="25"/>
  <c r="UP118" i="25"/>
  <c r="UE118" i="25"/>
  <c r="UK118" i="25"/>
  <c r="UO118" i="25"/>
  <c r="UH118" i="25"/>
  <c r="UJ118" i="25"/>
  <c r="UN118" i="25"/>
  <c r="UG118" i="25"/>
  <c r="UD118" i="25"/>
  <c r="UM118" i="25"/>
  <c r="UI118" i="25"/>
  <c r="UF118" i="25"/>
  <c r="UA118" i="25"/>
  <c r="UC118" i="25"/>
  <c r="UE102" i="25"/>
  <c r="UO102" i="25"/>
  <c r="UN102" i="25"/>
  <c r="UG102" i="25"/>
  <c r="UD102" i="25"/>
  <c r="UM102" i="25"/>
  <c r="UP102" i="25" s="1"/>
  <c r="UI102" i="25"/>
  <c r="UT102" i="25"/>
  <c r="UA102" i="25"/>
  <c r="UC102" i="25"/>
  <c r="UR117" i="25"/>
  <c r="UQ117" i="25"/>
  <c r="BJ117" i="25"/>
  <c r="UT117" i="25"/>
  <c r="US117" i="25"/>
  <c r="UK117" i="25"/>
  <c r="UO117" i="25"/>
  <c r="UI117" i="25"/>
  <c r="UE117" i="25"/>
  <c r="UJ117" i="25"/>
  <c r="UN117" i="25"/>
  <c r="UH117" i="25"/>
  <c r="UM117" i="25"/>
  <c r="UG117" i="25"/>
  <c r="UP117" i="25"/>
  <c r="UF117" i="25"/>
  <c r="UD117" i="25"/>
  <c r="UA117" i="25"/>
  <c r="UC117" i="25"/>
  <c r="UE94" i="25"/>
  <c r="UO94" i="25"/>
  <c r="UN94" i="25"/>
  <c r="UD94" i="25"/>
  <c r="UM94" i="25"/>
  <c r="UP94" i="25" s="1"/>
  <c r="UI94" i="25"/>
  <c r="UC94" i="25"/>
  <c r="UA94" i="25"/>
  <c r="UO90" i="25"/>
  <c r="UN90" i="25"/>
  <c r="UD90" i="25"/>
  <c r="UM90" i="25"/>
  <c r="UP90" i="25" s="1"/>
  <c r="UI90" i="25"/>
  <c r="UT90" i="25"/>
  <c r="UA90" i="25"/>
  <c r="UT103" i="25"/>
  <c r="UM103" i="25"/>
  <c r="UE103" i="25"/>
  <c r="UP103" i="25"/>
  <c r="UD103" i="25"/>
  <c r="UO103" i="25"/>
  <c r="UI103" i="25"/>
  <c r="UG103" i="25"/>
  <c r="UN103" i="25"/>
  <c r="UC103" i="25"/>
  <c r="UA103" i="25"/>
  <c r="BJ96" i="25"/>
  <c r="UN96" i="25"/>
  <c r="UD96" i="25"/>
  <c r="UM96" i="25"/>
  <c r="UP96" i="25" s="1"/>
  <c r="UI96" i="25"/>
  <c r="UO96" i="25"/>
  <c r="UG96" i="25"/>
  <c r="UA96" i="25"/>
  <c r="SA112" i="25"/>
  <c r="US112" i="25"/>
  <c r="UR112" i="25"/>
  <c r="UQ112" i="25"/>
  <c r="BJ112" i="25"/>
  <c r="UT112" i="25"/>
  <c r="UJ112" i="25"/>
  <c r="UN112" i="25"/>
  <c r="UE112" i="25"/>
  <c r="UD112" i="25"/>
  <c r="UM112" i="25"/>
  <c r="UI112" i="25"/>
  <c r="UH112" i="25"/>
  <c r="UP112" i="25"/>
  <c r="UG112" i="25"/>
  <c r="UK112" i="25"/>
  <c r="UO112" i="25"/>
  <c r="UF112" i="25"/>
  <c r="UC112" i="25"/>
  <c r="UA112" i="25"/>
  <c r="BJ107" i="25"/>
  <c r="UT107" i="25"/>
  <c r="US107" i="25"/>
  <c r="UR107" i="25"/>
  <c r="UQ107" i="25"/>
  <c r="UM107" i="25"/>
  <c r="UE107" i="25"/>
  <c r="UP107" i="25"/>
  <c r="UH107" i="25"/>
  <c r="UD107" i="25"/>
  <c r="UK107" i="25"/>
  <c r="UO107" i="25"/>
  <c r="UI107" i="25"/>
  <c r="UG107" i="25"/>
  <c r="UJ107" i="25"/>
  <c r="UN107" i="25"/>
  <c r="UF107" i="25"/>
  <c r="UC107" i="25"/>
  <c r="UA107" i="25"/>
  <c r="UM87" i="25"/>
  <c r="UP87" i="25" s="1"/>
  <c r="UD87" i="25"/>
  <c r="UO87" i="25"/>
  <c r="UI87" i="25"/>
  <c r="UN87" i="25"/>
  <c r="UT87" i="25"/>
  <c r="UA87" i="25"/>
  <c r="UM71" i="25"/>
  <c r="UP71" i="25" s="1"/>
  <c r="UD71" i="25"/>
  <c r="UE71" i="25"/>
  <c r="UO71" i="25"/>
  <c r="UI71" i="25"/>
  <c r="UN71" i="25"/>
  <c r="UA71" i="25"/>
  <c r="UN88" i="25"/>
  <c r="UD88" i="25"/>
  <c r="UM88" i="25"/>
  <c r="UP88" i="25" s="1"/>
  <c r="UI88" i="25"/>
  <c r="UO88" i="25"/>
  <c r="UE88" i="25"/>
  <c r="UA88" i="25"/>
  <c r="UN72" i="25"/>
  <c r="UD72" i="25"/>
  <c r="UM72" i="25"/>
  <c r="UP72" i="25" s="1"/>
  <c r="UI72" i="25"/>
  <c r="UO72" i="25"/>
  <c r="UA72" i="25"/>
  <c r="UT72" i="25"/>
  <c r="UO56" i="25"/>
  <c r="UN56" i="25"/>
  <c r="UM56" i="25"/>
  <c r="UP56" i="25" s="1"/>
  <c r="UD56" i="25"/>
  <c r="UI56" i="25"/>
  <c r="UA56" i="25"/>
  <c r="UT56" i="25"/>
  <c r="UO73" i="25"/>
  <c r="UI73" i="25"/>
  <c r="UN73" i="25"/>
  <c r="UM73" i="25"/>
  <c r="UP73" i="25" s="1"/>
  <c r="UD73" i="25"/>
  <c r="UG73" i="25"/>
  <c r="UA73" i="25"/>
  <c r="UP57" i="25"/>
  <c r="UO57" i="25"/>
  <c r="UN57" i="25"/>
  <c r="UM57" i="25"/>
  <c r="UI57" i="25"/>
  <c r="UD57" i="25"/>
  <c r="UT57" i="25"/>
  <c r="UA57" i="25"/>
  <c r="UC57" i="25"/>
  <c r="UO74" i="25"/>
  <c r="UA74" i="25"/>
  <c r="UN74" i="25"/>
  <c r="UD74" i="25"/>
  <c r="UM74" i="25"/>
  <c r="UP74" i="25" s="1"/>
  <c r="UI74" i="25"/>
  <c r="UE74" i="25"/>
  <c r="UM58" i="25"/>
  <c r="UP58" i="25" s="1"/>
  <c r="UO58" i="25"/>
  <c r="UN58" i="25"/>
  <c r="UA58" i="25"/>
  <c r="UD58" i="25"/>
  <c r="UI58" i="25"/>
  <c r="UT58" i="25"/>
  <c r="UQ106" i="25"/>
  <c r="BJ106" i="25"/>
  <c r="UT106" i="25"/>
  <c r="US106" i="25"/>
  <c r="UR106" i="25"/>
  <c r="UP106" i="25"/>
  <c r="UE106" i="25"/>
  <c r="UK106" i="25"/>
  <c r="UO106" i="25"/>
  <c r="UH106" i="25"/>
  <c r="UJ106" i="25"/>
  <c r="UN106" i="25"/>
  <c r="UG106" i="25"/>
  <c r="UD106" i="25"/>
  <c r="UM106" i="25"/>
  <c r="UI106" i="25"/>
  <c r="UF106" i="25"/>
  <c r="UA106" i="25"/>
  <c r="UC106" i="25"/>
  <c r="UR113" i="25"/>
  <c r="UQ113" i="25"/>
  <c r="BJ113" i="25"/>
  <c r="UT113" i="25"/>
  <c r="US113" i="25"/>
  <c r="UK113" i="25"/>
  <c r="UO113" i="25"/>
  <c r="UI113" i="25"/>
  <c r="UE113" i="25"/>
  <c r="UJ113" i="25"/>
  <c r="UN113" i="25"/>
  <c r="UH113" i="25"/>
  <c r="UM113" i="25"/>
  <c r="UG113" i="25"/>
  <c r="UP113" i="25"/>
  <c r="UF113" i="25"/>
  <c r="UD113" i="25"/>
  <c r="UA113" i="25"/>
  <c r="UC113" i="25"/>
  <c r="UR105" i="25"/>
  <c r="UQ105" i="25"/>
  <c r="BJ105" i="25"/>
  <c r="UT105" i="25"/>
  <c r="US105" i="25"/>
  <c r="UK105" i="25"/>
  <c r="UO105" i="25"/>
  <c r="UI105" i="25"/>
  <c r="UE105" i="25"/>
  <c r="UJ105" i="25"/>
  <c r="UN105" i="25"/>
  <c r="UH105" i="25"/>
  <c r="UM105" i="25"/>
  <c r="UG105" i="25"/>
  <c r="UP105" i="25"/>
  <c r="UF105" i="25"/>
  <c r="UD105" i="25"/>
  <c r="UA105" i="25"/>
  <c r="UC105" i="25"/>
  <c r="UO97" i="25"/>
  <c r="UI97" i="25"/>
  <c r="UN97" i="25"/>
  <c r="UM97" i="25"/>
  <c r="UP97" i="25" s="1"/>
  <c r="UD97" i="25"/>
  <c r="UA97" i="25"/>
  <c r="UE97" i="25"/>
  <c r="BJ98" i="25"/>
  <c r="UO98" i="25"/>
  <c r="UN98" i="25"/>
  <c r="UD98" i="25"/>
  <c r="UM98" i="25"/>
  <c r="UP98" i="25" s="1"/>
  <c r="UI98" i="25"/>
  <c r="UT98" i="25"/>
  <c r="UA98" i="25"/>
  <c r="UN92" i="25"/>
  <c r="UE92" i="25"/>
  <c r="UD92" i="25"/>
  <c r="UM92" i="25"/>
  <c r="UI92" i="25"/>
  <c r="UP92" i="25"/>
  <c r="UO92" i="25"/>
  <c r="UA92" i="25"/>
  <c r="BJ111" i="25"/>
  <c r="UT111" i="25"/>
  <c r="US111" i="25"/>
  <c r="UR111" i="25"/>
  <c r="UQ111" i="25"/>
  <c r="UM111" i="25"/>
  <c r="UE111" i="25"/>
  <c r="UP111" i="25"/>
  <c r="UH111" i="25"/>
  <c r="UD111" i="25"/>
  <c r="UK111" i="25"/>
  <c r="UO111" i="25"/>
  <c r="UI111" i="25"/>
  <c r="UG111" i="25"/>
  <c r="UJ111" i="25"/>
  <c r="UN111" i="25"/>
  <c r="UF111" i="25"/>
  <c r="UC111" i="25"/>
  <c r="UA111" i="25"/>
  <c r="BJ99" i="25"/>
  <c r="UM99" i="25"/>
  <c r="UP99" i="25" s="1"/>
  <c r="UD99" i="25"/>
  <c r="UO99" i="25"/>
  <c r="UI99" i="25"/>
  <c r="UN99" i="25"/>
  <c r="UE99" i="25"/>
  <c r="UA99" i="25"/>
  <c r="UM75" i="25"/>
  <c r="UE75" i="25"/>
  <c r="UP75" i="25"/>
  <c r="UD75" i="25"/>
  <c r="UT75" i="25"/>
  <c r="UO75" i="25"/>
  <c r="UI75" i="25"/>
  <c r="UG75" i="25"/>
  <c r="UN75" i="25"/>
  <c r="UC75" i="25"/>
  <c r="UA75" i="25"/>
  <c r="UM59" i="25"/>
  <c r="UP59" i="25" s="1"/>
  <c r="UD59" i="25"/>
  <c r="UE59" i="25"/>
  <c r="UO59" i="25"/>
  <c r="UI59" i="25"/>
  <c r="UN59" i="25"/>
  <c r="UA59" i="25"/>
  <c r="UN76" i="25"/>
  <c r="UD76" i="25"/>
  <c r="UM76" i="25"/>
  <c r="UP76" i="25" s="1"/>
  <c r="UI76" i="25"/>
  <c r="UO76" i="25"/>
  <c r="UA76" i="25"/>
  <c r="UT76" i="25"/>
  <c r="UN60" i="25"/>
  <c r="UD60" i="25"/>
  <c r="UM60" i="25"/>
  <c r="UP60" i="25" s="1"/>
  <c r="UI60" i="25"/>
  <c r="UO60" i="25"/>
  <c r="UA60" i="25"/>
  <c r="UE60" i="25"/>
  <c r="UO77" i="25"/>
  <c r="UI77" i="25"/>
  <c r="UN77" i="25"/>
  <c r="UM77" i="25"/>
  <c r="UP77" i="25" s="1"/>
  <c r="UD77" i="25"/>
  <c r="UE77" i="25"/>
  <c r="UA77" i="25"/>
  <c r="UO61" i="25"/>
  <c r="UI61" i="25"/>
  <c r="UN61" i="25"/>
  <c r="UM61" i="25"/>
  <c r="UP61" i="25" s="1"/>
  <c r="UD61" i="25"/>
  <c r="UT61" i="25"/>
  <c r="UA61" i="25"/>
  <c r="UO78" i="25"/>
  <c r="UA78" i="25"/>
  <c r="UN78" i="25"/>
  <c r="UD78" i="25"/>
  <c r="UM78" i="25"/>
  <c r="UP78" i="25" s="1"/>
  <c r="UI78" i="25"/>
  <c r="UE78" i="25"/>
  <c r="UO62" i="25"/>
  <c r="UA62" i="25"/>
  <c r="UN62" i="25"/>
  <c r="UD62" i="25"/>
  <c r="UM62" i="25"/>
  <c r="UP62" i="25" s="1"/>
  <c r="UI62" i="25"/>
  <c r="UE62" i="25"/>
  <c r="UQ110" i="25"/>
  <c r="BJ110" i="25"/>
  <c r="UT110" i="25"/>
  <c r="US110" i="25"/>
  <c r="UR110" i="25"/>
  <c r="UP110" i="25"/>
  <c r="UE110" i="25"/>
  <c r="UK110" i="25"/>
  <c r="UO110" i="25"/>
  <c r="UH110" i="25"/>
  <c r="UJ110" i="25"/>
  <c r="UN110" i="25"/>
  <c r="UG110" i="25"/>
  <c r="UD110" i="25"/>
  <c r="UM110" i="25"/>
  <c r="UI110" i="25"/>
  <c r="UF110" i="25"/>
  <c r="UA110" i="25"/>
  <c r="UC110" i="25"/>
  <c r="US104" i="25"/>
  <c r="UR104" i="25"/>
  <c r="UQ104" i="25"/>
  <c r="BJ104" i="25"/>
  <c r="UT104" i="25"/>
  <c r="UJ104" i="25"/>
  <c r="UN104" i="25"/>
  <c r="UE104" i="25"/>
  <c r="UD104" i="25"/>
  <c r="UM104" i="25"/>
  <c r="UI104" i="25"/>
  <c r="UH104" i="25"/>
  <c r="UP104" i="25"/>
  <c r="UG104" i="25"/>
  <c r="UK104" i="25"/>
  <c r="UO104" i="25"/>
  <c r="UF104" i="25"/>
  <c r="UC104" i="25"/>
  <c r="UA104" i="25"/>
  <c r="US108" i="25"/>
  <c r="UR108" i="25"/>
  <c r="UQ108" i="25"/>
  <c r="BJ108" i="25"/>
  <c r="UT108" i="25"/>
  <c r="UJ108" i="25"/>
  <c r="UN108" i="25"/>
  <c r="UE108" i="25"/>
  <c r="UD108" i="25"/>
  <c r="UM108" i="25"/>
  <c r="UI108" i="25"/>
  <c r="UH108" i="25"/>
  <c r="UP108" i="25"/>
  <c r="UG108" i="25"/>
  <c r="UK108" i="25"/>
  <c r="UO108" i="25"/>
  <c r="UF108" i="25"/>
  <c r="UC108" i="25"/>
  <c r="UA108" i="25"/>
  <c r="UM95" i="25"/>
  <c r="UP95" i="25" s="1"/>
  <c r="UD95" i="25"/>
  <c r="UO95" i="25"/>
  <c r="UI95" i="25"/>
  <c r="UN95" i="25"/>
  <c r="UE95" i="25"/>
  <c r="UA95" i="25"/>
  <c r="UM79" i="25"/>
  <c r="UP79" i="25" s="1"/>
  <c r="UD79" i="25"/>
  <c r="UO79" i="25"/>
  <c r="UI79" i="25"/>
  <c r="UN79" i="25"/>
  <c r="UT79" i="25"/>
  <c r="UA79" i="25"/>
  <c r="UM63" i="25"/>
  <c r="UP63" i="25" s="1"/>
  <c r="UD63" i="25"/>
  <c r="UE63" i="25"/>
  <c r="UO63" i="25"/>
  <c r="UI63" i="25"/>
  <c r="UN63" i="25"/>
  <c r="UA63" i="25"/>
  <c r="UN80" i="25"/>
  <c r="UD80" i="25"/>
  <c r="UM80" i="25"/>
  <c r="UI80" i="25"/>
  <c r="UP80" i="25"/>
  <c r="UO80" i="25"/>
  <c r="UE80" i="25"/>
  <c r="UA80" i="25"/>
  <c r="UN64" i="25"/>
  <c r="UD64" i="25"/>
  <c r="UM64" i="25"/>
  <c r="UP64" i="25" s="1"/>
  <c r="UI64" i="25"/>
  <c r="UO64" i="25"/>
  <c r="UA64" i="25"/>
  <c r="UT64" i="25"/>
  <c r="UO81" i="25"/>
  <c r="UI81" i="25"/>
  <c r="UN81" i="25"/>
  <c r="UM81" i="25"/>
  <c r="UP81" i="25"/>
  <c r="UD81" i="25"/>
  <c r="UA81" i="25"/>
  <c r="UT81" i="25"/>
  <c r="UO65" i="25"/>
  <c r="UI65" i="25"/>
  <c r="UN65" i="25"/>
  <c r="UM65" i="25"/>
  <c r="UP65" i="25" s="1"/>
  <c r="UD65" i="25"/>
  <c r="UG65" i="25"/>
  <c r="UA65" i="25"/>
  <c r="UO82" i="25"/>
  <c r="UN82" i="25"/>
  <c r="UD82" i="25"/>
  <c r="UM82" i="25"/>
  <c r="UP82" i="25" s="1"/>
  <c r="UI82" i="25"/>
  <c r="UT82" i="25"/>
  <c r="UA82" i="25"/>
  <c r="UO66" i="25"/>
  <c r="UA66" i="25"/>
  <c r="UN66" i="25"/>
  <c r="UD66" i="25"/>
  <c r="UM66" i="25"/>
  <c r="UP66" i="25" s="1"/>
  <c r="UI66" i="25"/>
  <c r="UT66" i="25"/>
  <c r="UQ114" i="25"/>
  <c r="BJ114" i="25"/>
  <c r="UT114" i="25"/>
  <c r="US114" i="25"/>
  <c r="UR114" i="25"/>
  <c r="UP114" i="25"/>
  <c r="UE114" i="25"/>
  <c r="UK114" i="25"/>
  <c r="UO114" i="25"/>
  <c r="UH114" i="25"/>
  <c r="UJ114" i="25"/>
  <c r="UN114" i="25"/>
  <c r="UG114" i="25"/>
  <c r="UD114" i="25"/>
  <c r="UM114" i="25"/>
  <c r="UI114" i="25"/>
  <c r="UF114" i="25"/>
  <c r="UA114" i="25"/>
  <c r="UC114" i="25"/>
  <c r="UR109" i="25"/>
  <c r="UQ109" i="25"/>
  <c r="BJ109" i="25"/>
  <c r="UT109" i="25"/>
  <c r="US109" i="25"/>
  <c r="UK109" i="25"/>
  <c r="UO109" i="25"/>
  <c r="UI109" i="25"/>
  <c r="UE109" i="25"/>
  <c r="UJ109" i="25"/>
  <c r="UN109" i="25"/>
  <c r="UH109" i="25"/>
  <c r="UM109" i="25"/>
  <c r="UG109" i="25"/>
  <c r="UP109" i="25"/>
  <c r="UF109" i="25"/>
  <c r="UD109" i="25"/>
  <c r="UA109" i="25"/>
  <c r="UC109" i="25"/>
  <c r="LA101" i="25"/>
  <c r="UT101" i="25"/>
  <c r="UO101" i="25"/>
  <c r="UI101" i="25"/>
  <c r="UN101" i="25"/>
  <c r="UM101" i="25"/>
  <c r="UG101" i="25"/>
  <c r="UP101" i="25"/>
  <c r="UD101" i="25"/>
  <c r="UA101" i="25"/>
  <c r="UC101" i="25"/>
  <c r="UE101" i="25"/>
  <c r="UO93" i="25"/>
  <c r="UI93" i="25"/>
  <c r="UN93" i="25"/>
  <c r="UM93" i="25"/>
  <c r="UP93" i="25" s="1"/>
  <c r="UG93" i="25"/>
  <c r="UD93" i="25"/>
  <c r="UA93" i="25"/>
  <c r="UT93" i="25"/>
  <c r="UT89" i="25"/>
  <c r="UO89" i="25"/>
  <c r="UI89" i="25"/>
  <c r="UN89" i="25"/>
  <c r="UM89" i="25"/>
  <c r="UP89" i="25" s="1"/>
  <c r="UD89" i="25"/>
  <c r="UA89" i="25"/>
  <c r="UC89" i="25"/>
  <c r="UE89" i="25"/>
  <c r="IT91" i="25"/>
  <c r="UT91" i="25"/>
  <c r="UM91" i="25"/>
  <c r="UP91" i="25" s="1"/>
  <c r="UD91" i="25"/>
  <c r="UO91" i="25"/>
  <c r="UI91" i="25"/>
  <c r="UN91" i="25"/>
  <c r="UE91" i="25"/>
  <c r="UA91" i="25"/>
  <c r="BJ100" i="25"/>
  <c r="UN100" i="25"/>
  <c r="UD100" i="25"/>
  <c r="UM100" i="25"/>
  <c r="UI100" i="25"/>
  <c r="UP100" i="25"/>
  <c r="UO100" i="25"/>
  <c r="UE100" i="25"/>
  <c r="UA100" i="25"/>
  <c r="BL116" i="25"/>
  <c r="US116" i="25"/>
  <c r="UR116" i="25"/>
  <c r="UQ116" i="25"/>
  <c r="BJ116" i="25"/>
  <c r="UT116" i="25"/>
  <c r="UJ116" i="25"/>
  <c r="UN116" i="25"/>
  <c r="UE116" i="25"/>
  <c r="UD116" i="25"/>
  <c r="UM116" i="25"/>
  <c r="UI116" i="25"/>
  <c r="UH116" i="25"/>
  <c r="UP116" i="25"/>
  <c r="UG116" i="25"/>
  <c r="UK116" i="25"/>
  <c r="UO116" i="25"/>
  <c r="UF116" i="25"/>
  <c r="UC116" i="25"/>
  <c r="UA116" i="25"/>
  <c r="BJ115" i="25"/>
  <c r="UT115" i="25"/>
  <c r="US115" i="25"/>
  <c r="UR115" i="25"/>
  <c r="UQ115" i="25"/>
  <c r="UM115" i="25"/>
  <c r="UE115" i="25"/>
  <c r="UP115" i="25"/>
  <c r="UH115" i="25"/>
  <c r="UD115" i="25"/>
  <c r="UK115" i="25"/>
  <c r="UO115" i="25"/>
  <c r="UI115" i="25"/>
  <c r="UG115" i="25"/>
  <c r="UJ115" i="25"/>
  <c r="UN115" i="25"/>
  <c r="UF115" i="25"/>
  <c r="UC115" i="25"/>
  <c r="UA115" i="25"/>
  <c r="IJ104" i="25"/>
  <c r="OI104" i="25"/>
  <c r="LD109" i="25"/>
  <c r="MI89" i="25"/>
  <c r="RJ104" i="25"/>
  <c r="IQ104" i="25"/>
  <c r="FK104" i="25"/>
  <c r="HC104" i="25"/>
  <c r="HD104" i="25"/>
  <c r="DF104" i="25"/>
  <c r="EG104" i="25"/>
  <c r="JQ104" i="25"/>
  <c r="MC104" i="25"/>
  <c r="KQ104" i="25"/>
  <c r="JS104" i="25"/>
  <c r="KR104" i="25"/>
  <c r="LS104" i="25"/>
  <c r="MK104" i="25"/>
  <c r="LE104" i="25"/>
  <c r="NT104" i="25"/>
  <c r="PR104" i="25"/>
  <c r="NQ104" i="25"/>
  <c r="PS104" i="25"/>
  <c r="NR104" i="25"/>
  <c r="PT104" i="25"/>
  <c r="ND104" i="25"/>
  <c r="OA104" i="25"/>
  <c r="PC104" i="25"/>
  <c r="QJ104" i="25"/>
  <c r="QQ104" i="25"/>
  <c r="RT104" i="25"/>
  <c r="QC104" i="25"/>
  <c r="SI104" i="25"/>
  <c r="RC104" i="25"/>
  <c r="SJ104" i="25"/>
  <c r="SR104" i="25"/>
  <c r="II107" i="25"/>
  <c r="DU107" i="25"/>
  <c r="HC107" i="25"/>
  <c r="FJ107" i="25"/>
  <c r="HD107" i="25"/>
  <c r="DW107" i="25"/>
  <c r="HE107" i="25"/>
  <c r="DT107" i="25"/>
  <c r="JJ107" i="25"/>
  <c r="KI107" i="25"/>
  <c r="LK107" i="25"/>
  <c r="JA107" i="25"/>
  <c r="KT107" i="25"/>
  <c r="LA107" i="25"/>
  <c r="MR107" i="25"/>
  <c r="MI107" i="25"/>
  <c r="JI107" i="25"/>
  <c r="KC107" i="25"/>
  <c r="MA107" i="25"/>
  <c r="NT107" i="25"/>
  <c r="OT107" i="25"/>
  <c r="PC107" i="25"/>
  <c r="OC107" i="25"/>
  <c r="PD107" i="25"/>
  <c r="OE107" i="25"/>
  <c r="PE107" i="25"/>
  <c r="RE107" i="25"/>
  <c r="RF107" i="25"/>
  <c r="QK107" i="25"/>
  <c r="RD107" i="25"/>
  <c r="SI107" i="25"/>
  <c r="CH107" i="25"/>
  <c r="CF107" i="25"/>
  <c r="AU104" i="25"/>
  <c r="AU107" i="25"/>
  <c r="BA107" i="25"/>
  <c r="AR107" i="25"/>
  <c r="GG104" i="25"/>
  <c r="LH104" i="25"/>
  <c r="EX107" i="25"/>
  <c r="FT107" i="25"/>
  <c r="GS107" i="25"/>
  <c r="HJ107" i="25"/>
  <c r="EW107" i="25"/>
  <c r="FS107" i="25"/>
  <c r="GT107" i="25"/>
  <c r="HR107" i="25"/>
  <c r="NH107" i="25"/>
  <c r="HS107" i="25"/>
  <c r="SH107" i="25"/>
  <c r="DL107" i="25"/>
  <c r="EQ107" i="25"/>
  <c r="LN107" i="25"/>
  <c r="OM107" i="25"/>
  <c r="GM107" i="25"/>
  <c r="HN107" i="25"/>
  <c r="IN107" i="25"/>
  <c r="KO107" i="25"/>
  <c r="GO104" i="25"/>
  <c r="QO104" i="25"/>
  <c r="MO107" i="25"/>
  <c r="QM107" i="25"/>
  <c r="NO107" i="25"/>
  <c r="SO107" i="25"/>
  <c r="DC104" i="25"/>
  <c r="DB107" i="25"/>
  <c r="CU107" i="25"/>
  <c r="CW107" i="25"/>
  <c r="QG104" i="25"/>
  <c r="CN107" i="25"/>
  <c r="CK107" i="25"/>
  <c r="CQ107" i="25"/>
  <c r="KG107" i="25"/>
  <c r="JG107" i="25"/>
  <c r="FO107" i="25"/>
  <c r="DR107" i="25"/>
  <c r="PA107" i="25"/>
  <c r="BS107" i="25"/>
  <c r="BP107" i="25"/>
  <c r="AE107" i="19" s="1"/>
  <c r="BM107" i="25"/>
  <c r="FP107" i="25"/>
  <c r="JP107" i="25"/>
  <c r="NP107" i="25"/>
  <c r="SP107" i="25"/>
  <c r="I68" i="25"/>
  <c r="S68" i="25" s="1"/>
  <c r="OI107" i="25"/>
  <c r="L104" i="25"/>
  <c r="OI89" i="25"/>
  <c r="DU104" i="25"/>
  <c r="GC104" i="25"/>
  <c r="FC104" i="25"/>
  <c r="FI104" i="25"/>
  <c r="DJ104" i="25"/>
  <c r="JA104" i="25"/>
  <c r="KJ104" i="25"/>
  <c r="LK104" i="25"/>
  <c r="ME104" i="25"/>
  <c r="JD104" i="25"/>
  <c r="LR104" i="25"/>
  <c r="JC104" i="25"/>
  <c r="KA104" i="25"/>
  <c r="LD104" i="25"/>
  <c r="MQ104" i="25"/>
  <c r="JF104" i="25"/>
  <c r="KE104" i="25"/>
  <c r="LJ104" i="25"/>
  <c r="NE104" i="25"/>
  <c r="OS104" i="25"/>
  <c r="NF104" i="25"/>
  <c r="OT104" i="25"/>
  <c r="NC104" i="25"/>
  <c r="OQ104" i="25"/>
  <c r="PK104" i="25"/>
  <c r="RE104" i="25"/>
  <c r="RQ104" i="25"/>
  <c r="QE104" i="25"/>
  <c r="ST104" i="25"/>
  <c r="SK104" i="25"/>
  <c r="RK107" i="25"/>
  <c r="IA107" i="25"/>
  <c r="DG107" i="25"/>
  <c r="EM107" i="25"/>
  <c r="FC107" i="25"/>
  <c r="FK107" i="25"/>
  <c r="DF107" i="25"/>
  <c r="JT107" i="25"/>
  <c r="KS107" i="25"/>
  <c r="LQ107" i="25"/>
  <c r="MK107" i="25"/>
  <c r="LE107" i="25"/>
  <c r="MC107" i="25"/>
  <c r="JR107" i="25"/>
  <c r="KK107" i="25"/>
  <c r="MS107" i="25"/>
  <c r="JS107" i="25"/>
  <c r="LJ107" i="25"/>
  <c r="NE107" i="25"/>
  <c r="OA107" i="25"/>
  <c r="NK107" i="25"/>
  <c r="PK107" i="25"/>
  <c r="NI107" i="25"/>
  <c r="PI107" i="25"/>
  <c r="QI107" i="25"/>
  <c r="RI107" i="25"/>
  <c r="QQ107" i="25"/>
  <c r="QC107" i="25"/>
  <c r="SS107" i="25"/>
  <c r="SJ107" i="25"/>
  <c r="CG107" i="25"/>
  <c r="CE107" i="25"/>
  <c r="AX104" i="25"/>
  <c r="AY107" i="25"/>
  <c r="AX107" i="25"/>
  <c r="CC104" i="25"/>
  <c r="CC107" i="25"/>
  <c r="GS104" i="25"/>
  <c r="FH104" i="25"/>
  <c r="OH104" i="25"/>
  <c r="FA100" i="25"/>
  <c r="EL107" i="25"/>
  <c r="FG107" i="25"/>
  <c r="GD107" i="25"/>
  <c r="GJ107" i="25"/>
  <c r="FH107" i="25"/>
  <c r="GG107" i="25"/>
  <c r="GI107" i="25"/>
  <c r="HI107" i="25"/>
  <c r="LH107" i="25"/>
  <c r="RH107" i="25"/>
  <c r="OH107" i="25"/>
  <c r="DK104" i="25"/>
  <c r="EA91" i="25"/>
  <c r="EA100" i="25"/>
  <c r="ES104" i="25"/>
  <c r="LM107" i="25"/>
  <c r="OM100" i="25"/>
  <c r="OP100" i="25" s="1"/>
  <c r="ON107" i="25"/>
  <c r="HM112" i="25"/>
  <c r="SM107" i="25"/>
  <c r="GN107" i="25"/>
  <c r="IM107" i="25"/>
  <c r="JN107" i="25"/>
  <c r="HM104" i="25"/>
  <c r="GM100" i="25"/>
  <c r="GP100" i="25" s="1"/>
  <c r="SM100" i="25"/>
  <c r="QM112" i="25"/>
  <c r="MN91" i="25"/>
  <c r="NN104" i="25"/>
  <c r="PM100" i="25"/>
  <c r="QO100" i="25"/>
  <c r="MN107" i="25"/>
  <c r="PN107" i="25"/>
  <c r="QN107" i="25"/>
  <c r="RM107" i="25"/>
  <c r="DA104" i="25"/>
  <c r="CY107" i="25"/>
  <c r="DA107" i="25"/>
  <c r="IR112" i="25"/>
  <c r="IR107" i="25"/>
  <c r="CO104" i="25"/>
  <c r="CL112" i="25"/>
  <c r="CR107" i="25"/>
  <c r="CO107" i="25"/>
  <c r="QG107" i="25"/>
  <c r="HG107" i="25"/>
  <c r="RG107" i="25"/>
  <c r="NG107" i="25"/>
  <c r="FN107" i="25"/>
  <c r="FM107" i="25"/>
  <c r="FN111" i="25"/>
  <c r="FM111" i="25"/>
  <c r="DP99" i="25"/>
  <c r="CL99" i="25" s="1"/>
  <c r="QA111" i="25"/>
  <c r="SA111" i="25"/>
  <c r="BX111" i="25"/>
  <c r="RA111" i="25"/>
  <c r="BN111" i="25"/>
  <c r="PA99" i="25"/>
  <c r="PE99" i="25" s="1"/>
  <c r="SA99" i="25"/>
  <c r="SE99" i="25" s="1"/>
  <c r="BV107" i="25"/>
  <c r="BW107" i="25"/>
  <c r="BT107" i="25"/>
  <c r="BQ107" i="25"/>
  <c r="ET107" i="25"/>
  <c r="IP107" i="25"/>
  <c r="MP107" i="25"/>
  <c r="RP107" i="25"/>
  <c r="ET111" i="25"/>
  <c r="HP111" i="25"/>
  <c r="LP111" i="25"/>
  <c r="QP111" i="25"/>
  <c r="HP99" i="25"/>
  <c r="CD99" i="25" s="1"/>
  <c r="LP99" i="25"/>
  <c r="CF99" i="25" s="1"/>
  <c r="QP99" i="25"/>
  <c r="I66" i="25"/>
  <c r="S66" i="25" s="1"/>
  <c r="I63" i="25"/>
  <c r="S63" i="25" s="1"/>
  <c r="Q111" i="25"/>
  <c r="TG99" i="25"/>
  <c r="TH111" i="25"/>
  <c r="TK111" i="25"/>
  <c r="TP111" i="25"/>
  <c r="TN111" i="25"/>
  <c r="L107" i="25"/>
  <c r="IJ107" i="25"/>
  <c r="NA104" i="25"/>
  <c r="OK104" i="25"/>
  <c r="NA107" i="25"/>
  <c r="OK107" i="25"/>
  <c r="NA89" i="25"/>
  <c r="RK104" i="25"/>
  <c r="DG104" i="25"/>
  <c r="IC104" i="25"/>
  <c r="EC104" i="25"/>
  <c r="IE104" i="25"/>
  <c r="DM104" i="25"/>
  <c r="FD104" i="25"/>
  <c r="DN104" i="25"/>
  <c r="HE104" i="25"/>
  <c r="KT104" i="25"/>
  <c r="LQ104" i="25"/>
  <c r="MI104" i="25"/>
  <c r="LC104" i="25"/>
  <c r="MJ104" i="25"/>
  <c r="JE104" i="25"/>
  <c r="KC104" i="25"/>
  <c r="MA104" i="25"/>
  <c r="JJ104" i="25"/>
  <c r="KI104" i="25"/>
  <c r="LT104" i="25"/>
  <c r="PD104" i="25"/>
  <c r="OC104" i="25"/>
  <c r="PE104" i="25"/>
  <c r="OE104" i="25"/>
  <c r="NI104" i="25"/>
  <c r="PQ104" i="25"/>
  <c r="SS104" i="25"/>
  <c r="RS104" i="25"/>
  <c r="RI104" i="25"/>
  <c r="QR104" i="25"/>
  <c r="QI104" i="25"/>
  <c r="SQ104" i="25"/>
  <c r="SC104" i="25"/>
  <c r="RJ107" i="25"/>
  <c r="FI107" i="25"/>
  <c r="EC107" i="25"/>
  <c r="GC107" i="25"/>
  <c r="FD107" i="25"/>
  <c r="EG107" i="25"/>
  <c r="DJ107" i="25"/>
  <c r="KA107" i="25"/>
  <c r="LD107" i="25"/>
  <c r="MQ107" i="25"/>
  <c r="JK107" i="25"/>
  <c r="KQ107" i="25"/>
  <c r="LI107" i="25"/>
  <c r="JC107" i="25"/>
  <c r="KR107" i="25"/>
  <c r="LT107" i="25"/>
  <c r="MJ107" i="25"/>
  <c r="PJ107" i="25"/>
  <c r="NQ107" i="25"/>
  <c r="PQ107" i="25"/>
  <c r="NR107" i="25"/>
  <c r="PR107" i="25"/>
  <c r="NS107" i="25"/>
  <c r="PS107" i="25"/>
  <c r="RR107" i="25"/>
  <c r="QS107" i="25"/>
  <c r="QJ107" i="25"/>
  <c r="RS107" i="25"/>
  <c r="RT107" i="25"/>
  <c r="SR107" i="25"/>
  <c r="ST107" i="25"/>
  <c r="SK107" i="25"/>
  <c r="CI104" i="25"/>
  <c r="CI107" i="25"/>
  <c r="BA104" i="25"/>
  <c r="AZ107" i="25"/>
  <c r="BB107" i="25"/>
  <c r="CB107" i="25"/>
  <c r="FS104" i="25"/>
  <c r="EL104" i="25"/>
  <c r="HI104" i="25"/>
  <c r="FA107" i="25"/>
  <c r="GA107" i="25"/>
  <c r="HQ107" i="25"/>
  <c r="HF107" i="25"/>
  <c r="GK107" i="25"/>
  <c r="HK107" i="25"/>
  <c r="KH107" i="25"/>
  <c r="QH107" i="25"/>
  <c r="MH107" i="25"/>
  <c r="DK107" i="25"/>
  <c r="EA104" i="25"/>
  <c r="EA107" i="25"/>
  <c r="ES107" i="25"/>
  <c r="LO100" i="25"/>
  <c r="OO104" i="25"/>
  <c r="HN91" i="25"/>
  <c r="IO107" i="25"/>
  <c r="HO107" i="25"/>
  <c r="KN107" i="25"/>
  <c r="KM107" i="25"/>
  <c r="KO104" i="25"/>
  <c r="GO100" i="25"/>
  <c r="KO100" i="25"/>
  <c r="PM104" i="25"/>
  <c r="MO100" i="25"/>
  <c r="NO100" i="25"/>
  <c r="MM107" i="25"/>
  <c r="NM107" i="25"/>
  <c r="PO107" i="25"/>
  <c r="SN107" i="25"/>
  <c r="RO107" i="25"/>
  <c r="DC107" i="25"/>
  <c r="CV107" i="25"/>
  <c r="IT112" i="25"/>
  <c r="IS107" i="25"/>
  <c r="CR104" i="25"/>
  <c r="CS112" i="25"/>
  <c r="CS107" i="25"/>
  <c r="CL107" i="25"/>
  <c r="SG107" i="25"/>
  <c r="OG107" i="25"/>
  <c r="LG107" i="25"/>
  <c r="DQ107" i="25"/>
  <c r="BV111" i="25"/>
  <c r="BL111" i="25"/>
  <c r="BM111" i="25"/>
  <c r="QA99" i="25"/>
  <c r="QE99" i="25" s="1"/>
  <c r="BL99" i="25"/>
  <c r="RA99" i="25"/>
  <c r="RE99" i="25" s="1"/>
  <c r="BN99" i="25"/>
  <c r="BR107" i="25"/>
  <c r="SA107" i="25"/>
  <c r="BX107" i="25"/>
  <c r="BU107" i="25"/>
  <c r="DS107" i="25"/>
  <c r="HP107" i="25"/>
  <c r="LP107" i="25"/>
  <c r="QP107" i="25"/>
  <c r="GP111" i="25"/>
  <c r="KP111" i="25"/>
  <c r="OP111" i="25"/>
  <c r="PP111" i="25"/>
  <c r="BF111" i="25"/>
  <c r="GP99" i="25"/>
  <c r="CC99" i="25" s="1"/>
  <c r="KP99" i="25"/>
  <c r="OP99" i="25"/>
  <c r="CG99" i="25" s="1"/>
  <c r="PP99" i="25"/>
  <c r="I77" i="25"/>
  <c r="AL111" i="25"/>
  <c r="W111" i="19" s="1"/>
  <c r="TA99" i="25"/>
  <c r="TA111" i="25"/>
  <c r="TG111" i="25"/>
  <c r="TJ111" i="25"/>
  <c r="TR111" i="25"/>
  <c r="TS111" i="25"/>
  <c r="TM99" i="25"/>
  <c r="TP99" i="25" s="1"/>
  <c r="TM76" i="25"/>
  <c r="TP76" i="25" s="1"/>
  <c r="TO76" i="25"/>
  <c r="TN76" i="25"/>
  <c r="TO61" i="25"/>
  <c r="TN61" i="25"/>
  <c r="TM61" i="25"/>
  <c r="TP61" i="25" s="1"/>
  <c r="TN79" i="25"/>
  <c r="TM79" i="25"/>
  <c r="TP79" i="25" s="1"/>
  <c r="TO79" i="25"/>
  <c r="TN63" i="25"/>
  <c r="TM63" i="25"/>
  <c r="TP63" i="25" s="1"/>
  <c r="TO63" i="25"/>
  <c r="TM80" i="25"/>
  <c r="TP80" i="25" s="1"/>
  <c r="TO80" i="25"/>
  <c r="TN80" i="25"/>
  <c r="TM64" i="25"/>
  <c r="TP64" i="25" s="1"/>
  <c r="TO64" i="25"/>
  <c r="TN64" i="25"/>
  <c r="TO81" i="25"/>
  <c r="TN81" i="25"/>
  <c r="TM81" i="25"/>
  <c r="TP81" i="25" s="1"/>
  <c r="TO65" i="25"/>
  <c r="TN65" i="25"/>
  <c r="TM65" i="25"/>
  <c r="TP65" i="25" s="1"/>
  <c r="TO82" i="25"/>
  <c r="TN82" i="25"/>
  <c r="TM82" i="25"/>
  <c r="TP82" i="25" s="1"/>
  <c r="TO66" i="25"/>
  <c r="TN66" i="25"/>
  <c r="TM66" i="25"/>
  <c r="TP66" i="25" s="1"/>
  <c r="TT118" i="25"/>
  <c r="TS118" i="25"/>
  <c r="TN118" i="25"/>
  <c r="TQ118" i="25"/>
  <c r="TR118" i="25"/>
  <c r="TM118" i="25"/>
  <c r="TP118" i="25"/>
  <c r="TO118" i="25"/>
  <c r="TO102" i="25"/>
  <c r="TN102" i="25"/>
  <c r="TM102" i="25"/>
  <c r="TP102" i="25" s="1"/>
  <c r="TT117" i="25"/>
  <c r="TS117" i="25"/>
  <c r="TO117" i="25"/>
  <c r="TN117" i="25"/>
  <c r="TR117" i="25"/>
  <c r="TM117" i="25"/>
  <c r="TQ117" i="25"/>
  <c r="TP117" i="25"/>
  <c r="TO94" i="25"/>
  <c r="TN94" i="25"/>
  <c r="TM94" i="25"/>
  <c r="TP94" i="25" s="1"/>
  <c r="TN91" i="25"/>
  <c r="TM91" i="25"/>
  <c r="TP91" i="25" s="1"/>
  <c r="TO91" i="25"/>
  <c r="TM100" i="25"/>
  <c r="TP100" i="25"/>
  <c r="TO100" i="25"/>
  <c r="TN100" i="25"/>
  <c r="TT116" i="25"/>
  <c r="TQ116" i="25"/>
  <c r="TS116" i="25"/>
  <c r="TP116" i="25"/>
  <c r="TR116" i="25"/>
  <c r="TO116" i="25"/>
  <c r="TN116" i="25"/>
  <c r="TM116" i="25"/>
  <c r="TT115" i="25"/>
  <c r="TS115" i="25"/>
  <c r="TM115" i="25"/>
  <c r="TQ115" i="25"/>
  <c r="TP115" i="25"/>
  <c r="TR115" i="25"/>
  <c r="TO115" i="25"/>
  <c r="TN115" i="25"/>
  <c r="TN59" i="25"/>
  <c r="TM59" i="25"/>
  <c r="TP59" i="25" s="1"/>
  <c r="TO59" i="25"/>
  <c r="TO77" i="25"/>
  <c r="TN77" i="25"/>
  <c r="TM77" i="25"/>
  <c r="TP77" i="25" s="1"/>
  <c r="TN83" i="25"/>
  <c r="TM83" i="25"/>
  <c r="TP83" i="25" s="1"/>
  <c r="TO83" i="25"/>
  <c r="TN67" i="25"/>
  <c r="TM67" i="25"/>
  <c r="TP67" i="25" s="1"/>
  <c r="TO67" i="25"/>
  <c r="TM84" i="25"/>
  <c r="TP84" i="25" s="1"/>
  <c r="TO84" i="25"/>
  <c r="TN84" i="25"/>
  <c r="TM68" i="25"/>
  <c r="TP68" i="25" s="1"/>
  <c r="TO68" i="25"/>
  <c r="TN68" i="25"/>
  <c r="TO85" i="25"/>
  <c r="TN85" i="25"/>
  <c r="TM85" i="25"/>
  <c r="TP85" i="25" s="1"/>
  <c r="TO69" i="25"/>
  <c r="TN69" i="25"/>
  <c r="TM69" i="25"/>
  <c r="TP69" i="25" s="1"/>
  <c r="TO86" i="25"/>
  <c r="TN86" i="25"/>
  <c r="TM86" i="25"/>
  <c r="TP86" i="25" s="1"/>
  <c r="TO70" i="25"/>
  <c r="TN70" i="25"/>
  <c r="TM70" i="25"/>
  <c r="TP70" i="25" s="1"/>
  <c r="TT106" i="25"/>
  <c r="TO106" i="25"/>
  <c r="TS106" i="25"/>
  <c r="TN106" i="25"/>
  <c r="TR106" i="25"/>
  <c r="TM106" i="25"/>
  <c r="TQ106" i="25"/>
  <c r="TP106" i="25"/>
  <c r="TT113" i="25"/>
  <c r="TS113" i="25"/>
  <c r="TO113" i="25"/>
  <c r="TN113" i="25"/>
  <c r="TR113" i="25"/>
  <c r="TM113" i="25"/>
  <c r="TQ113" i="25"/>
  <c r="TP113" i="25"/>
  <c r="TT105" i="25"/>
  <c r="TP105" i="25"/>
  <c r="TS105" i="25"/>
  <c r="TO105" i="25"/>
  <c r="TR105" i="25"/>
  <c r="TN105" i="25"/>
  <c r="TM105" i="25"/>
  <c r="TQ105" i="25"/>
  <c r="TO97" i="25"/>
  <c r="TN97" i="25"/>
  <c r="TM97" i="25"/>
  <c r="TP97" i="25" s="1"/>
  <c r="TO90" i="25"/>
  <c r="TN90" i="25"/>
  <c r="TM90" i="25"/>
  <c r="TP90" i="25" s="1"/>
  <c r="TN103" i="25"/>
  <c r="TM103" i="25"/>
  <c r="TP103" i="25"/>
  <c r="TO103" i="25"/>
  <c r="TM96" i="25"/>
  <c r="TP96" i="25" s="1"/>
  <c r="TO96" i="25"/>
  <c r="TN96" i="25"/>
  <c r="TT107" i="25"/>
  <c r="TN107" i="25"/>
  <c r="TS107" i="25"/>
  <c r="TM107" i="25"/>
  <c r="TQ107" i="25"/>
  <c r="TR107" i="25"/>
  <c r="TP107" i="25"/>
  <c r="TO107" i="25"/>
  <c r="TM60" i="25"/>
  <c r="TP60" i="25" s="1"/>
  <c r="TO60" i="25"/>
  <c r="TN60" i="25"/>
  <c r="TO62" i="25"/>
  <c r="TN62" i="25"/>
  <c r="TM62" i="25"/>
  <c r="TP62" i="25" s="1"/>
  <c r="TN87" i="25"/>
  <c r="TM87" i="25"/>
  <c r="TP87" i="25" s="1"/>
  <c r="TO87" i="25"/>
  <c r="TN71" i="25"/>
  <c r="TM71" i="25"/>
  <c r="TP71" i="25" s="1"/>
  <c r="TO71" i="25"/>
  <c r="TM88" i="25"/>
  <c r="TP88" i="25" s="1"/>
  <c r="TO88" i="25"/>
  <c r="TN88" i="25"/>
  <c r="TM72" i="25"/>
  <c r="TP72" i="25" s="1"/>
  <c r="TO72" i="25"/>
  <c r="TN72" i="25"/>
  <c r="TM56" i="25"/>
  <c r="TP56" i="25" s="1"/>
  <c r="TO56" i="25"/>
  <c r="TN56" i="25"/>
  <c r="TO73" i="25"/>
  <c r="TN73" i="25"/>
  <c r="TM73" i="25"/>
  <c r="TP73" i="25" s="1"/>
  <c r="TO57" i="25"/>
  <c r="TN57" i="25"/>
  <c r="TM57" i="25"/>
  <c r="TP57" i="25" s="1"/>
  <c r="TO74" i="25"/>
  <c r="TN74" i="25"/>
  <c r="TM74" i="25"/>
  <c r="TP74" i="25" s="1"/>
  <c r="TO58" i="25"/>
  <c r="TN58" i="25"/>
  <c r="TM58" i="25"/>
  <c r="TP58" i="25" s="1"/>
  <c r="TT110" i="25"/>
  <c r="TO110" i="25"/>
  <c r="TS110" i="25"/>
  <c r="TN110" i="25"/>
  <c r="TR110" i="25"/>
  <c r="TM110" i="25"/>
  <c r="TQ110" i="25"/>
  <c r="TP110" i="25"/>
  <c r="TO98" i="25"/>
  <c r="TN98" i="25"/>
  <c r="TM98" i="25"/>
  <c r="TP98" i="25"/>
  <c r="TM92" i="25"/>
  <c r="TP92" i="25" s="1"/>
  <c r="TO92" i="25"/>
  <c r="TN92" i="25"/>
  <c r="TT112" i="25"/>
  <c r="TQ112" i="25"/>
  <c r="TS112" i="25"/>
  <c r="TP112" i="25"/>
  <c r="TR112" i="25"/>
  <c r="TO112" i="25"/>
  <c r="TN112" i="25"/>
  <c r="TM112" i="25"/>
  <c r="TN75" i="25"/>
  <c r="TM75" i="25"/>
  <c r="TP75" i="25" s="1"/>
  <c r="TO75" i="25"/>
  <c r="TO78" i="25"/>
  <c r="TN78" i="25"/>
  <c r="TM78" i="25"/>
  <c r="TP78" i="25" s="1"/>
  <c r="TT114" i="25"/>
  <c r="TO114" i="25"/>
  <c r="TS114" i="25"/>
  <c r="TN114" i="25"/>
  <c r="TQ114" i="25"/>
  <c r="TR114" i="25"/>
  <c r="TM114" i="25"/>
  <c r="TP114" i="25"/>
  <c r="TT109" i="25"/>
  <c r="TP109" i="25"/>
  <c r="TS109" i="25"/>
  <c r="TO109" i="25"/>
  <c r="TR109" i="25"/>
  <c r="TN109" i="25"/>
  <c r="TM109" i="25"/>
  <c r="TQ109" i="25"/>
  <c r="TO101" i="25"/>
  <c r="TN101" i="25"/>
  <c r="TM101" i="25"/>
  <c r="TP101" i="25" s="1"/>
  <c r="TP93" i="25"/>
  <c r="TO93" i="25"/>
  <c r="TN93" i="25"/>
  <c r="TM93" i="25"/>
  <c r="TP89" i="25"/>
  <c r="TO89" i="25"/>
  <c r="TN89" i="25"/>
  <c r="TM89" i="25"/>
  <c r="TT104" i="25"/>
  <c r="TM104" i="25"/>
  <c r="TQ104" i="25"/>
  <c r="TS104" i="25"/>
  <c r="TP104" i="25"/>
  <c r="TR104" i="25"/>
  <c r="TO104" i="25"/>
  <c r="TN104" i="25"/>
  <c r="TT108" i="25"/>
  <c r="TM108" i="25"/>
  <c r="TQ108" i="25"/>
  <c r="TS108" i="25"/>
  <c r="TP108" i="25"/>
  <c r="TR108" i="25"/>
  <c r="TO108" i="25"/>
  <c r="TN108" i="25"/>
  <c r="TN95" i="25"/>
  <c r="TM95" i="25"/>
  <c r="TP95" i="25" s="1"/>
  <c r="TO95" i="25"/>
  <c r="JP112" i="25"/>
  <c r="B84" i="3"/>
  <c r="I69" i="25"/>
  <c r="S69" i="25" s="1"/>
  <c r="B86" i="3"/>
  <c r="I71" i="25"/>
  <c r="S71" i="25" s="1"/>
  <c r="PP95" i="25"/>
  <c r="PA95" i="25"/>
  <c r="DR95" i="25"/>
  <c r="FO95" i="25"/>
  <c r="IT95" i="25"/>
  <c r="RO95" i="25"/>
  <c r="SN95" i="25"/>
  <c r="PO95" i="25"/>
  <c r="NM95" i="25"/>
  <c r="MM95" i="25"/>
  <c r="MP95" i="25" s="1"/>
  <c r="JO95" i="25"/>
  <c r="JM95" i="25"/>
  <c r="JP95" i="25" s="1"/>
  <c r="GO95" i="25"/>
  <c r="HM95" i="25"/>
  <c r="HP95" i="25" s="1"/>
  <c r="ON95" i="25"/>
  <c r="ER95" i="25"/>
  <c r="EC95" i="25"/>
  <c r="DD95" i="25"/>
  <c r="HI95" i="25"/>
  <c r="GI95" i="25"/>
  <c r="GD95" i="25"/>
  <c r="EL95" i="25"/>
  <c r="DP95" i="25"/>
  <c r="RM95" i="25"/>
  <c r="RP95" i="25" s="1"/>
  <c r="QN95" i="25"/>
  <c r="PN95" i="25"/>
  <c r="MN95" i="25"/>
  <c r="KM95" i="25"/>
  <c r="KP95" i="25" s="1"/>
  <c r="KN95" i="25"/>
  <c r="HO95" i="25"/>
  <c r="IO95" i="25"/>
  <c r="OO95" i="25"/>
  <c r="LM95" i="25"/>
  <c r="LP95" i="25" s="1"/>
  <c r="ES95" i="25"/>
  <c r="TJ115" i="25"/>
  <c r="TD115" i="25"/>
  <c r="AA115" i="19"/>
  <c r="CA115" i="25"/>
  <c r="BY115" i="25"/>
  <c r="BF115" i="25"/>
  <c r="PP115" i="25"/>
  <c r="OP115" i="25"/>
  <c r="KP115" i="25"/>
  <c r="GP115" i="25"/>
  <c r="BM115" i="25"/>
  <c r="BP115" i="25"/>
  <c r="AE115" i="19" s="1"/>
  <c r="BS115" i="25"/>
  <c r="PA115" i="25"/>
  <c r="DP115" i="25"/>
  <c r="MG115" i="25"/>
  <c r="CM115" i="25"/>
  <c r="CP115" i="25"/>
  <c r="PG115" i="25"/>
  <c r="CV115" i="25"/>
  <c r="DC115" i="25"/>
  <c r="RM115" i="25"/>
  <c r="PO115" i="25"/>
  <c r="NO115" i="25"/>
  <c r="MN115" i="25"/>
  <c r="JO115" i="25"/>
  <c r="JM115" i="25"/>
  <c r="GO115" i="25"/>
  <c r="HM115" i="25"/>
  <c r="OM115" i="25"/>
  <c r="LO115" i="25"/>
  <c r="EQ115" i="25"/>
  <c r="DD115" i="25"/>
  <c r="OH115" i="25"/>
  <c r="RH115" i="25"/>
  <c r="LH115" i="25"/>
  <c r="HI115" i="25"/>
  <c r="GI115" i="25"/>
  <c r="GG115" i="25"/>
  <c r="FH115" i="25"/>
  <c r="HF115" i="25"/>
  <c r="HQ115" i="25"/>
  <c r="GA115" i="25"/>
  <c r="FA115" i="25"/>
  <c r="CC115" i="25"/>
  <c r="X115" i="19"/>
  <c r="AW115" i="25"/>
  <c r="AO115" i="25"/>
  <c r="Z115" i="19" s="1"/>
  <c r="CD115" i="25"/>
  <c r="SQ115" i="25"/>
  <c r="SE115" i="25"/>
  <c r="RD115" i="25"/>
  <c r="QK115" i="25"/>
  <c r="QT115" i="25"/>
  <c r="QE115" i="25"/>
  <c r="RE115" i="25"/>
  <c r="OS115" i="25"/>
  <c r="ND115" i="25"/>
  <c r="OR115" i="25"/>
  <c r="NC115" i="25"/>
  <c r="OQ115" i="25"/>
  <c r="NF115" i="25"/>
  <c r="PT115" i="25"/>
  <c r="NJ115" i="25"/>
  <c r="MT115" i="25"/>
  <c r="LC115" i="25"/>
  <c r="JE115" i="25"/>
  <c r="ME115" i="25"/>
  <c r="LS115" i="25"/>
  <c r="JD115" i="25"/>
  <c r="LR115" i="25"/>
  <c r="KJ115" i="25"/>
  <c r="JQ115" i="25"/>
  <c r="KE115" i="25"/>
  <c r="JF115" i="25"/>
  <c r="DN115" i="25"/>
  <c r="IC115" i="25"/>
  <c r="DM115" i="25"/>
  <c r="IQ115" i="25"/>
  <c r="DV115" i="25"/>
  <c r="IE115" i="25"/>
  <c r="TK115" i="25"/>
  <c r="TH115" i="25"/>
  <c r="TG115" i="25"/>
  <c r="AQ115" i="25"/>
  <c r="AB115" i="19" s="1"/>
  <c r="V115" i="19"/>
  <c r="BZ115" i="25"/>
  <c r="QP115" i="25"/>
  <c r="LP115" i="25"/>
  <c r="HP115" i="25"/>
  <c r="DS115" i="25"/>
  <c r="RA115" i="25"/>
  <c r="BL115" i="25"/>
  <c r="QA115" i="25"/>
  <c r="DQ115" i="25"/>
  <c r="LG115" i="25"/>
  <c r="OG115" i="25"/>
  <c r="SG115" i="25"/>
  <c r="CL115" i="25"/>
  <c r="CS115" i="25"/>
  <c r="IT115" i="25"/>
  <c r="DA115" i="25"/>
  <c r="CY115" i="25"/>
  <c r="SO115" i="25"/>
  <c r="QN115" i="25"/>
  <c r="PM115" i="25"/>
  <c r="NM115" i="25"/>
  <c r="KM115" i="25"/>
  <c r="KN115" i="25"/>
  <c r="HO115" i="25"/>
  <c r="IO115" i="25"/>
  <c r="ON115" i="25"/>
  <c r="ER115" i="25"/>
  <c r="EA115" i="25"/>
  <c r="DK115" i="25"/>
  <c r="SH115" i="25"/>
  <c r="HS115" i="25"/>
  <c r="NH115" i="25"/>
  <c r="HR115" i="25"/>
  <c r="GT115" i="25"/>
  <c r="FS115" i="25"/>
  <c r="EW115" i="25"/>
  <c r="GJ115" i="25"/>
  <c r="GD115" i="25"/>
  <c r="FG115" i="25"/>
  <c r="EL115" i="25"/>
  <c r="BB115" i="25"/>
  <c r="AZ115" i="25"/>
  <c r="CI115" i="25"/>
  <c r="SK115" i="25"/>
  <c r="ST115" i="25"/>
  <c r="RQ115" i="25"/>
  <c r="QR115" i="25"/>
  <c r="RC115" i="25"/>
  <c r="RS115" i="25"/>
  <c r="QJ115" i="25"/>
  <c r="RR115" i="25"/>
  <c r="QS115" i="25"/>
  <c r="PS115" i="25"/>
  <c r="NS115" i="25"/>
  <c r="PR115" i="25"/>
  <c r="NR115" i="25"/>
  <c r="PQ115" i="25"/>
  <c r="NQ115" i="25"/>
  <c r="PJ115" i="25"/>
  <c r="MJ115" i="25"/>
  <c r="LT115" i="25"/>
  <c r="KR115" i="25"/>
  <c r="JC115" i="25"/>
  <c r="LI115" i="25"/>
  <c r="KQ115" i="25"/>
  <c r="JK115" i="25"/>
  <c r="MQ115" i="25"/>
  <c r="LD115" i="25"/>
  <c r="KA115" i="25"/>
  <c r="DJ115" i="25"/>
  <c r="EG115" i="25"/>
  <c r="FD115" i="25"/>
  <c r="GC115" i="25"/>
  <c r="EC115" i="25"/>
  <c r="FI115" i="25"/>
  <c r="RJ115" i="25"/>
  <c r="TA115" i="25"/>
  <c r="AL115" i="25"/>
  <c r="W115" i="19" s="1"/>
  <c r="PN91" i="25"/>
  <c r="IN91" i="25"/>
  <c r="OM91" i="25"/>
  <c r="ER91" i="25"/>
  <c r="DG91" i="25"/>
  <c r="FO91" i="25"/>
  <c r="QN91" i="25"/>
  <c r="KO91" i="25"/>
  <c r="FN100" i="25"/>
  <c r="SG100" i="25"/>
  <c r="IT100" i="25"/>
  <c r="SN100" i="25"/>
  <c r="SO100" i="25"/>
  <c r="PO100" i="25"/>
  <c r="NM100" i="25"/>
  <c r="MM100" i="25"/>
  <c r="JO100" i="25"/>
  <c r="JM100" i="25"/>
  <c r="HO100" i="25"/>
  <c r="IO100" i="25"/>
  <c r="ON100" i="25"/>
  <c r="LM100" i="25"/>
  <c r="ES100" i="25"/>
  <c r="GC100" i="25"/>
  <c r="GD100" i="25"/>
  <c r="DR100" i="25"/>
  <c r="RM100" i="25"/>
  <c r="QN100" i="25"/>
  <c r="PN100" i="25"/>
  <c r="MN100" i="25"/>
  <c r="KM100" i="25"/>
  <c r="KN100" i="25"/>
  <c r="IM100" i="25"/>
  <c r="GN100" i="25"/>
  <c r="LN100" i="25"/>
  <c r="DD100" i="25"/>
  <c r="HI100" i="25"/>
  <c r="GI100" i="25"/>
  <c r="EL100" i="25"/>
  <c r="OK109" i="25"/>
  <c r="DN109" i="25"/>
  <c r="JT109" i="25"/>
  <c r="QR109" i="25"/>
  <c r="OA89" i="25"/>
  <c r="QI89" i="25"/>
  <c r="IA95" i="25"/>
  <c r="KT95" i="25"/>
  <c r="LE95" i="25"/>
  <c r="OA95" i="25"/>
  <c r="OE95" i="25" s="1"/>
  <c r="QI95" i="25"/>
  <c r="PD95" i="25"/>
  <c r="QC95" i="25"/>
  <c r="BM95" i="25" s="1"/>
  <c r="II115" i="25"/>
  <c r="HC115" i="25"/>
  <c r="HD115" i="25"/>
  <c r="HE115" i="25"/>
  <c r="JJ115" i="25"/>
  <c r="LK115" i="25"/>
  <c r="KT115" i="25"/>
  <c r="MR115" i="25"/>
  <c r="JI115" i="25"/>
  <c r="MA115" i="25"/>
  <c r="OT115" i="25"/>
  <c r="OC115" i="25"/>
  <c r="OE115" i="25"/>
  <c r="RF115" i="25"/>
  <c r="SC115" i="25"/>
  <c r="SI115" i="25"/>
  <c r="CF115" i="25"/>
  <c r="BA115" i="25"/>
  <c r="FR115" i="25"/>
  <c r="HA115" i="25"/>
  <c r="GK115" i="25"/>
  <c r="KH115" i="25"/>
  <c r="MH115" i="25"/>
  <c r="FA95" i="25"/>
  <c r="GT95" i="25"/>
  <c r="DL95" i="25"/>
  <c r="LN95" i="25"/>
  <c r="GN115" i="25"/>
  <c r="JN115" i="25"/>
  <c r="GN95" i="25"/>
  <c r="JN95" i="25"/>
  <c r="MO115" i="25"/>
  <c r="QO115" i="25"/>
  <c r="MO95" i="25"/>
  <c r="NO95" i="25"/>
  <c r="DB115" i="25"/>
  <c r="CW115" i="25"/>
  <c r="CK115" i="25"/>
  <c r="KG115" i="25"/>
  <c r="LF115" i="25"/>
  <c r="DQ95" i="25"/>
  <c r="FM115" i="25"/>
  <c r="SA115" i="25"/>
  <c r="BU115" i="25"/>
  <c r="FP115" i="25"/>
  <c r="NP115" i="25"/>
  <c r="TI115" i="25"/>
  <c r="SG96" i="25"/>
  <c r="RM96" i="25"/>
  <c r="KN96" i="25"/>
  <c r="MN96" i="25"/>
  <c r="KM96" i="25"/>
  <c r="OM96" i="25"/>
  <c r="EQ96" i="25"/>
  <c r="L115" i="25"/>
  <c r="IK115" i="25"/>
  <c r="IK109" i="25"/>
  <c r="NA115" i="25"/>
  <c r="OK115" i="25"/>
  <c r="OI95" i="25"/>
  <c r="OJ109" i="25"/>
  <c r="NA93" i="25"/>
  <c r="OI93" i="25"/>
  <c r="FC109" i="25"/>
  <c r="OC109" i="25"/>
  <c r="SE109" i="25"/>
  <c r="RI93" i="25"/>
  <c r="SI89" i="25"/>
  <c r="FI95" i="25"/>
  <c r="KA95" i="25"/>
  <c r="LD95" i="25"/>
  <c r="JC95" i="25"/>
  <c r="LI95" i="25"/>
  <c r="LT95" i="25"/>
  <c r="PC95" i="25"/>
  <c r="PE95" i="25"/>
  <c r="RE95" i="25"/>
  <c r="RT95" i="25"/>
  <c r="IA115" i="25"/>
  <c r="EM115" i="25"/>
  <c r="JT115" i="25"/>
  <c r="LQ115" i="25"/>
  <c r="MC115" i="25"/>
  <c r="KK115" i="25"/>
  <c r="JS115" i="25"/>
  <c r="LJ115" i="25"/>
  <c r="OA115" i="25"/>
  <c r="NK115" i="25"/>
  <c r="NI115" i="25"/>
  <c r="RI115" i="25"/>
  <c r="RT115" i="25"/>
  <c r="SS115" i="25"/>
  <c r="CE115" i="25"/>
  <c r="CB115" i="25"/>
  <c r="FT115" i="25"/>
  <c r="EU115" i="25"/>
  <c r="GR115" i="25"/>
  <c r="IH115" i="25"/>
  <c r="JH115" i="25"/>
  <c r="HT95" i="25"/>
  <c r="DF95" i="25"/>
  <c r="EQ95" i="25"/>
  <c r="LN115" i="25"/>
  <c r="OM95" i="25"/>
  <c r="OP95" i="25" s="1"/>
  <c r="GM115" i="25"/>
  <c r="IN115" i="25"/>
  <c r="GM95" i="25"/>
  <c r="GP95" i="25" s="1"/>
  <c r="IN95" i="25"/>
  <c r="MM115" i="25"/>
  <c r="QM115" i="25"/>
  <c r="RO115" i="25"/>
  <c r="NN95" i="25"/>
  <c r="RN95" i="25"/>
  <c r="CZ115" i="25"/>
  <c r="CO115" i="25"/>
  <c r="HG115" i="25"/>
  <c r="NG115" i="25"/>
  <c r="FN95" i="25"/>
  <c r="FO115" i="25"/>
  <c r="BV115" i="25"/>
  <c r="BT115" i="25"/>
  <c r="QA95" i="25"/>
  <c r="QE95" i="25" s="1"/>
  <c r="ET115" i="25"/>
  <c r="MP115" i="25"/>
  <c r="SP112" i="25"/>
  <c r="BS112" i="25"/>
  <c r="DR112" i="25"/>
  <c r="KG112" i="25"/>
  <c r="CX112" i="25"/>
  <c r="SN112" i="25"/>
  <c r="MM112" i="25"/>
  <c r="IN112" i="25"/>
  <c r="JH112" i="25"/>
  <c r="EV112" i="25"/>
  <c r="GA112" i="25"/>
  <c r="AY112" i="25"/>
  <c r="CH112" i="25"/>
  <c r="BF112" i="25"/>
  <c r="FP112" i="25"/>
  <c r="BM112" i="25"/>
  <c r="RA112" i="25"/>
  <c r="JG112" i="25"/>
  <c r="CM112" i="25"/>
  <c r="CZ112" i="25"/>
  <c r="NN112" i="25"/>
  <c r="KO112" i="25"/>
  <c r="ON112" i="25"/>
  <c r="ES112" i="25"/>
  <c r="IH112" i="25"/>
  <c r="FR112" i="25"/>
  <c r="AO112" i="25"/>
  <c r="Z112" i="19" s="1"/>
  <c r="AW112" i="25"/>
  <c r="CI112" i="25"/>
  <c r="SC112" i="25"/>
  <c r="IJ115" i="25"/>
  <c r="IJ109" i="25"/>
  <c r="OJ115" i="25"/>
  <c r="NT95" i="25"/>
  <c r="NA109" i="25"/>
  <c r="OI109" i="25"/>
  <c r="MK109" i="25"/>
  <c r="KT109" i="25"/>
  <c r="PR109" i="25"/>
  <c r="JA101" i="25"/>
  <c r="PI89" i="25"/>
  <c r="SG95" i="25"/>
  <c r="IE95" i="25"/>
  <c r="IC95" i="25"/>
  <c r="KE95" i="25"/>
  <c r="LC95" i="25"/>
  <c r="OC95" i="25"/>
  <c r="NI95" i="25"/>
  <c r="PI95" i="25"/>
  <c r="PT95" i="25"/>
  <c r="RC95" i="25"/>
  <c r="DU115" i="25"/>
  <c r="FJ115" i="25"/>
  <c r="DW115" i="25"/>
  <c r="DT115" i="25"/>
  <c r="KI115" i="25"/>
  <c r="JA115" i="25"/>
  <c r="LA115" i="25"/>
  <c r="MI115" i="25"/>
  <c r="KC115" i="25"/>
  <c r="NT115" i="25"/>
  <c r="PC115" i="25"/>
  <c r="PD115" i="25"/>
  <c r="PE115" i="25"/>
  <c r="QI115" i="25"/>
  <c r="QQ115" i="25"/>
  <c r="QC115" i="25"/>
  <c r="CH115" i="25"/>
  <c r="AU115" i="25"/>
  <c r="AR115" i="25"/>
  <c r="EV115" i="25"/>
  <c r="GQ115" i="25"/>
  <c r="HH115" i="25"/>
  <c r="HK115" i="25"/>
  <c r="QH115" i="25"/>
  <c r="GA95" i="25"/>
  <c r="FC95" i="25"/>
  <c r="DL115" i="25"/>
  <c r="EA95" i="25"/>
  <c r="ES115" i="25"/>
  <c r="LM115" i="25"/>
  <c r="OO115" i="25"/>
  <c r="SM115" i="25"/>
  <c r="IM115" i="25"/>
  <c r="SM95" i="25"/>
  <c r="SP95" i="25" s="1"/>
  <c r="IM95" i="25"/>
  <c r="IP95" i="25" s="1"/>
  <c r="PN115" i="25"/>
  <c r="RN115" i="25"/>
  <c r="QM95" i="25"/>
  <c r="QP95" i="25" s="1"/>
  <c r="SO95" i="25"/>
  <c r="CU115" i="25"/>
  <c r="IS115" i="25"/>
  <c r="QG95" i="25"/>
  <c r="CN115" i="25"/>
  <c r="CQ115" i="25"/>
  <c r="JG115" i="25"/>
  <c r="FN115" i="25"/>
  <c r="BR115" i="25"/>
  <c r="BX115" i="25"/>
  <c r="BN115" i="25"/>
  <c r="JP115" i="25"/>
  <c r="SP115" i="25"/>
  <c r="FP95" i="25"/>
  <c r="NP95" i="25"/>
  <c r="I74" i="25"/>
  <c r="I76" i="25"/>
  <c r="Q115" i="25"/>
  <c r="TC115" i="25"/>
  <c r="I67" i="25"/>
  <c r="S67" i="25" s="1"/>
  <c r="I65" i="25"/>
  <c r="S65" i="25" s="1"/>
  <c r="I70" i="25"/>
  <c r="S70" i="25" s="1"/>
  <c r="I72" i="25"/>
  <c r="I56" i="25"/>
  <c r="S56" i="25" s="1"/>
  <c r="TI87" i="25"/>
  <c r="TD87" i="25"/>
  <c r="TT87" i="25"/>
  <c r="TA87" i="25"/>
  <c r="TI71" i="25"/>
  <c r="TD71" i="25"/>
  <c r="TT71" i="25"/>
  <c r="TA71" i="25"/>
  <c r="TI88" i="25"/>
  <c r="TD88" i="25"/>
  <c r="TG88" i="25"/>
  <c r="TA88" i="25"/>
  <c r="TI72" i="25"/>
  <c r="TD72" i="25"/>
  <c r="TT72" i="25"/>
  <c r="TA72" i="25"/>
  <c r="TI56" i="25"/>
  <c r="TD56" i="25"/>
  <c r="TA56" i="25"/>
  <c r="TI73" i="25"/>
  <c r="TD73" i="25"/>
  <c r="TA73" i="25"/>
  <c r="TI57" i="25"/>
  <c r="TD57" i="25"/>
  <c r="TG57" i="25"/>
  <c r="TU57" i="25" s="1"/>
  <c r="TA57" i="25"/>
  <c r="TI74" i="25"/>
  <c r="TD74" i="25"/>
  <c r="TT74" i="25"/>
  <c r="TA74" i="25"/>
  <c r="TI58" i="25"/>
  <c r="TD58" i="25"/>
  <c r="TA58" i="25"/>
  <c r="TI114" i="25"/>
  <c r="TK114" i="25"/>
  <c r="TJ114" i="25"/>
  <c r="TC114" i="25"/>
  <c r="TH114" i="25"/>
  <c r="TG114" i="25"/>
  <c r="TD114" i="25"/>
  <c r="TA114" i="25"/>
  <c r="TK117" i="25"/>
  <c r="TI117" i="25"/>
  <c r="TJ117" i="25"/>
  <c r="TH117" i="25"/>
  <c r="TC117" i="25"/>
  <c r="TG117" i="25"/>
  <c r="TD117" i="25"/>
  <c r="TA117" i="25"/>
  <c r="TI94" i="25"/>
  <c r="TD94" i="25"/>
  <c r="TA94" i="25"/>
  <c r="TI91" i="25"/>
  <c r="TG91" i="25"/>
  <c r="TD91" i="25"/>
  <c r="TA91" i="25"/>
  <c r="TC91" i="25"/>
  <c r="TI96" i="25"/>
  <c r="TD96" i="25"/>
  <c r="TA96" i="25"/>
  <c r="TI75" i="25"/>
  <c r="TD75" i="25"/>
  <c r="TG75" i="25"/>
  <c r="TA75" i="25"/>
  <c r="TI59" i="25"/>
  <c r="TD59" i="25"/>
  <c r="TA59" i="25"/>
  <c r="TI76" i="25"/>
  <c r="TD76" i="25"/>
  <c r="TA76" i="25"/>
  <c r="TI60" i="25"/>
  <c r="TD60" i="25"/>
  <c r="TG60" i="25"/>
  <c r="TU60" i="25" s="1"/>
  <c r="TA60" i="25"/>
  <c r="TC60" i="25"/>
  <c r="TI77" i="25"/>
  <c r="TD77" i="25"/>
  <c r="TT77" i="25"/>
  <c r="TA77" i="25"/>
  <c r="TI61" i="25"/>
  <c r="TD61" i="25"/>
  <c r="TT61" i="25"/>
  <c r="TA61" i="25"/>
  <c r="TI78" i="25"/>
  <c r="TD78" i="25"/>
  <c r="TT78" i="25"/>
  <c r="TA78" i="25"/>
  <c r="TI62" i="25"/>
  <c r="TD62" i="25"/>
  <c r="TT62" i="25"/>
  <c r="TA62" i="25"/>
  <c r="TI118" i="25"/>
  <c r="TK118" i="25"/>
  <c r="TJ118" i="25"/>
  <c r="TC118" i="25"/>
  <c r="TH118" i="25"/>
  <c r="TG118" i="25"/>
  <c r="TD118" i="25"/>
  <c r="TA118" i="25"/>
  <c r="TI102" i="25"/>
  <c r="TG102" i="25"/>
  <c r="TD102" i="25"/>
  <c r="TT102" i="25"/>
  <c r="TA102" i="25"/>
  <c r="TK113" i="25"/>
  <c r="TI113" i="25"/>
  <c r="TJ113" i="25"/>
  <c r="TH113" i="25"/>
  <c r="TG113" i="25"/>
  <c r="TC113" i="25"/>
  <c r="TD113" i="25"/>
  <c r="TA113" i="25"/>
  <c r="TK105" i="25"/>
  <c r="TI105" i="25"/>
  <c r="TJ105" i="25"/>
  <c r="TH105" i="25"/>
  <c r="TG105" i="25"/>
  <c r="TC105" i="25"/>
  <c r="TD105" i="25"/>
  <c r="TA105" i="25"/>
  <c r="TI97" i="25"/>
  <c r="TD97" i="25"/>
  <c r="TG97" i="25"/>
  <c r="TA97" i="25"/>
  <c r="TI90" i="25"/>
  <c r="TD90" i="25"/>
  <c r="TA90" i="25"/>
  <c r="TI103" i="25"/>
  <c r="TG103" i="25"/>
  <c r="TD103" i="25"/>
  <c r="TT103" i="25"/>
  <c r="TA103" i="25"/>
  <c r="TC103" i="25"/>
  <c r="TI92" i="25"/>
  <c r="TD92" i="25"/>
  <c r="TA92" i="25"/>
  <c r="TK108" i="25"/>
  <c r="TJ108" i="25"/>
  <c r="TI108" i="25"/>
  <c r="TH108" i="25"/>
  <c r="TD108" i="25"/>
  <c r="TA108" i="25"/>
  <c r="TG108" i="25"/>
  <c r="TC108" i="25"/>
  <c r="TK107" i="25"/>
  <c r="TJ107" i="25"/>
  <c r="TI107" i="25"/>
  <c r="TH107" i="25"/>
  <c r="TG107" i="25"/>
  <c r="TD107" i="25"/>
  <c r="TA107" i="25"/>
  <c r="TC107" i="25"/>
  <c r="TI79" i="25"/>
  <c r="TD79" i="25"/>
  <c r="TT79" i="25"/>
  <c r="TA79" i="25"/>
  <c r="TI63" i="25"/>
  <c r="TD63" i="25"/>
  <c r="TT63" i="25"/>
  <c r="TA63" i="25"/>
  <c r="TI80" i="25"/>
  <c r="TD80" i="25"/>
  <c r="TT80" i="25"/>
  <c r="TA80" i="25"/>
  <c r="TI64" i="25"/>
  <c r="TD64" i="25"/>
  <c r="TT64" i="25"/>
  <c r="TA64" i="25"/>
  <c r="TI81" i="25"/>
  <c r="TD81" i="25"/>
  <c r="TT81" i="25"/>
  <c r="TA81" i="25"/>
  <c r="TI65" i="25"/>
  <c r="TD65" i="25"/>
  <c r="TA65" i="25"/>
  <c r="TI82" i="25"/>
  <c r="TD82" i="25"/>
  <c r="TT82" i="25"/>
  <c r="TA82" i="25"/>
  <c r="TI66" i="25"/>
  <c r="TD66" i="25"/>
  <c r="TT66" i="25"/>
  <c r="TA66" i="25"/>
  <c r="TI106" i="25"/>
  <c r="TK106" i="25"/>
  <c r="TJ106" i="25"/>
  <c r="TH106" i="25"/>
  <c r="TC106" i="25"/>
  <c r="TG106" i="25"/>
  <c r="TD106" i="25"/>
  <c r="TA106" i="25"/>
  <c r="TI98" i="25"/>
  <c r="TC98" i="25"/>
  <c r="TD98" i="25"/>
  <c r="TG98" i="25"/>
  <c r="TA98" i="25"/>
  <c r="TK104" i="25"/>
  <c r="TJ104" i="25"/>
  <c r="TI104" i="25"/>
  <c r="TH104" i="25"/>
  <c r="TD104" i="25"/>
  <c r="TA104" i="25"/>
  <c r="TG104" i="25"/>
  <c r="TC104" i="25"/>
  <c r="TK116" i="25"/>
  <c r="TJ116" i="25"/>
  <c r="TI116" i="25"/>
  <c r="TD116" i="25"/>
  <c r="TA116" i="25"/>
  <c r="TH116" i="25"/>
  <c r="TG116" i="25"/>
  <c r="TC116" i="25"/>
  <c r="TI83" i="25"/>
  <c r="TD83" i="25"/>
  <c r="TT83" i="25"/>
  <c r="TA83" i="25"/>
  <c r="TI67" i="25"/>
  <c r="TD67" i="25"/>
  <c r="TT67" i="25"/>
  <c r="TA67" i="25"/>
  <c r="TI84" i="25"/>
  <c r="TD84" i="25"/>
  <c r="TA84" i="25"/>
  <c r="TI68" i="25"/>
  <c r="TD68" i="25"/>
  <c r="TC68" i="25"/>
  <c r="TA68" i="25"/>
  <c r="TI85" i="25"/>
  <c r="TD85" i="25"/>
  <c r="TC85" i="25"/>
  <c r="TA85" i="25"/>
  <c r="TI69" i="25"/>
  <c r="TG69" i="25"/>
  <c r="TU69" i="25" s="1"/>
  <c r="TD69" i="25"/>
  <c r="TT69" i="25"/>
  <c r="TA69" i="25"/>
  <c r="TI86" i="25"/>
  <c r="TD86" i="25"/>
  <c r="TC86" i="25"/>
  <c r="TA86" i="25"/>
  <c r="TI70" i="25"/>
  <c r="TD70" i="25"/>
  <c r="TA70" i="25"/>
  <c r="TI110" i="25"/>
  <c r="TK110" i="25"/>
  <c r="TJ110" i="25"/>
  <c r="TH110" i="25"/>
  <c r="TC110" i="25"/>
  <c r="TG110" i="25"/>
  <c r="TD110" i="25"/>
  <c r="TA110" i="25"/>
  <c r="TK109" i="25"/>
  <c r="TI109" i="25"/>
  <c r="TJ109" i="25"/>
  <c r="TH109" i="25"/>
  <c r="TG109" i="25"/>
  <c r="TC109" i="25"/>
  <c r="TD109" i="25"/>
  <c r="TA109" i="25"/>
  <c r="TI101" i="25"/>
  <c r="TC101" i="25"/>
  <c r="TD101" i="25"/>
  <c r="TG101" i="25"/>
  <c r="TA101" i="25"/>
  <c r="TI93" i="25"/>
  <c r="TD93" i="25"/>
  <c r="TT93" i="25"/>
  <c r="TA93" i="25"/>
  <c r="TI89" i="25"/>
  <c r="TD89" i="25"/>
  <c r="TC89" i="25"/>
  <c r="TA89" i="25"/>
  <c r="TI100" i="25"/>
  <c r="TD100" i="25"/>
  <c r="TT100" i="25"/>
  <c r="TA100" i="25"/>
  <c r="TK112" i="25"/>
  <c r="TJ112" i="25"/>
  <c r="TI112" i="25"/>
  <c r="TH112" i="25"/>
  <c r="TD112" i="25"/>
  <c r="TA112" i="25"/>
  <c r="TG112" i="25"/>
  <c r="TC112" i="25"/>
  <c r="TI95" i="25"/>
  <c r="TD95" i="25"/>
  <c r="TT95" i="25"/>
  <c r="TA95" i="25"/>
  <c r="AQ110" i="25"/>
  <c r="AB110" i="19" s="1"/>
  <c r="AA110" i="19"/>
  <c r="AQ109" i="25"/>
  <c r="AB109" i="19" s="1"/>
  <c r="AA109" i="19"/>
  <c r="AA100" i="19"/>
  <c r="AQ116" i="25"/>
  <c r="AB116" i="19" s="1"/>
  <c r="AA116" i="19"/>
  <c r="AQ114" i="25"/>
  <c r="AB114" i="19" s="1"/>
  <c r="AA114" i="19"/>
  <c r="AQ117" i="25"/>
  <c r="AB117" i="19" s="1"/>
  <c r="AA117" i="19"/>
  <c r="AA91" i="19"/>
  <c r="AQ112" i="25"/>
  <c r="AB112" i="19" s="1"/>
  <c r="AA112" i="19"/>
  <c r="AQ118" i="25"/>
  <c r="AB118" i="19" s="1"/>
  <c r="AA118" i="19"/>
  <c r="AQ113" i="25"/>
  <c r="AB113" i="19" s="1"/>
  <c r="AA113" i="19"/>
  <c r="AQ105" i="25"/>
  <c r="AB105" i="19" s="1"/>
  <c r="AA105" i="19"/>
  <c r="AA90" i="19"/>
  <c r="AA103" i="19"/>
  <c r="AA92" i="19"/>
  <c r="AQ106" i="25"/>
  <c r="AB106" i="19" s="1"/>
  <c r="AA106" i="19"/>
  <c r="AQ104" i="25"/>
  <c r="AB104" i="19" s="1"/>
  <c r="AA104" i="19"/>
  <c r="AQ108" i="25"/>
  <c r="AB108" i="19" s="1"/>
  <c r="AA108" i="19"/>
  <c r="AQ107" i="25"/>
  <c r="AB107" i="19" s="1"/>
  <c r="AA107" i="19"/>
  <c r="I73" i="25"/>
  <c r="B88" i="3"/>
  <c r="I57" i="25"/>
  <c r="S57" i="25" s="1"/>
  <c r="B72" i="3"/>
  <c r="I62" i="25"/>
  <c r="S62" i="25" s="1"/>
  <c r="B77" i="3"/>
  <c r="I75" i="25"/>
  <c r="B90" i="3"/>
  <c r="I64" i="25"/>
  <c r="S64" i="25" s="1"/>
  <c r="B79" i="3"/>
  <c r="D91" i="3"/>
  <c r="V110" i="19"/>
  <c r="BZ110" i="25"/>
  <c r="BY110" i="25"/>
  <c r="Q110" i="25"/>
  <c r="AL110" i="25"/>
  <c r="W110" i="19" s="1"/>
  <c r="CA110" i="25"/>
  <c r="V113" i="19"/>
  <c r="BY113" i="25"/>
  <c r="CA113" i="25"/>
  <c r="Q113" i="25"/>
  <c r="AL113" i="25"/>
  <c r="W113" i="19" s="1"/>
  <c r="BZ113" i="25"/>
  <c r="V105" i="19"/>
  <c r="BY105" i="25"/>
  <c r="CA105" i="25"/>
  <c r="Q105" i="25"/>
  <c r="AL105" i="25"/>
  <c r="W105" i="19" s="1"/>
  <c r="BZ105" i="25"/>
  <c r="V108" i="19"/>
  <c r="Q108" i="25"/>
  <c r="AL108" i="25"/>
  <c r="W108" i="19" s="1"/>
  <c r="CA108" i="25"/>
  <c r="BZ108" i="25"/>
  <c r="BY108" i="25"/>
  <c r="V114" i="19"/>
  <c r="BZ114" i="25"/>
  <c r="BY114" i="25"/>
  <c r="Q114" i="25"/>
  <c r="AL114" i="25"/>
  <c r="W114" i="19" s="1"/>
  <c r="CA114" i="25"/>
  <c r="V116" i="19"/>
  <c r="Q116" i="25"/>
  <c r="AL116" i="25"/>
  <c r="W116" i="19" s="1"/>
  <c r="CA116" i="25"/>
  <c r="BZ116" i="25"/>
  <c r="BY116" i="25"/>
  <c r="V112" i="19"/>
  <c r="Q112" i="25"/>
  <c r="AL112" i="25"/>
  <c r="W112" i="19" s="1"/>
  <c r="CA112" i="25"/>
  <c r="BZ112" i="25"/>
  <c r="BY112" i="25"/>
  <c r="V118" i="19"/>
  <c r="BZ118" i="25"/>
  <c r="BY118" i="25"/>
  <c r="Q118" i="25"/>
  <c r="AL118" i="25"/>
  <c r="W118" i="19" s="1"/>
  <c r="CA118" i="25"/>
  <c r="BY109" i="25"/>
  <c r="CA109" i="25"/>
  <c r="Q109" i="25"/>
  <c r="AL109" i="25"/>
  <c r="W109" i="19" s="1"/>
  <c r="BZ109" i="25"/>
  <c r="V106" i="19"/>
  <c r="BZ106" i="25"/>
  <c r="BY106" i="25"/>
  <c r="Q106" i="25"/>
  <c r="AL106" i="25"/>
  <c r="W106" i="19" s="1"/>
  <c r="CA106" i="25"/>
  <c r="V117" i="19"/>
  <c r="BY117" i="25"/>
  <c r="CA117" i="25"/>
  <c r="Q117" i="25"/>
  <c r="AL117" i="25"/>
  <c r="W117" i="19" s="1"/>
  <c r="BZ117" i="25"/>
  <c r="Q104" i="25"/>
  <c r="AL104" i="25"/>
  <c r="W104" i="19" s="1"/>
  <c r="CA104" i="25"/>
  <c r="BZ104" i="25"/>
  <c r="BY104" i="25"/>
  <c r="V107" i="19"/>
  <c r="CA107" i="25"/>
  <c r="Q107" i="25"/>
  <c r="AL107" i="25"/>
  <c r="W107" i="19" s="1"/>
  <c r="BZ107" i="25"/>
  <c r="BY107" i="25"/>
  <c r="DR91" i="25"/>
  <c r="DK6" i="19"/>
  <c r="DF6" i="19"/>
  <c r="BS116" i="25"/>
  <c r="OP116" i="25"/>
  <c r="BT116" i="25"/>
  <c r="BC6" i="19"/>
  <c r="QO98" i="25"/>
  <c r="KN98" i="25"/>
  <c r="GA98" i="25"/>
  <c r="SO98" i="25"/>
  <c r="KM98" i="25"/>
  <c r="ON98" i="25"/>
  <c r="LO98" i="25"/>
  <c r="ER98" i="25"/>
  <c r="PM98" i="25"/>
  <c r="SM98" i="25"/>
  <c r="SP98" i="25" s="1"/>
  <c r="DP91" i="25"/>
  <c r="SO91" i="25"/>
  <c r="NO91" i="25"/>
  <c r="QM91" i="25"/>
  <c r="MO91" i="25"/>
  <c r="JO91" i="25"/>
  <c r="JM91" i="25"/>
  <c r="GO91" i="25"/>
  <c r="HM91" i="25"/>
  <c r="OO91" i="25"/>
  <c r="LO91" i="25"/>
  <c r="ES91" i="25"/>
  <c r="DL91" i="25"/>
  <c r="GC91" i="25"/>
  <c r="FG91" i="25"/>
  <c r="GA91" i="25"/>
  <c r="FA91" i="25"/>
  <c r="ST91" i="25"/>
  <c r="RT91" i="25"/>
  <c r="RI91" i="25"/>
  <c r="PI91" i="25"/>
  <c r="NC91" i="25"/>
  <c r="LT91" i="25"/>
  <c r="JC91" i="25"/>
  <c r="LE91" i="25"/>
  <c r="KC91" i="25"/>
  <c r="BJ91" i="25" s="1"/>
  <c r="JT91" i="25"/>
  <c r="DQ91" i="25"/>
  <c r="SG91" i="25"/>
  <c r="RN91" i="25"/>
  <c r="QO91" i="25"/>
  <c r="NN91" i="25"/>
  <c r="PM91" i="25"/>
  <c r="KM91" i="25"/>
  <c r="KP91" i="25" s="1"/>
  <c r="KN91" i="25"/>
  <c r="HO91" i="25"/>
  <c r="IO91" i="25"/>
  <c r="DD91" i="25"/>
  <c r="HI91" i="25"/>
  <c r="GI91" i="25"/>
  <c r="GD91" i="25"/>
  <c r="EL91" i="25"/>
  <c r="FM91" i="25"/>
  <c r="FN91" i="25"/>
  <c r="J106" i="42"/>
  <c r="RO91" i="25"/>
  <c r="SN91" i="25"/>
  <c r="PO91" i="25"/>
  <c r="NM91" i="25"/>
  <c r="MM91" i="25"/>
  <c r="JN91" i="25"/>
  <c r="IM91" i="25"/>
  <c r="GN91" i="25"/>
  <c r="SM91" i="25"/>
  <c r="ON91" i="25"/>
  <c r="LM91" i="25"/>
  <c r="EQ91" i="25"/>
  <c r="GT91" i="25"/>
  <c r="EX91" i="25"/>
  <c r="SI91" i="25"/>
  <c r="RD91" i="25"/>
  <c r="QI91" i="25"/>
  <c r="OC91" i="25"/>
  <c r="NT91" i="25"/>
  <c r="MA91" i="25"/>
  <c r="JI91" i="25"/>
  <c r="JD91" i="25"/>
  <c r="MT91" i="25"/>
  <c r="V104" i="19"/>
  <c r="LG104" i="25"/>
  <c r="OG104" i="25"/>
  <c r="SG104" i="25"/>
  <c r="CK104" i="25"/>
  <c r="CN104" i="25"/>
  <c r="CY104" i="25"/>
  <c r="CW104" i="25"/>
  <c r="SN104" i="25"/>
  <c r="SO104" i="25"/>
  <c r="PO104" i="25"/>
  <c r="NM104" i="25"/>
  <c r="MM104" i="25"/>
  <c r="JO104" i="25"/>
  <c r="JM104" i="25"/>
  <c r="HO104" i="25"/>
  <c r="IO104" i="25"/>
  <c r="DD104" i="25"/>
  <c r="SH104" i="25"/>
  <c r="NH104" i="25"/>
  <c r="HS104" i="25"/>
  <c r="HR104" i="25"/>
  <c r="GT104" i="25"/>
  <c r="FT104" i="25"/>
  <c r="EX104" i="25"/>
  <c r="HH104" i="25"/>
  <c r="HA104" i="25"/>
  <c r="GQ104" i="25"/>
  <c r="FQ104" i="25"/>
  <c r="EU104" i="25"/>
  <c r="AO104" i="25"/>
  <c r="Z104" i="19" s="1"/>
  <c r="AR104" i="25"/>
  <c r="AW104" i="25"/>
  <c r="CE104" i="25"/>
  <c r="CG104" i="25"/>
  <c r="NG104" i="25"/>
  <c r="RG104" i="25"/>
  <c r="HG104" i="25"/>
  <c r="CP104" i="25"/>
  <c r="PG104" i="25"/>
  <c r="CQ104" i="25"/>
  <c r="IS104" i="25"/>
  <c r="CU104" i="25"/>
  <c r="DB104" i="25"/>
  <c r="RM104" i="25"/>
  <c r="QN104" i="25"/>
  <c r="PN104" i="25"/>
  <c r="MN104" i="25"/>
  <c r="KM104" i="25"/>
  <c r="KN104" i="25"/>
  <c r="IM104" i="25"/>
  <c r="GN104" i="25"/>
  <c r="OM104" i="25"/>
  <c r="LM104" i="25"/>
  <c r="EQ104" i="25"/>
  <c r="PH104" i="25"/>
  <c r="IH104" i="25"/>
  <c r="JH104" i="25"/>
  <c r="HT104" i="25"/>
  <c r="GR104" i="25"/>
  <c r="FR104" i="25"/>
  <c r="EV104" i="25"/>
  <c r="HF104" i="25"/>
  <c r="HQ104" i="25"/>
  <c r="GA104" i="25"/>
  <c r="FA104" i="25"/>
  <c r="CB104" i="25"/>
  <c r="X104" i="19"/>
  <c r="AZ104" i="25"/>
  <c r="CH104" i="25"/>
  <c r="FN104" i="25"/>
  <c r="JG104" i="25"/>
  <c r="KG104" i="25"/>
  <c r="CL104" i="25"/>
  <c r="CS104" i="25"/>
  <c r="CM104" i="25"/>
  <c r="IR104" i="25"/>
  <c r="CZ104" i="25"/>
  <c r="CX104" i="25"/>
  <c r="RN104" i="25"/>
  <c r="NO104" i="25"/>
  <c r="QM104" i="25"/>
  <c r="MO104" i="25"/>
  <c r="JN104" i="25"/>
  <c r="SM104" i="25"/>
  <c r="HN104" i="25"/>
  <c r="GM104" i="25"/>
  <c r="ON104" i="25"/>
  <c r="LN104" i="25"/>
  <c r="ER104" i="25"/>
  <c r="DL104" i="25"/>
  <c r="QH104" i="25"/>
  <c r="KH104" i="25"/>
  <c r="MH104" i="25"/>
  <c r="HK104" i="25"/>
  <c r="GK104" i="25"/>
  <c r="GJ104" i="25"/>
  <c r="GD104" i="25"/>
  <c r="FG104" i="25"/>
  <c r="AY104" i="25"/>
  <c r="BB104" i="25"/>
  <c r="CD104" i="25"/>
  <c r="CG108" i="25"/>
  <c r="CE108" i="25"/>
  <c r="CD112" i="25"/>
  <c r="BB108" i="25"/>
  <c r="AY108" i="25"/>
  <c r="BA112" i="25"/>
  <c r="AX112" i="25"/>
  <c r="AU112" i="25"/>
  <c r="CC108" i="25"/>
  <c r="CB112" i="25"/>
  <c r="EU112" i="25"/>
  <c r="FQ112" i="25"/>
  <c r="GQ112" i="25"/>
  <c r="HA112" i="25"/>
  <c r="HH112" i="25"/>
  <c r="EX112" i="25"/>
  <c r="FT112" i="25"/>
  <c r="GT112" i="25"/>
  <c r="HR112" i="25"/>
  <c r="HS112" i="25"/>
  <c r="NH112" i="25"/>
  <c r="SH112" i="25"/>
  <c r="FG108" i="25"/>
  <c r="GD108" i="25"/>
  <c r="GJ108" i="25"/>
  <c r="GK108" i="25"/>
  <c r="HK108" i="25"/>
  <c r="MH108" i="25"/>
  <c r="KH108" i="25"/>
  <c r="QH108" i="25"/>
  <c r="DK112" i="25"/>
  <c r="ER112" i="25"/>
  <c r="ES108" i="25"/>
  <c r="LN112" i="25"/>
  <c r="LO108" i="25"/>
  <c r="OO112" i="25"/>
  <c r="OO108" i="25"/>
  <c r="GM112" i="25"/>
  <c r="HN112" i="25"/>
  <c r="SM112" i="25"/>
  <c r="JN112" i="25"/>
  <c r="GM108" i="25"/>
  <c r="HN108" i="25"/>
  <c r="SM108" i="25"/>
  <c r="JN108" i="25"/>
  <c r="MO112" i="25"/>
  <c r="PN112" i="25"/>
  <c r="QO112" i="25"/>
  <c r="RO112" i="25"/>
  <c r="MM108" i="25"/>
  <c r="NN108" i="25"/>
  <c r="QM108" i="25"/>
  <c r="SO108" i="25"/>
  <c r="SN108" i="25"/>
  <c r="DB112" i="25"/>
  <c r="CU112" i="25"/>
  <c r="CX108" i="25"/>
  <c r="CZ108" i="25"/>
  <c r="IR108" i="25"/>
  <c r="CQ112" i="25"/>
  <c r="PG112" i="25"/>
  <c r="CP112" i="25"/>
  <c r="HG112" i="25"/>
  <c r="RG112" i="25"/>
  <c r="NG112" i="25"/>
  <c r="CR108" i="25"/>
  <c r="CO108" i="25"/>
  <c r="QG108" i="25"/>
  <c r="MG108" i="25"/>
  <c r="FN108" i="25"/>
  <c r="FM108" i="25"/>
  <c r="FN112" i="25"/>
  <c r="FM112" i="25"/>
  <c r="QA108" i="25"/>
  <c r="BU108" i="25"/>
  <c r="BR108" i="25"/>
  <c r="BM108" i="25"/>
  <c r="QA112" i="25"/>
  <c r="PA112" i="25"/>
  <c r="BN112" i="25"/>
  <c r="BW112" i="25"/>
  <c r="BL112" i="25"/>
  <c r="ET112" i="25"/>
  <c r="IP112" i="25"/>
  <c r="MP112" i="25"/>
  <c r="RP112" i="25"/>
  <c r="ET108" i="25"/>
  <c r="IP108" i="25"/>
  <c r="MP108" i="25"/>
  <c r="RP108" i="25"/>
  <c r="AZ108" i="25"/>
  <c r="X108" i="19"/>
  <c r="EW112" i="25"/>
  <c r="FS112" i="25"/>
  <c r="GS112" i="25"/>
  <c r="HJ112" i="25"/>
  <c r="EL112" i="25"/>
  <c r="FH112" i="25"/>
  <c r="GG112" i="25"/>
  <c r="GI112" i="25"/>
  <c r="HI112" i="25"/>
  <c r="OH112" i="25"/>
  <c r="LH112" i="25"/>
  <c r="RH112" i="25"/>
  <c r="FA108" i="25"/>
  <c r="GA108" i="25"/>
  <c r="HQ108" i="25"/>
  <c r="HF108" i="25"/>
  <c r="EV108" i="25"/>
  <c r="FR108" i="25"/>
  <c r="GR108" i="25"/>
  <c r="HT108" i="25"/>
  <c r="JH108" i="25"/>
  <c r="IH108" i="25"/>
  <c r="PH108" i="25"/>
  <c r="DL112" i="25"/>
  <c r="DD108" i="25"/>
  <c r="EA112" i="25"/>
  <c r="EQ112" i="25"/>
  <c r="ER108" i="25"/>
  <c r="LM112" i="25"/>
  <c r="LN108" i="25"/>
  <c r="OM112" i="25"/>
  <c r="OM108" i="25"/>
  <c r="GN112" i="25"/>
  <c r="IM112" i="25"/>
  <c r="KN112" i="25"/>
  <c r="KM112" i="25"/>
  <c r="GN108" i="25"/>
  <c r="IM108" i="25"/>
  <c r="KN108" i="25"/>
  <c r="KM108" i="25"/>
  <c r="NM112" i="25"/>
  <c r="PM112" i="25"/>
  <c r="QN112" i="25"/>
  <c r="RN112" i="25"/>
  <c r="MO108" i="25"/>
  <c r="PN108" i="25"/>
  <c r="QO108" i="25"/>
  <c r="RO108" i="25"/>
  <c r="CW112" i="25"/>
  <c r="CY112" i="25"/>
  <c r="DB108" i="25"/>
  <c r="CU108" i="25"/>
  <c r="IS112" i="25"/>
  <c r="CN112" i="25"/>
  <c r="CK112" i="25"/>
  <c r="SG112" i="25"/>
  <c r="OG112" i="25"/>
  <c r="LG112" i="25"/>
  <c r="CM108" i="25"/>
  <c r="CS108" i="25"/>
  <c r="CL108" i="25"/>
  <c r="KG108" i="25"/>
  <c r="JG108" i="25"/>
  <c r="LF112" i="25"/>
  <c r="DQ108" i="25"/>
  <c r="DQ112" i="25"/>
  <c r="BX108" i="25"/>
  <c r="BT108" i="25"/>
  <c r="BV108" i="25"/>
  <c r="BS108" i="25"/>
  <c r="BL108" i="25"/>
  <c r="BP112" i="25"/>
  <c r="AE112" i="19" s="1"/>
  <c r="BX112" i="25"/>
  <c r="BQ112" i="25"/>
  <c r="BR112" i="25"/>
  <c r="DS112" i="25"/>
  <c r="HP112" i="25"/>
  <c r="LP112" i="25"/>
  <c r="QP112" i="25"/>
  <c r="DS108" i="25"/>
  <c r="HP108" i="25"/>
  <c r="LP108" i="25"/>
  <c r="QP108" i="25"/>
  <c r="CD108" i="25"/>
  <c r="CG112" i="25"/>
  <c r="CE112" i="25"/>
  <c r="AW108" i="25"/>
  <c r="AR108" i="25"/>
  <c r="AO108" i="25"/>
  <c r="Z108" i="19" s="1"/>
  <c r="AZ112" i="25"/>
  <c r="X112" i="19"/>
  <c r="CB108" i="25"/>
  <c r="CC112" i="25"/>
  <c r="FG112" i="25"/>
  <c r="GD112" i="25"/>
  <c r="GJ112" i="25"/>
  <c r="GK112" i="25"/>
  <c r="HK112" i="25"/>
  <c r="MH112" i="25"/>
  <c r="KH112" i="25"/>
  <c r="QH112" i="25"/>
  <c r="EU108" i="25"/>
  <c r="FQ108" i="25"/>
  <c r="GQ108" i="25"/>
  <c r="HA108" i="25"/>
  <c r="HH108" i="25"/>
  <c r="EX108" i="25"/>
  <c r="FT108" i="25"/>
  <c r="GT108" i="25"/>
  <c r="HR108" i="25"/>
  <c r="HS108" i="25"/>
  <c r="NH108" i="25"/>
  <c r="SH108" i="25"/>
  <c r="DK108" i="25"/>
  <c r="EQ108" i="25"/>
  <c r="LM108" i="25"/>
  <c r="ON108" i="25"/>
  <c r="IO112" i="25"/>
  <c r="HO112" i="25"/>
  <c r="JM112" i="25"/>
  <c r="JO112" i="25"/>
  <c r="IO108" i="25"/>
  <c r="HO108" i="25"/>
  <c r="JM108" i="25"/>
  <c r="JO108" i="25"/>
  <c r="MN112" i="25"/>
  <c r="NO112" i="25"/>
  <c r="PO112" i="25"/>
  <c r="RM112" i="25"/>
  <c r="NM108" i="25"/>
  <c r="PM108" i="25"/>
  <c r="QN108" i="25"/>
  <c r="RN108" i="25"/>
  <c r="DA112" i="25"/>
  <c r="DC112" i="25"/>
  <c r="CV112" i="25"/>
  <c r="CW108" i="25"/>
  <c r="CY108" i="25"/>
  <c r="IS108" i="25"/>
  <c r="CR112" i="25"/>
  <c r="CO112" i="25"/>
  <c r="QG112" i="25"/>
  <c r="MG112" i="25"/>
  <c r="CQ108" i="25"/>
  <c r="PG108" i="25"/>
  <c r="CP108" i="25"/>
  <c r="HG108" i="25"/>
  <c r="RG108" i="25"/>
  <c r="NG108" i="25"/>
  <c r="DP108" i="25"/>
  <c r="DP112" i="25"/>
  <c r="RA108" i="25"/>
  <c r="PA108" i="25"/>
  <c r="SA108" i="25"/>
  <c r="BW108" i="25"/>
  <c r="BT112" i="25"/>
  <c r="BU112" i="25"/>
  <c r="BV112" i="25"/>
  <c r="PP112" i="25"/>
  <c r="GP112" i="25"/>
  <c r="KP112" i="25"/>
  <c r="OP112" i="25"/>
  <c r="PP108" i="25"/>
  <c r="GP108" i="25"/>
  <c r="KP108" i="25"/>
  <c r="OP108" i="25"/>
  <c r="QR117" i="25"/>
  <c r="KI94" i="25"/>
  <c r="JI94" i="25"/>
  <c r="KP116" i="25"/>
  <c r="GP116" i="25"/>
  <c r="PP116" i="25"/>
  <c r="I58" i="25"/>
  <c r="S58" i="25" s="1"/>
  <c r="I59" i="25"/>
  <c r="S59" i="25" s="1"/>
  <c r="I60" i="25"/>
  <c r="S60" i="25" s="1"/>
  <c r="V109" i="19"/>
  <c r="SC109" i="25"/>
  <c r="SQ109" i="25"/>
  <c r="RF109" i="25"/>
  <c r="RI109" i="25"/>
  <c r="SJ109" i="25"/>
  <c r="QK109" i="25"/>
  <c r="PI109" i="25"/>
  <c r="NI109" i="25"/>
  <c r="PC109" i="25"/>
  <c r="OE109" i="25"/>
  <c r="OR109" i="25"/>
  <c r="NE109" i="25"/>
  <c r="LJ109" i="25"/>
  <c r="KJ109" i="25"/>
  <c r="JA109" i="25"/>
  <c r="KE109" i="25"/>
  <c r="JJ109" i="25"/>
  <c r="MA109" i="25"/>
  <c r="LE109" i="25"/>
  <c r="JC109" i="25"/>
  <c r="LQ109" i="25"/>
  <c r="KA109" i="25"/>
  <c r="DJ109" i="25"/>
  <c r="FJ109" i="25"/>
  <c r="EM109" i="25"/>
  <c r="FI109" i="25"/>
  <c r="GC109" i="25"/>
  <c r="EG109" i="25"/>
  <c r="FK109" i="25"/>
  <c r="IA109" i="25"/>
  <c r="RK109" i="25"/>
  <c r="SS109" i="25"/>
  <c r="SK109" i="25"/>
  <c r="QT109" i="25"/>
  <c r="RE109" i="25"/>
  <c r="QS109" i="25"/>
  <c r="QC109" i="25"/>
  <c r="QQ109" i="25"/>
  <c r="PE109" i="25"/>
  <c r="PD109" i="25"/>
  <c r="OA109" i="25"/>
  <c r="NC109" i="25"/>
  <c r="OS109" i="25"/>
  <c r="NF109" i="25"/>
  <c r="PT109" i="25"/>
  <c r="NT109" i="25"/>
  <c r="MC109" i="25"/>
  <c r="JQ109" i="25"/>
  <c r="MS109" i="25"/>
  <c r="JF109" i="25"/>
  <c r="MR109" i="25"/>
  <c r="LA109" i="25"/>
  <c r="KR109" i="25"/>
  <c r="JS109" i="25"/>
  <c r="LK109" i="25"/>
  <c r="KQ109" i="25"/>
  <c r="JR109" i="25"/>
  <c r="DF109" i="25"/>
  <c r="HC109" i="25"/>
  <c r="DW109" i="25"/>
  <c r="DG109" i="25"/>
  <c r="II109" i="25"/>
  <c r="SI109" i="25"/>
  <c r="SR109" i="25"/>
  <c r="RS109" i="25"/>
  <c r="QJ109" i="25"/>
  <c r="RR109" i="25"/>
  <c r="QI109" i="25"/>
  <c r="RD109" i="25"/>
  <c r="RC109" i="25"/>
  <c r="RT109" i="25"/>
  <c r="OQ109" i="25"/>
  <c r="ND109" i="25"/>
  <c r="OT109" i="25"/>
  <c r="NR109" i="25"/>
  <c r="PQ109" i="25"/>
  <c r="NQ109" i="25"/>
  <c r="PJ109" i="25"/>
  <c r="NJ109" i="25"/>
  <c r="MT109" i="25"/>
  <c r="LC109" i="25"/>
  <c r="JK109" i="25"/>
  <c r="MI109" i="25"/>
  <c r="LS109" i="25"/>
  <c r="KS109" i="25"/>
  <c r="LR109" i="25"/>
  <c r="JI109" i="25"/>
  <c r="MQ109" i="25"/>
  <c r="KK109" i="25"/>
  <c r="DT109" i="25"/>
  <c r="IC109" i="25"/>
  <c r="DM109" i="25"/>
  <c r="DV109" i="25"/>
  <c r="HE109" i="25"/>
  <c r="DU109" i="25"/>
  <c r="IE109" i="25"/>
  <c r="IA101" i="25"/>
  <c r="SI101" i="25"/>
  <c r="KA101" i="25"/>
  <c r="JA93" i="25"/>
  <c r="IC93" i="25"/>
  <c r="IA93" i="25"/>
  <c r="RD93" i="25"/>
  <c r="LC93" i="25"/>
  <c r="PT93" i="25"/>
  <c r="PC93" i="25"/>
  <c r="MC93" i="25"/>
  <c r="OC89" i="25"/>
  <c r="LI89" i="25"/>
  <c r="KI89" i="25"/>
  <c r="KA89" i="25"/>
  <c r="JD89" i="25"/>
  <c r="FI89" i="25"/>
  <c r="RI89" i="25"/>
  <c r="ND89" i="25"/>
  <c r="NE89" i="25"/>
  <c r="JA89" i="25"/>
  <c r="MC89" i="25"/>
  <c r="MA89" i="25"/>
  <c r="KT89" i="25"/>
  <c r="IA89" i="25"/>
  <c r="QT89" i="25"/>
  <c r="PT89" i="25"/>
  <c r="NT89" i="25"/>
  <c r="LD89" i="25"/>
  <c r="LA89" i="25"/>
  <c r="II89" i="25"/>
  <c r="IC89" i="25"/>
  <c r="FD109" i="25"/>
  <c r="EC109" i="25"/>
  <c r="JD109" i="25"/>
  <c r="KC109" i="25"/>
  <c r="LI109" i="25"/>
  <c r="MJ109" i="25"/>
  <c r="PK109" i="25"/>
  <c r="PS109" i="25"/>
  <c r="QE109" i="25"/>
  <c r="ST89" i="25"/>
  <c r="JI89" i="25"/>
  <c r="LC89" i="25"/>
  <c r="NC89" i="25"/>
  <c r="RT89" i="25"/>
  <c r="RJ109" i="25"/>
  <c r="IQ109" i="25"/>
  <c r="HD109" i="25"/>
  <c r="JE109" i="25"/>
  <c r="KI109" i="25"/>
  <c r="LT109" i="25"/>
  <c r="NK109" i="25"/>
  <c r="NS109" i="25"/>
  <c r="RQ109" i="25"/>
  <c r="ST109" i="25"/>
  <c r="EU116" i="25"/>
  <c r="FQ116" i="25"/>
  <c r="GQ116" i="25"/>
  <c r="HA116" i="25"/>
  <c r="HH116" i="25"/>
  <c r="EX116" i="25"/>
  <c r="FT116" i="25"/>
  <c r="GT116" i="25"/>
  <c r="HR116" i="25"/>
  <c r="HS116" i="25"/>
  <c r="NH116" i="25"/>
  <c r="SH116" i="25"/>
  <c r="HA98" i="25"/>
  <c r="GD96" i="25"/>
  <c r="FG96" i="25"/>
  <c r="DL98" i="25"/>
  <c r="DK116" i="25"/>
  <c r="ED98" i="25"/>
  <c r="EX96" i="25"/>
  <c r="EQ98" i="25"/>
  <c r="LN116" i="25"/>
  <c r="LN96" i="25"/>
  <c r="OM98" i="25"/>
  <c r="OP98" i="25" s="1"/>
  <c r="IO98" i="25"/>
  <c r="GO98" i="25"/>
  <c r="JM98" i="25"/>
  <c r="JO98" i="25"/>
  <c r="IO116" i="25"/>
  <c r="HO116" i="25"/>
  <c r="JM116" i="25"/>
  <c r="JO116" i="25"/>
  <c r="IO96" i="25"/>
  <c r="HO96" i="25"/>
  <c r="JM96" i="25"/>
  <c r="JO96" i="25"/>
  <c r="MO98" i="25"/>
  <c r="QM98" i="25"/>
  <c r="QP98" i="25" s="1"/>
  <c r="NO98" i="25"/>
  <c r="RN98" i="25"/>
  <c r="MM116" i="25"/>
  <c r="NN116" i="25"/>
  <c r="QM116" i="25"/>
  <c r="SO116" i="25"/>
  <c r="SN116" i="25"/>
  <c r="MM96" i="25"/>
  <c r="NM96" i="25"/>
  <c r="PO96" i="25"/>
  <c r="SO96" i="25"/>
  <c r="SN96" i="25"/>
  <c r="DB116" i="25"/>
  <c r="CU116" i="25"/>
  <c r="IS116" i="25"/>
  <c r="QG96" i="25"/>
  <c r="QG98" i="25"/>
  <c r="CN116" i="25"/>
  <c r="CK116" i="25"/>
  <c r="SG116" i="25"/>
  <c r="OG116" i="25"/>
  <c r="LG116" i="25"/>
  <c r="LF116" i="25"/>
  <c r="DQ116" i="25"/>
  <c r="DP96" i="25"/>
  <c r="BX116" i="25"/>
  <c r="PA116" i="25"/>
  <c r="SA116" i="25"/>
  <c r="BW116" i="25"/>
  <c r="FP116" i="25"/>
  <c r="JP116" i="25"/>
  <c r="NP116" i="25"/>
  <c r="SP116" i="25"/>
  <c r="BF116" i="25"/>
  <c r="EL98" i="25"/>
  <c r="GI98" i="25"/>
  <c r="HI98" i="25"/>
  <c r="FA96" i="25"/>
  <c r="GA96" i="25"/>
  <c r="DD98" i="25"/>
  <c r="DL116" i="25"/>
  <c r="DL96" i="25"/>
  <c r="EA98" i="25"/>
  <c r="EA116" i="25"/>
  <c r="EA96" i="25"/>
  <c r="ES98" i="25"/>
  <c r="ES116" i="25"/>
  <c r="ES96" i="25"/>
  <c r="LN98" i="25"/>
  <c r="LM116" i="25"/>
  <c r="LM96" i="25"/>
  <c r="OO98" i="25"/>
  <c r="ON116" i="25"/>
  <c r="ON96" i="25"/>
  <c r="HM98" i="25"/>
  <c r="HP98" i="25" s="1"/>
  <c r="HN98" i="25"/>
  <c r="IN98" i="25"/>
  <c r="KO98" i="25"/>
  <c r="HM116" i="25"/>
  <c r="GO116" i="25"/>
  <c r="IN116" i="25"/>
  <c r="KO116" i="25"/>
  <c r="HM96" i="25"/>
  <c r="GO96" i="25"/>
  <c r="IN96" i="25"/>
  <c r="KO96" i="25"/>
  <c r="MN98" i="25"/>
  <c r="PN98" i="25"/>
  <c r="QN98" i="25"/>
  <c r="SN98" i="25"/>
  <c r="MO116" i="25"/>
  <c r="PN116" i="25"/>
  <c r="QO116" i="25"/>
  <c r="RO116" i="25"/>
  <c r="PM96" i="25"/>
  <c r="PP96" i="25" s="1"/>
  <c r="NN96" i="25"/>
  <c r="QO96" i="25"/>
  <c r="RO96" i="25"/>
  <c r="CW116" i="25"/>
  <c r="CY116" i="25"/>
  <c r="IT98" i="25"/>
  <c r="SG98" i="25"/>
  <c r="CR116" i="25"/>
  <c r="CO116" i="25"/>
  <c r="QG116" i="25"/>
  <c r="MG116" i="25"/>
  <c r="DP116" i="25"/>
  <c r="FO96" i="25"/>
  <c r="DR96" i="25"/>
  <c r="BP116" i="25"/>
  <c r="AE116" i="19" s="1"/>
  <c r="BQ116" i="25"/>
  <c r="BN116" i="25"/>
  <c r="ET116" i="25"/>
  <c r="IP116" i="25"/>
  <c r="MP116" i="25"/>
  <c r="RP116" i="25"/>
  <c r="FG116" i="25"/>
  <c r="GD116" i="25"/>
  <c r="GJ116" i="25"/>
  <c r="GK116" i="25"/>
  <c r="HK116" i="25"/>
  <c r="MH116" i="25"/>
  <c r="KH116" i="25"/>
  <c r="QH116" i="25"/>
  <c r="GD98" i="25"/>
  <c r="FG98" i="25"/>
  <c r="GC98" i="25"/>
  <c r="HA96" i="25"/>
  <c r="GT96" i="25"/>
  <c r="HT96" i="25"/>
  <c r="ER116" i="25"/>
  <c r="ER96" i="25"/>
  <c r="LM98" i="25"/>
  <c r="OO116" i="25"/>
  <c r="OO96" i="25"/>
  <c r="GM98" i="25"/>
  <c r="GP98" i="25" s="1"/>
  <c r="GN98" i="25"/>
  <c r="IM98" i="25"/>
  <c r="JN98" i="25"/>
  <c r="GM116" i="25"/>
  <c r="HN116" i="25"/>
  <c r="SM116" i="25"/>
  <c r="JN116" i="25"/>
  <c r="GM96" i="25"/>
  <c r="GP96" i="25" s="1"/>
  <c r="HN96" i="25"/>
  <c r="SM96" i="25"/>
  <c r="JN96" i="25"/>
  <c r="MM98" i="25"/>
  <c r="NM98" i="25"/>
  <c r="PO98" i="25"/>
  <c r="RM98" i="25"/>
  <c r="RP98" i="25" s="1"/>
  <c r="RO98" i="25"/>
  <c r="NM116" i="25"/>
  <c r="PM116" i="25"/>
  <c r="QN116" i="25"/>
  <c r="RN116" i="25"/>
  <c r="MO96" i="25"/>
  <c r="QM96" i="25"/>
  <c r="NO96" i="25"/>
  <c r="RN96" i="25"/>
  <c r="DA116" i="25"/>
  <c r="DC116" i="25"/>
  <c r="CV116" i="25"/>
  <c r="IT116" i="25"/>
  <c r="IR116" i="25"/>
  <c r="IT96" i="25"/>
  <c r="CM116" i="25"/>
  <c r="CS116" i="25"/>
  <c r="CL116" i="25"/>
  <c r="KG116" i="25"/>
  <c r="JG116" i="25"/>
  <c r="DQ98" i="25"/>
  <c r="FO116" i="25"/>
  <c r="DR116" i="25"/>
  <c r="FN96" i="25"/>
  <c r="FM96" i="25"/>
  <c r="FP96" i="25" s="1"/>
  <c r="RA116" i="25"/>
  <c r="BU116" i="25"/>
  <c r="BR116" i="25"/>
  <c r="BM116" i="25"/>
  <c r="DS116" i="25"/>
  <c r="HP116" i="25"/>
  <c r="LP116" i="25"/>
  <c r="QP116" i="25"/>
  <c r="NA94" i="25"/>
  <c r="OK117" i="25"/>
  <c r="LK117" i="25"/>
  <c r="OT117" i="25"/>
  <c r="RC94" i="25"/>
  <c r="QT94" i="25"/>
  <c r="RI94" i="25"/>
  <c r="DT117" i="25"/>
  <c r="OR117" i="25"/>
  <c r="SE117" i="25"/>
  <c r="MA94" i="25"/>
  <c r="JA94" i="25"/>
  <c r="PI94" i="25"/>
  <c r="JK117" i="25"/>
  <c r="NI94" i="25"/>
  <c r="SI94" i="25"/>
  <c r="IK105" i="25"/>
  <c r="L113" i="25"/>
  <c r="OI113" i="25"/>
  <c r="OJ105" i="25"/>
  <c r="HC113" i="25"/>
  <c r="KA113" i="25"/>
  <c r="KR113" i="25"/>
  <c r="MJ113" i="25"/>
  <c r="OS113" i="25"/>
  <c r="NI113" i="25"/>
  <c r="RI113" i="25"/>
  <c r="SS113" i="25"/>
  <c r="RJ105" i="25"/>
  <c r="FD105" i="25"/>
  <c r="IQ105" i="25"/>
  <c r="EC105" i="25"/>
  <c r="FC105" i="25"/>
  <c r="DN105" i="25"/>
  <c r="HD105" i="25"/>
  <c r="JD105" i="25"/>
  <c r="LD105" i="25"/>
  <c r="MK105" i="25"/>
  <c r="JE105" i="25"/>
  <c r="KC105" i="25"/>
  <c r="JT105" i="25"/>
  <c r="KI105" i="25"/>
  <c r="LI105" i="25"/>
  <c r="ME105" i="25"/>
  <c r="KT105" i="25"/>
  <c r="LT105" i="25"/>
  <c r="MJ105" i="25"/>
  <c r="OC105" i="25"/>
  <c r="NK105" i="25"/>
  <c r="PK105" i="25"/>
  <c r="PR105" i="25"/>
  <c r="NS105" i="25"/>
  <c r="PS105" i="25"/>
  <c r="RT105" i="25"/>
  <c r="QR105" i="25"/>
  <c r="RQ105" i="25"/>
  <c r="QE105" i="25"/>
  <c r="QJ105" i="25"/>
  <c r="RS105" i="25"/>
  <c r="SE105" i="25"/>
  <c r="NA113" i="25"/>
  <c r="NA105" i="25"/>
  <c r="OI105" i="25"/>
  <c r="FD113" i="25"/>
  <c r="DW113" i="25"/>
  <c r="JS113" i="25"/>
  <c r="JF113" i="25"/>
  <c r="LT113" i="25"/>
  <c r="NQ113" i="25"/>
  <c r="RS113" i="25"/>
  <c r="IE105" i="25"/>
  <c r="DU105" i="25"/>
  <c r="HE105" i="25"/>
  <c r="DV105" i="25"/>
  <c r="DM105" i="25"/>
  <c r="IC105" i="25"/>
  <c r="DT105" i="25"/>
  <c r="KK105" i="25"/>
  <c r="MQ105" i="25"/>
  <c r="JI105" i="25"/>
  <c r="LR105" i="25"/>
  <c r="KS105" i="25"/>
  <c r="LS105" i="25"/>
  <c r="MI105" i="25"/>
  <c r="JK105" i="25"/>
  <c r="LC105" i="25"/>
  <c r="MT105" i="25"/>
  <c r="NJ105" i="25"/>
  <c r="PJ105" i="25"/>
  <c r="NQ105" i="25"/>
  <c r="PQ105" i="25"/>
  <c r="NR105" i="25"/>
  <c r="OT105" i="25"/>
  <c r="ND105" i="25"/>
  <c r="OQ105" i="25"/>
  <c r="RC105" i="25"/>
  <c r="QQ105" i="25"/>
  <c r="RD105" i="25"/>
  <c r="QI105" i="25"/>
  <c r="RR105" i="25"/>
  <c r="QT105" i="25"/>
  <c r="SR105" i="25"/>
  <c r="SI105" i="25"/>
  <c r="OK105" i="25"/>
  <c r="FJ113" i="25"/>
  <c r="LD113" i="25"/>
  <c r="LA113" i="25"/>
  <c r="JA113" i="25"/>
  <c r="NJ113" i="25"/>
  <c r="PC113" i="25"/>
  <c r="PS113" i="25"/>
  <c r="RK105" i="25"/>
  <c r="IA105" i="25"/>
  <c r="FK105" i="25"/>
  <c r="EG105" i="25"/>
  <c r="GC105" i="25"/>
  <c r="FI105" i="25"/>
  <c r="EM105" i="25"/>
  <c r="FJ105" i="25"/>
  <c r="DJ105" i="25"/>
  <c r="KA105" i="25"/>
  <c r="LQ105" i="25"/>
  <c r="JC105" i="25"/>
  <c r="LE105" i="25"/>
  <c r="MA105" i="25"/>
  <c r="JJ105" i="25"/>
  <c r="KE105" i="25"/>
  <c r="JA105" i="25"/>
  <c r="KJ105" i="25"/>
  <c r="LJ105" i="25"/>
  <c r="NE105" i="25"/>
  <c r="OR105" i="25"/>
  <c r="OE105" i="25"/>
  <c r="PC105" i="25"/>
  <c r="NI105" i="25"/>
  <c r="PI105" i="25"/>
  <c r="ST105" i="25"/>
  <c r="RI105" i="25"/>
  <c r="SJ105" i="25"/>
  <c r="SQ105" i="25"/>
  <c r="SC105" i="25"/>
  <c r="FI97" i="25"/>
  <c r="LI97" i="25"/>
  <c r="NT97" i="25"/>
  <c r="ND97" i="25"/>
  <c r="BF118" i="25"/>
  <c r="SP118" i="25"/>
  <c r="RP118" i="25"/>
  <c r="QP118" i="25"/>
  <c r="OP118" i="25"/>
  <c r="NP118" i="25"/>
  <c r="MP118" i="25"/>
  <c r="LP118" i="25"/>
  <c r="PP118" i="25"/>
  <c r="KP118" i="25"/>
  <c r="JP118" i="25"/>
  <c r="IP118" i="25"/>
  <c r="HP118" i="25"/>
  <c r="GP118" i="25"/>
  <c r="FP118" i="25"/>
  <c r="ET118" i="25"/>
  <c r="DS118" i="25"/>
  <c r="BF110" i="25"/>
  <c r="SP110" i="25"/>
  <c r="RP110" i="25"/>
  <c r="QP110" i="25"/>
  <c r="OP110" i="25"/>
  <c r="NP110" i="25"/>
  <c r="MP110" i="25"/>
  <c r="LP110" i="25"/>
  <c r="PP110" i="25"/>
  <c r="KP110" i="25"/>
  <c r="JP110" i="25"/>
  <c r="IP110" i="25"/>
  <c r="HP110" i="25"/>
  <c r="GP110" i="25"/>
  <c r="FP110" i="25"/>
  <c r="ET110" i="25"/>
  <c r="DS110" i="25"/>
  <c r="FP102" i="25"/>
  <c r="BF117" i="25"/>
  <c r="PP117" i="25"/>
  <c r="SP117" i="25"/>
  <c r="RP117" i="25"/>
  <c r="OP117" i="25"/>
  <c r="NP117" i="25"/>
  <c r="MP117" i="25"/>
  <c r="QP117" i="25"/>
  <c r="LP117" i="25"/>
  <c r="KP117" i="25"/>
  <c r="JP117" i="25"/>
  <c r="IP117" i="25"/>
  <c r="HP117" i="25"/>
  <c r="GP117" i="25"/>
  <c r="FP117" i="25"/>
  <c r="ET117" i="25"/>
  <c r="DS117" i="25"/>
  <c r="FM98" i="25"/>
  <c r="FP98" i="25" s="1"/>
  <c r="NP98" i="25"/>
  <c r="MP98" i="25"/>
  <c r="CF98" i="25" s="1"/>
  <c r="LP98" i="25"/>
  <c r="PP98" i="25"/>
  <c r="KP98" i="25"/>
  <c r="JP98" i="25"/>
  <c r="IP98" i="25"/>
  <c r="PP103" i="25"/>
  <c r="SP103" i="25"/>
  <c r="RP103" i="25"/>
  <c r="QP103" i="25"/>
  <c r="OP103" i="25"/>
  <c r="NP103" i="25"/>
  <c r="CG103" i="25" s="1"/>
  <c r="MP103" i="25"/>
  <c r="LP103" i="25"/>
  <c r="KP103" i="25"/>
  <c r="JP103" i="25"/>
  <c r="IP103" i="25"/>
  <c r="HP103" i="25"/>
  <c r="GP103" i="25"/>
  <c r="FP103" i="25"/>
  <c r="SP100" i="25"/>
  <c r="RP100" i="25"/>
  <c r="CI100" i="25" s="1"/>
  <c r="QP100" i="25"/>
  <c r="NP100" i="25"/>
  <c r="MP100" i="25"/>
  <c r="LP100" i="25"/>
  <c r="KP100" i="25"/>
  <c r="JP100" i="25"/>
  <c r="CE100" i="25" s="1"/>
  <c r="IP100" i="25"/>
  <c r="HP100" i="25"/>
  <c r="PP100" i="25"/>
  <c r="CH100" i="25" s="1"/>
  <c r="SP92" i="25"/>
  <c r="CI92" i="25" s="1"/>
  <c r="RP92" i="25"/>
  <c r="QP92" i="25"/>
  <c r="OP92" i="25"/>
  <c r="NP92" i="25"/>
  <c r="MP92" i="25"/>
  <c r="LP92" i="25"/>
  <c r="KP92" i="25"/>
  <c r="JP92" i="25"/>
  <c r="IP92" i="25"/>
  <c r="HP92" i="25"/>
  <c r="GP92" i="25"/>
  <c r="FP92" i="25"/>
  <c r="PP92" i="25"/>
  <c r="BF114" i="25"/>
  <c r="SP114" i="25"/>
  <c r="RP114" i="25"/>
  <c r="QP114" i="25"/>
  <c r="OP114" i="25"/>
  <c r="NP114" i="25"/>
  <c r="MP114" i="25"/>
  <c r="LP114" i="25"/>
  <c r="PP114" i="25"/>
  <c r="KP114" i="25"/>
  <c r="JP114" i="25"/>
  <c r="IP114" i="25"/>
  <c r="HP114" i="25"/>
  <c r="GP114" i="25"/>
  <c r="FP114" i="25"/>
  <c r="ET114" i="25"/>
  <c r="DS114" i="25"/>
  <c r="BF106" i="25"/>
  <c r="SP106" i="25"/>
  <c r="RP106" i="25"/>
  <c r="QP106" i="25"/>
  <c r="OP106" i="25"/>
  <c r="NP106" i="25"/>
  <c r="MP106" i="25"/>
  <c r="LP106" i="25"/>
  <c r="PP106" i="25"/>
  <c r="KP106" i="25"/>
  <c r="JP106" i="25"/>
  <c r="IP106" i="25"/>
  <c r="HP106" i="25"/>
  <c r="GP106" i="25"/>
  <c r="FP106" i="25"/>
  <c r="ET106" i="25"/>
  <c r="DS106" i="25"/>
  <c r="BF113" i="25"/>
  <c r="PP113" i="25"/>
  <c r="SP113" i="25"/>
  <c r="RP113" i="25"/>
  <c r="QP113" i="25"/>
  <c r="MP113" i="25"/>
  <c r="OP113" i="25"/>
  <c r="NP113" i="25"/>
  <c r="LP113" i="25"/>
  <c r="KP113" i="25"/>
  <c r="JP113" i="25"/>
  <c r="IP113" i="25"/>
  <c r="HP113" i="25"/>
  <c r="GP113" i="25"/>
  <c r="FP113" i="25"/>
  <c r="ET113" i="25"/>
  <c r="DS113" i="25"/>
  <c r="BF109" i="25"/>
  <c r="PP109" i="25"/>
  <c r="SP109" i="25"/>
  <c r="RP109" i="25"/>
  <c r="QP109" i="25"/>
  <c r="OP109" i="25"/>
  <c r="NP109" i="25"/>
  <c r="LP109" i="25"/>
  <c r="JP109" i="25"/>
  <c r="MP109" i="25"/>
  <c r="KP109" i="25"/>
  <c r="IP109" i="25"/>
  <c r="HP109" i="25"/>
  <c r="GP109" i="25"/>
  <c r="FP109" i="25"/>
  <c r="ET109" i="25"/>
  <c r="DS109" i="25"/>
  <c r="BF105" i="25"/>
  <c r="PP105" i="25"/>
  <c r="SP105" i="25"/>
  <c r="RP105" i="25"/>
  <c r="QP105" i="25"/>
  <c r="MP105" i="25"/>
  <c r="JP105" i="25"/>
  <c r="OP105" i="25"/>
  <c r="NP105" i="25"/>
  <c r="LP105" i="25"/>
  <c r="KP105" i="25"/>
  <c r="IP105" i="25"/>
  <c r="HP105" i="25"/>
  <c r="GP105" i="25"/>
  <c r="FP105" i="25"/>
  <c r="ET105" i="25"/>
  <c r="DS105" i="25"/>
  <c r="SP90" i="25"/>
  <c r="RP90" i="25"/>
  <c r="QP90" i="25"/>
  <c r="OP90" i="25"/>
  <c r="NP90" i="25"/>
  <c r="MP90" i="25"/>
  <c r="LP90" i="25"/>
  <c r="PP90" i="25"/>
  <c r="KP90" i="25"/>
  <c r="JP90" i="25"/>
  <c r="IP90" i="25"/>
  <c r="HP90" i="25"/>
  <c r="GP90" i="25"/>
  <c r="FP90" i="25"/>
  <c r="PP91" i="25"/>
  <c r="SP91" i="25"/>
  <c r="RP91" i="25"/>
  <c r="QP91" i="25"/>
  <c r="OP91" i="25"/>
  <c r="NP91" i="25"/>
  <c r="MP91" i="25"/>
  <c r="LP91" i="25"/>
  <c r="JP91" i="25"/>
  <c r="IP91" i="25"/>
  <c r="HP91" i="25"/>
  <c r="GP91" i="25"/>
  <c r="FP91" i="25"/>
  <c r="BF104" i="25"/>
  <c r="SP104" i="25"/>
  <c r="RP104" i="25"/>
  <c r="QP104" i="25"/>
  <c r="OP104" i="25"/>
  <c r="NP104" i="25"/>
  <c r="MP104" i="25"/>
  <c r="LP104" i="25"/>
  <c r="KP104" i="25"/>
  <c r="JP104" i="25"/>
  <c r="IP104" i="25"/>
  <c r="HP104" i="25"/>
  <c r="GP104" i="25"/>
  <c r="FP104" i="25"/>
  <c r="ET104" i="25"/>
  <c r="DS104" i="25"/>
  <c r="PP104" i="25"/>
  <c r="SP96" i="25"/>
  <c r="RP96" i="25"/>
  <c r="QP96" i="25"/>
  <c r="OP96" i="25"/>
  <c r="NP96" i="25"/>
  <c r="MP96" i="25"/>
  <c r="LP96" i="25"/>
  <c r="KP96" i="25"/>
  <c r="JP96" i="25"/>
  <c r="IP96" i="25"/>
  <c r="HP96" i="25"/>
  <c r="CA6" i="19"/>
  <c r="CM6" i="19"/>
  <c r="DR104" i="25"/>
  <c r="FN98" i="25"/>
  <c r="DP100" i="25"/>
  <c r="FM100" i="25"/>
  <c r="FP100" i="25" s="1"/>
  <c r="DP98" i="25"/>
  <c r="DR98" i="25"/>
  <c r="FO100" i="25"/>
  <c r="DQ100" i="25"/>
  <c r="FO98" i="25"/>
  <c r="DP104" i="25"/>
  <c r="FM104" i="25"/>
  <c r="LF104" i="25"/>
  <c r="FO104" i="25"/>
  <c r="DQ104" i="25"/>
  <c r="RA87" i="25"/>
  <c r="SA87" i="25"/>
  <c r="PA87" i="25"/>
  <c r="QA87" i="25"/>
  <c r="RA71" i="25"/>
  <c r="SA71" i="25"/>
  <c r="PA71" i="25"/>
  <c r="QA71" i="25"/>
  <c r="SA88" i="25"/>
  <c r="RA88" i="25"/>
  <c r="PA88" i="25"/>
  <c r="QA88" i="25"/>
  <c r="SA72" i="25"/>
  <c r="RA72" i="25"/>
  <c r="PA72" i="25"/>
  <c r="QA72" i="25"/>
  <c r="SA56" i="25"/>
  <c r="QA56" i="25"/>
  <c r="RA56" i="25"/>
  <c r="PA56" i="25"/>
  <c r="SA73" i="25"/>
  <c r="RA73" i="25"/>
  <c r="QA73" i="25"/>
  <c r="PA73" i="25"/>
  <c r="SA57" i="25"/>
  <c r="QA57" i="25"/>
  <c r="RA57" i="25"/>
  <c r="PA57" i="25"/>
  <c r="RA74" i="25"/>
  <c r="SA74" i="25"/>
  <c r="QA74" i="25"/>
  <c r="PA74" i="25"/>
  <c r="RA58" i="25"/>
  <c r="SA58" i="25"/>
  <c r="PA58" i="25"/>
  <c r="QA58" i="25"/>
  <c r="BM110" i="25"/>
  <c r="BL110" i="25"/>
  <c r="BS110" i="25"/>
  <c r="BW110" i="25"/>
  <c r="BR110" i="25"/>
  <c r="BV110" i="25"/>
  <c r="RA110" i="25"/>
  <c r="BQ110" i="25"/>
  <c r="BU110" i="25"/>
  <c r="BN110" i="25"/>
  <c r="BP110" i="25"/>
  <c r="AE110" i="19" s="1"/>
  <c r="QA110" i="25"/>
  <c r="BX110" i="25"/>
  <c r="PA110" i="25"/>
  <c r="BT110" i="25"/>
  <c r="SA110" i="25"/>
  <c r="BN117" i="25"/>
  <c r="BM117" i="25"/>
  <c r="BQ117" i="25"/>
  <c r="BU117" i="25"/>
  <c r="SA117" i="25"/>
  <c r="BP117" i="25"/>
  <c r="AE117" i="19" s="1"/>
  <c r="BT117" i="25"/>
  <c r="BX117" i="25"/>
  <c r="BL117" i="25"/>
  <c r="BS117" i="25"/>
  <c r="BW117" i="25"/>
  <c r="RA117" i="25"/>
  <c r="BV117" i="25"/>
  <c r="QA117" i="25"/>
  <c r="BR117" i="25"/>
  <c r="PA117" i="25"/>
  <c r="RA94" i="25"/>
  <c r="QA94" i="25"/>
  <c r="PA94" i="25"/>
  <c r="PE94" i="25" s="1"/>
  <c r="SA94" i="25"/>
  <c r="BM104" i="25"/>
  <c r="BL104" i="25"/>
  <c r="BS104" i="25"/>
  <c r="BW104" i="25"/>
  <c r="BR104" i="25"/>
  <c r="BV104" i="25"/>
  <c r="SA104" i="25"/>
  <c r="BN104" i="25"/>
  <c r="BQ104" i="25"/>
  <c r="BU104" i="25"/>
  <c r="RA104" i="25"/>
  <c r="PA104" i="25"/>
  <c r="BX104" i="25"/>
  <c r="BT104" i="25"/>
  <c r="QA104" i="25"/>
  <c r="BP104" i="25"/>
  <c r="AE104" i="19" s="1"/>
  <c r="RA75" i="25"/>
  <c r="SA75" i="25"/>
  <c r="PA75" i="25"/>
  <c r="QA75" i="25"/>
  <c r="RA59" i="25"/>
  <c r="SA59" i="25"/>
  <c r="QA59" i="25"/>
  <c r="PA59" i="25"/>
  <c r="SA76" i="25"/>
  <c r="PA76" i="25"/>
  <c r="QA76" i="25"/>
  <c r="RA76" i="25"/>
  <c r="SA60" i="25"/>
  <c r="QA60" i="25"/>
  <c r="PA60" i="25"/>
  <c r="RA60" i="25"/>
  <c r="SA77" i="25"/>
  <c r="RA77" i="25"/>
  <c r="QA77" i="25"/>
  <c r="PA77" i="25"/>
  <c r="SA61" i="25"/>
  <c r="QA61" i="25"/>
  <c r="RA61" i="25"/>
  <c r="PA61" i="25"/>
  <c r="RA78" i="25"/>
  <c r="QA78" i="25"/>
  <c r="PA78" i="25"/>
  <c r="SA78" i="25"/>
  <c r="RA62" i="25"/>
  <c r="QA62" i="25"/>
  <c r="PA62" i="25"/>
  <c r="SA62" i="25"/>
  <c r="BM114" i="25"/>
  <c r="BL114" i="25"/>
  <c r="BS114" i="25"/>
  <c r="BW114" i="25"/>
  <c r="BN114" i="25"/>
  <c r="BR114" i="25"/>
  <c r="BV114" i="25"/>
  <c r="RA114" i="25"/>
  <c r="BQ114" i="25"/>
  <c r="BU114" i="25"/>
  <c r="BX114" i="25"/>
  <c r="QA114" i="25"/>
  <c r="BT114" i="25"/>
  <c r="BP114" i="25"/>
  <c r="AE114" i="19" s="1"/>
  <c r="SA114" i="25"/>
  <c r="PA114" i="25"/>
  <c r="BN113" i="25"/>
  <c r="BM113" i="25"/>
  <c r="BL113" i="25"/>
  <c r="BQ113" i="25"/>
  <c r="BU113" i="25"/>
  <c r="SA113" i="25"/>
  <c r="BP113" i="25"/>
  <c r="AE113" i="19" s="1"/>
  <c r="BT113" i="25"/>
  <c r="BX113" i="25"/>
  <c r="BS113" i="25"/>
  <c r="BW113" i="25"/>
  <c r="RA113" i="25"/>
  <c r="BR113" i="25"/>
  <c r="QA113" i="25"/>
  <c r="BV113" i="25"/>
  <c r="PA113" i="25"/>
  <c r="BN105" i="25"/>
  <c r="BM105" i="25"/>
  <c r="BL105" i="25"/>
  <c r="BQ105" i="25"/>
  <c r="BU105" i="25"/>
  <c r="SA105" i="25"/>
  <c r="BP105" i="25"/>
  <c r="AE105" i="19" s="1"/>
  <c r="BT105" i="25"/>
  <c r="BX105" i="25"/>
  <c r="BS105" i="25"/>
  <c r="BW105" i="25"/>
  <c r="RA105" i="25"/>
  <c r="BR105" i="25"/>
  <c r="QA105" i="25"/>
  <c r="BV105" i="25"/>
  <c r="PA105" i="25"/>
  <c r="SA97" i="25"/>
  <c r="RA97" i="25"/>
  <c r="QA97" i="25"/>
  <c r="PA97" i="25"/>
  <c r="BM103" i="25"/>
  <c r="RA103" i="25"/>
  <c r="BL103" i="25"/>
  <c r="SA103" i="25"/>
  <c r="SE103" i="25" s="1"/>
  <c r="PA103" i="25"/>
  <c r="PE103" i="25" s="1"/>
  <c r="QA103" i="25"/>
  <c r="QE103" i="25" s="1"/>
  <c r="BM92" i="25"/>
  <c r="BL92" i="25"/>
  <c r="BN92" i="25"/>
  <c r="BR92" i="25"/>
  <c r="SA92" i="25"/>
  <c r="SE92" i="25" s="1"/>
  <c r="BQ92" i="25"/>
  <c r="PA92" i="25"/>
  <c r="QA92" i="25"/>
  <c r="QE92" i="25" s="1"/>
  <c r="RA92" i="25"/>
  <c r="RA79" i="25"/>
  <c r="SA79" i="25"/>
  <c r="PA79" i="25"/>
  <c r="QA79" i="25"/>
  <c r="RA63" i="25"/>
  <c r="SA63" i="25"/>
  <c r="QA63" i="25"/>
  <c r="PA63" i="25"/>
  <c r="SA80" i="25"/>
  <c r="PA80" i="25"/>
  <c r="RA80" i="25"/>
  <c r="QA80" i="25"/>
  <c r="SA64" i="25"/>
  <c r="QA64" i="25"/>
  <c r="PA64" i="25"/>
  <c r="RA64" i="25"/>
  <c r="SA81" i="25"/>
  <c r="RA81" i="25"/>
  <c r="QA81" i="25"/>
  <c r="PA81" i="25"/>
  <c r="SA65" i="25"/>
  <c r="QA65" i="25"/>
  <c r="RA65" i="25"/>
  <c r="PA65" i="25"/>
  <c r="RA82" i="25"/>
  <c r="QA82" i="25"/>
  <c r="SA82" i="25"/>
  <c r="PA82" i="25"/>
  <c r="RA66" i="25"/>
  <c r="QA66" i="25"/>
  <c r="SA66" i="25"/>
  <c r="PA66" i="25"/>
  <c r="BM118" i="25"/>
  <c r="BL118" i="25"/>
  <c r="BS118" i="25"/>
  <c r="BW118" i="25"/>
  <c r="BR118" i="25"/>
  <c r="BV118" i="25"/>
  <c r="RA118" i="25"/>
  <c r="BQ118" i="25"/>
  <c r="BU118" i="25"/>
  <c r="BN118" i="25"/>
  <c r="BP118" i="25"/>
  <c r="AE118" i="19" s="1"/>
  <c r="QA118" i="25"/>
  <c r="SA118" i="25"/>
  <c r="BX118" i="25"/>
  <c r="PA118" i="25"/>
  <c r="BT118" i="25"/>
  <c r="RA102" i="25"/>
  <c r="QA102" i="25"/>
  <c r="SA102" i="25"/>
  <c r="PA102" i="25"/>
  <c r="BL90" i="25"/>
  <c r="RA90" i="25"/>
  <c r="RE90" i="25" s="1"/>
  <c r="SA90" i="25"/>
  <c r="SE90" i="25" s="1"/>
  <c r="QA90" i="25"/>
  <c r="QE90" i="25" s="1"/>
  <c r="PA90" i="25"/>
  <c r="RA91" i="25"/>
  <c r="RE91" i="25" s="1"/>
  <c r="SA91" i="25"/>
  <c r="SE91" i="25" s="1"/>
  <c r="BL91" i="25"/>
  <c r="PA91" i="25"/>
  <c r="PE91" i="25" s="1"/>
  <c r="QA91" i="25"/>
  <c r="QE91" i="25" s="1"/>
  <c r="SA96" i="25"/>
  <c r="SE96" i="25" s="1"/>
  <c r="BN96" i="25"/>
  <c r="PA96" i="25"/>
  <c r="RA96" i="25"/>
  <c r="RE96" i="25" s="1"/>
  <c r="QA96" i="25"/>
  <c r="QE96" i="25" s="1"/>
  <c r="RA83" i="25"/>
  <c r="SA83" i="25"/>
  <c r="PA83" i="25"/>
  <c r="QA83" i="25"/>
  <c r="RA67" i="25"/>
  <c r="SA67" i="25"/>
  <c r="QA67" i="25"/>
  <c r="PA67" i="25"/>
  <c r="SA84" i="25"/>
  <c r="PA84" i="25"/>
  <c r="RA84" i="25"/>
  <c r="QA84" i="25"/>
  <c r="SA68" i="25"/>
  <c r="QA68" i="25"/>
  <c r="PA68" i="25"/>
  <c r="RA68" i="25"/>
  <c r="SA85" i="25"/>
  <c r="RA85" i="25"/>
  <c r="QA85" i="25"/>
  <c r="PA85" i="25"/>
  <c r="SA69" i="25"/>
  <c r="QA69" i="25"/>
  <c r="RA69" i="25"/>
  <c r="PA69" i="25"/>
  <c r="RA86" i="25"/>
  <c r="QA86" i="25"/>
  <c r="SA86" i="25"/>
  <c r="PA86" i="25"/>
  <c r="RA70" i="25"/>
  <c r="QA70" i="25"/>
  <c r="SA70" i="25"/>
  <c r="PA70" i="25"/>
  <c r="BM106" i="25"/>
  <c r="BL106" i="25"/>
  <c r="BS106" i="25"/>
  <c r="BW106" i="25"/>
  <c r="BN106" i="25"/>
  <c r="BR106" i="25"/>
  <c r="BV106" i="25"/>
  <c r="RA106" i="25"/>
  <c r="BQ106" i="25"/>
  <c r="BU106" i="25"/>
  <c r="BX106" i="25"/>
  <c r="SA106" i="25"/>
  <c r="QA106" i="25"/>
  <c r="BT106" i="25"/>
  <c r="BP106" i="25"/>
  <c r="AE106" i="19" s="1"/>
  <c r="PA106" i="25"/>
  <c r="CI109" i="25"/>
  <c r="BN109" i="25"/>
  <c r="BM109" i="25"/>
  <c r="BQ109" i="25"/>
  <c r="BU109" i="25"/>
  <c r="SA109" i="25"/>
  <c r="BP109" i="25"/>
  <c r="AE109" i="19" s="1"/>
  <c r="BT109" i="25"/>
  <c r="BX109" i="25"/>
  <c r="BL109" i="25"/>
  <c r="BS109" i="25"/>
  <c r="BW109" i="25"/>
  <c r="RA109" i="25"/>
  <c r="BV109" i="25"/>
  <c r="QA109" i="25"/>
  <c r="BR109" i="25"/>
  <c r="PA109" i="25"/>
  <c r="SA101" i="25"/>
  <c r="RA101" i="25"/>
  <c r="QA101" i="25"/>
  <c r="PA101" i="25"/>
  <c r="SA93" i="25"/>
  <c r="RA93" i="25"/>
  <c r="QA93" i="25"/>
  <c r="PA93" i="25"/>
  <c r="PE93" i="25" s="1"/>
  <c r="SA89" i="25"/>
  <c r="SE89" i="25" s="1"/>
  <c r="RA89" i="25"/>
  <c r="QA89" i="25"/>
  <c r="PA89" i="25"/>
  <c r="PE89" i="25" s="1"/>
  <c r="BM98" i="25"/>
  <c r="BL98" i="25"/>
  <c r="BN98" i="25"/>
  <c r="RA98" i="25"/>
  <c r="RE98" i="25" s="1"/>
  <c r="QA98" i="25"/>
  <c r="QE98" i="25" s="1"/>
  <c r="SA98" i="25"/>
  <c r="SE98" i="25" s="1"/>
  <c r="PA98" i="25"/>
  <c r="PE98" i="25" s="1"/>
  <c r="BM100" i="25"/>
  <c r="BL100" i="25"/>
  <c r="BN100" i="25"/>
  <c r="SA100" i="25"/>
  <c r="SE100" i="25" s="1"/>
  <c r="PA100" i="25"/>
  <c r="PE100" i="25" s="1"/>
  <c r="RA100" i="25"/>
  <c r="RE100" i="25" s="1"/>
  <c r="QA100" i="25"/>
  <c r="QE100" i="25" s="1"/>
  <c r="DR60" i="25"/>
  <c r="FM60" i="25"/>
  <c r="FP60" i="25" s="1"/>
  <c r="DQ60" i="25"/>
  <c r="DP60" i="25"/>
  <c r="FO60" i="25"/>
  <c r="FN60" i="25"/>
  <c r="DR62" i="25"/>
  <c r="FM62" i="25"/>
  <c r="FP62" i="25" s="1"/>
  <c r="DQ62" i="25"/>
  <c r="DP62" i="25"/>
  <c r="FO62" i="25"/>
  <c r="FN62" i="25"/>
  <c r="DR114" i="25"/>
  <c r="FM114" i="25"/>
  <c r="DQ114" i="25"/>
  <c r="DP114" i="25"/>
  <c r="FO114" i="25"/>
  <c r="FN114" i="25"/>
  <c r="DR94" i="25"/>
  <c r="FM94" i="25"/>
  <c r="FP94" i="25" s="1"/>
  <c r="DQ94" i="25"/>
  <c r="DP94" i="25"/>
  <c r="FO94" i="25"/>
  <c r="FN94" i="25"/>
  <c r="DR76" i="25"/>
  <c r="FM76" i="25"/>
  <c r="FP76" i="25" s="1"/>
  <c r="DQ76" i="25"/>
  <c r="DP76" i="25"/>
  <c r="FO76" i="25"/>
  <c r="FN76" i="25"/>
  <c r="DR61" i="25"/>
  <c r="FM61" i="25"/>
  <c r="FP61" i="25" s="1"/>
  <c r="DQ61" i="25"/>
  <c r="DP61" i="25"/>
  <c r="FO61" i="25"/>
  <c r="FN61" i="25"/>
  <c r="DR79" i="25"/>
  <c r="FM79" i="25"/>
  <c r="FP79" i="25" s="1"/>
  <c r="DQ79" i="25"/>
  <c r="DP79" i="25"/>
  <c r="FO79" i="25"/>
  <c r="FN79" i="25"/>
  <c r="DR63" i="25"/>
  <c r="FM63" i="25"/>
  <c r="FP63" i="25" s="1"/>
  <c r="DQ63" i="25"/>
  <c r="DP63" i="25"/>
  <c r="FO63" i="25"/>
  <c r="FN63" i="25"/>
  <c r="DR80" i="25"/>
  <c r="FM80" i="25"/>
  <c r="FP80" i="25" s="1"/>
  <c r="DQ80" i="25"/>
  <c r="DP80" i="25"/>
  <c r="FO80" i="25"/>
  <c r="FN80" i="25"/>
  <c r="DR64" i="25"/>
  <c r="FM64" i="25"/>
  <c r="FP64" i="25" s="1"/>
  <c r="DQ64" i="25"/>
  <c r="DP64" i="25"/>
  <c r="FO64" i="25"/>
  <c r="FN64" i="25"/>
  <c r="DR81" i="25"/>
  <c r="FM81" i="25"/>
  <c r="FP81" i="25" s="1"/>
  <c r="DQ81" i="25"/>
  <c r="DP81" i="25"/>
  <c r="FO81" i="25"/>
  <c r="FN81" i="25"/>
  <c r="DR65" i="25"/>
  <c r="FM65" i="25"/>
  <c r="FP65" i="25" s="1"/>
  <c r="DQ65" i="25"/>
  <c r="DP65" i="25"/>
  <c r="FO65" i="25"/>
  <c r="FN65" i="25"/>
  <c r="DR82" i="25"/>
  <c r="FM82" i="25"/>
  <c r="FP82" i="25" s="1"/>
  <c r="DQ82" i="25"/>
  <c r="DP82" i="25"/>
  <c r="FO82" i="25"/>
  <c r="FN82" i="25"/>
  <c r="DR66" i="25"/>
  <c r="FM66" i="25"/>
  <c r="FP66" i="25" s="1"/>
  <c r="DQ66" i="25"/>
  <c r="DP66" i="25"/>
  <c r="FO66" i="25"/>
  <c r="FN66" i="25"/>
  <c r="DR118" i="25"/>
  <c r="FM118" i="25"/>
  <c r="DQ118" i="25"/>
  <c r="DP118" i="25"/>
  <c r="FO118" i="25"/>
  <c r="FN118" i="25"/>
  <c r="DR102" i="25"/>
  <c r="FM102" i="25"/>
  <c r="DQ102" i="25"/>
  <c r="DP102" i="25"/>
  <c r="FO102" i="25"/>
  <c r="FN102" i="25"/>
  <c r="DR113" i="25"/>
  <c r="FM113" i="25"/>
  <c r="DQ113" i="25"/>
  <c r="DP113" i="25"/>
  <c r="FO113" i="25"/>
  <c r="FN113" i="25"/>
  <c r="DR105" i="25"/>
  <c r="FM105" i="25"/>
  <c r="DQ105" i="25"/>
  <c r="DP105" i="25"/>
  <c r="FO105" i="25"/>
  <c r="FN105" i="25"/>
  <c r="DR97" i="25"/>
  <c r="FM97" i="25"/>
  <c r="FP97" i="25" s="1"/>
  <c r="DQ97" i="25"/>
  <c r="DP97" i="25"/>
  <c r="FO97" i="25"/>
  <c r="FN97" i="25"/>
  <c r="DG117" i="25"/>
  <c r="EC117" i="25"/>
  <c r="KK117" i="25"/>
  <c r="MI117" i="25"/>
  <c r="NE117" i="25"/>
  <c r="NR117" i="25"/>
  <c r="PE117" i="25"/>
  <c r="IA94" i="25"/>
  <c r="II94" i="25"/>
  <c r="KA94" i="25"/>
  <c r="OA94" i="25"/>
  <c r="QC94" i="25"/>
  <c r="RT94" i="25"/>
  <c r="DR59" i="25"/>
  <c r="FM59" i="25"/>
  <c r="FP59" i="25" s="1"/>
  <c r="DQ59" i="25"/>
  <c r="DP59" i="25"/>
  <c r="FO59" i="25"/>
  <c r="FN59" i="25"/>
  <c r="DR78" i="25"/>
  <c r="FM78" i="25"/>
  <c r="FP78" i="25" s="1"/>
  <c r="DQ78" i="25"/>
  <c r="DP78" i="25"/>
  <c r="FO78" i="25"/>
  <c r="FN78" i="25"/>
  <c r="DR117" i="25"/>
  <c r="FM117" i="25"/>
  <c r="DQ117" i="25"/>
  <c r="DP117" i="25"/>
  <c r="FO117" i="25"/>
  <c r="FN117" i="25"/>
  <c r="DR83" i="25"/>
  <c r="FM83" i="25"/>
  <c r="FP83" i="25" s="1"/>
  <c r="DQ83" i="25"/>
  <c r="DP83" i="25"/>
  <c r="FO83" i="25"/>
  <c r="FN83" i="25"/>
  <c r="DR67" i="25"/>
  <c r="FM67" i="25"/>
  <c r="FP67" i="25" s="1"/>
  <c r="DQ67" i="25"/>
  <c r="DP67" i="25"/>
  <c r="FO67" i="25"/>
  <c r="FN67" i="25"/>
  <c r="DR84" i="25"/>
  <c r="FM84" i="25"/>
  <c r="FP84" i="25" s="1"/>
  <c r="DQ84" i="25"/>
  <c r="DP84" i="25"/>
  <c r="FO84" i="25"/>
  <c r="FN84" i="25"/>
  <c r="DR68" i="25"/>
  <c r="FM68" i="25"/>
  <c r="FP68" i="25" s="1"/>
  <c r="DQ68" i="25"/>
  <c r="DP68" i="25"/>
  <c r="FO68" i="25"/>
  <c r="FN68" i="25"/>
  <c r="DR85" i="25"/>
  <c r="FM85" i="25"/>
  <c r="FP85" i="25" s="1"/>
  <c r="DQ85" i="25"/>
  <c r="DP85" i="25"/>
  <c r="FO85" i="25"/>
  <c r="FN85" i="25"/>
  <c r="DR69" i="25"/>
  <c r="FM69" i="25"/>
  <c r="FP69" i="25" s="1"/>
  <c r="DQ69" i="25"/>
  <c r="DP69" i="25"/>
  <c r="FO69" i="25"/>
  <c r="FN69" i="25"/>
  <c r="DR86" i="25"/>
  <c r="FM86" i="25"/>
  <c r="FP86" i="25" s="1"/>
  <c r="DQ86" i="25"/>
  <c r="DP86" i="25"/>
  <c r="FO86" i="25"/>
  <c r="FN86" i="25"/>
  <c r="DR70" i="25"/>
  <c r="FM70" i="25"/>
  <c r="FP70" i="25" s="1"/>
  <c r="DQ70" i="25"/>
  <c r="DP70" i="25"/>
  <c r="FO70" i="25"/>
  <c r="FN70" i="25"/>
  <c r="DR106" i="25"/>
  <c r="FM106" i="25"/>
  <c r="DQ106" i="25"/>
  <c r="DP106" i="25"/>
  <c r="FO106" i="25"/>
  <c r="FN106" i="25"/>
  <c r="IJ117" i="25"/>
  <c r="IE117" i="25"/>
  <c r="IQ117" i="25"/>
  <c r="KC117" i="25"/>
  <c r="LS117" i="25"/>
  <c r="MC117" i="25"/>
  <c r="PK117" i="25"/>
  <c r="QI117" i="25"/>
  <c r="SQ117" i="25"/>
  <c r="FI94" i="25"/>
  <c r="MI94" i="25"/>
  <c r="OT94" i="25"/>
  <c r="PC94" i="25"/>
  <c r="PD94" i="25"/>
  <c r="QI94" i="25"/>
  <c r="DR75" i="25"/>
  <c r="FM75" i="25"/>
  <c r="FP75" i="25" s="1"/>
  <c r="DQ75" i="25"/>
  <c r="DP75" i="25"/>
  <c r="FO75" i="25"/>
  <c r="FN75" i="25"/>
  <c r="DR77" i="25"/>
  <c r="FM77" i="25"/>
  <c r="FP77" i="25" s="1"/>
  <c r="DQ77" i="25"/>
  <c r="DP77" i="25"/>
  <c r="FO77" i="25"/>
  <c r="FN77" i="25"/>
  <c r="DR87" i="25"/>
  <c r="FM87" i="25"/>
  <c r="FP87" i="25" s="1"/>
  <c r="DQ87" i="25"/>
  <c r="DP87" i="25"/>
  <c r="FO87" i="25"/>
  <c r="FN87" i="25"/>
  <c r="DR71" i="25"/>
  <c r="FM71" i="25"/>
  <c r="FP71" i="25" s="1"/>
  <c r="DQ71" i="25"/>
  <c r="DP71" i="25"/>
  <c r="FO71" i="25"/>
  <c r="FN71" i="25"/>
  <c r="DR88" i="25"/>
  <c r="FM88" i="25"/>
  <c r="FP88" i="25" s="1"/>
  <c r="DQ88" i="25"/>
  <c r="DP88" i="25"/>
  <c r="FO88" i="25"/>
  <c r="FN88" i="25"/>
  <c r="DR72" i="25"/>
  <c r="FM72" i="25"/>
  <c r="FP72" i="25" s="1"/>
  <c r="DQ72" i="25"/>
  <c r="DP72" i="25"/>
  <c r="FO72" i="25"/>
  <c r="FN72" i="25"/>
  <c r="DR56" i="25"/>
  <c r="FM56" i="25"/>
  <c r="FP56" i="25" s="1"/>
  <c r="DQ56" i="25"/>
  <c r="DP56" i="25"/>
  <c r="FO56" i="25"/>
  <c r="FN56" i="25"/>
  <c r="DR73" i="25"/>
  <c r="FM73" i="25"/>
  <c r="FP73" i="25" s="1"/>
  <c r="DQ73" i="25"/>
  <c r="DP73" i="25"/>
  <c r="FO73" i="25"/>
  <c r="FN73" i="25"/>
  <c r="DR57" i="25"/>
  <c r="FM57" i="25"/>
  <c r="FP57" i="25" s="1"/>
  <c r="DQ57" i="25"/>
  <c r="DP57" i="25"/>
  <c r="FO57" i="25"/>
  <c r="FN57" i="25"/>
  <c r="DR74" i="25"/>
  <c r="FM74" i="25"/>
  <c r="FP74" i="25" s="1"/>
  <c r="DQ74" i="25"/>
  <c r="DP74" i="25"/>
  <c r="FO74" i="25"/>
  <c r="FN74" i="25"/>
  <c r="DR58" i="25"/>
  <c r="FM58" i="25"/>
  <c r="FP58" i="25" s="1"/>
  <c r="DQ58" i="25"/>
  <c r="DP58" i="25"/>
  <c r="FO58" i="25"/>
  <c r="FN58" i="25"/>
  <c r="DR110" i="25"/>
  <c r="FM110" i="25"/>
  <c r="DQ110" i="25"/>
  <c r="DP110" i="25"/>
  <c r="FO110" i="25"/>
  <c r="FN110" i="25"/>
  <c r="DR109" i="25"/>
  <c r="FM109" i="25"/>
  <c r="DQ109" i="25"/>
  <c r="DP109" i="25"/>
  <c r="FO109" i="25"/>
  <c r="FN109" i="25"/>
  <c r="DR101" i="25"/>
  <c r="FM101" i="25"/>
  <c r="FP101" i="25" s="1"/>
  <c r="DQ101" i="25"/>
  <c r="DP101" i="25"/>
  <c r="FO101" i="25"/>
  <c r="FN101" i="25"/>
  <c r="DR93" i="25"/>
  <c r="FM93" i="25"/>
  <c r="FP93" i="25" s="1"/>
  <c r="DQ93" i="25"/>
  <c r="DP93" i="25"/>
  <c r="FO93" i="25"/>
  <c r="FN93" i="25"/>
  <c r="DR89" i="25"/>
  <c r="FM89" i="25"/>
  <c r="FP89" i="25" s="1"/>
  <c r="DQ89" i="25"/>
  <c r="DP89" i="25"/>
  <c r="FO89" i="25"/>
  <c r="FN89" i="25"/>
  <c r="ND94" i="25"/>
  <c r="OI94" i="25"/>
  <c r="GC117" i="25"/>
  <c r="JE117" i="25"/>
  <c r="KI117" i="25"/>
  <c r="ND117" i="25"/>
  <c r="RQ117" i="25"/>
  <c r="RF117" i="25"/>
  <c r="ST94" i="25"/>
  <c r="IC94" i="25"/>
  <c r="LT94" i="25"/>
  <c r="MC94" i="25"/>
  <c r="LI94" i="25"/>
  <c r="JT94" i="25"/>
  <c r="LA94" i="25"/>
  <c r="OC94" i="25"/>
  <c r="PT94" i="25"/>
  <c r="RE94" i="25"/>
  <c r="J77" i="42"/>
  <c r="LF114" i="25"/>
  <c r="LF117" i="25"/>
  <c r="J80" i="42"/>
  <c r="J81" i="42"/>
  <c r="LF118" i="25"/>
  <c r="J117" i="42"/>
  <c r="LF113" i="25"/>
  <c r="LF105" i="25"/>
  <c r="J75" i="42"/>
  <c r="S92" i="3"/>
  <c r="J100" i="42"/>
  <c r="J101" i="42"/>
  <c r="LF106" i="25"/>
  <c r="J103" i="42"/>
  <c r="LF110" i="25"/>
  <c r="LF109" i="25"/>
  <c r="J108" i="42"/>
  <c r="J104" i="42"/>
  <c r="OG106" i="25"/>
  <c r="MG106" i="25"/>
  <c r="KG106" i="25"/>
  <c r="HG106" i="25"/>
  <c r="SG106" i="25"/>
  <c r="NG106" i="25"/>
  <c r="LG106" i="25"/>
  <c r="JG106" i="25"/>
  <c r="RG106" i="25"/>
  <c r="PG106" i="25"/>
  <c r="CN106" i="25"/>
  <c r="CR106" i="25"/>
  <c r="CM106" i="25"/>
  <c r="CQ106" i="25"/>
  <c r="QG106" i="25"/>
  <c r="CL106" i="25"/>
  <c r="CP106" i="25"/>
  <c r="CK106" i="25"/>
  <c r="CO106" i="25"/>
  <c r="CS106" i="25"/>
  <c r="OG110" i="25"/>
  <c r="MG110" i="25"/>
  <c r="KG110" i="25"/>
  <c r="HG110" i="25"/>
  <c r="SG110" i="25"/>
  <c r="NG110" i="25"/>
  <c r="LG110" i="25"/>
  <c r="JG110" i="25"/>
  <c r="RG110" i="25"/>
  <c r="PG110" i="25"/>
  <c r="CN110" i="25"/>
  <c r="CR110" i="25"/>
  <c r="CM110" i="25"/>
  <c r="CQ110" i="25"/>
  <c r="QG110" i="25"/>
  <c r="CL110" i="25"/>
  <c r="CP110" i="25"/>
  <c r="CK110" i="25"/>
  <c r="CO110" i="25"/>
  <c r="CS110" i="25"/>
  <c r="OG109" i="25"/>
  <c r="MG109" i="25"/>
  <c r="KG109" i="25"/>
  <c r="HG109" i="25"/>
  <c r="SG109" i="25"/>
  <c r="NG109" i="25"/>
  <c r="LG109" i="25"/>
  <c r="JG109" i="25"/>
  <c r="RG109" i="25"/>
  <c r="CK109" i="25"/>
  <c r="CO109" i="25"/>
  <c r="CS109" i="25"/>
  <c r="PG109" i="25"/>
  <c r="CN109" i="25"/>
  <c r="CR109" i="25"/>
  <c r="CM109" i="25"/>
  <c r="CQ109" i="25"/>
  <c r="QG109" i="25"/>
  <c r="CL109" i="25"/>
  <c r="CP109" i="25"/>
  <c r="OG114" i="25"/>
  <c r="MG114" i="25"/>
  <c r="KG114" i="25"/>
  <c r="HG114" i="25"/>
  <c r="SG114" i="25"/>
  <c r="NG114" i="25"/>
  <c r="LG114" i="25"/>
  <c r="JG114" i="25"/>
  <c r="RG114" i="25"/>
  <c r="PG114" i="25"/>
  <c r="CN114" i="25"/>
  <c r="CR114" i="25"/>
  <c r="CM114" i="25"/>
  <c r="CQ114" i="25"/>
  <c r="QG114" i="25"/>
  <c r="CL114" i="25"/>
  <c r="CP114" i="25"/>
  <c r="CK114" i="25"/>
  <c r="CO114" i="25"/>
  <c r="CS114" i="25"/>
  <c r="OG117" i="25"/>
  <c r="MG117" i="25"/>
  <c r="KG117" i="25"/>
  <c r="HG117" i="25"/>
  <c r="SG117" i="25"/>
  <c r="NG117" i="25"/>
  <c r="LG117" i="25"/>
  <c r="JG117" i="25"/>
  <c r="RG117" i="25"/>
  <c r="CK117" i="25"/>
  <c r="CO117" i="25"/>
  <c r="CS117" i="25"/>
  <c r="PG117" i="25"/>
  <c r="CN117" i="25"/>
  <c r="CR117" i="25"/>
  <c r="CM117" i="25"/>
  <c r="CQ117" i="25"/>
  <c r="QG117" i="25"/>
  <c r="CL117" i="25"/>
  <c r="CP117" i="25"/>
  <c r="SG94" i="25"/>
  <c r="QG94" i="25"/>
  <c r="OG118" i="25"/>
  <c r="MG118" i="25"/>
  <c r="KG118" i="25"/>
  <c r="HG118" i="25"/>
  <c r="SG118" i="25"/>
  <c r="NG118" i="25"/>
  <c r="LG118" i="25"/>
  <c r="JG118" i="25"/>
  <c r="RG118" i="25"/>
  <c r="PG118" i="25"/>
  <c r="CN118" i="25"/>
  <c r="CR118" i="25"/>
  <c r="CM118" i="25"/>
  <c r="CQ118" i="25"/>
  <c r="QG118" i="25"/>
  <c r="CL118" i="25"/>
  <c r="CP118" i="25"/>
  <c r="CK118" i="25"/>
  <c r="CO118" i="25"/>
  <c r="CS118" i="25"/>
  <c r="OG113" i="25"/>
  <c r="MG113" i="25"/>
  <c r="KG113" i="25"/>
  <c r="HG113" i="25"/>
  <c r="SG113" i="25"/>
  <c r="NG113" i="25"/>
  <c r="LG113" i="25"/>
  <c r="JG113" i="25"/>
  <c r="RG113" i="25"/>
  <c r="CK113" i="25"/>
  <c r="CO113" i="25"/>
  <c r="CS113" i="25"/>
  <c r="PG113" i="25"/>
  <c r="CN113" i="25"/>
  <c r="CR113" i="25"/>
  <c r="CM113" i="25"/>
  <c r="CQ113" i="25"/>
  <c r="QG113" i="25"/>
  <c r="CL113" i="25"/>
  <c r="CP113" i="25"/>
  <c r="OG105" i="25"/>
  <c r="MG105" i="25"/>
  <c r="KG105" i="25"/>
  <c r="HG105" i="25"/>
  <c r="SG105" i="25"/>
  <c r="NG105" i="25"/>
  <c r="LG105" i="25"/>
  <c r="JG105" i="25"/>
  <c r="RG105" i="25"/>
  <c r="CK105" i="25"/>
  <c r="CO105" i="25"/>
  <c r="CS105" i="25"/>
  <c r="PG105" i="25"/>
  <c r="CN105" i="25"/>
  <c r="CR105" i="25"/>
  <c r="CM105" i="25"/>
  <c r="CQ105" i="25"/>
  <c r="QG105" i="25"/>
  <c r="CL105" i="25"/>
  <c r="CP105" i="25"/>
  <c r="IT110" i="25"/>
  <c r="IS110" i="25"/>
  <c r="IR110" i="25"/>
  <c r="IS109" i="25"/>
  <c r="IR109" i="25"/>
  <c r="IT109" i="25"/>
  <c r="IT93" i="25"/>
  <c r="IT106" i="25"/>
  <c r="IS106" i="25"/>
  <c r="IR106" i="25"/>
  <c r="IS105" i="25"/>
  <c r="IR105" i="25"/>
  <c r="IT105" i="25"/>
  <c r="IT89" i="25"/>
  <c r="IT118" i="25"/>
  <c r="IS118" i="25"/>
  <c r="IR118" i="25"/>
  <c r="IT101" i="25"/>
  <c r="IT114" i="25"/>
  <c r="IS114" i="25"/>
  <c r="IR114" i="25"/>
  <c r="IS113" i="25"/>
  <c r="IR113" i="25"/>
  <c r="IT113" i="25"/>
  <c r="IS117" i="25"/>
  <c r="IR117" i="25"/>
  <c r="IT117" i="25"/>
  <c r="IK117" i="25"/>
  <c r="L117" i="25"/>
  <c r="OJ113" i="25"/>
  <c r="II113" i="25"/>
  <c r="FK113" i="25"/>
  <c r="EG113" i="25"/>
  <c r="DM113" i="25"/>
  <c r="IC113" i="25"/>
  <c r="DF113" i="25"/>
  <c r="JR113" i="25"/>
  <c r="KQ113" i="25"/>
  <c r="LQ113" i="25"/>
  <c r="MK113" i="25"/>
  <c r="JI113" i="25"/>
  <c r="LR113" i="25"/>
  <c r="KS113" i="25"/>
  <c r="MS113" i="25"/>
  <c r="JQ113" i="25"/>
  <c r="KJ113" i="25"/>
  <c r="LJ113" i="25"/>
  <c r="OC113" i="25"/>
  <c r="NK113" i="25"/>
  <c r="PQ113" i="25"/>
  <c r="NC113" i="25"/>
  <c r="OA113" i="25"/>
  <c r="PD113" i="25"/>
  <c r="PI113" i="25"/>
  <c r="RC113" i="25"/>
  <c r="QC113" i="25"/>
  <c r="QS113" i="25"/>
  <c r="RE113" i="25"/>
  <c r="ST113" i="25"/>
  <c r="SR113" i="25"/>
  <c r="SI113" i="25"/>
  <c r="IT97" i="25"/>
  <c r="IA97" i="25"/>
  <c r="JD97" i="25"/>
  <c r="KA97" i="25"/>
  <c r="LA97" i="25"/>
  <c r="ME97" i="25"/>
  <c r="JA97" i="25"/>
  <c r="PC97" i="25"/>
  <c r="PT97" i="25"/>
  <c r="RI97" i="25"/>
  <c r="RK117" i="25"/>
  <c r="RJ117" i="25"/>
  <c r="DU117" i="25"/>
  <c r="HE117" i="25"/>
  <c r="FI117" i="25"/>
  <c r="EM117" i="25"/>
  <c r="FC117" i="25"/>
  <c r="DN117" i="25"/>
  <c r="HD117" i="25"/>
  <c r="JD117" i="25"/>
  <c r="JC117" i="25"/>
  <c r="LE117" i="25"/>
  <c r="MA117" i="25"/>
  <c r="JJ117" i="25"/>
  <c r="KE117" i="25"/>
  <c r="LI117" i="25"/>
  <c r="ME117" i="25"/>
  <c r="LC117" i="25"/>
  <c r="MT117" i="25"/>
  <c r="NT117" i="25"/>
  <c r="PT117" i="25"/>
  <c r="NF117" i="25"/>
  <c r="OE117" i="25"/>
  <c r="PR117" i="25"/>
  <c r="NS117" i="25"/>
  <c r="OQ117" i="25"/>
  <c r="ST117" i="25"/>
  <c r="QE117" i="25"/>
  <c r="RR117" i="25"/>
  <c r="QT117" i="25"/>
  <c r="SK117" i="25"/>
  <c r="SC117" i="25"/>
  <c r="IJ113" i="25"/>
  <c r="OJ117" i="25"/>
  <c r="NA97" i="25"/>
  <c r="OI97" i="25"/>
  <c r="RK113" i="25"/>
  <c r="RJ113" i="25"/>
  <c r="DU113" i="25"/>
  <c r="HE113" i="25"/>
  <c r="FI113" i="25"/>
  <c r="EM113" i="25"/>
  <c r="FC113" i="25"/>
  <c r="DN113" i="25"/>
  <c r="HD113" i="25"/>
  <c r="JD113" i="25"/>
  <c r="JC113" i="25"/>
  <c r="LE113" i="25"/>
  <c r="MA113" i="25"/>
  <c r="JJ113" i="25"/>
  <c r="KE113" i="25"/>
  <c r="LI113" i="25"/>
  <c r="ME113" i="25"/>
  <c r="LC113" i="25"/>
  <c r="MT113" i="25"/>
  <c r="NT113" i="25"/>
  <c r="PT113" i="25"/>
  <c r="NF113" i="25"/>
  <c r="OE113" i="25"/>
  <c r="PR113" i="25"/>
  <c r="NS113" i="25"/>
  <c r="OQ113" i="25"/>
  <c r="QQ113" i="25"/>
  <c r="QR113" i="25"/>
  <c r="RQ113" i="25"/>
  <c r="QE113" i="25"/>
  <c r="RR113" i="25"/>
  <c r="QT113" i="25"/>
  <c r="SK113" i="25"/>
  <c r="SC113" i="25"/>
  <c r="SC97" i="25"/>
  <c r="KI97" i="25"/>
  <c r="MI97" i="25"/>
  <c r="OT97" i="25"/>
  <c r="PE97" i="25"/>
  <c r="RT97" i="25"/>
  <c r="RD97" i="25"/>
  <c r="QI97" i="25"/>
  <c r="QT97" i="25"/>
  <c r="II117" i="25"/>
  <c r="FK117" i="25"/>
  <c r="EG117" i="25"/>
  <c r="DM117" i="25"/>
  <c r="IC117" i="25"/>
  <c r="DF117" i="25"/>
  <c r="JR117" i="25"/>
  <c r="KQ117" i="25"/>
  <c r="LQ117" i="25"/>
  <c r="MK117" i="25"/>
  <c r="JI117" i="25"/>
  <c r="LR117" i="25"/>
  <c r="KS117" i="25"/>
  <c r="MS117" i="25"/>
  <c r="JQ117" i="25"/>
  <c r="KJ117" i="25"/>
  <c r="LJ117" i="25"/>
  <c r="OC117" i="25"/>
  <c r="NK117" i="25"/>
  <c r="PQ117" i="25"/>
  <c r="NC117" i="25"/>
  <c r="OA117" i="25"/>
  <c r="PD117" i="25"/>
  <c r="PI117" i="25"/>
  <c r="RC117" i="25"/>
  <c r="QK117" i="25"/>
  <c r="RD117" i="25"/>
  <c r="QS117" i="25"/>
  <c r="RE117" i="25"/>
  <c r="SJ117" i="25"/>
  <c r="SR117" i="25"/>
  <c r="SI117" i="25"/>
  <c r="NA117" i="25"/>
  <c r="OI117" i="25"/>
  <c r="OK113" i="25"/>
  <c r="IE113" i="25"/>
  <c r="DG113" i="25"/>
  <c r="GC113" i="25"/>
  <c r="IQ113" i="25"/>
  <c r="EC113" i="25"/>
  <c r="DT113" i="25"/>
  <c r="KK113" i="25"/>
  <c r="LK113" i="25"/>
  <c r="JE113" i="25"/>
  <c r="KC113" i="25"/>
  <c r="JT113" i="25"/>
  <c r="KI113" i="25"/>
  <c r="LS113" i="25"/>
  <c r="MI113" i="25"/>
  <c r="JK113" i="25"/>
  <c r="MC113" i="25"/>
  <c r="NE113" i="25"/>
  <c r="OR113" i="25"/>
  <c r="PK113" i="25"/>
  <c r="NR113" i="25"/>
  <c r="OT113" i="25"/>
  <c r="ND113" i="25"/>
  <c r="PE113" i="25"/>
  <c r="SJ113" i="25"/>
  <c r="RT113" i="25"/>
  <c r="RD113" i="25"/>
  <c r="QI113" i="25"/>
  <c r="RF113" i="25"/>
  <c r="SQ113" i="25"/>
  <c r="SE113" i="25"/>
  <c r="II97" i="25"/>
  <c r="JI97" i="25"/>
  <c r="LC97" i="25"/>
  <c r="OC97" i="25"/>
  <c r="BL97" i="25" s="1"/>
  <c r="NC97" i="25"/>
  <c r="OA97" i="25"/>
  <c r="OE97" i="25" s="1"/>
  <c r="NI97" i="25"/>
  <c r="PD97" i="25"/>
  <c r="PI97" i="25"/>
  <c r="RC97" i="25"/>
  <c r="RE97" i="25"/>
  <c r="ST97" i="25"/>
  <c r="SI97" i="25"/>
  <c r="IA117" i="25"/>
  <c r="FD117" i="25"/>
  <c r="DV117" i="25"/>
  <c r="DW117" i="25"/>
  <c r="HC117" i="25"/>
  <c r="FJ117" i="25"/>
  <c r="DJ117" i="25"/>
  <c r="KA117" i="25"/>
  <c r="LD117" i="25"/>
  <c r="MQ117" i="25"/>
  <c r="JS117" i="25"/>
  <c r="KR117" i="25"/>
  <c r="LA117" i="25"/>
  <c r="MR117" i="25"/>
  <c r="JF117" i="25"/>
  <c r="JA117" i="25"/>
  <c r="KT117" i="25"/>
  <c r="LT117" i="25"/>
  <c r="MJ117" i="25"/>
  <c r="NJ117" i="25"/>
  <c r="PJ117" i="25"/>
  <c r="NQ117" i="25"/>
  <c r="OS117" i="25"/>
  <c r="PC117" i="25"/>
  <c r="NI117" i="25"/>
  <c r="PS117" i="25"/>
  <c r="QQ117" i="25"/>
  <c r="RT117" i="25"/>
  <c r="QC117" i="25"/>
  <c r="RI117" i="25"/>
  <c r="QJ117" i="25"/>
  <c r="RS117" i="25"/>
  <c r="SS117" i="25"/>
  <c r="CD105" i="25"/>
  <c r="CD109" i="25"/>
  <c r="CX114" i="25"/>
  <c r="DB114" i="25"/>
  <c r="CW114" i="25"/>
  <c r="DA114" i="25"/>
  <c r="CV114" i="25"/>
  <c r="CZ114" i="25"/>
  <c r="CU114" i="25"/>
  <c r="CY114" i="25"/>
  <c r="DC114" i="25"/>
  <c r="CU105" i="25"/>
  <c r="CY105" i="25"/>
  <c r="DC105" i="25"/>
  <c r="CX105" i="25"/>
  <c r="DB105" i="25"/>
  <c r="CW105" i="25"/>
  <c r="DA105" i="25"/>
  <c r="CV105" i="25"/>
  <c r="CZ105" i="25"/>
  <c r="CX110" i="25"/>
  <c r="DB110" i="25"/>
  <c r="CW110" i="25"/>
  <c r="DA110" i="25"/>
  <c r="CV110" i="25"/>
  <c r="CZ110" i="25"/>
  <c r="CU110" i="25"/>
  <c r="CY110" i="25"/>
  <c r="DC110" i="25"/>
  <c r="CX106" i="25"/>
  <c r="DB106" i="25"/>
  <c r="CW106" i="25"/>
  <c r="DA106" i="25"/>
  <c r="CV106" i="25"/>
  <c r="CZ106" i="25"/>
  <c r="CU106" i="25"/>
  <c r="CY106" i="25"/>
  <c r="DC106" i="25"/>
  <c r="CU113" i="25"/>
  <c r="CY113" i="25"/>
  <c r="DC113" i="25"/>
  <c r="CX113" i="25"/>
  <c r="DB113" i="25"/>
  <c r="CW113" i="25"/>
  <c r="DA113" i="25"/>
  <c r="CV113" i="25"/>
  <c r="CZ113" i="25"/>
  <c r="CU117" i="25"/>
  <c r="CY117" i="25"/>
  <c r="DC117" i="25"/>
  <c r="CX117" i="25"/>
  <c r="DB117" i="25"/>
  <c r="CW117" i="25"/>
  <c r="DA117" i="25"/>
  <c r="CV117" i="25"/>
  <c r="CZ117" i="25"/>
  <c r="CX118" i="25"/>
  <c r="DB118" i="25"/>
  <c r="CW118" i="25"/>
  <c r="DA118" i="25"/>
  <c r="CV118" i="25"/>
  <c r="CZ118" i="25"/>
  <c r="CU118" i="25"/>
  <c r="CY118" i="25"/>
  <c r="DC118" i="25"/>
  <c r="CU109" i="25"/>
  <c r="CY109" i="25"/>
  <c r="DC109" i="25"/>
  <c r="CX109" i="25"/>
  <c r="DB109" i="25"/>
  <c r="CW109" i="25"/>
  <c r="DA109" i="25"/>
  <c r="CV109" i="25"/>
  <c r="CZ109" i="25"/>
  <c r="RO83" i="25"/>
  <c r="RN83" i="25"/>
  <c r="QO83" i="25"/>
  <c r="SO83" i="25"/>
  <c r="RM83" i="25"/>
  <c r="RP83" i="25" s="1"/>
  <c r="QN83" i="25"/>
  <c r="SN83" i="25"/>
  <c r="QM83" i="25"/>
  <c r="QP83" i="25" s="1"/>
  <c r="NO83" i="25"/>
  <c r="PO83" i="25"/>
  <c r="NN83" i="25"/>
  <c r="PN83" i="25"/>
  <c r="NM83" i="25"/>
  <c r="NP83" i="25" s="1"/>
  <c r="PM83" i="25"/>
  <c r="PP83" i="25" s="1"/>
  <c r="MO83" i="25"/>
  <c r="MN83" i="25"/>
  <c r="MM83" i="25"/>
  <c r="MP83" i="25" s="1"/>
  <c r="RO67" i="25"/>
  <c r="RN67" i="25"/>
  <c r="QO67" i="25"/>
  <c r="SO67" i="25"/>
  <c r="RM67" i="25"/>
  <c r="RP67" i="25" s="1"/>
  <c r="QN67" i="25"/>
  <c r="SN67" i="25"/>
  <c r="QM67" i="25"/>
  <c r="QP67" i="25" s="1"/>
  <c r="NO67" i="25"/>
  <c r="PO67" i="25"/>
  <c r="NN67" i="25"/>
  <c r="PN67" i="25"/>
  <c r="NM67" i="25"/>
  <c r="NP67" i="25" s="1"/>
  <c r="PM67" i="25"/>
  <c r="PP67" i="25" s="1"/>
  <c r="MO67" i="25"/>
  <c r="MN67" i="25"/>
  <c r="MM67" i="25"/>
  <c r="MP67" i="25" s="1"/>
  <c r="SN84" i="25"/>
  <c r="RO84" i="25"/>
  <c r="RN84" i="25"/>
  <c r="QO84" i="25"/>
  <c r="RM84" i="25"/>
  <c r="RP84" i="25" s="1"/>
  <c r="QN84" i="25"/>
  <c r="SO84" i="25"/>
  <c r="QM84" i="25"/>
  <c r="QP84" i="25" s="1"/>
  <c r="NO84" i="25"/>
  <c r="PO84" i="25"/>
  <c r="NN84" i="25"/>
  <c r="PN84" i="25"/>
  <c r="NM84" i="25"/>
  <c r="NP84" i="25" s="1"/>
  <c r="PM84" i="25"/>
  <c r="PP84" i="25" s="1"/>
  <c r="MO84" i="25"/>
  <c r="MN84" i="25"/>
  <c r="MM84" i="25"/>
  <c r="MP84" i="25" s="1"/>
  <c r="SN68" i="25"/>
  <c r="RO68" i="25"/>
  <c r="RN68" i="25"/>
  <c r="QO68" i="25"/>
  <c r="RM68" i="25"/>
  <c r="RP68" i="25" s="1"/>
  <c r="QN68" i="25"/>
  <c r="SO68" i="25"/>
  <c r="QM68" i="25"/>
  <c r="QP68" i="25" s="1"/>
  <c r="NO68" i="25"/>
  <c r="PO68" i="25"/>
  <c r="NN68" i="25"/>
  <c r="PN68" i="25"/>
  <c r="NM68" i="25"/>
  <c r="NP68" i="25" s="1"/>
  <c r="PM68" i="25"/>
  <c r="PP68" i="25" s="1"/>
  <c r="MO68" i="25"/>
  <c r="MN68" i="25"/>
  <c r="MM68" i="25"/>
  <c r="MP68" i="25" s="1"/>
  <c r="SO85" i="25"/>
  <c r="RO85" i="25"/>
  <c r="SN85" i="25"/>
  <c r="RN85" i="25"/>
  <c r="QO85" i="25"/>
  <c r="RM85" i="25"/>
  <c r="RP85" i="25" s="1"/>
  <c r="QN85" i="25"/>
  <c r="QM85" i="25"/>
  <c r="QP85" i="25" s="1"/>
  <c r="NO85" i="25"/>
  <c r="PO85" i="25"/>
  <c r="NN85" i="25"/>
  <c r="PN85" i="25"/>
  <c r="NM85" i="25"/>
  <c r="NP85" i="25" s="1"/>
  <c r="PM85" i="25"/>
  <c r="PP85" i="25" s="1"/>
  <c r="MO85" i="25"/>
  <c r="MN85" i="25"/>
  <c r="MM85" i="25"/>
  <c r="MP85" i="25" s="1"/>
  <c r="SO69" i="25"/>
  <c r="RO69" i="25"/>
  <c r="SN69" i="25"/>
  <c r="RN69" i="25"/>
  <c r="QO69" i="25"/>
  <c r="RM69" i="25"/>
  <c r="RP69" i="25" s="1"/>
  <c r="QN69" i="25"/>
  <c r="QM69" i="25"/>
  <c r="QP69" i="25" s="1"/>
  <c r="NO69" i="25"/>
  <c r="PO69" i="25"/>
  <c r="NN69" i="25"/>
  <c r="PN69" i="25"/>
  <c r="NM69" i="25"/>
  <c r="NP69" i="25" s="1"/>
  <c r="PM69" i="25"/>
  <c r="PP69" i="25" s="1"/>
  <c r="MO69" i="25"/>
  <c r="MN69" i="25"/>
  <c r="MM69" i="25"/>
  <c r="MP69" i="25" s="1"/>
  <c r="RO86" i="25"/>
  <c r="SO86" i="25"/>
  <c r="RN86" i="25"/>
  <c r="QO86" i="25"/>
  <c r="SN86" i="25"/>
  <c r="RM86" i="25"/>
  <c r="RP86" i="25" s="1"/>
  <c r="QN86" i="25"/>
  <c r="QM86" i="25"/>
  <c r="QP86" i="25" s="1"/>
  <c r="NO86" i="25"/>
  <c r="PO86" i="25"/>
  <c r="NN86" i="25"/>
  <c r="PN86" i="25"/>
  <c r="NM86" i="25"/>
  <c r="NP86" i="25" s="1"/>
  <c r="PM86" i="25"/>
  <c r="PP86" i="25" s="1"/>
  <c r="MO86" i="25"/>
  <c r="MN86" i="25"/>
  <c r="MM86" i="25"/>
  <c r="MP86" i="25" s="1"/>
  <c r="RO70" i="25"/>
  <c r="SO70" i="25"/>
  <c r="RN70" i="25"/>
  <c r="QO70" i="25"/>
  <c r="SN70" i="25"/>
  <c r="RM70" i="25"/>
  <c r="RP70" i="25" s="1"/>
  <c r="QN70" i="25"/>
  <c r="QM70" i="25"/>
  <c r="QP70" i="25" s="1"/>
  <c r="NO70" i="25"/>
  <c r="PO70" i="25"/>
  <c r="NN70" i="25"/>
  <c r="PN70" i="25"/>
  <c r="NM70" i="25"/>
  <c r="NP70" i="25" s="1"/>
  <c r="PM70" i="25"/>
  <c r="PP70" i="25" s="1"/>
  <c r="MO70" i="25"/>
  <c r="MN70" i="25"/>
  <c r="MM70" i="25"/>
  <c r="MP70" i="25" s="1"/>
  <c r="RO106" i="25"/>
  <c r="SO106" i="25"/>
  <c r="RN106" i="25"/>
  <c r="SN106" i="25"/>
  <c r="RM106" i="25"/>
  <c r="QO106" i="25"/>
  <c r="NO106" i="25"/>
  <c r="QN106" i="25"/>
  <c r="PO106" i="25"/>
  <c r="NN106" i="25"/>
  <c r="QM106" i="25"/>
  <c r="PN106" i="25"/>
  <c r="NM106" i="25"/>
  <c r="PM106" i="25"/>
  <c r="MO106" i="25"/>
  <c r="MN106" i="25"/>
  <c r="MM106" i="25"/>
  <c r="SO113" i="25"/>
  <c r="RO113" i="25"/>
  <c r="SN113" i="25"/>
  <c r="RN113" i="25"/>
  <c r="RM113" i="25"/>
  <c r="QO113" i="25"/>
  <c r="QN113" i="25"/>
  <c r="PO113" i="25"/>
  <c r="QM113" i="25"/>
  <c r="PN113" i="25"/>
  <c r="PM113" i="25"/>
  <c r="NO113" i="25"/>
  <c r="NN113" i="25"/>
  <c r="MO113" i="25"/>
  <c r="NM113" i="25"/>
  <c r="MN113" i="25"/>
  <c r="MM113" i="25"/>
  <c r="SO97" i="25"/>
  <c r="RO97" i="25"/>
  <c r="SN97" i="25"/>
  <c r="RN97" i="25"/>
  <c r="RM97" i="25"/>
  <c r="RP97" i="25" s="1"/>
  <c r="QO97" i="25"/>
  <c r="NO97" i="25"/>
  <c r="QN97" i="25"/>
  <c r="PO97" i="25"/>
  <c r="NN97" i="25"/>
  <c r="QM97" i="25"/>
  <c r="QP97" i="25" s="1"/>
  <c r="PN97" i="25"/>
  <c r="NM97" i="25"/>
  <c r="NP97" i="25" s="1"/>
  <c r="PM97" i="25"/>
  <c r="PP97" i="25" s="1"/>
  <c r="MO97" i="25"/>
  <c r="MN97" i="25"/>
  <c r="MM97" i="25"/>
  <c r="MP97" i="25" s="1"/>
  <c r="SO117" i="25"/>
  <c r="RO117" i="25"/>
  <c r="SN117" i="25"/>
  <c r="RN117" i="25"/>
  <c r="RM117" i="25"/>
  <c r="QO117" i="25"/>
  <c r="QN117" i="25"/>
  <c r="PO117" i="25"/>
  <c r="QM117" i="25"/>
  <c r="PN117" i="25"/>
  <c r="PM117" i="25"/>
  <c r="NO117" i="25"/>
  <c r="NN117" i="25"/>
  <c r="MO117" i="25"/>
  <c r="NM117" i="25"/>
  <c r="MN117" i="25"/>
  <c r="MM117" i="25"/>
  <c r="RO87" i="25"/>
  <c r="RN87" i="25"/>
  <c r="QO87" i="25"/>
  <c r="SO87" i="25"/>
  <c r="RM87" i="25"/>
  <c r="RP87" i="25" s="1"/>
  <c r="QN87" i="25"/>
  <c r="SN87" i="25"/>
  <c r="QM87" i="25"/>
  <c r="QP87" i="25" s="1"/>
  <c r="NO87" i="25"/>
  <c r="PO87" i="25"/>
  <c r="NN87" i="25"/>
  <c r="PN87" i="25"/>
  <c r="NM87" i="25"/>
  <c r="NP87" i="25" s="1"/>
  <c r="PM87" i="25"/>
  <c r="PP87" i="25" s="1"/>
  <c r="MO87" i="25"/>
  <c r="MN87" i="25"/>
  <c r="MM87" i="25"/>
  <c r="MP87" i="25" s="1"/>
  <c r="RO71" i="25"/>
  <c r="RN71" i="25"/>
  <c r="QO71" i="25"/>
  <c r="SO71" i="25"/>
  <c r="RM71" i="25"/>
  <c r="RP71" i="25" s="1"/>
  <c r="QN71" i="25"/>
  <c r="SN71" i="25"/>
  <c r="QM71" i="25"/>
  <c r="QP71" i="25" s="1"/>
  <c r="NO71" i="25"/>
  <c r="PO71" i="25"/>
  <c r="NN71" i="25"/>
  <c r="PN71" i="25"/>
  <c r="NM71" i="25"/>
  <c r="NP71" i="25" s="1"/>
  <c r="PM71" i="25"/>
  <c r="PP71" i="25" s="1"/>
  <c r="MO71" i="25"/>
  <c r="MN71" i="25"/>
  <c r="MM71" i="25"/>
  <c r="MP71" i="25" s="1"/>
  <c r="SN88" i="25"/>
  <c r="RO88" i="25"/>
  <c r="RN88" i="25"/>
  <c r="RM88" i="25"/>
  <c r="RP88" i="25" s="1"/>
  <c r="SO88" i="25"/>
  <c r="QO88" i="25"/>
  <c r="NO88" i="25"/>
  <c r="QN88" i="25"/>
  <c r="PO88" i="25"/>
  <c r="NN88" i="25"/>
  <c r="QM88" i="25"/>
  <c r="QP88" i="25" s="1"/>
  <c r="PN88" i="25"/>
  <c r="NM88" i="25"/>
  <c r="NP88" i="25" s="1"/>
  <c r="PM88" i="25"/>
  <c r="PP88" i="25" s="1"/>
  <c r="MO88" i="25"/>
  <c r="MN88" i="25"/>
  <c r="MM88" i="25"/>
  <c r="MP88" i="25" s="1"/>
  <c r="SN72" i="25"/>
  <c r="RO72" i="25"/>
  <c r="RN72" i="25"/>
  <c r="QO72" i="25"/>
  <c r="RM72" i="25"/>
  <c r="RP72" i="25" s="1"/>
  <c r="QN72" i="25"/>
  <c r="SO72" i="25"/>
  <c r="QM72" i="25"/>
  <c r="QP72" i="25" s="1"/>
  <c r="NO72" i="25"/>
  <c r="PO72" i="25"/>
  <c r="NN72" i="25"/>
  <c r="PN72" i="25"/>
  <c r="NM72" i="25"/>
  <c r="NP72" i="25" s="1"/>
  <c r="PM72" i="25"/>
  <c r="PP72" i="25" s="1"/>
  <c r="MO72" i="25"/>
  <c r="MN72" i="25"/>
  <c r="MM72" i="25"/>
  <c r="MP72" i="25" s="1"/>
  <c r="SN56" i="25"/>
  <c r="RO56" i="25"/>
  <c r="RN56" i="25"/>
  <c r="QO56" i="25"/>
  <c r="RM56" i="25"/>
  <c r="RP56" i="25" s="1"/>
  <c r="QN56" i="25"/>
  <c r="SO56" i="25"/>
  <c r="QM56" i="25"/>
  <c r="QP56" i="25" s="1"/>
  <c r="NO56" i="25"/>
  <c r="PO56" i="25"/>
  <c r="NN56" i="25"/>
  <c r="PN56" i="25"/>
  <c r="NM56" i="25"/>
  <c r="NP56" i="25" s="1"/>
  <c r="PM56" i="25"/>
  <c r="PP56" i="25" s="1"/>
  <c r="MO56" i="25"/>
  <c r="MN56" i="25"/>
  <c r="MM56" i="25"/>
  <c r="MP56" i="25" s="1"/>
  <c r="SO73" i="25"/>
  <c r="RO73" i="25"/>
  <c r="SN73" i="25"/>
  <c r="RN73" i="25"/>
  <c r="QO73" i="25"/>
  <c r="RM73" i="25"/>
  <c r="RP73" i="25" s="1"/>
  <c r="QN73" i="25"/>
  <c r="QM73" i="25"/>
  <c r="QP73" i="25" s="1"/>
  <c r="NO73" i="25"/>
  <c r="PO73" i="25"/>
  <c r="NN73" i="25"/>
  <c r="PN73" i="25"/>
  <c r="NM73" i="25"/>
  <c r="NP73" i="25" s="1"/>
  <c r="PM73" i="25"/>
  <c r="PP73" i="25" s="1"/>
  <c r="MO73" i="25"/>
  <c r="MN73" i="25"/>
  <c r="MM73" i="25"/>
  <c r="MP73" i="25" s="1"/>
  <c r="SO57" i="25"/>
  <c r="RO57" i="25"/>
  <c r="SN57" i="25"/>
  <c r="RN57" i="25"/>
  <c r="QO57" i="25"/>
  <c r="RM57" i="25"/>
  <c r="RP57" i="25" s="1"/>
  <c r="QN57" i="25"/>
  <c r="QM57" i="25"/>
  <c r="QP57" i="25" s="1"/>
  <c r="NO57" i="25"/>
  <c r="PO57" i="25"/>
  <c r="NN57" i="25"/>
  <c r="PN57" i="25"/>
  <c r="NM57" i="25"/>
  <c r="NP57" i="25" s="1"/>
  <c r="PM57" i="25"/>
  <c r="PP57" i="25" s="1"/>
  <c r="MO57" i="25"/>
  <c r="MN57" i="25"/>
  <c r="MM57" i="25"/>
  <c r="MP57" i="25" s="1"/>
  <c r="RO74" i="25"/>
  <c r="SO74" i="25"/>
  <c r="RN74" i="25"/>
  <c r="QO74" i="25"/>
  <c r="SN74" i="25"/>
  <c r="RM74" i="25"/>
  <c r="RP74" i="25" s="1"/>
  <c r="QN74" i="25"/>
  <c r="QM74" i="25"/>
  <c r="QP74" i="25" s="1"/>
  <c r="NO74" i="25"/>
  <c r="PO74" i="25"/>
  <c r="NN74" i="25"/>
  <c r="PN74" i="25"/>
  <c r="NM74" i="25"/>
  <c r="NP74" i="25" s="1"/>
  <c r="PM74" i="25"/>
  <c r="PP74" i="25" s="1"/>
  <c r="MO74" i="25"/>
  <c r="MN74" i="25"/>
  <c r="MM74" i="25"/>
  <c r="MP74" i="25" s="1"/>
  <c r="RO58" i="25"/>
  <c r="SO58" i="25"/>
  <c r="RN58" i="25"/>
  <c r="QO58" i="25"/>
  <c r="SN58" i="25"/>
  <c r="RM58" i="25"/>
  <c r="RP58" i="25" s="1"/>
  <c r="QN58" i="25"/>
  <c r="QM58" i="25"/>
  <c r="QP58" i="25" s="1"/>
  <c r="NO58" i="25"/>
  <c r="PO58" i="25"/>
  <c r="NN58" i="25"/>
  <c r="PN58" i="25"/>
  <c r="NM58" i="25"/>
  <c r="NP58" i="25" s="1"/>
  <c r="PM58" i="25"/>
  <c r="PP58" i="25" s="1"/>
  <c r="MO58" i="25"/>
  <c r="MN58" i="25"/>
  <c r="MM58" i="25"/>
  <c r="MP58" i="25" s="1"/>
  <c r="RO118" i="25"/>
  <c r="SO118" i="25"/>
  <c r="RN118" i="25"/>
  <c r="SN118" i="25"/>
  <c r="RM118" i="25"/>
  <c r="QO118" i="25"/>
  <c r="QN118" i="25"/>
  <c r="PO118" i="25"/>
  <c r="QM118" i="25"/>
  <c r="PN118" i="25"/>
  <c r="PM118" i="25"/>
  <c r="NO118" i="25"/>
  <c r="NN118" i="25"/>
  <c r="MO118" i="25"/>
  <c r="NM118" i="25"/>
  <c r="MN118" i="25"/>
  <c r="MM118" i="25"/>
  <c r="RO102" i="25"/>
  <c r="SO102" i="25"/>
  <c r="RN102" i="25"/>
  <c r="SN102" i="25"/>
  <c r="RM102" i="25"/>
  <c r="RP102" i="25" s="1"/>
  <c r="QO102" i="25"/>
  <c r="NO102" i="25"/>
  <c r="QN102" i="25"/>
  <c r="PO102" i="25"/>
  <c r="NN102" i="25"/>
  <c r="QM102" i="25"/>
  <c r="QP102" i="25" s="1"/>
  <c r="PN102" i="25"/>
  <c r="NM102" i="25"/>
  <c r="NP102" i="25" s="1"/>
  <c r="PM102" i="25"/>
  <c r="PP102" i="25" s="1"/>
  <c r="MO102" i="25"/>
  <c r="MN102" i="25"/>
  <c r="MM102" i="25"/>
  <c r="MP102" i="25" s="1"/>
  <c r="SO109" i="25"/>
  <c r="RO109" i="25"/>
  <c r="SN109" i="25"/>
  <c r="RN109" i="25"/>
  <c r="RM109" i="25"/>
  <c r="QO109" i="25"/>
  <c r="QN109" i="25"/>
  <c r="PO109" i="25"/>
  <c r="QM109" i="25"/>
  <c r="PN109" i="25"/>
  <c r="PM109" i="25"/>
  <c r="NO109" i="25"/>
  <c r="NN109" i="25"/>
  <c r="MO109" i="25"/>
  <c r="NM109" i="25"/>
  <c r="MN109" i="25"/>
  <c r="MM109" i="25"/>
  <c r="SO93" i="25"/>
  <c r="RO93" i="25"/>
  <c r="SN93" i="25"/>
  <c r="RN93" i="25"/>
  <c r="RM93" i="25"/>
  <c r="RP93" i="25" s="1"/>
  <c r="QO93" i="25"/>
  <c r="NO93" i="25"/>
  <c r="QN93" i="25"/>
  <c r="PO93" i="25"/>
  <c r="NN93" i="25"/>
  <c r="QM93" i="25"/>
  <c r="QP93" i="25" s="1"/>
  <c r="PN93" i="25"/>
  <c r="NM93" i="25"/>
  <c r="NP93" i="25" s="1"/>
  <c r="PM93" i="25"/>
  <c r="PP93" i="25" s="1"/>
  <c r="MO93" i="25"/>
  <c r="MN93" i="25"/>
  <c r="MM93" i="25"/>
  <c r="MP93" i="25" s="1"/>
  <c r="RO75" i="25"/>
  <c r="RN75" i="25"/>
  <c r="QO75" i="25"/>
  <c r="SO75" i="25"/>
  <c r="RM75" i="25"/>
  <c r="RP75" i="25" s="1"/>
  <c r="QN75" i="25"/>
  <c r="SN75" i="25"/>
  <c r="QM75" i="25"/>
  <c r="QP75" i="25" s="1"/>
  <c r="NO75" i="25"/>
  <c r="PO75" i="25"/>
  <c r="NN75" i="25"/>
  <c r="PN75" i="25"/>
  <c r="NM75" i="25"/>
  <c r="NP75" i="25" s="1"/>
  <c r="PM75" i="25"/>
  <c r="PP75" i="25" s="1"/>
  <c r="MO75" i="25"/>
  <c r="MN75" i="25"/>
  <c r="MM75" i="25"/>
  <c r="MP75" i="25" s="1"/>
  <c r="RO59" i="25"/>
  <c r="RN59" i="25"/>
  <c r="QO59" i="25"/>
  <c r="SO59" i="25"/>
  <c r="RM59" i="25"/>
  <c r="RP59" i="25" s="1"/>
  <c r="QN59" i="25"/>
  <c r="SN59" i="25"/>
  <c r="QM59" i="25"/>
  <c r="QP59" i="25" s="1"/>
  <c r="NO59" i="25"/>
  <c r="PO59" i="25"/>
  <c r="NN59" i="25"/>
  <c r="PN59" i="25"/>
  <c r="NM59" i="25"/>
  <c r="NP59" i="25" s="1"/>
  <c r="PM59" i="25"/>
  <c r="PP59" i="25" s="1"/>
  <c r="MO59" i="25"/>
  <c r="MN59" i="25"/>
  <c r="MM59" i="25"/>
  <c r="MP59" i="25" s="1"/>
  <c r="SN76" i="25"/>
  <c r="RO76" i="25"/>
  <c r="RN76" i="25"/>
  <c r="QO76" i="25"/>
  <c r="RM76" i="25"/>
  <c r="RP76" i="25" s="1"/>
  <c r="QN76" i="25"/>
  <c r="SO76" i="25"/>
  <c r="QM76" i="25"/>
  <c r="QP76" i="25" s="1"/>
  <c r="NO76" i="25"/>
  <c r="PO76" i="25"/>
  <c r="NN76" i="25"/>
  <c r="PN76" i="25"/>
  <c r="NM76" i="25"/>
  <c r="NP76" i="25" s="1"/>
  <c r="PM76" i="25"/>
  <c r="PP76" i="25" s="1"/>
  <c r="MO76" i="25"/>
  <c r="MN76" i="25"/>
  <c r="MM76" i="25"/>
  <c r="MP76" i="25" s="1"/>
  <c r="SN60" i="25"/>
  <c r="RO60" i="25"/>
  <c r="RN60" i="25"/>
  <c r="QO60" i="25"/>
  <c r="RM60" i="25"/>
  <c r="RP60" i="25" s="1"/>
  <c r="QN60" i="25"/>
  <c r="SO60" i="25"/>
  <c r="QM60" i="25"/>
  <c r="QP60" i="25" s="1"/>
  <c r="NO60" i="25"/>
  <c r="PO60" i="25"/>
  <c r="NN60" i="25"/>
  <c r="PN60" i="25"/>
  <c r="NM60" i="25"/>
  <c r="NP60" i="25" s="1"/>
  <c r="PM60" i="25"/>
  <c r="PP60" i="25" s="1"/>
  <c r="MO60" i="25"/>
  <c r="MN60" i="25"/>
  <c r="MM60" i="25"/>
  <c r="MP60" i="25" s="1"/>
  <c r="SO77" i="25"/>
  <c r="RO77" i="25"/>
  <c r="SN77" i="25"/>
  <c r="RN77" i="25"/>
  <c r="QO77" i="25"/>
  <c r="RM77" i="25"/>
  <c r="RP77" i="25" s="1"/>
  <c r="QN77" i="25"/>
  <c r="QM77" i="25"/>
  <c r="QP77" i="25" s="1"/>
  <c r="NO77" i="25"/>
  <c r="PO77" i="25"/>
  <c r="NN77" i="25"/>
  <c r="PN77" i="25"/>
  <c r="NM77" i="25"/>
  <c r="NP77" i="25" s="1"/>
  <c r="PM77" i="25"/>
  <c r="PP77" i="25" s="1"/>
  <c r="MO77" i="25"/>
  <c r="MN77" i="25"/>
  <c r="MM77" i="25"/>
  <c r="MP77" i="25" s="1"/>
  <c r="SO61" i="25"/>
  <c r="RO61" i="25"/>
  <c r="SN61" i="25"/>
  <c r="RN61" i="25"/>
  <c r="QO61" i="25"/>
  <c r="RM61" i="25"/>
  <c r="RP61" i="25" s="1"/>
  <c r="QN61" i="25"/>
  <c r="QM61" i="25"/>
  <c r="QP61" i="25" s="1"/>
  <c r="NO61" i="25"/>
  <c r="PO61" i="25"/>
  <c r="NN61" i="25"/>
  <c r="PN61" i="25"/>
  <c r="NM61" i="25"/>
  <c r="NP61" i="25" s="1"/>
  <c r="PM61" i="25"/>
  <c r="PP61" i="25" s="1"/>
  <c r="MO61" i="25"/>
  <c r="MN61" i="25"/>
  <c r="MM61" i="25"/>
  <c r="MP61" i="25" s="1"/>
  <c r="RO78" i="25"/>
  <c r="SO78" i="25"/>
  <c r="RN78" i="25"/>
  <c r="QO78" i="25"/>
  <c r="SN78" i="25"/>
  <c r="RM78" i="25"/>
  <c r="RP78" i="25" s="1"/>
  <c r="QN78" i="25"/>
  <c r="QM78" i="25"/>
  <c r="QP78" i="25" s="1"/>
  <c r="NO78" i="25"/>
  <c r="PO78" i="25"/>
  <c r="NN78" i="25"/>
  <c r="PN78" i="25"/>
  <c r="NM78" i="25"/>
  <c r="NP78" i="25" s="1"/>
  <c r="PM78" i="25"/>
  <c r="PP78" i="25" s="1"/>
  <c r="MO78" i="25"/>
  <c r="MN78" i="25"/>
  <c r="MM78" i="25"/>
  <c r="MP78" i="25" s="1"/>
  <c r="RO62" i="25"/>
  <c r="SO62" i="25"/>
  <c r="RN62" i="25"/>
  <c r="QO62" i="25"/>
  <c r="SN62" i="25"/>
  <c r="RM62" i="25"/>
  <c r="RP62" i="25" s="1"/>
  <c r="QN62" i="25"/>
  <c r="QM62" i="25"/>
  <c r="QP62" i="25" s="1"/>
  <c r="NO62" i="25"/>
  <c r="PO62" i="25"/>
  <c r="NN62" i="25"/>
  <c r="PN62" i="25"/>
  <c r="NM62" i="25"/>
  <c r="NP62" i="25" s="1"/>
  <c r="PM62" i="25"/>
  <c r="PP62" i="25" s="1"/>
  <c r="MO62" i="25"/>
  <c r="MN62" i="25"/>
  <c r="MM62" i="25"/>
  <c r="MP62" i="25" s="1"/>
  <c r="RO114" i="25"/>
  <c r="SO114" i="25"/>
  <c r="RN114" i="25"/>
  <c r="SN114" i="25"/>
  <c r="RM114" i="25"/>
  <c r="QO114" i="25"/>
  <c r="QN114" i="25"/>
  <c r="PO114" i="25"/>
  <c r="QM114" i="25"/>
  <c r="PN114" i="25"/>
  <c r="PM114" i="25"/>
  <c r="NO114" i="25"/>
  <c r="NN114" i="25"/>
  <c r="MO114" i="25"/>
  <c r="NM114" i="25"/>
  <c r="MN114" i="25"/>
  <c r="MM114" i="25"/>
  <c r="SO105" i="25"/>
  <c r="RO105" i="25"/>
  <c r="SN105" i="25"/>
  <c r="RN105" i="25"/>
  <c r="RM105" i="25"/>
  <c r="QO105" i="25"/>
  <c r="NO105" i="25"/>
  <c r="QN105" i="25"/>
  <c r="PO105" i="25"/>
  <c r="NN105" i="25"/>
  <c r="QM105" i="25"/>
  <c r="PN105" i="25"/>
  <c r="NM105" i="25"/>
  <c r="PM105" i="25"/>
  <c r="MO105" i="25"/>
  <c r="MN105" i="25"/>
  <c r="MM105" i="25"/>
  <c r="SO89" i="25"/>
  <c r="RO89" i="25"/>
  <c r="SN89" i="25"/>
  <c r="RN89" i="25"/>
  <c r="RM89" i="25"/>
  <c r="RP89" i="25" s="1"/>
  <c r="QO89" i="25"/>
  <c r="NO89" i="25"/>
  <c r="QN89" i="25"/>
  <c r="PO89" i="25"/>
  <c r="NN89" i="25"/>
  <c r="QM89" i="25"/>
  <c r="QP89" i="25" s="1"/>
  <c r="PN89" i="25"/>
  <c r="NM89" i="25"/>
  <c r="NP89" i="25" s="1"/>
  <c r="PM89" i="25"/>
  <c r="PP89" i="25" s="1"/>
  <c r="MO89" i="25"/>
  <c r="MN89" i="25"/>
  <c r="MM89" i="25"/>
  <c r="RO94" i="25"/>
  <c r="SO94" i="25"/>
  <c r="RN94" i="25"/>
  <c r="SN94" i="25"/>
  <c r="RM94" i="25"/>
  <c r="RP94" i="25" s="1"/>
  <c r="QO94" i="25"/>
  <c r="NO94" i="25"/>
  <c r="QN94" i="25"/>
  <c r="PO94" i="25"/>
  <c r="NN94" i="25"/>
  <c r="QM94" i="25"/>
  <c r="QP94" i="25" s="1"/>
  <c r="PN94" i="25"/>
  <c r="NM94" i="25"/>
  <c r="NP94" i="25" s="1"/>
  <c r="PM94" i="25"/>
  <c r="PP94" i="25" s="1"/>
  <c r="MO94" i="25"/>
  <c r="MN94" i="25"/>
  <c r="MM94" i="25"/>
  <c r="MP94" i="25" s="1"/>
  <c r="RO79" i="25"/>
  <c r="RN79" i="25"/>
  <c r="QO79" i="25"/>
  <c r="SO79" i="25"/>
  <c r="RM79" i="25"/>
  <c r="RP79" i="25" s="1"/>
  <c r="QN79" i="25"/>
  <c r="SN79" i="25"/>
  <c r="QM79" i="25"/>
  <c r="QP79" i="25" s="1"/>
  <c r="NO79" i="25"/>
  <c r="PO79" i="25"/>
  <c r="NN79" i="25"/>
  <c r="PN79" i="25"/>
  <c r="NM79" i="25"/>
  <c r="NP79" i="25" s="1"/>
  <c r="PM79" i="25"/>
  <c r="PP79" i="25" s="1"/>
  <c r="MO79" i="25"/>
  <c r="MN79" i="25"/>
  <c r="MM79" i="25"/>
  <c r="MP79" i="25" s="1"/>
  <c r="RO63" i="25"/>
  <c r="RN63" i="25"/>
  <c r="QO63" i="25"/>
  <c r="SO63" i="25"/>
  <c r="RM63" i="25"/>
  <c r="RP63" i="25" s="1"/>
  <c r="QN63" i="25"/>
  <c r="SN63" i="25"/>
  <c r="QM63" i="25"/>
  <c r="QP63" i="25" s="1"/>
  <c r="NO63" i="25"/>
  <c r="PO63" i="25"/>
  <c r="NN63" i="25"/>
  <c r="PN63" i="25"/>
  <c r="NM63" i="25"/>
  <c r="NP63" i="25" s="1"/>
  <c r="PM63" i="25"/>
  <c r="PP63" i="25" s="1"/>
  <c r="MO63" i="25"/>
  <c r="MN63" i="25"/>
  <c r="MM63" i="25"/>
  <c r="MP63" i="25" s="1"/>
  <c r="SN80" i="25"/>
  <c r="RO80" i="25"/>
  <c r="RN80" i="25"/>
  <c r="QO80" i="25"/>
  <c r="RM80" i="25"/>
  <c r="RP80" i="25" s="1"/>
  <c r="QN80" i="25"/>
  <c r="SO80" i="25"/>
  <c r="QM80" i="25"/>
  <c r="QP80" i="25" s="1"/>
  <c r="NO80" i="25"/>
  <c r="PO80" i="25"/>
  <c r="NN80" i="25"/>
  <c r="PN80" i="25"/>
  <c r="NM80" i="25"/>
  <c r="NP80" i="25" s="1"/>
  <c r="PM80" i="25"/>
  <c r="PP80" i="25" s="1"/>
  <c r="MO80" i="25"/>
  <c r="MN80" i="25"/>
  <c r="MM80" i="25"/>
  <c r="MP80" i="25" s="1"/>
  <c r="SN64" i="25"/>
  <c r="RO64" i="25"/>
  <c r="RN64" i="25"/>
  <c r="QO64" i="25"/>
  <c r="RM64" i="25"/>
  <c r="RP64" i="25" s="1"/>
  <c r="QN64" i="25"/>
  <c r="SO64" i="25"/>
  <c r="QM64" i="25"/>
  <c r="QP64" i="25" s="1"/>
  <c r="NO64" i="25"/>
  <c r="PO64" i="25"/>
  <c r="NN64" i="25"/>
  <c r="PN64" i="25"/>
  <c r="NM64" i="25"/>
  <c r="NP64" i="25" s="1"/>
  <c r="PM64" i="25"/>
  <c r="PP64" i="25" s="1"/>
  <c r="MO64" i="25"/>
  <c r="MN64" i="25"/>
  <c r="MM64" i="25"/>
  <c r="MP64" i="25" s="1"/>
  <c r="SO81" i="25"/>
  <c r="RO81" i="25"/>
  <c r="SN81" i="25"/>
  <c r="RN81" i="25"/>
  <c r="QO81" i="25"/>
  <c r="RM81" i="25"/>
  <c r="RP81" i="25" s="1"/>
  <c r="QN81" i="25"/>
  <c r="QM81" i="25"/>
  <c r="QP81" i="25" s="1"/>
  <c r="NO81" i="25"/>
  <c r="PO81" i="25"/>
  <c r="NN81" i="25"/>
  <c r="PN81" i="25"/>
  <c r="NM81" i="25"/>
  <c r="NP81" i="25" s="1"/>
  <c r="PM81" i="25"/>
  <c r="PP81" i="25" s="1"/>
  <c r="MO81" i="25"/>
  <c r="MN81" i="25"/>
  <c r="MM81" i="25"/>
  <c r="MP81" i="25" s="1"/>
  <c r="SO65" i="25"/>
  <c r="RO65" i="25"/>
  <c r="SN65" i="25"/>
  <c r="RN65" i="25"/>
  <c r="QO65" i="25"/>
  <c r="RM65" i="25"/>
  <c r="RP65" i="25" s="1"/>
  <c r="QN65" i="25"/>
  <c r="QM65" i="25"/>
  <c r="QP65" i="25" s="1"/>
  <c r="NO65" i="25"/>
  <c r="PO65" i="25"/>
  <c r="NN65" i="25"/>
  <c r="PN65" i="25"/>
  <c r="NM65" i="25"/>
  <c r="NP65" i="25" s="1"/>
  <c r="PM65" i="25"/>
  <c r="PP65" i="25" s="1"/>
  <c r="MO65" i="25"/>
  <c r="MN65" i="25"/>
  <c r="MM65" i="25"/>
  <c r="MP65" i="25" s="1"/>
  <c r="RO82" i="25"/>
  <c r="SO82" i="25"/>
  <c r="RN82" i="25"/>
  <c r="QO82" i="25"/>
  <c r="SN82" i="25"/>
  <c r="RM82" i="25"/>
  <c r="RP82" i="25" s="1"/>
  <c r="QN82" i="25"/>
  <c r="QM82" i="25"/>
  <c r="QP82" i="25" s="1"/>
  <c r="NO82" i="25"/>
  <c r="PO82" i="25"/>
  <c r="NN82" i="25"/>
  <c r="PN82" i="25"/>
  <c r="NM82" i="25"/>
  <c r="NP82" i="25" s="1"/>
  <c r="PM82" i="25"/>
  <c r="PP82" i="25" s="1"/>
  <c r="MO82" i="25"/>
  <c r="MN82" i="25"/>
  <c r="MM82" i="25"/>
  <c r="MP82" i="25" s="1"/>
  <c r="RO66" i="25"/>
  <c r="SO66" i="25"/>
  <c r="RN66" i="25"/>
  <c r="QO66" i="25"/>
  <c r="SN66" i="25"/>
  <c r="RM66" i="25"/>
  <c r="RP66" i="25" s="1"/>
  <c r="QN66" i="25"/>
  <c r="QM66" i="25"/>
  <c r="QP66" i="25" s="1"/>
  <c r="NO66" i="25"/>
  <c r="PO66" i="25"/>
  <c r="NN66" i="25"/>
  <c r="PN66" i="25"/>
  <c r="NM66" i="25"/>
  <c r="NP66" i="25" s="1"/>
  <c r="PM66" i="25"/>
  <c r="PP66" i="25" s="1"/>
  <c r="MO66" i="25"/>
  <c r="MN66" i="25"/>
  <c r="MM66" i="25"/>
  <c r="MP66" i="25" s="1"/>
  <c r="RO110" i="25"/>
  <c r="SO110" i="25"/>
  <c r="RN110" i="25"/>
  <c r="SN110" i="25"/>
  <c r="RM110" i="25"/>
  <c r="QO110" i="25"/>
  <c r="QN110" i="25"/>
  <c r="PO110" i="25"/>
  <c r="QM110" i="25"/>
  <c r="PN110" i="25"/>
  <c r="PM110" i="25"/>
  <c r="NO110" i="25"/>
  <c r="NN110" i="25"/>
  <c r="MO110" i="25"/>
  <c r="NM110" i="25"/>
  <c r="MN110" i="25"/>
  <c r="MM110" i="25"/>
  <c r="SO101" i="25"/>
  <c r="RO101" i="25"/>
  <c r="SN101" i="25"/>
  <c r="RN101" i="25"/>
  <c r="RM101" i="25"/>
  <c r="RP101" i="25" s="1"/>
  <c r="CI101" i="25" s="1"/>
  <c r="QO101" i="25"/>
  <c r="NO101" i="25"/>
  <c r="QN101" i="25"/>
  <c r="PO101" i="25"/>
  <c r="NN101" i="25"/>
  <c r="QM101" i="25"/>
  <c r="QP101" i="25" s="1"/>
  <c r="PN101" i="25"/>
  <c r="NM101" i="25"/>
  <c r="NP101" i="25" s="1"/>
  <c r="PM101" i="25"/>
  <c r="PP101" i="25" s="1"/>
  <c r="CH101" i="25" s="1"/>
  <c r="MO101" i="25"/>
  <c r="MN101" i="25"/>
  <c r="MM101" i="25"/>
  <c r="MP101" i="25" s="1"/>
  <c r="KM83" i="25"/>
  <c r="KP83" i="25" s="1"/>
  <c r="JO83" i="25"/>
  <c r="KO83" i="25"/>
  <c r="JN83" i="25"/>
  <c r="KN83" i="25"/>
  <c r="JM83" i="25"/>
  <c r="JP83" i="25" s="1"/>
  <c r="IN83" i="25"/>
  <c r="IM83" i="25"/>
  <c r="IP83" i="25" s="1"/>
  <c r="HO83" i="25"/>
  <c r="GO83" i="25"/>
  <c r="HN83" i="25"/>
  <c r="GN83" i="25"/>
  <c r="IO83" i="25"/>
  <c r="HM83" i="25"/>
  <c r="HP83" i="25" s="1"/>
  <c r="GM83" i="25"/>
  <c r="GP83" i="25" s="1"/>
  <c r="SM83" i="25"/>
  <c r="SP83" i="25" s="1"/>
  <c r="KM67" i="25"/>
  <c r="KP67" i="25" s="1"/>
  <c r="JO67" i="25"/>
  <c r="KO67" i="25"/>
  <c r="JN67" i="25"/>
  <c r="KN67" i="25"/>
  <c r="JM67" i="25"/>
  <c r="JP67" i="25" s="1"/>
  <c r="IN67" i="25"/>
  <c r="IM67" i="25"/>
  <c r="IP67" i="25" s="1"/>
  <c r="HO67" i="25"/>
  <c r="GO67" i="25"/>
  <c r="HN67" i="25"/>
  <c r="GN67" i="25"/>
  <c r="IO67" i="25"/>
  <c r="HM67" i="25"/>
  <c r="HP67" i="25" s="1"/>
  <c r="GM67" i="25"/>
  <c r="GP67" i="25" s="1"/>
  <c r="SM67" i="25"/>
  <c r="SP67" i="25" s="1"/>
  <c r="KM84" i="25"/>
  <c r="KP84" i="25" s="1"/>
  <c r="JO84" i="25"/>
  <c r="KO84" i="25"/>
  <c r="JN84" i="25"/>
  <c r="KN84" i="25"/>
  <c r="JM84" i="25"/>
  <c r="JP84" i="25" s="1"/>
  <c r="IN84" i="25"/>
  <c r="SM84" i="25"/>
  <c r="SP84" i="25" s="1"/>
  <c r="IM84" i="25"/>
  <c r="IP84" i="25" s="1"/>
  <c r="HO84" i="25"/>
  <c r="GO84" i="25"/>
  <c r="HN84" i="25"/>
  <c r="GN84" i="25"/>
  <c r="IO84" i="25"/>
  <c r="HM84" i="25"/>
  <c r="HP84" i="25" s="1"/>
  <c r="GM84" i="25"/>
  <c r="GP84" i="25" s="1"/>
  <c r="KM68" i="25"/>
  <c r="KP68" i="25" s="1"/>
  <c r="JO68" i="25"/>
  <c r="KO68" i="25"/>
  <c r="JN68" i="25"/>
  <c r="KN68" i="25"/>
  <c r="JM68" i="25"/>
  <c r="JP68" i="25" s="1"/>
  <c r="IN68" i="25"/>
  <c r="SM68" i="25"/>
  <c r="SP68" i="25" s="1"/>
  <c r="IM68" i="25"/>
  <c r="HO68" i="25"/>
  <c r="GO68" i="25"/>
  <c r="HN68" i="25"/>
  <c r="GN68" i="25"/>
  <c r="IO68" i="25"/>
  <c r="HM68" i="25"/>
  <c r="HP68" i="25" s="1"/>
  <c r="GM68" i="25"/>
  <c r="GP68" i="25" s="1"/>
  <c r="KM85" i="25"/>
  <c r="KP85" i="25" s="1"/>
  <c r="JO85" i="25"/>
  <c r="KO85" i="25"/>
  <c r="JN85" i="25"/>
  <c r="KN85" i="25"/>
  <c r="JM85" i="25"/>
  <c r="JP85" i="25" s="1"/>
  <c r="IN85" i="25"/>
  <c r="IM85" i="25"/>
  <c r="IP85" i="25" s="1"/>
  <c r="HO85" i="25"/>
  <c r="GO85" i="25"/>
  <c r="SM85" i="25"/>
  <c r="SP85" i="25" s="1"/>
  <c r="HN85" i="25"/>
  <c r="GN85" i="25"/>
  <c r="IO85" i="25"/>
  <c r="HM85" i="25"/>
  <c r="HP85" i="25" s="1"/>
  <c r="GM85" i="25"/>
  <c r="GP85" i="25" s="1"/>
  <c r="KM69" i="25"/>
  <c r="KP69" i="25" s="1"/>
  <c r="JO69" i="25"/>
  <c r="KO69" i="25"/>
  <c r="JN69" i="25"/>
  <c r="KN69" i="25"/>
  <c r="JM69" i="25"/>
  <c r="JP69" i="25" s="1"/>
  <c r="IN69" i="25"/>
  <c r="IM69" i="25"/>
  <c r="IP69" i="25" s="1"/>
  <c r="HO69" i="25"/>
  <c r="GO69" i="25"/>
  <c r="SM69" i="25"/>
  <c r="SP69" i="25" s="1"/>
  <c r="HN69" i="25"/>
  <c r="GN69" i="25"/>
  <c r="IO69" i="25"/>
  <c r="HM69" i="25"/>
  <c r="HP69" i="25" s="1"/>
  <c r="GM69" i="25"/>
  <c r="GP69" i="25" s="1"/>
  <c r="KM86" i="25"/>
  <c r="KP86" i="25" s="1"/>
  <c r="JO86" i="25"/>
  <c r="KO86" i="25"/>
  <c r="JN86" i="25"/>
  <c r="KN86" i="25"/>
  <c r="JM86" i="25"/>
  <c r="JP86" i="25" s="1"/>
  <c r="IN86" i="25"/>
  <c r="IM86" i="25"/>
  <c r="IP86" i="25" s="1"/>
  <c r="HO86" i="25"/>
  <c r="GO86" i="25"/>
  <c r="HN86" i="25"/>
  <c r="GN86" i="25"/>
  <c r="SM86" i="25"/>
  <c r="SP86" i="25" s="1"/>
  <c r="IO86" i="25"/>
  <c r="HM86" i="25"/>
  <c r="HP86" i="25" s="1"/>
  <c r="GM86" i="25"/>
  <c r="GP86" i="25" s="1"/>
  <c r="KM70" i="25"/>
  <c r="KP70" i="25" s="1"/>
  <c r="JO70" i="25"/>
  <c r="KO70" i="25"/>
  <c r="JN70" i="25"/>
  <c r="KN70" i="25"/>
  <c r="JM70" i="25"/>
  <c r="JP70" i="25" s="1"/>
  <c r="IN70" i="25"/>
  <c r="IM70" i="25"/>
  <c r="IP70" i="25" s="1"/>
  <c r="HO70" i="25"/>
  <c r="GO70" i="25"/>
  <c r="HN70" i="25"/>
  <c r="GN70" i="25"/>
  <c r="SM70" i="25"/>
  <c r="SP70" i="25" s="1"/>
  <c r="IO70" i="25"/>
  <c r="HM70" i="25"/>
  <c r="HP70" i="25" s="1"/>
  <c r="GM70" i="25"/>
  <c r="GP70" i="25" s="1"/>
  <c r="KM106" i="25"/>
  <c r="JO106" i="25"/>
  <c r="KO106" i="25"/>
  <c r="JN106" i="25"/>
  <c r="KN106" i="25"/>
  <c r="JM106" i="25"/>
  <c r="IN106" i="25"/>
  <c r="IM106" i="25"/>
  <c r="HO106" i="25"/>
  <c r="GO106" i="25"/>
  <c r="HN106" i="25"/>
  <c r="GN106" i="25"/>
  <c r="SM106" i="25"/>
  <c r="IO106" i="25"/>
  <c r="HM106" i="25"/>
  <c r="GM106" i="25"/>
  <c r="KM113" i="25"/>
  <c r="JO113" i="25"/>
  <c r="KO113" i="25"/>
  <c r="JN113" i="25"/>
  <c r="KN113" i="25"/>
  <c r="JM113" i="25"/>
  <c r="IN113" i="25"/>
  <c r="IM113" i="25"/>
  <c r="HO113" i="25"/>
  <c r="GO113" i="25"/>
  <c r="SM113" i="25"/>
  <c r="HN113" i="25"/>
  <c r="GN113" i="25"/>
  <c r="IO113" i="25"/>
  <c r="HM113" i="25"/>
  <c r="GM113" i="25"/>
  <c r="KM97" i="25"/>
  <c r="KP97" i="25" s="1"/>
  <c r="JO97" i="25"/>
  <c r="KO97" i="25"/>
  <c r="JN97" i="25"/>
  <c r="KN97" i="25"/>
  <c r="JM97" i="25"/>
  <c r="JP97" i="25" s="1"/>
  <c r="IN97" i="25"/>
  <c r="IM97" i="25"/>
  <c r="IP97" i="25" s="1"/>
  <c r="HO97" i="25"/>
  <c r="GO97" i="25"/>
  <c r="SM97" i="25"/>
  <c r="SP97" i="25" s="1"/>
  <c r="HN97" i="25"/>
  <c r="GN97" i="25"/>
  <c r="IO97" i="25"/>
  <c r="HM97" i="25"/>
  <c r="HP97" i="25" s="1"/>
  <c r="GM97" i="25"/>
  <c r="GP97" i="25" s="1"/>
  <c r="KM117" i="25"/>
  <c r="JO117" i="25"/>
  <c r="KO117" i="25"/>
  <c r="JN117" i="25"/>
  <c r="KN117" i="25"/>
  <c r="JM117" i="25"/>
  <c r="IN117" i="25"/>
  <c r="IM117" i="25"/>
  <c r="HO117" i="25"/>
  <c r="GO117" i="25"/>
  <c r="SM117" i="25"/>
  <c r="HN117" i="25"/>
  <c r="GN117" i="25"/>
  <c r="IO117" i="25"/>
  <c r="HM117" i="25"/>
  <c r="GM117" i="25"/>
  <c r="KM87" i="25"/>
  <c r="KP87" i="25" s="1"/>
  <c r="JO87" i="25"/>
  <c r="KO87" i="25"/>
  <c r="JN87" i="25"/>
  <c r="KN87" i="25"/>
  <c r="JM87" i="25"/>
  <c r="JP87" i="25" s="1"/>
  <c r="IN87" i="25"/>
  <c r="IM87" i="25"/>
  <c r="IP87" i="25" s="1"/>
  <c r="HO87" i="25"/>
  <c r="GO87" i="25"/>
  <c r="HN87" i="25"/>
  <c r="GN87" i="25"/>
  <c r="IO87" i="25"/>
  <c r="HM87" i="25"/>
  <c r="HP87" i="25" s="1"/>
  <c r="GM87" i="25"/>
  <c r="GP87" i="25" s="1"/>
  <c r="SM87" i="25"/>
  <c r="SP87" i="25" s="1"/>
  <c r="KM71" i="25"/>
  <c r="KP71" i="25" s="1"/>
  <c r="JO71" i="25"/>
  <c r="KO71" i="25"/>
  <c r="JN71" i="25"/>
  <c r="KN71" i="25"/>
  <c r="JM71" i="25"/>
  <c r="JP71" i="25" s="1"/>
  <c r="IN71" i="25"/>
  <c r="IM71" i="25"/>
  <c r="IP71" i="25" s="1"/>
  <c r="HO71" i="25"/>
  <c r="GO71" i="25"/>
  <c r="HN71" i="25"/>
  <c r="GN71" i="25"/>
  <c r="IO71" i="25"/>
  <c r="HM71" i="25"/>
  <c r="HP71" i="25" s="1"/>
  <c r="GM71" i="25"/>
  <c r="GP71" i="25" s="1"/>
  <c r="SM71" i="25"/>
  <c r="SP71" i="25" s="1"/>
  <c r="KM88" i="25"/>
  <c r="KP88" i="25" s="1"/>
  <c r="JO88" i="25"/>
  <c r="KO88" i="25"/>
  <c r="JN88" i="25"/>
  <c r="KN88" i="25"/>
  <c r="JM88" i="25"/>
  <c r="JP88" i="25" s="1"/>
  <c r="IN88" i="25"/>
  <c r="SM88" i="25"/>
  <c r="SP88" i="25" s="1"/>
  <c r="IM88" i="25"/>
  <c r="IP88" i="25" s="1"/>
  <c r="HO88" i="25"/>
  <c r="GO88" i="25"/>
  <c r="HN88" i="25"/>
  <c r="GN88" i="25"/>
  <c r="IO88" i="25"/>
  <c r="HM88" i="25"/>
  <c r="HP88" i="25" s="1"/>
  <c r="GM88" i="25"/>
  <c r="GP88" i="25" s="1"/>
  <c r="KM72" i="25"/>
  <c r="KP72" i="25" s="1"/>
  <c r="JO72" i="25"/>
  <c r="KO72" i="25"/>
  <c r="JN72" i="25"/>
  <c r="KN72" i="25"/>
  <c r="JM72" i="25"/>
  <c r="JP72" i="25" s="1"/>
  <c r="IN72" i="25"/>
  <c r="SM72" i="25"/>
  <c r="SP72" i="25" s="1"/>
  <c r="IM72" i="25"/>
  <c r="IP72" i="25" s="1"/>
  <c r="HO72" i="25"/>
  <c r="GO72" i="25"/>
  <c r="HN72" i="25"/>
  <c r="GN72" i="25"/>
  <c r="IO72" i="25"/>
  <c r="HM72" i="25"/>
  <c r="HP72" i="25" s="1"/>
  <c r="GM72" i="25"/>
  <c r="GP72" i="25" s="1"/>
  <c r="KM56" i="25"/>
  <c r="KP56" i="25" s="1"/>
  <c r="IN56" i="25"/>
  <c r="JO56" i="25"/>
  <c r="IM56" i="25"/>
  <c r="KO56" i="25"/>
  <c r="JN56" i="25"/>
  <c r="KN56" i="25"/>
  <c r="JM56" i="25"/>
  <c r="JP56" i="25" s="1"/>
  <c r="IO56" i="25"/>
  <c r="SM56" i="25"/>
  <c r="SP56" i="25" s="1"/>
  <c r="HO56" i="25"/>
  <c r="GO56" i="25"/>
  <c r="HN56" i="25"/>
  <c r="GN56" i="25"/>
  <c r="HM56" i="25"/>
  <c r="HP56" i="25" s="1"/>
  <c r="GM56" i="25"/>
  <c r="GP56" i="25" s="1"/>
  <c r="KM73" i="25"/>
  <c r="KP73" i="25" s="1"/>
  <c r="JO73" i="25"/>
  <c r="KO73" i="25"/>
  <c r="JN73" i="25"/>
  <c r="KN73" i="25"/>
  <c r="JM73" i="25"/>
  <c r="JP73" i="25" s="1"/>
  <c r="IN73" i="25"/>
  <c r="IM73" i="25"/>
  <c r="IP73" i="25" s="1"/>
  <c r="HO73" i="25"/>
  <c r="GO73" i="25"/>
  <c r="SM73" i="25"/>
  <c r="SP73" i="25" s="1"/>
  <c r="HN73" i="25"/>
  <c r="GN73" i="25"/>
  <c r="IO73" i="25"/>
  <c r="HM73" i="25"/>
  <c r="HP73" i="25" s="1"/>
  <c r="GM73" i="25"/>
  <c r="GP73" i="25" s="1"/>
  <c r="KM57" i="25"/>
  <c r="KP57" i="25" s="1"/>
  <c r="IN57" i="25"/>
  <c r="JO57" i="25"/>
  <c r="IM57" i="25"/>
  <c r="KO57" i="25"/>
  <c r="JN57" i="25"/>
  <c r="KN57" i="25"/>
  <c r="JM57" i="25"/>
  <c r="JP57" i="25" s="1"/>
  <c r="IO57" i="25"/>
  <c r="HO57" i="25"/>
  <c r="GO57" i="25"/>
  <c r="SM57" i="25"/>
  <c r="SP57" i="25" s="1"/>
  <c r="HN57" i="25"/>
  <c r="GN57" i="25"/>
  <c r="HM57" i="25"/>
  <c r="HP57" i="25" s="1"/>
  <c r="GM57" i="25"/>
  <c r="GP57" i="25" s="1"/>
  <c r="KM74" i="25"/>
  <c r="KP74" i="25" s="1"/>
  <c r="JO74" i="25"/>
  <c r="KO74" i="25"/>
  <c r="JN74" i="25"/>
  <c r="KN74" i="25"/>
  <c r="JM74" i="25"/>
  <c r="JP74" i="25" s="1"/>
  <c r="IN74" i="25"/>
  <c r="IM74" i="25"/>
  <c r="IP74" i="25" s="1"/>
  <c r="HO74" i="25"/>
  <c r="GO74" i="25"/>
  <c r="HN74" i="25"/>
  <c r="GN74" i="25"/>
  <c r="SM74" i="25"/>
  <c r="SP74" i="25" s="1"/>
  <c r="IO74" i="25"/>
  <c r="HM74" i="25"/>
  <c r="HP74" i="25" s="1"/>
  <c r="GM74" i="25"/>
  <c r="GP74" i="25" s="1"/>
  <c r="KM58" i="25"/>
  <c r="KP58" i="25" s="1"/>
  <c r="IN58" i="25"/>
  <c r="JO58" i="25"/>
  <c r="IM58" i="25"/>
  <c r="KO58" i="25"/>
  <c r="JN58" i="25"/>
  <c r="KN58" i="25"/>
  <c r="JM58" i="25"/>
  <c r="JP58" i="25" s="1"/>
  <c r="IO58" i="25"/>
  <c r="HO58" i="25"/>
  <c r="GO58" i="25"/>
  <c r="HN58" i="25"/>
  <c r="GN58" i="25"/>
  <c r="SM58" i="25"/>
  <c r="SP58" i="25" s="1"/>
  <c r="HM58" i="25"/>
  <c r="HP58" i="25" s="1"/>
  <c r="GM58" i="25"/>
  <c r="GP58" i="25" s="1"/>
  <c r="KM118" i="25"/>
  <c r="JO118" i="25"/>
  <c r="KO118" i="25"/>
  <c r="JN118" i="25"/>
  <c r="KN118" i="25"/>
  <c r="JM118" i="25"/>
  <c r="IN118" i="25"/>
  <c r="IM118" i="25"/>
  <c r="HO118" i="25"/>
  <c r="GO118" i="25"/>
  <c r="HN118" i="25"/>
  <c r="GN118" i="25"/>
  <c r="SM118" i="25"/>
  <c r="IO118" i="25"/>
  <c r="HM118" i="25"/>
  <c r="GM118" i="25"/>
  <c r="KM102" i="25"/>
  <c r="KP102" i="25" s="1"/>
  <c r="JO102" i="25"/>
  <c r="KO102" i="25"/>
  <c r="JN102" i="25"/>
  <c r="KN102" i="25"/>
  <c r="JM102" i="25"/>
  <c r="JP102" i="25" s="1"/>
  <c r="IN102" i="25"/>
  <c r="IM102" i="25"/>
  <c r="IP102" i="25" s="1"/>
  <c r="HO102" i="25"/>
  <c r="GO102" i="25"/>
  <c r="HN102" i="25"/>
  <c r="GN102" i="25"/>
  <c r="SM102" i="25"/>
  <c r="SP102" i="25" s="1"/>
  <c r="IO102" i="25"/>
  <c r="HM102" i="25"/>
  <c r="HP102" i="25" s="1"/>
  <c r="GM102" i="25"/>
  <c r="GP102" i="25" s="1"/>
  <c r="KM109" i="25"/>
  <c r="JO109" i="25"/>
  <c r="KO109" i="25"/>
  <c r="JN109" i="25"/>
  <c r="KN109" i="25"/>
  <c r="JM109" i="25"/>
  <c r="IN109" i="25"/>
  <c r="IM109" i="25"/>
  <c r="HO109" i="25"/>
  <c r="GO109" i="25"/>
  <c r="SM109" i="25"/>
  <c r="HN109" i="25"/>
  <c r="GN109" i="25"/>
  <c r="IO109" i="25"/>
  <c r="HM109" i="25"/>
  <c r="GM109" i="25"/>
  <c r="KM93" i="25"/>
  <c r="KP93" i="25" s="1"/>
  <c r="JO93" i="25"/>
  <c r="KO93" i="25"/>
  <c r="JN93" i="25"/>
  <c r="KN93" i="25"/>
  <c r="JM93" i="25"/>
  <c r="JP93" i="25" s="1"/>
  <c r="IN93" i="25"/>
  <c r="IM93" i="25"/>
  <c r="IP93" i="25" s="1"/>
  <c r="HO93" i="25"/>
  <c r="GO93" i="25"/>
  <c r="SM93" i="25"/>
  <c r="SP93" i="25" s="1"/>
  <c r="HN93" i="25"/>
  <c r="GN93" i="25"/>
  <c r="IO93" i="25"/>
  <c r="HM93" i="25"/>
  <c r="HP93" i="25" s="1"/>
  <c r="GM93" i="25"/>
  <c r="GP93" i="25" s="1"/>
  <c r="KM75" i="25"/>
  <c r="KP75" i="25" s="1"/>
  <c r="JO75" i="25"/>
  <c r="KO75" i="25"/>
  <c r="JN75" i="25"/>
  <c r="KN75" i="25"/>
  <c r="JM75" i="25"/>
  <c r="JP75" i="25" s="1"/>
  <c r="IN75" i="25"/>
  <c r="IM75" i="25"/>
  <c r="IP75" i="25" s="1"/>
  <c r="HO75" i="25"/>
  <c r="GO75" i="25"/>
  <c r="HN75" i="25"/>
  <c r="GN75" i="25"/>
  <c r="IO75" i="25"/>
  <c r="HM75" i="25"/>
  <c r="HP75" i="25" s="1"/>
  <c r="GM75" i="25"/>
  <c r="GP75" i="25" s="1"/>
  <c r="SM75" i="25"/>
  <c r="SP75" i="25" s="1"/>
  <c r="KM59" i="25"/>
  <c r="KP59" i="25" s="1"/>
  <c r="IN59" i="25"/>
  <c r="JO59" i="25"/>
  <c r="IM59" i="25"/>
  <c r="KO59" i="25"/>
  <c r="JN59" i="25"/>
  <c r="KN59" i="25"/>
  <c r="JM59" i="25"/>
  <c r="JP59" i="25" s="1"/>
  <c r="IO59" i="25"/>
  <c r="HO59" i="25"/>
  <c r="GO59" i="25"/>
  <c r="HN59" i="25"/>
  <c r="GN59" i="25"/>
  <c r="HM59" i="25"/>
  <c r="HP59" i="25" s="1"/>
  <c r="GM59" i="25"/>
  <c r="GP59" i="25" s="1"/>
  <c r="SM59" i="25"/>
  <c r="SP59" i="25" s="1"/>
  <c r="KM76" i="25"/>
  <c r="KP76" i="25" s="1"/>
  <c r="JO76" i="25"/>
  <c r="KO76" i="25"/>
  <c r="JN76" i="25"/>
  <c r="KN76" i="25"/>
  <c r="JM76" i="25"/>
  <c r="JP76" i="25" s="1"/>
  <c r="IN76" i="25"/>
  <c r="SM76" i="25"/>
  <c r="SP76" i="25" s="1"/>
  <c r="IM76" i="25"/>
  <c r="IP76" i="25" s="1"/>
  <c r="HO76" i="25"/>
  <c r="GO76" i="25"/>
  <c r="HN76" i="25"/>
  <c r="GN76" i="25"/>
  <c r="IO76" i="25"/>
  <c r="HM76" i="25"/>
  <c r="HP76" i="25" s="1"/>
  <c r="GM76" i="25"/>
  <c r="GP76" i="25" s="1"/>
  <c r="KM60" i="25"/>
  <c r="KP60" i="25" s="1"/>
  <c r="IN60" i="25"/>
  <c r="JO60" i="25"/>
  <c r="IM60" i="25"/>
  <c r="KO60" i="25"/>
  <c r="JN60" i="25"/>
  <c r="KN60" i="25"/>
  <c r="JM60" i="25"/>
  <c r="JP60" i="25" s="1"/>
  <c r="IO60" i="25"/>
  <c r="SM60" i="25"/>
  <c r="SP60" i="25" s="1"/>
  <c r="HO60" i="25"/>
  <c r="GO60" i="25"/>
  <c r="HN60" i="25"/>
  <c r="GN60" i="25"/>
  <c r="HM60" i="25"/>
  <c r="HP60" i="25" s="1"/>
  <c r="GM60" i="25"/>
  <c r="GP60" i="25" s="1"/>
  <c r="KM77" i="25"/>
  <c r="KP77" i="25" s="1"/>
  <c r="JO77" i="25"/>
  <c r="KO77" i="25"/>
  <c r="JN77" i="25"/>
  <c r="KN77" i="25"/>
  <c r="JM77" i="25"/>
  <c r="JP77" i="25" s="1"/>
  <c r="IN77" i="25"/>
  <c r="IM77" i="25"/>
  <c r="IP77" i="25" s="1"/>
  <c r="HO77" i="25"/>
  <c r="GO77" i="25"/>
  <c r="SM77" i="25"/>
  <c r="SP77" i="25" s="1"/>
  <c r="HN77" i="25"/>
  <c r="GN77" i="25"/>
  <c r="IO77" i="25"/>
  <c r="HM77" i="25"/>
  <c r="HP77" i="25" s="1"/>
  <c r="GM77" i="25"/>
  <c r="GP77" i="25" s="1"/>
  <c r="KM61" i="25"/>
  <c r="KP61" i="25" s="1"/>
  <c r="IN61" i="25"/>
  <c r="JO61" i="25"/>
  <c r="IM61" i="25"/>
  <c r="KO61" i="25"/>
  <c r="JN61" i="25"/>
  <c r="KN61" i="25"/>
  <c r="JM61" i="25"/>
  <c r="JP61" i="25" s="1"/>
  <c r="HO61" i="25"/>
  <c r="GO61" i="25"/>
  <c r="SM61" i="25"/>
  <c r="SP61" i="25" s="1"/>
  <c r="HN61" i="25"/>
  <c r="GN61" i="25"/>
  <c r="IO61" i="25"/>
  <c r="HM61" i="25"/>
  <c r="HP61" i="25" s="1"/>
  <c r="GM61" i="25"/>
  <c r="GP61" i="25" s="1"/>
  <c r="KM78" i="25"/>
  <c r="KP78" i="25" s="1"/>
  <c r="JO78" i="25"/>
  <c r="KO78" i="25"/>
  <c r="JN78" i="25"/>
  <c r="KN78" i="25"/>
  <c r="JM78" i="25"/>
  <c r="JP78" i="25" s="1"/>
  <c r="IN78" i="25"/>
  <c r="IM78" i="25"/>
  <c r="IP78" i="25" s="1"/>
  <c r="HO78" i="25"/>
  <c r="GO78" i="25"/>
  <c r="HN78" i="25"/>
  <c r="GN78" i="25"/>
  <c r="SM78" i="25"/>
  <c r="SP78" i="25" s="1"/>
  <c r="IO78" i="25"/>
  <c r="HM78" i="25"/>
  <c r="HP78" i="25" s="1"/>
  <c r="GM78" i="25"/>
  <c r="GP78" i="25" s="1"/>
  <c r="KM62" i="25"/>
  <c r="KP62" i="25" s="1"/>
  <c r="JO62" i="25"/>
  <c r="KO62" i="25"/>
  <c r="JN62" i="25"/>
  <c r="KN62" i="25"/>
  <c r="JM62" i="25"/>
  <c r="JP62" i="25" s="1"/>
  <c r="IN62" i="25"/>
  <c r="IM62" i="25"/>
  <c r="HO62" i="25"/>
  <c r="GO62" i="25"/>
  <c r="HN62" i="25"/>
  <c r="GN62" i="25"/>
  <c r="SM62" i="25"/>
  <c r="SP62" i="25" s="1"/>
  <c r="IO62" i="25"/>
  <c r="HM62" i="25"/>
  <c r="HP62" i="25" s="1"/>
  <c r="GM62" i="25"/>
  <c r="GP62" i="25" s="1"/>
  <c r="KM114" i="25"/>
  <c r="JO114" i="25"/>
  <c r="KO114" i="25"/>
  <c r="JN114" i="25"/>
  <c r="KN114" i="25"/>
  <c r="JM114" i="25"/>
  <c r="IN114" i="25"/>
  <c r="IM114" i="25"/>
  <c r="HO114" i="25"/>
  <c r="GO114" i="25"/>
  <c r="HN114" i="25"/>
  <c r="GN114" i="25"/>
  <c r="SM114" i="25"/>
  <c r="IO114" i="25"/>
  <c r="HM114" i="25"/>
  <c r="GM114" i="25"/>
  <c r="KM105" i="25"/>
  <c r="JO105" i="25"/>
  <c r="KO105" i="25"/>
  <c r="JN105" i="25"/>
  <c r="KN105" i="25"/>
  <c r="JM105" i="25"/>
  <c r="IN105" i="25"/>
  <c r="IM105" i="25"/>
  <c r="HO105" i="25"/>
  <c r="GO105" i="25"/>
  <c r="SM105" i="25"/>
  <c r="HN105" i="25"/>
  <c r="GN105" i="25"/>
  <c r="IO105" i="25"/>
  <c r="HM105" i="25"/>
  <c r="GM105" i="25"/>
  <c r="KM89" i="25"/>
  <c r="KP89" i="25" s="1"/>
  <c r="JO89" i="25"/>
  <c r="KO89" i="25"/>
  <c r="JN89" i="25"/>
  <c r="KN89" i="25"/>
  <c r="JM89" i="25"/>
  <c r="JP89" i="25" s="1"/>
  <c r="IN89" i="25"/>
  <c r="IM89" i="25"/>
  <c r="HO89" i="25"/>
  <c r="GO89" i="25"/>
  <c r="SM89" i="25"/>
  <c r="SP89" i="25" s="1"/>
  <c r="HN89" i="25"/>
  <c r="GN89" i="25"/>
  <c r="IO89" i="25"/>
  <c r="HM89" i="25"/>
  <c r="HP89" i="25" s="1"/>
  <c r="GM89" i="25"/>
  <c r="GP89" i="25" s="1"/>
  <c r="KM94" i="25"/>
  <c r="KP94" i="25" s="1"/>
  <c r="JO94" i="25"/>
  <c r="KO94" i="25"/>
  <c r="JN94" i="25"/>
  <c r="KN94" i="25"/>
  <c r="JM94" i="25"/>
  <c r="JP94" i="25" s="1"/>
  <c r="IN94" i="25"/>
  <c r="IM94" i="25"/>
  <c r="IP94" i="25" s="1"/>
  <c r="HO94" i="25"/>
  <c r="GO94" i="25"/>
  <c r="HN94" i="25"/>
  <c r="GN94" i="25"/>
  <c r="SM94" i="25"/>
  <c r="SP94" i="25" s="1"/>
  <c r="IO94" i="25"/>
  <c r="HM94" i="25"/>
  <c r="HP94" i="25" s="1"/>
  <c r="GM94" i="25"/>
  <c r="GP94" i="25" s="1"/>
  <c r="KM79" i="25"/>
  <c r="KP79" i="25" s="1"/>
  <c r="JO79" i="25"/>
  <c r="KO79" i="25"/>
  <c r="JN79" i="25"/>
  <c r="KN79" i="25"/>
  <c r="JM79" i="25"/>
  <c r="JP79" i="25" s="1"/>
  <c r="IN79" i="25"/>
  <c r="IM79" i="25"/>
  <c r="IP79" i="25" s="1"/>
  <c r="HO79" i="25"/>
  <c r="GO79" i="25"/>
  <c r="HN79" i="25"/>
  <c r="GN79" i="25"/>
  <c r="IO79" i="25"/>
  <c r="HM79" i="25"/>
  <c r="HP79" i="25" s="1"/>
  <c r="GM79" i="25"/>
  <c r="GP79" i="25" s="1"/>
  <c r="SM79" i="25"/>
  <c r="SP79" i="25" s="1"/>
  <c r="KM63" i="25"/>
  <c r="KP63" i="25" s="1"/>
  <c r="JO63" i="25"/>
  <c r="KO63" i="25"/>
  <c r="JN63" i="25"/>
  <c r="KN63" i="25"/>
  <c r="JM63" i="25"/>
  <c r="JP63" i="25" s="1"/>
  <c r="IN63" i="25"/>
  <c r="IM63" i="25"/>
  <c r="HO63" i="25"/>
  <c r="GO63" i="25"/>
  <c r="HN63" i="25"/>
  <c r="GN63" i="25"/>
  <c r="IO63" i="25"/>
  <c r="HM63" i="25"/>
  <c r="HP63" i="25" s="1"/>
  <c r="GM63" i="25"/>
  <c r="GP63" i="25" s="1"/>
  <c r="SM63" i="25"/>
  <c r="SP63" i="25" s="1"/>
  <c r="KM80" i="25"/>
  <c r="KP80" i="25" s="1"/>
  <c r="JO80" i="25"/>
  <c r="KO80" i="25"/>
  <c r="JN80" i="25"/>
  <c r="KN80" i="25"/>
  <c r="JM80" i="25"/>
  <c r="JP80" i="25" s="1"/>
  <c r="IN80" i="25"/>
  <c r="SM80" i="25"/>
  <c r="SP80" i="25" s="1"/>
  <c r="IM80" i="25"/>
  <c r="IP80" i="25" s="1"/>
  <c r="HO80" i="25"/>
  <c r="GO80" i="25"/>
  <c r="HN80" i="25"/>
  <c r="GN80" i="25"/>
  <c r="IO80" i="25"/>
  <c r="HM80" i="25"/>
  <c r="HP80" i="25" s="1"/>
  <c r="GM80" i="25"/>
  <c r="GP80" i="25" s="1"/>
  <c r="KM64" i="25"/>
  <c r="KP64" i="25" s="1"/>
  <c r="JO64" i="25"/>
  <c r="KO64" i="25"/>
  <c r="JN64" i="25"/>
  <c r="KN64" i="25"/>
  <c r="JM64" i="25"/>
  <c r="JP64" i="25" s="1"/>
  <c r="IN64" i="25"/>
  <c r="SM64" i="25"/>
  <c r="SP64" i="25" s="1"/>
  <c r="IM64" i="25"/>
  <c r="HO64" i="25"/>
  <c r="GO64" i="25"/>
  <c r="HN64" i="25"/>
  <c r="GN64" i="25"/>
  <c r="IO64" i="25"/>
  <c r="HM64" i="25"/>
  <c r="HP64" i="25" s="1"/>
  <c r="GM64" i="25"/>
  <c r="GP64" i="25" s="1"/>
  <c r="KM81" i="25"/>
  <c r="KP81" i="25" s="1"/>
  <c r="JO81" i="25"/>
  <c r="KO81" i="25"/>
  <c r="JN81" i="25"/>
  <c r="KN81" i="25"/>
  <c r="JM81" i="25"/>
  <c r="JP81" i="25" s="1"/>
  <c r="IN81" i="25"/>
  <c r="IM81" i="25"/>
  <c r="IP81" i="25" s="1"/>
  <c r="HO81" i="25"/>
  <c r="GO81" i="25"/>
  <c r="SM81" i="25"/>
  <c r="SP81" i="25" s="1"/>
  <c r="HN81" i="25"/>
  <c r="GN81" i="25"/>
  <c r="IO81" i="25"/>
  <c r="HM81" i="25"/>
  <c r="HP81" i="25" s="1"/>
  <c r="GM81" i="25"/>
  <c r="GP81" i="25" s="1"/>
  <c r="KM65" i="25"/>
  <c r="KP65" i="25" s="1"/>
  <c r="JO65" i="25"/>
  <c r="KO65" i="25"/>
  <c r="JN65" i="25"/>
  <c r="KN65" i="25"/>
  <c r="JM65" i="25"/>
  <c r="JP65" i="25" s="1"/>
  <c r="IN65" i="25"/>
  <c r="IM65" i="25"/>
  <c r="HO65" i="25"/>
  <c r="GO65" i="25"/>
  <c r="SM65" i="25"/>
  <c r="SP65" i="25" s="1"/>
  <c r="HN65" i="25"/>
  <c r="GN65" i="25"/>
  <c r="IO65" i="25"/>
  <c r="HM65" i="25"/>
  <c r="HP65" i="25" s="1"/>
  <c r="GM65" i="25"/>
  <c r="GP65" i="25" s="1"/>
  <c r="KM82" i="25"/>
  <c r="KP82" i="25" s="1"/>
  <c r="JO82" i="25"/>
  <c r="KO82" i="25"/>
  <c r="JN82" i="25"/>
  <c r="KN82" i="25"/>
  <c r="JM82" i="25"/>
  <c r="JP82" i="25" s="1"/>
  <c r="IN82" i="25"/>
  <c r="IM82" i="25"/>
  <c r="IP82" i="25" s="1"/>
  <c r="HO82" i="25"/>
  <c r="GO82" i="25"/>
  <c r="HN82" i="25"/>
  <c r="GN82" i="25"/>
  <c r="SM82" i="25"/>
  <c r="SP82" i="25" s="1"/>
  <c r="IO82" i="25"/>
  <c r="HM82" i="25"/>
  <c r="HP82" i="25" s="1"/>
  <c r="GM82" i="25"/>
  <c r="GP82" i="25" s="1"/>
  <c r="KM66" i="25"/>
  <c r="KP66" i="25" s="1"/>
  <c r="JO66" i="25"/>
  <c r="KO66" i="25"/>
  <c r="JN66" i="25"/>
  <c r="KN66" i="25"/>
  <c r="JM66" i="25"/>
  <c r="JP66" i="25" s="1"/>
  <c r="IN66" i="25"/>
  <c r="IM66" i="25"/>
  <c r="HO66" i="25"/>
  <c r="GO66" i="25"/>
  <c r="HN66" i="25"/>
  <c r="GN66" i="25"/>
  <c r="SM66" i="25"/>
  <c r="SP66" i="25" s="1"/>
  <c r="IO66" i="25"/>
  <c r="HM66" i="25"/>
  <c r="HP66" i="25" s="1"/>
  <c r="GM66" i="25"/>
  <c r="GP66" i="25" s="1"/>
  <c r="KM110" i="25"/>
  <c r="JO110" i="25"/>
  <c r="KO110" i="25"/>
  <c r="JN110" i="25"/>
  <c r="KN110" i="25"/>
  <c r="JM110" i="25"/>
  <c r="IN110" i="25"/>
  <c r="IM110" i="25"/>
  <c r="HO110" i="25"/>
  <c r="GO110" i="25"/>
  <c r="HN110" i="25"/>
  <c r="GN110" i="25"/>
  <c r="SM110" i="25"/>
  <c r="IO110" i="25"/>
  <c r="HM110" i="25"/>
  <c r="GM110" i="25"/>
  <c r="KM101" i="25"/>
  <c r="KP101" i="25" s="1"/>
  <c r="JO101" i="25"/>
  <c r="KO101" i="25"/>
  <c r="JN101" i="25"/>
  <c r="KN101" i="25"/>
  <c r="JM101" i="25"/>
  <c r="JP101" i="25" s="1"/>
  <c r="IN101" i="25"/>
  <c r="IM101" i="25"/>
  <c r="IP101" i="25" s="1"/>
  <c r="HO101" i="25"/>
  <c r="GO101" i="25"/>
  <c r="SM101" i="25"/>
  <c r="SP101" i="25" s="1"/>
  <c r="HN101" i="25"/>
  <c r="GN101" i="25"/>
  <c r="IO101" i="25"/>
  <c r="HM101" i="25"/>
  <c r="HP101" i="25" s="1"/>
  <c r="GM101" i="25"/>
  <c r="GP101" i="25" s="1"/>
  <c r="NA101" i="25"/>
  <c r="NE101" i="25" s="1"/>
  <c r="OI101" i="25"/>
  <c r="II101" i="25"/>
  <c r="IC101" i="25"/>
  <c r="JI101" i="25"/>
  <c r="LT101" i="25"/>
  <c r="NI101" i="25"/>
  <c r="RC101" i="25"/>
  <c r="RD101" i="25"/>
  <c r="RI101" i="25"/>
  <c r="FI101" i="25"/>
  <c r="JD101" i="25"/>
  <c r="JC101" i="25"/>
  <c r="KT101" i="25"/>
  <c r="MA101" i="25"/>
  <c r="LI101" i="25"/>
  <c r="ME101" i="25"/>
  <c r="LC101" i="25"/>
  <c r="MT101" i="25"/>
  <c r="PT101" i="25"/>
  <c r="OA101" i="25"/>
  <c r="OT101" i="25"/>
  <c r="PC101" i="25"/>
  <c r="RT101" i="25"/>
  <c r="QI101" i="25"/>
  <c r="SE101" i="25"/>
  <c r="IE101" i="25"/>
  <c r="JE101" i="25"/>
  <c r="JT101" i="25"/>
  <c r="KI101" i="25"/>
  <c r="MI101" i="25"/>
  <c r="MC101" i="25"/>
  <c r="PI101" i="25"/>
  <c r="PD101" i="25"/>
  <c r="RE101" i="25"/>
  <c r="CG105" i="25"/>
  <c r="CE105" i="25"/>
  <c r="OO83" i="25"/>
  <c r="ON83" i="25"/>
  <c r="OM83" i="25"/>
  <c r="OP83" i="25" s="1"/>
  <c r="OO67" i="25"/>
  <c r="OM67" i="25"/>
  <c r="OP67" i="25" s="1"/>
  <c r="ON67" i="25"/>
  <c r="OO84" i="25"/>
  <c r="ON84" i="25"/>
  <c r="OM84" i="25"/>
  <c r="OP84" i="25" s="1"/>
  <c r="OO68" i="25"/>
  <c r="OM68" i="25"/>
  <c r="OP68" i="25" s="1"/>
  <c r="ON68" i="25"/>
  <c r="OM85" i="25"/>
  <c r="OP85" i="25" s="1"/>
  <c r="OO85" i="25"/>
  <c r="ON85" i="25"/>
  <c r="OM69" i="25"/>
  <c r="OP69" i="25" s="1"/>
  <c r="OO69" i="25"/>
  <c r="ON69" i="25"/>
  <c r="ON86" i="25"/>
  <c r="OM86" i="25"/>
  <c r="OP86" i="25" s="1"/>
  <c r="OO86" i="25"/>
  <c r="ON70" i="25"/>
  <c r="OM70" i="25"/>
  <c r="OP70" i="25" s="1"/>
  <c r="OO70" i="25"/>
  <c r="ON114" i="25"/>
  <c r="OM114" i="25"/>
  <c r="OO114" i="25"/>
  <c r="OM113" i="25"/>
  <c r="ON113" i="25"/>
  <c r="OO113" i="25"/>
  <c r="OM97" i="25"/>
  <c r="OP97" i="25" s="1"/>
  <c r="OO97" i="25"/>
  <c r="ON97" i="25"/>
  <c r="OM117" i="25"/>
  <c r="OO117" i="25"/>
  <c r="ON117" i="25"/>
  <c r="OO87" i="25"/>
  <c r="ON87" i="25"/>
  <c r="OM87" i="25"/>
  <c r="OP87" i="25" s="1"/>
  <c r="OO71" i="25"/>
  <c r="OM71" i="25"/>
  <c r="OP71" i="25" s="1"/>
  <c r="ON71" i="25"/>
  <c r="OO88" i="25"/>
  <c r="OM88" i="25"/>
  <c r="OP88" i="25" s="1"/>
  <c r="ON88" i="25"/>
  <c r="OO72" i="25"/>
  <c r="ON72" i="25"/>
  <c r="OM72" i="25"/>
  <c r="OP72" i="25" s="1"/>
  <c r="OO56" i="25"/>
  <c r="OM56" i="25"/>
  <c r="OP56" i="25" s="1"/>
  <c r="ON56" i="25"/>
  <c r="OM73" i="25"/>
  <c r="OP73" i="25" s="1"/>
  <c r="ON73" i="25"/>
  <c r="OO73" i="25"/>
  <c r="OM57" i="25"/>
  <c r="OP57" i="25" s="1"/>
  <c r="OO57" i="25"/>
  <c r="ON57" i="25"/>
  <c r="ON74" i="25"/>
  <c r="OM74" i="25"/>
  <c r="OP74" i="25" s="1"/>
  <c r="OO74" i="25"/>
  <c r="ON58" i="25"/>
  <c r="OM58" i="25"/>
  <c r="OP58" i="25" s="1"/>
  <c r="OO58" i="25"/>
  <c r="ON110" i="25"/>
  <c r="OM110" i="25"/>
  <c r="OO110" i="25"/>
  <c r="OM109" i="25"/>
  <c r="OO109" i="25"/>
  <c r="ON109" i="25"/>
  <c r="OM93" i="25"/>
  <c r="OP93" i="25" s="1"/>
  <c r="OO93" i="25"/>
  <c r="ON93" i="25"/>
  <c r="OO75" i="25"/>
  <c r="ON75" i="25"/>
  <c r="OM75" i="25"/>
  <c r="OP75" i="25" s="1"/>
  <c r="OO59" i="25"/>
  <c r="ON59" i="25"/>
  <c r="OM59" i="25"/>
  <c r="OP59" i="25" s="1"/>
  <c r="ON76" i="25"/>
  <c r="OO76" i="25"/>
  <c r="OM76" i="25"/>
  <c r="OP76" i="25" s="1"/>
  <c r="OO60" i="25"/>
  <c r="ON60" i="25"/>
  <c r="OM60" i="25"/>
  <c r="OP60" i="25" s="1"/>
  <c r="OM77" i="25"/>
  <c r="OP77" i="25" s="1"/>
  <c r="ON77" i="25"/>
  <c r="OO77" i="25"/>
  <c r="OM61" i="25"/>
  <c r="OP61" i="25" s="1"/>
  <c r="OO61" i="25"/>
  <c r="ON61" i="25"/>
  <c r="ON78" i="25"/>
  <c r="OM78" i="25"/>
  <c r="OP78" i="25" s="1"/>
  <c r="OO78" i="25"/>
  <c r="ON62" i="25"/>
  <c r="OM62" i="25"/>
  <c r="OP62" i="25" s="1"/>
  <c r="OO62" i="25"/>
  <c r="ON106" i="25"/>
  <c r="OM106" i="25"/>
  <c r="OO106" i="25"/>
  <c r="OM105" i="25"/>
  <c r="OO105" i="25"/>
  <c r="ON105" i="25"/>
  <c r="OM89" i="25"/>
  <c r="OP89" i="25" s="1"/>
  <c r="OO89" i="25"/>
  <c r="ON89" i="25"/>
  <c r="ON94" i="25"/>
  <c r="OM94" i="25"/>
  <c r="OP94" i="25" s="1"/>
  <c r="OO94" i="25"/>
  <c r="OO79" i="25"/>
  <c r="ON79" i="25"/>
  <c r="OM79" i="25"/>
  <c r="OP79" i="25" s="1"/>
  <c r="OO63" i="25"/>
  <c r="ON63" i="25"/>
  <c r="OM63" i="25"/>
  <c r="OP63" i="25" s="1"/>
  <c r="ON80" i="25"/>
  <c r="OO80" i="25"/>
  <c r="OM80" i="25"/>
  <c r="OP80" i="25" s="1"/>
  <c r="OO64" i="25"/>
  <c r="ON64" i="25"/>
  <c r="OM64" i="25"/>
  <c r="OP64" i="25" s="1"/>
  <c r="OM81" i="25"/>
  <c r="OP81" i="25" s="1"/>
  <c r="OO81" i="25"/>
  <c r="ON81" i="25"/>
  <c r="OM65" i="25"/>
  <c r="OP65" i="25" s="1"/>
  <c r="OO65" i="25"/>
  <c r="ON65" i="25"/>
  <c r="ON82" i="25"/>
  <c r="OM82" i="25"/>
  <c r="OP82" i="25" s="1"/>
  <c r="OO82" i="25"/>
  <c r="ON66" i="25"/>
  <c r="OM66" i="25"/>
  <c r="OP66" i="25" s="1"/>
  <c r="OO66" i="25"/>
  <c r="ON118" i="25"/>
  <c r="OM118" i="25"/>
  <c r="OO118" i="25"/>
  <c r="ON102" i="25"/>
  <c r="OM102" i="25"/>
  <c r="OP102" i="25" s="1"/>
  <c r="OO102" i="25"/>
  <c r="OM101" i="25"/>
  <c r="OP101" i="25" s="1"/>
  <c r="OO101" i="25"/>
  <c r="ON101" i="25"/>
  <c r="AR113" i="25"/>
  <c r="AR117" i="25"/>
  <c r="AO105" i="25"/>
  <c r="Z105" i="19" s="1"/>
  <c r="CG113" i="25"/>
  <c r="CD117" i="25"/>
  <c r="CE113" i="25"/>
  <c r="LN110" i="25"/>
  <c r="LM110" i="25"/>
  <c r="LO110" i="25"/>
  <c r="LM105" i="25"/>
  <c r="LO105" i="25"/>
  <c r="LN105" i="25"/>
  <c r="LM89" i="25"/>
  <c r="LP89" i="25" s="1"/>
  <c r="LO89" i="25"/>
  <c r="LN89" i="25"/>
  <c r="LN94" i="25"/>
  <c r="LM94" i="25"/>
  <c r="LP94" i="25" s="1"/>
  <c r="LO94" i="25"/>
  <c r="LO83" i="25"/>
  <c r="LN83" i="25"/>
  <c r="LM83" i="25"/>
  <c r="LP83" i="25" s="1"/>
  <c r="LO84" i="25"/>
  <c r="LN84" i="25"/>
  <c r="LM84" i="25"/>
  <c r="LP84" i="25" s="1"/>
  <c r="LM69" i="25"/>
  <c r="LP69" i="25" s="1"/>
  <c r="LO69" i="25"/>
  <c r="LN69" i="25"/>
  <c r="LO87" i="25"/>
  <c r="LN87" i="25"/>
  <c r="LM87" i="25"/>
  <c r="LP87" i="25" s="1"/>
  <c r="LO71" i="25"/>
  <c r="LN71" i="25"/>
  <c r="LM71" i="25"/>
  <c r="LP71" i="25" s="1"/>
  <c r="LO88" i="25"/>
  <c r="LN88" i="25"/>
  <c r="LM88" i="25"/>
  <c r="LP88" i="25" s="1"/>
  <c r="LO72" i="25"/>
  <c r="LN72" i="25"/>
  <c r="LM72" i="25"/>
  <c r="LP72" i="25" s="1"/>
  <c r="LO56" i="25"/>
  <c r="LN56" i="25"/>
  <c r="LM56" i="25"/>
  <c r="LP56" i="25" s="1"/>
  <c r="LM73" i="25"/>
  <c r="LP73" i="25" s="1"/>
  <c r="LO73" i="25"/>
  <c r="LN73" i="25"/>
  <c r="LM57" i="25"/>
  <c r="LP57" i="25" s="1"/>
  <c r="LO57" i="25"/>
  <c r="LN57" i="25"/>
  <c r="LN74" i="25"/>
  <c r="LM74" i="25"/>
  <c r="LP74" i="25" s="1"/>
  <c r="LO74" i="25"/>
  <c r="LN58" i="25"/>
  <c r="LM58" i="25"/>
  <c r="LP58" i="25" s="1"/>
  <c r="LO58" i="25"/>
  <c r="LN106" i="25"/>
  <c r="LM106" i="25"/>
  <c r="LO106" i="25"/>
  <c r="LM101" i="25"/>
  <c r="LP101" i="25" s="1"/>
  <c r="CF101" i="25" s="1"/>
  <c r="LO101" i="25"/>
  <c r="LN101" i="25"/>
  <c r="LN70" i="25"/>
  <c r="LM70" i="25"/>
  <c r="LP70" i="25" s="1"/>
  <c r="LO70" i="25"/>
  <c r="LO75" i="25"/>
  <c r="LN75" i="25"/>
  <c r="LM75" i="25"/>
  <c r="LP75" i="25" s="1"/>
  <c r="LO59" i="25"/>
  <c r="LN59" i="25"/>
  <c r="LM59" i="25"/>
  <c r="LP59" i="25" s="1"/>
  <c r="LO76" i="25"/>
  <c r="LN76" i="25"/>
  <c r="LM76" i="25"/>
  <c r="LP76" i="25" s="1"/>
  <c r="LO60" i="25"/>
  <c r="LN60" i="25"/>
  <c r="LM60" i="25"/>
  <c r="LP60" i="25" s="1"/>
  <c r="LM77" i="25"/>
  <c r="LP77" i="25" s="1"/>
  <c r="LO77" i="25"/>
  <c r="LN77" i="25"/>
  <c r="LM61" i="25"/>
  <c r="LP61" i="25" s="1"/>
  <c r="LO61" i="25"/>
  <c r="LN61" i="25"/>
  <c r="LN78" i="25"/>
  <c r="LM78" i="25"/>
  <c r="LP78" i="25" s="1"/>
  <c r="LO78" i="25"/>
  <c r="LN62" i="25"/>
  <c r="LM62" i="25"/>
  <c r="LP62" i="25" s="1"/>
  <c r="LO62" i="25"/>
  <c r="LN118" i="25"/>
  <c r="LM118" i="25"/>
  <c r="LO118" i="25"/>
  <c r="LN102" i="25"/>
  <c r="LM102" i="25"/>
  <c r="LP102" i="25" s="1"/>
  <c r="LO102" i="25"/>
  <c r="LM113" i="25"/>
  <c r="LO113" i="25"/>
  <c r="LN113" i="25"/>
  <c r="LM97" i="25"/>
  <c r="LP97" i="25" s="1"/>
  <c r="LO97" i="25"/>
  <c r="LN97" i="25"/>
  <c r="LM117" i="25"/>
  <c r="LO117" i="25"/>
  <c r="LN117" i="25"/>
  <c r="LO67" i="25"/>
  <c r="LN67" i="25"/>
  <c r="LM67" i="25"/>
  <c r="LP67" i="25" s="1"/>
  <c r="LO68" i="25"/>
  <c r="LN68" i="25"/>
  <c r="LM68" i="25"/>
  <c r="LP68" i="25" s="1"/>
  <c r="LM85" i="25"/>
  <c r="LP85" i="25" s="1"/>
  <c r="LO85" i="25"/>
  <c r="LN85" i="25"/>
  <c r="LN86" i="25"/>
  <c r="LM86" i="25"/>
  <c r="LP86" i="25" s="1"/>
  <c r="LO86" i="25"/>
  <c r="LO79" i="25"/>
  <c r="LN79" i="25"/>
  <c r="LM79" i="25"/>
  <c r="LP79" i="25" s="1"/>
  <c r="LO63" i="25"/>
  <c r="LN63" i="25"/>
  <c r="LM63" i="25"/>
  <c r="LP63" i="25" s="1"/>
  <c r="LO80" i="25"/>
  <c r="LN80" i="25"/>
  <c r="LM80" i="25"/>
  <c r="LP80" i="25" s="1"/>
  <c r="LO64" i="25"/>
  <c r="LN64" i="25"/>
  <c r="LM64" i="25"/>
  <c r="LP64" i="25" s="1"/>
  <c r="LM81" i="25"/>
  <c r="LP81" i="25" s="1"/>
  <c r="LO81" i="25"/>
  <c r="LN81" i="25"/>
  <c r="LM65" i="25"/>
  <c r="LP65" i="25" s="1"/>
  <c r="LO65" i="25"/>
  <c r="LN65" i="25"/>
  <c r="LN82" i="25"/>
  <c r="LM82" i="25"/>
  <c r="LP82" i="25" s="1"/>
  <c r="LO82" i="25"/>
  <c r="LN66" i="25"/>
  <c r="LM66" i="25"/>
  <c r="LP66" i="25" s="1"/>
  <c r="LO66" i="25"/>
  <c r="LN114" i="25"/>
  <c r="LM114" i="25"/>
  <c r="LO114" i="25"/>
  <c r="LM109" i="25"/>
  <c r="LO109" i="25"/>
  <c r="LN109" i="25"/>
  <c r="LM93" i="25"/>
  <c r="LP93" i="25" s="1"/>
  <c r="LO93" i="25"/>
  <c r="LN93" i="25"/>
  <c r="AR105" i="25"/>
  <c r="L105" i="25"/>
  <c r="BB105" i="25"/>
  <c r="BA105" i="25"/>
  <c r="AY105" i="25"/>
  <c r="ES87" i="25"/>
  <c r="ER87" i="25"/>
  <c r="EQ87" i="25"/>
  <c r="ES71" i="25"/>
  <c r="ER71" i="25"/>
  <c r="EQ71" i="25"/>
  <c r="ES88" i="25"/>
  <c r="ER88" i="25"/>
  <c r="EQ88" i="25"/>
  <c r="ES72" i="25"/>
  <c r="ER72" i="25"/>
  <c r="EQ72" i="25"/>
  <c r="ES56" i="25"/>
  <c r="ER56" i="25"/>
  <c r="EQ56" i="25"/>
  <c r="EQ73" i="25"/>
  <c r="ES73" i="25"/>
  <c r="ER73" i="25"/>
  <c r="EQ57" i="25"/>
  <c r="ES57" i="25"/>
  <c r="ER57" i="25"/>
  <c r="ER74" i="25"/>
  <c r="EQ74" i="25"/>
  <c r="ES74" i="25"/>
  <c r="ER58" i="25"/>
  <c r="EQ58" i="25"/>
  <c r="ES58" i="25"/>
  <c r="ER106" i="25"/>
  <c r="EQ106" i="25"/>
  <c r="ES106" i="25"/>
  <c r="EQ105" i="25"/>
  <c r="ES105" i="25"/>
  <c r="ER105" i="25"/>
  <c r="EQ89" i="25"/>
  <c r="ES89" i="25"/>
  <c r="ER89" i="25"/>
  <c r="ER94" i="25"/>
  <c r="EQ94" i="25"/>
  <c r="ES94" i="25"/>
  <c r="ES75" i="25"/>
  <c r="ER75" i="25"/>
  <c r="EQ75" i="25"/>
  <c r="ES59" i="25"/>
  <c r="ER59" i="25"/>
  <c r="EQ59" i="25"/>
  <c r="ES76" i="25"/>
  <c r="ER76" i="25"/>
  <c r="EQ76" i="25"/>
  <c r="ES60" i="25"/>
  <c r="ER60" i="25"/>
  <c r="EQ60" i="25"/>
  <c r="EQ77" i="25"/>
  <c r="ES77" i="25"/>
  <c r="ER77" i="25"/>
  <c r="EQ61" i="25"/>
  <c r="ES61" i="25"/>
  <c r="ER61" i="25"/>
  <c r="ER78" i="25"/>
  <c r="EQ78" i="25"/>
  <c r="ES78" i="25"/>
  <c r="ER62" i="25"/>
  <c r="EQ62" i="25"/>
  <c r="ES62" i="25"/>
  <c r="ER118" i="25"/>
  <c r="EQ118" i="25"/>
  <c r="ES118" i="25"/>
  <c r="ER102" i="25"/>
  <c r="EQ102" i="25"/>
  <c r="ES102" i="25"/>
  <c r="EQ101" i="25"/>
  <c r="ES101" i="25"/>
  <c r="ER101" i="25"/>
  <c r="ES79" i="25"/>
  <c r="ER79" i="25"/>
  <c r="EQ79" i="25"/>
  <c r="ES63" i="25"/>
  <c r="ER63" i="25"/>
  <c r="EQ63" i="25"/>
  <c r="ES80" i="25"/>
  <c r="ER80" i="25"/>
  <c r="EQ80" i="25"/>
  <c r="ES64" i="25"/>
  <c r="ER64" i="25"/>
  <c r="EQ64" i="25"/>
  <c r="EQ81" i="25"/>
  <c r="ES81" i="25"/>
  <c r="ER81" i="25"/>
  <c r="EQ65" i="25"/>
  <c r="ES65" i="25"/>
  <c r="ER65" i="25"/>
  <c r="ER82" i="25"/>
  <c r="EQ82" i="25"/>
  <c r="ES82" i="25"/>
  <c r="ER66" i="25"/>
  <c r="EQ66" i="25"/>
  <c r="ES66" i="25"/>
  <c r="ER114" i="25"/>
  <c r="EQ114" i="25"/>
  <c r="ES114" i="25"/>
  <c r="EQ113" i="25"/>
  <c r="ES113" i="25"/>
  <c r="ER113" i="25"/>
  <c r="EQ97" i="25"/>
  <c r="ES97" i="25"/>
  <c r="ER97" i="25"/>
  <c r="EQ117" i="25"/>
  <c r="ES117" i="25"/>
  <c r="ER117" i="25"/>
  <c r="ES83" i="25"/>
  <c r="ER83" i="25"/>
  <c r="EQ83" i="25"/>
  <c r="ES67" i="25"/>
  <c r="ER67" i="25"/>
  <c r="EQ67" i="25"/>
  <c r="ES84" i="25"/>
  <c r="ER84" i="25"/>
  <c r="EQ84" i="25"/>
  <c r="ES68" i="25"/>
  <c r="ER68" i="25"/>
  <c r="EQ68" i="25"/>
  <c r="EQ85" i="25"/>
  <c r="ES85" i="25"/>
  <c r="ER85" i="25"/>
  <c r="EQ69" i="25"/>
  <c r="ES69" i="25"/>
  <c r="ER69" i="25"/>
  <c r="ER86" i="25"/>
  <c r="EQ86" i="25"/>
  <c r="ES86" i="25"/>
  <c r="ER70" i="25"/>
  <c r="EQ70" i="25"/>
  <c r="ES70" i="25"/>
  <c r="ER110" i="25"/>
  <c r="EQ110" i="25"/>
  <c r="ES110" i="25"/>
  <c r="EQ109" i="25"/>
  <c r="ES109" i="25"/>
  <c r="ER109" i="25"/>
  <c r="EQ93" i="25"/>
  <c r="ES93" i="25"/>
  <c r="ER93" i="25"/>
  <c r="ED75" i="25"/>
  <c r="I90" i="42" s="1"/>
  <c r="EA75" i="25"/>
  <c r="ED76" i="25"/>
  <c r="EA76" i="25"/>
  <c r="ED77" i="25"/>
  <c r="I92" i="42" s="1"/>
  <c r="EA77" i="25"/>
  <c r="ED78" i="25"/>
  <c r="EA78" i="25"/>
  <c r="ED102" i="25"/>
  <c r="I117" i="42" s="1"/>
  <c r="EA102" i="25"/>
  <c r="ED79" i="25"/>
  <c r="I94" i="42" s="1"/>
  <c r="EA79" i="25"/>
  <c r="ED64" i="25"/>
  <c r="I79" i="42" s="1"/>
  <c r="EA64" i="25"/>
  <c r="ED81" i="25"/>
  <c r="EA81" i="25"/>
  <c r="ED82" i="25"/>
  <c r="I97" i="42" s="1"/>
  <c r="EA82" i="25"/>
  <c r="ED87" i="25"/>
  <c r="I102" i="42" s="1"/>
  <c r="EA87" i="25"/>
  <c r="ED71" i="25"/>
  <c r="I86" i="42" s="1"/>
  <c r="EA71" i="25"/>
  <c r="ED88" i="25"/>
  <c r="I103" i="42" s="1"/>
  <c r="EA88" i="25"/>
  <c r="ED72" i="25"/>
  <c r="EA72" i="25"/>
  <c r="ED56" i="25"/>
  <c r="EA56" i="25"/>
  <c r="ED73" i="25"/>
  <c r="I88" i="42" s="1"/>
  <c r="EA73" i="25"/>
  <c r="ED57" i="25"/>
  <c r="EA57" i="25"/>
  <c r="ED74" i="25"/>
  <c r="I89" i="42" s="1"/>
  <c r="EA74" i="25"/>
  <c r="ED58" i="25"/>
  <c r="EA58" i="25"/>
  <c r="EA106" i="25"/>
  <c r="EA105" i="25"/>
  <c r="EA89" i="25"/>
  <c r="EX94" i="25"/>
  <c r="EA94" i="25"/>
  <c r="EG101" i="25"/>
  <c r="EA101" i="25"/>
  <c r="EA113" i="25"/>
  <c r="EC97" i="25"/>
  <c r="EA97" i="25"/>
  <c r="EA117" i="25"/>
  <c r="ED59" i="25"/>
  <c r="EA59" i="25"/>
  <c r="ED60" i="25"/>
  <c r="EA60" i="25"/>
  <c r="ED61" i="25"/>
  <c r="EA61" i="25"/>
  <c r="ED62" i="25"/>
  <c r="EA62" i="25"/>
  <c r="EA118" i="25"/>
  <c r="ED63" i="25"/>
  <c r="I78" i="42" s="1"/>
  <c r="EA63" i="25"/>
  <c r="ED80" i="25"/>
  <c r="EA80" i="25"/>
  <c r="ED65" i="25"/>
  <c r="I80" i="42" s="1"/>
  <c r="EA65" i="25"/>
  <c r="ED66" i="25"/>
  <c r="I81" i="42" s="1"/>
  <c r="EA66" i="25"/>
  <c r="EA114" i="25"/>
  <c r="ED83" i="25"/>
  <c r="EA83" i="25"/>
  <c r="ED67" i="25"/>
  <c r="I82" i="42" s="1"/>
  <c r="EA67" i="25"/>
  <c r="ED84" i="25"/>
  <c r="EA84" i="25"/>
  <c r="ED68" i="25"/>
  <c r="I83" i="42" s="1"/>
  <c r="EA68" i="25"/>
  <c r="ED85" i="25"/>
  <c r="I100" i="42" s="1"/>
  <c r="EA85" i="25"/>
  <c r="ED69" i="25"/>
  <c r="EA69" i="25"/>
  <c r="ED86" i="25"/>
  <c r="I101" i="42" s="1"/>
  <c r="EA86" i="25"/>
  <c r="ED70" i="25"/>
  <c r="EA70" i="25"/>
  <c r="EA110" i="25"/>
  <c r="EA109" i="25"/>
  <c r="EC93" i="25"/>
  <c r="EA93" i="25"/>
  <c r="DL87" i="25"/>
  <c r="AA87" i="19"/>
  <c r="DD87" i="25"/>
  <c r="DL71" i="25"/>
  <c r="AA71" i="19"/>
  <c r="AA88" i="19"/>
  <c r="DD88" i="25"/>
  <c r="DL88" i="25"/>
  <c r="AA72" i="19"/>
  <c r="DL72" i="25"/>
  <c r="AA56" i="19"/>
  <c r="DL56" i="25"/>
  <c r="DL73" i="25"/>
  <c r="AA73" i="19"/>
  <c r="DL57" i="25"/>
  <c r="AA57" i="19"/>
  <c r="AA74" i="19"/>
  <c r="DL74" i="25"/>
  <c r="AA58" i="19"/>
  <c r="DL58" i="25"/>
  <c r="DK106" i="25"/>
  <c r="DL106" i="25"/>
  <c r="DD106" i="25"/>
  <c r="DK105" i="25"/>
  <c r="DL105" i="25"/>
  <c r="DD105" i="25"/>
  <c r="DL89" i="25"/>
  <c r="DD89" i="25"/>
  <c r="DL94" i="25"/>
  <c r="DD94" i="25"/>
  <c r="DL75" i="25"/>
  <c r="AA75" i="19"/>
  <c r="DD75" i="25"/>
  <c r="AA76" i="19"/>
  <c r="DD76" i="25"/>
  <c r="DL76" i="25"/>
  <c r="DL77" i="25"/>
  <c r="AA77" i="19"/>
  <c r="DD77" i="25"/>
  <c r="AA78" i="19"/>
  <c r="DL78" i="25"/>
  <c r="DD78" i="25"/>
  <c r="AA62" i="19"/>
  <c r="DL62" i="25"/>
  <c r="DK118" i="25"/>
  <c r="DL118" i="25"/>
  <c r="DD118" i="25"/>
  <c r="AA102" i="19"/>
  <c r="DL102" i="25"/>
  <c r="DD102" i="25"/>
  <c r="DL101" i="25"/>
  <c r="DD101" i="25"/>
  <c r="DL59" i="25"/>
  <c r="AA59" i="19"/>
  <c r="DL79" i="25"/>
  <c r="AA79" i="19"/>
  <c r="DD79" i="25"/>
  <c r="DL63" i="25"/>
  <c r="AA63" i="19"/>
  <c r="AA80" i="19"/>
  <c r="DD80" i="25"/>
  <c r="DL80" i="25"/>
  <c r="AA64" i="19"/>
  <c r="DL64" i="25"/>
  <c r="DL81" i="25"/>
  <c r="AA81" i="19"/>
  <c r="DD81" i="25"/>
  <c r="DL65" i="25"/>
  <c r="AA65" i="19"/>
  <c r="AA82" i="19"/>
  <c r="DL82" i="25"/>
  <c r="DD82" i="25"/>
  <c r="AA66" i="19"/>
  <c r="DL66" i="25"/>
  <c r="DK114" i="25"/>
  <c r="DL114" i="25"/>
  <c r="DD114" i="25"/>
  <c r="AZ113" i="25"/>
  <c r="DK113" i="25"/>
  <c r="DL113" i="25"/>
  <c r="DD113" i="25"/>
  <c r="DL97" i="25"/>
  <c r="AA97" i="19"/>
  <c r="DD97" i="25"/>
  <c r="DK117" i="25"/>
  <c r="DL117" i="25"/>
  <c r="DD117" i="25"/>
  <c r="AA60" i="19"/>
  <c r="DL60" i="25"/>
  <c r="DL61" i="25"/>
  <c r="AA61" i="19"/>
  <c r="DL83" i="25"/>
  <c r="AA83" i="19"/>
  <c r="DD83" i="25"/>
  <c r="DL67" i="25"/>
  <c r="AA67" i="19"/>
  <c r="AA84" i="19"/>
  <c r="DD84" i="25"/>
  <c r="DL84" i="25"/>
  <c r="AA68" i="19"/>
  <c r="DL68" i="25"/>
  <c r="DL85" i="25"/>
  <c r="AA85" i="19"/>
  <c r="DD85" i="25"/>
  <c r="DL69" i="25"/>
  <c r="AA69" i="19"/>
  <c r="AA86" i="19"/>
  <c r="DL86" i="25"/>
  <c r="DD86" i="25"/>
  <c r="AA70" i="19"/>
  <c r="DL70" i="25"/>
  <c r="DK110" i="25"/>
  <c r="DL110" i="25"/>
  <c r="DD110" i="25"/>
  <c r="BA109" i="25"/>
  <c r="DK109" i="25"/>
  <c r="DL109" i="25"/>
  <c r="DD109" i="25"/>
  <c r="DL93" i="25"/>
  <c r="DF93" i="25"/>
  <c r="DD93" i="25"/>
  <c r="BA117" i="25"/>
  <c r="AY117" i="25"/>
  <c r="AO113" i="25"/>
  <c r="Z113" i="19" s="1"/>
  <c r="CG117" i="25"/>
  <c r="BB117" i="25"/>
  <c r="CE117" i="25"/>
  <c r="CD113" i="25"/>
  <c r="AO117" i="25"/>
  <c r="Z117" i="19" s="1"/>
  <c r="CI117" i="25"/>
  <c r="CF117" i="25"/>
  <c r="CH117" i="25"/>
  <c r="CI113" i="25"/>
  <c r="CF113" i="25"/>
  <c r="CH113" i="25"/>
  <c r="CI105" i="25"/>
  <c r="CF105" i="25"/>
  <c r="CH105" i="25"/>
  <c r="AW117" i="25"/>
  <c r="AX117" i="25"/>
  <c r="X117" i="19"/>
  <c r="AU117" i="25"/>
  <c r="AZ117" i="25"/>
  <c r="X113" i="19"/>
  <c r="AW105" i="25"/>
  <c r="AX105" i="25"/>
  <c r="X105" i="19"/>
  <c r="AU105" i="25"/>
  <c r="AZ105" i="25"/>
  <c r="HI83" i="25"/>
  <c r="HT83" i="25"/>
  <c r="GI83" i="25"/>
  <c r="GT83" i="25"/>
  <c r="FG83" i="25"/>
  <c r="HA83" i="25"/>
  <c r="GD83" i="25"/>
  <c r="GA83" i="25"/>
  <c r="FA83" i="25"/>
  <c r="EL83" i="25"/>
  <c r="HI67" i="25"/>
  <c r="HT67" i="25"/>
  <c r="GI67" i="25"/>
  <c r="GG67" i="25"/>
  <c r="GU67" i="25" s="1"/>
  <c r="FG67" i="25"/>
  <c r="HA67" i="25"/>
  <c r="GD67" i="25"/>
  <c r="GA67" i="25"/>
  <c r="FA67" i="25"/>
  <c r="EL67" i="25"/>
  <c r="HI84" i="25"/>
  <c r="HT84" i="25"/>
  <c r="GI84" i="25"/>
  <c r="GT84" i="25"/>
  <c r="FT84" i="25"/>
  <c r="EL84" i="25"/>
  <c r="HA84" i="25"/>
  <c r="GD84" i="25"/>
  <c r="GA84" i="25"/>
  <c r="FA84" i="25"/>
  <c r="HI68" i="25"/>
  <c r="HT68" i="25"/>
  <c r="GI68" i="25"/>
  <c r="GG68" i="25"/>
  <c r="GU68" i="25" s="1"/>
  <c r="FG68" i="25"/>
  <c r="EX68" i="25"/>
  <c r="AH68" i="25" s="1"/>
  <c r="EL68" i="25"/>
  <c r="HA68" i="25"/>
  <c r="GD68" i="25"/>
  <c r="GA68" i="25"/>
  <c r="FA68" i="25"/>
  <c r="HI85" i="25"/>
  <c r="HT85" i="25"/>
  <c r="GI85" i="25"/>
  <c r="GT85" i="25"/>
  <c r="FT85" i="25"/>
  <c r="HA85" i="25"/>
  <c r="GD85" i="25"/>
  <c r="GA85" i="25"/>
  <c r="FG85" i="25"/>
  <c r="FA85" i="25"/>
  <c r="EL85" i="25"/>
  <c r="HI69" i="25"/>
  <c r="HT69" i="25"/>
  <c r="GI69" i="25"/>
  <c r="FG69" i="25"/>
  <c r="HA69" i="25"/>
  <c r="GD69" i="25"/>
  <c r="GA69" i="25"/>
  <c r="FT69" i="25"/>
  <c r="FA69" i="25"/>
  <c r="EL69" i="25"/>
  <c r="HI86" i="25"/>
  <c r="HT86" i="25"/>
  <c r="GI86" i="25"/>
  <c r="GT86" i="25"/>
  <c r="FT86" i="25"/>
  <c r="EL86" i="25"/>
  <c r="HA86" i="25"/>
  <c r="GD86" i="25"/>
  <c r="GA86" i="25"/>
  <c r="FA86" i="25"/>
  <c r="HI70" i="25"/>
  <c r="HT70" i="25"/>
  <c r="GI70" i="25"/>
  <c r="EX70" i="25"/>
  <c r="AH70" i="25" s="1"/>
  <c r="EL70" i="25"/>
  <c r="HA70" i="25"/>
  <c r="GD70" i="25"/>
  <c r="GA70" i="25"/>
  <c r="FA70" i="25"/>
  <c r="SH118" i="25"/>
  <c r="RH118" i="25"/>
  <c r="QH118" i="25"/>
  <c r="PH118" i="25"/>
  <c r="NH118" i="25"/>
  <c r="LH118" i="25"/>
  <c r="KH118" i="25"/>
  <c r="IH118" i="25"/>
  <c r="HS118" i="25"/>
  <c r="OH118" i="25"/>
  <c r="MH118" i="25"/>
  <c r="JH118" i="25"/>
  <c r="HR118" i="25"/>
  <c r="HI118" i="25"/>
  <c r="HK118" i="25"/>
  <c r="HT118" i="25"/>
  <c r="GI118" i="25"/>
  <c r="GK118" i="25"/>
  <c r="GR118" i="25"/>
  <c r="GT118" i="25"/>
  <c r="GG118" i="25"/>
  <c r="FR118" i="25"/>
  <c r="FT118" i="25"/>
  <c r="FH118" i="25"/>
  <c r="EV118" i="25"/>
  <c r="EX118" i="25"/>
  <c r="EL118" i="25"/>
  <c r="HF118" i="25"/>
  <c r="HH118" i="25"/>
  <c r="HJ118" i="25"/>
  <c r="HQ118" i="25"/>
  <c r="HA118" i="25"/>
  <c r="GJ118" i="25"/>
  <c r="GQ118" i="25"/>
  <c r="GS118" i="25"/>
  <c r="GD118" i="25"/>
  <c r="GA118" i="25"/>
  <c r="FQ118" i="25"/>
  <c r="FS118" i="25"/>
  <c r="FG118" i="25"/>
  <c r="FA118" i="25"/>
  <c r="EU118" i="25"/>
  <c r="EW118" i="25"/>
  <c r="SH110" i="25"/>
  <c r="RH110" i="25"/>
  <c r="QH110" i="25"/>
  <c r="PH110" i="25"/>
  <c r="NH110" i="25"/>
  <c r="LH110" i="25"/>
  <c r="KH110" i="25"/>
  <c r="IH110" i="25"/>
  <c r="HS110" i="25"/>
  <c r="OH110" i="25"/>
  <c r="MH110" i="25"/>
  <c r="JH110" i="25"/>
  <c r="HR110" i="25"/>
  <c r="HI110" i="25"/>
  <c r="HK110" i="25"/>
  <c r="HT110" i="25"/>
  <c r="GI110" i="25"/>
  <c r="GK110" i="25"/>
  <c r="GR110" i="25"/>
  <c r="GT110" i="25"/>
  <c r="GG110" i="25"/>
  <c r="FR110" i="25"/>
  <c r="FT110" i="25"/>
  <c r="FH110" i="25"/>
  <c r="EV110" i="25"/>
  <c r="EX110" i="25"/>
  <c r="EL110" i="25"/>
  <c r="HF110" i="25"/>
  <c r="HH110" i="25"/>
  <c r="HJ110" i="25"/>
  <c r="HQ110" i="25"/>
  <c r="HA110" i="25"/>
  <c r="GJ110" i="25"/>
  <c r="GQ110" i="25"/>
  <c r="GS110" i="25"/>
  <c r="GD110" i="25"/>
  <c r="GA110" i="25"/>
  <c r="FQ110" i="25"/>
  <c r="FS110" i="25"/>
  <c r="FG110" i="25"/>
  <c r="FA110" i="25"/>
  <c r="EU110" i="25"/>
  <c r="EW110" i="25"/>
  <c r="HI102" i="25"/>
  <c r="HT102" i="25"/>
  <c r="GI102" i="25"/>
  <c r="GT102" i="25"/>
  <c r="FT102" i="25"/>
  <c r="EX102" i="25"/>
  <c r="EL102" i="25"/>
  <c r="HA102" i="25"/>
  <c r="GD102" i="25"/>
  <c r="GA102" i="25"/>
  <c r="FG102" i="25"/>
  <c r="FA102" i="25"/>
  <c r="SH113" i="25"/>
  <c r="OH113" i="25"/>
  <c r="MH113" i="25"/>
  <c r="JH113" i="25"/>
  <c r="HS113" i="25"/>
  <c r="RH113" i="25"/>
  <c r="QH113" i="25"/>
  <c r="PH113" i="25"/>
  <c r="NH113" i="25"/>
  <c r="LH113" i="25"/>
  <c r="KH113" i="25"/>
  <c r="IH113" i="25"/>
  <c r="HR113" i="25"/>
  <c r="HI113" i="25"/>
  <c r="HK113" i="25"/>
  <c r="HT113" i="25"/>
  <c r="GI113" i="25"/>
  <c r="GK113" i="25"/>
  <c r="GR113" i="25"/>
  <c r="GT113" i="25"/>
  <c r="GG113" i="25"/>
  <c r="FQ113" i="25"/>
  <c r="FS113" i="25"/>
  <c r="FH113" i="25"/>
  <c r="EU113" i="25"/>
  <c r="EW113" i="25"/>
  <c r="HF113" i="25"/>
  <c r="HH113" i="25"/>
  <c r="HJ113" i="25"/>
  <c r="HQ113" i="25"/>
  <c r="HA113" i="25"/>
  <c r="GJ113" i="25"/>
  <c r="GQ113" i="25"/>
  <c r="GS113" i="25"/>
  <c r="GD113" i="25"/>
  <c r="GA113" i="25"/>
  <c r="FR113" i="25"/>
  <c r="FT113" i="25"/>
  <c r="FG113" i="25"/>
  <c r="FA113" i="25"/>
  <c r="EV113" i="25"/>
  <c r="EX113" i="25"/>
  <c r="EL113" i="25"/>
  <c r="SH105" i="25"/>
  <c r="OH105" i="25"/>
  <c r="MH105" i="25"/>
  <c r="JH105" i="25"/>
  <c r="HS105" i="25"/>
  <c r="RH105" i="25"/>
  <c r="QH105" i="25"/>
  <c r="PH105" i="25"/>
  <c r="NH105" i="25"/>
  <c r="LH105" i="25"/>
  <c r="KH105" i="25"/>
  <c r="IH105" i="25"/>
  <c r="HR105" i="25"/>
  <c r="HI105" i="25"/>
  <c r="HK105" i="25"/>
  <c r="HT105" i="25"/>
  <c r="GI105" i="25"/>
  <c r="GK105" i="25"/>
  <c r="GR105" i="25"/>
  <c r="GT105" i="25"/>
  <c r="GG105" i="25"/>
  <c r="FQ105" i="25"/>
  <c r="FS105" i="25"/>
  <c r="FH105" i="25"/>
  <c r="EU105" i="25"/>
  <c r="EW105" i="25"/>
  <c r="HF105" i="25"/>
  <c r="HH105" i="25"/>
  <c r="HJ105" i="25"/>
  <c r="HQ105" i="25"/>
  <c r="HA105" i="25"/>
  <c r="GJ105" i="25"/>
  <c r="GQ105" i="25"/>
  <c r="GS105" i="25"/>
  <c r="GD105" i="25"/>
  <c r="GA105" i="25"/>
  <c r="FR105" i="25"/>
  <c r="FT105" i="25"/>
  <c r="FG105" i="25"/>
  <c r="FA105" i="25"/>
  <c r="EV105" i="25"/>
  <c r="EX105" i="25"/>
  <c r="EL105" i="25"/>
  <c r="HI97" i="25"/>
  <c r="HD97" i="25"/>
  <c r="GI97" i="25"/>
  <c r="GC97" i="25"/>
  <c r="FC97" i="25"/>
  <c r="HA97" i="25"/>
  <c r="GD97" i="25"/>
  <c r="GA97" i="25"/>
  <c r="FT97" i="25"/>
  <c r="FA97" i="25"/>
  <c r="EL97" i="25"/>
  <c r="SH117" i="25"/>
  <c r="OH117" i="25"/>
  <c r="MH117" i="25"/>
  <c r="JH117" i="25"/>
  <c r="HS117" i="25"/>
  <c r="RH117" i="25"/>
  <c r="QH117" i="25"/>
  <c r="PH117" i="25"/>
  <c r="NH117" i="25"/>
  <c r="LH117" i="25"/>
  <c r="KH117" i="25"/>
  <c r="IH117" i="25"/>
  <c r="HR117" i="25"/>
  <c r="HI117" i="25"/>
  <c r="HK117" i="25"/>
  <c r="HT117" i="25"/>
  <c r="GI117" i="25"/>
  <c r="GK117" i="25"/>
  <c r="GR117" i="25"/>
  <c r="GT117" i="25"/>
  <c r="GG117" i="25"/>
  <c r="FQ117" i="25"/>
  <c r="FS117" i="25"/>
  <c r="FH117" i="25"/>
  <c r="EU117" i="25"/>
  <c r="EW117" i="25"/>
  <c r="HF117" i="25"/>
  <c r="HH117" i="25"/>
  <c r="HJ117" i="25"/>
  <c r="HQ117" i="25"/>
  <c r="HA117" i="25"/>
  <c r="GJ117" i="25"/>
  <c r="GQ117" i="25"/>
  <c r="GS117" i="25"/>
  <c r="GD117" i="25"/>
  <c r="GA117" i="25"/>
  <c r="FR117" i="25"/>
  <c r="FT117" i="25"/>
  <c r="FG117" i="25"/>
  <c r="FA117" i="25"/>
  <c r="EV117" i="25"/>
  <c r="EX117" i="25"/>
  <c r="EL117" i="25"/>
  <c r="HI89" i="25"/>
  <c r="GI89" i="25"/>
  <c r="GC89" i="25"/>
  <c r="FT89" i="25"/>
  <c r="HA89" i="25"/>
  <c r="GD89" i="25"/>
  <c r="GA89" i="25"/>
  <c r="FA89" i="25"/>
  <c r="EX89" i="25"/>
  <c r="EL89" i="25"/>
  <c r="HI94" i="25"/>
  <c r="HC94" i="25"/>
  <c r="GI94" i="25"/>
  <c r="GC94" i="25"/>
  <c r="FT94" i="25"/>
  <c r="FG94" i="25"/>
  <c r="EL94" i="25"/>
  <c r="HA94" i="25"/>
  <c r="GD94" i="25"/>
  <c r="GA94" i="25"/>
  <c r="FA94" i="25"/>
  <c r="HI75" i="25"/>
  <c r="HT75" i="25"/>
  <c r="GI75" i="25"/>
  <c r="FC75" i="25"/>
  <c r="HA75" i="25"/>
  <c r="HE75" i="25" s="1"/>
  <c r="GD75" i="25"/>
  <c r="GA75" i="25"/>
  <c r="FA75" i="25"/>
  <c r="EX75" i="25"/>
  <c r="EL75" i="25"/>
  <c r="HI59" i="25"/>
  <c r="HD59" i="25"/>
  <c r="GI59" i="25"/>
  <c r="GG59" i="25"/>
  <c r="HA59" i="25"/>
  <c r="HE59" i="25" s="1"/>
  <c r="GD59" i="25"/>
  <c r="GA59" i="25"/>
  <c r="FA59" i="25"/>
  <c r="EX59" i="25"/>
  <c r="AH59" i="25" s="1"/>
  <c r="EL59" i="25"/>
  <c r="HI76" i="25"/>
  <c r="HT76" i="25"/>
  <c r="GI76" i="25"/>
  <c r="FT76" i="25"/>
  <c r="EL76" i="25"/>
  <c r="HA76" i="25"/>
  <c r="GD76" i="25"/>
  <c r="GA76" i="25"/>
  <c r="FA76" i="25"/>
  <c r="HI60" i="25"/>
  <c r="GI60" i="25"/>
  <c r="GT60" i="25"/>
  <c r="FT60" i="25"/>
  <c r="EX60" i="25"/>
  <c r="AH60" i="25" s="1"/>
  <c r="EL60" i="25"/>
  <c r="HA60" i="25"/>
  <c r="GD60" i="25"/>
  <c r="GA60" i="25"/>
  <c r="FA60" i="25"/>
  <c r="HI77" i="25"/>
  <c r="GI77" i="25"/>
  <c r="GG77" i="25"/>
  <c r="FT77" i="25"/>
  <c r="HA77" i="25"/>
  <c r="GD77" i="25"/>
  <c r="GA77" i="25"/>
  <c r="FG77" i="25"/>
  <c r="FA77" i="25"/>
  <c r="EX77" i="25"/>
  <c r="EL77" i="25"/>
  <c r="HI61" i="25"/>
  <c r="GI61" i="25"/>
  <c r="GG61" i="25"/>
  <c r="FG61" i="25"/>
  <c r="HA61" i="25"/>
  <c r="HE61" i="25" s="1"/>
  <c r="GD61" i="25"/>
  <c r="GA61" i="25"/>
  <c r="FT61" i="25"/>
  <c r="FA61" i="25"/>
  <c r="EL61" i="25"/>
  <c r="HI78" i="25"/>
  <c r="GI78" i="25"/>
  <c r="GG78" i="25"/>
  <c r="FT78" i="25"/>
  <c r="EX78" i="25"/>
  <c r="EL78" i="25"/>
  <c r="HA78" i="25"/>
  <c r="GD78" i="25"/>
  <c r="GA78" i="25"/>
  <c r="FA78" i="25"/>
  <c r="HI62" i="25"/>
  <c r="GI62" i="25"/>
  <c r="GT62" i="25"/>
  <c r="FG62" i="25"/>
  <c r="EX62" i="25"/>
  <c r="AH62" i="25" s="1"/>
  <c r="EL62" i="25"/>
  <c r="HA62" i="25"/>
  <c r="GD62" i="25"/>
  <c r="GA62" i="25"/>
  <c r="FA62" i="25"/>
  <c r="HI87" i="25"/>
  <c r="GI87" i="25"/>
  <c r="GG87" i="25"/>
  <c r="FG87" i="25"/>
  <c r="HA87" i="25"/>
  <c r="GD87" i="25"/>
  <c r="GA87" i="25"/>
  <c r="FT87" i="25"/>
  <c r="FA87" i="25"/>
  <c r="EL87" i="25"/>
  <c r="HI79" i="25"/>
  <c r="GI79" i="25"/>
  <c r="GG79" i="25"/>
  <c r="FG79" i="25"/>
  <c r="HA79" i="25"/>
  <c r="GD79" i="25"/>
  <c r="GA79" i="25"/>
  <c r="FA79" i="25"/>
  <c r="EX79" i="25"/>
  <c r="EL79" i="25"/>
  <c r="HI71" i="25"/>
  <c r="HT71" i="25"/>
  <c r="GI71" i="25"/>
  <c r="GT71" i="25"/>
  <c r="FG71" i="25"/>
  <c r="HA71" i="25"/>
  <c r="GD71" i="25"/>
  <c r="GA71" i="25"/>
  <c r="FT71" i="25"/>
  <c r="FA71" i="25"/>
  <c r="EX71" i="25"/>
  <c r="AH71" i="25" s="1"/>
  <c r="EL71" i="25"/>
  <c r="HI63" i="25"/>
  <c r="GI63" i="25"/>
  <c r="GG63" i="25"/>
  <c r="HA63" i="25"/>
  <c r="GD63" i="25"/>
  <c r="GA63" i="25"/>
  <c r="FT63" i="25"/>
  <c r="FG63" i="25"/>
  <c r="FA63" i="25"/>
  <c r="EL63" i="25"/>
  <c r="HI88" i="25"/>
  <c r="GI88" i="25"/>
  <c r="GG88" i="25"/>
  <c r="FT88" i="25"/>
  <c r="EX88" i="25"/>
  <c r="EL88" i="25"/>
  <c r="HA88" i="25"/>
  <c r="GD88" i="25"/>
  <c r="GA88" i="25"/>
  <c r="FA88" i="25"/>
  <c r="HI80" i="25"/>
  <c r="GI80" i="25"/>
  <c r="GG80" i="25"/>
  <c r="FT80" i="25"/>
  <c r="EL80" i="25"/>
  <c r="HA80" i="25"/>
  <c r="GD80" i="25"/>
  <c r="GA80" i="25"/>
  <c r="FA80" i="25"/>
  <c r="HI72" i="25"/>
  <c r="HT72" i="25"/>
  <c r="GI72" i="25"/>
  <c r="GT72" i="25"/>
  <c r="FT72" i="25"/>
  <c r="EX72" i="25"/>
  <c r="EL72" i="25"/>
  <c r="HA72" i="25"/>
  <c r="GD72" i="25"/>
  <c r="GA72" i="25"/>
  <c r="FA72" i="25"/>
  <c r="HI64" i="25"/>
  <c r="GI64" i="25"/>
  <c r="GT64" i="25"/>
  <c r="FG64" i="25"/>
  <c r="EL64" i="25"/>
  <c r="HA64" i="25"/>
  <c r="GD64" i="25"/>
  <c r="GA64" i="25"/>
  <c r="FA64" i="25"/>
  <c r="HI56" i="25"/>
  <c r="HT56" i="25"/>
  <c r="GI56" i="25"/>
  <c r="GT56" i="25"/>
  <c r="FT56" i="25"/>
  <c r="EX56" i="25"/>
  <c r="AH56" i="25" s="1"/>
  <c r="EL56" i="25"/>
  <c r="HA56" i="25"/>
  <c r="GD56" i="25"/>
  <c r="GA56" i="25"/>
  <c r="FG56" i="25"/>
  <c r="FA56" i="25"/>
  <c r="HI81" i="25"/>
  <c r="GI81" i="25"/>
  <c r="GG81" i="25"/>
  <c r="FG81" i="25"/>
  <c r="HA81" i="25"/>
  <c r="GD81" i="25"/>
  <c r="GA81" i="25"/>
  <c r="FA81" i="25"/>
  <c r="EL81" i="25"/>
  <c r="HI73" i="25"/>
  <c r="HT73" i="25"/>
  <c r="GI73" i="25"/>
  <c r="FG73" i="25"/>
  <c r="HA73" i="25"/>
  <c r="GD73" i="25"/>
  <c r="GA73" i="25"/>
  <c r="FT73" i="25"/>
  <c r="FA73" i="25"/>
  <c r="EL73" i="25"/>
  <c r="HI65" i="25"/>
  <c r="GI65" i="25"/>
  <c r="GG65" i="25"/>
  <c r="HA65" i="25"/>
  <c r="GD65" i="25"/>
  <c r="GA65" i="25"/>
  <c r="FT65" i="25"/>
  <c r="FG65" i="25"/>
  <c r="FA65" i="25"/>
  <c r="EL65" i="25"/>
  <c r="HI57" i="25"/>
  <c r="HT57" i="25"/>
  <c r="GI57" i="25"/>
  <c r="GT57" i="25"/>
  <c r="FG57" i="25"/>
  <c r="HA57" i="25"/>
  <c r="GD57" i="25"/>
  <c r="GA57" i="25"/>
  <c r="FT57" i="25"/>
  <c r="FA57" i="25"/>
  <c r="EL57" i="25"/>
  <c r="HI82" i="25"/>
  <c r="GI82" i="25"/>
  <c r="GG82" i="25"/>
  <c r="FT82" i="25"/>
  <c r="EX82" i="25"/>
  <c r="EL82" i="25"/>
  <c r="HA82" i="25"/>
  <c r="GD82" i="25"/>
  <c r="GA82" i="25"/>
  <c r="FA82" i="25"/>
  <c r="HI74" i="25"/>
  <c r="HT74" i="25"/>
  <c r="GI74" i="25"/>
  <c r="GT74" i="25"/>
  <c r="FT74" i="25"/>
  <c r="EL74" i="25"/>
  <c r="HA74" i="25"/>
  <c r="GD74" i="25"/>
  <c r="GA74" i="25"/>
  <c r="FA74" i="25"/>
  <c r="HI66" i="25"/>
  <c r="GI66" i="25"/>
  <c r="GT66" i="25"/>
  <c r="FG66" i="25"/>
  <c r="EL66" i="25"/>
  <c r="HA66" i="25"/>
  <c r="GD66" i="25"/>
  <c r="GA66" i="25"/>
  <c r="FA66" i="25"/>
  <c r="HI58" i="25"/>
  <c r="HT58" i="25"/>
  <c r="GI58" i="25"/>
  <c r="GC58" i="25"/>
  <c r="FT58" i="25"/>
  <c r="EL58" i="25"/>
  <c r="HA58" i="25"/>
  <c r="GD58" i="25"/>
  <c r="GA58" i="25"/>
  <c r="FA58" i="25"/>
  <c r="SH114" i="25"/>
  <c r="RH114" i="25"/>
  <c r="QH114" i="25"/>
  <c r="PH114" i="25"/>
  <c r="NH114" i="25"/>
  <c r="LH114" i="25"/>
  <c r="KH114" i="25"/>
  <c r="IH114" i="25"/>
  <c r="HS114" i="25"/>
  <c r="OH114" i="25"/>
  <c r="MH114" i="25"/>
  <c r="JH114" i="25"/>
  <c r="HR114" i="25"/>
  <c r="HI114" i="25"/>
  <c r="HK114" i="25"/>
  <c r="HT114" i="25"/>
  <c r="GI114" i="25"/>
  <c r="GK114" i="25"/>
  <c r="GR114" i="25"/>
  <c r="GT114" i="25"/>
  <c r="GG114" i="25"/>
  <c r="FR114" i="25"/>
  <c r="FT114" i="25"/>
  <c r="FH114" i="25"/>
  <c r="EV114" i="25"/>
  <c r="EX114" i="25"/>
  <c r="EL114" i="25"/>
  <c r="HF114" i="25"/>
  <c r="HH114" i="25"/>
  <c r="HJ114" i="25"/>
  <c r="HQ114" i="25"/>
  <c r="HA114" i="25"/>
  <c r="GJ114" i="25"/>
  <c r="GQ114" i="25"/>
  <c r="GS114" i="25"/>
  <c r="GD114" i="25"/>
  <c r="GA114" i="25"/>
  <c r="FQ114" i="25"/>
  <c r="FS114" i="25"/>
  <c r="FG114" i="25"/>
  <c r="FA114" i="25"/>
  <c r="EU114" i="25"/>
  <c r="EW114" i="25"/>
  <c r="SH106" i="25"/>
  <c r="RH106" i="25"/>
  <c r="QH106" i="25"/>
  <c r="PH106" i="25"/>
  <c r="NH106" i="25"/>
  <c r="LH106" i="25"/>
  <c r="KH106" i="25"/>
  <c r="IH106" i="25"/>
  <c r="HS106" i="25"/>
  <c r="OH106" i="25"/>
  <c r="MH106" i="25"/>
  <c r="JH106" i="25"/>
  <c r="HR106" i="25"/>
  <c r="HI106" i="25"/>
  <c r="HK106" i="25"/>
  <c r="HT106" i="25"/>
  <c r="GI106" i="25"/>
  <c r="GK106" i="25"/>
  <c r="GR106" i="25"/>
  <c r="GT106" i="25"/>
  <c r="GG106" i="25"/>
  <c r="FR106" i="25"/>
  <c r="FT106" i="25"/>
  <c r="FH106" i="25"/>
  <c r="EV106" i="25"/>
  <c r="EX106" i="25"/>
  <c r="EL106" i="25"/>
  <c r="HF106" i="25"/>
  <c r="HH106" i="25"/>
  <c r="HJ106" i="25"/>
  <c r="HQ106" i="25"/>
  <c r="HA106" i="25"/>
  <c r="GJ106" i="25"/>
  <c r="GQ106" i="25"/>
  <c r="GS106" i="25"/>
  <c r="GD106" i="25"/>
  <c r="GA106" i="25"/>
  <c r="FQ106" i="25"/>
  <c r="FS106" i="25"/>
  <c r="FG106" i="25"/>
  <c r="FA106" i="25"/>
  <c r="EU106" i="25"/>
  <c r="EW106" i="25"/>
  <c r="SH109" i="25"/>
  <c r="OH109" i="25"/>
  <c r="MH109" i="25"/>
  <c r="JH109" i="25"/>
  <c r="HS109" i="25"/>
  <c r="RH109" i="25"/>
  <c r="QH109" i="25"/>
  <c r="PH109" i="25"/>
  <c r="NH109" i="25"/>
  <c r="LH109" i="25"/>
  <c r="KH109" i="25"/>
  <c r="IH109" i="25"/>
  <c r="HR109" i="25"/>
  <c r="HI109" i="25"/>
  <c r="HK109" i="25"/>
  <c r="HT109" i="25"/>
  <c r="GI109" i="25"/>
  <c r="GK109" i="25"/>
  <c r="GR109" i="25"/>
  <c r="GT109" i="25"/>
  <c r="GG109" i="25"/>
  <c r="FQ109" i="25"/>
  <c r="FS109" i="25"/>
  <c r="FH109" i="25"/>
  <c r="EU109" i="25"/>
  <c r="EW109" i="25"/>
  <c r="HF109" i="25"/>
  <c r="HH109" i="25"/>
  <c r="HJ109" i="25"/>
  <c r="HQ109" i="25"/>
  <c r="HA109" i="25"/>
  <c r="GJ109" i="25"/>
  <c r="GQ109" i="25"/>
  <c r="GS109" i="25"/>
  <c r="GD109" i="25"/>
  <c r="GA109" i="25"/>
  <c r="FR109" i="25"/>
  <c r="FT109" i="25"/>
  <c r="FG109" i="25"/>
  <c r="FA109" i="25"/>
  <c r="EV109" i="25"/>
  <c r="EX109" i="25"/>
  <c r="EL109" i="25"/>
  <c r="HI101" i="25"/>
  <c r="HT101" i="25"/>
  <c r="GI101" i="25"/>
  <c r="EL101" i="25"/>
  <c r="HA101" i="25"/>
  <c r="GD101" i="25"/>
  <c r="GA101" i="25"/>
  <c r="FT101" i="25"/>
  <c r="FG101" i="25"/>
  <c r="FA101" i="25"/>
  <c r="EX101" i="25"/>
  <c r="HI93" i="25"/>
  <c r="HT93" i="25"/>
  <c r="GI93" i="25"/>
  <c r="GG93" i="25"/>
  <c r="FG93" i="25"/>
  <c r="HA93" i="25"/>
  <c r="HE93" i="25" s="1"/>
  <c r="GD93" i="25"/>
  <c r="GA93" i="25"/>
  <c r="FT93" i="25"/>
  <c r="FA93" i="25"/>
  <c r="EL93" i="25"/>
  <c r="CC118" i="25"/>
  <c r="CB118" i="25"/>
  <c r="CC105" i="25"/>
  <c r="CB105" i="25"/>
  <c r="CC114" i="25"/>
  <c r="CB114" i="25"/>
  <c r="CC110" i="25"/>
  <c r="CB110" i="25"/>
  <c r="CC113" i="25"/>
  <c r="CB113" i="25"/>
  <c r="CC117" i="25"/>
  <c r="CB117" i="25"/>
  <c r="CC106" i="25"/>
  <c r="CB106" i="25"/>
  <c r="CC109" i="25"/>
  <c r="CB109" i="25"/>
  <c r="AW113" i="25"/>
  <c r="AX113" i="25"/>
  <c r="AU113" i="25"/>
  <c r="AY109" i="25"/>
  <c r="BA113" i="25"/>
  <c r="BB113" i="25"/>
  <c r="AY113" i="25"/>
  <c r="BB109" i="25"/>
  <c r="JI93" i="25"/>
  <c r="LA93" i="25"/>
  <c r="LE93" i="25" s="1"/>
  <c r="MA93" i="25"/>
  <c r="LI93" i="25"/>
  <c r="MI93" i="25"/>
  <c r="OA93" i="25"/>
  <c r="OT93" i="25"/>
  <c r="PI93" i="25"/>
  <c r="RC93" i="25"/>
  <c r="SI93" i="25"/>
  <c r="CF109" i="25"/>
  <c r="CH109" i="25"/>
  <c r="X109" i="19"/>
  <c r="AZ109" i="25"/>
  <c r="SG93" i="25"/>
  <c r="IE93" i="25"/>
  <c r="HC93" i="25"/>
  <c r="FC93" i="25"/>
  <c r="KA93" i="25"/>
  <c r="LD93" i="25"/>
  <c r="NT93" i="25"/>
  <c r="OC93" i="25"/>
  <c r="NC93" i="25"/>
  <c r="ND93" i="25"/>
  <c r="RT93" i="25"/>
  <c r="PD93" i="25"/>
  <c r="QI93" i="25"/>
  <c r="QG93" i="25"/>
  <c r="L109" i="25"/>
  <c r="AR109" i="25"/>
  <c r="AO109" i="25"/>
  <c r="Z109" i="19" s="1"/>
  <c r="II93" i="25"/>
  <c r="FD93" i="25"/>
  <c r="FI93" i="25"/>
  <c r="DJ93" i="25"/>
  <c r="HD93" i="25"/>
  <c r="KI93" i="25"/>
  <c r="LT93" i="25"/>
  <c r="MT93" i="25"/>
  <c r="NE93" i="25"/>
  <c r="NI93" i="25"/>
  <c r="RE93" i="25"/>
  <c r="CE109" i="25"/>
  <c r="CG109" i="25"/>
  <c r="AW109" i="25"/>
  <c r="AX109" i="25"/>
  <c r="AU109" i="25"/>
  <c r="IK118" i="25"/>
  <c r="IJ118" i="25"/>
  <c r="IK114" i="25"/>
  <c r="AW110" i="25"/>
  <c r="BA110" i="25"/>
  <c r="AZ110" i="25"/>
  <c r="AO110" i="25"/>
  <c r="Z110" i="19" s="1"/>
  <c r="AU110" i="25"/>
  <c r="AY110" i="25"/>
  <c r="X110" i="19"/>
  <c r="AR110" i="25"/>
  <c r="AX110" i="25"/>
  <c r="BB110" i="25"/>
  <c r="AW106" i="25"/>
  <c r="BA106" i="25"/>
  <c r="AZ106" i="25"/>
  <c r="AO106" i="25"/>
  <c r="Z106" i="19" s="1"/>
  <c r="AU106" i="25"/>
  <c r="AY106" i="25"/>
  <c r="X106" i="19"/>
  <c r="AR106" i="25"/>
  <c r="AX106" i="25"/>
  <c r="BB106" i="25"/>
  <c r="AW118" i="25"/>
  <c r="BA118" i="25"/>
  <c r="AZ118" i="25"/>
  <c r="AO118" i="25"/>
  <c r="Z118" i="19" s="1"/>
  <c r="AU118" i="25"/>
  <c r="AY118" i="25"/>
  <c r="X118" i="19"/>
  <c r="AR118" i="25"/>
  <c r="AX118" i="25"/>
  <c r="BB118" i="25"/>
  <c r="AW114" i="25"/>
  <c r="BA114" i="25"/>
  <c r="AZ114" i="25"/>
  <c r="AO114" i="25"/>
  <c r="Z114" i="19" s="1"/>
  <c r="AU114" i="25"/>
  <c r="AY114" i="25"/>
  <c r="X114" i="19"/>
  <c r="AR114" i="25"/>
  <c r="AX114" i="25"/>
  <c r="BB114" i="25"/>
  <c r="IK110" i="25"/>
  <c r="IK106" i="25"/>
  <c r="IJ106" i="25"/>
  <c r="IJ110" i="25"/>
  <c r="CG110" i="25"/>
  <c r="CF110" i="25"/>
  <c r="CE110" i="25"/>
  <c r="CI110" i="25"/>
  <c r="CD110" i="25"/>
  <c r="CH110" i="25"/>
  <c r="CG106" i="25"/>
  <c r="CF106" i="25"/>
  <c r="CE106" i="25"/>
  <c r="CI106" i="25"/>
  <c r="CD106" i="25"/>
  <c r="CH106" i="25"/>
  <c r="CG118" i="25"/>
  <c r="CF118" i="25"/>
  <c r="CE118" i="25"/>
  <c r="CI118" i="25"/>
  <c r="CD118" i="25"/>
  <c r="CH118" i="25"/>
  <c r="CG114" i="25"/>
  <c r="CF114" i="25"/>
  <c r="CE114" i="25"/>
  <c r="CI114" i="25"/>
  <c r="CD114" i="25"/>
  <c r="CH114" i="25"/>
  <c r="IJ114" i="25"/>
  <c r="SJ114" i="25"/>
  <c r="ST114" i="25"/>
  <c r="SE114" i="25"/>
  <c r="SI114" i="25"/>
  <c r="SS114" i="25"/>
  <c r="SC114" i="25"/>
  <c r="SR114" i="25"/>
  <c r="RT114" i="25"/>
  <c r="RE114" i="25"/>
  <c r="RI114" i="25"/>
  <c r="QK114" i="25"/>
  <c r="QQ114" i="25"/>
  <c r="RS114" i="25"/>
  <c r="RD114" i="25"/>
  <c r="QJ114" i="25"/>
  <c r="QT114" i="25"/>
  <c r="SQ114" i="25"/>
  <c r="RR114" i="25"/>
  <c r="RC114" i="25"/>
  <c r="QE114" i="25"/>
  <c r="QI114" i="25"/>
  <c r="QS114" i="25"/>
  <c r="RF114" i="25"/>
  <c r="QC114" i="25"/>
  <c r="SK114" i="25"/>
  <c r="QR114" i="25"/>
  <c r="RQ114" i="25"/>
  <c r="PC114" i="25"/>
  <c r="PK114" i="25"/>
  <c r="PQ114" i="25"/>
  <c r="OT114" i="25"/>
  <c r="OC114" i="25"/>
  <c r="NI114" i="25"/>
  <c r="NS114" i="25"/>
  <c r="ND114" i="25"/>
  <c r="PJ114" i="25"/>
  <c r="PT114" i="25"/>
  <c r="OS114" i="25"/>
  <c r="NR114" i="25"/>
  <c r="NC114" i="25"/>
  <c r="PE114" i="25"/>
  <c r="PI114" i="25"/>
  <c r="PS114" i="25"/>
  <c r="OR114" i="25"/>
  <c r="OA114" i="25"/>
  <c r="NK114" i="25"/>
  <c r="NQ114" i="25"/>
  <c r="NF114" i="25"/>
  <c r="PD114" i="25"/>
  <c r="PR114" i="25"/>
  <c r="OQ114" i="25"/>
  <c r="OE114" i="25"/>
  <c r="NJ114" i="25"/>
  <c r="NT114" i="25"/>
  <c r="NE114" i="25"/>
  <c r="MR114" i="25"/>
  <c r="LJ114" i="25"/>
  <c r="LT114" i="25"/>
  <c r="LA114" i="25"/>
  <c r="LE114" i="25"/>
  <c r="KK114" i="25"/>
  <c r="KQ114" i="25"/>
  <c r="JD114" i="25"/>
  <c r="JR114" i="25"/>
  <c r="MK114" i="25"/>
  <c r="MQ114" i="25"/>
  <c r="MC114" i="25"/>
  <c r="LI114" i="25"/>
  <c r="LS114" i="25"/>
  <c r="LD114" i="25"/>
  <c r="KJ114" i="25"/>
  <c r="KT114" i="25"/>
  <c r="KA114" i="25"/>
  <c r="JK114" i="25"/>
  <c r="JQ114" i="25"/>
  <c r="JA114" i="25"/>
  <c r="MJ114" i="25"/>
  <c r="MT114" i="25"/>
  <c r="LR114" i="25"/>
  <c r="LC114" i="25"/>
  <c r="KE114" i="25"/>
  <c r="KI114" i="25"/>
  <c r="KS114" i="25"/>
  <c r="JF114" i="25"/>
  <c r="JJ114" i="25"/>
  <c r="JT114" i="25"/>
  <c r="ME114" i="25"/>
  <c r="MI114" i="25"/>
  <c r="MS114" i="25"/>
  <c r="MA114" i="25"/>
  <c r="LK114" i="25"/>
  <c r="LQ114" i="25"/>
  <c r="KC114" i="25"/>
  <c r="KR114" i="25"/>
  <c r="JE114" i="25"/>
  <c r="JI114" i="25"/>
  <c r="JS114" i="25"/>
  <c r="JC114" i="25"/>
  <c r="HC114" i="25"/>
  <c r="EC114" i="25"/>
  <c r="DJ114" i="25"/>
  <c r="DN114" i="25"/>
  <c r="DT114" i="25"/>
  <c r="DF114" i="25"/>
  <c r="FK114" i="25"/>
  <c r="DM114" i="25"/>
  <c r="DW114" i="25"/>
  <c r="FJ114" i="25"/>
  <c r="IE114" i="25"/>
  <c r="II114" i="25"/>
  <c r="HE114" i="25"/>
  <c r="EM114" i="25"/>
  <c r="EG114" i="25"/>
  <c r="DV114" i="25"/>
  <c r="FI114" i="25"/>
  <c r="FD114" i="25"/>
  <c r="GC114" i="25"/>
  <c r="IC114" i="25"/>
  <c r="HD114" i="25"/>
  <c r="DU114" i="25"/>
  <c r="DG114" i="25"/>
  <c r="FC114" i="25"/>
  <c r="IQ114" i="25"/>
  <c r="RK114" i="25"/>
  <c r="IA114" i="25"/>
  <c r="RJ114" i="25"/>
  <c r="SI83" i="25"/>
  <c r="RT83" i="25"/>
  <c r="QI83" i="25"/>
  <c r="PE83" i="25"/>
  <c r="PI83" i="25"/>
  <c r="RI83" i="25"/>
  <c r="NI83" i="25"/>
  <c r="OA83" i="25"/>
  <c r="MA83" i="25"/>
  <c r="JI83" i="25"/>
  <c r="HD83" i="25"/>
  <c r="MI83" i="25"/>
  <c r="LI83" i="25"/>
  <c r="LT83" i="25"/>
  <c r="JC83" i="25"/>
  <c r="LA83" i="25"/>
  <c r="LE83" i="25" s="1"/>
  <c r="JA83" i="25"/>
  <c r="KI83" i="25"/>
  <c r="KA83" i="25"/>
  <c r="KE83" i="25" s="1"/>
  <c r="JT83" i="25"/>
  <c r="HE83" i="25"/>
  <c r="DJ83" i="25"/>
  <c r="HC83" i="25"/>
  <c r="FD83" i="25"/>
  <c r="FC83" i="25"/>
  <c r="GC83" i="25"/>
  <c r="DG83" i="25"/>
  <c r="FI83" i="25"/>
  <c r="II83" i="25"/>
  <c r="IA83" i="25"/>
  <c r="SG83" i="25"/>
  <c r="IC83" i="25"/>
  <c r="SI75" i="25"/>
  <c r="RD75" i="25"/>
  <c r="RI75" i="25"/>
  <c r="PC75" i="25"/>
  <c r="PI75" i="25"/>
  <c r="QI75" i="25"/>
  <c r="NI75" i="25"/>
  <c r="MI75" i="25"/>
  <c r="OA75" i="25"/>
  <c r="MA75" i="25"/>
  <c r="JI75" i="25"/>
  <c r="HD75" i="25"/>
  <c r="LI75" i="25"/>
  <c r="LC75" i="25"/>
  <c r="JT75" i="25"/>
  <c r="LA75" i="25"/>
  <c r="KC75" i="25"/>
  <c r="JA75" i="25"/>
  <c r="KI75" i="25"/>
  <c r="KA75" i="25"/>
  <c r="DF75" i="25"/>
  <c r="EG75" i="25"/>
  <c r="FD75" i="25"/>
  <c r="GC75" i="25"/>
  <c r="HC75" i="25"/>
  <c r="EC75" i="25"/>
  <c r="FI75" i="25"/>
  <c r="II75" i="25"/>
  <c r="IA75" i="25"/>
  <c r="SG75" i="25"/>
  <c r="IC75" i="25"/>
  <c r="SI67" i="25"/>
  <c r="QG67" i="25"/>
  <c r="RD67" i="25"/>
  <c r="QI67" i="25"/>
  <c r="PC67" i="25"/>
  <c r="QE67" i="25"/>
  <c r="PI67" i="25"/>
  <c r="RI67" i="25"/>
  <c r="NI67" i="25"/>
  <c r="MI67" i="25"/>
  <c r="OA67" i="25"/>
  <c r="MA67" i="25"/>
  <c r="JI67" i="25"/>
  <c r="HD67" i="25"/>
  <c r="LI67" i="25"/>
  <c r="LC67" i="25"/>
  <c r="HC67" i="25"/>
  <c r="LA67" i="25"/>
  <c r="KC67" i="25"/>
  <c r="JA67" i="25"/>
  <c r="JE67" i="25" s="1"/>
  <c r="KI67" i="25"/>
  <c r="KA67" i="25"/>
  <c r="JT67" i="25"/>
  <c r="HE67" i="25"/>
  <c r="DJ67" i="25"/>
  <c r="DX67" i="25" s="1"/>
  <c r="DF67" i="25"/>
  <c r="EG67" i="25"/>
  <c r="DW67" i="25"/>
  <c r="FD67" i="25"/>
  <c r="FC67" i="25"/>
  <c r="GC67" i="25"/>
  <c r="EC67" i="25"/>
  <c r="DG67" i="25"/>
  <c r="FI67" i="25"/>
  <c r="II67" i="25"/>
  <c r="IA67" i="25"/>
  <c r="SI59" i="25"/>
  <c r="RD59" i="25"/>
  <c r="RI59" i="25"/>
  <c r="PT59" i="25"/>
  <c r="PI59" i="25"/>
  <c r="QI59" i="25"/>
  <c r="NI59" i="25"/>
  <c r="MI59" i="25"/>
  <c r="OA59" i="25"/>
  <c r="MA59" i="25"/>
  <c r="JI59" i="25"/>
  <c r="LI59" i="25"/>
  <c r="LC59" i="25"/>
  <c r="LA59" i="25"/>
  <c r="LE59" i="25" s="1"/>
  <c r="KC59" i="25"/>
  <c r="JA59" i="25"/>
  <c r="KI59" i="25"/>
  <c r="KA59" i="25"/>
  <c r="DF59" i="25"/>
  <c r="EG59" i="25"/>
  <c r="DW59" i="25"/>
  <c r="GC59" i="25"/>
  <c r="IA59" i="25"/>
  <c r="EC59" i="25"/>
  <c r="FI59" i="25"/>
  <c r="II59" i="25"/>
  <c r="SI84" i="25"/>
  <c r="QI84" i="25"/>
  <c r="RC84" i="25"/>
  <c r="RI84" i="25"/>
  <c r="QG84" i="25"/>
  <c r="PE84" i="25"/>
  <c r="PI84" i="25"/>
  <c r="OA84" i="25"/>
  <c r="NI84" i="25"/>
  <c r="LA84" i="25"/>
  <c r="KI84" i="25"/>
  <c r="KC84" i="25"/>
  <c r="MA84" i="25"/>
  <c r="LI84" i="25"/>
  <c r="KA84" i="25"/>
  <c r="JI84" i="25"/>
  <c r="MT84" i="25"/>
  <c r="LC84" i="25"/>
  <c r="JD84" i="25"/>
  <c r="MI84" i="25"/>
  <c r="LT84" i="25"/>
  <c r="JA84" i="25"/>
  <c r="HD84" i="25"/>
  <c r="EG84" i="25"/>
  <c r="DJ84" i="25"/>
  <c r="DF84" i="25"/>
  <c r="FI84" i="25"/>
  <c r="FD84" i="25"/>
  <c r="DW84" i="25"/>
  <c r="FC84" i="25"/>
  <c r="II84" i="25"/>
  <c r="EC84" i="25"/>
  <c r="GC84" i="25"/>
  <c r="DG84" i="25"/>
  <c r="IC84" i="25"/>
  <c r="IA84" i="25"/>
  <c r="QI76" i="25"/>
  <c r="RT76" i="25"/>
  <c r="SI76" i="25"/>
  <c r="RI76" i="25"/>
  <c r="PT76" i="25"/>
  <c r="PI76" i="25"/>
  <c r="OA76" i="25"/>
  <c r="NI76" i="25"/>
  <c r="MI76" i="25"/>
  <c r="LA76" i="25"/>
  <c r="KI76" i="25"/>
  <c r="KT76" i="25"/>
  <c r="MA76" i="25"/>
  <c r="LI76" i="25"/>
  <c r="KC76" i="25"/>
  <c r="KA76" i="25"/>
  <c r="JI76" i="25"/>
  <c r="HE76" i="25"/>
  <c r="LT76" i="25"/>
  <c r="JA76" i="25"/>
  <c r="HD76" i="25"/>
  <c r="EG76" i="25"/>
  <c r="DJ76" i="25"/>
  <c r="DF76" i="25"/>
  <c r="FI76" i="25"/>
  <c r="FD76" i="25"/>
  <c r="DW76" i="25"/>
  <c r="FC76" i="25"/>
  <c r="II76" i="25"/>
  <c r="EC76" i="25"/>
  <c r="GC76" i="25"/>
  <c r="DG76" i="25"/>
  <c r="IC76" i="25"/>
  <c r="IA76" i="25"/>
  <c r="SG76" i="25"/>
  <c r="SI68" i="25"/>
  <c r="QI68" i="25"/>
  <c r="RT68" i="25"/>
  <c r="RI68" i="25"/>
  <c r="QC68" i="25"/>
  <c r="PC68" i="25"/>
  <c r="PI68" i="25"/>
  <c r="OA68" i="25"/>
  <c r="NI68" i="25"/>
  <c r="MI68" i="25"/>
  <c r="LA68" i="25"/>
  <c r="KI68" i="25"/>
  <c r="HC68" i="25"/>
  <c r="MA68" i="25"/>
  <c r="LI68" i="25"/>
  <c r="KA68" i="25"/>
  <c r="JI68" i="25"/>
  <c r="JC68" i="25"/>
  <c r="HE68" i="25"/>
  <c r="LD68" i="25"/>
  <c r="JA68" i="25"/>
  <c r="HD68" i="25"/>
  <c r="EG68" i="25"/>
  <c r="DF68" i="25"/>
  <c r="FI68" i="25"/>
  <c r="FD68" i="25"/>
  <c r="DW68" i="25"/>
  <c r="FC68" i="25"/>
  <c r="II68" i="25"/>
  <c r="EC68" i="25"/>
  <c r="GC68" i="25"/>
  <c r="DG68" i="25"/>
  <c r="IC68" i="25"/>
  <c r="IA68" i="25"/>
  <c r="QI60" i="25"/>
  <c r="RT60" i="25"/>
  <c r="SI60" i="25"/>
  <c r="RI60" i="25"/>
  <c r="QC60" i="25"/>
  <c r="PE60" i="25"/>
  <c r="PI60" i="25"/>
  <c r="OA60" i="25"/>
  <c r="NI60" i="25"/>
  <c r="MI60" i="25"/>
  <c r="LA60" i="25"/>
  <c r="KI60" i="25"/>
  <c r="HC60" i="25"/>
  <c r="MA60" i="25"/>
  <c r="LI60" i="25"/>
  <c r="KA60" i="25"/>
  <c r="JI60" i="25"/>
  <c r="LC60" i="25"/>
  <c r="JT60" i="25"/>
  <c r="HE60" i="25"/>
  <c r="LD60" i="25"/>
  <c r="JA60" i="25"/>
  <c r="HD60" i="25"/>
  <c r="DJ60" i="25"/>
  <c r="DX60" i="25" s="1"/>
  <c r="FI60" i="25"/>
  <c r="FD60" i="25"/>
  <c r="IA60" i="25"/>
  <c r="FC60" i="25"/>
  <c r="II60" i="25"/>
  <c r="EC60" i="25"/>
  <c r="DG60" i="25"/>
  <c r="SI85" i="25"/>
  <c r="RE85" i="25"/>
  <c r="QG85" i="25"/>
  <c r="RI85" i="25"/>
  <c r="QE85" i="25"/>
  <c r="QI85" i="25"/>
  <c r="QC85" i="25"/>
  <c r="PE85" i="25"/>
  <c r="PI85" i="25"/>
  <c r="NI85" i="25"/>
  <c r="OA85" i="25"/>
  <c r="JA85" i="25"/>
  <c r="MI85" i="25"/>
  <c r="LI85" i="25"/>
  <c r="LD85" i="25"/>
  <c r="KI85" i="25"/>
  <c r="MA85" i="25"/>
  <c r="LA85" i="25"/>
  <c r="KC85" i="25"/>
  <c r="JI85" i="25"/>
  <c r="HD85" i="25"/>
  <c r="KA85" i="25"/>
  <c r="JT85" i="25"/>
  <c r="HC85" i="25"/>
  <c r="DF85" i="25"/>
  <c r="FC85" i="25"/>
  <c r="EC85" i="25"/>
  <c r="FI85" i="25"/>
  <c r="HE85" i="25"/>
  <c r="GC85" i="25"/>
  <c r="EG85" i="25"/>
  <c r="FD85" i="25"/>
  <c r="II85" i="25"/>
  <c r="IA85" i="25"/>
  <c r="SE85" i="25"/>
  <c r="SI77" i="25"/>
  <c r="RD77" i="25"/>
  <c r="QT77" i="25"/>
  <c r="QG77" i="25"/>
  <c r="RI77" i="25"/>
  <c r="QI77" i="25"/>
  <c r="QC77" i="25"/>
  <c r="PD77" i="25"/>
  <c r="PI77" i="25"/>
  <c r="OC77" i="25"/>
  <c r="NI77" i="25"/>
  <c r="OA77" i="25"/>
  <c r="JA77" i="25"/>
  <c r="MI77" i="25"/>
  <c r="LI77" i="25"/>
  <c r="LC77" i="25"/>
  <c r="KI77" i="25"/>
  <c r="MA77" i="25"/>
  <c r="LA77" i="25"/>
  <c r="KT77" i="25"/>
  <c r="JI77" i="25"/>
  <c r="HD77" i="25"/>
  <c r="KA77" i="25"/>
  <c r="JT77" i="25"/>
  <c r="HC77" i="25"/>
  <c r="HE77" i="25"/>
  <c r="DJ77" i="25"/>
  <c r="DF77" i="25"/>
  <c r="FC77" i="25"/>
  <c r="EC77" i="25"/>
  <c r="DW77" i="25"/>
  <c r="FI77" i="25"/>
  <c r="GC77" i="25"/>
  <c r="EG77" i="25"/>
  <c r="DG77" i="25"/>
  <c r="FD77" i="25"/>
  <c r="II77" i="25"/>
  <c r="IA77" i="25"/>
  <c r="SC77" i="25"/>
  <c r="SI69" i="25"/>
  <c r="RC69" i="25"/>
  <c r="QC69" i="25"/>
  <c r="RI69" i="25"/>
  <c r="QI69" i="25"/>
  <c r="PE69" i="25"/>
  <c r="PI69" i="25"/>
  <c r="OT69" i="25"/>
  <c r="NI69" i="25"/>
  <c r="OA69" i="25"/>
  <c r="MI69" i="25"/>
  <c r="JA69" i="25"/>
  <c r="LI69" i="25"/>
  <c r="LC69" i="25"/>
  <c r="KI69" i="25"/>
  <c r="MA69" i="25"/>
  <c r="LA69" i="25"/>
  <c r="KC69" i="25"/>
  <c r="JI69" i="25"/>
  <c r="HD69" i="25"/>
  <c r="KA69" i="25"/>
  <c r="JD69" i="25"/>
  <c r="HC69" i="25"/>
  <c r="DJ69" i="25"/>
  <c r="DX69" i="25" s="1"/>
  <c r="DF69" i="25"/>
  <c r="FC69" i="25"/>
  <c r="EC69" i="25"/>
  <c r="DW69" i="25"/>
  <c r="FI69" i="25"/>
  <c r="HE69" i="25"/>
  <c r="GC69" i="25"/>
  <c r="EG69" i="25"/>
  <c r="DG69" i="25"/>
  <c r="FD69" i="25"/>
  <c r="II69" i="25"/>
  <c r="IA69" i="25"/>
  <c r="SG69" i="25"/>
  <c r="SU69" i="25" s="1"/>
  <c r="IC69" i="25"/>
  <c r="SI61" i="25"/>
  <c r="RD61" i="25"/>
  <c r="RI61" i="25"/>
  <c r="QI61" i="25"/>
  <c r="PT61" i="25"/>
  <c r="PI61" i="25"/>
  <c r="OT61" i="25"/>
  <c r="NI61" i="25"/>
  <c r="OA61" i="25"/>
  <c r="MI61" i="25"/>
  <c r="JA61" i="25"/>
  <c r="LI61" i="25"/>
  <c r="KI61" i="25"/>
  <c r="MA61" i="25"/>
  <c r="LA61" i="25"/>
  <c r="JI61" i="25"/>
  <c r="JC61" i="25"/>
  <c r="HD61" i="25"/>
  <c r="KA61" i="25"/>
  <c r="HC61" i="25"/>
  <c r="DJ61" i="25"/>
  <c r="DX61" i="25" s="1"/>
  <c r="DF61" i="25"/>
  <c r="FC61" i="25"/>
  <c r="EC61" i="25"/>
  <c r="DW61" i="25"/>
  <c r="FI61" i="25"/>
  <c r="IA61" i="25"/>
  <c r="EG61" i="25"/>
  <c r="DG61" i="25"/>
  <c r="FD61" i="25"/>
  <c r="II61" i="25"/>
  <c r="SE61" i="25"/>
  <c r="SI86" i="25"/>
  <c r="RI86" i="25"/>
  <c r="QI86" i="25"/>
  <c r="QC86" i="25"/>
  <c r="RC86" i="25"/>
  <c r="PT86" i="25"/>
  <c r="PI86" i="25"/>
  <c r="NI86" i="25"/>
  <c r="OA86" i="25"/>
  <c r="LA86" i="25"/>
  <c r="KT86" i="25"/>
  <c r="JD86" i="25"/>
  <c r="HE86" i="25"/>
  <c r="LI86" i="25"/>
  <c r="KA86" i="25"/>
  <c r="JA86" i="25"/>
  <c r="JE86" i="25" s="1"/>
  <c r="KI86" i="25"/>
  <c r="HC86" i="25"/>
  <c r="MI86" i="25"/>
  <c r="MA86" i="25"/>
  <c r="LC86" i="25"/>
  <c r="JI86" i="25"/>
  <c r="DJ86" i="25"/>
  <c r="DF86" i="25"/>
  <c r="HD86" i="25"/>
  <c r="DW86" i="25"/>
  <c r="II86" i="25"/>
  <c r="EG86" i="25"/>
  <c r="FI86" i="25"/>
  <c r="FD86" i="25"/>
  <c r="GC86" i="25"/>
  <c r="DG86" i="25"/>
  <c r="FC86" i="25"/>
  <c r="IA86" i="25"/>
  <c r="SI78" i="25"/>
  <c r="RI78" i="25"/>
  <c r="QI78" i="25"/>
  <c r="PT78" i="25"/>
  <c r="RT78" i="25"/>
  <c r="PI78" i="25"/>
  <c r="NI78" i="25"/>
  <c r="OA78" i="25"/>
  <c r="LA78" i="25"/>
  <c r="HE78" i="25"/>
  <c r="LI78" i="25"/>
  <c r="KT78" i="25"/>
  <c r="KA78" i="25"/>
  <c r="JA78" i="25"/>
  <c r="KI78" i="25"/>
  <c r="HC78" i="25"/>
  <c r="MI78" i="25"/>
  <c r="MA78" i="25"/>
  <c r="LC78" i="25"/>
  <c r="JI78" i="25"/>
  <c r="EC78" i="25"/>
  <c r="DJ78" i="25"/>
  <c r="DF78" i="25"/>
  <c r="DW78" i="25"/>
  <c r="II78" i="25"/>
  <c r="EG78" i="25"/>
  <c r="FI78" i="25"/>
  <c r="FD78" i="25"/>
  <c r="GC78" i="25"/>
  <c r="HD78" i="25"/>
  <c r="DG78" i="25"/>
  <c r="FC78" i="25"/>
  <c r="IC78" i="25"/>
  <c r="IA78" i="25"/>
  <c r="SG78" i="25"/>
  <c r="SI70" i="25"/>
  <c r="RI70" i="25"/>
  <c r="QI70" i="25"/>
  <c r="QC70" i="25"/>
  <c r="RD70" i="25"/>
  <c r="PE70" i="25"/>
  <c r="PI70" i="25"/>
  <c r="NI70" i="25"/>
  <c r="OA70" i="25"/>
  <c r="MI70" i="25"/>
  <c r="LA70" i="25"/>
  <c r="KT70" i="25"/>
  <c r="JC70" i="25"/>
  <c r="HE70" i="25"/>
  <c r="LI70" i="25"/>
  <c r="KA70" i="25"/>
  <c r="JA70" i="25"/>
  <c r="JE70" i="25" s="1"/>
  <c r="KI70" i="25"/>
  <c r="HC70" i="25"/>
  <c r="MA70" i="25"/>
  <c r="LT70" i="25"/>
  <c r="JI70" i="25"/>
  <c r="EC70" i="25"/>
  <c r="DF70" i="25"/>
  <c r="HD70" i="25"/>
  <c r="II70" i="25"/>
  <c r="EG70" i="25"/>
  <c r="FI70" i="25"/>
  <c r="FD70" i="25"/>
  <c r="GC70" i="25"/>
  <c r="DG70" i="25"/>
  <c r="FC70" i="25"/>
  <c r="IA70" i="25"/>
  <c r="SG70" i="25"/>
  <c r="SI62" i="25"/>
  <c r="RI62" i="25"/>
  <c r="QI62" i="25"/>
  <c r="PT62" i="25"/>
  <c r="RC62" i="25"/>
  <c r="PI62" i="25"/>
  <c r="OC62" i="25"/>
  <c r="NI62" i="25"/>
  <c r="OA62" i="25"/>
  <c r="MI62" i="25"/>
  <c r="LA62" i="25"/>
  <c r="HE62" i="25"/>
  <c r="LI62" i="25"/>
  <c r="KT62" i="25"/>
  <c r="KA62" i="25"/>
  <c r="JA62" i="25"/>
  <c r="JE62" i="25" s="1"/>
  <c r="HD62" i="25"/>
  <c r="KI62" i="25"/>
  <c r="HC62" i="25"/>
  <c r="MA62" i="25"/>
  <c r="LT62" i="25"/>
  <c r="JI62" i="25"/>
  <c r="EC62" i="25"/>
  <c r="DJ62" i="25"/>
  <c r="DX62" i="25" s="1"/>
  <c r="DF62" i="25"/>
  <c r="IA62" i="25"/>
  <c r="DW62" i="25"/>
  <c r="II62" i="25"/>
  <c r="EG62" i="25"/>
  <c r="FI62" i="25"/>
  <c r="FD62" i="25"/>
  <c r="DG62" i="25"/>
  <c r="FC62" i="25"/>
  <c r="SJ110" i="25"/>
  <c r="ST110" i="25"/>
  <c r="SE110" i="25"/>
  <c r="SI110" i="25"/>
  <c r="SS110" i="25"/>
  <c r="SC110" i="25"/>
  <c r="SR110" i="25"/>
  <c r="RT110" i="25"/>
  <c r="RE110" i="25"/>
  <c r="RI110" i="25"/>
  <c r="QK110" i="25"/>
  <c r="QQ110" i="25"/>
  <c r="SQ110" i="25"/>
  <c r="RS110" i="25"/>
  <c r="RD110" i="25"/>
  <c r="QJ110" i="25"/>
  <c r="QT110" i="25"/>
  <c r="SK110" i="25"/>
  <c r="RR110" i="25"/>
  <c r="RC110" i="25"/>
  <c r="QE110" i="25"/>
  <c r="QI110" i="25"/>
  <c r="QS110" i="25"/>
  <c r="QC110" i="25"/>
  <c r="QR110" i="25"/>
  <c r="RQ110" i="25"/>
  <c r="RF110" i="25"/>
  <c r="PC110" i="25"/>
  <c r="PK110" i="25"/>
  <c r="PQ110" i="25"/>
  <c r="OT110" i="25"/>
  <c r="OC110" i="25"/>
  <c r="NI110" i="25"/>
  <c r="NS110" i="25"/>
  <c r="ND110" i="25"/>
  <c r="PJ110" i="25"/>
  <c r="PT110" i="25"/>
  <c r="OS110" i="25"/>
  <c r="NR110" i="25"/>
  <c r="NC110" i="25"/>
  <c r="PE110" i="25"/>
  <c r="PI110" i="25"/>
  <c r="PS110" i="25"/>
  <c r="OR110" i="25"/>
  <c r="OA110" i="25"/>
  <c r="NK110" i="25"/>
  <c r="NQ110" i="25"/>
  <c r="NF110" i="25"/>
  <c r="PD110" i="25"/>
  <c r="PR110" i="25"/>
  <c r="OQ110" i="25"/>
  <c r="OE110" i="25"/>
  <c r="NJ110" i="25"/>
  <c r="NT110" i="25"/>
  <c r="NE110" i="25"/>
  <c r="MR110" i="25"/>
  <c r="LJ110" i="25"/>
  <c r="LT110" i="25"/>
  <c r="LA110" i="25"/>
  <c r="LE110" i="25"/>
  <c r="KK110" i="25"/>
  <c r="KQ110" i="25"/>
  <c r="JD110" i="25"/>
  <c r="JR110" i="25"/>
  <c r="MK110" i="25"/>
  <c r="MQ110" i="25"/>
  <c r="MC110" i="25"/>
  <c r="LI110" i="25"/>
  <c r="LS110" i="25"/>
  <c r="LD110" i="25"/>
  <c r="KJ110" i="25"/>
  <c r="KT110" i="25"/>
  <c r="KA110" i="25"/>
  <c r="JK110" i="25"/>
  <c r="JQ110" i="25"/>
  <c r="JA110" i="25"/>
  <c r="MJ110" i="25"/>
  <c r="MT110" i="25"/>
  <c r="LR110" i="25"/>
  <c r="LC110" i="25"/>
  <c r="KE110" i="25"/>
  <c r="KI110" i="25"/>
  <c r="KS110" i="25"/>
  <c r="JF110" i="25"/>
  <c r="JJ110" i="25"/>
  <c r="JT110" i="25"/>
  <c r="ME110" i="25"/>
  <c r="MI110" i="25"/>
  <c r="MS110" i="25"/>
  <c r="MA110" i="25"/>
  <c r="LK110" i="25"/>
  <c r="LQ110" i="25"/>
  <c r="KC110" i="25"/>
  <c r="KR110" i="25"/>
  <c r="JE110" i="25"/>
  <c r="JI110" i="25"/>
  <c r="JS110" i="25"/>
  <c r="JC110" i="25"/>
  <c r="HC110" i="25"/>
  <c r="EC110" i="25"/>
  <c r="DJ110" i="25"/>
  <c r="DN110" i="25"/>
  <c r="DT110" i="25"/>
  <c r="DF110" i="25"/>
  <c r="FK110" i="25"/>
  <c r="DM110" i="25"/>
  <c r="DW110" i="25"/>
  <c r="FJ110" i="25"/>
  <c r="IE110" i="25"/>
  <c r="II110" i="25"/>
  <c r="HE110" i="25"/>
  <c r="EM110" i="25"/>
  <c r="EG110" i="25"/>
  <c r="DV110" i="25"/>
  <c r="FI110" i="25"/>
  <c r="FD110" i="25"/>
  <c r="GC110" i="25"/>
  <c r="IC110" i="25"/>
  <c r="HD110" i="25"/>
  <c r="DU110" i="25"/>
  <c r="DG110" i="25"/>
  <c r="FC110" i="25"/>
  <c r="IQ110" i="25"/>
  <c r="RK110" i="25"/>
  <c r="IA110" i="25"/>
  <c r="RJ110" i="25"/>
  <c r="SJ106" i="25"/>
  <c r="ST106" i="25"/>
  <c r="SE106" i="25"/>
  <c r="SI106" i="25"/>
  <c r="SS106" i="25"/>
  <c r="SC106" i="25"/>
  <c r="SR106" i="25"/>
  <c r="SQ106" i="25"/>
  <c r="RT106" i="25"/>
  <c r="RE106" i="25"/>
  <c r="RI106" i="25"/>
  <c r="QK106" i="25"/>
  <c r="QQ106" i="25"/>
  <c r="SK106" i="25"/>
  <c r="RS106" i="25"/>
  <c r="RD106" i="25"/>
  <c r="QJ106" i="25"/>
  <c r="QT106" i="25"/>
  <c r="RR106" i="25"/>
  <c r="RC106" i="25"/>
  <c r="QE106" i="25"/>
  <c r="QI106" i="25"/>
  <c r="QS106" i="25"/>
  <c r="QR106" i="25"/>
  <c r="RQ106" i="25"/>
  <c r="RF106" i="25"/>
  <c r="QC106" i="25"/>
  <c r="PC106" i="25"/>
  <c r="PK106" i="25"/>
  <c r="PQ106" i="25"/>
  <c r="OT106" i="25"/>
  <c r="OC106" i="25"/>
  <c r="NI106" i="25"/>
  <c r="NS106" i="25"/>
  <c r="ND106" i="25"/>
  <c r="PJ106" i="25"/>
  <c r="PT106" i="25"/>
  <c r="OS106" i="25"/>
  <c r="NR106" i="25"/>
  <c r="NC106" i="25"/>
  <c r="PE106" i="25"/>
  <c r="PI106" i="25"/>
  <c r="PS106" i="25"/>
  <c r="OR106" i="25"/>
  <c r="OA106" i="25"/>
  <c r="NK106" i="25"/>
  <c r="NQ106" i="25"/>
  <c r="NF106" i="25"/>
  <c r="PD106" i="25"/>
  <c r="PR106" i="25"/>
  <c r="OQ106" i="25"/>
  <c r="OE106" i="25"/>
  <c r="NJ106" i="25"/>
  <c r="NT106" i="25"/>
  <c r="NE106" i="25"/>
  <c r="MR106" i="25"/>
  <c r="LJ106" i="25"/>
  <c r="LT106" i="25"/>
  <c r="LA106" i="25"/>
  <c r="LE106" i="25"/>
  <c r="KK106" i="25"/>
  <c r="KQ106" i="25"/>
  <c r="JD106" i="25"/>
  <c r="JR106" i="25"/>
  <c r="MK106" i="25"/>
  <c r="MQ106" i="25"/>
  <c r="MC106" i="25"/>
  <c r="LI106" i="25"/>
  <c r="LS106" i="25"/>
  <c r="LD106" i="25"/>
  <c r="KJ106" i="25"/>
  <c r="KT106" i="25"/>
  <c r="KA106" i="25"/>
  <c r="JK106" i="25"/>
  <c r="JQ106" i="25"/>
  <c r="JA106" i="25"/>
  <c r="MJ106" i="25"/>
  <c r="MT106" i="25"/>
  <c r="LR106" i="25"/>
  <c r="LC106" i="25"/>
  <c r="KE106" i="25"/>
  <c r="KI106" i="25"/>
  <c r="KS106" i="25"/>
  <c r="JF106" i="25"/>
  <c r="JJ106" i="25"/>
  <c r="JT106" i="25"/>
  <c r="ME106" i="25"/>
  <c r="MI106" i="25"/>
  <c r="MS106" i="25"/>
  <c r="MA106" i="25"/>
  <c r="LK106" i="25"/>
  <c r="LQ106" i="25"/>
  <c r="KC106" i="25"/>
  <c r="KR106" i="25"/>
  <c r="JE106" i="25"/>
  <c r="JI106" i="25"/>
  <c r="JS106" i="25"/>
  <c r="JC106" i="25"/>
  <c r="HC106" i="25"/>
  <c r="EC106" i="25"/>
  <c r="DJ106" i="25"/>
  <c r="DN106" i="25"/>
  <c r="DT106" i="25"/>
  <c r="DF106" i="25"/>
  <c r="FK106" i="25"/>
  <c r="DM106" i="25"/>
  <c r="DW106" i="25"/>
  <c r="FJ106" i="25"/>
  <c r="IE106" i="25"/>
  <c r="II106" i="25"/>
  <c r="HE106" i="25"/>
  <c r="EM106" i="25"/>
  <c r="EG106" i="25"/>
  <c r="DV106" i="25"/>
  <c r="FI106" i="25"/>
  <c r="FD106" i="25"/>
  <c r="GC106" i="25"/>
  <c r="IC106" i="25"/>
  <c r="HD106" i="25"/>
  <c r="DU106" i="25"/>
  <c r="DG106" i="25"/>
  <c r="FC106" i="25"/>
  <c r="IQ106" i="25"/>
  <c r="RK106" i="25"/>
  <c r="IA106" i="25"/>
  <c r="RJ106" i="25"/>
  <c r="SI87" i="25"/>
  <c r="QG87" i="25"/>
  <c r="RC87" i="25"/>
  <c r="PT87" i="25"/>
  <c r="RI87" i="25"/>
  <c r="QI87" i="25"/>
  <c r="PI87" i="25"/>
  <c r="NI87" i="25"/>
  <c r="OA87" i="25"/>
  <c r="MA87" i="25"/>
  <c r="JI87" i="25"/>
  <c r="HD87" i="25"/>
  <c r="MI87" i="25"/>
  <c r="LI87" i="25"/>
  <c r="JC87" i="25"/>
  <c r="LA87" i="25"/>
  <c r="KT87" i="25"/>
  <c r="JA87" i="25"/>
  <c r="KI87" i="25"/>
  <c r="KA87" i="25"/>
  <c r="HE87" i="25"/>
  <c r="HC87" i="25"/>
  <c r="DJ87" i="25"/>
  <c r="DF87" i="25"/>
  <c r="EG87" i="25"/>
  <c r="DW87" i="25"/>
  <c r="FD87" i="25"/>
  <c r="FC87" i="25"/>
  <c r="GC87" i="25"/>
  <c r="EC87" i="25"/>
  <c r="DG87" i="25"/>
  <c r="FI87" i="25"/>
  <c r="II87" i="25"/>
  <c r="IA87" i="25"/>
  <c r="SG87" i="25"/>
  <c r="IC87" i="25"/>
  <c r="SI79" i="25"/>
  <c r="QT79" i="25"/>
  <c r="PT79" i="25"/>
  <c r="PI79" i="25"/>
  <c r="RI79" i="25"/>
  <c r="QI79" i="25"/>
  <c r="NI79" i="25"/>
  <c r="OA79" i="25"/>
  <c r="MA79" i="25"/>
  <c r="JI79" i="25"/>
  <c r="JC79" i="25"/>
  <c r="HD79" i="25"/>
  <c r="MI79" i="25"/>
  <c r="LI79" i="25"/>
  <c r="LA79" i="25"/>
  <c r="KT79" i="25"/>
  <c r="JA79" i="25"/>
  <c r="JE79" i="25" s="1"/>
  <c r="KI79" i="25"/>
  <c r="KA79" i="25"/>
  <c r="JT79" i="25"/>
  <c r="HE79" i="25"/>
  <c r="DJ79" i="25"/>
  <c r="DF79" i="25"/>
  <c r="EG79" i="25"/>
  <c r="DW79" i="25"/>
  <c r="FD79" i="25"/>
  <c r="HC79" i="25"/>
  <c r="FC79" i="25"/>
  <c r="GC79" i="25"/>
  <c r="EC79" i="25"/>
  <c r="DG79" i="25"/>
  <c r="FI79" i="25"/>
  <c r="II79" i="25"/>
  <c r="IA79" i="25"/>
  <c r="SG79" i="25"/>
  <c r="IC79" i="25"/>
  <c r="SI71" i="25"/>
  <c r="QG71" i="25"/>
  <c r="RT71" i="25"/>
  <c r="PE71" i="25"/>
  <c r="RI71" i="25"/>
  <c r="QI71" i="25"/>
  <c r="PI71" i="25"/>
  <c r="PD71" i="25"/>
  <c r="NI71" i="25"/>
  <c r="MI71" i="25"/>
  <c r="OA71" i="25"/>
  <c r="MA71" i="25"/>
  <c r="JI71" i="25"/>
  <c r="HD71" i="25"/>
  <c r="LI71" i="25"/>
  <c r="JT71" i="25"/>
  <c r="LA71" i="25"/>
  <c r="KT71" i="25"/>
  <c r="JA71" i="25"/>
  <c r="KI71" i="25"/>
  <c r="KA71" i="25"/>
  <c r="HE71" i="25"/>
  <c r="HC71" i="25"/>
  <c r="DJ71" i="25"/>
  <c r="DX71" i="25" s="1"/>
  <c r="DF71" i="25"/>
  <c r="EG71" i="25"/>
  <c r="DW71" i="25"/>
  <c r="FD71" i="25"/>
  <c r="FC71" i="25"/>
  <c r="GC71" i="25"/>
  <c r="EC71" i="25"/>
  <c r="DG71" i="25"/>
  <c r="FI71" i="25"/>
  <c r="II71" i="25"/>
  <c r="IA71" i="25"/>
  <c r="SG71" i="25"/>
  <c r="SU71" i="25" s="1"/>
  <c r="IC71" i="25"/>
  <c r="SI63" i="25"/>
  <c r="QE63" i="25"/>
  <c r="PE63" i="25"/>
  <c r="PI63" i="25"/>
  <c r="RI63" i="25"/>
  <c r="QI63" i="25"/>
  <c r="NI63" i="25"/>
  <c r="MI63" i="25"/>
  <c r="OA63" i="25"/>
  <c r="MA63" i="25"/>
  <c r="JI63" i="25"/>
  <c r="HD63" i="25"/>
  <c r="LI63" i="25"/>
  <c r="LD63" i="25"/>
  <c r="HC63" i="25"/>
  <c r="LA63" i="25"/>
  <c r="LE63" i="25" s="1"/>
  <c r="JA63" i="25"/>
  <c r="KI63" i="25"/>
  <c r="KA63" i="25"/>
  <c r="HE63" i="25"/>
  <c r="DJ63" i="25"/>
  <c r="DX63" i="25" s="1"/>
  <c r="DF63" i="25"/>
  <c r="EG63" i="25"/>
  <c r="DW63" i="25"/>
  <c r="FD63" i="25"/>
  <c r="FC63" i="25"/>
  <c r="GC63" i="25"/>
  <c r="IA63" i="25"/>
  <c r="EC63" i="25"/>
  <c r="DG63" i="25"/>
  <c r="FI63" i="25"/>
  <c r="II63" i="25"/>
  <c r="QI88" i="25"/>
  <c r="SI88" i="25"/>
  <c r="RC88" i="25"/>
  <c r="RI88" i="25"/>
  <c r="QG88" i="25"/>
  <c r="PD88" i="25"/>
  <c r="QT88" i="25"/>
  <c r="PI88" i="25"/>
  <c r="OA88" i="25"/>
  <c r="NI88" i="25"/>
  <c r="LA88" i="25"/>
  <c r="KI88" i="25"/>
  <c r="KT88" i="25"/>
  <c r="HC88" i="25"/>
  <c r="MA88" i="25"/>
  <c r="LI88" i="25"/>
  <c r="KC88" i="25"/>
  <c r="KA88" i="25"/>
  <c r="JI88" i="25"/>
  <c r="HE88" i="25"/>
  <c r="MI88" i="25"/>
  <c r="JA88" i="25"/>
  <c r="HD88" i="25"/>
  <c r="EG88" i="25"/>
  <c r="DJ88" i="25"/>
  <c r="DF88" i="25"/>
  <c r="FI88" i="25"/>
  <c r="FD88" i="25"/>
  <c r="DW88" i="25"/>
  <c r="II88" i="25"/>
  <c r="EC88" i="25"/>
  <c r="GC88" i="25"/>
  <c r="DG88" i="25"/>
  <c r="IA88" i="25"/>
  <c r="SG88" i="25"/>
  <c r="QI80" i="25"/>
  <c r="RT80" i="25"/>
  <c r="RI80" i="25"/>
  <c r="SI80" i="25"/>
  <c r="PD80" i="25"/>
  <c r="PI80" i="25"/>
  <c r="OA80" i="25"/>
  <c r="NI80" i="25"/>
  <c r="MT80" i="25"/>
  <c r="LA80" i="25"/>
  <c r="KI80" i="25"/>
  <c r="KT80" i="25"/>
  <c r="HC80" i="25"/>
  <c r="MA80" i="25"/>
  <c r="LI80" i="25"/>
  <c r="KC80" i="25"/>
  <c r="KA80" i="25"/>
  <c r="JI80" i="25"/>
  <c r="HE80" i="25"/>
  <c r="MI80" i="25"/>
  <c r="JA80" i="25"/>
  <c r="HD80" i="25"/>
  <c r="EG80" i="25"/>
  <c r="DJ80" i="25"/>
  <c r="DF80" i="25"/>
  <c r="FI80" i="25"/>
  <c r="FD80" i="25"/>
  <c r="DW80" i="25"/>
  <c r="FC80" i="25"/>
  <c r="II80" i="25"/>
  <c r="EC80" i="25"/>
  <c r="GC80" i="25"/>
  <c r="DG80" i="25"/>
  <c r="IA80" i="25"/>
  <c r="QI72" i="25"/>
  <c r="SI72" i="25"/>
  <c r="RT72" i="25"/>
  <c r="RI72" i="25"/>
  <c r="QG72" i="25"/>
  <c r="PD72" i="25"/>
  <c r="PI72" i="25"/>
  <c r="OA72" i="25"/>
  <c r="NI72" i="25"/>
  <c r="MI72" i="25"/>
  <c r="LA72" i="25"/>
  <c r="KI72" i="25"/>
  <c r="HC72" i="25"/>
  <c r="MA72" i="25"/>
  <c r="LI72" i="25"/>
  <c r="KA72" i="25"/>
  <c r="JI72" i="25"/>
  <c r="JD72" i="25"/>
  <c r="HE72" i="25"/>
  <c r="MC72" i="25"/>
  <c r="JA72" i="25"/>
  <c r="HD72" i="25"/>
  <c r="EG72" i="25"/>
  <c r="DJ72" i="25"/>
  <c r="DF72" i="25"/>
  <c r="FI72" i="25"/>
  <c r="FD72" i="25"/>
  <c r="DW72" i="25"/>
  <c r="FC72" i="25"/>
  <c r="II72" i="25"/>
  <c r="EC72" i="25"/>
  <c r="GC72" i="25"/>
  <c r="DG72" i="25"/>
  <c r="IA72" i="25"/>
  <c r="SG72" i="25"/>
  <c r="QI64" i="25"/>
  <c r="RT64" i="25"/>
  <c r="RI64" i="25"/>
  <c r="SI64" i="25"/>
  <c r="PD64" i="25"/>
  <c r="PI64" i="25"/>
  <c r="OA64" i="25"/>
  <c r="NI64" i="25"/>
  <c r="MI64" i="25"/>
  <c r="LA64" i="25"/>
  <c r="KI64" i="25"/>
  <c r="HC64" i="25"/>
  <c r="MA64" i="25"/>
  <c r="LI64" i="25"/>
  <c r="KA64" i="25"/>
  <c r="JI64" i="25"/>
  <c r="JD64" i="25"/>
  <c r="HE64" i="25"/>
  <c r="JA64" i="25"/>
  <c r="HD64" i="25"/>
  <c r="EG64" i="25"/>
  <c r="DJ64" i="25"/>
  <c r="DX64" i="25" s="1"/>
  <c r="DF64" i="25"/>
  <c r="FI64" i="25"/>
  <c r="FD64" i="25"/>
  <c r="IA64" i="25"/>
  <c r="DW64" i="25"/>
  <c r="FC64" i="25"/>
  <c r="II64" i="25"/>
  <c r="EC64" i="25"/>
  <c r="GC64" i="25"/>
  <c r="DG64" i="25"/>
  <c r="QI56" i="25"/>
  <c r="SI56" i="25"/>
  <c r="RC56" i="25"/>
  <c r="RI56" i="25"/>
  <c r="PT56" i="25"/>
  <c r="PI56" i="25"/>
  <c r="OA56" i="25"/>
  <c r="NI56" i="25"/>
  <c r="MI56" i="25"/>
  <c r="LA56" i="25"/>
  <c r="KI56" i="25"/>
  <c r="HC56" i="25"/>
  <c r="MA56" i="25"/>
  <c r="LI56" i="25"/>
  <c r="KA56" i="25"/>
  <c r="JI56" i="25"/>
  <c r="JC56" i="25"/>
  <c r="HE56" i="25"/>
  <c r="MC56" i="25"/>
  <c r="JA56" i="25"/>
  <c r="HD56" i="25"/>
  <c r="EG56" i="25"/>
  <c r="DJ56" i="25"/>
  <c r="DF56" i="25"/>
  <c r="FI56" i="25"/>
  <c r="FD56" i="25"/>
  <c r="IA56" i="25"/>
  <c r="DW56" i="25"/>
  <c r="FC56" i="25"/>
  <c r="II56" i="25"/>
  <c r="EC56" i="25"/>
  <c r="GC56" i="25"/>
  <c r="DG56" i="25"/>
  <c r="SI81" i="25"/>
  <c r="RT81" i="25"/>
  <c r="RD81" i="25"/>
  <c r="QT81" i="25"/>
  <c r="RE81" i="25"/>
  <c r="RI81" i="25"/>
  <c r="QI81" i="25"/>
  <c r="PI81" i="25"/>
  <c r="NI81" i="25"/>
  <c r="OA81" i="25"/>
  <c r="JA81" i="25"/>
  <c r="MI81" i="25"/>
  <c r="LI81" i="25"/>
  <c r="LC81" i="25"/>
  <c r="KI81" i="25"/>
  <c r="MA81" i="25"/>
  <c r="LA81" i="25"/>
  <c r="JI81" i="25"/>
  <c r="HD81" i="25"/>
  <c r="KA81" i="25"/>
  <c r="JD81" i="25"/>
  <c r="HC81" i="25"/>
  <c r="DJ81" i="25"/>
  <c r="DF81" i="25"/>
  <c r="FC81" i="25"/>
  <c r="EC81" i="25"/>
  <c r="DW81" i="25"/>
  <c r="FI81" i="25"/>
  <c r="GC81" i="25"/>
  <c r="HE81" i="25"/>
  <c r="EG81" i="25"/>
  <c r="DG81" i="25"/>
  <c r="FD81" i="25"/>
  <c r="II81" i="25"/>
  <c r="IA81" i="25"/>
  <c r="SI73" i="25"/>
  <c r="QG73" i="25"/>
  <c r="RI73" i="25"/>
  <c r="QI73" i="25"/>
  <c r="PI73" i="25"/>
  <c r="NI73" i="25"/>
  <c r="OA73" i="25"/>
  <c r="MI73" i="25"/>
  <c r="OC73" i="25"/>
  <c r="JA73" i="25"/>
  <c r="LI73" i="25"/>
  <c r="LT73" i="25"/>
  <c r="KI73" i="25"/>
  <c r="MA73" i="25"/>
  <c r="LA73" i="25"/>
  <c r="KT73" i="25"/>
  <c r="JI73" i="25"/>
  <c r="HD73" i="25"/>
  <c r="KA73" i="25"/>
  <c r="HC73" i="25"/>
  <c r="DJ73" i="25"/>
  <c r="DF73" i="25"/>
  <c r="FC73" i="25"/>
  <c r="HE73" i="25"/>
  <c r="EC73" i="25"/>
  <c r="DW73" i="25"/>
  <c r="FI73" i="25"/>
  <c r="GC73" i="25"/>
  <c r="EG73" i="25"/>
  <c r="DG73" i="25"/>
  <c r="FD73" i="25"/>
  <c r="II73" i="25"/>
  <c r="IA73" i="25"/>
  <c r="SG73" i="25"/>
  <c r="SI65" i="25"/>
  <c r="RD65" i="25"/>
  <c r="RI65" i="25"/>
  <c r="QI65" i="25"/>
  <c r="PT65" i="25"/>
  <c r="PI65" i="25"/>
  <c r="NI65" i="25"/>
  <c r="OA65" i="25"/>
  <c r="MI65" i="25"/>
  <c r="OC65" i="25"/>
  <c r="JA65" i="25"/>
  <c r="JE65" i="25" s="1"/>
  <c r="LI65" i="25"/>
  <c r="LC65" i="25"/>
  <c r="KI65" i="25"/>
  <c r="HE65" i="25"/>
  <c r="MA65" i="25"/>
  <c r="LA65" i="25"/>
  <c r="KT65" i="25"/>
  <c r="JI65" i="25"/>
  <c r="HD65" i="25"/>
  <c r="KA65" i="25"/>
  <c r="HC65" i="25"/>
  <c r="DJ65" i="25"/>
  <c r="DX65" i="25" s="1"/>
  <c r="DF65" i="25"/>
  <c r="FC65" i="25"/>
  <c r="EC65" i="25"/>
  <c r="DW65" i="25"/>
  <c r="FI65" i="25"/>
  <c r="GC65" i="25"/>
  <c r="IA65" i="25"/>
  <c r="EG65" i="25"/>
  <c r="DG65" i="25"/>
  <c r="FD65" i="25"/>
  <c r="II65" i="25"/>
  <c r="IC65" i="25"/>
  <c r="SI57" i="25"/>
  <c r="QT57" i="25"/>
  <c r="RI57" i="25"/>
  <c r="QI57" i="25"/>
  <c r="PT57" i="25"/>
  <c r="PI57" i="25"/>
  <c r="NI57" i="25"/>
  <c r="OA57" i="25"/>
  <c r="MI57" i="25"/>
  <c r="OC57" i="25"/>
  <c r="JA57" i="25"/>
  <c r="LI57" i="25"/>
  <c r="LC57" i="25"/>
  <c r="KI57" i="25"/>
  <c r="HE57" i="25"/>
  <c r="MA57" i="25"/>
  <c r="LA57" i="25"/>
  <c r="KC57" i="25"/>
  <c r="JI57" i="25"/>
  <c r="HD57" i="25"/>
  <c r="LD57" i="25"/>
  <c r="KA57" i="25"/>
  <c r="HC57" i="25"/>
  <c r="DJ57" i="25"/>
  <c r="DF57" i="25"/>
  <c r="EC57" i="25"/>
  <c r="DW57" i="25"/>
  <c r="FI57" i="25"/>
  <c r="IC57" i="25"/>
  <c r="IA57" i="25"/>
  <c r="EG57" i="25"/>
  <c r="DG57" i="25"/>
  <c r="II57" i="25"/>
  <c r="SI82" i="25"/>
  <c r="RI82" i="25"/>
  <c r="QI82" i="25"/>
  <c r="QE82" i="25"/>
  <c r="RC82" i="25"/>
  <c r="PE82" i="25"/>
  <c r="PI82" i="25"/>
  <c r="NI82" i="25"/>
  <c r="OA82" i="25"/>
  <c r="LA82" i="25"/>
  <c r="HE82" i="25"/>
  <c r="LI82" i="25"/>
  <c r="KA82" i="25"/>
  <c r="JA82" i="25"/>
  <c r="KI82" i="25"/>
  <c r="HC82" i="25"/>
  <c r="MI82" i="25"/>
  <c r="MA82" i="25"/>
  <c r="LT82" i="25"/>
  <c r="JI82" i="25"/>
  <c r="EC82" i="25"/>
  <c r="DJ82" i="25"/>
  <c r="DF82" i="25"/>
  <c r="DW82" i="25"/>
  <c r="II82" i="25"/>
  <c r="HD82" i="25"/>
  <c r="EG82" i="25"/>
  <c r="FI82" i="25"/>
  <c r="FD82" i="25"/>
  <c r="GC82" i="25"/>
  <c r="DG82" i="25"/>
  <c r="FC82" i="25"/>
  <c r="IC82" i="25"/>
  <c r="IA82" i="25"/>
  <c r="SI74" i="25"/>
  <c r="RI74" i="25"/>
  <c r="QI74" i="25"/>
  <c r="RT74" i="25"/>
  <c r="PD74" i="25"/>
  <c r="PI74" i="25"/>
  <c r="NI74" i="25"/>
  <c r="OT74" i="25"/>
  <c r="OA74" i="25"/>
  <c r="MI74" i="25"/>
  <c r="LA74" i="25"/>
  <c r="KT74" i="25"/>
  <c r="HE74" i="25"/>
  <c r="LI74" i="25"/>
  <c r="KA74" i="25"/>
  <c r="JA74" i="25"/>
  <c r="KI74" i="25"/>
  <c r="HC74" i="25"/>
  <c r="MA74" i="25"/>
  <c r="LC74" i="25"/>
  <c r="JI74" i="25"/>
  <c r="HD74" i="25"/>
  <c r="EC74" i="25"/>
  <c r="DJ74" i="25"/>
  <c r="DF74" i="25"/>
  <c r="DW74" i="25"/>
  <c r="II74" i="25"/>
  <c r="EG74" i="25"/>
  <c r="FI74" i="25"/>
  <c r="FD74" i="25"/>
  <c r="GC74" i="25"/>
  <c r="DG74" i="25"/>
  <c r="FC74" i="25"/>
  <c r="IA74" i="25"/>
  <c r="SI66" i="25"/>
  <c r="RI66" i="25"/>
  <c r="QI66" i="25"/>
  <c r="RC66" i="25"/>
  <c r="PC66" i="25"/>
  <c r="PI66" i="25"/>
  <c r="NI66" i="25"/>
  <c r="OT66" i="25"/>
  <c r="OA66" i="25"/>
  <c r="MI66" i="25"/>
  <c r="LA66" i="25"/>
  <c r="KC66" i="25"/>
  <c r="HE66" i="25"/>
  <c r="LI66" i="25"/>
  <c r="KT66" i="25"/>
  <c r="KA66" i="25"/>
  <c r="JA66" i="25"/>
  <c r="HD66" i="25"/>
  <c r="KI66" i="25"/>
  <c r="HC66" i="25"/>
  <c r="MA66" i="25"/>
  <c r="LD66" i="25"/>
  <c r="JI66" i="25"/>
  <c r="EC66" i="25"/>
  <c r="DJ66" i="25"/>
  <c r="DX66" i="25" s="1"/>
  <c r="DF66" i="25"/>
  <c r="DW66" i="25"/>
  <c r="II66" i="25"/>
  <c r="EG66" i="25"/>
  <c r="FI66" i="25"/>
  <c r="FD66" i="25"/>
  <c r="GC66" i="25"/>
  <c r="DG66" i="25"/>
  <c r="FC66" i="25"/>
  <c r="IC66" i="25"/>
  <c r="IA66" i="25"/>
  <c r="SI58" i="25"/>
  <c r="RI58" i="25"/>
  <c r="RC58" i="25"/>
  <c r="QI58" i="25"/>
  <c r="RD58" i="25"/>
  <c r="PD58" i="25"/>
  <c r="PI58" i="25"/>
  <c r="NI58" i="25"/>
  <c r="OT58" i="25"/>
  <c r="OA58" i="25"/>
  <c r="MI58" i="25"/>
  <c r="LA58" i="25"/>
  <c r="HE58" i="25"/>
  <c r="LI58" i="25"/>
  <c r="KT58" i="25"/>
  <c r="KA58" i="25"/>
  <c r="JA58" i="25"/>
  <c r="HD58" i="25"/>
  <c r="KI58" i="25"/>
  <c r="HC58" i="25"/>
  <c r="MA58" i="25"/>
  <c r="LD58" i="25"/>
  <c r="KC58" i="25"/>
  <c r="BJ58" i="25" s="1"/>
  <c r="JI58" i="25"/>
  <c r="EC58" i="25"/>
  <c r="DJ58" i="25"/>
  <c r="DX58" i="25" s="1"/>
  <c r="DF58" i="25"/>
  <c r="IA58" i="25"/>
  <c r="DW58" i="25"/>
  <c r="II58" i="25"/>
  <c r="EG58" i="25"/>
  <c r="FI58" i="25"/>
  <c r="FD58" i="25"/>
  <c r="DG58" i="25"/>
  <c r="IC58" i="25"/>
  <c r="SJ118" i="25"/>
  <c r="ST118" i="25"/>
  <c r="SE118" i="25"/>
  <c r="SI118" i="25"/>
  <c r="SS118" i="25"/>
  <c r="SC118" i="25"/>
  <c r="SR118" i="25"/>
  <c r="SK118" i="25"/>
  <c r="RT118" i="25"/>
  <c r="RE118" i="25"/>
  <c r="RI118" i="25"/>
  <c r="QK118" i="25"/>
  <c r="QQ118" i="25"/>
  <c r="RS118" i="25"/>
  <c r="RD118" i="25"/>
  <c r="QJ118" i="25"/>
  <c r="QT118" i="25"/>
  <c r="RR118" i="25"/>
  <c r="RC118" i="25"/>
  <c r="QE118" i="25"/>
  <c r="QI118" i="25"/>
  <c r="QS118" i="25"/>
  <c r="RQ118" i="25"/>
  <c r="RF118" i="25"/>
  <c r="SQ118" i="25"/>
  <c r="QC118" i="25"/>
  <c r="QR118" i="25"/>
  <c r="PC118" i="25"/>
  <c r="PK118" i="25"/>
  <c r="PQ118" i="25"/>
  <c r="OT118" i="25"/>
  <c r="OC118" i="25"/>
  <c r="NI118" i="25"/>
  <c r="NS118" i="25"/>
  <c r="ND118" i="25"/>
  <c r="PJ118" i="25"/>
  <c r="PT118" i="25"/>
  <c r="OS118" i="25"/>
  <c r="NR118" i="25"/>
  <c r="NC118" i="25"/>
  <c r="PE118" i="25"/>
  <c r="PI118" i="25"/>
  <c r="PS118" i="25"/>
  <c r="OR118" i="25"/>
  <c r="OA118" i="25"/>
  <c r="NK118" i="25"/>
  <c r="NQ118" i="25"/>
  <c r="NF118" i="25"/>
  <c r="PD118" i="25"/>
  <c r="PR118" i="25"/>
  <c r="OQ118" i="25"/>
  <c r="OE118" i="25"/>
  <c r="NJ118" i="25"/>
  <c r="NT118" i="25"/>
  <c r="NE118" i="25"/>
  <c r="MR118" i="25"/>
  <c r="LJ118" i="25"/>
  <c r="LT118" i="25"/>
  <c r="LA118" i="25"/>
  <c r="LE118" i="25"/>
  <c r="KK118" i="25"/>
  <c r="KQ118" i="25"/>
  <c r="JD118" i="25"/>
  <c r="JR118" i="25"/>
  <c r="MK118" i="25"/>
  <c r="MQ118" i="25"/>
  <c r="MC118" i="25"/>
  <c r="LI118" i="25"/>
  <c r="LS118" i="25"/>
  <c r="LD118" i="25"/>
  <c r="KJ118" i="25"/>
  <c r="KT118" i="25"/>
  <c r="KA118" i="25"/>
  <c r="JK118" i="25"/>
  <c r="JQ118" i="25"/>
  <c r="JA118" i="25"/>
  <c r="MJ118" i="25"/>
  <c r="MT118" i="25"/>
  <c r="LR118" i="25"/>
  <c r="LC118" i="25"/>
  <c r="KE118" i="25"/>
  <c r="KI118" i="25"/>
  <c r="KS118" i="25"/>
  <c r="JF118" i="25"/>
  <c r="JJ118" i="25"/>
  <c r="JT118" i="25"/>
  <c r="ME118" i="25"/>
  <c r="MI118" i="25"/>
  <c r="MS118" i="25"/>
  <c r="MA118" i="25"/>
  <c r="LK118" i="25"/>
  <c r="LQ118" i="25"/>
  <c r="KC118" i="25"/>
  <c r="KR118" i="25"/>
  <c r="JE118" i="25"/>
  <c r="JI118" i="25"/>
  <c r="JS118" i="25"/>
  <c r="JC118" i="25"/>
  <c r="HC118" i="25"/>
  <c r="EC118" i="25"/>
  <c r="DJ118" i="25"/>
  <c r="DN118" i="25"/>
  <c r="DT118" i="25"/>
  <c r="DF118" i="25"/>
  <c r="FK118" i="25"/>
  <c r="DM118" i="25"/>
  <c r="DW118" i="25"/>
  <c r="FJ118" i="25"/>
  <c r="IE118" i="25"/>
  <c r="II118" i="25"/>
  <c r="HE118" i="25"/>
  <c r="EM118" i="25"/>
  <c r="EG118" i="25"/>
  <c r="DV118" i="25"/>
  <c r="FI118" i="25"/>
  <c r="FD118" i="25"/>
  <c r="GC118" i="25"/>
  <c r="IC118" i="25"/>
  <c r="HD118" i="25"/>
  <c r="DU118" i="25"/>
  <c r="DG118" i="25"/>
  <c r="FC118" i="25"/>
  <c r="IQ118" i="25"/>
  <c r="RK118" i="25"/>
  <c r="IA118" i="25"/>
  <c r="RJ118" i="25"/>
  <c r="SI102" i="25"/>
  <c r="RE102" i="25"/>
  <c r="RI102" i="25"/>
  <c r="RD102" i="25"/>
  <c r="QE102" i="25"/>
  <c r="QI102" i="25"/>
  <c r="QG102" i="25"/>
  <c r="QC102" i="25"/>
  <c r="NI102" i="25"/>
  <c r="PC102" i="25"/>
  <c r="PT102" i="25"/>
  <c r="OT102" i="25"/>
  <c r="PE102" i="25"/>
  <c r="PI102" i="25"/>
  <c r="OA102" i="25"/>
  <c r="PD102" i="25"/>
  <c r="OE102" i="25"/>
  <c r="LA102" i="25"/>
  <c r="LI102" i="25"/>
  <c r="LD102" i="25"/>
  <c r="KT102" i="25"/>
  <c r="KA102" i="25"/>
  <c r="JA102" i="25"/>
  <c r="JE102" i="25" s="1"/>
  <c r="LC102" i="25"/>
  <c r="KI102" i="25"/>
  <c r="JT102" i="25"/>
  <c r="MI102" i="25"/>
  <c r="MA102" i="25"/>
  <c r="JI102" i="25"/>
  <c r="HC102" i="25"/>
  <c r="EC102" i="25"/>
  <c r="DJ102" i="25"/>
  <c r="DF102" i="25"/>
  <c r="DW102" i="25"/>
  <c r="II102" i="25"/>
  <c r="HE102" i="25"/>
  <c r="EG102" i="25"/>
  <c r="FI102" i="25"/>
  <c r="FD102" i="25"/>
  <c r="GC102" i="25"/>
  <c r="HD102" i="25"/>
  <c r="DG102" i="25"/>
  <c r="FC102" i="25"/>
  <c r="IA102" i="25"/>
  <c r="SG102" i="25"/>
  <c r="OI110" i="25"/>
  <c r="OK110" i="25"/>
  <c r="OJ110" i="25"/>
  <c r="NA110" i="25"/>
  <c r="L110" i="25"/>
  <c r="OI83" i="25"/>
  <c r="NA83" i="25"/>
  <c r="OI75" i="25"/>
  <c r="NA75" i="25"/>
  <c r="OI67" i="25"/>
  <c r="NA67" i="25"/>
  <c r="OI59" i="25"/>
  <c r="NA59" i="25"/>
  <c r="OI84" i="25"/>
  <c r="NA84" i="25"/>
  <c r="OI76" i="25"/>
  <c r="NA76" i="25"/>
  <c r="OI68" i="25"/>
  <c r="NA68" i="25"/>
  <c r="OI60" i="25"/>
  <c r="NA60" i="25"/>
  <c r="OI85" i="25"/>
  <c r="NA85" i="25"/>
  <c r="OI77" i="25"/>
  <c r="NA77" i="25"/>
  <c r="OI69" i="25"/>
  <c r="NA69" i="25"/>
  <c r="OI61" i="25"/>
  <c r="NA61" i="25"/>
  <c r="OI86" i="25"/>
  <c r="NA86" i="25"/>
  <c r="OI78" i="25"/>
  <c r="NA78" i="25"/>
  <c r="OI70" i="25"/>
  <c r="NA70" i="25"/>
  <c r="OI62" i="25"/>
  <c r="NA62" i="25"/>
  <c r="OI106" i="25"/>
  <c r="OK106" i="25"/>
  <c r="OJ106" i="25"/>
  <c r="NA106" i="25"/>
  <c r="L106" i="25"/>
  <c r="OI118" i="25"/>
  <c r="OK118" i="25"/>
  <c r="OJ118" i="25"/>
  <c r="NA118" i="25"/>
  <c r="L118" i="25"/>
  <c r="OI102" i="25"/>
  <c r="NT102" i="25"/>
  <c r="NA102" i="25"/>
  <c r="NE102" i="25" s="1"/>
  <c r="OI87" i="25"/>
  <c r="NA87" i="25"/>
  <c r="OI79" i="25"/>
  <c r="NA79" i="25"/>
  <c r="OI71" i="25"/>
  <c r="NA71" i="25"/>
  <c r="OI63" i="25"/>
  <c r="NA63" i="25"/>
  <c r="OI88" i="25"/>
  <c r="NA88" i="25"/>
  <c r="OI80" i="25"/>
  <c r="NA80" i="25"/>
  <c r="OI72" i="25"/>
  <c r="NA72" i="25"/>
  <c r="OI64" i="25"/>
  <c r="NA64" i="25"/>
  <c r="OI56" i="25"/>
  <c r="NA56" i="25"/>
  <c r="OI81" i="25"/>
  <c r="NA81" i="25"/>
  <c r="OI73" i="25"/>
  <c r="NC73" i="25"/>
  <c r="NA73" i="25"/>
  <c r="OI65" i="25"/>
  <c r="NC65" i="25"/>
  <c r="NA65" i="25"/>
  <c r="OI57" i="25"/>
  <c r="NA57" i="25"/>
  <c r="OI82" i="25"/>
  <c r="ND82" i="25"/>
  <c r="NA82" i="25"/>
  <c r="OI74" i="25"/>
  <c r="ND74" i="25"/>
  <c r="NA74" i="25"/>
  <c r="OI66" i="25"/>
  <c r="NA66" i="25"/>
  <c r="OI58" i="25"/>
  <c r="NA58" i="25"/>
  <c r="OI114" i="25"/>
  <c r="OK114" i="25"/>
  <c r="OJ114" i="25"/>
  <c r="NA114" i="25"/>
  <c r="L114" i="25"/>
  <c r="I99" i="42" l="1"/>
  <c r="I98" i="42"/>
  <c r="S86" i="3"/>
  <c r="J98" i="42"/>
  <c r="I113" i="42"/>
  <c r="J84" i="42"/>
  <c r="T98" i="42"/>
  <c r="I84" i="42"/>
  <c r="J76" i="42"/>
  <c r="J95" i="42"/>
  <c r="T99" i="42"/>
  <c r="I87" i="42"/>
  <c r="I95" i="42"/>
  <c r="I91" i="42"/>
  <c r="J99" i="42"/>
  <c r="J109" i="42"/>
  <c r="SU70" i="25"/>
  <c r="C87" i="3"/>
  <c r="J87" i="3"/>
  <c r="EH71" i="25"/>
  <c r="EI71" i="25"/>
  <c r="EI70" i="25"/>
  <c r="EH70" i="25"/>
  <c r="EY70" i="25" s="1"/>
  <c r="CL70" i="25" s="1"/>
  <c r="EI65" i="25"/>
  <c r="EH65" i="25"/>
  <c r="EY65" i="25" s="1"/>
  <c r="CL65" i="25" s="1"/>
  <c r="FU71" i="25"/>
  <c r="GU61" i="25"/>
  <c r="EI69" i="25"/>
  <c r="EH69" i="25"/>
  <c r="EY69" i="25" s="1"/>
  <c r="CL69" i="25" s="1"/>
  <c r="EY71" i="25"/>
  <c r="CL71" i="25" s="1"/>
  <c r="EH64" i="25"/>
  <c r="EY64" i="25" s="1"/>
  <c r="EI64" i="25"/>
  <c r="EH63" i="25"/>
  <c r="EY63" i="25" s="1"/>
  <c r="EI63" i="25"/>
  <c r="EI62" i="25"/>
  <c r="EH62" i="25"/>
  <c r="EY62" i="25" s="1"/>
  <c r="CL62" i="25" s="1"/>
  <c r="QU71" i="25"/>
  <c r="GU65" i="25"/>
  <c r="EH68" i="25"/>
  <c r="EY68" i="25" s="1"/>
  <c r="EI68" i="25"/>
  <c r="EH67" i="25"/>
  <c r="EY67" i="25" s="1"/>
  <c r="CL67" i="25" s="1"/>
  <c r="EI67" i="25"/>
  <c r="EI66" i="25"/>
  <c r="EH66" i="25"/>
  <c r="EY66" i="25" s="1"/>
  <c r="CL66" i="25" s="1"/>
  <c r="EI61" i="25"/>
  <c r="EH61" i="25"/>
  <c r="EY61" i="25" s="1"/>
  <c r="CL61" i="25" s="1"/>
  <c r="FU69" i="25"/>
  <c r="F80" i="3"/>
  <c r="F74" i="3"/>
  <c r="D71" i="3"/>
  <c r="F86" i="3"/>
  <c r="C83" i="3"/>
  <c r="C82" i="3"/>
  <c r="C81" i="3"/>
  <c r="F85" i="3"/>
  <c r="D83" i="42"/>
  <c r="C94" i="42"/>
  <c r="M94" i="42"/>
  <c r="O94" i="42"/>
  <c r="O108" i="42"/>
  <c r="M108" i="42"/>
  <c r="G82" i="42"/>
  <c r="O101" i="42"/>
  <c r="M101" i="42"/>
  <c r="M102" i="42"/>
  <c r="O102" i="42"/>
  <c r="T116" i="42"/>
  <c r="O116" i="42"/>
  <c r="M116" i="42"/>
  <c r="G79" i="42"/>
  <c r="T90" i="42"/>
  <c r="M90" i="42"/>
  <c r="O90" i="42"/>
  <c r="O104" i="42"/>
  <c r="M104" i="42"/>
  <c r="N78" i="42"/>
  <c r="O97" i="42"/>
  <c r="M97" i="42"/>
  <c r="T115" i="42"/>
  <c r="O115" i="42"/>
  <c r="M115" i="42"/>
  <c r="J114" i="42"/>
  <c r="M114" i="42"/>
  <c r="O114" i="42"/>
  <c r="G85" i="42"/>
  <c r="J96" i="42"/>
  <c r="O96" i="42"/>
  <c r="M96" i="42"/>
  <c r="T86" i="42"/>
  <c r="N89" i="42"/>
  <c r="O89" i="42"/>
  <c r="M89" i="42"/>
  <c r="C107" i="42"/>
  <c r="O107" i="42"/>
  <c r="M107" i="42"/>
  <c r="O93" i="42"/>
  <c r="M93" i="42"/>
  <c r="O111" i="42"/>
  <c r="M111" i="42"/>
  <c r="M110" i="42"/>
  <c r="O110" i="42"/>
  <c r="D81" i="42"/>
  <c r="N92" i="42"/>
  <c r="O92" i="42"/>
  <c r="M92" i="42"/>
  <c r="D103" i="42"/>
  <c r="O103" i="42"/>
  <c r="M103" i="42"/>
  <c r="C117" i="42"/>
  <c r="O117" i="42"/>
  <c r="M117" i="42"/>
  <c r="L80" i="42"/>
  <c r="T118" i="42"/>
  <c r="O118" i="42"/>
  <c r="O100" i="42"/>
  <c r="M100" i="42"/>
  <c r="G106" i="42"/>
  <c r="M106" i="42"/>
  <c r="O106" i="42"/>
  <c r="N77" i="42"/>
  <c r="L88" i="42"/>
  <c r="O88" i="42"/>
  <c r="M88" i="42"/>
  <c r="O99" i="42"/>
  <c r="M99" i="42"/>
  <c r="N113" i="42"/>
  <c r="O113" i="42"/>
  <c r="M113" i="42"/>
  <c r="O87" i="42"/>
  <c r="M87" i="42"/>
  <c r="M98" i="42"/>
  <c r="O98" i="42"/>
  <c r="O112" i="42"/>
  <c r="M112" i="42"/>
  <c r="O91" i="42"/>
  <c r="M91" i="42"/>
  <c r="C105" i="42"/>
  <c r="O105" i="42"/>
  <c r="M105" i="42"/>
  <c r="O95" i="42"/>
  <c r="M95" i="42"/>
  <c r="O109" i="42"/>
  <c r="M109" i="42"/>
  <c r="EH60" i="25"/>
  <c r="EI60" i="25"/>
  <c r="EH59" i="25"/>
  <c r="EY59" i="25" s="1"/>
  <c r="CL59" i="25" s="1"/>
  <c r="EI59" i="25"/>
  <c r="FD59" i="25"/>
  <c r="FT59" i="25"/>
  <c r="FG59" i="25"/>
  <c r="FU59" i="25" s="1"/>
  <c r="T75" i="42"/>
  <c r="EI58" i="25"/>
  <c r="EH58" i="25"/>
  <c r="EY58" i="25" s="1"/>
  <c r="CL58" i="25" s="1"/>
  <c r="L71" i="42"/>
  <c r="AF71" i="42" s="1"/>
  <c r="AG71" i="42" s="1"/>
  <c r="AL71" i="42" s="1"/>
  <c r="EI57" i="25"/>
  <c r="EH57" i="25"/>
  <c r="EY57" i="25" s="1"/>
  <c r="CL57" i="25" s="1"/>
  <c r="T74" i="42"/>
  <c r="EI56" i="25"/>
  <c r="EH56" i="25"/>
  <c r="EY56" i="25" s="1"/>
  <c r="CL56" i="25" s="1"/>
  <c r="N73" i="42"/>
  <c r="D87" i="3"/>
  <c r="F92" i="3"/>
  <c r="I96" i="42"/>
  <c r="I93" i="42"/>
  <c r="L92" i="42"/>
  <c r="G107" i="42"/>
  <c r="C118" i="42"/>
  <c r="I85" i="42"/>
  <c r="D111" i="42"/>
  <c r="D110" i="42"/>
  <c r="G103" i="42"/>
  <c r="J83" i="42"/>
  <c r="J94" i="42"/>
  <c r="F71" i="3"/>
  <c r="D79" i="42"/>
  <c r="C90" i="42"/>
  <c r="D90" i="42"/>
  <c r="N83" i="42"/>
  <c r="G83" i="42"/>
  <c r="T71" i="42"/>
  <c r="L82" i="42"/>
  <c r="N80" i="42"/>
  <c r="L75" i="42"/>
  <c r="T94" i="42"/>
  <c r="D101" i="42"/>
  <c r="C102" i="42"/>
  <c r="T102" i="42"/>
  <c r="C100" i="42"/>
  <c r="C108" i="42"/>
  <c r="G108" i="42"/>
  <c r="T103" i="42"/>
  <c r="C116" i="42"/>
  <c r="T79" i="42"/>
  <c r="L90" i="42"/>
  <c r="C83" i="42"/>
  <c r="L83" i="42"/>
  <c r="N71" i="42"/>
  <c r="AI71" i="42" s="1"/>
  <c r="G71" i="42"/>
  <c r="T82" i="42"/>
  <c r="D75" i="42"/>
  <c r="L94" i="42"/>
  <c r="N101" i="42"/>
  <c r="L101" i="42"/>
  <c r="D102" i="42"/>
  <c r="T108" i="42"/>
  <c r="N116" i="42"/>
  <c r="D116" i="42"/>
  <c r="J116" i="42"/>
  <c r="J102" i="42"/>
  <c r="J82" i="42"/>
  <c r="J79" i="42"/>
  <c r="N79" i="42"/>
  <c r="N88" i="42"/>
  <c r="N82" i="42"/>
  <c r="N94" i="42"/>
  <c r="C101" i="42"/>
  <c r="G101" i="42"/>
  <c r="N102" i="42"/>
  <c r="G102" i="42"/>
  <c r="D106" i="42"/>
  <c r="T110" i="42"/>
  <c r="L108" i="42"/>
  <c r="G116" i="42"/>
  <c r="J110" i="42"/>
  <c r="I118" i="42"/>
  <c r="L77" i="42"/>
  <c r="R77" i="42" s="1"/>
  <c r="D77" i="42"/>
  <c r="T88" i="42"/>
  <c r="N81" i="42"/>
  <c r="T80" i="42"/>
  <c r="D73" i="42"/>
  <c r="T92" i="42"/>
  <c r="D92" i="42"/>
  <c r="D100" i="42"/>
  <c r="N100" i="42"/>
  <c r="N106" i="42"/>
  <c r="C106" i="42"/>
  <c r="L110" i="42"/>
  <c r="C110" i="42"/>
  <c r="L103" i="42"/>
  <c r="D118" i="42"/>
  <c r="J118" i="42"/>
  <c r="T77" i="42"/>
  <c r="G77" i="42"/>
  <c r="C88" i="42"/>
  <c r="D88" i="42"/>
  <c r="L81" i="42"/>
  <c r="G80" i="42"/>
  <c r="D80" i="42"/>
  <c r="L73" i="42"/>
  <c r="R73" i="42" s="1"/>
  <c r="G73" i="42"/>
  <c r="C92" i="42"/>
  <c r="G92" i="42"/>
  <c r="G100" i="42"/>
  <c r="L106" i="42"/>
  <c r="T106" i="42"/>
  <c r="N110" i="42"/>
  <c r="C103" i="42"/>
  <c r="T117" i="42"/>
  <c r="N118" i="42"/>
  <c r="G88" i="42"/>
  <c r="T81" i="42"/>
  <c r="T73" i="42"/>
  <c r="T100" i="42"/>
  <c r="G110" i="42"/>
  <c r="N103" i="42"/>
  <c r="N117" i="42"/>
  <c r="L118" i="42"/>
  <c r="R118" i="42" s="1"/>
  <c r="N95" i="42"/>
  <c r="D97" i="42"/>
  <c r="N96" i="42"/>
  <c r="G89" i="42"/>
  <c r="D93" i="42"/>
  <c r="D85" i="42"/>
  <c r="C86" i="42"/>
  <c r="R71" i="42"/>
  <c r="R75" i="42"/>
  <c r="KE59" i="25"/>
  <c r="FU62" i="25"/>
  <c r="FU61" i="25"/>
  <c r="DX57" i="25"/>
  <c r="DX56" i="25"/>
  <c r="FU57" i="25"/>
  <c r="GU63" i="25"/>
  <c r="UU65" i="25"/>
  <c r="FU65" i="25"/>
  <c r="FU56" i="25"/>
  <c r="FU64" i="25"/>
  <c r="FU63" i="25"/>
  <c r="GU59" i="25"/>
  <c r="FU68" i="25"/>
  <c r="FU67" i="25"/>
  <c r="KE67" i="25"/>
  <c r="QU67" i="25"/>
  <c r="FU66" i="25"/>
  <c r="VU11" i="25"/>
  <c r="VU13" i="25" s="1"/>
  <c r="I52" i="22"/>
  <c r="H60" i="22"/>
  <c r="H65" i="22" s="1"/>
  <c r="F66" i="22" s="1"/>
  <c r="F67" i="22" s="1"/>
  <c r="F94" i="22"/>
  <c r="H13" i="45" s="1"/>
  <c r="N9" i="20" s="1"/>
  <c r="C85" i="42"/>
  <c r="L86" i="42"/>
  <c r="N97" i="42"/>
  <c r="C96" i="42"/>
  <c r="N93" i="42"/>
  <c r="C115" i="42"/>
  <c r="D117" i="42"/>
  <c r="G118" i="42"/>
  <c r="L114" i="42"/>
  <c r="R114" i="42" s="1"/>
  <c r="D78" i="42"/>
  <c r="L97" i="42"/>
  <c r="L96" i="42"/>
  <c r="L93" i="42"/>
  <c r="T111" i="42"/>
  <c r="J107" i="42"/>
  <c r="G117" i="42"/>
  <c r="J78" i="42"/>
  <c r="D74" i="42"/>
  <c r="L78" i="42"/>
  <c r="T78" i="42"/>
  <c r="N85" i="42"/>
  <c r="G86" i="42"/>
  <c r="L89" i="42"/>
  <c r="C97" i="42"/>
  <c r="T96" i="42"/>
  <c r="C93" i="42"/>
  <c r="G111" i="42"/>
  <c r="L111" i="42"/>
  <c r="N107" i="42"/>
  <c r="D107" i="42"/>
  <c r="D115" i="42"/>
  <c r="J86" i="42"/>
  <c r="J85" i="42"/>
  <c r="J97" i="42"/>
  <c r="J115" i="42"/>
  <c r="J111" i="42"/>
  <c r="N74" i="42"/>
  <c r="L74" i="42"/>
  <c r="G78" i="42"/>
  <c r="L85" i="42"/>
  <c r="N86" i="42"/>
  <c r="T89" i="42"/>
  <c r="D89" i="42"/>
  <c r="G97" i="42"/>
  <c r="D96" i="42"/>
  <c r="G93" i="42"/>
  <c r="C111" i="42"/>
  <c r="T107" i="42"/>
  <c r="G115" i="42"/>
  <c r="T114" i="42"/>
  <c r="J93" i="42"/>
  <c r="I114" i="42"/>
  <c r="I107" i="42"/>
  <c r="T85" i="42"/>
  <c r="D86" i="42"/>
  <c r="C89" i="42"/>
  <c r="T97" i="42"/>
  <c r="G96" i="42"/>
  <c r="T93" i="42"/>
  <c r="N111" i="42"/>
  <c r="L107" i="42"/>
  <c r="G114" i="42"/>
  <c r="I23" i="22"/>
  <c r="H31" i="22"/>
  <c r="F76" i="3"/>
  <c r="C75" i="3"/>
  <c r="D89" i="3"/>
  <c r="C78" i="3"/>
  <c r="K99" i="42"/>
  <c r="C76" i="42"/>
  <c r="K87" i="42"/>
  <c r="K98" i="42"/>
  <c r="T112" i="42"/>
  <c r="K91" i="42"/>
  <c r="K105" i="42"/>
  <c r="K95" i="42"/>
  <c r="T109" i="42"/>
  <c r="C72" i="42"/>
  <c r="K83" i="42"/>
  <c r="K94" i="42"/>
  <c r="C71" i="42"/>
  <c r="K101" i="42"/>
  <c r="C75" i="42"/>
  <c r="K102" i="42"/>
  <c r="K90" i="42"/>
  <c r="K104" i="42"/>
  <c r="K97" i="42"/>
  <c r="K85" i="42"/>
  <c r="K96" i="42"/>
  <c r="K86" i="42"/>
  <c r="K89" i="42"/>
  <c r="C74" i="42"/>
  <c r="K93" i="42"/>
  <c r="K92" i="42"/>
  <c r="K103" i="42"/>
  <c r="C73" i="42"/>
  <c r="K100" i="42"/>
  <c r="K106" i="42"/>
  <c r="C77" i="42"/>
  <c r="K88" i="42"/>
  <c r="E82" i="3"/>
  <c r="E83" i="3"/>
  <c r="I105" i="42"/>
  <c r="N72" i="42"/>
  <c r="D72" i="42"/>
  <c r="D76" i="42"/>
  <c r="C87" i="42"/>
  <c r="L87" i="42"/>
  <c r="D91" i="42"/>
  <c r="T84" i="42"/>
  <c r="R99" i="42"/>
  <c r="N99" i="42"/>
  <c r="C98" i="42"/>
  <c r="L95" i="42"/>
  <c r="D95" i="42"/>
  <c r="N109" i="42"/>
  <c r="G105" i="42"/>
  <c r="T72" i="42"/>
  <c r="L76" i="42"/>
  <c r="N76" i="42"/>
  <c r="D87" i="42"/>
  <c r="T91" i="42"/>
  <c r="D84" i="42"/>
  <c r="C84" i="42"/>
  <c r="G99" i="42"/>
  <c r="D98" i="42"/>
  <c r="T95" i="42"/>
  <c r="L109" i="42"/>
  <c r="C109" i="42"/>
  <c r="T105" i="42"/>
  <c r="N105" i="42"/>
  <c r="T113" i="42"/>
  <c r="D112" i="42"/>
  <c r="D73" i="3"/>
  <c r="G72" i="42"/>
  <c r="L72" i="42"/>
  <c r="G76" i="42"/>
  <c r="T87" i="42"/>
  <c r="N91" i="42"/>
  <c r="G91" i="42"/>
  <c r="L84" i="42"/>
  <c r="N84" i="42"/>
  <c r="C99" i="42"/>
  <c r="D99" i="42"/>
  <c r="N98" i="42"/>
  <c r="L98" i="42"/>
  <c r="G95" i="42"/>
  <c r="D109" i="42"/>
  <c r="L105" i="42"/>
  <c r="D105" i="42"/>
  <c r="D113" i="42"/>
  <c r="N112" i="42"/>
  <c r="E71" i="3"/>
  <c r="C74" i="3"/>
  <c r="D76" i="3"/>
  <c r="C71" i="3"/>
  <c r="D75" i="3"/>
  <c r="E89" i="3"/>
  <c r="D74" i="3"/>
  <c r="C76" i="3"/>
  <c r="F75" i="3"/>
  <c r="F89" i="3"/>
  <c r="E76" i="3"/>
  <c r="E75" i="3"/>
  <c r="E74" i="3"/>
  <c r="AC59" i="25"/>
  <c r="AC64" i="25"/>
  <c r="AC62" i="25"/>
  <c r="AE73" i="25"/>
  <c r="AD73" i="25"/>
  <c r="AC73" i="25"/>
  <c r="AF73" i="25"/>
  <c r="AC65" i="25"/>
  <c r="AC103" i="25"/>
  <c r="AF103" i="25"/>
  <c r="AE103" i="25"/>
  <c r="AD103" i="25"/>
  <c r="AF106" i="25"/>
  <c r="AE106" i="25"/>
  <c r="AD106" i="25"/>
  <c r="AC106" i="25"/>
  <c r="AE117" i="25"/>
  <c r="AD117" i="25"/>
  <c r="AC117" i="25"/>
  <c r="AF117" i="25"/>
  <c r="AC91" i="25"/>
  <c r="AF91" i="25"/>
  <c r="AE91" i="25"/>
  <c r="AD91" i="25"/>
  <c r="AF110" i="25"/>
  <c r="AE110" i="25"/>
  <c r="AD110" i="25"/>
  <c r="AC110" i="25"/>
  <c r="AD112" i="25"/>
  <c r="AC112" i="25"/>
  <c r="AF112" i="25"/>
  <c r="AE112" i="25"/>
  <c r="AD100" i="25"/>
  <c r="AC100" i="25"/>
  <c r="AF100" i="25"/>
  <c r="AE100" i="25"/>
  <c r="AD88" i="25"/>
  <c r="AC88" i="25"/>
  <c r="AF88" i="25"/>
  <c r="AE88" i="25"/>
  <c r="AD104" i="25"/>
  <c r="AC104" i="25"/>
  <c r="AF104" i="25"/>
  <c r="AE104" i="25"/>
  <c r="AD120" i="25"/>
  <c r="AC120" i="25"/>
  <c r="AF120" i="25"/>
  <c r="AE120" i="25"/>
  <c r="AC99" i="25"/>
  <c r="AF99" i="25"/>
  <c r="AE99" i="25"/>
  <c r="AD99" i="25"/>
  <c r="AC61" i="25"/>
  <c r="C82" i="42"/>
  <c r="C79" i="42"/>
  <c r="AE109" i="25"/>
  <c r="AD109" i="25"/>
  <c r="AC109" i="25"/>
  <c r="AF109" i="25"/>
  <c r="AC60" i="25"/>
  <c r="AC70" i="25"/>
  <c r="AC71" i="25"/>
  <c r="AF90" i="25"/>
  <c r="AE90" i="25"/>
  <c r="AD90" i="25"/>
  <c r="AC90" i="25"/>
  <c r="AE101" i="25"/>
  <c r="AD101" i="25"/>
  <c r="AC101" i="25"/>
  <c r="AF101" i="25"/>
  <c r="AD80" i="25"/>
  <c r="AC80" i="25"/>
  <c r="AF80" i="25"/>
  <c r="AE80" i="25"/>
  <c r="AF94" i="25"/>
  <c r="AE94" i="25"/>
  <c r="AD94" i="25"/>
  <c r="AC94" i="25"/>
  <c r="AD96" i="25"/>
  <c r="AC96" i="25"/>
  <c r="AF96" i="25"/>
  <c r="AE96" i="25"/>
  <c r="AC111" i="25"/>
  <c r="AF111" i="25"/>
  <c r="AE111" i="25"/>
  <c r="AD111" i="25"/>
  <c r="AF114" i="25"/>
  <c r="AE114" i="25"/>
  <c r="AD114" i="25"/>
  <c r="AC114" i="25"/>
  <c r="AF118" i="25"/>
  <c r="AE118" i="25"/>
  <c r="AD118" i="25"/>
  <c r="AC118" i="25"/>
  <c r="AE81" i="25"/>
  <c r="AD81" i="25"/>
  <c r="AC81" i="25"/>
  <c r="AF81" i="25"/>
  <c r="C78" i="42"/>
  <c r="AC75" i="25"/>
  <c r="AF75" i="25"/>
  <c r="AE75" i="25"/>
  <c r="AD75" i="25"/>
  <c r="AC57" i="25"/>
  <c r="AD72" i="25"/>
  <c r="AC72" i="25"/>
  <c r="AF72" i="25"/>
  <c r="AE72" i="25"/>
  <c r="AF74" i="25"/>
  <c r="AE74" i="25"/>
  <c r="AD74" i="25"/>
  <c r="AC74" i="25"/>
  <c r="AE77" i="25"/>
  <c r="AD77" i="25"/>
  <c r="AC77" i="25"/>
  <c r="AF77" i="25"/>
  <c r="AC66" i="25"/>
  <c r="AC87" i="25"/>
  <c r="AF87" i="25"/>
  <c r="AE87" i="25"/>
  <c r="AD87" i="25"/>
  <c r="AD108" i="25"/>
  <c r="AC108" i="25"/>
  <c r="AF108" i="25"/>
  <c r="AE108" i="25"/>
  <c r="AE105" i="25"/>
  <c r="AD105" i="25"/>
  <c r="AC105" i="25"/>
  <c r="AF105" i="25"/>
  <c r="AC95" i="25"/>
  <c r="AF95" i="25"/>
  <c r="AE95" i="25"/>
  <c r="AD95" i="25"/>
  <c r="AF98" i="25"/>
  <c r="AE98" i="25"/>
  <c r="AD98" i="25"/>
  <c r="AC98" i="25"/>
  <c r="AF102" i="25"/>
  <c r="AE102" i="25"/>
  <c r="AD102" i="25"/>
  <c r="AC102" i="25"/>
  <c r="AE97" i="25"/>
  <c r="AD97" i="25"/>
  <c r="AC97" i="25"/>
  <c r="AF97" i="25"/>
  <c r="AE113" i="25"/>
  <c r="AD113" i="25"/>
  <c r="AC113" i="25"/>
  <c r="AF113" i="25"/>
  <c r="C81" i="42"/>
  <c r="C80" i="42"/>
  <c r="AC58" i="25"/>
  <c r="AC56" i="25"/>
  <c r="AC67" i="25"/>
  <c r="AD76" i="25"/>
  <c r="AC76" i="25"/>
  <c r="AF76" i="25"/>
  <c r="AE76" i="25"/>
  <c r="AC69" i="25"/>
  <c r="AC63" i="25"/>
  <c r="AC68" i="25"/>
  <c r="AC119" i="25"/>
  <c r="AF119" i="25"/>
  <c r="AE119" i="25"/>
  <c r="AD119" i="25"/>
  <c r="AD92" i="25"/>
  <c r="AC92" i="25"/>
  <c r="AF92" i="25"/>
  <c r="AE92" i="25"/>
  <c r="AC107" i="25"/>
  <c r="AF107" i="25"/>
  <c r="AE107" i="25"/>
  <c r="AD107" i="25"/>
  <c r="AF78" i="25"/>
  <c r="AE78" i="25"/>
  <c r="AD78" i="25"/>
  <c r="AC78" i="25"/>
  <c r="AC79" i="25"/>
  <c r="AF79" i="25"/>
  <c r="AE79" i="25"/>
  <c r="AD79" i="25"/>
  <c r="AF82" i="25"/>
  <c r="AE82" i="25"/>
  <c r="AD82" i="25"/>
  <c r="AC82" i="25"/>
  <c r="AD116" i="25"/>
  <c r="AC116" i="25"/>
  <c r="AF116" i="25"/>
  <c r="AE116" i="25"/>
  <c r="AF86" i="25"/>
  <c r="AE86" i="25"/>
  <c r="AD86" i="25"/>
  <c r="AC86" i="25"/>
  <c r="AC115" i="25"/>
  <c r="AF115" i="25"/>
  <c r="AE115" i="25"/>
  <c r="AD115" i="25"/>
  <c r="S79" i="3"/>
  <c r="S77" i="3"/>
  <c r="S75" i="3"/>
  <c r="S71" i="3"/>
  <c r="C73" i="3"/>
  <c r="S73" i="3"/>
  <c r="F83" i="3"/>
  <c r="S83" i="3"/>
  <c r="F82" i="3"/>
  <c r="S82" i="3"/>
  <c r="S72" i="3"/>
  <c r="E78" i="3"/>
  <c r="S78" i="3"/>
  <c r="F81" i="3"/>
  <c r="S81" i="3"/>
  <c r="C85" i="3"/>
  <c r="S85" i="3"/>
  <c r="D80" i="3"/>
  <c r="S80" i="3"/>
  <c r="C84" i="3"/>
  <c r="S84" i="3"/>
  <c r="S74" i="3"/>
  <c r="S76" i="3"/>
  <c r="E73" i="3"/>
  <c r="D86" i="3"/>
  <c r="C86" i="3"/>
  <c r="D83" i="3"/>
  <c r="D78" i="3"/>
  <c r="D81" i="3"/>
  <c r="D82" i="3"/>
  <c r="D85" i="3"/>
  <c r="E86" i="3"/>
  <c r="F73" i="3"/>
  <c r="F78" i="3"/>
  <c r="E81" i="3"/>
  <c r="E85" i="3"/>
  <c r="C113" i="42"/>
  <c r="G113" i="42"/>
  <c r="C112" i="42"/>
  <c r="L112" i="42"/>
  <c r="N115" i="42"/>
  <c r="L115" i="42"/>
  <c r="R115" i="42" s="1"/>
  <c r="N114" i="42"/>
  <c r="C114" i="42"/>
  <c r="L113" i="42"/>
  <c r="G112" i="42"/>
  <c r="D114" i="42"/>
  <c r="K71" i="42"/>
  <c r="E84" i="3"/>
  <c r="F84" i="3"/>
  <c r="C92" i="3"/>
  <c r="F87" i="3"/>
  <c r="E80" i="3"/>
  <c r="C91" i="3"/>
  <c r="D92" i="3"/>
  <c r="E87" i="3"/>
  <c r="C80" i="3"/>
  <c r="F91" i="3"/>
  <c r="Q20" i="35"/>
  <c r="Q18" i="35"/>
  <c r="CG97" i="25"/>
  <c r="D84" i="3"/>
  <c r="MC80" i="25"/>
  <c r="IE69" i="25"/>
  <c r="IE85" i="25"/>
  <c r="DW93" i="25"/>
  <c r="EX66" i="25"/>
  <c r="AH66" i="25" s="1"/>
  <c r="GT82" i="25"/>
  <c r="EX73" i="25"/>
  <c r="EX81" i="25"/>
  <c r="FT64" i="25"/>
  <c r="EX76" i="25"/>
  <c r="GG89" i="25"/>
  <c r="EX67" i="25"/>
  <c r="AH67" i="25" s="1"/>
  <c r="K82" i="42" s="1"/>
  <c r="CD93" i="25"/>
  <c r="CH94" i="25"/>
  <c r="NC94" i="25"/>
  <c r="QE94" i="25"/>
  <c r="FT96" i="25"/>
  <c r="KE91" i="25"/>
  <c r="OE91" i="25"/>
  <c r="TC69" i="25"/>
  <c r="TT91" i="25"/>
  <c r="UG89" i="25"/>
  <c r="UC66" i="25"/>
  <c r="UT95" i="25"/>
  <c r="UT74" i="25"/>
  <c r="UG68" i="25"/>
  <c r="UU68" i="25" s="1"/>
  <c r="BL96" i="25"/>
  <c r="SG81" i="25"/>
  <c r="QE81" i="25"/>
  <c r="SG80" i="25"/>
  <c r="JT87" i="25"/>
  <c r="JE87" i="25"/>
  <c r="QG69" i="25"/>
  <c r="QU69" i="25" s="1"/>
  <c r="SG84" i="25"/>
  <c r="KT84" i="25"/>
  <c r="SG67" i="25"/>
  <c r="SU67" i="25" s="1"/>
  <c r="QG75" i="25"/>
  <c r="IE83" i="25"/>
  <c r="LT97" i="25"/>
  <c r="BL94" i="25"/>
  <c r="CI96" i="25"/>
  <c r="CC92" i="25"/>
  <c r="CG92" i="25"/>
  <c r="NE94" i="25"/>
  <c r="TG93" i="25"/>
  <c r="TC84" i="25"/>
  <c r="TC65" i="25"/>
  <c r="TC88" i="25"/>
  <c r="PT90" i="25"/>
  <c r="FD90" i="25"/>
  <c r="CM92" i="25"/>
  <c r="QG81" i="25"/>
  <c r="JC72" i="25"/>
  <c r="KC70" i="25"/>
  <c r="BJ70" i="25" s="1"/>
  <c r="QG78" i="25"/>
  <c r="SG86" i="25"/>
  <c r="CG94" i="25"/>
  <c r="UC95" i="25"/>
  <c r="QC90" i="25"/>
  <c r="QG80" i="25"/>
  <c r="CG93" i="25"/>
  <c r="CF93" i="25"/>
  <c r="CE96" i="25"/>
  <c r="CH103" i="25"/>
  <c r="CF92" i="25"/>
  <c r="CF96" i="25"/>
  <c r="CH92" i="25"/>
  <c r="QT102" i="25"/>
  <c r="OE101" i="25"/>
  <c r="MT102" i="25"/>
  <c r="KC102" i="25"/>
  <c r="KE101" i="25"/>
  <c r="KE102" i="25"/>
  <c r="KT103" i="25"/>
  <c r="IE102" i="25"/>
  <c r="GG102" i="25"/>
  <c r="EC101" i="25"/>
  <c r="BR102" i="25"/>
  <c r="CW102" i="25"/>
  <c r="GG101" i="25"/>
  <c r="GC101" i="25"/>
  <c r="AA101" i="19"/>
  <c r="DJ101" i="25"/>
  <c r="DW101" i="25"/>
  <c r="DF101" i="25"/>
  <c r="JC102" i="25"/>
  <c r="SE102" i="25"/>
  <c r="DG101" i="25"/>
  <c r="BM102" i="25"/>
  <c r="NC102" i="25"/>
  <c r="RC102" i="25"/>
  <c r="ND101" i="25"/>
  <c r="NT101" i="25"/>
  <c r="NC101" i="25"/>
  <c r="QT101" i="25"/>
  <c r="QG101" i="25"/>
  <c r="QC101" i="25"/>
  <c r="MC102" i="25"/>
  <c r="LT102" i="25"/>
  <c r="ND102" i="25"/>
  <c r="RT102" i="25"/>
  <c r="CD102" i="25"/>
  <c r="QE101" i="25"/>
  <c r="CI103" i="25"/>
  <c r="BN103" i="25"/>
  <c r="SC102" i="25"/>
  <c r="CH102" i="25"/>
  <c r="CM102" i="25"/>
  <c r="IT102" i="25"/>
  <c r="OC102" i="25"/>
  <c r="BQ102" i="25"/>
  <c r="CL102" i="25"/>
  <c r="CV102" i="25"/>
  <c r="HE101" i="25"/>
  <c r="FD101" i="25"/>
  <c r="FC101" i="25"/>
  <c r="HD101" i="25"/>
  <c r="HC101" i="25"/>
  <c r="IC102" i="25"/>
  <c r="ME102" i="25"/>
  <c r="JD102" i="25"/>
  <c r="LE102" i="25"/>
  <c r="ST102" i="25"/>
  <c r="CF102" i="25"/>
  <c r="CC102" i="25"/>
  <c r="GT101" i="25"/>
  <c r="FC100" i="25"/>
  <c r="FD100" i="25"/>
  <c r="EG100" i="25"/>
  <c r="EC100" i="25"/>
  <c r="ST101" i="25"/>
  <c r="SG101" i="25"/>
  <c r="BN101" i="25"/>
  <c r="PE101" i="25"/>
  <c r="GG100" i="25"/>
  <c r="UT100" i="25"/>
  <c r="BJ101" i="25"/>
  <c r="ED100" i="25"/>
  <c r="I115" i="42" s="1"/>
  <c r="DG103" i="25"/>
  <c r="KE103" i="25"/>
  <c r="JC103" i="25"/>
  <c r="QC103" i="25"/>
  <c r="FC103" i="25"/>
  <c r="JD103" i="25"/>
  <c r="LC103" i="25"/>
  <c r="EX103" i="25"/>
  <c r="SG103" i="25"/>
  <c r="GC103" i="25"/>
  <c r="DF103" i="25"/>
  <c r="QT103" i="25"/>
  <c r="GT100" i="25"/>
  <c r="EX100" i="25"/>
  <c r="CF100" i="25"/>
  <c r="CE101" i="25"/>
  <c r="KC101" i="25"/>
  <c r="LE101" i="25"/>
  <c r="SC101" i="25"/>
  <c r="OC101" i="25"/>
  <c r="BM101" i="25"/>
  <c r="LD101" i="25"/>
  <c r="TG100" i="25"/>
  <c r="FG100" i="25"/>
  <c r="TT101" i="25"/>
  <c r="HT100" i="25"/>
  <c r="JE103" i="25"/>
  <c r="CD103" i="25"/>
  <c r="PT103" i="25"/>
  <c r="GT103" i="25"/>
  <c r="DJ100" i="25"/>
  <c r="DW100" i="25"/>
  <c r="DF100" i="25"/>
  <c r="DG100" i="25"/>
  <c r="TC100" i="25"/>
  <c r="TC102" i="25"/>
  <c r="FT100" i="25"/>
  <c r="UC100" i="25"/>
  <c r="UG100" i="25"/>
  <c r="ED101" i="25"/>
  <c r="I116" i="42" s="1"/>
  <c r="LD103" i="25"/>
  <c r="PD103" i="25"/>
  <c r="LT103" i="25"/>
  <c r="DW103" i="25"/>
  <c r="ME103" i="25"/>
  <c r="CG100" i="25"/>
  <c r="HC100" i="25"/>
  <c r="HD100" i="25"/>
  <c r="RE103" i="25"/>
  <c r="MT103" i="25"/>
  <c r="HE100" i="25"/>
  <c r="CH98" i="25"/>
  <c r="CE98" i="25"/>
  <c r="CG98" i="25"/>
  <c r="CI98" i="25"/>
  <c r="CH99" i="25"/>
  <c r="CM99" i="25"/>
  <c r="R83" i="42"/>
  <c r="R81" i="42"/>
  <c r="R89" i="42"/>
  <c r="R98" i="42"/>
  <c r="R101" i="42"/>
  <c r="R100" i="42"/>
  <c r="R95" i="42"/>
  <c r="R109" i="42"/>
  <c r="R108" i="42"/>
  <c r="R90" i="42"/>
  <c r="R85" i="42"/>
  <c r="R91" i="42"/>
  <c r="R97" i="42"/>
  <c r="R93" i="42"/>
  <c r="R104" i="42"/>
  <c r="R105" i="42"/>
  <c r="R113" i="42"/>
  <c r="R88" i="42"/>
  <c r="R86" i="42"/>
  <c r="R84" i="42"/>
  <c r="R94" i="42"/>
  <c r="R92" i="42"/>
  <c r="R106" i="42"/>
  <c r="R111" i="42"/>
  <c r="R110" i="42"/>
  <c r="R107" i="42"/>
  <c r="R79" i="42"/>
  <c r="R87" i="42"/>
  <c r="R82" i="42"/>
  <c r="R80" i="42"/>
  <c r="R96" i="42"/>
  <c r="R103" i="42"/>
  <c r="R112" i="42"/>
  <c r="BN91" i="25"/>
  <c r="SC76" i="25"/>
  <c r="SE97" i="25"/>
  <c r="SC89" i="25"/>
  <c r="SG89" i="25"/>
  <c r="CI91" i="25"/>
  <c r="QC78" i="25"/>
  <c r="QT85" i="25"/>
  <c r="QC89" i="25"/>
  <c r="BM99" i="25"/>
  <c r="QE77" i="25"/>
  <c r="QT63" i="25"/>
  <c r="OT81" i="25"/>
  <c r="OT89" i="25"/>
  <c r="OC82" i="25"/>
  <c r="CG96" i="25"/>
  <c r="OE89" i="25"/>
  <c r="OC88" i="25"/>
  <c r="MT64" i="25"/>
  <c r="ME88" i="25"/>
  <c r="MT68" i="25"/>
  <c r="MC84" i="25"/>
  <c r="MT88" i="25"/>
  <c r="MT94" i="25"/>
  <c r="MT72" i="25"/>
  <c r="MC88" i="25"/>
  <c r="ME84" i="25"/>
  <c r="ME94" i="25"/>
  <c r="MT95" i="25"/>
  <c r="MC83" i="25"/>
  <c r="KT85" i="25"/>
  <c r="KC97" i="25"/>
  <c r="KT97" i="25"/>
  <c r="IC97" i="25"/>
  <c r="IE97" i="25"/>
  <c r="CD94" i="25"/>
  <c r="IE72" i="25"/>
  <c r="IE75" i="25"/>
  <c r="IE91" i="25"/>
  <c r="GG85" i="25"/>
  <c r="GC93" i="25"/>
  <c r="CW92" i="25"/>
  <c r="GG97" i="25"/>
  <c r="EX93" i="25"/>
  <c r="EX65" i="25"/>
  <c r="AH65" i="25" s="1"/>
  <c r="EG90" i="25"/>
  <c r="EC86" i="25"/>
  <c r="EC83" i="25"/>
  <c r="EG83" i="25"/>
  <c r="EX74" i="25"/>
  <c r="EX80" i="25"/>
  <c r="EX85" i="25"/>
  <c r="EX84" i="25"/>
  <c r="EC90" i="25"/>
  <c r="RE89" i="25"/>
  <c r="RE83" i="25"/>
  <c r="PC74" i="25"/>
  <c r="PE86" i="25"/>
  <c r="FG86" i="25"/>
  <c r="FC90" i="25"/>
  <c r="BR90" i="25" s="1"/>
  <c r="NE72" i="25"/>
  <c r="QC65" i="25"/>
  <c r="RE65" i="25"/>
  <c r="OE64" i="25"/>
  <c r="JT70" i="25"/>
  <c r="QE69" i="25"/>
  <c r="MC68" i="25"/>
  <c r="CF68" i="25" s="1"/>
  <c r="SC68" i="25"/>
  <c r="CI68" i="25" s="1"/>
  <c r="LE67" i="25"/>
  <c r="UG64" i="25"/>
  <c r="UU64" i="25" s="1"/>
  <c r="UC71" i="25"/>
  <c r="UC65" i="25"/>
  <c r="UE68" i="25"/>
  <c r="QE65" i="25"/>
  <c r="RD72" i="25"/>
  <c r="IE70" i="25"/>
  <c r="TG64" i="25"/>
  <c r="TU64" i="25" s="1"/>
  <c r="UE65" i="25"/>
  <c r="UG71" i="25"/>
  <c r="UU71" i="25" s="1"/>
  <c r="UT71" i="25"/>
  <c r="SC63" i="25"/>
  <c r="UG63" i="25"/>
  <c r="UU63" i="25" s="1"/>
  <c r="KE63" i="25"/>
  <c r="JE63" i="25"/>
  <c r="PD63" i="25"/>
  <c r="I76" i="42"/>
  <c r="I74" i="42"/>
  <c r="I77" i="42"/>
  <c r="I75" i="42"/>
  <c r="I73" i="42"/>
  <c r="I72" i="42"/>
  <c r="I71" i="42"/>
  <c r="EX97" i="25"/>
  <c r="JD95" i="25"/>
  <c r="QE97" i="25"/>
  <c r="EX98" i="25"/>
  <c r="AA95" i="19"/>
  <c r="ME95" i="25"/>
  <c r="ND95" i="25"/>
  <c r="UG95" i="25"/>
  <c r="FG97" i="25"/>
  <c r="GT97" i="25"/>
  <c r="MC97" i="25"/>
  <c r="JE97" i="25"/>
  <c r="LE97" i="25"/>
  <c r="GG98" i="25"/>
  <c r="GT98" i="25"/>
  <c r="TC97" i="25"/>
  <c r="UT96" i="25"/>
  <c r="CF97" i="25"/>
  <c r="NC95" i="25"/>
  <c r="MC95" i="25"/>
  <c r="TT98" i="25"/>
  <c r="BL89" i="25"/>
  <c r="LD74" i="25"/>
  <c r="IE73" i="25"/>
  <c r="NE70" i="25"/>
  <c r="KC74" i="25"/>
  <c r="PE74" i="25"/>
  <c r="LD65" i="25"/>
  <c r="KC65" i="25"/>
  <c r="JT65" i="25"/>
  <c r="PE65" i="25"/>
  <c r="OC64" i="25"/>
  <c r="RE72" i="25"/>
  <c r="ME80" i="25"/>
  <c r="JT63" i="25"/>
  <c r="KC71" i="25"/>
  <c r="OE79" i="25"/>
  <c r="OE87" i="25"/>
  <c r="KC77" i="25"/>
  <c r="OT77" i="25"/>
  <c r="RD68" i="25"/>
  <c r="IE76" i="25"/>
  <c r="HC76" i="25"/>
  <c r="SE76" i="25"/>
  <c r="IE84" i="25"/>
  <c r="HE84" i="25"/>
  <c r="HC84" i="25"/>
  <c r="OT67" i="25"/>
  <c r="LD75" i="25"/>
  <c r="KT75" i="25"/>
  <c r="OT83" i="25"/>
  <c r="QT83" i="25"/>
  <c r="KE93" i="25"/>
  <c r="SC93" i="25"/>
  <c r="BN93" i="25" s="1"/>
  <c r="GG66" i="25"/>
  <c r="GU66" i="25" s="1"/>
  <c r="FT81" i="25"/>
  <c r="EX64" i="25"/>
  <c r="AH64" i="25" s="1"/>
  <c r="FG72" i="25"/>
  <c r="GG72" i="25"/>
  <c r="GT80" i="25"/>
  <c r="EX63" i="25"/>
  <c r="AH63" i="25" s="1"/>
  <c r="EX87" i="25"/>
  <c r="FG78" i="25"/>
  <c r="GT94" i="25"/>
  <c r="EX86" i="25"/>
  <c r="EX69" i="25"/>
  <c r="AH69" i="25" s="1"/>
  <c r="K84" i="42" s="1"/>
  <c r="EX83" i="25"/>
  <c r="RD94" i="25"/>
  <c r="NT94" i="25"/>
  <c r="IE94" i="25"/>
  <c r="QE89" i="25"/>
  <c r="PD89" i="25"/>
  <c r="LE89" i="25"/>
  <c r="IE89" i="25"/>
  <c r="LT89" i="25"/>
  <c r="OT91" i="25"/>
  <c r="TC67" i="25"/>
  <c r="TG67" i="25"/>
  <c r="TU67" i="25" s="1"/>
  <c r="TG65" i="25"/>
  <c r="TU65" i="25" s="1"/>
  <c r="TC80" i="25"/>
  <c r="TG76" i="25"/>
  <c r="TG73" i="25"/>
  <c r="UE66" i="25"/>
  <c r="UC63" i="25"/>
  <c r="UC78" i="25"/>
  <c r="UC77" i="25"/>
  <c r="UE76" i="25"/>
  <c r="UG74" i="25"/>
  <c r="UC90" i="25"/>
  <c r="UC69" i="25"/>
  <c r="UG69" i="25"/>
  <c r="UU69" i="25" s="1"/>
  <c r="KC90" i="25"/>
  <c r="DW90" i="25"/>
  <c r="DG90" i="25"/>
  <c r="OT90" i="25"/>
  <c r="QG79" i="25"/>
  <c r="QT72" i="25"/>
  <c r="MC79" i="25"/>
  <c r="MC87" i="25"/>
  <c r="MT69" i="25"/>
  <c r="OT76" i="25"/>
  <c r="RD84" i="25"/>
  <c r="HT94" i="25"/>
  <c r="CG89" i="25"/>
  <c r="SC94" i="25"/>
  <c r="BM94" i="25"/>
  <c r="TC76" i="25"/>
  <c r="UG82" i="25"/>
  <c r="UC81" i="25"/>
  <c r="UE64" i="25"/>
  <c r="UC80" i="25"/>
  <c r="UC79" i="25"/>
  <c r="UG76" i="25"/>
  <c r="UG90" i="25"/>
  <c r="UC70" i="25"/>
  <c r="UC85" i="25"/>
  <c r="UG67" i="25"/>
  <c r="UU67" i="25" s="1"/>
  <c r="QG83" i="25"/>
  <c r="UE90" i="25"/>
  <c r="UE70" i="25"/>
  <c r="KT90" i="25"/>
  <c r="ST65" i="25"/>
  <c r="MT66" i="25"/>
  <c r="PT74" i="25"/>
  <c r="IE81" i="25"/>
  <c r="LE81" i="25"/>
  <c r="IE64" i="25"/>
  <c r="IE63" i="25"/>
  <c r="MC77" i="25"/>
  <c r="CF77" i="25" s="1"/>
  <c r="IE68" i="25"/>
  <c r="SC84" i="25"/>
  <c r="FG82" i="25"/>
  <c r="FG84" i="25"/>
  <c r="IT94" i="25"/>
  <c r="JE94" i="25"/>
  <c r="JC94" i="25"/>
  <c r="JD94" i="25"/>
  <c r="KC89" i="25"/>
  <c r="FT91" i="25"/>
  <c r="TC93" i="25"/>
  <c r="TG68" i="25"/>
  <c r="TU68" i="25" s="1"/>
  <c r="TC63" i="25"/>
  <c r="TG63" i="25"/>
  <c r="TU63" i="25" s="1"/>
  <c r="TC71" i="25"/>
  <c r="TG71" i="25"/>
  <c r="TU71" i="25" s="1"/>
  <c r="UT65" i="25"/>
  <c r="UG80" i="25"/>
  <c r="UG79" i="25"/>
  <c r="UE79" i="25"/>
  <c r="UT88" i="25"/>
  <c r="UT69" i="25"/>
  <c r="UC67" i="25"/>
  <c r="IE57" i="25"/>
  <c r="PC57" i="25"/>
  <c r="TG62" i="25"/>
  <c r="TU62" i="25" s="1"/>
  <c r="GC60" i="25"/>
  <c r="DW60" i="25"/>
  <c r="DF60" i="25"/>
  <c r="IE59" i="25"/>
  <c r="HC59" i="25"/>
  <c r="FC58" i="25"/>
  <c r="UE61" i="25"/>
  <c r="UG59" i="25"/>
  <c r="UU59" i="25" s="1"/>
  <c r="GC61" i="25"/>
  <c r="FD57" i="25"/>
  <c r="FC57" i="25"/>
  <c r="PD57" i="25"/>
  <c r="QE57" i="25"/>
  <c r="DG59" i="25"/>
  <c r="GT61" i="25"/>
  <c r="GG60" i="25"/>
  <c r="GU60" i="25" s="1"/>
  <c r="NE57" i="25"/>
  <c r="JE59" i="25"/>
  <c r="OE61" i="25"/>
  <c r="PC59" i="25"/>
  <c r="UG61" i="25"/>
  <c r="UU61" i="25" s="1"/>
  <c r="JE57" i="25"/>
  <c r="GG56" i="25"/>
  <c r="GU56" i="25" s="1"/>
  <c r="TC57" i="25"/>
  <c r="TC62" i="25"/>
  <c r="TG56" i="25"/>
  <c r="TU56" i="25" s="1"/>
  <c r="IE62" i="25"/>
  <c r="ME61" i="25"/>
  <c r="MT59" i="25"/>
  <c r="MT56" i="25"/>
  <c r="MC61" i="25"/>
  <c r="SE60" i="25"/>
  <c r="SE59" i="25"/>
  <c r="SC60" i="25"/>
  <c r="OT59" i="25"/>
  <c r="GC57" i="25"/>
  <c r="CC57" i="25" s="1"/>
  <c r="GG62" i="25"/>
  <c r="GU62" i="25" s="1"/>
  <c r="GC62" i="25"/>
  <c r="EX58" i="25"/>
  <c r="AH58" i="25" s="1"/>
  <c r="K73" i="42" s="1"/>
  <c r="EX57" i="25"/>
  <c r="EG60" i="25"/>
  <c r="CV60" i="25" s="1"/>
  <c r="EX61" i="25"/>
  <c r="AH61" i="25" s="1"/>
  <c r="OE82" i="25"/>
  <c r="KE86" i="25"/>
  <c r="IE77" i="25"/>
  <c r="LE94" i="25"/>
  <c r="OE72" i="25"/>
  <c r="OE81" i="25"/>
  <c r="IE67" i="25"/>
  <c r="CG95" i="25"/>
  <c r="OE90" i="25"/>
  <c r="JE91" i="25"/>
  <c r="OE69" i="25"/>
  <c r="KE94" i="25"/>
  <c r="BR97" i="25"/>
  <c r="CW97" i="25"/>
  <c r="CC97" i="25"/>
  <c r="BN97" i="25"/>
  <c r="CI97" i="25"/>
  <c r="HD98" i="25"/>
  <c r="HT98" i="25"/>
  <c r="HC98" i="25"/>
  <c r="TT99" i="25"/>
  <c r="TC99" i="25"/>
  <c r="QC97" i="25"/>
  <c r="JT97" i="25"/>
  <c r="HC97" i="25"/>
  <c r="CD97" i="25" s="1"/>
  <c r="FD97" i="25"/>
  <c r="SG97" i="25"/>
  <c r="JC97" i="25"/>
  <c r="CE97" i="25" s="1"/>
  <c r="MT97" i="25"/>
  <c r="TT97" i="25"/>
  <c r="UT99" i="25"/>
  <c r="UE98" i="25"/>
  <c r="UG97" i="25"/>
  <c r="ED97" i="25"/>
  <c r="I112" i="42" s="1"/>
  <c r="FC98" i="25"/>
  <c r="BR98" i="25" s="1"/>
  <c r="FD98" i="25"/>
  <c r="DF98" i="25"/>
  <c r="DW98" i="25"/>
  <c r="DJ98" i="25"/>
  <c r="DG98" i="25"/>
  <c r="CI99" i="25"/>
  <c r="CE99" i="25"/>
  <c r="LD97" i="25"/>
  <c r="AA98" i="19"/>
  <c r="UC98" i="25"/>
  <c r="BJ97" i="25"/>
  <c r="EC98" i="25"/>
  <c r="EG98" i="25"/>
  <c r="HT97" i="25"/>
  <c r="DF97" i="25"/>
  <c r="BQ97" i="25" s="1"/>
  <c r="NE97" i="25"/>
  <c r="DJ97" i="25"/>
  <c r="QG97" i="25"/>
  <c r="HE97" i="25"/>
  <c r="CW98" i="25"/>
  <c r="FT98" i="25"/>
  <c r="UC99" i="25"/>
  <c r="UG99" i="25"/>
  <c r="UG98" i="25"/>
  <c r="UC97" i="25"/>
  <c r="UT97" i="25"/>
  <c r="HE98" i="25"/>
  <c r="EG97" i="25"/>
  <c r="DG97" i="25"/>
  <c r="DW97" i="25"/>
  <c r="KE97" i="25"/>
  <c r="BQ93" i="25"/>
  <c r="CM93" i="25"/>
  <c r="JE93" i="25"/>
  <c r="JC93" i="25"/>
  <c r="ME93" i="25"/>
  <c r="HE94" i="25"/>
  <c r="PE96" i="25"/>
  <c r="PE90" i="25"/>
  <c r="KC93" i="25"/>
  <c r="QT93" i="25"/>
  <c r="HD94" i="25"/>
  <c r="OE93" i="25"/>
  <c r="HE89" i="25"/>
  <c r="AA89" i="19"/>
  <c r="DF89" i="25"/>
  <c r="DJ89" i="25"/>
  <c r="DW89" i="25"/>
  <c r="DG89" i="25"/>
  <c r="ED94" i="25"/>
  <c r="I109" i="42" s="1"/>
  <c r="EC94" i="25"/>
  <c r="EG94" i="25"/>
  <c r="MP89" i="25"/>
  <c r="CF89" i="25" s="1"/>
  <c r="KT94" i="25"/>
  <c r="KC94" i="25"/>
  <c r="IE88" i="25"/>
  <c r="FC88" i="25"/>
  <c r="JE88" i="25"/>
  <c r="JD93" i="25"/>
  <c r="QC93" i="25"/>
  <c r="JT93" i="25"/>
  <c r="GT93" i="25"/>
  <c r="GG94" i="25"/>
  <c r="SE94" i="25"/>
  <c r="IP89" i="25"/>
  <c r="CD89" i="25" s="1"/>
  <c r="FC94" i="25"/>
  <c r="CC94" i="25" s="1"/>
  <c r="FD94" i="25"/>
  <c r="BR94" i="25"/>
  <c r="ST93" i="25"/>
  <c r="QE93" i="25"/>
  <c r="FG88" i="25"/>
  <c r="GT89" i="25"/>
  <c r="CI93" i="25"/>
  <c r="SE93" i="25"/>
  <c r="KT93" i="25"/>
  <c r="BR93" i="25"/>
  <c r="CW93" i="25"/>
  <c r="FC89" i="25"/>
  <c r="CC89" i="25" s="1"/>
  <c r="FD89" i="25"/>
  <c r="FG89" i="25"/>
  <c r="HD89" i="25"/>
  <c r="HC89" i="25"/>
  <c r="HT89" i="25"/>
  <c r="DG93" i="25"/>
  <c r="AA93" i="19"/>
  <c r="AA94" i="19"/>
  <c r="DF94" i="25"/>
  <c r="DJ94" i="25"/>
  <c r="DG94" i="25"/>
  <c r="DW94" i="25"/>
  <c r="ED93" i="25"/>
  <c r="I108" i="42" s="1"/>
  <c r="EG93" i="25"/>
  <c r="EC89" i="25"/>
  <c r="EG89" i="25"/>
  <c r="ED89" i="25"/>
  <c r="I104" i="42" s="1"/>
  <c r="KE88" i="25"/>
  <c r="RE88" i="25"/>
  <c r="CC93" i="25"/>
  <c r="BL93" i="25"/>
  <c r="PE92" i="25"/>
  <c r="PD91" i="25"/>
  <c r="PT91" i="25"/>
  <c r="QC91" i="25"/>
  <c r="QT91" i="25"/>
  <c r="TC92" i="25"/>
  <c r="TT92" i="25"/>
  <c r="TG94" i="25"/>
  <c r="TT94" i="25"/>
  <c r="OE94" i="25"/>
  <c r="LC94" i="25"/>
  <c r="LD94" i="25"/>
  <c r="MC91" i="25"/>
  <c r="PC91" i="25"/>
  <c r="SC95" i="25"/>
  <c r="EG96" i="25"/>
  <c r="EC96" i="25"/>
  <c r="ED96" i="25"/>
  <c r="I111" i="42" s="1"/>
  <c r="FC96" i="25"/>
  <c r="FD96" i="25"/>
  <c r="HD91" i="25"/>
  <c r="HT91" i="25"/>
  <c r="HC91" i="25"/>
  <c r="TT90" i="25"/>
  <c r="TT96" i="25"/>
  <c r="TG96" i="25"/>
  <c r="JT95" i="25"/>
  <c r="JE95" i="25"/>
  <c r="CC90" i="25"/>
  <c r="CD91" i="25"/>
  <c r="JE89" i="25"/>
  <c r="RC89" i="25"/>
  <c r="ME91" i="25"/>
  <c r="MT89" i="25"/>
  <c r="ST95" i="25"/>
  <c r="NE95" i="25"/>
  <c r="TT88" i="25"/>
  <c r="RE92" i="25"/>
  <c r="DF96" i="25"/>
  <c r="DG96" i="25"/>
  <c r="DJ96" i="25"/>
  <c r="DW96" i="25"/>
  <c r="AA96" i="19"/>
  <c r="HE96" i="25"/>
  <c r="GC96" i="25"/>
  <c r="GG96" i="25"/>
  <c r="KT91" i="25"/>
  <c r="FC91" i="25"/>
  <c r="BR91" i="25" s="1"/>
  <c r="FD91" i="25"/>
  <c r="EC91" i="25"/>
  <c r="EG91" i="25"/>
  <c r="ED91" i="25"/>
  <c r="I106" i="42" s="1"/>
  <c r="TG89" i="25"/>
  <c r="TT89" i="25"/>
  <c r="DJ95" i="25"/>
  <c r="DW95" i="25"/>
  <c r="DG95" i="25"/>
  <c r="BQ95" i="25"/>
  <c r="RD89" i="25"/>
  <c r="KE89" i="25"/>
  <c r="JT89" i="25"/>
  <c r="PC89" i="25"/>
  <c r="BM89" i="25" s="1"/>
  <c r="QG91" i="25"/>
  <c r="CE91" i="25"/>
  <c r="TC95" i="25"/>
  <c r="TG95" i="25"/>
  <c r="TG92" i="25"/>
  <c r="TC90" i="25"/>
  <c r="TC94" i="25"/>
  <c r="SE95" i="25"/>
  <c r="CH95" i="25"/>
  <c r="CG90" i="25"/>
  <c r="HD96" i="25"/>
  <c r="HC96" i="25"/>
  <c r="FG95" i="25"/>
  <c r="FT95" i="25"/>
  <c r="HD95" i="25"/>
  <c r="HC95" i="25"/>
  <c r="EX95" i="25"/>
  <c r="EG95" i="25"/>
  <c r="ED95" i="25"/>
  <c r="I110" i="42" s="1"/>
  <c r="UT92" i="25"/>
  <c r="UG92" i="25"/>
  <c r="UC92" i="25"/>
  <c r="JC89" i="25"/>
  <c r="ME89" i="25"/>
  <c r="CG91" i="25"/>
  <c r="GG91" i="25"/>
  <c r="CW91" i="25" s="1"/>
  <c r="TG90" i="25"/>
  <c r="TC96" i="25"/>
  <c r="FD95" i="25"/>
  <c r="BL95" i="25"/>
  <c r="HE95" i="25"/>
  <c r="UC91" i="25"/>
  <c r="UG91" i="25"/>
  <c r="UE93" i="25"/>
  <c r="UC88" i="25"/>
  <c r="UG88" i="25"/>
  <c r="UE96" i="25"/>
  <c r="UG94" i="25"/>
  <c r="HE90" i="25"/>
  <c r="LE90" i="25"/>
  <c r="HC90" i="25"/>
  <c r="LC90" i="25"/>
  <c r="NE90" i="25"/>
  <c r="CE90" i="25"/>
  <c r="HT90" i="25"/>
  <c r="CD95" i="25"/>
  <c r="DF91" i="25"/>
  <c r="HE91" i="25"/>
  <c r="DJ91" i="25"/>
  <c r="KC95" i="25"/>
  <c r="CE92" i="25"/>
  <c r="CF95" i="25"/>
  <c r="GG95" i="25"/>
  <c r="UT94" i="25"/>
  <c r="GG90" i="25"/>
  <c r="LD90" i="25"/>
  <c r="LT90" i="25"/>
  <c r="KE90" i="25"/>
  <c r="MC90" i="25"/>
  <c r="PC90" i="25"/>
  <c r="BM90" i="25" s="1"/>
  <c r="QG89" i="25"/>
  <c r="ND91" i="25"/>
  <c r="PD96" i="25"/>
  <c r="PC96" i="25"/>
  <c r="BM96" i="25" s="1"/>
  <c r="PT96" i="25"/>
  <c r="RD90" i="25"/>
  <c r="ME90" i="25"/>
  <c r="RC90" i="25"/>
  <c r="BN90" i="25" s="1"/>
  <c r="DW91" i="25"/>
  <c r="CD92" i="25"/>
  <c r="GC95" i="25"/>
  <c r="UC93" i="25"/>
  <c r="UC96" i="25"/>
  <c r="IE90" i="25"/>
  <c r="CL90" i="25"/>
  <c r="DF90" i="25"/>
  <c r="NE81" i="25"/>
  <c r="MT82" i="25"/>
  <c r="MC82" i="25"/>
  <c r="IE80" i="25"/>
  <c r="KE80" i="25"/>
  <c r="OC80" i="25"/>
  <c r="OT79" i="25"/>
  <c r="OT87" i="25"/>
  <c r="QE87" i="25"/>
  <c r="SC87" i="25"/>
  <c r="KE78" i="25"/>
  <c r="ST78" i="25"/>
  <c r="ST86" i="25"/>
  <c r="MC85" i="25"/>
  <c r="JT84" i="25"/>
  <c r="OE83" i="25"/>
  <c r="QE83" i="25"/>
  <c r="GT79" i="25"/>
  <c r="GG86" i="25"/>
  <c r="GG84" i="25"/>
  <c r="TG86" i="25"/>
  <c r="TG84" i="25"/>
  <c r="TG82" i="25"/>
  <c r="TG80" i="25"/>
  <c r="TC78" i="25"/>
  <c r="TG77" i="25"/>
  <c r="TC87" i="25"/>
  <c r="TG87" i="25"/>
  <c r="TT84" i="25"/>
  <c r="UE82" i="25"/>
  <c r="UE81" i="25"/>
  <c r="UT80" i="25"/>
  <c r="UG78" i="25"/>
  <c r="UT78" i="25"/>
  <c r="UG77" i="25"/>
  <c r="UC87" i="25"/>
  <c r="UG87" i="25"/>
  <c r="UE87" i="25"/>
  <c r="UT86" i="25"/>
  <c r="UT85" i="25"/>
  <c r="UC84" i="25"/>
  <c r="UG84" i="25"/>
  <c r="ST81" i="25"/>
  <c r="SE78" i="25"/>
  <c r="KE84" i="25"/>
  <c r="OE84" i="25"/>
  <c r="TG78" i="25"/>
  <c r="TC77" i="25"/>
  <c r="TT85" i="25"/>
  <c r="UC82" i="25"/>
  <c r="UG81" i="25"/>
  <c r="UE86" i="25"/>
  <c r="UE85" i="25"/>
  <c r="UE84" i="25"/>
  <c r="UC83" i="25"/>
  <c r="UG83" i="25"/>
  <c r="UE83" i="25"/>
  <c r="ME82" i="25"/>
  <c r="LC82" i="25"/>
  <c r="OT82" i="25"/>
  <c r="JC81" i="25"/>
  <c r="OC81" i="25"/>
  <c r="QC81" i="25"/>
  <c r="JE80" i="25"/>
  <c r="IE79" i="25"/>
  <c r="MT79" i="25"/>
  <c r="OC79" i="25"/>
  <c r="IE87" i="25"/>
  <c r="MT87" i="25"/>
  <c r="OC87" i="25"/>
  <c r="PE87" i="25"/>
  <c r="QT87" i="25"/>
  <c r="QC87" i="25"/>
  <c r="IE78" i="25"/>
  <c r="JE78" i="25"/>
  <c r="OE78" i="25"/>
  <c r="IE86" i="25"/>
  <c r="OE86" i="25"/>
  <c r="SC86" i="25"/>
  <c r="CI86" i="25" s="1"/>
  <c r="ME77" i="25"/>
  <c r="MT77" i="25"/>
  <c r="JD85" i="25"/>
  <c r="OC85" i="25"/>
  <c r="JE84" i="25"/>
  <c r="QC83" i="25"/>
  <c r="FT83" i="25"/>
  <c r="TG85" i="25"/>
  <c r="TG81" i="25"/>
  <c r="TT86" i="25"/>
  <c r="UT77" i="25"/>
  <c r="UC86" i="25"/>
  <c r="J92" i="42"/>
  <c r="SC78" i="25"/>
  <c r="ME85" i="25"/>
  <c r="MT85" i="25"/>
  <c r="JC84" i="25"/>
  <c r="BJ84" i="25" s="1"/>
  <c r="FG80" i="25"/>
  <c r="GG83" i="25"/>
  <c r="TC83" i="25"/>
  <c r="TG83" i="25"/>
  <c r="TC82" i="25"/>
  <c r="TC81" i="25"/>
  <c r="TC79" i="25"/>
  <c r="TG79" i="25"/>
  <c r="CE59" i="25"/>
  <c r="BJ59" i="25"/>
  <c r="KE56" i="25"/>
  <c r="KE71" i="25"/>
  <c r="ME67" i="25"/>
  <c r="KE75" i="25"/>
  <c r="J73" i="42"/>
  <c r="J71" i="42"/>
  <c r="NE56" i="25"/>
  <c r="NT58" i="25"/>
  <c r="ND58" i="25"/>
  <c r="KE74" i="25"/>
  <c r="KT57" i="25"/>
  <c r="NC57" i="25"/>
  <c r="SC57" i="25"/>
  <c r="KE65" i="25"/>
  <c r="JC73" i="25"/>
  <c r="QE73" i="25"/>
  <c r="JT56" i="25"/>
  <c r="OC56" i="25"/>
  <c r="BL56" i="25" s="1"/>
  <c r="SE63" i="25"/>
  <c r="IE71" i="25"/>
  <c r="MT71" i="25"/>
  <c r="QT71" i="25"/>
  <c r="SE70" i="25"/>
  <c r="MC76" i="25"/>
  <c r="MT75" i="25"/>
  <c r="PD75" i="25"/>
  <c r="FT66" i="25"/>
  <c r="FG74" i="25"/>
  <c r="GG74" i="25"/>
  <c r="GT65" i="25"/>
  <c r="GG64" i="25"/>
  <c r="GU64" i="25" s="1"/>
  <c r="GT63" i="25"/>
  <c r="FT62" i="25"/>
  <c r="FG60" i="25"/>
  <c r="FU60" i="25" s="1"/>
  <c r="GT59" i="25"/>
  <c r="KE64" i="25"/>
  <c r="OE62" i="25"/>
  <c r="KE60" i="25"/>
  <c r="S88" i="3"/>
  <c r="J88" i="42"/>
  <c r="TG70" i="25"/>
  <c r="TU70" i="25" s="1"/>
  <c r="TC70" i="25"/>
  <c r="TT70" i="25"/>
  <c r="KE57" i="25"/>
  <c r="KE73" i="25"/>
  <c r="QT73" i="25"/>
  <c r="JT64" i="25"/>
  <c r="JC71" i="25"/>
  <c r="ME71" i="25"/>
  <c r="QE71" i="25"/>
  <c r="LE61" i="25"/>
  <c r="SE68" i="25"/>
  <c r="ST68" i="25"/>
  <c r="MT76" i="25"/>
  <c r="IC67" i="25"/>
  <c r="OE67" i="25"/>
  <c r="QE75" i="25"/>
  <c r="KE61" i="25"/>
  <c r="KE76" i="25"/>
  <c r="ME59" i="25"/>
  <c r="J72" i="42"/>
  <c r="J74" i="42"/>
  <c r="S90" i="3"/>
  <c r="J90" i="42"/>
  <c r="S91" i="3"/>
  <c r="J91" i="42"/>
  <c r="NE65" i="25"/>
  <c r="ND57" i="25"/>
  <c r="ST57" i="25"/>
  <c r="SE57" i="25"/>
  <c r="ND73" i="25"/>
  <c r="SC70" i="25"/>
  <c r="OE75" i="25"/>
  <c r="KE72" i="25"/>
  <c r="ME62" i="25"/>
  <c r="KE68" i="25"/>
  <c r="S89" i="3"/>
  <c r="J89" i="42"/>
  <c r="S87" i="3"/>
  <c r="J87" i="42"/>
  <c r="NE73" i="25"/>
  <c r="IE58" i="25"/>
  <c r="MT58" i="25"/>
  <c r="RE58" i="25"/>
  <c r="NT74" i="25"/>
  <c r="JT57" i="25"/>
  <c r="NT57" i="25"/>
  <c r="QT65" i="25"/>
  <c r="JD73" i="25"/>
  <c r="NT73" i="25"/>
  <c r="IE56" i="25"/>
  <c r="JD56" i="25"/>
  <c r="OE56" i="25"/>
  <c r="QT56" i="25"/>
  <c r="MC64" i="25"/>
  <c r="CF64" i="25" s="1"/>
  <c r="JC64" i="25"/>
  <c r="JT72" i="25"/>
  <c r="OC72" i="25"/>
  <c r="JC63" i="25"/>
  <c r="ST63" i="25"/>
  <c r="JE71" i="25"/>
  <c r="LD70" i="25"/>
  <c r="JD70" i="25"/>
  <c r="OE70" i="25"/>
  <c r="OC70" i="25"/>
  <c r="PC70" i="25"/>
  <c r="ST70" i="25"/>
  <c r="MT61" i="25"/>
  <c r="PE61" i="25"/>
  <c r="MC69" i="25"/>
  <c r="PC69" i="25"/>
  <c r="QT69" i="25"/>
  <c r="LE60" i="25"/>
  <c r="JC60" i="25"/>
  <c r="ST60" i="25"/>
  <c r="JT68" i="25"/>
  <c r="OE68" i="25"/>
  <c r="RE68" i="25"/>
  <c r="RC68" i="25"/>
  <c r="JE76" i="25"/>
  <c r="OC76" i="25"/>
  <c r="ST76" i="25"/>
  <c r="JT59" i="25"/>
  <c r="OE59" i="25"/>
  <c r="PE59" i="25"/>
  <c r="ST59" i="25"/>
  <c r="MT67" i="25"/>
  <c r="JE75" i="25"/>
  <c r="OT75" i="25"/>
  <c r="FG58" i="25"/>
  <c r="FU58" i="25" s="1"/>
  <c r="GG71" i="25"/>
  <c r="GU71" i="25" s="1"/>
  <c r="TT58" i="25"/>
  <c r="TT56" i="25"/>
  <c r="TT59" i="25"/>
  <c r="UC60" i="25"/>
  <c r="UT60" i="25"/>
  <c r="UT59" i="25"/>
  <c r="UE58" i="25"/>
  <c r="UC56" i="25"/>
  <c r="UE56" i="25"/>
  <c r="TC58" i="25"/>
  <c r="TC73" i="25"/>
  <c r="TC56" i="25"/>
  <c r="TG72" i="25"/>
  <c r="TT75" i="25"/>
  <c r="TT73" i="25"/>
  <c r="TT68" i="25"/>
  <c r="TT65" i="25"/>
  <c r="UC64" i="25"/>
  <c r="UT63" i="25"/>
  <c r="UC74" i="25"/>
  <c r="UE57" i="25"/>
  <c r="UT73" i="25"/>
  <c r="UG56" i="25"/>
  <c r="UU56" i="25" s="1"/>
  <c r="UG72" i="25"/>
  <c r="UE72" i="25"/>
  <c r="UC68" i="25"/>
  <c r="UT67" i="25"/>
  <c r="TC66" i="25"/>
  <c r="TC64" i="25"/>
  <c r="TG61" i="25"/>
  <c r="TU61" i="25" s="1"/>
  <c r="TC59" i="25"/>
  <c r="TG59" i="25"/>
  <c r="TU59" i="25" s="1"/>
  <c r="TG58" i="25"/>
  <c r="TU58" i="25" s="1"/>
  <c r="TC74" i="25"/>
  <c r="TC72" i="25"/>
  <c r="TT57" i="25"/>
  <c r="TT60" i="25"/>
  <c r="TT76" i="25"/>
  <c r="UG62" i="25"/>
  <c r="UU62" i="25" s="1"/>
  <c r="UT62" i="25"/>
  <c r="UC76" i="25"/>
  <c r="UC73" i="25"/>
  <c r="UE73" i="25"/>
  <c r="UC72" i="25"/>
  <c r="TG66" i="25"/>
  <c r="TU66" i="25" s="1"/>
  <c r="TC61" i="25"/>
  <c r="TC75" i="25"/>
  <c r="TG74" i="25"/>
  <c r="UG66" i="25"/>
  <c r="UU66" i="25" s="1"/>
  <c r="UC62" i="25"/>
  <c r="UC61" i="25"/>
  <c r="UG60" i="25"/>
  <c r="UU60" i="25" s="1"/>
  <c r="UC59" i="25"/>
  <c r="UC58" i="25"/>
  <c r="UG58" i="25"/>
  <c r="UU58" i="25" s="1"/>
  <c r="UG57" i="25"/>
  <c r="UU57" i="25" s="1"/>
  <c r="UG70" i="25"/>
  <c r="UU70" i="25" s="1"/>
  <c r="D79" i="3"/>
  <c r="F79" i="3"/>
  <c r="E79" i="3"/>
  <c r="C79" i="3"/>
  <c r="D90" i="3"/>
  <c r="E90" i="3"/>
  <c r="F90" i="3"/>
  <c r="C90" i="3"/>
  <c r="D72" i="3"/>
  <c r="E72" i="3"/>
  <c r="C72" i="3"/>
  <c r="F72" i="3"/>
  <c r="D77" i="3"/>
  <c r="E77" i="3"/>
  <c r="C77" i="3"/>
  <c r="F77" i="3"/>
  <c r="D88" i="3"/>
  <c r="F88" i="3"/>
  <c r="C88" i="3"/>
  <c r="E88" i="3"/>
  <c r="RC72" i="25"/>
  <c r="RT70" i="25"/>
  <c r="RT58" i="25"/>
  <c r="RC65" i="25"/>
  <c r="RD56" i="25"/>
  <c r="RE70" i="25"/>
  <c r="RC78" i="25"/>
  <c r="RC85" i="25"/>
  <c r="RD85" i="25"/>
  <c r="RE84" i="25"/>
  <c r="RE67" i="25"/>
  <c r="RE76" i="25"/>
  <c r="RC76" i="25"/>
  <c r="RE74" i="25"/>
  <c r="RE78" i="25"/>
  <c r="RD76" i="25"/>
  <c r="PE57" i="25"/>
  <c r="PC63" i="25"/>
  <c r="PC71" i="25"/>
  <c r="PD87" i="25"/>
  <c r="PD61" i="25"/>
  <c r="PT85" i="25"/>
  <c r="PC76" i="25"/>
  <c r="PD67" i="25"/>
  <c r="PT67" i="25"/>
  <c r="PT75" i="25"/>
  <c r="PC83" i="25"/>
  <c r="PT66" i="25"/>
  <c r="PD66" i="25"/>
  <c r="PT63" i="25"/>
  <c r="PT71" i="25"/>
  <c r="PD85" i="25"/>
  <c r="PD59" i="25"/>
  <c r="PE66" i="25"/>
  <c r="PD65" i="25"/>
  <c r="LD81" i="25"/>
  <c r="LD84" i="25"/>
  <c r="LT81" i="25"/>
  <c r="LD82" i="25"/>
  <c r="LE65" i="25"/>
  <c r="LD69" i="25"/>
  <c r="LC85" i="25"/>
  <c r="LT65" i="25"/>
  <c r="RT66" i="25"/>
  <c r="RT82" i="25"/>
  <c r="RD74" i="25"/>
  <c r="RE82" i="25"/>
  <c r="RC74" i="25"/>
  <c r="RT65" i="25"/>
  <c r="RC64" i="25"/>
  <c r="RC80" i="25"/>
  <c r="RT87" i="25"/>
  <c r="RT62" i="25"/>
  <c r="RT86" i="25"/>
  <c r="RE60" i="25"/>
  <c r="RC60" i="25"/>
  <c r="RT67" i="25"/>
  <c r="RE87" i="25"/>
  <c r="RE62" i="25"/>
  <c r="RD60" i="25"/>
  <c r="RD86" i="25"/>
  <c r="RT56" i="25"/>
  <c r="RE56" i="25"/>
  <c r="RD64" i="25"/>
  <c r="RE64" i="25"/>
  <c r="RD80" i="25"/>
  <c r="RE80" i="25"/>
  <c r="RC83" i="25"/>
  <c r="PT58" i="25"/>
  <c r="PD79" i="25"/>
  <c r="PD62" i="25"/>
  <c r="PD78" i="25"/>
  <c r="PC58" i="25"/>
  <c r="PC65" i="25"/>
  <c r="PE62" i="25"/>
  <c r="PC62" i="25"/>
  <c r="PE78" i="25"/>
  <c r="PC78" i="25"/>
  <c r="PC61" i="25"/>
  <c r="PC77" i="25"/>
  <c r="PC85" i="25"/>
  <c r="PT60" i="25"/>
  <c r="PE76" i="25"/>
  <c r="PE75" i="25"/>
  <c r="PT83" i="25"/>
  <c r="PD83" i="25"/>
  <c r="PC87" i="25"/>
  <c r="PE77" i="25"/>
  <c r="PE58" i="25"/>
  <c r="LT57" i="25"/>
  <c r="LD61" i="25"/>
  <c r="LT77" i="25"/>
  <c r="LC68" i="25"/>
  <c r="LE73" i="25"/>
  <c r="LC73" i="25"/>
  <c r="LD73" i="25"/>
  <c r="LD77" i="25"/>
  <c r="LT85" i="25"/>
  <c r="LC61" i="25"/>
  <c r="DW70" i="25"/>
  <c r="DJ70" i="25"/>
  <c r="DX70" i="25" s="1"/>
  <c r="DW85" i="25"/>
  <c r="DJ85" i="25"/>
  <c r="DG75" i="25"/>
  <c r="DW75" i="25"/>
  <c r="DJ75" i="25"/>
  <c r="DG85" i="25"/>
  <c r="DJ68" i="25"/>
  <c r="DX68" i="25" s="1"/>
  <c r="DJ59" i="25"/>
  <c r="DX59" i="25" s="1"/>
  <c r="DW83" i="25"/>
  <c r="DF83" i="25"/>
  <c r="NC66" i="25"/>
  <c r="JT66" i="25"/>
  <c r="JC66" i="25"/>
  <c r="BJ66" i="25" s="1"/>
  <c r="SG82" i="25"/>
  <c r="ST82" i="25"/>
  <c r="SE82" i="25"/>
  <c r="CD82" i="25"/>
  <c r="KT82" i="25"/>
  <c r="RD57" i="25"/>
  <c r="RE57" i="25"/>
  <c r="ME65" i="25"/>
  <c r="MT65" i="25"/>
  <c r="MC65" i="25"/>
  <c r="PE73" i="25"/>
  <c r="PD73" i="25"/>
  <c r="PC73" i="25"/>
  <c r="PT73" i="25"/>
  <c r="RE73" i="25"/>
  <c r="RD73" i="25"/>
  <c r="MT81" i="25"/>
  <c r="MC81" i="25"/>
  <c r="BM60" i="25"/>
  <c r="CH60" i="25"/>
  <c r="ND65" i="25"/>
  <c r="IT74" i="25"/>
  <c r="BQ74" i="25"/>
  <c r="I89" i="3" s="1"/>
  <c r="CV74" i="25"/>
  <c r="MC74" i="25"/>
  <c r="NE74" i="25"/>
  <c r="NE64" i="25"/>
  <c r="ND72" i="25"/>
  <c r="NT72" i="25"/>
  <c r="NC72" i="25"/>
  <c r="ND86" i="25"/>
  <c r="NC86" i="25"/>
  <c r="NT86" i="25"/>
  <c r="ND69" i="25"/>
  <c r="NC69" i="25"/>
  <c r="NT69" i="25"/>
  <c r="NE77" i="25"/>
  <c r="NE75" i="25"/>
  <c r="LT58" i="25"/>
  <c r="IT66" i="25"/>
  <c r="LT66" i="25"/>
  <c r="QG74" i="25"/>
  <c r="QE74" i="25"/>
  <c r="IT82" i="25"/>
  <c r="PD82" i="25"/>
  <c r="PC82" i="25"/>
  <c r="PT82" i="25"/>
  <c r="OE57" i="25"/>
  <c r="OE65" i="25"/>
  <c r="OE73" i="25"/>
  <c r="BR81" i="25"/>
  <c r="CW81" i="25"/>
  <c r="CC81" i="25"/>
  <c r="KT81" i="25"/>
  <c r="KC81" i="25"/>
  <c r="BJ81" i="25" s="1"/>
  <c r="QT66" i="25"/>
  <c r="IE74" i="25"/>
  <c r="NE66" i="25"/>
  <c r="IE66" i="25"/>
  <c r="LE66" i="25"/>
  <c r="NT66" i="25"/>
  <c r="ND66" i="25"/>
  <c r="LE74" i="25"/>
  <c r="QT74" i="25"/>
  <c r="KE82" i="25"/>
  <c r="NC82" i="25"/>
  <c r="RC57" i="25"/>
  <c r="SE66" i="25"/>
  <c r="SC66" i="25"/>
  <c r="ST66" i="25"/>
  <c r="ME66" i="25"/>
  <c r="QE58" i="25"/>
  <c r="NE58" i="25"/>
  <c r="NC81" i="25"/>
  <c r="NT81" i="25"/>
  <c r="ND56" i="25"/>
  <c r="NT56" i="25"/>
  <c r="NC56" i="25"/>
  <c r="NC79" i="25"/>
  <c r="ND79" i="25"/>
  <c r="NT79" i="25"/>
  <c r="ND70" i="25"/>
  <c r="NT70" i="25"/>
  <c r="NC70" i="25"/>
  <c r="NE61" i="25"/>
  <c r="NE84" i="25"/>
  <c r="NE59" i="25"/>
  <c r="BQ58" i="25"/>
  <c r="CV58" i="25"/>
  <c r="CE58" i="25"/>
  <c r="KE58" i="25"/>
  <c r="BQ66" i="25"/>
  <c r="CV66" i="25"/>
  <c r="CE66" i="25"/>
  <c r="KE66" i="25"/>
  <c r="RE66" i="25"/>
  <c r="RD66" i="25"/>
  <c r="BQ82" i="25"/>
  <c r="CV82" i="25"/>
  <c r="JT82" i="25"/>
  <c r="JE82" i="25"/>
  <c r="JD82" i="25"/>
  <c r="JC82" i="25"/>
  <c r="LE82" i="25"/>
  <c r="QG82" i="25"/>
  <c r="QC82" i="25"/>
  <c r="ME57" i="25"/>
  <c r="MT57" i="25"/>
  <c r="MC57" i="25"/>
  <c r="BL57" i="25"/>
  <c r="CG57" i="25"/>
  <c r="BL65" i="25"/>
  <c r="CG65" i="25"/>
  <c r="MT73" i="25"/>
  <c r="MC73" i="25"/>
  <c r="BL73" i="25"/>
  <c r="CG73" i="25"/>
  <c r="ME81" i="25"/>
  <c r="JE81" i="25"/>
  <c r="PE81" i="25"/>
  <c r="PD81" i="25"/>
  <c r="PC81" i="25"/>
  <c r="CH81" i="25" s="1"/>
  <c r="PT81" i="25"/>
  <c r="QT58" i="25"/>
  <c r="QE66" i="25"/>
  <c r="KC82" i="25"/>
  <c r="BJ82" i="25" s="1"/>
  <c r="QT82" i="25"/>
  <c r="ND81" i="25"/>
  <c r="NE80" i="25"/>
  <c r="NC88" i="25"/>
  <c r="ND88" i="25"/>
  <c r="NT88" i="25"/>
  <c r="NE71" i="25"/>
  <c r="NE62" i="25"/>
  <c r="NT85" i="25"/>
  <c r="ND85" i="25"/>
  <c r="NC85" i="25"/>
  <c r="NC60" i="25"/>
  <c r="ND60" i="25"/>
  <c r="NT60" i="25"/>
  <c r="NC67" i="25"/>
  <c r="NT67" i="25"/>
  <c r="ND67" i="25"/>
  <c r="SC58" i="25"/>
  <c r="ST58" i="25"/>
  <c r="SE58" i="25"/>
  <c r="BR58" i="25"/>
  <c r="CC58" i="25"/>
  <c r="ME58" i="25"/>
  <c r="JT58" i="25"/>
  <c r="JC58" i="25"/>
  <c r="JT74" i="25"/>
  <c r="JC74" i="25"/>
  <c r="CE74" i="25" s="1"/>
  <c r="NT82" i="25"/>
  <c r="NT65" i="25"/>
  <c r="NT63" i="25"/>
  <c r="ND63" i="25"/>
  <c r="NC63" i="25"/>
  <c r="NE87" i="25"/>
  <c r="NE78" i="25"/>
  <c r="NE68" i="25"/>
  <c r="NC76" i="25"/>
  <c r="NT76" i="25"/>
  <c r="ND76" i="25"/>
  <c r="NT83" i="25"/>
  <c r="NC83" i="25"/>
  <c r="ND83" i="25"/>
  <c r="IT58" i="25"/>
  <c r="OE58" i="25"/>
  <c r="OE66" i="25"/>
  <c r="SG74" i="25"/>
  <c r="ST74" i="25"/>
  <c r="SE74" i="25"/>
  <c r="SC74" i="25"/>
  <c r="ME74" i="25"/>
  <c r="OE74" i="25"/>
  <c r="BL82" i="25"/>
  <c r="CG82" i="25"/>
  <c r="BM65" i="25"/>
  <c r="CH65" i="25"/>
  <c r="BM68" i="25"/>
  <c r="CH68" i="25"/>
  <c r="LE58" i="25"/>
  <c r="NE88" i="25"/>
  <c r="JE58" i="25"/>
  <c r="LC58" i="25"/>
  <c r="JD58" i="25"/>
  <c r="OC58" i="25"/>
  <c r="QC58" i="25"/>
  <c r="JE66" i="25"/>
  <c r="LC66" i="25"/>
  <c r="JD66" i="25"/>
  <c r="OC66" i="25"/>
  <c r="QC66" i="25"/>
  <c r="IC74" i="25"/>
  <c r="JE74" i="25"/>
  <c r="JD74" i="25"/>
  <c r="MT74" i="25"/>
  <c r="OC74" i="25"/>
  <c r="QC74" i="25"/>
  <c r="IE82" i="25"/>
  <c r="NE82" i="25"/>
  <c r="SC82" i="25"/>
  <c r="RT57" i="25"/>
  <c r="RC73" i="25"/>
  <c r="RT73" i="25"/>
  <c r="KE81" i="25"/>
  <c r="NE85" i="25"/>
  <c r="NC68" i="25"/>
  <c r="NT84" i="25"/>
  <c r="NC84" i="25"/>
  <c r="ND84" i="25"/>
  <c r="NE67" i="25"/>
  <c r="NE83" i="25"/>
  <c r="BQ57" i="25"/>
  <c r="CV57" i="25"/>
  <c r="ND62" i="25"/>
  <c r="ND78" i="25"/>
  <c r="ND61" i="25"/>
  <c r="NC61" i="25"/>
  <c r="NT77" i="25"/>
  <c r="ND77" i="25"/>
  <c r="NC59" i="25"/>
  <c r="NT59" i="25"/>
  <c r="ND59" i="25"/>
  <c r="NC75" i="25"/>
  <c r="NT75" i="25"/>
  <c r="ND75" i="25"/>
  <c r="BR66" i="25"/>
  <c r="CW66" i="25"/>
  <c r="CC66" i="25"/>
  <c r="BR74" i="25"/>
  <c r="J89" i="3" s="1"/>
  <c r="CW74" i="25"/>
  <c r="CC74" i="25"/>
  <c r="BR82" i="25"/>
  <c r="CW82" i="25"/>
  <c r="CC82" i="25"/>
  <c r="IT57" i="25"/>
  <c r="IT65" i="25"/>
  <c r="IT73" i="25"/>
  <c r="IT81" i="25"/>
  <c r="BQ63" i="25"/>
  <c r="CV63" i="25"/>
  <c r="BR63" i="25"/>
  <c r="CW63" i="25"/>
  <c r="CC63" i="25"/>
  <c r="IT71" i="25"/>
  <c r="IT79" i="25"/>
  <c r="IT87" i="25"/>
  <c r="CD78" i="25"/>
  <c r="QG86" i="25"/>
  <c r="QT86" i="25"/>
  <c r="QE86" i="25"/>
  <c r="BR61" i="25"/>
  <c r="CM61" i="25"/>
  <c r="CW61" i="25"/>
  <c r="CC61" i="25"/>
  <c r="KT61" i="25"/>
  <c r="KC61" i="25"/>
  <c r="BJ61" i="25" s="1"/>
  <c r="LT61" i="25"/>
  <c r="IT69" i="25"/>
  <c r="BQ69" i="25"/>
  <c r="CV69" i="25"/>
  <c r="OC69" i="25"/>
  <c r="PT69" i="25"/>
  <c r="PD69" i="25"/>
  <c r="RT69" i="25"/>
  <c r="RD69" i="25"/>
  <c r="OE77" i="25"/>
  <c r="RT77" i="25"/>
  <c r="RE77" i="25"/>
  <c r="RC77" i="25"/>
  <c r="BR85" i="25"/>
  <c r="CW85" i="25"/>
  <c r="CC85" i="25"/>
  <c r="KE85" i="25"/>
  <c r="BQ60" i="25"/>
  <c r="BN60" i="25"/>
  <c r="CI60" i="25"/>
  <c r="BQ68" i="25"/>
  <c r="CV68" i="25"/>
  <c r="CD76" i="25"/>
  <c r="CF84" i="25"/>
  <c r="NE86" i="25"/>
  <c r="MC58" i="25"/>
  <c r="MC66" i="25"/>
  <c r="ST73" i="25"/>
  <c r="NE76" i="25"/>
  <c r="NC58" i="25"/>
  <c r="LT74" i="25"/>
  <c r="NC74" i="25"/>
  <c r="JD57" i="25"/>
  <c r="JC57" i="25"/>
  <c r="CE57" i="25" s="1"/>
  <c r="LE57" i="25"/>
  <c r="OT57" i="25"/>
  <c r="QC57" i="25"/>
  <c r="IE65" i="25"/>
  <c r="JD65" i="25"/>
  <c r="JC65" i="25"/>
  <c r="OT65" i="25"/>
  <c r="IC73" i="25"/>
  <c r="JE73" i="25"/>
  <c r="KC73" i="25"/>
  <c r="BJ73" i="25" s="1"/>
  <c r="OT73" i="25"/>
  <c r="QC73" i="25"/>
  <c r="IC81" i="25"/>
  <c r="RC81" i="25"/>
  <c r="KT56" i="25"/>
  <c r="JE56" i="25"/>
  <c r="KC56" i="25"/>
  <c r="BJ56" i="25" s="1"/>
  <c r="ME56" i="25"/>
  <c r="OT56" i="25"/>
  <c r="QE56" i="25"/>
  <c r="KT64" i="25"/>
  <c r="JE64" i="25"/>
  <c r="KC64" i="25"/>
  <c r="BJ64" i="25" s="1"/>
  <c r="ME64" i="25"/>
  <c r="OT64" i="25"/>
  <c r="PT64" i="25"/>
  <c r="QT64" i="25"/>
  <c r="QE64" i="25"/>
  <c r="KT72" i="25"/>
  <c r="JE72" i="25"/>
  <c r="KC72" i="25"/>
  <c r="BJ72" i="25" s="1"/>
  <c r="ME72" i="25"/>
  <c r="OT72" i="25"/>
  <c r="PT72" i="25"/>
  <c r="QE72" i="25"/>
  <c r="LE80" i="25"/>
  <c r="NT80" i="25"/>
  <c r="OT80" i="25"/>
  <c r="OE80" i="25"/>
  <c r="PT80" i="25"/>
  <c r="PC80" i="25"/>
  <c r="QE80" i="25"/>
  <c r="LE88" i="25"/>
  <c r="OT88" i="25"/>
  <c r="OE88" i="25"/>
  <c r="PT88" i="25"/>
  <c r="PC88" i="25"/>
  <c r="RT88" i="25"/>
  <c r="QC88" i="25"/>
  <c r="KT63" i="25"/>
  <c r="JD63" i="25"/>
  <c r="NE63" i="25"/>
  <c r="QC63" i="25"/>
  <c r="LE71" i="25"/>
  <c r="MC71" i="25"/>
  <c r="JD71" i="25"/>
  <c r="NC71" i="25"/>
  <c r="RE71" i="25"/>
  <c r="SC71" i="25"/>
  <c r="QC71" i="25"/>
  <c r="KE79" i="25"/>
  <c r="JD79" i="25"/>
  <c r="ME79" i="25"/>
  <c r="KC79" i="25"/>
  <c r="BJ79" i="25" s="1"/>
  <c r="QE79" i="25"/>
  <c r="QC79" i="25"/>
  <c r="KE87" i="25"/>
  <c r="JD87" i="25"/>
  <c r="ME87" i="25"/>
  <c r="KC87" i="25"/>
  <c r="BJ87" i="25" s="1"/>
  <c r="NT87" i="25"/>
  <c r="RD87" i="25"/>
  <c r="JC62" i="25"/>
  <c r="JT62" i="25"/>
  <c r="SE62" i="25"/>
  <c r="KE70" i="25"/>
  <c r="ME70" i="25"/>
  <c r="RC70" i="25"/>
  <c r="CI70" i="25" s="1"/>
  <c r="JC78" i="25"/>
  <c r="ME78" i="25"/>
  <c r="MC78" i="25"/>
  <c r="LE78" i="25"/>
  <c r="QT78" i="25"/>
  <c r="JC86" i="25"/>
  <c r="ME86" i="25"/>
  <c r="MC86" i="25"/>
  <c r="LE86" i="25"/>
  <c r="JT61" i="25"/>
  <c r="JE61" i="25"/>
  <c r="SC61" i="25"/>
  <c r="JD77" i="25"/>
  <c r="PT77" i="25"/>
  <c r="OT85" i="25"/>
  <c r="ST85" i="25"/>
  <c r="MC60" i="25"/>
  <c r="OE60" i="25"/>
  <c r="QT60" i="25"/>
  <c r="ND68" i="25"/>
  <c r="PE68" i="25"/>
  <c r="CG56" i="25"/>
  <c r="BL64" i="25"/>
  <c r="CG64" i="25"/>
  <c r="IT72" i="25"/>
  <c r="BR72" i="25"/>
  <c r="CC72" i="25"/>
  <c r="CW72" i="25"/>
  <c r="BL72" i="25"/>
  <c r="CG72" i="25"/>
  <c r="IT80" i="25"/>
  <c r="BR80" i="25"/>
  <c r="CW80" i="25"/>
  <c r="CC80" i="25"/>
  <c r="IT88" i="25"/>
  <c r="BR88" i="25"/>
  <c r="CW88" i="25"/>
  <c r="CC88" i="25"/>
  <c r="BL88" i="25"/>
  <c r="CG88" i="25"/>
  <c r="CD79" i="25"/>
  <c r="CL87" i="25"/>
  <c r="BN87" i="25"/>
  <c r="CI87" i="25"/>
  <c r="BM87" i="25"/>
  <c r="CH87" i="25"/>
  <c r="BR62" i="25"/>
  <c r="CW62" i="25"/>
  <c r="CC62" i="25"/>
  <c r="OT78" i="25"/>
  <c r="BM78" i="25"/>
  <c r="CH78" i="25"/>
  <c r="OT86" i="25"/>
  <c r="BN86" i="25"/>
  <c r="BQ61" i="25"/>
  <c r="CV61" i="25"/>
  <c r="CF61" i="25"/>
  <c r="KT69" i="25"/>
  <c r="BM69" i="25"/>
  <c r="CH69" i="25"/>
  <c r="SG77" i="25"/>
  <c r="ST77" i="25"/>
  <c r="JC77" i="25"/>
  <c r="OE85" i="25"/>
  <c r="IT60" i="25"/>
  <c r="BR60" i="25"/>
  <c r="CM60" i="25"/>
  <c r="CW60" i="25"/>
  <c r="CC60" i="25"/>
  <c r="OE76" i="25"/>
  <c r="BN76" i="25"/>
  <c r="CI76" i="25"/>
  <c r="BQ84" i="25"/>
  <c r="CV84" i="25"/>
  <c r="LT56" i="25"/>
  <c r="PC56" i="25"/>
  <c r="PD56" i="25"/>
  <c r="SE56" i="25"/>
  <c r="LT64" i="25"/>
  <c r="NC64" i="25"/>
  <c r="PC64" i="25"/>
  <c r="LT72" i="25"/>
  <c r="PC72" i="25"/>
  <c r="SE72" i="25"/>
  <c r="QE88" i="25"/>
  <c r="ST88" i="25"/>
  <c r="MC63" i="25"/>
  <c r="LT63" i="25"/>
  <c r="ME63" i="25"/>
  <c r="OC63" i="25"/>
  <c r="RC63" i="25"/>
  <c r="BN63" i="25" s="1"/>
  <c r="LT71" i="25"/>
  <c r="OC71" i="25"/>
  <c r="ND71" i="25"/>
  <c r="RC71" i="25"/>
  <c r="NE79" i="25"/>
  <c r="RC79" i="25"/>
  <c r="ND87" i="25"/>
  <c r="QT62" i="25"/>
  <c r="OC78" i="25"/>
  <c r="OC86" i="25"/>
  <c r="QC61" i="25"/>
  <c r="QE61" i="25"/>
  <c r="JC69" i="25"/>
  <c r="BJ69" i="25" s="1"/>
  <c r="NE69" i="25"/>
  <c r="JE77" i="25"/>
  <c r="SE77" i="25"/>
  <c r="IE60" i="25"/>
  <c r="BN57" i="25"/>
  <c r="CI57" i="25"/>
  <c r="BR65" i="25"/>
  <c r="CC65" i="25"/>
  <c r="CW65" i="25"/>
  <c r="BR73" i="25"/>
  <c r="J88" i="3" s="1"/>
  <c r="CC73" i="25"/>
  <c r="CL73" i="25"/>
  <c r="BQ81" i="25"/>
  <c r="CV81" i="25"/>
  <c r="CL81" i="25"/>
  <c r="BL81" i="25"/>
  <c r="CG81" i="25"/>
  <c r="IT56" i="25"/>
  <c r="BR56" i="25"/>
  <c r="CW56" i="25"/>
  <c r="CC56" i="25"/>
  <c r="IT64" i="25"/>
  <c r="BR64" i="25"/>
  <c r="CW64" i="25"/>
  <c r="CC64" i="25"/>
  <c r="BQ72" i="25"/>
  <c r="I87" i="3" s="1"/>
  <c r="CV72" i="25"/>
  <c r="BQ80" i="25"/>
  <c r="CV80" i="25"/>
  <c r="BQ88" i="25"/>
  <c r="CV88" i="25"/>
  <c r="IT63" i="25"/>
  <c r="BQ71" i="25"/>
  <c r="CV71" i="25"/>
  <c r="CD71" i="25"/>
  <c r="BQ79" i="25"/>
  <c r="CV79" i="25"/>
  <c r="BQ87" i="25"/>
  <c r="CV87" i="25"/>
  <c r="CD87" i="25"/>
  <c r="IT62" i="25"/>
  <c r="BQ62" i="25"/>
  <c r="CV62" i="25"/>
  <c r="BL62" i="25"/>
  <c r="CG62" i="25"/>
  <c r="LC70" i="25"/>
  <c r="LT78" i="25"/>
  <c r="LD78" i="25"/>
  <c r="KC78" i="25"/>
  <c r="BJ78" i="25" s="1"/>
  <c r="BN78" i="25"/>
  <c r="CI78" i="25"/>
  <c r="BR86" i="25"/>
  <c r="CW86" i="25"/>
  <c r="CC86" i="25"/>
  <c r="LT86" i="25"/>
  <c r="LD86" i="25"/>
  <c r="KC86" i="25"/>
  <c r="BJ86" i="25" s="1"/>
  <c r="RE86" i="25"/>
  <c r="IT61" i="25"/>
  <c r="IC61" i="25"/>
  <c r="IE61" i="25"/>
  <c r="OC61" i="25"/>
  <c r="LT69" i="25"/>
  <c r="IT77" i="25"/>
  <c r="IC77" i="25"/>
  <c r="BR77" i="25"/>
  <c r="J92" i="3" s="1"/>
  <c r="CW77" i="25"/>
  <c r="CC77" i="25"/>
  <c r="BQ77" i="25"/>
  <c r="I92" i="3" s="1"/>
  <c r="CV77" i="25"/>
  <c r="CE77" i="25"/>
  <c r="BQ85" i="25"/>
  <c r="CV85" i="25"/>
  <c r="JC85" i="25"/>
  <c r="BJ85" i="25" s="1"/>
  <c r="BL85" i="25"/>
  <c r="CG85" i="25"/>
  <c r="JE60" i="25"/>
  <c r="KC60" i="25"/>
  <c r="BJ60" i="25" s="1"/>
  <c r="KT60" i="25"/>
  <c r="LE68" i="25"/>
  <c r="BQ76" i="25"/>
  <c r="I91" i="3" s="1"/>
  <c r="CV76" i="25"/>
  <c r="ME76" i="25"/>
  <c r="SC65" i="25"/>
  <c r="SE65" i="25"/>
  <c r="JT73" i="25"/>
  <c r="ME73" i="25"/>
  <c r="SC73" i="25"/>
  <c r="SE73" i="25"/>
  <c r="JT81" i="25"/>
  <c r="SC81" i="25"/>
  <c r="SE81" i="25"/>
  <c r="LC56" i="25"/>
  <c r="CF56" i="25" s="1"/>
  <c r="PE56" i="25"/>
  <c r="QC56" i="25"/>
  <c r="SC56" i="25"/>
  <c r="LC64" i="25"/>
  <c r="NT64" i="25"/>
  <c r="ND64" i="25"/>
  <c r="PE64" i="25"/>
  <c r="QC64" i="25"/>
  <c r="SE64" i="25"/>
  <c r="SC64" i="25"/>
  <c r="IC72" i="25"/>
  <c r="LC72" i="25"/>
  <c r="CF72" i="25" s="1"/>
  <c r="PE72" i="25"/>
  <c r="QC72" i="25"/>
  <c r="SC72" i="25"/>
  <c r="IC80" i="25"/>
  <c r="JD80" i="25"/>
  <c r="JC80" i="25"/>
  <c r="BJ80" i="25" s="1"/>
  <c r="LD80" i="25"/>
  <c r="LT80" i="25"/>
  <c r="ND80" i="25"/>
  <c r="PE80" i="25"/>
  <c r="QC80" i="25"/>
  <c r="SE80" i="25"/>
  <c r="SC80" i="25"/>
  <c r="IC88" i="25"/>
  <c r="JD88" i="25"/>
  <c r="JC88" i="25"/>
  <c r="BJ88" i="25" s="1"/>
  <c r="LD88" i="25"/>
  <c r="LT88" i="25"/>
  <c r="PE88" i="25"/>
  <c r="SC88" i="25"/>
  <c r="IC63" i="25"/>
  <c r="LC63" i="25"/>
  <c r="OE63" i="25"/>
  <c r="RE63" i="25"/>
  <c r="LC71" i="25"/>
  <c r="OE71" i="25"/>
  <c r="SE71" i="25"/>
  <c r="LE79" i="25"/>
  <c r="LT79" i="25"/>
  <c r="PC79" i="25"/>
  <c r="PE79" i="25"/>
  <c r="RT79" i="25"/>
  <c r="SC79" i="25"/>
  <c r="SE79" i="25"/>
  <c r="LE87" i="25"/>
  <c r="LT87" i="25"/>
  <c r="NC87" i="25"/>
  <c r="ST87" i="25"/>
  <c r="IC62" i="25"/>
  <c r="KC62" i="25"/>
  <c r="BJ62" i="25" s="1"/>
  <c r="LC62" i="25"/>
  <c r="LD62" i="25"/>
  <c r="JD62" i="25"/>
  <c r="LE62" i="25"/>
  <c r="NT62" i="25"/>
  <c r="MT62" i="25"/>
  <c r="QC62" i="25"/>
  <c r="ST62" i="25"/>
  <c r="LE70" i="25"/>
  <c r="PT70" i="25"/>
  <c r="PD70" i="25"/>
  <c r="JT78" i="25"/>
  <c r="MT78" i="25"/>
  <c r="QE78" i="25"/>
  <c r="JT86" i="25"/>
  <c r="MT86" i="25"/>
  <c r="JD61" i="25"/>
  <c r="NT61" i="25"/>
  <c r="QT61" i="25"/>
  <c r="KE69" i="25"/>
  <c r="JE69" i="25"/>
  <c r="LE69" i="25"/>
  <c r="JT69" i="25"/>
  <c r="ME69" i="25"/>
  <c r="RE69" i="25"/>
  <c r="SC69" i="25"/>
  <c r="NC77" i="25"/>
  <c r="BL77" i="25" s="1"/>
  <c r="JE85" i="25"/>
  <c r="IC60" i="25"/>
  <c r="NE60" i="25"/>
  <c r="MT60" i="25"/>
  <c r="NT68" i="25"/>
  <c r="BQ65" i="25"/>
  <c r="CV65" i="25"/>
  <c r="BQ73" i="25"/>
  <c r="I88" i="3" s="1"/>
  <c r="CV73" i="25"/>
  <c r="BQ56" i="25"/>
  <c r="CV56" i="25"/>
  <c r="BQ64" i="25"/>
  <c r="CV64" i="25"/>
  <c r="CE80" i="25"/>
  <c r="CE88" i="25"/>
  <c r="BR71" i="25"/>
  <c r="CW71" i="25"/>
  <c r="CC71" i="25"/>
  <c r="CE71" i="25"/>
  <c r="BR79" i="25"/>
  <c r="CW79" i="25"/>
  <c r="CC79" i="25"/>
  <c r="CL79" i="25"/>
  <c r="BL79" i="25"/>
  <c r="CG79" i="25"/>
  <c r="BR87" i="25"/>
  <c r="CW87" i="25"/>
  <c r="CC87" i="25"/>
  <c r="CG87" i="25"/>
  <c r="BR70" i="25"/>
  <c r="CC70" i="25"/>
  <c r="BL70" i="25"/>
  <c r="CG70" i="25"/>
  <c r="BM70" i="25"/>
  <c r="CH70" i="25"/>
  <c r="QG70" i="25"/>
  <c r="QU70" i="25" s="1"/>
  <c r="QE70" i="25"/>
  <c r="BR78" i="25"/>
  <c r="CW78" i="25"/>
  <c r="CC78" i="25"/>
  <c r="ST61" i="25"/>
  <c r="RT61" i="25"/>
  <c r="RE61" i="25"/>
  <c r="RC61" i="25"/>
  <c r="BR69" i="25"/>
  <c r="CC69" i="25"/>
  <c r="CD69" i="25"/>
  <c r="CE69" i="25"/>
  <c r="KE77" i="25"/>
  <c r="BN77" i="25"/>
  <c r="CI77" i="25"/>
  <c r="SG85" i="25"/>
  <c r="SC85" i="25"/>
  <c r="CE85" i="25"/>
  <c r="QE60" i="25"/>
  <c r="PD68" i="25"/>
  <c r="PT68" i="25"/>
  <c r="QE68" i="25"/>
  <c r="QT68" i="25"/>
  <c r="QG76" i="25"/>
  <c r="QE76" i="25"/>
  <c r="QT76" i="25"/>
  <c r="CD84" i="25"/>
  <c r="RD82" i="25"/>
  <c r="IC56" i="25"/>
  <c r="LD56" i="25"/>
  <c r="LE56" i="25"/>
  <c r="ST56" i="25"/>
  <c r="IC64" i="25"/>
  <c r="LD64" i="25"/>
  <c r="LE64" i="25"/>
  <c r="ST64" i="25"/>
  <c r="LD72" i="25"/>
  <c r="LE72" i="25"/>
  <c r="ST72" i="25"/>
  <c r="LC80" i="25"/>
  <c r="JT80" i="25"/>
  <c r="NC80" i="25"/>
  <c r="QT80" i="25"/>
  <c r="ST80" i="25"/>
  <c r="LC88" i="25"/>
  <c r="CF88" i="25" s="1"/>
  <c r="JT88" i="25"/>
  <c r="RD88" i="25"/>
  <c r="SE88" i="25"/>
  <c r="KC63" i="25"/>
  <c r="BJ63" i="25" s="1"/>
  <c r="OT63" i="25"/>
  <c r="MT63" i="25"/>
  <c r="RT63" i="25"/>
  <c r="RD63" i="25"/>
  <c r="LD71" i="25"/>
  <c r="NT71" i="25"/>
  <c r="OT71" i="25"/>
  <c r="RD71" i="25"/>
  <c r="ST71" i="25"/>
  <c r="LD79" i="25"/>
  <c r="LC79" i="25"/>
  <c r="CF79" i="25" s="1"/>
  <c r="RE79" i="25"/>
  <c r="RD79" i="25"/>
  <c r="ST79" i="25"/>
  <c r="LD87" i="25"/>
  <c r="LC87" i="25"/>
  <c r="CF87" i="25" s="1"/>
  <c r="SE87" i="25"/>
  <c r="KE62" i="25"/>
  <c r="MC62" i="25"/>
  <c r="NC62" i="25"/>
  <c r="QE62" i="25"/>
  <c r="SC62" i="25"/>
  <c r="MC70" i="25"/>
  <c r="MT70" i="25"/>
  <c r="QT70" i="25"/>
  <c r="JD78" i="25"/>
  <c r="NT78" i="25"/>
  <c r="NC78" i="25"/>
  <c r="ST69" i="25"/>
  <c r="SE69" i="25"/>
  <c r="QC76" i="25"/>
  <c r="IT70" i="25"/>
  <c r="BQ70" i="25"/>
  <c r="CV70" i="25"/>
  <c r="CE70" i="25"/>
  <c r="IT78" i="25"/>
  <c r="BQ78" i="25"/>
  <c r="CV78" i="25"/>
  <c r="IT86" i="25"/>
  <c r="BQ86" i="25"/>
  <c r="CV86" i="25"/>
  <c r="CL77" i="25"/>
  <c r="BM85" i="25"/>
  <c r="IT68" i="25"/>
  <c r="BR68" i="25"/>
  <c r="CC68" i="25"/>
  <c r="CW68" i="25"/>
  <c r="IT76" i="25"/>
  <c r="BR76" i="25"/>
  <c r="J91" i="3" s="1"/>
  <c r="CC76" i="25"/>
  <c r="IT84" i="25"/>
  <c r="BR84" i="25"/>
  <c r="CW84" i="25"/>
  <c r="CC84" i="25"/>
  <c r="GT73" i="25"/>
  <c r="GG73" i="25"/>
  <c r="OT62" i="25"/>
  <c r="RD62" i="25"/>
  <c r="IC70" i="25"/>
  <c r="OT70" i="25"/>
  <c r="RD78" i="25"/>
  <c r="IC86" i="25"/>
  <c r="PC86" i="25"/>
  <c r="CH86" i="25" s="1"/>
  <c r="PD86" i="25"/>
  <c r="SE86" i="25"/>
  <c r="LE77" i="25"/>
  <c r="LE85" i="25"/>
  <c r="RT85" i="25"/>
  <c r="JD60" i="25"/>
  <c r="LT60" i="25"/>
  <c r="OC60" i="25"/>
  <c r="JD68" i="25"/>
  <c r="LT68" i="25"/>
  <c r="OC68" i="25"/>
  <c r="LC76" i="25"/>
  <c r="CF76" i="25" s="1"/>
  <c r="JC76" i="25"/>
  <c r="LD76" i="25"/>
  <c r="OC84" i="25"/>
  <c r="PC84" i="25"/>
  <c r="RT84" i="25"/>
  <c r="QC84" i="25"/>
  <c r="SE84" i="25"/>
  <c r="ST84" i="25"/>
  <c r="MC59" i="25"/>
  <c r="JC59" i="25"/>
  <c r="LT59" i="25"/>
  <c r="OC59" i="25"/>
  <c r="QE59" i="25"/>
  <c r="QT59" i="25"/>
  <c r="RC59" i="25"/>
  <c r="MC67" i="25"/>
  <c r="JC67" i="25"/>
  <c r="LT67" i="25"/>
  <c r="OC67" i="25"/>
  <c r="QT67" i="25"/>
  <c r="RC67" i="25"/>
  <c r="JC75" i="25"/>
  <c r="CE75" i="25" s="1"/>
  <c r="LT75" i="25"/>
  <c r="ME75" i="25"/>
  <c r="OC75" i="25"/>
  <c r="QT75" i="25"/>
  <c r="RC75" i="25"/>
  <c r="KT83" i="25"/>
  <c r="CH85" i="25"/>
  <c r="BN84" i="25"/>
  <c r="IT59" i="25"/>
  <c r="BQ67" i="25"/>
  <c r="CV67" i="25"/>
  <c r="CD67" i="25"/>
  <c r="BQ75" i="25"/>
  <c r="I90" i="3" s="1"/>
  <c r="CV75" i="25"/>
  <c r="BR75" i="25"/>
  <c r="J90" i="3" s="1"/>
  <c r="CC75" i="25"/>
  <c r="BQ83" i="25"/>
  <c r="CV83" i="25"/>
  <c r="HT66" i="25"/>
  <c r="K81" i="42" s="1"/>
  <c r="QE84" i="25"/>
  <c r="IC59" i="25"/>
  <c r="SE67" i="25"/>
  <c r="SE75" i="25"/>
  <c r="ST83" i="25"/>
  <c r="CL76" i="25"/>
  <c r="BL76" i="25"/>
  <c r="CG76" i="25"/>
  <c r="CE84" i="25"/>
  <c r="BR67" i="25"/>
  <c r="CW67" i="25"/>
  <c r="CC67" i="25"/>
  <c r="CE67" i="25"/>
  <c r="BR83" i="25"/>
  <c r="CW83" i="25"/>
  <c r="JT76" i="25"/>
  <c r="ST67" i="25"/>
  <c r="ST75" i="25"/>
  <c r="LD83" i="25"/>
  <c r="JE83" i="25"/>
  <c r="LC83" i="25"/>
  <c r="CF83" i="25" s="1"/>
  <c r="MT83" i="25"/>
  <c r="OC83" i="25"/>
  <c r="RD83" i="25"/>
  <c r="SE83" i="25"/>
  <c r="CI84" i="25"/>
  <c r="CD83" i="25"/>
  <c r="BM77" i="25"/>
  <c r="CH77" i="25"/>
  <c r="IT85" i="25"/>
  <c r="CF85" i="25"/>
  <c r="BQ59" i="25"/>
  <c r="CV59" i="25"/>
  <c r="BR59" i="25"/>
  <c r="CM59" i="25"/>
  <c r="CW59" i="25"/>
  <c r="CC59" i="25"/>
  <c r="IT67" i="25"/>
  <c r="IT75" i="25"/>
  <c r="IT83" i="25"/>
  <c r="BM83" i="25"/>
  <c r="CH83" i="25"/>
  <c r="GT58" i="25"/>
  <c r="GG58" i="25"/>
  <c r="IC85" i="25"/>
  <c r="ME60" i="25"/>
  <c r="OT60" i="25"/>
  <c r="PC60" i="25"/>
  <c r="PD60" i="25"/>
  <c r="KT68" i="25"/>
  <c r="JE68" i="25"/>
  <c r="KC68" i="25"/>
  <c r="BJ68" i="25" s="1"/>
  <c r="ME68" i="25"/>
  <c r="OT68" i="25"/>
  <c r="JD76" i="25"/>
  <c r="LE76" i="25"/>
  <c r="PD76" i="25"/>
  <c r="LE84" i="25"/>
  <c r="OT84" i="25"/>
  <c r="PT84" i="25"/>
  <c r="QT84" i="25"/>
  <c r="PD84" i="25"/>
  <c r="LD59" i="25"/>
  <c r="KT59" i="25"/>
  <c r="JD59" i="25"/>
  <c r="SC59" i="25"/>
  <c r="RE59" i="25"/>
  <c r="RT59" i="25"/>
  <c r="QC59" i="25"/>
  <c r="LD67" i="25"/>
  <c r="KT67" i="25"/>
  <c r="JD67" i="25"/>
  <c r="PE67" i="25"/>
  <c r="SC67" i="25"/>
  <c r="QC67" i="25"/>
  <c r="LE75" i="25"/>
  <c r="MC75" i="25"/>
  <c r="JD75" i="25"/>
  <c r="SC75" i="25"/>
  <c r="RE75" i="25"/>
  <c r="RT75" i="25"/>
  <c r="QC75" i="25"/>
  <c r="JD83" i="25"/>
  <c r="ME83" i="25"/>
  <c r="KC83" i="25"/>
  <c r="BJ83" i="25" s="1"/>
  <c r="SC83" i="25"/>
  <c r="CD75" i="25"/>
  <c r="CC83" i="25"/>
  <c r="HT79" i="25"/>
  <c r="CM87" i="25"/>
  <c r="GG70" i="25"/>
  <c r="GU70" i="25" s="1"/>
  <c r="GT70" i="25"/>
  <c r="GG69" i="25"/>
  <c r="GU69" i="25" s="1"/>
  <c r="GT69" i="25"/>
  <c r="GT81" i="25"/>
  <c r="GT88" i="25"/>
  <c r="HT65" i="25"/>
  <c r="K80" i="42" s="1"/>
  <c r="HT81" i="25"/>
  <c r="CM64" i="25"/>
  <c r="HT88" i="25"/>
  <c r="GG76" i="25"/>
  <c r="GT76" i="25"/>
  <c r="GG75" i="25"/>
  <c r="GT75" i="25"/>
  <c r="FG70" i="25"/>
  <c r="FU70" i="25" s="1"/>
  <c r="FT70" i="25"/>
  <c r="FT79" i="25"/>
  <c r="GT87" i="25"/>
  <c r="GT78" i="25"/>
  <c r="GT77" i="25"/>
  <c r="CM56" i="25"/>
  <c r="CM79" i="25"/>
  <c r="HT87" i="25"/>
  <c r="HT78" i="25"/>
  <c r="HT77" i="25"/>
  <c r="FG75" i="25"/>
  <c r="FT75" i="25"/>
  <c r="CM86" i="25"/>
  <c r="HT82" i="25"/>
  <c r="HT80" i="25"/>
  <c r="CM62" i="25"/>
  <c r="GG57" i="25"/>
  <c r="GU57" i="25" s="1"/>
  <c r="FG76" i="25"/>
  <c r="CM85" i="25"/>
  <c r="FT67" i="25"/>
  <c r="FT68" i="25"/>
  <c r="GT68" i="25"/>
  <c r="GT67" i="25"/>
  <c r="HT64" i="25"/>
  <c r="K79" i="42" s="1"/>
  <c r="HT63" i="25"/>
  <c r="K78" i="42" s="1"/>
  <c r="HT62" i="25"/>
  <c r="K77" i="42" s="1"/>
  <c r="HT61" i="25"/>
  <c r="K76" i="42" s="1"/>
  <c r="HT60" i="25"/>
  <c r="K75" i="42" s="1"/>
  <c r="HT59" i="25"/>
  <c r="K74" i="42" s="1"/>
  <c r="BR57" i="25" l="1"/>
  <c r="U68" i="25"/>
  <c r="W68" i="25"/>
  <c r="U62" i="25"/>
  <c r="W62" i="25"/>
  <c r="U64" i="25"/>
  <c r="W64" i="25"/>
  <c r="U66" i="25"/>
  <c r="W66" i="25"/>
  <c r="W69" i="25"/>
  <c r="U69" i="25"/>
  <c r="U67" i="25"/>
  <c r="W67" i="25"/>
  <c r="U70" i="25"/>
  <c r="W70" i="25"/>
  <c r="U63" i="25"/>
  <c r="W63" i="25"/>
  <c r="W71" i="25"/>
  <c r="U71" i="25"/>
  <c r="W65" i="25"/>
  <c r="U65" i="25"/>
  <c r="U61" i="25"/>
  <c r="W61" i="25"/>
  <c r="W60" i="25"/>
  <c r="U60" i="25"/>
  <c r="EY60" i="25"/>
  <c r="CL60" i="25" s="1"/>
  <c r="U59" i="25"/>
  <c r="W59" i="25"/>
  <c r="U58" i="25"/>
  <c r="W58" i="25"/>
  <c r="U57" i="25"/>
  <c r="W57" i="25"/>
  <c r="W56" i="25"/>
  <c r="U56" i="25"/>
  <c r="AH57" i="25"/>
  <c r="K72" i="42" s="1"/>
  <c r="R74" i="42"/>
  <c r="R76" i="42"/>
  <c r="R78" i="42"/>
  <c r="R72" i="42"/>
  <c r="BN68" i="25"/>
  <c r="CE65" i="25"/>
  <c r="GU58" i="25"/>
  <c r="J52" i="22"/>
  <c r="K52" i="22" s="1"/>
  <c r="I60" i="22"/>
  <c r="J23" i="22"/>
  <c r="I31" i="22"/>
  <c r="H32" i="22" s="1"/>
  <c r="BJ57" i="25"/>
  <c r="CM80" i="25"/>
  <c r="CM78" i="25"/>
  <c r="CL85" i="25"/>
  <c r="CM65" i="25"/>
  <c r="CL86" i="25"/>
  <c r="CM97" i="25"/>
  <c r="CF80" i="25"/>
  <c r="CG80" i="25"/>
  <c r="CE76" i="25"/>
  <c r="BN70" i="25"/>
  <c r="BM81" i="25"/>
  <c r="BJ71" i="25"/>
  <c r="CF94" i="25"/>
  <c r="CD96" i="25"/>
  <c r="CH96" i="25"/>
  <c r="CA96" i="25" s="1"/>
  <c r="BJ67" i="25"/>
  <c r="CI63" i="25"/>
  <c r="CG77" i="25"/>
  <c r="BM86" i="25"/>
  <c r="BJ65" i="25"/>
  <c r="CH90" i="25"/>
  <c r="CC91" i="25"/>
  <c r="BJ76" i="25"/>
  <c r="BJ75" i="25"/>
  <c r="CM67" i="25"/>
  <c r="BL87" i="25"/>
  <c r="BL80" i="25"/>
  <c r="BJ74" i="25"/>
  <c r="CC98" i="25"/>
  <c r="CD90" i="25"/>
  <c r="CH89" i="25"/>
  <c r="CI90" i="25"/>
  <c r="CM77" i="25"/>
  <c r="CL82" i="25"/>
  <c r="CW89" i="25"/>
  <c r="BR89" i="25"/>
  <c r="BJ77" i="25"/>
  <c r="CD98" i="25"/>
  <c r="CA98" i="25" s="1"/>
  <c r="CM72" i="25"/>
  <c r="CM68" i="25"/>
  <c r="CV103" i="25"/>
  <c r="BQ103" i="25"/>
  <c r="CL103" i="25"/>
  <c r="CF103" i="25"/>
  <c r="CG101" i="25"/>
  <c r="BL101" i="25"/>
  <c r="BN102" i="25"/>
  <c r="CI102" i="25"/>
  <c r="BY96" i="25"/>
  <c r="CD100" i="25"/>
  <c r="CD101" i="25"/>
  <c r="BJ102" i="25"/>
  <c r="CE102" i="25"/>
  <c r="CV100" i="25"/>
  <c r="BQ100" i="25"/>
  <c r="CL100" i="25"/>
  <c r="CC103" i="25"/>
  <c r="CW103" i="25"/>
  <c r="BR103" i="25"/>
  <c r="CM103" i="25"/>
  <c r="CC100" i="25"/>
  <c r="CM100" i="25"/>
  <c r="BR100" i="25"/>
  <c r="CW100" i="25"/>
  <c r="CW101" i="25"/>
  <c r="BR101" i="25"/>
  <c r="CM101" i="25"/>
  <c r="CC101" i="25"/>
  <c r="BL102" i="25"/>
  <c r="CG102" i="25"/>
  <c r="BJ103" i="25"/>
  <c r="CE103" i="25"/>
  <c r="BY103" i="25" s="1"/>
  <c r="CL101" i="25"/>
  <c r="BQ101" i="25"/>
  <c r="CV101" i="25"/>
  <c r="CM63" i="25"/>
  <c r="CM88" i="25"/>
  <c r="CM74" i="25"/>
  <c r="CL78" i="25"/>
  <c r="CM98" i="25"/>
  <c r="CL83" i="25"/>
  <c r="CL75" i="25"/>
  <c r="CM81" i="25"/>
  <c r="CM66" i="25"/>
  <c r="CL80" i="25"/>
  <c r="CL72" i="25"/>
  <c r="CL64" i="25"/>
  <c r="CM71" i="25"/>
  <c r="CM82" i="25"/>
  <c r="CL84" i="25"/>
  <c r="CL63" i="25"/>
  <c r="CL68" i="25"/>
  <c r="CL88" i="25"/>
  <c r="CL74" i="25"/>
  <c r="BN94" i="25"/>
  <c r="BN89" i="25"/>
  <c r="CI89" i="25"/>
  <c r="CI94" i="25"/>
  <c r="CF69" i="25"/>
  <c r="CF82" i="25"/>
  <c r="CV90" i="25"/>
  <c r="BQ90" i="25"/>
  <c r="CA99" i="25"/>
  <c r="BY99" i="25"/>
  <c r="CE89" i="25"/>
  <c r="BJ89" i="25"/>
  <c r="BJ90" i="25"/>
  <c r="BM97" i="25"/>
  <c r="CH97" i="25"/>
  <c r="CV97" i="25"/>
  <c r="BQ98" i="25"/>
  <c r="CV98" i="25"/>
  <c r="CL98" i="25"/>
  <c r="CM90" i="25"/>
  <c r="CF91" i="25"/>
  <c r="CM89" i="25"/>
  <c r="CM94" i="25"/>
  <c r="BQ94" i="25"/>
  <c r="CV94" i="25"/>
  <c r="CA92" i="25"/>
  <c r="BY92" i="25"/>
  <c r="CC96" i="25"/>
  <c r="CW96" i="25"/>
  <c r="BR96" i="25"/>
  <c r="BM93" i="25"/>
  <c r="CH93" i="25"/>
  <c r="BJ94" i="25"/>
  <c r="CE94" i="25"/>
  <c r="CW94" i="25"/>
  <c r="CW95" i="25"/>
  <c r="CC95" i="25"/>
  <c r="BR95" i="25"/>
  <c r="BJ95" i="25"/>
  <c r="CE95" i="25"/>
  <c r="CM96" i="25"/>
  <c r="CL96" i="25"/>
  <c r="CV96" i="25"/>
  <c r="BQ96" i="25"/>
  <c r="BN95" i="25"/>
  <c r="CI95" i="25"/>
  <c r="BM91" i="25"/>
  <c r="CH91" i="25"/>
  <c r="BY91" i="25" s="1"/>
  <c r="CL93" i="25"/>
  <c r="CW90" i="25"/>
  <c r="CF90" i="25"/>
  <c r="CA90" i="25" s="1"/>
  <c r="CM91" i="25"/>
  <c r="CL95" i="25"/>
  <c r="CV91" i="25"/>
  <c r="CL91" i="25"/>
  <c r="BQ91" i="25"/>
  <c r="BQ89" i="25"/>
  <c r="CV89" i="25"/>
  <c r="CL89" i="25"/>
  <c r="CA89" i="25"/>
  <c r="BJ93" i="25"/>
  <c r="CE93" i="25"/>
  <c r="CV95" i="25"/>
  <c r="CV93" i="25"/>
  <c r="CM83" i="25"/>
  <c r="CM84" i="25"/>
  <c r="CW69" i="25"/>
  <c r="CW57" i="25"/>
  <c r="CW76" i="25"/>
  <c r="BN67" i="25"/>
  <c r="CI67" i="25"/>
  <c r="BN83" i="25"/>
  <c r="CI83" i="25"/>
  <c r="BM75" i="25"/>
  <c r="CH75" i="25"/>
  <c r="BN75" i="25"/>
  <c r="CI75" i="25"/>
  <c r="BM67" i="25"/>
  <c r="CH67" i="25"/>
  <c r="CM58" i="25"/>
  <c r="BL67" i="25"/>
  <c r="CG67" i="25"/>
  <c r="CF67" i="25"/>
  <c r="BM84" i="25"/>
  <c r="CH84" i="25"/>
  <c r="BL84" i="25"/>
  <c r="CG84" i="25"/>
  <c r="CD86" i="25"/>
  <c r="CM73" i="25"/>
  <c r="BN62" i="25"/>
  <c r="CI62" i="25"/>
  <c r="CE63" i="25"/>
  <c r="BM62" i="25"/>
  <c r="CH62" i="25"/>
  <c r="BN88" i="25"/>
  <c r="CI88" i="25"/>
  <c r="BN80" i="25"/>
  <c r="CI80" i="25"/>
  <c r="BM56" i="25"/>
  <c r="CH56" i="25"/>
  <c r="BN73" i="25"/>
  <c r="CI73" i="25"/>
  <c r="BN65" i="25"/>
  <c r="CI65" i="25"/>
  <c r="BL61" i="25"/>
  <c r="CG61" i="25"/>
  <c r="CE86" i="25"/>
  <c r="BL78" i="25"/>
  <c r="CG78" i="25"/>
  <c r="CE87" i="25"/>
  <c r="BM71" i="25"/>
  <c r="CH71" i="25"/>
  <c r="BM73" i="25"/>
  <c r="CH73" i="25"/>
  <c r="BM57" i="25"/>
  <c r="CH57" i="25"/>
  <c r="CF58" i="25"/>
  <c r="CE61" i="25"/>
  <c r="BN82" i="25"/>
  <c r="CI82" i="25"/>
  <c r="BL74" i="25"/>
  <c r="CG74" i="25"/>
  <c r="CD74" i="25"/>
  <c r="CE82" i="25"/>
  <c r="BN66" i="25"/>
  <c r="CI66" i="25"/>
  <c r="CE81" i="25"/>
  <c r="CF74" i="25"/>
  <c r="CF65" i="25"/>
  <c r="BM59" i="25"/>
  <c r="CH59" i="25"/>
  <c r="BN59" i="25"/>
  <c r="CI59" i="25"/>
  <c r="BL83" i="25"/>
  <c r="CG83" i="25"/>
  <c r="BL75" i="25"/>
  <c r="CG75" i="25"/>
  <c r="BL68" i="25"/>
  <c r="CG68" i="25"/>
  <c r="BL60" i="25"/>
  <c r="CG60" i="25"/>
  <c r="CF70" i="25"/>
  <c r="CF62" i="25"/>
  <c r="BY84" i="25"/>
  <c r="CD88" i="25"/>
  <c r="BM72" i="25"/>
  <c r="CH72" i="25"/>
  <c r="BN64" i="25"/>
  <c r="CI64" i="25"/>
  <c r="BN56" i="25"/>
  <c r="CI56" i="25"/>
  <c r="CD77" i="25"/>
  <c r="CE78" i="25"/>
  <c r="BL86" i="25"/>
  <c r="CG86" i="25"/>
  <c r="BL63" i="25"/>
  <c r="CG63" i="25"/>
  <c r="CF63" i="25"/>
  <c r="CE79" i="25"/>
  <c r="BM63" i="25"/>
  <c r="CH63" i="25"/>
  <c r="CE72" i="25"/>
  <c r="CD81" i="25"/>
  <c r="CE73" i="25"/>
  <c r="BM74" i="25"/>
  <c r="CH74" i="25"/>
  <c r="BL58" i="25"/>
  <c r="CG58" i="25"/>
  <c r="BN74" i="25"/>
  <c r="CI74" i="25"/>
  <c r="BM82" i="25"/>
  <c r="CH82" i="25"/>
  <c r="BY82" i="25" s="1"/>
  <c r="CF81" i="25"/>
  <c r="CM75" i="25"/>
  <c r="CE68" i="25"/>
  <c r="CD85" i="25"/>
  <c r="BN85" i="25"/>
  <c r="CI85" i="25"/>
  <c r="BN69" i="25"/>
  <c r="CI69" i="25"/>
  <c r="BM80" i="25"/>
  <c r="CH80" i="25"/>
  <c r="BN72" i="25"/>
  <c r="CI72" i="25"/>
  <c r="CD72" i="25"/>
  <c r="CE60" i="25"/>
  <c r="BM61" i="25"/>
  <c r="CH61" i="25"/>
  <c r="BL71" i="25"/>
  <c r="CG71" i="25"/>
  <c r="BN61" i="25"/>
  <c r="CI61" i="25"/>
  <c r="CF78" i="25"/>
  <c r="CE56" i="25"/>
  <c r="CF66" i="25"/>
  <c r="BL66" i="25"/>
  <c r="CG66" i="25"/>
  <c r="BM58" i="25"/>
  <c r="CH58" i="25"/>
  <c r="CF57" i="25"/>
  <c r="CW75" i="25"/>
  <c r="CW58" i="25"/>
  <c r="CM76" i="25"/>
  <c r="CF75" i="25"/>
  <c r="CM57" i="25"/>
  <c r="CM69" i="25"/>
  <c r="CE83" i="25"/>
  <c r="BL59" i="25"/>
  <c r="CG59" i="25"/>
  <c r="CF59" i="25"/>
  <c r="CD70" i="25"/>
  <c r="BM76" i="25"/>
  <c r="CH76" i="25"/>
  <c r="CA76" i="25" s="1"/>
  <c r="CE62" i="25"/>
  <c r="BN79" i="25"/>
  <c r="CI79" i="25"/>
  <c r="CD80" i="25"/>
  <c r="BM64" i="25"/>
  <c r="CH64" i="25"/>
  <c r="BN81" i="25"/>
  <c r="CI81" i="25"/>
  <c r="CA87" i="25"/>
  <c r="BY87" i="25"/>
  <c r="CF60" i="25"/>
  <c r="CF86" i="25"/>
  <c r="BM79" i="25"/>
  <c r="CH79" i="25"/>
  <c r="BN71" i="25"/>
  <c r="CI71" i="25"/>
  <c r="CF71" i="25"/>
  <c r="BM88" i="25"/>
  <c r="CH88" i="25"/>
  <c r="CE64" i="25"/>
  <c r="CD73" i="25"/>
  <c r="BL69" i="25"/>
  <c r="CG69" i="25"/>
  <c r="BY78" i="25"/>
  <c r="CA78" i="25"/>
  <c r="BM66" i="25"/>
  <c r="CH66" i="25"/>
  <c r="BN58" i="25"/>
  <c r="CI58" i="25"/>
  <c r="CF73" i="25"/>
  <c r="CW70" i="25"/>
  <c r="CW73" i="25"/>
  <c r="F15" i="25"/>
  <c r="H61" i="22" l="1"/>
  <c r="T70" i="25"/>
  <c r="X70" i="25" s="1"/>
  <c r="V70" i="25"/>
  <c r="T71" i="25"/>
  <c r="X71" i="25" s="1"/>
  <c r="V71" i="25"/>
  <c r="V69" i="25"/>
  <c r="T69" i="25"/>
  <c r="X69" i="25" s="1"/>
  <c r="CA67" i="25"/>
  <c r="T64" i="25"/>
  <c r="X64" i="25" s="1"/>
  <c r="V64" i="25"/>
  <c r="T60" i="25"/>
  <c r="X60" i="25" s="1"/>
  <c r="R60" i="19" s="1"/>
  <c r="V60" i="25"/>
  <c r="T67" i="25"/>
  <c r="X67" i="25" s="1"/>
  <c r="V67" i="25"/>
  <c r="V62" i="25"/>
  <c r="T62" i="25"/>
  <c r="X62" i="25" s="1"/>
  <c r="R62" i="19" s="1"/>
  <c r="V58" i="25"/>
  <c r="T58" i="25"/>
  <c r="X58" i="25" s="1"/>
  <c r="R58" i="19" s="1"/>
  <c r="T68" i="25"/>
  <c r="X68" i="25" s="1"/>
  <c r="V68" i="25"/>
  <c r="T61" i="25"/>
  <c r="X61" i="25" s="1"/>
  <c r="R61" i="19" s="1"/>
  <c r="V61" i="25"/>
  <c r="V63" i="25"/>
  <c r="T63" i="25"/>
  <c r="X63" i="25" s="1"/>
  <c r="V59" i="25"/>
  <c r="T59" i="25"/>
  <c r="X59" i="25" s="1"/>
  <c r="R59" i="19" s="1"/>
  <c r="V65" i="25"/>
  <c r="T65" i="25"/>
  <c r="X65" i="25" s="1"/>
  <c r="T66" i="25"/>
  <c r="X66" i="25" s="1"/>
  <c r="V66" i="25"/>
  <c r="K23" i="22"/>
  <c r="K31" i="22" s="1"/>
  <c r="J31" i="22"/>
  <c r="J36" i="22" s="1"/>
  <c r="V57" i="25"/>
  <c r="T57" i="25"/>
  <c r="X57" i="25" s="1"/>
  <c r="R57" i="19" s="1"/>
  <c r="T56" i="25"/>
  <c r="X56" i="25" s="1"/>
  <c r="R56" i="19" s="1"/>
  <c r="V56" i="25"/>
  <c r="BY98" i="25"/>
  <c r="CM95" i="25"/>
  <c r="CL97" i="25"/>
  <c r="CA102" i="25"/>
  <c r="CA103" i="25"/>
  <c r="H118" i="42"/>
  <c r="W118" i="42"/>
  <c r="Q118" i="42"/>
  <c r="W116" i="42"/>
  <c r="H116" i="42"/>
  <c r="Q116" i="42"/>
  <c r="BY102" i="25"/>
  <c r="PG100" i="25"/>
  <c r="RF100" i="25"/>
  <c r="RG100" i="25" s="1"/>
  <c r="NF100" i="25"/>
  <c r="NG100" i="25" s="1"/>
  <c r="HF100" i="25"/>
  <c r="HG100" i="25" s="1"/>
  <c r="OG100" i="25"/>
  <c r="KG100" i="25"/>
  <c r="LF100" i="25"/>
  <c r="LG100" i="25" s="1"/>
  <c r="JF100" i="25"/>
  <c r="JG100" i="25" s="1"/>
  <c r="MG100" i="25"/>
  <c r="TF100" i="25"/>
  <c r="UF100" i="25"/>
  <c r="RF103" i="25"/>
  <c r="RG103" i="25" s="1"/>
  <c r="PG103" i="25"/>
  <c r="HF103" i="25"/>
  <c r="HG103" i="25" s="1"/>
  <c r="JF103" i="25"/>
  <c r="JG103" i="25" s="1"/>
  <c r="NF103" i="25"/>
  <c r="NG103" i="25" s="1"/>
  <c r="MG103" i="25"/>
  <c r="OG103" i="25"/>
  <c r="UF103" i="25"/>
  <c r="LF103" i="25"/>
  <c r="LG103" i="25" s="1"/>
  <c r="TF103" i="25"/>
  <c r="KG103" i="25"/>
  <c r="BY100" i="25"/>
  <c r="CA100" i="25"/>
  <c r="TF102" i="25"/>
  <c r="RF102" i="25"/>
  <c r="RG102" i="25" s="1"/>
  <c r="PG102" i="25"/>
  <c r="OG102" i="25"/>
  <c r="JF102" i="25"/>
  <c r="JG102" i="25" s="1"/>
  <c r="HF102" i="25"/>
  <c r="HG102" i="25" s="1"/>
  <c r="NF102" i="25"/>
  <c r="NG102" i="25" s="1"/>
  <c r="KG102" i="25"/>
  <c r="LF102" i="25"/>
  <c r="LG102" i="25" s="1"/>
  <c r="UF102" i="25"/>
  <c r="MG102" i="25"/>
  <c r="JF101" i="25"/>
  <c r="JG101" i="25" s="1"/>
  <c r="RF101" i="25"/>
  <c r="RG101" i="25" s="1"/>
  <c r="LF101" i="25"/>
  <c r="LG101" i="25" s="1"/>
  <c r="PG101" i="25"/>
  <c r="NF101" i="25"/>
  <c r="NG101" i="25" s="1"/>
  <c r="OG101" i="25"/>
  <c r="UF101" i="25"/>
  <c r="KG101" i="25"/>
  <c r="MG101" i="25"/>
  <c r="TF101" i="25"/>
  <c r="HF101" i="25"/>
  <c r="HG101" i="25" s="1"/>
  <c r="Q117" i="42"/>
  <c r="W117" i="42"/>
  <c r="H117" i="42"/>
  <c r="W115" i="42"/>
  <c r="Q115" i="42"/>
  <c r="H115" i="42"/>
  <c r="BY101" i="25"/>
  <c r="CA101" i="25"/>
  <c r="Q114" i="42"/>
  <c r="H114" i="42"/>
  <c r="W114" i="42"/>
  <c r="CM70" i="25"/>
  <c r="CL94" i="25"/>
  <c r="BY89" i="25"/>
  <c r="CA69" i="25"/>
  <c r="BY67" i="25"/>
  <c r="CA84" i="25"/>
  <c r="CA82" i="25"/>
  <c r="CA79" i="25"/>
  <c r="CA83" i="25"/>
  <c r="CA75" i="25"/>
  <c r="NF99" i="25"/>
  <c r="NG99" i="25" s="1"/>
  <c r="OG99" i="25"/>
  <c r="MG99" i="25"/>
  <c r="HF99" i="25"/>
  <c r="HG99" i="25" s="1"/>
  <c r="JF99" i="25"/>
  <c r="JG99" i="25" s="1"/>
  <c r="LF99" i="25"/>
  <c r="LG99" i="25" s="1"/>
  <c r="CP99" i="25" s="1"/>
  <c r="KG99" i="25"/>
  <c r="UF99" i="25"/>
  <c r="TF99" i="25"/>
  <c r="MG97" i="25"/>
  <c r="JF97" i="25"/>
  <c r="JG97" i="25" s="1"/>
  <c r="KG97" i="25"/>
  <c r="TF97" i="25"/>
  <c r="HF97" i="25"/>
  <c r="HG97" i="25" s="1"/>
  <c r="LF97" i="25"/>
  <c r="LG97" i="25" s="1"/>
  <c r="NF97" i="25"/>
  <c r="NG97" i="25" s="1"/>
  <c r="OG97" i="25"/>
  <c r="UF97" i="25"/>
  <c r="MG95" i="25"/>
  <c r="HF95" i="25"/>
  <c r="HG95" i="25" s="1"/>
  <c r="JF95" i="25"/>
  <c r="JG95" i="25" s="1"/>
  <c r="LF95" i="25"/>
  <c r="LG95" i="25" s="1"/>
  <c r="NF95" i="25"/>
  <c r="NG95" i="25" s="1"/>
  <c r="TF95" i="25"/>
  <c r="UF95" i="25"/>
  <c r="KG95" i="25"/>
  <c r="OG95" i="25"/>
  <c r="OG98" i="25"/>
  <c r="JF98" i="25"/>
  <c r="JG98" i="25" s="1"/>
  <c r="MG98" i="25"/>
  <c r="LF98" i="25"/>
  <c r="LG98" i="25" s="1"/>
  <c r="NF98" i="25"/>
  <c r="NG98" i="25" s="1"/>
  <c r="KG98" i="25"/>
  <c r="TF98" i="25"/>
  <c r="HF98" i="25"/>
  <c r="HG98" i="25" s="1"/>
  <c r="CX98" i="25" s="1"/>
  <c r="UF98" i="25"/>
  <c r="NF96" i="25"/>
  <c r="NG96" i="25" s="1"/>
  <c r="LF96" i="25"/>
  <c r="LG96" i="25" s="1"/>
  <c r="CP96" i="25" s="1"/>
  <c r="MG96" i="25"/>
  <c r="JF96" i="25"/>
  <c r="JG96" i="25" s="1"/>
  <c r="UF96" i="25"/>
  <c r="KG96" i="25"/>
  <c r="OG96" i="25"/>
  <c r="HF96" i="25"/>
  <c r="HG96" i="25" s="1"/>
  <c r="CX96" i="25" s="1"/>
  <c r="TF96" i="25"/>
  <c r="JF93" i="25"/>
  <c r="JG93" i="25" s="1"/>
  <c r="NF93" i="25"/>
  <c r="NG93" i="25" s="1"/>
  <c r="CQ93" i="25" s="1"/>
  <c r="TF93" i="25"/>
  <c r="LF93" i="25"/>
  <c r="LG93" i="25" s="1"/>
  <c r="CP93" i="25" s="1"/>
  <c r="HF93" i="25"/>
  <c r="HG93" i="25" s="1"/>
  <c r="CN93" i="25" s="1"/>
  <c r="KG93" i="25"/>
  <c r="UF93" i="25"/>
  <c r="MG93" i="25"/>
  <c r="OG93" i="25"/>
  <c r="JF85" i="25"/>
  <c r="JG85" i="25" s="1"/>
  <c r="KG85" i="25"/>
  <c r="LF85" i="25"/>
  <c r="LG85" i="25" s="1"/>
  <c r="UF85" i="25"/>
  <c r="OG85" i="25"/>
  <c r="MG85" i="25"/>
  <c r="HF85" i="25"/>
  <c r="HG85" i="25" s="1"/>
  <c r="TF85" i="25"/>
  <c r="NF85" i="25"/>
  <c r="NG85" i="25" s="1"/>
  <c r="KG77" i="25"/>
  <c r="NF77" i="25"/>
  <c r="NG77" i="25" s="1"/>
  <c r="UF77" i="25"/>
  <c r="TF77" i="25"/>
  <c r="JF77" i="25"/>
  <c r="JG77" i="25" s="1"/>
  <c r="HF77" i="25"/>
  <c r="HG77" i="25" s="1"/>
  <c r="LF77" i="25"/>
  <c r="LG77" i="25" s="1"/>
  <c r="OG77" i="25"/>
  <c r="MG77" i="25"/>
  <c r="NF91" i="25"/>
  <c r="NG91" i="25" s="1"/>
  <c r="HF91" i="25"/>
  <c r="HG91" i="25" s="1"/>
  <c r="CN91" i="25" s="1"/>
  <c r="OG91" i="25"/>
  <c r="LF91" i="25"/>
  <c r="LG91" i="25" s="1"/>
  <c r="JF91" i="25"/>
  <c r="JG91" i="25" s="1"/>
  <c r="CO91" i="25" s="1"/>
  <c r="UF91" i="25"/>
  <c r="MG91" i="25"/>
  <c r="KG91" i="25"/>
  <c r="TF91" i="25"/>
  <c r="MG81" i="25"/>
  <c r="TF81" i="25"/>
  <c r="HF81" i="25"/>
  <c r="HG81" i="25" s="1"/>
  <c r="JF81" i="25"/>
  <c r="JG81" i="25" s="1"/>
  <c r="UF81" i="25"/>
  <c r="OG81" i="25"/>
  <c r="NF81" i="25"/>
  <c r="NG81" i="25" s="1"/>
  <c r="LF81" i="25"/>
  <c r="LG81" i="25" s="1"/>
  <c r="KG81" i="25"/>
  <c r="JF73" i="25"/>
  <c r="JG73" i="25" s="1"/>
  <c r="KG73" i="25"/>
  <c r="TF73" i="25"/>
  <c r="OG73" i="25"/>
  <c r="MG73" i="25"/>
  <c r="LF73" i="25"/>
  <c r="LG73" i="25" s="1"/>
  <c r="UF73" i="25"/>
  <c r="HF73" i="25"/>
  <c r="HG73" i="25" s="1"/>
  <c r="NF73" i="25"/>
  <c r="NG73" i="25" s="1"/>
  <c r="HF87" i="25"/>
  <c r="HG87" i="25" s="1"/>
  <c r="KG87" i="25"/>
  <c r="TF87" i="25"/>
  <c r="UF87" i="25"/>
  <c r="LF87" i="25"/>
  <c r="LG87" i="25" s="1"/>
  <c r="NF87" i="25"/>
  <c r="NG87" i="25" s="1"/>
  <c r="MG87" i="25"/>
  <c r="OG87" i="25"/>
  <c r="JF87" i="25"/>
  <c r="JG87" i="25" s="1"/>
  <c r="TF79" i="25"/>
  <c r="MG79" i="25"/>
  <c r="NF79" i="25"/>
  <c r="NG79" i="25" s="1"/>
  <c r="HF79" i="25"/>
  <c r="HG79" i="25" s="1"/>
  <c r="CN79" i="25" s="1"/>
  <c r="JF79" i="25"/>
  <c r="JG79" i="25" s="1"/>
  <c r="LF79" i="25"/>
  <c r="LG79" i="25" s="1"/>
  <c r="KG79" i="25"/>
  <c r="UF79" i="25"/>
  <c r="OG79" i="25"/>
  <c r="KG71" i="25"/>
  <c r="KU71" i="25" s="1"/>
  <c r="OG71" i="25"/>
  <c r="OU71" i="25" s="1"/>
  <c r="NF89" i="25"/>
  <c r="NG89" i="25" s="1"/>
  <c r="LF89" i="25"/>
  <c r="LG89" i="25" s="1"/>
  <c r="CP89" i="25" s="1"/>
  <c r="OG89" i="25"/>
  <c r="HF89" i="25"/>
  <c r="HG89" i="25" s="1"/>
  <c r="KG89" i="25"/>
  <c r="JF89" i="25"/>
  <c r="JG89" i="25" s="1"/>
  <c r="MG89" i="25"/>
  <c r="TF89" i="25"/>
  <c r="UF89" i="25"/>
  <c r="HF83" i="25"/>
  <c r="HG83" i="25" s="1"/>
  <c r="CN83" i="25" s="1"/>
  <c r="LF83" i="25"/>
  <c r="LG83" i="25" s="1"/>
  <c r="MG83" i="25"/>
  <c r="OG83" i="25"/>
  <c r="TF83" i="25"/>
  <c r="JF83" i="25"/>
  <c r="JG83" i="25" s="1"/>
  <c r="UF83" i="25"/>
  <c r="KG83" i="25"/>
  <c r="NF83" i="25"/>
  <c r="NG83" i="25" s="1"/>
  <c r="UF75" i="25"/>
  <c r="JF75" i="25"/>
  <c r="JG75" i="25" s="1"/>
  <c r="MG75" i="25"/>
  <c r="KG75" i="25"/>
  <c r="OG75" i="25"/>
  <c r="TF75" i="25"/>
  <c r="NF75" i="25"/>
  <c r="NG75" i="25" s="1"/>
  <c r="LF75" i="25"/>
  <c r="LG75" i="25" s="1"/>
  <c r="HF75" i="25"/>
  <c r="HG75" i="25" s="1"/>
  <c r="OG69" i="25"/>
  <c r="OU69" i="25" s="1"/>
  <c r="KG69" i="25"/>
  <c r="KU69" i="25" s="1"/>
  <c r="NF94" i="25"/>
  <c r="NG94" i="25" s="1"/>
  <c r="JF94" i="25"/>
  <c r="JG94" i="25" s="1"/>
  <c r="TF94" i="25"/>
  <c r="UF94" i="25"/>
  <c r="LF94" i="25"/>
  <c r="LG94" i="25" s="1"/>
  <c r="MG94" i="25"/>
  <c r="OG94" i="25"/>
  <c r="KG94" i="25"/>
  <c r="HF94" i="25"/>
  <c r="HG94" i="25" s="1"/>
  <c r="CN94" i="25" s="1"/>
  <c r="MG92" i="25"/>
  <c r="LF92" i="25"/>
  <c r="LG92" i="25" s="1"/>
  <c r="NF92" i="25"/>
  <c r="NG92" i="25" s="1"/>
  <c r="HF92" i="25"/>
  <c r="HG92" i="25" s="1"/>
  <c r="OG92" i="25"/>
  <c r="JF92" i="25"/>
  <c r="JG92" i="25" s="1"/>
  <c r="KG92" i="25"/>
  <c r="UF92" i="25"/>
  <c r="TF92" i="25"/>
  <c r="LF90" i="25"/>
  <c r="LG90" i="25" s="1"/>
  <c r="UF90" i="25"/>
  <c r="TF90" i="25"/>
  <c r="NF90" i="25"/>
  <c r="NG90" i="25" s="1"/>
  <c r="OG90" i="25"/>
  <c r="MG90" i="25"/>
  <c r="HF90" i="25"/>
  <c r="HG90" i="25" s="1"/>
  <c r="KG90" i="25"/>
  <c r="JF90" i="25"/>
  <c r="JG90" i="25" s="1"/>
  <c r="KG88" i="25"/>
  <c r="TF88" i="25"/>
  <c r="HF88" i="25"/>
  <c r="HG88" i="25" s="1"/>
  <c r="JF88" i="25"/>
  <c r="JG88" i="25" s="1"/>
  <c r="LF88" i="25"/>
  <c r="LG88" i="25" s="1"/>
  <c r="OG88" i="25"/>
  <c r="MG88" i="25"/>
  <c r="UF88" i="25"/>
  <c r="NF88" i="25"/>
  <c r="NG88" i="25" s="1"/>
  <c r="HF86" i="25"/>
  <c r="HG86" i="25" s="1"/>
  <c r="NF86" i="25"/>
  <c r="NG86" i="25" s="1"/>
  <c r="OG86" i="25"/>
  <c r="MG86" i="25"/>
  <c r="KG86" i="25"/>
  <c r="UF86" i="25"/>
  <c r="LF86" i="25"/>
  <c r="LG86" i="25" s="1"/>
  <c r="TF86" i="25"/>
  <c r="JF86" i="25"/>
  <c r="JG86" i="25" s="1"/>
  <c r="TF84" i="25"/>
  <c r="UF84" i="25"/>
  <c r="LF84" i="25"/>
  <c r="LG84" i="25" s="1"/>
  <c r="KG84" i="25"/>
  <c r="MG84" i="25"/>
  <c r="HF84" i="25"/>
  <c r="HG84" i="25" s="1"/>
  <c r="OG84" i="25"/>
  <c r="NF84" i="25"/>
  <c r="NG84" i="25" s="1"/>
  <c r="JF84" i="25"/>
  <c r="JG84" i="25" s="1"/>
  <c r="UF82" i="25"/>
  <c r="MG82" i="25"/>
  <c r="LF82" i="25"/>
  <c r="LG82" i="25" s="1"/>
  <c r="KG82" i="25"/>
  <c r="JF82" i="25"/>
  <c r="JG82" i="25" s="1"/>
  <c r="OG82" i="25"/>
  <c r="HF82" i="25"/>
  <c r="HG82" i="25" s="1"/>
  <c r="CN82" i="25" s="1"/>
  <c r="TF82" i="25"/>
  <c r="NF82" i="25"/>
  <c r="NG82" i="25" s="1"/>
  <c r="JF80" i="25"/>
  <c r="JG80" i="25" s="1"/>
  <c r="OG80" i="25"/>
  <c r="UF80" i="25"/>
  <c r="LF80" i="25"/>
  <c r="LG80" i="25" s="1"/>
  <c r="HF80" i="25"/>
  <c r="HG80" i="25" s="1"/>
  <c r="KG80" i="25"/>
  <c r="NF80" i="25"/>
  <c r="NG80" i="25" s="1"/>
  <c r="MG80" i="25"/>
  <c r="TF80" i="25"/>
  <c r="MG78" i="25"/>
  <c r="HF78" i="25"/>
  <c r="HG78" i="25" s="1"/>
  <c r="OG78" i="25"/>
  <c r="UF78" i="25"/>
  <c r="JF78" i="25"/>
  <c r="JG78" i="25" s="1"/>
  <c r="TF78" i="25"/>
  <c r="KG78" i="25"/>
  <c r="NF78" i="25"/>
  <c r="NG78" i="25" s="1"/>
  <c r="LF78" i="25"/>
  <c r="LG78" i="25" s="1"/>
  <c r="UF76" i="25"/>
  <c r="LF76" i="25"/>
  <c r="LG76" i="25" s="1"/>
  <c r="MG76" i="25"/>
  <c r="JF76" i="25"/>
  <c r="JG76" i="25" s="1"/>
  <c r="KG76" i="25"/>
  <c r="NF76" i="25"/>
  <c r="NG76" i="25" s="1"/>
  <c r="OG76" i="25"/>
  <c r="TF76" i="25"/>
  <c r="HF76" i="25"/>
  <c r="HG76" i="25" s="1"/>
  <c r="KG74" i="25"/>
  <c r="UF74" i="25"/>
  <c r="TF74" i="25"/>
  <c r="LF74" i="25"/>
  <c r="LG74" i="25" s="1"/>
  <c r="HF74" i="25"/>
  <c r="HG74" i="25" s="1"/>
  <c r="JF74" i="25"/>
  <c r="JG74" i="25" s="1"/>
  <c r="OG74" i="25"/>
  <c r="MG74" i="25"/>
  <c r="NF74" i="25"/>
  <c r="NG74" i="25" s="1"/>
  <c r="JF72" i="25"/>
  <c r="JG72" i="25" s="1"/>
  <c r="KG72" i="25"/>
  <c r="LF72" i="25"/>
  <c r="LG72" i="25" s="1"/>
  <c r="HF72" i="25"/>
  <c r="HG72" i="25" s="1"/>
  <c r="MG72" i="25"/>
  <c r="TF72" i="25"/>
  <c r="UF72" i="25"/>
  <c r="OG72" i="25"/>
  <c r="NF72" i="25"/>
  <c r="NG72" i="25" s="1"/>
  <c r="OG70" i="25"/>
  <c r="OU70" i="25" s="1"/>
  <c r="KG70" i="25"/>
  <c r="KU70" i="25" s="1"/>
  <c r="BY95" i="25"/>
  <c r="W112" i="42"/>
  <c r="H112" i="42"/>
  <c r="Q112" i="42"/>
  <c r="RF99" i="25"/>
  <c r="RG99" i="25" s="1"/>
  <c r="DC99" i="25" s="1"/>
  <c r="PG99" i="25"/>
  <c r="DB99" i="25" s="1"/>
  <c r="RF97" i="25"/>
  <c r="RG97" i="25" s="1"/>
  <c r="DC97" i="25" s="1"/>
  <c r="PG97" i="25"/>
  <c r="DB97" i="25" s="1"/>
  <c r="Q113" i="42"/>
  <c r="W113" i="42"/>
  <c r="H113" i="42"/>
  <c r="CA95" i="25"/>
  <c r="RF98" i="25"/>
  <c r="RG98" i="25" s="1"/>
  <c r="DC98" i="25" s="1"/>
  <c r="PG98" i="25"/>
  <c r="DB98" i="25" s="1"/>
  <c r="BY97" i="25"/>
  <c r="CA97" i="25"/>
  <c r="Q110" i="42"/>
  <c r="W110" i="42"/>
  <c r="H110" i="42"/>
  <c r="RF95" i="25"/>
  <c r="RG95" i="25" s="1"/>
  <c r="DC95" i="25" s="1"/>
  <c r="PG95" i="25"/>
  <c r="DB95" i="25" s="1"/>
  <c r="RF93" i="25"/>
  <c r="RG93" i="25" s="1"/>
  <c r="DC93" i="25" s="1"/>
  <c r="PG93" i="25"/>
  <c r="DB93" i="25" s="1"/>
  <c r="PG91" i="25"/>
  <c r="DB91" i="25" s="1"/>
  <c r="RF91" i="25"/>
  <c r="RG91" i="25" s="1"/>
  <c r="DC91" i="25" s="1"/>
  <c r="RF89" i="25"/>
  <c r="RG89" i="25" s="1"/>
  <c r="DC89" i="25" s="1"/>
  <c r="PG89" i="25"/>
  <c r="DB89" i="25" s="1"/>
  <c r="CN96" i="25"/>
  <c r="BY90" i="25"/>
  <c r="H111" i="42"/>
  <c r="Q111" i="42"/>
  <c r="W111" i="42"/>
  <c r="H109" i="42"/>
  <c r="W109" i="42"/>
  <c r="Q109" i="42"/>
  <c r="Q107" i="42"/>
  <c r="H107" i="42"/>
  <c r="W107" i="42"/>
  <c r="Q105" i="42"/>
  <c r="H105" i="42"/>
  <c r="W105" i="42"/>
  <c r="H103" i="42"/>
  <c r="W103" i="42"/>
  <c r="Q103" i="42"/>
  <c r="CA91" i="25"/>
  <c r="PG96" i="25"/>
  <c r="DB96" i="25" s="1"/>
  <c r="RF96" i="25"/>
  <c r="RG96" i="25" s="1"/>
  <c r="DC96" i="25" s="1"/>
  <c r="PG94" i="25"/>
  <c r="DB94" i="25" s="1"/>
  <c r="RF94" i="25"/>
  <c r="RG94" i="25" s="1"/>
  <c r="DC94" i="25" s="1"/>
  <c r="PG92" i="25"/>
  <c r="DB92" i="25" s="1"/>
  <c r="RF92" i="25"/>
  <c r="RG92" i="25" s="1"/>
  <c r="DC92" i="25" s="1"/>
  <c r="PG90" i="25"/>
  <c r="DB90" i="25" s="1"/>
  <c r="RF90" i="25"/>
  <c r="RG90" i="25" s="1"/>
  <c r="DC90" i="25" s="1"/>
  <c r="BY93" i="25"/>
  <c r="CA93" i="25"/>
  <c r="BY94" i="25"/>
  <c r="CA94" i="25"/>
  <c r="H108" i="42"/>
  <c r="Q108" i="42"/>
  <c r="W108" i="42"/>
  <c r="W106" i="42"/>
  <c r="Q106" i="42"/>
  <c r="H106" i="42"/>
  <c r="W104" i="42"/>
  <c r="Q104" i="42"/>
  <c r="H104" i="42"/>
  <c r="Q100" i="42"/>
  <c r="W100" i="42"/>
  <c r="H100" i="42"/>
  <c r="Q94" i="42"/>
  <c r="W94" i="42"/>
  <c r="H94" i="42"/>
  <c r="H98" i="42"/>
  <c r="W98" i="42"/>
  <c r="Q98" i="42"/>
  <c r="H92" i="42"/>
  <c r="Q92" i="42"/>
  <c r="W92" i="42"/>
  <c r="W102" i="42"/>
  <c r="Q102" i="42"/>
  <c r="H102" i="42"/>
  <c r="H96" i="42"/>
  <c r="Q96" i="42"/>
  <c r="W96" i="42"/>
  <c r="H101" i="42"/>
  <c r="W101" i="42"/>
  <c r="Q101" i="42"/>
  <c r="W99" i="42"/>
  <c r="H99" i="42"/>
  <c r="Q99" i="42"/>
  <c r="Q97" i="42"/>
  <c r="W97" i="42"/>
  <c r="H97" i="42"/>
  <c r="H95" i="42"/>
  <c r="Q95" i="42"/>
  <c r="W95" i="42"/>
  <c r="W93" i="42"/>
  <c r="Q93" i="42"/>
  <c r="H93" i="42"/>
  <c r="KG66" i="25"/>
  <c r="KU66" i="25" s="1"/>
  <c r="OG66" i="25"/>
  <c r="OU66" i="25" s="1"/>
  <c r="OG62" i="25"/>
  <c r="OU62" i="25" s="1"/>
  <c r="KG62" i="25"/>
  <c r="KU62" i="25" s="1"/>
  <c r="W90" i="42"/>
  <c r="Q90" i="42"/>
  <c r="H90" i="42"/>
  <c r="W88" i="42"/>
  <c r="Q88" i="42"/>
  <c r="H88" i="42"/>
  <c r="Q86" i="42"/>
  <c r="W86" i="42"/>
  <c r="H86" i="42"/>
  <c r="Q84" i="42"/>
  <c r="H84" i="42"/>
  <c r="W84" i="42"/>
  <c r="W82" i="42"/>
  <c r="Q82" i="42"/>
  <c r="H82" i="42"/>
  <c r="Q80" i="42"/>
  <c r="H80" i="42"/>
  <c r="W80" i="42"/>
  <c r="H78" i="42"/>
  <c r="W78" i="42"/>
  <c r="Q78" i="42"/>
  <c r="Q76" i="42"/>
  <c r="W76" i="42"/>
  <c r="H76" i="42"/>
  <c r="KG67" i="25"/>
  <c r="KU67" i="25" s="1"/>
  <c r="OG67" i="25"/>
  <c r="OU67" i="25" s="1"/>
  <c r="OG61" i="25"/>
  <c r="OU61" i="25" s="1"/>
  <c r="KG61" i="25"/>
  <c r="KU61" i="25" s="1"/>
  <c r="OG68" i="25"/>
  <c r="OU68" i="25" s="1"/>
  <c r="KG68" i="25"/>
  <c r="KU68" i="25" s="1"/>
  <c r="KG64" i="25"/>
  <c r="KU64" i="25" s="1"/>
  <c r="OG64" i="25"/>
  <c r="OU64" i="25" s="1"/>
  <c r="KG65" i="25"/>
  <c r="KU65" i="25" s="1"/>
  <c r="OG65" i="25"/>
  <c r="OU65" i="25" s="1"/>
  <c r="KG63" i="25"/>
  <c r="KU63" i="25" s="1"/>
  <c r="OG63" i="25"/>
  <c r="OU63" i="25" s="1"/>
  <c r="Q91" i="42"/>
  <c r="W91" i="42"/>
  <c r="H91" i="42"/>
  <c r="Q89" i="42"/>
  <c r="W89" i="42"/>
  <c r="H89" i="42"/>
  <c r="Q87" i="42"/>
  <c r="W87" i="42"/>
  <c r="H87" i="42"/>
  <c r="Q85" i="42"/>
  <c r="H85" i="42"/>
  <c r="W85" i="42"/>
  <c r="Q83" i="42"/>
  <c r="H83" i="42"/>
  <c r="W83" i="42"/>
  <c r="Q81" i="42"/>
  <c r="W81" i="42"/>
  <c r="H81" i="42"/>
  <c r="W79" i="42"/>
  <c r="Q79" i="42"/>
  <c r="H79" i="42"/>
  <c r="H77" i="42"/>
  <c r="W77" i="42"/>
  <c r="Q77" i="42"/>
  <c r="CA71" i="25"/>
  <c r="PG86" i="25"/>
  <c r="DB86" i="25" s="1"/>
  <c r="RF86" i="25"/>
  <c r="RG86" i="25" s="1"/>
  <c r="DC86" i="25" s="1"/>
  <c r="RF74" i="25"/>
  <c r="RG74" i="25" s="1"/>
  <c r="DC74" i="25" s="1"/>
  <c r="PG74" i="25"/>
  <c r="DB74" i="25" s="1"/>
  <c r="BY69" i="25"/>
  <c r="BY76" i="25"/>
  <c r="BY75" i="25"/>
  <c r="CA80" i="25"/>
  <c r="BY80" i="25"/>
  <c r="BY70" i="25"/>
  <c r="CA70" i="25"/>
  <c r="CA72" i="25"/>
  <c r="BY72" i="25"/>
  <c r="BY85" i="25"/>
  <c r="CA85" i="25"/>
  <c r="CA81" i="25"/>
  <c r="BY81" i="25"/>
  <c r="BY74" i="25"/>
  <c r="CA74" i="25"/>
  <c r="CA86" i="25"/>
  <c r="BY86" i="25"/>
  <c r="BY79" i="25"/>
  <c r="BY71" i="25"/>
  <c r="RF77" i="25"/>
  <c r="RG77" i="25" s="1"/>
  <c r="DC77" i="25" s="1"/>
  <c r="PG77" i="25"/>
  <c r="DB77" i="25" s="1"/>
  <c r="RF73" i="25"/>
  <c r="RG73" i="25" s="1"/>
  <c r="DC73" i="25" s="1"/>
  <c r="PG73" i="25"/>
  <c r="DB73" i="25" s="1"/>
  <c r="RF88" i="25"/>
  <c r="RG88" i="25" s="1"/>
  <c r="DC88" i="25" s="1"/>
  <c r="PG88" i="25"/>
  <c r="DB88" i="25" s="1"/>
  <c r="RF84" i="25"/>
  <c r="RG84" i="25" s="1"/>
  <c r="DC84" i="25" s="1"/>
  <c r="PG84" i="25"/>
  <c r="DB84" i="25" s="1"/>
  <c r="PG80" i="25"/>
  <c r="DB80" i="25" s="1"/>
  <c r="RF80" i="25"/>
  <c r="RG80" i="25" s="1"/>
  <c r="DC80" i="25" s="1"/>
  <c r="RF76" i="25"/>
  <c r="RG76" i="25" s="1"/>
  <c r="DC76" i="25" s="1"/>
  <c r="PG76" i="25"/>
  <c r="DB76" i="25" s="1"/>
  <c r="PG72" i="25"/>
  <c r="DB72" i="25" s="1"/>
  <c r="RF72" i="25"/>
  <c r="RG72" i="25" s="1"/>
  <c r="DC72" i="25" s="1"/>
  <c r="CA77" i="25"/>
  <c r="BY77" i="25"/>
  <c r="CA88" i="25"/>
  <c r="BY88" i="25"/>
  <c r="BY83" i="25"/>
  <c r="PG82" i="25"/>
  <c r="DB82" i="25" s="1"/>
  <c r="RF82" i="25"/>
  <c r="RG82" i="25" s="1"/>
  <c r="DC82" i="25" s="1"/>
  <c r="RF78" i="25"/>
  <c r="RG78" i="25" s="1"/>
  <c r="DC78" i="25" s="1"/>
  <c r="PG78" i="25"/>
  <c r="DB78" i="25" s="1"/>
  <c r="RF85" i="25"/>
  <c r="RG85" i="25" s="1"/>
  <c r="DC85" i="25" s="1"/>
  <c r="PG85" i="25"/>
  <c r="DB85" i="25" s="1"/>
  <c r="PG81" i="25"/>
  <c r="DB81" i="25" s="1"/>
  <c r="RF81" i="25"/>
  <c r="RG81" i="25" s="1"/>
  <c r="DC81" i="25" s="1"/>
  <c r="PG87" i="25"/>
  <c r="DB87" i="25" s="1"/>
  <c r="RF87" i="25"/>
  <c r="RG87" i="25" s="1"/>
  <c r="DC87" i="25" s="1"/>
  <c r="RF83" i="25"/>
  <c r="RG83" i="25" s="1"/>
  <c r="DC83" i="25" s="1"/>
  <c r="PG83" i="25"/>
  <c r="DB83" i="25" s="1"/>
  <c r="RF79" i="25"/>
  <c r="RG79" i="25" s="1"/>
  <c r="DC79" i="25" s="1"/>
  <c r="PG79" i="25"/>
  <c r="DB79" i="25" s="1"/>
  <c r="RF75" i="25"/>
  <c r="RG75" i="25" s="1"/>
  <c r="DC75" i="25" s="1"/>
  <c r="PG75" i="25"/>
  <c r="DB75" i="25" s="1"/>
  <c r="CA73" i="25"/>
  <c r="BY73" i="25"/>
  <c r="M118" i="25"/>
  <c r="M114" i="25"/>
  <c r="M110" i="25"/>
  <c r="M106" i="25"/>
  <c r="M119" i="25"/>
  <c r="M120" i="25"/>
  <c r="K120" i="25"/>
  <c r="K116" i="25"/>
  <c r="R113" i="25"/>
  <c r="K112" i="25"/>
  <c r="R109" i="25"/>
  <c r="K108" i="25"/>
  <c r="R105" i="25"/>
  <c r="K104" i="25"/>
  <c r="R101" i="25"/>
  <c r="K100" i="25"/>
  <c r="R97" i="25"/>
  <c r="K96" i="25"/>
  <c r="K92" i="25"/>
  <c r="R89" i="25"/>
  <c r="K88" i="25"/>
  <c r="R85" i="25"/>
  <c r="K84" i="25"/>
  <c r="K80" i="25"/>
  <c r="R77" i="25"/>
  <c r="K76" i="25"/>
  <c r="R73" i="25"/>
  <c r="K72" i="25"/>
  <c r="R69" i="25"/>
  <c r="K68" i="25"/>
  <c r="R65" i="25"/>
  <c r="K64" i="25"/>
  <c r="R61" i="25"/>
  <c r="R118" i="25"/>
  <c r="J118" i="25"/>
  <c r="K117" i="25"/>
  <c r="R114" i="25"/>
  <c r="K113" i="25"/>
  <c r="R110" i="25"/>
  <c r="K109" i="25"/>
  <c r="R106" i="25"/>
  <c r="K105" i="25"/>
  <c r="R102" i="25"/>
  <c r="K101" i="25"/>
  <c r="K97" i="25"/>
  <c r="R94" i="25"/>
  <c r="K93" i="25"/>
  <c r="R90" i="25"/>
  <c r="K89" i="25"/>
  <c r="R86" i="25"/>
  <c r="K85" i="25"/>
  <c r="R82" i="25"/>
  <c r="K81" i="25"/>
  <c r="R78" i="25"/>
  <c r="K77" i="25"/>
  <c r="R74" i="25"/>
  <c r="K73" i="25"/>
  <c r="R70" i="25"/>
  <c r="K69" i="25"/>
  <c r="R66" i="25"/>
  <c r="K65" i="25"/>
  <c r="R62" i="25"/>
  <c r="K61" i="25"/>
  <c r="R59" i="25"/>
  <c r="K59" i="25"/>
  <c r="R57" i="25"/>
  <c r="K57" i="25"/>
  <c r="R119" i="25"/>
  <c r="J119" i="25"/>
  <c r="K118" i="25"/>
  <c r="R115" i="25"/>
  <c r="K114" i="25"/>
  <c r="R111" i="25"/>
  <c r="K110" i="25"/>
  <c r="R107" i="25"/>
  <c r="K106" i="25"/>
  <c r="R103" i="25"/>
  <c r="K102" i="25"/>
  <c r="R99" i="25"/>
  <c r="K98" i="25"/>
  <c r="R95" i="25"/>
  <c r="K94" i="25"/>
  <c r="R91" i="25"/>
  <c r="K90" i="25"/>
  <c r="K86" i="25"/>
  <c r="R83" i="25"/>
  <c r="K82" i="25"/>
  <c r="R79" i="25"/>
  <c r="K78" i="25"/>
  <c r="R75" i="25"/>
  <c r="K74" i="25"/>
  <c r="R71" i="25"/>
  <c r="K70" i="25"/>
  <c r="R67" i="25"/>
  <c r="K66" i="25"/>
  <c r="R63" i="25"/>
  <c r="K62" i="25"/>
  <c r="R120" i="25"/>
  <c r="J120" i="25"/>
  <c r="K119" i="25"/>
  <c r="R116" i="25"/>
  <c r="K115" i="25"/>
  <c r="R112" i="25"/>
  <c r="K111" i="25"/>
  <c r="R108" i="25"/>
  <c r="K107" i="25"/>
  <c r="R104" i="25"/>
  <c r="K103" i="25"/>
  <c r="R100" i="25"/>
  <c r="K99" i="25"/>
  <c r="R96" i="25"/>
  <c r="K95" i="25"/>
  <c r="R92" i="25"/>
  <c r="K91" i="25"/>
  <c r="K87" i="25"/>
  <c r="R84" i="25"/>
  <c r="K83" i="25"/>
  <c r="R80" i="25"/>
  <c r="K79" i="25"/>
  <c r="R76" i="25"/>
  <c r="K75" i="25"/>
  <c r="R72" i="25"/>
  <c r="K71" i="25"/>
  <c r="R68" i="25"/>
  <c r="K67" i="25"/>
  <c r="R64" i="25"/>
  <c r="K63" i="25"/>
  <c r="R60" i="25"/>
  <c r="K60" i="25"/>
  <c r="R58" i="25"/>
  <c r="K58" i="25"/>
  <c r="R56" i="25"/>
  <c r="K56" i="25"/>
  <c r="R117" i="25"/>
  <c r="R87" i="25"/>
  <c r="R98" i="25"/>
  <c r="R88" i="25"/>
  <c r="R93" i="25"/>
  <c r="R81" i="25"/>
  <c r="M116" i="25"/>
  <c r="M108" i="25"/>
  <c r="M113" i="25"/>
  <c r="M112" i="25"/>
  <c r="M111" i="25"/>
  <c r="M105" i="25"/>
  <c r="M104" i="25"/>
  <c r="M115" i="25"/>
  <c r="M107" i="25"/>
  <c r="M117" i="25"/>
  <c r="M109" i="25"/>
  <c r="J32" i="22" l="1"/>
  <c r="F69" i="22"/>
  <c r="H12" i="45" s="1"/>
  <c r="N8" i="20" s="1"/>
  <c r="R70" i="19"/>
  <c r="P70" i="20" s="1"/>
  <c r="Z70" i="25"/>
  <c r="AA70" i="25"/>
  <c r="Y70" i="25"/>
  <c r="R69" i="19"/>
  <c r="P69" i="20" s="1"/>
  <c r="AA69" i="25"/>
  <c r="Y69" i="25"/>
  <c r="Z69" i="25"/>
  <c r="R71" i="19"/>
  <c r="P71" i="20" s="1"/>
  <c r="Y71" i="25"/>
  <c r="Z71" i="25"/>
  <c r="AA71" i="25"/>
  <c r="CO66" i="25"/>
  <c r="R65" i="19"/>
  <c r="P65" i="20" s="1"/>
  <c r="AA65" i="25"/>
  <c r="Y65" i="25"/>
  <c r="Z65" i="25"/>
  <c r="P61" i="20"/>
  <c r="Z61" i="25"/>
  <c r="AA61" i="25"/>
  <c r="Y61" i="25"/>
  <c r="P60" i="20"/>
  <c r="Z60" i="25"/>
  <c r="AA60" i="25"/>
  <c r="Y60" i="25"/>
  <c r="P59" i="20"/>
  <c r="AA59" i="25"/>
  <c r="Y59" i="25"/>
  <c r="Z59" i="25"/>
  <c r="R68" i="19"/>
  <c r="P68" i="20" s="1"/>
  <c r="Y68" i="25"/>
  <c r="Z68" i="25"/>
  <c r="AA68" i="25"/>
  <c r="R66" i="19"/>
  <c r="P66" i="20" s="1"/>
  <c r="AA66" i="25"/>
  <c r="Y66" i="25"/>
  <c r="Z66" i="25"/>
  <c r="R63" i="19"/>
  <c r="P63" i="20" s="1"/>
  <c r="Y63" i="25"/>
  <c r="Z63" i="25"/>
  <c r="AA63" i="25"/>
  <c r="P58" i="20"/>
  <c r="Z58" i="25"/>
  <c r="AA58" i="25"/>
  <c r="Y58" i="25"/>
  <c r="P62" i="20"/>
  <c r="Z62" i="25"/>
  <c r="AA62" i="25"/>
  <c r="Y62" i="25"/>
  <c r="R67" i="19"/>
  <c r="P67" i="20" s="1"/>
  <c r="Y67" i="25"/>
  <c r="AA67" i="25"/>
  <c r="Z67" i="25"/>
  <c r="R64" i="19"/>
  <c r="P64" i="20" s="1"/>
  <c r="Z64" i="25"/>
  <c r="AA64" i="25"/>
  <c r="Y64" i="25"/>
  <c r="P57" i="20"/>
  <c r="AA57" i="25"/>
  <c r="Y57" i="25"/>
  <c r="Z57" i="25"/>
  <c r="P56" i="20"/>
  <c r="Z56" i="25"/>
  <c r="AA56" i="25"/>
  <c r="Y56" i="25"/>
  <c r="CO64" i="25"/>
  <c r="CY64" i="25"/>
  <c r="CO70" i="25"/>
  <c r="CY70" i="25"/>
  <c r="CP80" i="25"/>
  <c r="CZ80" i="25"/>
  <c r="CO80" i="25"/>
  <c r="CY80" i="25"/>
  <c r="CP82" i="25"/>
  <c r="CZ82" i="25"/>
  <c r="CQ84" i="25"/>
  <c r="DA84" i="25"/>
  <c r="CP86" i="25"/>
  <c r="CZ86" i="25"/>
  <c r="CP88" i="25"/>
  <c r="CZ88" i="25"/>
  <c r="CN92" i="25"/>
  <c r="CX92" i="25"/>
  <c r="CQ69" i="25"/>
  <c r="DA69" i="25"/>
  <c r="CQ75" i="25"/>
  <c r="DA75" i="25"/>
  <c r="CO89" i="25"/>
  <c r="CY89" i="25"/>
  <c r="CQ71" i="25"/>
  <c r="DA71" i="25"/>
  <c r="CP79" i="25"/>
  <c r="CZ79" i="25"/>
  <c r="CQ79" i="25"/>
  <c r="DA79" i="25"/>
  <c r="CN87" i="25"/>
  <c r="CX87" i="25"/>
  <c r="CP73" i="25"/>
  <c r="CZ73" i="25"/>
  <c r="CP81" i="25"/>
  <c r="CZ81" i="25"/>
  <c r="CO81" i="25"/>
  <c r="CY81" i="25"/>
  <c r="CN85" i="25"/>
  <c r="CX85" i="25"/>
  <c r="CP85" i="25"/>
  <c r="CZ85" i="25"/>
  <c r="CZ93" i="25"/>
  <c r="CO93" i="25"/>
  <c r="CY93" i="25"/>
  <c r="CZ96" i="25"/>
  <c r="CP95" i="25"/>
  <c r="CZ95" i="25"/>
  <c r="CY66" i="25"/>
  <c r="CQ72" i="25"/>
  <c r="DA72" i="25"/>
  <c r="CN76" i="25"/>
  <c r="CX76" i="25"/>
  <c r="CQ76" i="25"/>
  <c r="DA76" i="25"/>
  <c r="CP76" i="25"/>
  <c r="CZ76" i="25"/>
  <c r="CN80" i="25"/>
  <c r="CX80" i="25"/>
  <c r="CO84" i="25"/>
  <c r="CY84" i="25"/>
  <c r="CQ88" i="25"/>
  <c r="DA88" i="25"/>
  <c r="CN90" i="25"/>
  <c r="CX90" i="25"/>
  <c r="CO69" i="25"/>
  <c r="CY69" i="25"/>
  <c r="CP75" i="25"/>
  <c r="CZ75" i="25"/>
  <c r="CQ83" i="25"/>
  <c r="DA83" i="25"/>
  <c r="CP83" i="25"/>
  <c r="CZ83" i="25"/>
  <c r="CZ89" i="25"/>
  <c r="CN89" i="25"/>
  <c r="CX89" i="25"/>
  <c r="CX79" i="25"/>
  <c r="CO87" i="25"/>
  <c r="CY87" i="25"/>
  <c r="CP87" i="25"/>
  <c r="CZ87" i="25"/>
  <c r="CP91" i="25"/>
  <c r="CZ91" i="25"/>
  <c r="CO77" i="25"/>
  <c r="CY77" i="25"/>
  <c r="DA93" i="25"/>
  <c r="CO96" i="25"/>
  <c r="CY96" i="25"/>
  <c r="CQ95" i="25"/>
  <c r="DA95" i="25"/>
  <c r="CO63" i="25"/>
  <c r="CY63" i="25"/>
  <c r="CO72" i="25"/>
  <c r="CY72" i="25"/>
  <c r="CQ67" i="25"/>
  <c r="DA67" i="25"/>
  <c r="CQ64" i="25"/>
  <c r="DA64" i="25"/>
  <c r="CQ68" i="25"/>
  <c r="DA68" i="25"/>
  <c r="CP72" i="25"/>
  <c r="CZ72" i="25"/>
  <c r="CP74" i="25"/>
  <c r="CZ74" i="25"/>
  <c r="CQ78" i="25"/>
  <c r="DA78" i="25"/>
  <c r="CX82" i="25"/>
  <c r="CO82" i="25"/>
  <c r="CY82" i="25"/>
  <c r="CN84" i="25"/>
  <c r="CX84" i="25"/>
  <c r="CU84" i="25" s="1"/>
  <c r="CP84" i="25"/>
  <c r="CZ84" i="25"/>
  <c r="CN86" i="25"/>
  <c r="CX86" i="25"/>
  <c r="CN88" i="25"/>
  <c r="CX88" i="25"/>
  <c r="CQ90" i="25"/>
  <c r="DA90" i="25"/>
  <c r="CP90" i="25"/>
  <c r="CZ90" i="25"/>
  <c r="CO92" i="25"/>
  <c r="CY92" i="25"/>
  <c r="CP92" i="25"/>
  <c r="CZ92" i="25"/>
  <c r="CX94" i="25"/>
  <c r="CP94" i="25"/>
  <c r="CZ94" i="25"/>
  <c r="CQ94" i="25"/>
  <c r="DA94" i="25"/>
  <c r="CO83" i="25"/>
  <c r="CY83" i="25"/>
  <c r="CX83" i="25"/>
  <c r="CQ89" i="25"/>
  <c r="DA89" i="25"/>
  <c r="CO71" i="25"/>
  <c r="CY71" i="25"/>
  <c r="CQ87" i="25"/>
  <c r="DA87" i="25"/>
  <c r="CN73" i="25"/>
  <c r="CX73" i="25"/>
  <c r="CO73" i="25"/>
  <c r="CY73" i="25"/>
  <c r="CY91" i="25"/>
  <c r="CX91" i="25"/>
  <c r="CQ91" i="25"/>
  <c r="DA91" i="25"/>
  <c r="CN77" i="25"/>
  <c r="CX77" i="25"/>
  <c r="CQ77" i="25"/>
  <c r="DA77" i="25"/>
  <c r="CO85" i="25"/>
  <c r="CY85" i="25"/>
  <c r="CQ96" i="25"/>
  <c r="DA96" i="25"/>
  <c r="CN95" i="25"/>
  <c r="CX95" i="25"/>
  <c r="CO74" i="25"/>
  <c r="CY74" i="25"/>
  <c r="CQ63" i="25"/>
  <c r="DA63" i="25"/>
  <c r="CO67" i="25"/>
  <c r="CY67" i="25"/>
  <c r="CQ65" i="25"/>
  <c r="DA65" i="25"/>
  <c r="CQ66" i="25"/>
  <c r="DA66" i="25"/>
  <c r="CO65" i="25"/>
  <c r="CY65" i="25"/>
  <c r="CO68" i="25"/>
  <c r="CY68" i="25"/>
  <c r="CQ70" i="25"/>
  <c r="DA70" i="25"/>
  <c r="CN72" i="25"/>
  <c r="CX72" i="25"/>
  <c r="CU72" i="25" s="1"/>
  <c r="CQ74" i="25"/>
  <c r="DA74" i="25"/>
  <c r="CN74" i="25"/>
  <c r="CX74" i="25"/>
  <c r="CO76" i="25"/>
  <c r="CY76" i="25"/>
  <c r="CP78" i="25"/>
  <c r="CZ78" i="25"/>
  <c r="CO78" i="25"/>
  <c r="CY78" i="25"/>
  <c r="CN78" i="25"/>
  <c r="CX78" i="25"/>
  <c r="CQ80" i="25"/>
  <c r="DA80" i="25"/>
  <c r="CQ82" i="25"/>
  <c r="DA82" i="25"/>
  <c r="CO86" i="25"/>
  <c r="CY86" i="25"/>
  <c r="CQ86" i="25"/>
  <c r="DA86" i="25"/>
  <c r="CO88" i="25"/>
  <c r="CY88" i="25"/>
  <c r="CO90" i="25"/>
  <c r="CY90" i="25"/>
  <c r="CQ92" i="25"/>
  <c r="DA92" i="25"/>
  <c r="CO94" i="25"/>
  <c r="CY94" i="25"/>
  <c r="CN75" i="25"/>
  <c r="CX75" i="25"/>
  <c r="CO75" i="25"/>
  <c r="CY75" i="25"/>
  <c r="CO79" i="25"/>
  <c r="CY79" i="25"/>
  <c r="CQ73" i="25"/>
  <c r="DA73" i="25"/>
  <c r="CQ81" i="25"/>
  <c r="DA81" i="25"/>
  <c r="CN81" i="25"/>
  <c r="CX81" i="25"/>
  <c r="CP77" i="25"/>
  <c r="CZ77" i="25"/>
  <c r="CQ85" i="25"/>
  <c r="DA85" i="25"/>
  <c r="CX93" i="25"/>
  <c r="CU93" i="25" s="1"/>
  <c r="CO95" i="25"/>
  <c r="CY95" i="25"/>
  <c r="CN101" i="25"/>
  <c r="CX101" i="25"/>
  <c r="CR101" i="25"/>
  <c r="DB101" i="25"/>
  <c r="CO103" i="25"/>
  <c r="CY103" i="25"/>
  <c r="CS103" i="25"/>
  <c r="DC103" i="25"/>
  <c r="CR100" i="25"/>
  <c r="DB100" i="25"/>
  <c r="CQ101" i="25"/>
  <c r="DA101" i="25"/>
  <c r="CO101" i="25"/>
  <c r="CY101" i="25"/>
  <c r="CO102" i="25"/>
  <c r="CY102" i="25"/>
  <c r="CP103" i="25"/>
  <c r="CZ103" i="25"/>
  <c r="DA103" i="25"/>
  <c r="CQ103" i="25"/>
  <c r="DC100" i="25"/>
  <c r="CS100" i="25"/>
  <c r="CS101" i="25"/>
  <c r="DC101" i="25"/>
  <c r="CP102" i="25"/>
  <c r="CZ102" i="25"/>
  <c r="CN102" i="25"/>
  <c r="CX102" i="25"/>
  <c r="CS102" i="25"/>
  <c r="DC102" i="25"/>
  <c r="CR103" i="25"/>
  <c r="DB103" i="25"/>
  <c r="CP100" i="25"/>
  <c r="CZ100" i="25"/>
  <c r="CQ100" i="25"/>
  <c r="DA100" i="25"/>
  <c r="CP101" i="25"/>
  <c r="CZ101" i="25"/>
  <c r="CQ102" i="25"/>
  <c r="DA102" i="25"/>
  <c r="CR102" i="25"/>
  <c r="DB102" i="25"/>
  <c r="CN103" i="25"/>
  <c r="CX103" i="25"/>
  <c r="CO100" i="25"/>
  <c r="CY100" i="25"/>
  <c r="CN100" i="25"/>
  <c r="CX100" i="25"/>
  <c r="CY98" i="25"/>
  <c r="CO98" i="25"/>
  <c r="CP97" i="25"/>
  <c r="CZ97" i="25"/>
  <c r="CN99" i="25"/>
  <c r="CX99" i="25"/>
  <c r="CQ99" i="25"/>
  <c r="DA99" i="25"/>
  <c r="CN98" i="25"/>
  <c r="CQ97" i="25"/>
  <c r="DA97" i="25"/>
  <c r="CO99" i="25"/>
  <c r="CY99" i="25"/>
  <c r="CZ99" i="25"/>
  <c r="CP98" i="25"/>
  <c r="CZ98" i="25"/>
  <c r="CQ98" i="25"/>
  <c r="DA98" i="25"/>
  <c r="CN97" i="25"/>
  <c r="CX97" i="25"/>
  <c r="CO97" i="25"/>
  <c r="CY97" i="25"/>
  <c r="DA61" i="25"/>
  <c r="CQ61" i="25"/>
  <c r="CQ62" i="25"/>
  <c r="DA62" i="25"/>
  <c r="CO61" i="25"/>
  <c r="CY61" i="25"/>
  <c r="CO62" i="25"/>
  <c r="CY62" i="25"/>
  <c r="CR98" i="25"/>
  <c r="CS97" i="25"/>
  <c r="CR97" i="25"/>
  <c r="CS99" i="25"/>
  <c r="CS98" i="25"/>
  <c r="CR99" i="25"/>
  <c r="CS90" i="25"/>
  <c r="CS94" i="25"/>
  <c r="CS91" i="25"/>
  <c r="CR95" i="25"/>
  <c r="CR92" i="25"/>
  <c r="CR96" i="25"/>
  <c r="CS89" i="25"/>
  <c r="CS93" i="25"/>
  <c r="CS92" i="25"/>
  <c r="CS96" i="25"/>
  <c r="CR89" i="25"/>
  <c r="CR93" i="25"/>
  <c r="CK93" i="25" s="1"/>
  <c r="CR90" i="25"/>
  <c r="CR94" i="25"/>
  <c r="CR91" i="25"/>
  <c r="CS95" i="25"/>
  <c r="UF58" i="25"/>
  <c r="OG58" i="25"/>
  <c r="OU58" i="25" s="1"/>
  <c r="TF58" i="25"/>
  <c r="KG58" i="25"/>
  <c r="KU58" i="25" s="1"/>
  <c r="KG57" i="25"/>
  <c r="KU57" i="25" s="1"/>
  <c r="W73" i="42"/>
  <c r="H73" i="42"/>
  <c r="Q73" i="42"/>
  <c r="H72" i="42"/>
  <c r="W72" i="42"/>
  <c r="Q72" i="42"/>
  <c r="UF56" i="25"/>
  <c r="KG56" i="25"/>
  <c r="KU56" i="25" s="1"/>
  <c r="TF56" i="25"/>
  <c r="KG60" i="25"/>
  <c r="KU60" i="25" s="1"/>
  <c r="UF60" i="25"/>
  <c r="OG60" i="25"/>
  <c r="OU60" i="25" s="1"/>
  <c r="TF60" i="25"/>
  <c r="TF59" i="25"/>
  <c r="OG59" i="25"/>
  <c r="OU59" i="25" s="1"/>
  <c r="UF59" i="25"/>
  <c r="KG59" i="25"/>
  <c r="KU59" i="25" s="1"/>
  <c r="Q71" i="42"/>
  <c r="H71" i="42"/>
  <c r="W71" i="42"/>
  <c r="W75" i="42"/>
  <c r="H75" i="42"/>
  <c r="Q75" i="42"/>
  <c r="H74" i="42"/>
  <c r="W74" i="42"/>
  <c r="Q74" i="42"/>
  <c r="HF59" i="25"/>
  <c r="HG59" i="25" s="1"/>
  <c r="HU59" i="25" s="1"/>
  <c r="RF59" i="25"/>
  <c r="RG59" i="25" s="1"/>
  <c r="RU59" i="25" s="1"/>
  <c r="JF59" i="25"/>
  <c r="JG59" i="25" s="1"/>
  <c r="JU59" i="25" s="1"/>
  <c r="NF59" i="25"/>
  <c r="NG59" i="25" s="1"/>
  <c r="NU59" i="25" s="1"/>
  <c r="LF59" i="25"/>
  <c r="LG59" i="25" s="1"/>
  <c r="LU59" i="25" s="1"/>
  <c r="CR71" i="25"/>
  <c r="CS75" i="25"/>
  <c r="CS79" i="25"/>
  <c r="CS83" i="25"/>
  <c r="CR87" i="25"/>
  <c r="CR69" i="25"/>
  <c r="CR85" i="25"/>
  <c r="CS70" i="25"/>
  <c r="CR78" i="25"/>
  <c r="CS82" i="25"/>
  <c r="CS80" i="25"/>
  <c r="CR84" i="25"/>
  <c r="CR73" i="25"/>
  <c r="CR77" i="25"/>
  <c r="CR74" i="25"/>
  <c r="HF60" i="25"/>
  <c r="HG60" i="25" s="1"/>
  <c r="HU60" i="25" s="1"/>
  <c r="RF60" i="25"/>
  <c r="RG60" i="25" s="1"/>
  <c r="RU60" i="25" s="1"/>
  <c r="JF60" i="25"/>
  <c r="JG60" i="25" s="1"/>
  <c r="JU60" i="25" s="1"/>
  <c r="NF60" i="25"/>
  <c r="NG60" i="25" s="1"/>
  <c r="NU60" i="25" s="1"/>
  <c r="LF60" i="25"/>
  <c r="LG60" i="25" s="1"/>
  <c r="LU60" i="25" s="1"/>
  <c r="RF58" i="25"/>
  <c r="RG58" i="25" s="1"/>
  <c r="RU58" i="25" s="1"/>
  <c r="NF58" i="25"/>
  <c r="NG58" i="25" s="1"/>
  <c r="NU58" i="25" s="1"/>
  <c r="JF58" i="25"/>
  <c r="JG58" i="25" s="1"/>
  <c r="JU58" i="25" s="1"/>
  <c r="LF58" i="25"/>
  <c r="LG58" i="25" s="1"/>
  <c r="LU58" i="25" s="1"/>
  <c r="HF58" i="25"/>
  <c r="HG58" i="25" s="1"/>
  <c r="HU58" i="25" s="1"/>
  <c r="RF57" i="25"/>
  <c r="RG57" i="25" s="1"/>
  <c r="RU57" i="25" s="1"/>
  <c r="NF57" i="25"/>
  <c r="NG57" i="25" s="1"/>
  <c r="NU57" i="25" s="1"/>
  <c r="CS71" i="25"/>
  <c r="CR79" i="25"/>
  <c r="CK79" i="25" s="1"/>
  <c r="CR83" i="25"/>
  <c r="CK83" i="25" s="1"/>
  <c r="CR81" i="25"/>
  <c r="CS85" i="25"/>
  <c r="CR72" i="25"/>
  <c r="CS84" i="25"/>
  <c r="CS74" i="25"/>
  <c r="CR86" i="25"/>
  <c r="CS67" i="25"/>
  <c r="CR75" i="25"/>
  <c r="CS87" i="25"/>
  <c r="CS69" i="25"/>
  <c r="CS81" i="25"/>
  <c r="CR70" i="25"/>
  <c r="CS78" i="25"/>
  <c r="CS76" i="25"/>
  <c r="CR80" i="25"/>
  <c r="CK80" i="25" s="1"/>
  <c r="CS88" i="25"/>
  <c r="CS86" i="25"/>
  <c r="HF56" i="25"/>
  <c r="HG56" i="25" s="1"/>
  <c r="HU56" i="25" s="1"/>
  <c r="RF56" i="25"/>
  <c r="RG56" i="25" s="1"/>
  <c r="RU56" i="25" s="1"/>
  <c r="JF56" i="25"/>
  <c r="JG56" i="25" s="1"/>
  <c r="JU56" i="25" s="1"/>
  <c r="LF56" i="25"/>
  <c r="LG56" i="25" s="1"/>
  <c r="LU56" i="25" s="1"/>
  <c r="NF56" i="25"/>
  <c r="NG56" i="25" s="1"/>
  <c r="NU56" i="25" s="1"/>
  <c r="CR67" i="25"/>
  <c r="CR82" i="25"/>
  <c r="CS72" i="25"/>
  <c r="CR76" i="25"/>
  <c r="CK76" i="25" s="1"/>
  <c r="CR88" i="25"/>
  <c r="CS73" i="25"/>
  <c r="CS77" i="25"/>
  <c r="D5" i="18"/>
  <c r="J37" i="22" l="1"/>
  <c r="S56" i="19"/>
  <c r="KF56" i="25"/>
  <c r="IF56" i="25"/>
  <c r="IG56" i="25" s="1"/>
  <c r="IU56" i="25" s="1"/>
  <c r="KF65" i="25"/>
  <c r="IF65" i="25"/>
  <c r="IG65" i="25" s="1"/>
  <c r="OF65" i="25"/>
  <c r="MF65" i="25"/>
  <c r="MG65" i="25" s="1"/>
  <c r="JF65" i="25"/>
  <c r="JG65" i="25" s="1"/>
  <c r="JU65" i="25" s="1"/>
  <c r="HF65" i="25"/>
  <c r="HG65" i="25" s="1"/>
  <c r="HU65" i="25" s="1"/>
  <c r="LF65" i="25"/>
  <c r="LG65" i="25" s="1"/>
  <c r="LU65" i="25" s="1"/>
  <c r="NF65" i="25"/>
  <c r="NG65" i="25" s="1"/>
  <c r="NU65" i="25" s="1"/>
  <c r="IF69" i="25"/>
  <c r="IG69" i="25" s="1"/>
  <c r="KF69" i="25"/>
  <c r="OF69" i="25"/>
  <c r="MF69" i="25"/>
  <c r="MG69" i="25" s="1"/>
  <c r="TF69" i="25"/>
  <c r="JF69" i="25"/>
  <c r="JG69" i="25" s="1"/>
  <c r="JU69" i="25" s="1"/>
  <c r="UF69" i="25"/>
  <c r="HF69" i="25"/>
  <c r="HG69" i="25" s="1"/>
  <c r="HU69" i="25" s="1"/>
  <c r="LF69" i="25"/>
  <c r="LG69" i="25" s="1"/>
  <c r="LU69" i="25" s="1"/>
  <c r="NF69" i="25"/>
  <c r="NG69" i="25" s="1"/>
  <c r="NU69" i="25" s="1"/>
  <c r="KF67" i="25"/>
  <c r="MF67" i="25"/>
  <c r="MG67" i="25" s="1"/>
  <c r="OF67" i="25"/>
  <c r="IF67" i="25"/>
  <c r="IG67" i="25" s="1"/>
  <c r="NF67" i="25"/>
  <c r="NG67" i="25" s="1"/>
  <c r="NU67" i="25" s="1"/>
  <c r="JF67" i="25"/>
  <c r="JG67" i="25" s="1"/>
  <c r="JU67" i="25" s="1"/>
  <c r="LF67" i="25"/>
  <c r="LG67" i="25" s="1"/>
  <c r="LU67" i="25" s="1"/>
  <c r="HF67" i="25"/>
  <c r="HG67" i="25" s="1"/>
  <c r="HU67" i="25" s="1"/>
  <c r="MF63" i="25"/>
  <c r="MG63" i="25" s="1"/>
  <c r="OF63" i="25"/>
  <c r="IF63" i="25"/>
  <c r="IG63" i="25" s="1"/>
  <c r="KF63" i="25"/>
  <c r="JF63" i="25"/>
  <c r="JG63" i="25" s="1"/>
  <c r="JU63" i="25" s="1"/>
  <c r="HF63" i="25"/>
  <c r="HG63" i="25" s="1"/>
  <c r="HU63" i="25" s="1"/>
  <c r="LF63" i="25"/>
  <c r="LG63" i="25" s="1"/>
  <c r="LU63" i="25" s="1"/>
  <c r="NF63" i="25"/>
  <c r="NG63" i="25" s="1"/>
  <c r="NU63" i="25" s="1"/>
  <c r="MF68" i="25"/>
  <c r="MG68" i="25" s="1"/>
  <c r="OF68" i="25"/>
  <c r="IF68" i="25"/>
  <c r="IG68" i="25" s="1"/>
  <c r="KF68" i="25"/>
  <c r="LF68" i="25"/>
  <c r="LG68" i="25" s="1"/>
  <c r="LU68" i="25" s="1"/>
  <c r="JF68" i="25"/>
  <c r="JG68" i="25" s="1"/>
  <c r="JU68" i="25" s="1"/>
  <c r="NF68" i="25"/>
  <c r="NG68" i="25" s="1"/>
  <c r="NU68" i="25" s="1"/>
  <c r="HF68" i="25"/>
  <c r="HG68" i="25" s="1"/>
  <c r="HU68" i="25" s="1"/>
  <c r="S60" i="19"/>
  <c r="KF60" i="25"/>
  <c r="IF60" i="25"/>
  <c r="IG60" i="25" s="1"/>
  <c r="IU60" i="25" s="1"/>
  <c r="OF60" i="25"/>
  <c r="MF60" i="25"/>
  <c r="MG60" i="25" s="1"/>
  <c r="MU60" i="25" s="1"/>
  <c r="S61" i="19"/>
  <c r="IF61" i="25"/>
  <c r="IG61" i="25" s="1"/>
  <c r="MF61" i="25"/>
  <c r="MG61" i="25" s="1"/>
  <c r="KF61" i="25"/>
  <c r="OF61" i="25"/>
  <c r="JF61" i="25"/>
  <c r="JG61" i="25" s="1"/>
  <c r="JU61" i="25" s="1"/>
  <c r="HF61" i="25"/>
  <c r="HG61" i="25" s="1"/>
  <c r="HU61" i="25" s="1"/>
  <c r="NF61" i="25"/>
  <c r="NG61" i="25" s="1"/>
  <c r="NU61" i="25" s="1"/>
  <c r="LF61" i="25"/>
  <c r="LG61" i="25" s="1"/>
  <c r="LU61" i="25" s="1"/>
  <c r="MF70" i="25"/>
  <c r="MG70" i="25" s="1"/>
  <c r="OF70" i="25"/>
  <c r="IF70" i="25"/>
  <c r="IG70" i="25" s="1"/>
  <c r="KF70" i="25"/>
  <c r="HF70" i="25"/>
  <c r="HG70" i="25" s="1"/>
  <c r="HU70" i="25" s="1"/>
  <c r="NF70" i="25"/>
  <c r="NG70" i="25" s="1"/>
  <c r="NU70" i="25" s="1"/>
  <c r="LF70" i="25"/>
  <c r="LG70" i="25" s="1"/>
  <c r="LU70" i="25" s="1"/>
  <c r="UF70" i="25"/>
  <c r="TF70" i="25"/>
  <c r="JF70" i="25"/>
  <c r="JG70" i="25" s="1"/>
  <c r="JU70" i="25" s="1"/>
  <c r="MF66" i="25"/>
  <c r="MG66" i="25" s="1"/>
  <c r="IF66" i="25"/>
  <c r="IG66" i="25" s="1"/>
  <c r="OF66" i="25"/>
  <c r="KF66" i="25"/>
  <c r="NF66" i="25"/>
  <c r="NG66" i="25" s="1"/>
  <c r="NU66" i="25" s="1"/>
  <c r="JF66" i="25"/>
  <c r="JG66" i="25" s="1"/>
  <c r="JU66" i="25" s="1"/>
  <c r="LF66" i="25"/>
  <c r="LG66" i="25" s="1"/>
  <c r="LU66" i="25" s="1"/>
  <c r="HF66" i="25"/>
  <c r="HG66" i="25" s="1"/>
  <c r="HU66" i="25" s="1"/>
  <c r="S59" i="19"/>
  <c r="OF59" i="25"/>
  <c r="MF59" i="25"/>
  <c r="MG59" i="25" s="1"/>
  <c r="MU59" i="25" s="1"/>
  <c r="KF59" i="25"/>
  <c r="IF59" i="25"/>
  <c r="IG59" i="25" s="1"/>
  <c r="IU59" i="25" s="1"/>
  <c r="KF57" i="25"/>
  <c r="IF57" i="25"/>
  <c r="IG57" i="25" s="1"/>
  <c r="IU57" i="25" s="1"/>
  <c r="OF64" i="25"/>
  <c r="MF64" i="25"/>
  <c r="MG64" i="25" s="1"/>
  <c r="KF64" i="25"/>
  <c r="IF64" i="25"/>
  <c r="IG64" i="25" s="1"/>
  <c r="NF64" i="25"/>
  <c r="NG64" i="25" s="1"/>
  <c r="NU64" i="25" s="1"/>
  <c r="LF64" i="25"/>
  <c r="LG64" i="25" s="1"/>
  <c r="LU64" i="25" s="1"/>
  <c r="JF64" i="25"/>
  <c r="JG64" i="25" s="1"/>
  <c r="JU64" i="25" s="1"/>
  <c r="HF64" i="25"/>
  <c r="HG64" i="25" s="1"/>
  <c r="HU64" i="25" s="1"/>
  <c r="S62" i="19"/>
  <c r="IF62" i="25"/>
  <c r="IG62" i="25" s="1"/>
  <c r="KF62" i="25"/>
  <c r="OF62" i="25"/>
  <c r="MF62" i="25"/>
  <c r="MG62" i="25" s="1"/>
  <c r="LF62" i="25"/>
  <c r="LG62" i="25" s="1"/>
  <c r="LU62" i="25" s="1"/>
  <c r="HF62" i="25"/>
  <c r="HG62" i="25" s="1"/>
  <c r="HU62" i="25" s="1"/>
  <c r="NF62" i="25"/>
  <c r="NG62" i="25" s="1"/>
  <c r="NU62" i="25" s="1"/>
  <c r="JF62" i="25"/>
  <c r="JG62" i="25" s="1"/>
  <c r="JU62" i="25" s="1"/>
  <c r="S58" i="19"/>
  <c r="MF58" i="25"/>
  <c r="MG58" i="25" s="1"/>
  <c r="MU58" i="25" s="1"/>
  <c r="OF58" i="25"/>
  <c r="KF58" i="25"/>
  <c r="IF58" i="25"/>
  <c r="IG58" i="25" s="1"/>
  <c r="IU58" i="25" s="1"/>
  <c r="IF71" i="25"/>
  <c r="IG71" i="25" s="1"/>
  <c r="KF71" i="25"/>
  <c r="MF71" i="25"/>
  <c r="MG71" i="25" s="1"/>
  <c r="OF71" i="25"/>
  <c r="TF71" i="25"/>
  <c r="JF71" i="25"/>
  <c r="JG71" i="25" s="1"/>
  <c r="JU71" i="25" s="1"/>
  <c r="LF71" i="25"/>
  <c r="LG71" i="25" s="1"/>
  <c r="LU71" i="25" s="1"/>
  <c r="UF71" i="25"/>
  <c r="HF71" i="25"/>
  <c r="HG71" i="25" s="1"/>
  <c r="HU71" i="25" s="1"/>
  <c r="NF71" i="25"/>
  <c r="NG71" i="25" s="1"/>
  <c r="NU71" i="25" s="1"/>
  <c r="QF71" i="25"/>
  <c r="SF71" i="25"/>
  <c r="SF69" i="25"/>
  <c r="QF69" i="25"/>
  <c r="QF70" i="25"/>
  <c r="SF70" i="25"/>
  <c r="S71" i="19"/>
  <c r="PF71" i="25"/>
  <c r="PG71" i="25" s="1"/>
  <c r="AE71" i="25"/>
  <c r="AF71" i="25" s="1"/>
  <c r="AD71" i="25"/>
  <c r="RF71" i="25"/>
  <c r="RG71" i="25" s="1"/>
  <c r="S69" i="19"/>
  <c r="PF69" i="25"/>
  <c r="PG69" i="25" s="1"/>
  <c r="AD69" i="25"/>
  <c r="AE69" i="25"/>
  <c r="AF69" i="25" s="1"/>
  <c r="RF69" i="25"/>
  <c r="RG69" i="25" s="1"/>
  <c r="S70" i="19"/>
  <c r="PF70" i="25"/>
  <c r="PG70" i="25" s="1"/>
  <c r="AD70" i="25"/>
  <c r="AE70" i="25"/>
  <c r="AF70" i="25" s="1"/>
  <c r="RF70" i="25"/>
  <c r="RG70" i="25" s="1"/>
  <c r="TF57" i="25"/>
  <c r="S57" i="19"/>
  <c r="UF67" i="25"/>
  <c r="TF67" i="25"/>
  <c r="TF68" i="25"/>
  <c r="UF68" i="25"/>
  <c r="UF64" i="25"/>
  <c r="TF64" i="25"/>
  <c r="TF62" i="25"/>
  <c r="UF62" i="25"/>
  <c r="TF61" i="25"/>
  <c r="UF61" i="25"/>
  <c r="UF63" i="25"/>
  <c r="TF63" i="25"/>
  <c r="UF66" i="25"/>
  <c r="TF66" i="25"/>
  <c r="UF65" i="25"/>
  <c r="TF65" i="25"/>
  <c r="S64" i="19"/>
  <c r="PF64" i="25"/>
  <c r="PG64" i="25" s="1"/>
  <c r="AD64" i="25"/>
  <c r="AE64" i="25"/>
  <c r="AF64" i="25" s="1"/>
  <c r="RF64" i="25"/>
  <c r="RG64" i="25" s="1"/>
  <c r="S67" i="19"/>
  <c r="PF67" i="25"/>
  <c r="PG67" i="25" s="1"/>
  <c r="AD67" i="25"/>
  <c r="AE67" i="25"/>
  <c r="AF67" i="25" s="1"/>
  <c r="RF67" i="25"/>
  <c r="RG67" i="25" s="1"/>
  <c r="SF58" i="25"/>
  <c r="SG58" i="25" s="1"/>
  <c r="QF58" i="25"/>
  <c r="QG58" i="25" s="1"/>
  <c r="QF66" i="25"/>
  <c r="QG66" i="25" s="1"/>
  <c r="QU66" i="25" s="1"/>
  <c r="CR66" i="25" s="1"/>
  <c r="SF66" i="25"/>
  <c r="SG66" i="25" s="1"/>
  <c r="SU66" i="25" s="1"/>
  <c r="CS66" i="25" s="1"/>
  <c r="S68" i="19"/>
  <c r="PF68" i="25"/>
  <c r="PG68" i="25" s="1"/>
  <c r="AD68" i="25"/>
  <c r="AE68" i="25"/>
  <c r="AF68" i="25" s="1"/>
  <c r="RF68" i="25"/>
  <c r="RG68" i="25" s="1"/>
  <c r="QF65" i="25"/>
  <c r="QG65" i="25" s="1"/>
  <c r="QU65" i="25" s="1"/>
  <c r="CR65" i="25" s="1"/>
  <c r="SF65" i="25"/>
  <c r="SG65" i="25" s="1"/>
  <c r="SU65" i="25" s="1"/>
  <c r="CS65" i="25" s="1"/>
  <c r="QF67" i="25"/>
  <c r="SF67" i="25"/>
  <c r="QF62" i="25"/>
  <c r="QG62" i="25" s="1"/>
  <c r="SF62" i="25"/>
  <c r="SG62" i="25" s="1"/>
  <c r="PF58" i="25"/>
  <c r="PG58" i="25" s="1"/>
  <c r="PU58" i="25" s="1"/>
  <c r="AD58" i="25"/>
  <c r="AE58" i="25"/>
  <c r="AF58" i="25" s="1"/>
  <c r="S63" i="19"/>
  <c r="PF63" i="25"/>
  <c r="PG63" i="25" s="1"/>
  <c r="AD63" i="25"/>
  <c r="AE63" i="25"/>
  <c r="AF63" i="25" s="1"/>
  <c r="RF63" i="25"/>
  <c r="RG63" i="25" s="1"/>
  <c r="S66" i="19"/>
  <c r="PF66" i="25"/>
  <c r="PG66" i="25" s="1"/>
  <c r="AD66" i="25"/>
  <c r="AE66" i="25"/>
  <c r="AF66" i="25" s="1"/>
  <c r="RF66" i="25"/>
  <c r="RG66" i="25" s="1"/>
  <c r="PF59" i="25"/>
  <c r="PG59" i="25" s="1"/>
  <c r="PU59" i="25" s="1"/>
  <c r="AD59" i="25"/>
  <c r="AE59" i="25"/>
  <c r="AF59" i="25" s="1"/>
  <c r="QF60" i="25"/>
  <c r="QG60" i="25" s="1"/>
  <c r="SF60" i="25"/>
  <c r="SG60" i="25" s="1"/>
  <c r="S65" i="19"/>
  <c r="PF65" i="25"/>
  <c r="PG65" i="25" s="1"/>
  <c r="AE65" i="25"/>
  <c r="AF65" i="25" s="1"/>
  <c r="AD65" i="25"/>
  <c r="RF65" i="25"/>
  <c r="RG65" i="25" s="1"/>
  <c r="SF64" i="25"/>
  <c r="SG64" i="25" s="1"/>
  <c r="SU64" i="25" s="1"/>
  <c r="CS64" i="25" s="1"/>
  <c r="QF64" i="25"/>
  <c r="QG64" i="25" s="1"/>
  <c r="QU64" i="25" s="1"/>
  <c r="CR64" i="25" s="1"/>
  <c r="PF62" i="25"/>
  <c r="PG62" i="25" s="1"/>
  <c r="AD62" i="25"/>
  <c r="AE62" i="25"/>
  <c r="AF62" i="25" s="1"/>
  <c r="RF62" i="25"/>
  <c r="RG62" i="25" s="1"/>
  <c r="QF68" i="25"/>
  <c r="QG68" i="25" s="1"/>
  <c r="QU68" i="25" s="1"/>
  <c r="CR68" i="25" s="1"/>
  <c r="SF68" i="25"/>
  <c r="SG68" i="25" s="1"/>
  <c r="SU68" i="25" s="1"/>
  <c r="CS68" i="25" s="1"/>
  <c r="SF61" i="25"/>
  <c r="SG61" i="25" s="1"/>
  <c r="QF61" i="25"/>
  <c r="QG61" i="25" s="1"/>
  <c r="QF63" i="25"/>
  <c r="QG63" i="25" s="1"/>
  <c r="QU63" i="25" s="1"/>
  <c r="CR63" i="25" s="1"/>
  <c r="SF63" i="25"/>
  <c r="SG63" i="25" s="1"/>
  <c r="SU63" i="25" s="1"/>
  <c r="CS63" i="25" s="1"/>
  <c r="QF59" i="25"/>
  <c r="QG59" i="25" s="1"/>
  <c r="SF59" i="25"/>
  <c r="SG59" i="25" s="1"/>
  <c r="PF60" i="25"/>
  <c r="PG60" i="25" s="1"/>
  <c r="PU60" i="25" s="1"/>
  <c r="AD60" i="25"/>
  <c r="AE60" i="25"/>
  <c r="AF60" i="25" s="1"/>
  <c r="PF61" i="25"/>
  <c r="PG61" i="25" s="1"/>
  <c r="AD61" i="25"/>
  <c r="AE61" i="25"/>
  <c r="AF61" i="25" s="1"/>
  <c r="RF61" i="25"/>
  <c r="RG61" i="25" s="1"/>
  <c r="HF57" i="25"/>
  <c r="HG57" i="25" s="1"/>
  <c r="HU57" i="25" s="1"/>
  <c r="UF57" i="25"/>
  <c r="JF57" i="25"/>
  <c r="JG57" i="25" s="1"/>
  <c r="JU57" i="25" s="1"/>
  <c r="LF57" i="25"/>
  <c r="LG57" i="25" s="1"/>
  <c r="LU57" i="25" s="1"/>
  <c r="SF56" i="25"/>
  <c r="SG56" i="25" s="1"/>
  <c r="SU56" i="25" s="1"/>
  <c r="QF56" i="25"/>
  <c r="QG56" i="25" s="1"/>
  <c r="QU56" i="25" s="1"/>
  <c r="PF56" i="25"/>
  <c r="PG56" i="25" s="1"/>
  <c r="PU56" i="25" s="1"/>
  <c r="OF56" i="25"/>
  <c r="OG56" i="25" s="1"/>
  <c r="OU56" i="25" s="1"/>
  <c r="CQ56" i="25" s="1"/>
  <c r="AD56" i="25"/>
  <c r="MF56" i="25"/>
  <c r="MG56" i="25" s="1"/>
  <c r="MU56" i="25" s="1"/>
  <c r="CP56" i="25" s="1"/>
  <c r="CN56" i="25"/>
  <c r="AE56" i="25"/>
  <c r="AF56" i="25" s="1"/>
  <c r="QF57" i="25"/>
  <c r="QG57" i="25" s="1"/>
  <c r="QU57" i="25" s="1"/>
  <c r="SF57" i="25"/>
  <c r="SG57" i="25" s="1"/>
  <c r="SU57" i="25" s="1"/>
  <c r="PF57" i="25"/>
  <c r="PG57" i="25" s="1"/>
  <c r="PU57" i="25" s="1"/>
  <c r="MF57" i="25"/>
  <c r="MG57" i="25" s="1"/>
  <c r="MU57" i="25" s="1"/>
  <c r="CP57" i="25" s="1"/>
  <c r="AD57" i="25"/>
  <c r="CN57" i="25"/>
  <c r="OF57" i="25"/>
  <c r="OG57" i="25" s="1"/>
  <c r="OU57" i="25" s="1"/>
  <c r="CQ57" i="25" s="1"/>
  <c r="AE57" i="25"/>
  <c r="AF57" i="25" s="1"/>
  <c r="CT44" i="19"/>
  <c r="AX44" i="19"/>
  <c r="DF44" i="19"/>
  <c r="BJ44" i="19"/>
  <c r="DR44" i="19"/>
  <c r="CH44" i="19"/>
  <c r="EC44" i="19"/>
  <c r="AO44" i="19"/>
  <c r="BV44" i="19"/>
  <c r="DF25" i="19"/>
  <c r="BJ25" i="19"/>
  <c r="DR25" i="19"/>
  <c r="BV25" i="19"/>
  <c r="CH25" i="19"/>
  <c r="EC25" i="19"/>
  <c r="AO25" i="19"/>
  <c r="CT25" i="19"/>
  <c r="AX25" i="19"/>
  <c r="CT32" i="19"/>
  <c r="AX32" i="19"/>
  <c r="DF32" i="19"/>
  <c r="BJ32" i="19"/>
  <c r="BV32" i="19"/>
  <c r="EC32" i="19"/>
  <c r="CH32" i="19"/>
  <c r="DR32" i="19"/>
  <c r="AO32" i="19"/>
  <c r="DR42" i="19"/>
  <c r="BV42" i="19"/>
  <c r="EC42" i="19"/>
  <c r="CH42" i="19"/>
  <c r="AO42" i="19"/>
  <c r="CT42" i="19"/>
  <c r="BJ42" i="19"/>
  <c r="DF42" i="19"/>
  <c r="AX42" i="19"/>
  <c r="DR50" i="19"/>
  <c r="BV50" i="19"/>
  <c r="EC50" i="19"/>
  <c r="CH50" i="19"/>
  <c r="AO50" i="19"/>
  <c r="CT50" i="19"/>
  <c r="AX50" i="19"/>
  <c r="DF50" i="19"/>
  <c r="BJ50" i="19"/>
  <c r="DF21" i="19"/>
  <c r="BJ21" i="19"/>
  <c r="DR21" i="19"/>
  <c r="BV21" i="19"/>
  <c r="EC21" i="19"/>
  <c r="AO21" i="19"/>
  <c r="CT21" i="19"/>
  <c r="AX21" i="19"/>
  <c r="CH21" i="19"/>
  <c r="EC31" i="19"/>
  <c r="CH31" i="19"/>
  <c r="AO31" i="19"/>
  <c r="CT31" i="19"/>
  <c r="AX31" i="19"/>
  <c r="BJ31" i="19"/>
  <c r="DF31" i="19"/>
  <c r="BV31" i="19"/>
  <c r="DR31" i="19"/>
  <c r="DR54" i="19"/>
  <c r="BV54" i="19"/>
  <c r="EC54" i="19"/>
  <c r="CH54" i="19"/>
  <c r="AO54" i="19"/>
  <c r="AX54" i="19"/>
  <c r="CT54" i="19"/>
  <c r="BJ54" i="19"/>
  <c r="DF54" i="19"/>
  <c r="CT20" i="19"/>
  <c r="AX20" i="19"/>
  <c r="DF20" i="19"/>
  <c r="BJ20" i="19"/>
  <c r="DR20" i="19"/>
  <c r="BV20" i="19"/>
  <c r="EC20" i="19"/>
  <c r="AO20" i="19"/>
  <c r="CH20" i="19"/>
  <c r="EC35" i="19"/>
  <c r="CH35" i="19"/>
  <c r="AO35" i="19"/>
  <c r="CT35" i="19"/>
  <c r="AX35" i="19"/>
  <c r="DF35" i="19"/>
  <c r="BV35" i="19"/>
  <c r="DR35" i="19"/>
  <c r="BJ35" i="19"/>
  <c r="DF29" i="19"/>
  <c r="BJ29" i="19"/>
  <c r="DR29" i="19"/>
  <c r="BV29" i="19"/>
  <c r="EC29" i="19"/>
  <c r="AO29" i="19"/>
  <c r="CH29" i="19"/>
  <c r="AX29" i="19"/>
  <c r="CT29" i="19"/>
  <c r="CT52" i="19"/>
  <c r="AX52" i="19"/>
  <c r="DF52" i="19"/>
  <c r="BJ52" i="19"/>
  <c r="DR52" i="19"/>
  <c r="BV52" i="19"/>
  <c r="EC52" i="19"/>
  <c r="AO52" i="19"/>
  <c r="CH52" i="19"/>
  <c r="EC51" i="19"/>
  <c r="CH51" i="19"/>
  <c r="AO51" i="19"/>
  <c r="CT51" i="19"/>
  <c r="AX51" i="19"/>
  <c r="DF51" i="19"/>
  <c r="BV51" i="19"/>
  <c r="DR51" i="19"/>
  <c r="BJ51" i="19"/>
  <c r="CT24" i="19"/>
  <c r="AX24" i="19"/>
  <c r="DF24" i="19"/>
  <c r="BJ24" i="19"/>
  <c r="BV24" i="19"/>
  <c r="DR24" i="19"/>
  <c r="EC24" i="19"/>
  <c r="AO24" i="19"/>
  <c r="CH24" i="19"/>
  <c r="DR46" i="19"/>
  <c r="BV46" i="19"/>
  <c r="EC46" i="19"/>
  <c r="CH46" i="19"/>
  <c r="AO46" i="19"/>
  <c r="AX46" i="19"/>
  <c r="DF46" i="19"/>
  <c r="BJ46" i="19"/>
  <c r="CT46" i="19"/>
  <c r="DF37" i="19"/>
  <c r="BJ37" i="19"/>
  <c r="DR37" i="19"/>
  <c r="BV37" i="19"/>
  <c r="EC37" i="19"/>
  <c r="AO37" i="19"/>
  <c r="CT37" i="19"/>
  <c r="AX37" i="19"/>
  <c r="CH37" i="19"/>
  <c r="DR26" i="19"/>
  <c r="BV26" i="19"/>
  <c r="EC26" i="19"/>
  <c r="CH26" i="19"/>
  <c r="AO26" i="19"/>
  <c r="CT26" i="19"/>
  <c r="BJ26" i="19"/>
  <c r="DF26" i="19"/>
  <c r="AX26" i="19"/>
  <c r="EC23" i="19"/>
  <c r="CH23" i="19"/>
  <c r="AO23" i="19"/>
  <c r="CT23" i="19"/>
  <c r="AX23" i="19"/>
  <c r="BJ23" i="19"/>
  <c r="DR23" i="19"/>
  <c r="BV23" i="19"/>
  <c r="DF23" i="19"/>
  <c r="CT28" i="19"/>
  <c r="AX28" i="19"/>
  <c r="DF28" i="19"/>
  <c r="BJ28" i="19"/>
  <c r="DR28" i="19"/>
  <c r="CH28" i="19"/>
  <c r="EC28" i="19"/>
  <c r="AO28" i="19"/>
  <c r="BV28" i="19"/>
  <c r="DR38" i="19"/>
  <c r="BV38" i="19"/>
  <c r="EC38" i="19"/>
  <c r="CH38" i="19"/>
  <c r="AO38" i="19"/>
  <c r="AX38" i="19"/>
  <c r="CT38" i="19"/>
  <c r="BJ38" i="19"/>
  <c r="DF38" i="19"/>
  <c r="DR22" i="19"/>
  <c r="BV22" i="19"/>
  <c r="EC22" i="19"/>
  <c r="CH22" i="19"/>
  <c r="AO22" i="19"/>
  <c r="AX22" i="19"/>
  <c r="CT22" i="19"/>
  <c r="BJ22" i="19"/>
  <c r="DF22" i="19"/>
  <c r="EC27" i="19"/>
  <c r="CH27" i="19"/>
  <c r="AO27" i="19"/>
  <c r="CT27" i="19"/>
  <c r="AX27" i="19"/>
  <c r="DF27" i="19"/>
  <c r="BJ27" i="19"/>
  <c r="DR27" i="19"/>
  <c r="BV27" i="19"/>
  <c r="EC43" i="19"/>
  <c r="CH43" i="19"/>
  <c r="AO43" i="19"/>
  <c r="CT43" i="19"/>
  <c r="AX43" i="19"/>
  <c r="DF43" i="19"/>
  <c r="BJ43" i="19"/>
  <c r="DR43" i="19"/>
  <c r="BV43" i="19"/>
  <c r="DF53" i="19"/>
  <c r="BJ53" i="19"/>
  <c r="DR53" i="19"/>
  <c r="BV53" i="19"/>
  <c r="EC53" i="19"/>
  <c r="AO53" i="19"/>
  <c r="CT53" i="19"/>
  <c r="AX53" i="19"/>
  <c r="CH53" i="19"/>
  <c r="EC47" i="19"/>
  <c r="CH47" i="19"/>
  <c r="AO47" i="19"/>
  <c r="CT47" i="19"/>
  <c r="AX47" i="19"/>
  <c r="BJ47" i="19"/>
  <c r="DF47" i="19"/>
  <c r="BV47" i="19"/>
  <c r="DR47" i="19"/>
  <c r="EC55" i="19"/>
  <c r="CH55" i="19"/>
  <c r="AO55" i="19"/>
  <c r="CT55" i="19"/>
  <c r="AX55" i="19"/>
  <c r="BJ55" i="19"/>
  <c r="DR55" i="19"/>
  <c r="BV55" i="19"/>
  <c r="DF55" i="19"/>
  <c r="DF41" i="19"/>
  <c r="BJ41" i="19"/>
  <c r="DR41" i="19"/>
  <c r="BV41" i="19"/>
  <c r="CH41" i="19"/>
  <c r="AO41" i="19"/>
  <c r="CT41" i="19"/>
  <c r="EC41" i="19"/>
  <c r="AX41" i="19"/>
  <c r="DF49" i="19"/>
  <c r="BJ49" i="19"/>
  <c r="DR49" i="19"/>
  <c r="BV49" i="19"/>
  <c r="CH49" i="19"/>
  <c r="EC49" i="19"/>
  <c r="AX49" i="19"/>
  <c r="CT49" i="19"/>
  <c r="AO49" i="19"/>
  <c r="DF45" i="19"/>
  <c r="BJ45" i="19"/>
  <c r="DR45" i="19"/>
  <c r="BV45" i="19"/>
  <c r="EC45" i="19"/>
  <c r="AO45" i="19"/>
  <c r="CH45" i="19"/>
  <c r="AX45" i="19"/>
  <c r="CT45" i="19"/>
  <c r="CT48" i="19"/>
  <c r="AX48" i="19"/>
  <c r="DF48" i="19"/>
  <c r="BJ48" i="19"/>
  <c r="BV48" i="19"/>
  <c r="EC48" i="19"/>
  <c r="CH48" i="19"/>
  <c r="DR48" i="19"/>
  <c r="AO48" i="19"/>
  <c r="EC39" i="19"/>
  <c r="CH39" i="19"/>
  <c r="AO39" i="19"/>
  <c r="CT39" i="19"/>
  <c r="AX39" i="19"/>
  <c r="BJ39" i="19"/>
  <c r="DR39" i="19"/>
  <c r="BV39" i="19"/>
  <c r="DF39" i="19"/>
  <c r="DF33" i="19"/>
  <c r="BJ33" i="19"/>
  <c r="DR33" i="19"/>
  <c r="BV33" i="19"/>
  <c r="CH33" i="19"/>
  <c r="EC33" i="19"/>
  <c r="AX33" i="19"/>
  <c r="CT33" i="19"/>
  <c r="AO33" i="19"/>
  <c r="CT36" i="19"/>
  <c r="AX36" i="19"/>
  <c r="DF36" i="19"/>
  <c r="BJ36" i="19"/>
  <c r="DR36" i="19"/>
  <c r="BV36" i="19"/>
  <c r="EC36" i="19"/>
  <c r="AO36" i="19"/>
  <c r="CH36" i="19"/>
  <c r="DR30" i="19"/>
  <c r="BV30" i="19"/>
  <c r="EC30" i="19"/>
  <c r="CH30" i="19"/>
  <c r="AO30" i="19"/>
  <c r="AX30" i="19"/>
  <c r="DF30" i="19"/>
  <c r="BJ30" i="19"/>
  <c r="CT30" i="19"/>
  <c r="CT40" i="19"/>
  <c r="AX40" i="19"/>
  <c r="DF40" i="19"/>
  <c r="BJ40" i="19"/>
  <c r="BV40" i="19"/>
  <c r="DR40" i="19"/>
  <c r="AO40" i="19"/>
  <c r="CH40" i="19"/>
  <c r="EC40" i="19"/>
  <c r="DR34" i="19"/>
  <c r="BV34" i="19"/>
  <c r="EC34" i="19"/>
  <c r="CH34" i="19"/>
  <c r="AO34" i="19"/>
  <c r="CT34" i="19"/>
  <c r="AX34" i="19"/>
  <c r="DF34" i="19"/>
  <c r="BJ34" i="19"/>
  <c r="CK82" i="25"/>
  <c r="CK90" i="25"/>
  <c r="CK95" i="25"/>
  <c r="CU96" i="25"/>
  <c r="CK75" i="25"/>
  <c r="CK72" i="25"/>
  <c r="CK81" i="25"/>
  <c r="CK85" i="25"/>
  <c r="CK91" i="25"/>
  <c r="CU75" i="25"/>
  <c r="CK86" i="25"/>
  <c r="CK73" i="25"/>
  <c r="CK87" i="25"/>
  <c r="CU81" i="25"/>
  <c r="CU78" i="25"/>
  <c r="CU74" i="25"/>
  <c r="CU91" i="25"/>
  <c r="CK77" i="25"/>
  <c r="CU95" i="25"/>
  <c r="CU77" i="25"/>
  <c r="CU83" i="25"/>
  <c r="CU88" i="25"/>
  <c r="CU90" i="25"/>
  <c r="CU76" i="25"/>
  <c r="CU85" i="25"/>
  <c r="CU87" i="25"/>
  <c r="CK74" i="25"/>
  <c r="CK78" i="25"/>
  <c r="CU94" i="25"/>
  <c r="CU82" i="25"/>
  <c r="CU79" i="25"/>
  <c r="CK88" i="25"/>
  <c r="CK84" i="25"/>
  <c r="CK94" i="25"/>
  <c r="CK89" i="25"/>
  <c r="CK92" i="25"/>
  <c r="CU73" i="25"/>
  <c r="CU86" i="25"/>
  <c r="CU89" i="25"/>
  <c r="CU80" i="25"/>
  <c r="CU92" i="25"/>
  <c r="CK96" i="25"/>
  <c r="CU97" i="25"/>
  <c r="CK100" i="25"/>
  <c r="CU100" i="25"/>
  <c r="CK103" i="25"/>
  <c r="CU102" i="25"/>
  <c r="CK101" i="25"/>
  <c r="CU98" i="25"/>
  <c r="CU103" i="25"/>
  <c r="CK102" i="25"/>
  <c r="CU101" i="25"/>
  <c r="CK97" i="25"/>
  <c r="CU99" i="25"/>
  <c r="CK98" i="25"/>
  <c r="CK99" i="25"/>
  <c r="CN59" i="25"/>
  <c r="CX59" i="25"/>
  <c r="CN60" i="25"/>
  <c r="CX60" i="25"/>
  <c r="CX56" i="25"/>
  <c r="CN58" i="25"/>
  <c r="CY58" i="25"/>
  <c r="CO58" i="25"/>
  <c r="CQ58" i="25"/>
  <c r="DA58" i="25"/>
  <c r="CO59" i="25"/>
  <c r="CY59" i="25"/>
  <c r="CQ59" i="25"/>
  <c r="DA59" i="25"/>
  <c r="CP60" i="25"/>
  <c r="CZ60" i="25"/>
  <c r="CX57" i="25"/>
  <c r="CP59" i="25"/>
  <c r="CZ59" i="25"/>
  <c r="CQ60" i="25"/>
  <c r="DA60" i="25"/>
  <c r="CO60" i="25"/>
  <c r="CY60" i="25"/>
  <c r="CO56" i="25"/>
  <c r="CY56" i="25"/>
  <c r="CY57" i="25"/>
  <c r="CO57" i="25"/>
  <c r="CP58" i="25"/>
  <c r="CZ58" i="25"/>
  <c r="AF41" i="19"/>
  <c r="AF28" i="19"/>
  <c r="AF38" i="19"/>
  <c r="AF22" i="19"/>
  <c r="AF27" i="19"/>
  <c r="AF36" i="19"/>
  <c r="AF43" i="19"/>
  <c r="AF30" i="19"/>
  <c r="AF44" i="19"/>
  <c r="AF35" i="19"/>
  <c r="AF25" i="19"/>
  <c r="AF29" i="19"/>
  <c r="AF32" i="19"/>
  <c r="AF42" i="19"/>
  <c r="AF24" i="19"/>
  <c r="AF37" i="19"/>
  <c r="AF26" i="19"/>
  <c r="AF31" i="19"/>
  <c r="AF23" i="19"/>
  <c r="AF40" i="19"/>
  <c r="AF20" i="19"/>
  <c r="AF21" i="19"/>
  <c r="AF39" i="19"/>
  <c r="AF33" i="19"/>
  <c r="AF34" i="19"/>
  <c r="R41" i="25"/>
  <c r="R28" i="25"/>
  <c r="R38" i="25"/>
  <c r="R27" i="25"/>
  <c r="R33" i="25"/>
  <c r="R30" i="25"/>
  <c r="R40" i="25"/>
  <c r="R44" i="25"/>
  <c r="R35" i="25"/>
  <c r="R42" i="25"/>
  <c r="R51" i="25"/>
  <c r="R37" i="25"/>
  <c r="R26" i="25"/>
  <c r="R31" i="25"/>
  <c r="R22" i="25"/>
  <c r="R20" i="25"/>
  <c r="R21" i="25"/>
  <c r="R23" i="25"/>
  <c r="R54" i="25"/>
  <c r="R53" i="25"/>
  <c r="R24" i="25"/>
  <c r="R25" i="25"/>
  <c r="J41" i="25"/>
  <c r="K41" i="25"/>
  <c r="K28" i="25"/>
  <c r="J28" i="25"/>
  <c r="K38" i="25"/>
  <c r="J38" i="25"/>
  <c r="J45" i="25"/>
  <c r="B45" i="19"/>
  <c r="K45" i="25"/>
  <c r="K22" i="25"/>
  <c r="J22" i="25"/>
  <c r="J39" i="25"/>
  <c r="B39" i="19"/>
  <c r="K39" i="25"/>
  <c r="J27" i="25"/>
  <c r="K27" i="25"/>
  <c r="K36" i="25"/>
  <c r="J36" i="25"/>
  <c r="J43" i="25"/>
  <c r="B43" i="19"/>
  <c r="K43" i="25"/>
  <c r="K30" i="25"/>
  <c r="J30" i="25"/>
  <c r="B45" i="42"/>
  <c r="J53" i="25"/>
  <c r="B53" i="19"/>
  <c r="K53" i="25"/>
  <c r="J40" i="25"/>
  <c r="B40" i="19"/>
  <c r="J47" i="25"/>
  <c r="B47" i="19"/>
  <c r="K47" i="25"/>
  <c r="J55" i="25"/>
  <c r="B55" i="19"/>
  <c r="K55" i="25"/>
  <c r="K20" i="25"/>
  <c r="J20" i="25"/>
  <c r="J25" i="25"/>
  <c r="K25" i="25"/>
  <c r="K52" i="25"/>
  <c r="J52" i="25"/>
  <c r="B52" i="19"/>
  <c r="K50" i="25"/>
  <c r="J50" i="25"/>
  <c r="B50" i="19"/>
  <c r="J23" i="25"/>
  <c r="K23" i="25"/>
  <c r="K44" i="25"/>
  <c r="J44" i="25"/>
  <c r="B44" i="19"/>
  <c r="J35" i="25"/>
  <c r="K35" i="25"/>
  <c r="J29" i="25"/>
  <c r="K29" i="25"/>
  <c r="K32" i="25"/>
  <c r="J32" i="25"/>
  <c r="K42" i="25"/>
  <c r="J42" i="25"/>
  <c r="B42" i="19"/>
  <c r="J51" i="25"/>
  <c r="B51" i="19"/>
  <c r="K51" i="25"/>
  <c r="K24" i="25"/>
  <c r="J24" i="25"/>
  <c r="B39" i="42"/>
  <c r="K46" i="25"/>
  <c r="J46" i="25"/>
  <c r="B46" i="19"/>
  <c r="J21" i="25"/>
  <c r="K21" i="25"/>
  <c r="J37" i="25"/>
  <c r="K37" i="25"/>
  <c r="K26" i="25"/>
  <c r="J26" i="25"/>
  <c r="J31" i="25"/>
  <c r="K31" i="25"/>
  <c r="K54" i="25"/>
  <c r="J54" i="25"/>
  <c r="B54" i="19"/>
  <c r="J49" i="25"/>
  <c r="B49" i="19"/>
  <c r="K49" i="25"/>
  <c r="K48" i="25"/>
  <c r="J48" i="25"/>
  <c r="B48" i="19"/>
  <c r="J33" i="25"/>
  <c r="K33" i="25"/>
  <c r="K34" i="25"/>
  <c r="J34" i="25"/>
  <c r="R45" i="25"/>
  <c r="R32" i="25"/>
  <c r="R29" i="25"/>
  <c r="R52" i="25"/>
  <c r="R50" i="25"/>
  <c r="R46" i="25"/>
  <c r="R49" i="25"/>
  <c r="R48" i="25"/>
  <c r="R39" i="25"/>
  <c r="R36" i="25"/>
  <c r="R34" i="25"/>
  <c r="R55" i="25"/>
  <c r="R43" i="25"/>
  <c r="R47" i="25"/>
  <c r="K40" i="25"/>
  <c r="MU70" i="25" l="1"/>
  <c r="CP70" i="25" s="1"/>
  <c r="CZ70" i="25"/>
  <c r="MU71" i="25"/>
  <c r="CP71" i="25" s="1"/>
  <c r="CZ71" i="25"/>
  <c r="MU62" i="25"/>
  <c r="CP62" i="25" s="1"/>
  <c r="CZ62" i="25"/>
  <c r="MU61" i="25"/>
  <c r="CP61" i="25" s="1"/>
  <c r="CZ61" i="25"/>
  <c r="CX58" i="25"/>
  <c r="MU64" i="25"/>
  <c r="CP64" i="25" s="1"/>
  <c r="CZ64" i="25"/>
  <c r="MU66" i="25"/>
  <c r="CP66" i="25" s="1"/>
  <c r="CZ66" i="25"/>
  <c r="MU68" i="25"/>
  <c r="CP68" i="25" s="1"/>
  <c r="CZ68" i="25"/>
  <c r="MU63" i="25"/>
  <c r="CP63" i="25" s="1"/>
  <c r="CZ63" i="25"/>
  <c r="MU67" i="25"/>
  <c r="CP67" i="25" s="1"/>
  <c r="CZ67" i="25"/>
  <c r="MU69" i="25"/>
  <c r="CP69" i="25" s="1"/>
  <c r="CZ69" i="25"/>
  <c r="MU65" i="25"/>
  <c r="CP65" i="25" s="1"/>
  <c r="CZ65" i="25"/>
  <c r="IU67" i="25"/>
  <c r="CN67" i="25" s="1"/>
  <c r="CK67" i="25" s="1"/>
  <c r="CX67" i="25"/>
  <c r="IU65" i="25"/>
  <c r="CN65" i="25" s="1"/>
  <c r="CK65" i="25" s="1"/>
  <c r="CX65" i="25"/>
  <c r="IU62" i="25"/>
  <c r="CN62" i="25" s="1"/>
  <c r="CX62" i="25"/>
  <c r="IU70" i="25"/>
  <c r="CN70" i="25" s="1"/>
  <c r="CK70" i="25" s="1"/>
  <c r="CX70" i="25"/>
  <c r="IU71" i="25"/>
  <c r="CN71" i="25" s="1"/>
  <c r="CK71" i="25" s="1"/>
  <c r="CX71" i="25"/>
  <c r="IU66" i="25"/>
  <c r="CN66" i="25" s="1"/>
  <c r="CK66" i="25" s="1"/>
  <c r="CX66" i="25"/>
  <c r="IU64" i="25"/>
  <c r="CN64" i="25" s="1"/>
  <c r="CK64" i="25" s="1"/>
  <c r="CX64" i="25"/>
  <c r="IU61" i="25"/>
  <c r="CN61" i="25" s="1"/>
  <c r="CX61" i="25"/>
  <c r="IU68" i="25"/>
  <c r="CN68" i="25" s="1"/>
  <c r="CK68" i="25" s="1"/>
  <c r="CX68" i="25"/>
  <c r="IU63" i="25"/>
  <c r="CN63" i="25" s="1"/>
  <c r="CK63" i="25" s="1"/>
  <c r="CX63" i="25"/>
  <c r="IU69" i="25"/>
  <c r="CN69" i="25" s="1"/>
  <c r="CK69" i="25" s="1"/>
  <c r="CX69" i="25"/>
  <c r="DC69" i="25"/>
  <c r="RU69" i="25"/>
  <c r="DC70" i="25"/>
  <c r="RU70" i="25"/>
  <c r="DB69" i="25"/>
  <c r="PU69" i="25"/>
  <c r="DC71" i="25"/>
  <c r="RU71" i="25"/>
  <c r="DB70" i="25"/>
  <c r="PU70" i="25"/>
  <c r="DB71" i="25"/>
  <c r="PU71" i="25"/>
  <c r="DC60" i="25"/>
  <c r="SU60" i="25"/>
  <c r="CS60" i="25" s="1"/>
  <c r="SU62" i="25"/>
  <c r="CS62" i="25" s="1"/>
  <c r="DC62" i="25"/>
  <c r="QU58" i="25"/>
  <c r="CR58" i="25" s="1"/>
  <c r="DB58" i="25"/>
  <c r="QU59" i="25"/>
  <c r="CR59" i="25" s="1"/>
  <c r="DB59" i="25"/>
  <c r="SU61" i="25"/>
  <c r="CS61" i="25" s="1"/>
  <c r="DC61" i="25"/>
  <c r="SU59" i="25"/>
  <c r="CS59" i="25" s="1"/>
  <c r="DC59" i="25"/>
  <c r="QU61" i="25"/>
  <c r="CR61" i="25" s="1"/>
  <c r="DB61" i="25"/>
  <c r="CU61" i="25" s="1"/>
  <c r="DA56" i="25"/>
  <c r="DA57" i="25"/>
  <c r="QU60" i="25"/>
  <c r="CR60" i="25" s="1"/>
  <c r="DB60" i="25"/>
  <c r="QU62" i="25"/>
  <c r="CR62" i="25" s="1"/>
  <c r="DB62" i="25"/>
  <c r="CU62" i="25" s="1"/>
  <c r="SU58" i="25"/>
  <c r="CS58" i="25" s="1"/>
  <c r="DC58" i="25"/>
  <c r="RU61" i="25"/>
  <c r="DC64" i="25"/>
  <c r="RU64" i="25"/>
  <c r="PU61" i="25"/>
  <c r="DC65" i="25"/>
  <c r="RU65" i="25"/>
  <c r="DC63" i="25"/>
  <c r="RU63" i="25"/>
  <c r="DC67" i="25"/>
  <c r="RU67" i="25"/>
  <c r="DB64" i="25"/>
  <c r="CU64" i="25" s="1"/>
  <c r="PU64" i="25"/>
  <c r="RU62" i="25"/>
  <c r="DB65" i="25"/>
  <c r="PU65" i="25"/>
  <c r="DC66" i="25"/>
  <c r="RU66" i="25"/>
  <c r="DB63" i="25"/>
  <c r="PU63" i="25"/>
  <c r="DC68" i="25"/>
  <c r="RU68" i="25"/>
  <c r="DB67" i="25"/>
  <c r="PU67" i="25"/>
  <c r="PU62" i="25"/>
  <c r="DB66" i="25"/>
  <c r="PU66" i="25"/>
  <c r="DB68" i="25"/>
  <c r="PU68" i="25"/>
  <c r="C39" i="42"/>
  <c r="CS57" i="25"/>
  <c r="DC57" i="25"/>
  <c r="CR56" i="25"/>
  <c r="DB56" i="25"/>
  <c r="CS56" i="25"/>
  <c r="DC56" i="25"/>
  <c r="CZ56" i="25"/>
  <c r="CZ57" i="25"/>
  <c r="CR57" i="25"/>
  <c r="DB57" i="25"/>
  <c r="I41" i="25"/>
  <c r="S41" i="25" s="1"/>
  <c r="B41" i="19"/>
  <c r="B34" i="19"/>
  <c r="B49" i="42"/>
  <c r="B33" i="19"/>
  <c r="B48" i="42"/>
  <c r="N48" i="42" s="1"/>
  <c r="B31" i="19"/>
  <c r="B46" i="42"/>
  <c r="B32" i="19"/>
  <c r="B47" i="42"/>
  <c r="N47" i="42" s="1"/>
  <c r="AI47" i="42" s="1"/>
  <c r="AJ47" i="42" s="1"/>
  <c r="B51" i="42"/>
  <c r="B36" i="19"/>
  <c r="B52" i="42"/>
  <c r="G52" i="42" s="1"/>
  <c r="B37" i="19"/>
  <c r="B50" i="42"/>
  <c r="N50" i="42" s="1"/>
  <c r="B35" i="19"/>
  <c r="B53" i="42"/>
  <c r="D53" i="42" s="1"/>
  <c r="B38" i="19"/>
  <c r="C45" i="42"/>
  <c r="B29" i="19"/>
  <c r="B44" i="42"/>
  <c r="B26" i="19"/>
  <c r="B41" i="42"/>
  <c r="B28" i="19"/>
  <c r="B43" i="42"/>
  <c r="B21" i="19"/>
  <c r="B36" i="42"/>
  <c r="B25" i="19"/>
  <c r="B40" i="42"/>
  <c r="B22" i="19"/>
  <c r="B37" i="42"/>
  <c r="B23" i="19"/>
  <c r="B38" i="42"/>
  <c r="B27" i="19"/>
  <c r="B42" i="42"/>
  <c r="B20" i="19"/>
  <c r="B35" i="42"/>
  <c r="C35" i="42" s="1"/>
  <c r="I30" i="25"/>
  <c r="B30" i="19"/>
  <c r="I24" i="25"/>
  <c r="B24" i="19"/>
  <c r="B61" i="42"/>
  <c r="B70" i="42"/>
  <c r="B54" i="42"/>
  <c r="T54" i="42" s="1"/>
  <c r="B63" i="42"/>
  <c r="B64" i="42"/>
  <c r="B66" i="42"/>
  <c r="B65" i="42"/>
  <c r="B62" i="42"/>
  <c r="G62" i="42" s="1"/>
  <c r="B58" i="42"/>
  <c r="G58" i="42" s="1"/>
  <c r="B56" i="42"/>
  <c r="B67" i="42"/>
  <c r="B60" i="42"/>
  <c r="L60" i="42" s="1"/>
  <c r="L48" i="42"/>
  <c r="B69" i="42"/>
  <c r="B57" i="42"/>
  <c r="G57" i="42" s="1"/>
  <c r="B59" i="42"/>
  <c r="D59" i="42" s="1"/>
  <c r="B55" i="42"/>
  <c r="B68" i="42"/>
  <c r="TB52" i="25"/>
  <c r="TE52" i="25" s="1"/>
  <c r="UB52" i="25"/>
  <c r="UB50" i="25"/>
  <c r="TB50" i="25"/>
  <c r="TE50" i="25" s="1"/>
  <c r="TB45" i="25"/>
  <c r="TE45" i="25" s="1"/>
  <c r="UB45" i="25"/>
  <c r="UB42" i="25"/>
  <c r="UT42" i="25" s="1"/>
  <c r="TB42" i="25"/>
  <c r="TE42" i="25" s="1"/>
  <c r="TB44" i="25"/>
  <c r="TE44" i="25" s="1"/>
  <c r="UB44" i="25"/>
  <c r="UB39" i="25"/>
  <c r="UT39" i="25" s="1"/>
  <c r="TB39" i="25"/>
  <c r="TE39" i="25" s="1"/>
  <c r="UB47" i="25"/>
  <c r="TB47" i="25"/>
  <c r="TE47" i="25" s="1"/>
  <c r="TB53" i="25"/>
  <c r="TE53" i="25" s="1"/>
  <c r="UB53" i="25"/>
  <c r="UB46" i="25"/>
  <c r="TB46" i="25"/>
  <c r="TE46" i="25" s="1"/>
  <c r="TB40" i="25"/>
  <c r="TE40" i="25" s="1"/>
  <c r="UB40" i="25"/>
  <c r="TB43" i="25"/>
  <c r="TE43" i="25" s="1"/>
  <c r="UB43" i="25"/>
  <c r="TB51" i="25"/>
  <c r="TE51" i="25" s="1"/>
  <c r="UB51" i="25"/>
  <c r="TB48" i="25"/>
  <c r="TE48" i="25" s="1"/>
  <c r="UB48" i="25"/>
  <c r="UB49" i="25"/>
  <c r="UE49" i="25" s="1"/>
  <c r="TB49" i="25"/>
  <c r="TE49" i="25" s="1"/>
  <c r="UB41" i="25"/>
  <c r="TB41" i="25"/>
  <c r="TE41" i="25" s="1"/>
  <c r="UB55" i="25"/>
  <c r="TB55" i="25"/>
  <c r="TE55" i="25" s="1"/>
  <c r="UB54" i="25"/>
  <c r="UT54" i="25" s="1"/>
  <c r="TB54" i="25"/>
  <c r="TE54" i="25" s="1"/>
  <c r="TB34" i="25"/>
  <c r="TE34" i="25" s="1"/>
  <c r="UB34" i="25"/>
  <c r="UB36" i="25"/>
  <c r="TB36" i="25"/>
  <c r="TE36" i="25" s="1"/>
  <c r="UB32" i="25"/>
  <c r="TB32" i="25"/>
  <c r="TE32" i="25" s="1"/>
  <c r="TB37" i="25"/>
  <c r="TE37" i="25" s="1"/>
  <c r="UB37" i="25"/>
  <c r="TB30" i="25"/>
  <c r="TE30" i="25" s="1"/>
  <c r="UB30" i="25"/>
  <c r="TB33" i="25"/>
  <c r="TE33" i="25" s="1"/>
  <c r="UB33" i="25"/>
  <c r="TB29" i="25"/>
  <c r="TE29" i="25" s="1"/>
  <c r="UB29" i="25"/>
  <c r="TB25" i="25"/>
  <c r="TE25" i="25" s="1"/>
  <c r="UB25" i="25"/>
  <c r="UB31" i="25"/>
  <c r="UE31" i="25" s="1"/>
  <c r="TB31" i="25"/>
  <c r="TE31" i="25" s="1"/>
  <c r="TB26" i="25"/>
  <c r="TE26" i="25" s="1"/>
  <c r="UB26" i="25"/>
  <c r="TB21" i="25"/>
  <c r="TE21" i="25" s="1"/>
  <c r="UB21" i="25"/>
  <c r="TB22" i="25"/>
  <c r="TE22" i="25" s="1"/>
  <c r="UB22" i="25"/>
  <c r="TB38" i="25"/>
  <c r="TE38" i="25" s="1"/>
  <c r="UB38" i="25"/>
  <c r="UB28" i="25"/>
  <c r="TB28" i="25"/>
  <c r="TE28" i="25" s="1"/>
  <c r="UB35" i="25"/>
  <c r="UE35" i="25" s="1"/>
  <c r="TB35" i="25"/>
  <c r="TE35" i="25" s="1"/>
  <c r="UB20" i="25"/>
  <c r="TB20" i="25"/>
  <c r="TE20" i="25" s="1"/>
  <c r="UB23" i="25"/>
  <c r="UE23" i="25" s="1"/>
  <c r="TB23" i="25"/>
  <c r="TE23" i="25" s="1"/>
  <c r="UB24" i="25"/>
  <c r="TB24" i="25"/>
  <c r="TE24" i="25" s="1"/>
  <c r="UB27" i="25"/>
  <c r="TB27" i="25"/>
  <c r="TE27" i="25" s="1"/>
  <c r="SB34" i="25"/>
  <c r="OB34" i="25"/>
  <c r="KB34" i="25"/>
  <c r="GB34" i="25"/>
  <c r="RB34" i="25"/>
  <c r="QB34" i="25"/>
  <c r="MB34" i="25"/>
  <c r="IB34" i="25"/>
  <c r="EB34" i="25"/>
  <c r="PB34" i="25"/>
  <c r="NB34" i="25"/>
  <c r="HB34" i="25"/>
  <c r="DE34" i="25"/>
  <c r="JB34" i="25"/>
  <c r="FB34" i="25"/>
  <c r="LB34" i="25"/>
  <c r="QB40" i="25"/>
  <c r="MB40" i="25"/>
  <c r="IB40" i="25"/>
  <c r="EB40" i="25"/>
  <c r="PB40" i="25"/>
  <c r="SB40" i="25"/>
  <c r="OB40" i="25"/>
  <c r="KB40" i="25"/>
  <c r="GB40" i="25"/>
  <c r="RB40" i="25"/>
  <c r="JB40" i="25"/>
  <c r="FB40" i="25"/>
  <c r="LB40" i="25"/>
  <c r="NB40" i="25"/>
  <c r="HB40" i="25"/>
  <c r="DE40" i="25"/>
  <c r="QB36" i="25"/>
  <c r="MB36" i="25"/>
  <c r="IB36" i="25"/>
  <c r="EB36" i="25"/>
  <c r="PB36" i="25"/>
  <c r="SB36" i="25"/>
  <c r="OB36" i="25"/>
  <c r="KB36" i="25"/>
  <c r="GB36" i="25"/>
  <c r="RB36" i="25"/>
  <c r="JB36" i="25"/>
  <c r="FB36" i="25"/>
  <c r="LB36" i="25"/>
  <c r="NB36" i="25"/>
  <c r="HB36" i="25"/>
  <c r="DE36" i="25"/>
  <c r="QB32" i="25"/>
  <c r="MB32" i="25"/>
  <c r="IB32" i="25"/>
  <c r="EB32" i="25"/>
  <c r="PB32" i="25"/>
  <c r="SB32" i="25"/>
  <c r="OB32" i="25"/>
  <c r="KB32" i="25"/>
  <c r="GB32" i="25"/>
  <c r="RB32" i="25"/>
  <c r="JB32" i="25"/>
  <c r="FB32" i="25"/>
  <c r="LB32" i="25"/>
  <c r="NB32" i="25"/>
  <c r="HB32" i="25"/>
  <c r="DE32" i="25"/>
  <c r="PB37" i="25"/>
  <c r="SB37" i="25"/>
  <c r="OB37" i="25"/>
  <c r="KB37" i="25"/>
  <c r="GB37" i="25"/>
  <c r="RB37" i="25"/>
  <c r="QB37" i="25"/>
  <c r="MB37" i="25"/>
  <c r="LB37" i="25"/>
  <c r="IB37" i="25"/>
  <c r="NB37" i="25"/>
  <c r="HB37" i="25"/>
  <c r="DE37" i="25"/>
  <c r="EB37" i="25"/>
  <c r="JB37" i="25"/>
  <c r="FB37" i="25"/>
  <c r="QB51" i="25"/>
  <c r="MB51" i="25"/>
  <c r="IB51" i="25"/>
  <c r="EB51" i="25"/>
  <c r="PB51" i="25"/>
  <c r="SB51" i="25"/>
  <c r="OB51" i="25"/>
  <c r="KB51" i="25"/>
  <c r="GB51" i="25"/>
  <c r="RB51" i="25"/>
  <c r="JB51" i="25"/>
  <c r="FB51" i="25"/>
  <c r="LB51" i="25"/>
  <c r="NB51" i="25"/>
  <c r="HB51" i="25"/>
  <c r="DE51" i="25"/>
  <c r="PB53" i="25"/>
  <c r="SB53" i="25"/>
  <c r="OB53" i="25"/>
  <c r="KB53" i="25"/>
  <c r="GB53" i="25"/>
  <c r="RB53" i="25"/>
  <c r="QB53" i="25"/>
  <c r="MB53" i="25"/>
  <c r="LB53" i="25"/>
  <c r="IB53" i="25"/>
  <c r="NB53" i="25"/>
  <c r="HB53" i="25"/>
  <c r="DE53" i="25"/>
  <c r="EB53" i="25"/>
  <c r="JB53" i="25"/>
  <c r="FB53" i="25"/>
  <c r="SB30" i="25"/>
  <c r="OB30" i="25"/>
  <c r="KB30" i="25"/>
  <c r="GB30" i="25"/>
  <c r="RB30" i="25"/>
  <c r="QB30" i="25"/>
  <c r="MB30" i="25"/>
  <c r="IB30" i="25"/>
  <c r="EB30" i="25"/>
  <c r="NB30" i="25"/>
  <c r="HB30" i="25"/>
  <c r="DE30" i="25"/>
  <c r="PB30" i="25"/>
  <c r="JB30" i="25"/>
  <c r="FB30" i="25"/>
  <c r="LB30" i="25"/>
  <c r="QB43" i="25"/>
  <c r="MB43" i="25"/>
  <c r="IB43" i="25"/>
  <c r="EB43" i="25"/>
  <c r="PB43" i="25"/>
  <c r="SB43" i="25"/>
  <c r="OB43" i="25"/>
  <c r="KB43" i="25"/>
  <c r="JB43" i="25"/>
  <c r="FB43" i="25"/>
  <c r="GB43" i="25"/>
  <c r="LB43" i="25"/>
  <c r="RB43" i="25"/>
  <c r="NB43" i="25"/>
  <c r="HB43" i="25"/>
  <c r="DE43" i="25"/>
  <c r="PB33" i="25"/>
  <c r="SB33" i="25"/>
  <c r="OB33" i="25"/>
  <c r="KB33" i="25"/>
  <c r="GB33" i="25"/>
  <c r="RB33" i="25"/>
  <c r="QB33" i="25"/>
  <c r="MB33" i="25"/>
  <c r="LB33" i="25"/>
  <c r="NB33" i="25"/>
  <c r="HB33" i="25"/>
  <c r="DE33" i="25"/>
  <c r="IB33" i="25"/>
  <c r="EB33" i="25"/>
  <c r="JB33" i="25"/>
  <c r="FB33" i="25"/>
  <c r="PB29" i="25"/>
  <c r="SB29" i="25"/>
  <c r="OB29" i="25"/>
  <c r="KB29" i="25"/>
  <c r="GB29" i="25"/>
  <c r="RB29" i="25"/>
  <c r="QB29" i="25"/>
  <c r="MB29" i="25"/>
  <c r="EB29" i="25"/>
  <c r="LB29" i="25"/>
  <c r="NB29" i="25"/>
  <c r="NC29" i="25" s="1"/>
  <c r="HB29" i="25"/>
  <c r="DE29" i="25"/>
  <c r="IB29" i="25"/>
  <c r="JB29" i="25"/>
  <c r="JC29" i="25" s="1"/>
  <c r="FB29" i="25"/>
  <c r="SB50" i="25"/>
  <c r="OB50" i="25"/>
  <c r="KB50" i="25"/>
  <c r="GB50" i="25"/>
  <c r="RB50" i="25"/>
  <c r="QB50" i="25"/>
  <c r="MB50" i="25"/>
  <c r="IB50" i="25"/>
  <c r="EB50" i="25"/>
  <c r="PB50" i="25"/>
  <c r="NB50" i="25"/>
  <c r="HB50" i="25"/>
  <c r="DE50" i="25"/>
  <c r="JB50" i="25"/>
  <c r="FB50" i="25"/>
  <c r="LB50" i="25"/>
  <c r="QB48" i="25"/>
  <c r="MB48" i="25"/>
  <c r="IB48" i="25"/>
  <c r="EB48" i="25"/>
  <c r="PB48" i="25"/>
  <c r="SB48" i="25"/>
  <c r="OB48" i="25"/>
  <c r="KB48" i="25"/>
  <c r="GB48" i="25"/>
  <c r="RB48" i="25"/>
  <c r="JB48" i="25"/>
  <c r="FB48" i="25"/>
  <c r="LB48" i="25"/>
  <c r="NB48" i="25"/>
  <c r="HB48" i="25"/>
  <c r="DE48" i="25"/>
  <c r="PB45" i="25"/>
  <c r="SB45" i="25"/>
  <c r="OB45" i="25"/>
  <c r="KB45" i="25"/>
  <c r="GB45" i="25"/>
  <c r="RB45" i="25"/>
  <c r="QB45" i="25"/>
  <c r="MB45" i="25"/>
  <c r="EB45" i="25"/>
  <c r="LB45" i="25"/>
  <c r="NB45" i="25"/>
  <c r="HB45" i="25"/>
  <c r="DE45" i="25"/>
  <c r="IB45" i="25"/>
  <c r="JB45" i="25"/>
  <c r="FB45" i="25"/>
  <c r="PB49" i="25"/>
  <c r="SB49" i="25"/>
  <c r="OB49" i="25"/>
  <c r="KB49" i="25"/>
  <c r="GB49" i="25"/>
  <c r="RB49" i="25"/>
  <c r="QB49" i="25"/>
  <c r="MB49" i="25"/>
  <c r="LB49" i="25"/>
  <c r="NB49" i="25"/>
  <c r="HB49" i="25"/>
  <c r="DE49" i="25"/>
  <c r="IB49" i="25"/>
  <c r="EB49" i="25"/>
  <c r="JB49" i="25"/>
  <c r="FB49" i="25"/>
  <c r="SB54" i="25"/>
  <c r="ST54" i="25" s="1"/>
  <c r="OB54" i="25"/>
  <c r="KB54" i="25"/>
  <c r="GB54" i="25"/>
  <c r="RB54" i="25"/>
  <c r="RD54" i="25" s="1"/>
  <c r="QB54" i="25"/>
  <c r="MB54" i="25"/>
  <c r="IB54" i="25"/>
  <c r="EB54" i="25"/>
  <c r="NB54" i="25"/>
  <c r="HB54" i="25"/>
  <c r="DE54" i="25"/>
  <c r="JB54" i="25"/>
  <c r="FB54" i="25"/>
  <c r="PB54" i="25"/>
  <c r="LB54" i="25"/>
  <c r="SB42" i="25"/>
  <c r="OB42" i="25"/>
  <c r="KB42" i="25"/>
  <c r="GB42" i="25"/>
  <c r="RB42" i="25"/>
  <c r="QB42" i="25"/>
  <c r="MB42" i="25"/>
  <c r="IB42" i="25"/>
  <c r="EB42" i="25"/>
  <c r="NB42" i="25"/>
  <c r="HB42" i="25"/>
  <c r="DE42" i="25"/>
  <c r="PB42" i="25"/>
  <c r="JB42" i="25"/>
  <c r="FB42" i="25"/>
  <c r="LB42" i="25"/>
  <c r="PB25" i="25"/>
  <c r="PT25" i="25" s="1"/>
  <c r="SB25" i="25"/>
  <c r="OB25" i="25"/>
  <c r="KB25" i="25"/>
  <c r="GB25" i="25"/>
  <c r="GG25" i="25" s="1"/>
  <c r="RB25" i="25"/>
  <c r="QB25" i="25"/>
  <c r="MB25" i="25"/>
  <c r="IB25" i="25"/>
  <c r="LB25" i="25"/>
  <c r="LC25" i="25" s="1"/>
  <c r="EB25" i="25"/>
  <c r="EH25" i="25" s="1"/>
  <c r="NB25" i="25"/>
  <c r="HB25" i="25"/>
  <c r="HT25" i="25" s="1"/>
  <c r="DE25" i="25"/>
  <c r="DW25" i="25" s="1"/>
  <c r="JB25" i="25"/>
  <c r="JD25" i="25" s="1"/>
  <c r="FB25" i="25"/>
  <c r="QB31" i="25"/>
  <c r="MB31" i="25"/>
  <c r="IB31" i="25"/>
  <c r="EB31" i="25"/>
  <c r="PB31" i="25"/>
  <c r="PC31" i="25" s="1"/>
  <c r="SB31" i="25"/>
  <c r="OB31" i="25"/>
  <c r="KB31" i="25"/>
  <c r="GB31" i="25"/>
  <c r="JB31" i="25"/>
  <c r="FB31" i="25"/>
  <c r="RB31" i="25"/>
  <c r="LB31" i="25"/>
  <c r="NB31" i="25"/>
  <c r="HB31" i="25"/>
  <c r="DE31" i="25"/>
  <c r="SB26" i="25"/>
  <c r="OB26" i="25"/>
  <c r="KB26" i="25"/>
  <c r="GB26" i="25"/>
  <c r="RB26" i="25"/>
  <c r="RC26" i="25" s="1"/>
  <c r="QB26" i="25"/>
  <c r="MB26" i="25"/>
  <c r="IB26" i="25"/>
  <c r="EB26" i="25"/>
  <c r="EH26" i="25" s="1"/>
  <c r="NB26" i="25"/>
  <c r="NT26" i="25" s="1"/>
  <c r="HB26" i="25"/>
  <c r="HC26" i="25" s="1"/>
  <c r="DE26" i="25"/>
  <c r="PB26" i="25"/>
  <c r="PD26" i="25" s="1"/>
  <c r="JB26" i="25"/>
  <c r="JD26" i="25" s="1"/>
  <c r="FB26" i="25"/>
  <c r="FT26" i="25" s="1"/>
  <c r="LB26" i="25"/>
  <c r="PB21" i="25"/>
  <c r="PT21" i="25" s="1"/>
  <c r="SB21" i="25"/>
  <c r="OB21" i="25"/>
  <c r="KB21" i="25"/>
  <c r="GB21" i="25"/>
  <c r="GT21" i="25" s="1"/>
  <c r="RB21" i="25"/>
  <c r="QB21" i="25"/>
  <c r="QC21" i="25" s="1"/>
  <c r="BM21" i="25" s="1"/>
  <c r="MB21" i="25"/>
  <c r="LB21" i="25"/>
  <c r="IB21" i="25"/>
  <c r="HB21" i="25"/>
  <c r="HD21" i="25" s="1"/>
  <c r="DE21" i="25"/>
  <c r="EB21" i="25"/>
  <c r="AP21" i="25" s="1"/>
  <c r="NB21" i="25"/>
  <c r="JB21" i="25"/>
  <c r="JC21" i="25" s="1"/>
  <c r="FB21" i="25"/>
  <c r="QB39" i="25"/>
  <c r="MB39" i="25"/>
  <c r="IB39" i="25"/>
  <c r="EB39" i="25"/>
  <c r="PB39" i="25"/>
  <c r="SB39" i="25"/>
  <c r="OB39" i="25"/>
  <c r="KB39" i="25"/>
  <c r="RB39" i="25"/>
  <c r="JB39" i="25"/>
  <c r="FB39" i="25"/>
  <c r="LB39" i="25"/>
  <c r="GB39" i="25"/>
  <c r="NB39" i="25"/>
  <c r="HB39" i="25"/>
  <c r="DE39" i="25"/>
  <c r="SB22" i="25"/>
  <c r="OB22" i="25"/>
  <c r="KB22" i="25"/>
  <c r="GB22" i="25"/>
  <c r="RB22" i="25"/>
  <c r="RD22" i="25" s="1"/>
  <c r="QB22" i="25"/>
  <c r="MB22" i="25"/>
  <c r="IB22" i="25"/>
  <c r="EB22" i="25"/>
  <c r="AP22" i="25" s="1"/>
  <c r="NB22" i="25"/>
  <c r="HB22" i="25"/>
  <c r="DE22" i="25"/>
  <c r="JB22" i="25"/>
  <c r="JT22" i="25" s="1"/>
  <c r="FB22" i="25"/>
  <c r="PB22" i="25"/>
  <c r="PD22" i="25" s="1"/>
  <c r="LB22" i="25"/>
  <c r="SB38" i="25"/>
  <c r="OB38" i="25"/>
  <c r="KB38" i="25"/>
  <c r="GB38" i="25"/>
  <c r="RB38" i="25"/>
  <c r="QB38" i="25"/>
  <c r="MB38" i="25"/>
  <c r="IB38" i="25"/>
  <c r="EB38" i="25"/>
  <c r="NB38" i="25"/>
  <c r="HB38" i="25"/>
  <c r="DE38" i="25"/>
  <c r="JB38" i="25"/>
  <c r="FB38" i="25"/>
  <c r="PB38" i="25"/>
  <c r="LB38" i="25"/>
  <c r="QB28" i="25"/>
  <c r="MB28" i="25"/>
  <c r="IB28" i="25"/>
  <c r="EB28" i="25"/>
  <c r="PB28" i="25"/>
  <c r="PC28" i="25" s="1"/>
  <c r="SB28" i="25"/>
  <c r="OB28" i="25"/>
  <c r="KB28" i="25"/>
  <c r="GB28" i="25"/>
  <c r="RB28" i="25"/>
  <c r="JB28" i="25"/>
  <c r="FB28" i="25"/>
  <c r="LB28" i="25"/>
  <c r="LD28" i="25" s="1"/>
  <c r="NB28" i="25"/>
  <c r="HB28" i="25"/>
  <c r="DE28" i="25"/>
  <c r="PB41" i="25"/>
  <c r="SB41" i="25"/>
  <c r="OB41" i="25"/>
  <c r="KB41" i="25"/>
  <c r="GB41" i="25"/>
  <c r="RB41" i="25"/>
  <c r="QB41" i="25"/>
  <c r="MB41" i="25"/>
  <c r="IB41" i="25"/>
  <c r="LB41" i="25"/>
  <c r="EB41" i="25"/>
  <c r="NB41" i="25"/>
  <c r="HB41" i="25"/>
  <c r="DE41" i="25"/>
  <c r="JB41" i="25"/>
  <c r="FB41" i="25"/>
  <c r="QB47" i="25"/>
  <c r="QC47" i="25" s="1"/>
  <c r="MB47" i="25"/>
  <c r="IB47" i="25"/>
  <c r="EB47" i="25"/>
  <c r="PB47" i="25"/>
  <c r="PT47" i="25" s="1"/>
  <c r="SB47" i="25"/>
  <c r="OB47" i="25"/>
  <c r="KB47" i="25"/>
  <c r="GB47" i="25"/>
  <c r="GC47" i="25" s="1"/>
  <c r="JB47" i="25"/>
  <c r="FB47" i="25"/>
  <c r="RB47" i="25"/>
  <c r="LB47" i="25"/>
  <c r="LC47" i="25" s="1"/>
  <c r="NB47" i="25"/>
  <c r="HB47" i="25"/>
  <c r="DE47" i="25"/>
  <c r="QB52" i="25"/>
  <c r="MB52" i="25"/>
  <c r="IB52" i="25"/>
  <c r="EB52" i="25"/>
  <c r="PB52" i="25"/>
  <c r="PD52" i="25" s="1"/>
  <c r="SB52" i="25"/>
  <c r="OB52" i="25"/>
  <c r="KB52" i="25"/>
  <c r="GB52" i="25"/>
  <c r="GT52" i="25" s="1"/>
  <c r="RB52" i="25"/>
  <c r="JB52" i="25"/>
  <c r="FB52" i="25"/>
  <c r="LB52" i="25"/>
  <c r="LD52" i="25" s="1"/>
  <c r="NB52" i="25"/>
  <c r="HB52" i="25"/>
  <c r="DE52" i="25"/>
  <c r="QB35" i="25"/>
  <c r="MB35" i="25"/>
  <c r="IB35" i="25"/>
  <c r="EB35" i="25"/>
  <c r="PB35" i="25"/>
  <c r="SB35" i="25"/>
  <c r="OB35" i="25"/>
  <c r="KB35" i="25"/>
  <c r="GB35" i="25"/>
  <c r="RB35" i="25"/>
  <c r="JB35" i="25"/>
  <c r="FB35" i="25"/>
  <c r="LB35" i="25"/>
  <c r="NB35" i="25"/>
  <c r="HB35" i="25"/>
  <c r="DE35" i="25"/>
  <c r="QB20" i="25"/>
  <c r="MB20" i="25"/>
  <c r="IB20" i="25"/>
  <c r="IC20" i="25" s="1"/>
  <c r="EB20" i="25"/>
  <c r="AP20" i="25" s="1"/>
  <c r="NB20" i="25"/>
  <c r="NC20" i="25" s="1"/>
  <c r="PB20" i="25"/>
  <c r="PT20" i="25" s="1"/>
  <c r="SB20" i="25"/>
  <c r="OB20" i="25"/>
  <c r="KB20" i="25"/>
  <c r="GB20" i="25"/>
  <c r="GG20" i="25" s="1"/>
  <c r="RB20" i="25"/>
  <c r="RD20" i="25" s="1"/>
  <c r="JB20" i="25"/>
  <c r="FB20" i="25"/>
  <c r="FD20" i="25" s="1"/>
  <c r="LB20" i="25"/>
  <c r="LD20" i="25" s="1"/>
  <c r="HB20" i="25"/>
  <c r="HT20" i="25" s="1"/>
  <c r="DE20" i="25"/>
  <c r="QB44" i="25"/>
  <c r="MB44" i="25"/>
  <c r="IB44" i="25"/>
  <c r="EB44" i="25"/>
  <c r="PB44" i="25"/>
  <c r="SB44" i="25"/>
  <c r="OB44" i="25"/>
  <c r="KB44" i="25"/>
  <c r="GB44" i="25"/>
  <c r="RB44" i="25"/>
  <c r="JB44" i="25"/>
  <c r="FB44" i="25"/>
  <c r="LB44" i="25"/>
  <c r="NB44" i="25"/>
  <c r="HB44" i="25"/>
  <c r="DE44" i="25"/>
  <c r="QB23" i="25"/>
  <c r="QC23" i="25" s="1"/>
  <c r="BM23" i="25" s="1"/>
  <c r="MB23" i="25"/>
  <c r="MT23" i="25" s="1"/>
  <c r="IB23" i="25"/>
  <c r="EB23" i="25"/>
  <c r="AP23" i="25" s="1"/>
  <c r="NB23" i="25"/>
  <c r="ND23" i="25" s="1"/>
  <c r="PB23" i="25"/>
  <c r="PD23" i="25" s="1"/>
  <c r="SB23" i="25"/>
  <c r="OB23" i="25"/>
  <c r="KB23" i="25"/>
  <c r="RB23" i="25"/>
  <c r="RD23" i="25" s="1"/>
  <c r="JB23" i="25"/>
  <c r="FB23" i="25"/>
  <c r="LB23" i="25"/>
  <c r="GB23" i="25"/>
  <c r="HB23" i="25"/>
  <c r="DE23" i="25"/>
  <c r="SB46" i="25"/>
  <c r="OB46" i="25"/>
  <c r="KB46" i="25"/>
  <c r="GB46" i="25"/>
  <c r="RB46" i="25"/>
  <c r="RD46" i="25" s="1"/>
  <c r="QB46" i="25"/>
  <c r="MB46" i="25"/>
  <c r="IB46" i="25"/>
  <c r="EB46" i="25"/>
  <c r="EC46" i="25" s="1"/>
  <c r="NB46" i="25"/>
  <c r="HB46" i="25"/>
  <c r="DE46" i="25"/>
  <c r="PB46" i="25"/>
  <c r="PC46" i="25" s="1"/>
  <c r="JB46" i="25"/>
  <c r="FB46" i="25"/>
  <c r="LB46" i="25"/>
  <c r="QB24" i="25"/>
  <c r="MB24" i="25"/>
  <c r="IB24" i="25"/>
  <c r="EB24" i="25"/>
  <c r="AP24" i="25" s="1"/>
  <c r="NB24" i="25"/>
  <c r="NC24" i="25" s="1"/>
  <c r="PB24" i="25"/>
  <c r="PT24" i="25" s="1"/>
  <c r="SB24" i="25"/>
  <c r="OB24" i="25"/>
  <c r="KB24" i="25"/>
  <c r="GB24" i="25"/>
  <c r="RB24" i="25"/>
  <c r="JB24" i="25"/>
  <c r="FB24" i="25"/>
  <c r="FT24" i="25" s="1"/>
  <c r="LB24" i="25"/>
  <c r="LT24" i="25" s="1"/>
  <c r="HB24" i="25"/>
  <c r="HC24" i="25" s="1"/>
  <c r="DE24" i="25"/>
  <c r="QB27" i="25"/>
  <c r="MB27" i="25"/>
  <c r="IB27" i="25"/>
  <c r="EB27" i="25"/>
  <c r="PB27" i="25"/>
  <c r="PD27" i="25" s="1"/>
  <c r="SB27" i="25"/>
  <c r="OB27" i="25"/>
  <c r="KB27" i="25"/>
  <c r="JB27" i="25"/>
  <c r="FB27" i="25"/>
  <c r="GB27" i="25"/>
  <c r="LB27" i="25"/>
  <c r="RB27" i="25"/>
  <c r="RC27" i="25" s="1"/>
  <c r="NB27" i="25"/>
  <c r="HB27" i="25"/>
  <c r="DE27" i="25"/>
  <c r="QB55" i="25"/>
  <c r="QC55" i="25" s="1"/>
  <c r="MB55" i="25"/>
  <c r="MT55" i="25" s="1"/>
  <c r="IB55" i="25"/>
  <c r="IC55" i="25" s="1"/>
  <c r="EB55" i="25"/>
  <c r="PB55" i="25"/>
  <c r="PD55" i="25" s="1"/>
  <c r="SB55" i="25"/>
  <c r="OB55" i="25"/>
  <c r="KB55" i="25"/>
  <c r="RB55" i="25"/>
  <c r="RD55" i="25" s="1"/>
  <c r="JB55" i="25"/>
  <c r="FB55" i="25"/>
  <c r="LB55" i="25"/>
  <c r="GB55" i="25"/>
  <c r="GG55" i="25" s="1"/>
  <c r="NB55" i="25"/>
  <c r="ND55" i="25" s="1"/>
  <c r="HB55" i="25"/>
  <c r="DE55" i="25"/>
  <c r="I29" i="25"/>
  <c r="CK58" i="25"/>
  <c r="CK59" i="25"/>
  <c r="CK57" i="25"/>
  <c r="CU58" i="25"/>
  <c r="CK56" i="25"/>
  <c r="CU59" i="25"/>
  <c r="CK60" i="25"/>
  <c r="CU60" i="25"/>
  <c r="N68" i="42"/>
  <c r="AI68" i="42" s="1"/>
  <c r="AJ68" i="42" s="1"/>
  <c r="G68" i="42"/>
  <c r="T68" i="42"/>
  <c r="D68" i="42"/>
  <c r="L68" i="42"/>
  <c r="R68" i="42" s="1"/>
  <c r="T60" i="42"/>
  <c r="T59" i="42"/>
  <c r="T62" i="42"/>
  <c r="I34" i="25"/>
  <c r="T51" i="42"/>
  <c r="D51" i="42"/>
  <c r="G51" i="42"/>
  <c r="L51" i="42"/>
  <c r="G44" i="42"/>
  <c r="T53" i="42"/>
  <c r="G53" i="42"/>
  <c r="N52" i="42"/>
  <c r="D52" i="42"/>
  <c r="G50" i="42"/>
  <c r="L50" i="42"/>
  <c r="T50" i="42"/>
  <c r="T45" i="42"/>
  <c r="G45" i="42"/>
  <c r="B49" i="3"/>
  <c r="B48" i="3"/>
  <c r="B69" i="3"/>
  <c r="B46" i="3"/>
  <c r="B61" i="3"/>
  <c r="B47" i="3"/>
  <c r="B44" i="3"/>
  <c r="B70" i="3"/>
  <c r="B54" i="3"/>
  <c r="B53" i="3"/>
  <c r="B50" i="3"/>
  <c r="B65" i="3"/>
  <c r="B62" i="3"/>
  <c r="B45" i="3"/>
  <c r="B58" i="3"/>
  <c r="B56" i="3"/>
  <c r="B63" i="3"/>
  <c r="I25" i="25"/>
  <c r="B60" i="3"/>
  <c r="B57" i="3"/>
  <c r="B59" i="3"/>
  <c r="B68" i="3"/>
  <c r="I44" i="25"/>
  <c r="S44" i="25" s="1"/>
  <c r="I45" i="25"/>
  <c r="S45" i="25" s="1"/>
  <c r="B43" i="3"/>
  <c r="B39" i="3"/>
  <c r="B40" i="3"/>
  <c r="UM42" i="25"/>
  <c r="UP42" i="25" s="1"/>
  <c r="UO42" i="25"/>
  <c r="UN42" i="25"/>
  <c r="UA42" i="25"/>
  <c r="UD42" i="25"/>
  <c r="UI42" i="25"/>
  <c r="UO23" i="25"/>
  <c r="UN23" i="25"/>
  <c r="UM23" i="25"/>
  <c r="UP23" i="25" s="1"/>
  <c r="UI23" i="25"/>
  <c r="UA23" i="25"/>
  <c r="UD23" i="25"/>
  <c r="UM46" i="25"/>
  <c r="UP46" i="25" s="1"/>
  <c r="UO46" i="25"/>
  <c r="UN46" i="25"/>
  <c r="UA46" i="25"/>
  <c r="UD46" i="25"/>
  <c r="UI46" i="25"/>
  <c r="UE46" i="25"/>
  <c r="UO49" i="25"/>
  <c r="UN49" i="25"/>
  <c r="UM49" i="25"/>
  <c r="UP49" i="25" s="1"/>
  <c r="UI49" i="25"/>
  <c r="UD49" i="25"/>
  <c r="UA49" i="25"/>
  <c r="UM54" i="25"/>
  <c r="UP54" i="25" s="1"/>
  <c r="UO54" i="25"/>
  <c r="UN54" i="25"/>
  <c r="UA54" i="25"/>
  <c r="UD54" i="25"/>
  <c r="UI54" i="25"/>
  <c r="UN47" i="25"/>
  <c r="UM47" i="25"/>
  <c r="UP47" i="25" s="1"/>
  <c r="UO47" i="25"/>
  <c r="UD47" i="25"/>
  <c r="UT47" i="25"/>
  <c r="UI47" i="25"/>
  <c r="UG47" i="25"/>
  <c r="UA47" i="25"/>
  <c r="UO52" i="25"/>
  <c r="UN52" i="25"/>
  <c r="UM52" i="25"/>
  <c r="UP52" i="25" s="1"/>
  <c r="UD52" i="25"/>
  <c r="UI52" i="25"/>
  <c r="UA52" i="25"/>
  <c r="UT52" i="25"/>
  <c r="UO44" i="25"/>
  <c r="UN44" i="25"/>
  <c r="UM44" i="25"/>
  <c r="UP44" i="25" s="1"/>
  <c r="UD44" i="25"/>
  <c r="UI44" i="25"/>
  <c r="UG44" i="25"/>
  <c r="UA44" i="25"/>
  <c r="UE44" i="25"/>
  <c r="UM37" i="25"/>
  <c r="UP37" i="25" s="1"/>
  <c r="UO37" i="25"/>
  <c r="UN37" i="25"/>
  <c r="UA37" i="25"/>
  <c r="UD37" i="25"/>
  <c r="UI37" i="25"/>
  <c r="UE37" i="25"/>
  <c r="UM50" i="25"/>
  <c r="UP50" i="25" s="1"/>
  <c r="UO50" i="25"/>
  <c r="UN50" i="25"/>
  <c r="UA50" i="25"/>
  <c r="UD50" i="25"/>
  <c r="UI50" i="25"/>
  <c r="UT50" i="25"/>
  <c r="UO39" i="25"/>
  <c r="UN39" i="25"/>
  <c r="UM39" i="25"/>
  <c r="UP39" i="25" s="1"/>
  <c r="UD39" i="25"/>
  <c r="UI39" i="25"/>
  <c r="UA39" i="25"/>
  <c r="UO45" i="25"/>
  <c r="UN45" i="25"/>
  <c r="UM45" i="25"/>
  <c r="UP45" i="25" s="1"/>
  <c r="UI45" i="25"/>
  <c r="UD45" i="25"/>
  <c r="UG45" i="25"/>
  <c r="UA45" i="25"/>
  <c r="UN38" i="25"/>
  <c r="UM38" i="25"/>
  <c r="UP38" i="25" s="1"/>
  <c r="UO38" i="25"/>
  <c r="UD38" i="25"/>
  <c r="UI38" i="25"/>
  <c r="UA38" i="25"/>
  <c r="UM28" i="25"/>
  <c r="UP28" i="25" s="1"/>
  <c r="UO28" i="25"/>
  <c r="UN28" i="25"/>
  <c r="UA28" i="25"/>
  <c r="UD28" i="25"/>
  <c r="UI28" i="25"/>
  <c r="UT28" i="25"/>
  <c r="UO41" i="25"/>
  <c r="UN41" i="25"/>
  <c r="UM41" i="25"/>
  <c r="UP41" i="25" s="1"/>
  <c r="UI41" i="25"/>
  <c r="UD41" i="25"/>
  <c r="UE41" i="25"/>
  <c r="UA41" i="25"/>
  <c r="UO36" i="25"/>
  <c r="UN36" i="25"/>
  <c r="UM36" i="25"/>
  <c r="UP36" i="25" s="1"/>
  <c r="UI36" i="25"/>
  <c r="UD36" i="25"/>
  <c r="UT36" i="25"/>
  <c r="UA36" i="25"/>
  <c r="UM32" i="25"/>
  <c r="UP32" i="25" s="1"/>
  <c r="UO32" i="25"/>
  <c r="UN32" i="25"/>
  <c r="UA32" i="25"/>
  <c r="UD32" i="25"/>
  <c r="UI32" i="25"/>
  <c r="UE32" i="25"/>
  <c r="UO35" i="25"/>
  <c r="UN35" i="25"/>
  <c r="UM35" i="25"/>
  <c r="UP35" i="25" s="1"/>
  <c r="UD35" i="25"/>
  <c r="UI35" i="25"/>
  <c r="UA35" i="25"/>
  <c r="UO27" i="25"/>
  <c r="UN27" i="25"/>
  <c r="UM27" i="25"/>
  <c r="UP27" i="25" s="1"/>
  <c r="UI27" i="25"/>
  <c r="UD27" i="25"/>
  <c r="UT27" i="25"/>
  <c r="UA27" i="25"/>
  <c r="UO48" i="25"/>
  <c r="UN48" i="25"/>
  <c r="UM48" i="25"/>
  <c r="UP48" i="25" s="1"/>
  <c r="UD48" i="25"/>
  <c r="UI48" i="25"/>
  <c r="UA48" i="25"/>
  <c r="UT48" i="25"/>
  <c r="UN55" i="25"/>
  <c r="UM55" i="25"/>
  <c r="UP55" i="25" s="1"/>
  <c r="UO55" i="25"/>
  <c r="UD55" i="25"/>
  <c r="UG55" i="25"/>
  <c r="UI55" i="25"/>
  <c r="UA55" i="25"/>
  <c r="UO53" i="25"/>
  <c r="UN53" i="25"/>
  <c r="UM53" i="25"/>
  <c r="UP53" i="25" s="1"/>
  <c r="UI53" i="25"/>
  <c r="UD53" i="25"/>
  <c r="UT53" i="25"/>
  <c r="UA53" i="25"/>
  <c r="UO30" i="25"/>
  <c r="UN30" i="25"/>
  <c r="UM30" i="25"/>
  <c r="UP30" i="25" s="1"/>
  <c r="UD30" i="25"/>
  <c r="UI30" i="25"/>
  <c r="UA30" i="25"/>
  <c r="UE30" i="25"/>
  <c r="UN43" i="25"/>
  <c r="UM43" i="25"/>
  <c r="UP43" i="25" s="1"/>
  <c r="UO43" i="25"/>
  <c r="UD43" i="25"/>
  <c r="UG43" i="25"/>
  <c r="UI43" i="25"/>
  <c r="UA43" i="25"/>
  <c r="UN33" i="25"/>
  <c r="UM33" i="25"/>
  <c r="UP33" i="25" s="1"/>
  <c r="UO33" i="25"/>
  <c r="UD33" i="25"/>
  <c r="UT33" i="25"/>
  <c r="UI33" i="25"/>
  <c r="UA33" i="25"/>
  <c r="UN29" i="25"/>
  <c r="UM29" i="25"/>
  <c r="UP29" i="25" s="1"/>
  <c r="UO29" i="25"/>
  <c r="UD29" i="25"/>
  <c r="UT29" i="25"/>
  <c r="UI29" i="25"/>
  <c r="UA29" i="25"/>
  <c r="UN25" i="25"/>
  <c r="UM25" i="25"/>
  <c r="UP25" i="25" s="1"/>
  <c r="UO25" i="25"/>
  <c r="UD25" i="25"/>
  <c r="UI25" i="25"/>
  <c r="UA25" i="25"/>
  <c r="UO31" i="25"/>
  <c r="UN31" i="25"/>
  <c r="UM31" i="25"/>
  <c r="UP31" i="25" s="1"/>
  <c r="UI31" i="25"/>
  <c r="UD31" i="25"/>
  <c r="UA31" i="25"/>
  <c r="UO26" i="25"/>
  <c r="UN26" i="25"/>
  <c r="UM26" i="25"/>
  <c r="UP26" i="25" s="1"/>
  <c r="UD26" i="25"/>
  <c r="UI26" i="25"/>
  <c r="UA26" i="25"/>
  <c r="UT26" i="25"/>
  <c r="UM24" i="25"/>
  <c r="UP24" i="25" s="1"/>
  <c r="UO24" i="25"/>
  <c r="UN24" i="25"/>
  <c r="UE24" i="25"/>
  <c r="UA24" i="25"/>
  <c r="UD24" i="25"/>
  <c r="UI24" i="25"/>
  <c r="UN51" i="25"/>
  <c r="UM51" i="25"/>
  <c r="UP51" i="25" s="1"/>
  <c r="UO51" i="25"/>
  <c r="UD51" i="25"/>
  <c r="UG51" i="25"/>
  <c r="UI51" i="25"/>
  <c r="UA51" i="25"/>
  <c r="UO22" i="25"/>
  <c r="UN22" i="25"/>
  <c r="UM22" i="25"/>
  <c r="UP22" i="25" s="1"/>
  <c r="UD22" i="25"/>
  <c r="UI22" i="25"/>
  <c r="UE22" i="25"/>
  <c r="UA22" i="25"/>
  <c r="UM20" i="25"/>
  <c r="UP20" i="25" s="1"/>
  <c r="UD20" i="25"/>
  <c r="UA20" i="25"/>
  <c r="UI20" i="25"/>
  <c r="UO20" i="25"/>
  <c r="UN20" i="25"/>
  <c r="UT20" i="25"/>
  <c r="UM40" i="25"/>
  <c r="UP40" i="25" s="1"/>
  <c r="UD40" i="25"/>
  <c r="UA40" i="25"/>
  <c r="UI40" i="25"/>
  <c r="UO40" i="25"/>
  <c r="UN40" i="25"/>
  <c r="UG40" i="25"/>
  <c r="UE40" i="25"/>
  <c r="UO34" i="25"/>
  <c r="UN34" i="25"/>
  <c r="UT34" i="25"/>
  <c r="UM34" i="25"/>
  <c r="UP34" i="25" s="1"/>
  <c r="UD34" i="25"/>
  <c r="UA34" i="25"/>
  <c r="UI34" i="25"/>
  <c r="UN21" i="25"/>
  <c r="UI21" i="25"/>
  <c r="UE21" i="25"/>
  <c r="UM21" i="25"/>
  <c r="UP21" i="25" s="1"/>
  <c r="UA21" i="25"/>
  <c r="UO21" i="25"/>
  <c r="UD21" i="25"/>
  <c r="TO34" i="25"/>
  <c r="TN34" i="25"/>
  <c r="TM34" i="25"/>
  <c r="TP34" i="25" s="1"/>
  <c r="TO53" i="25"/>
  <c r="TN53" i="25"/>
  <c r="TM53" i="25"/>
  <c r="TP53" i="25" s="1"/>
  <c r="TO30" i="25"/>
  <c r="TN30" i="25"/>
  <c r="TM30" i="25"/>
  <c r="TP30" i="25" s="1"/>
  <c r="TN43" i="25"/>
  <c r="TM43" i="25"/>
  <c r="TP43" i="25" s="1"/>
  <c r="TO43" i="25"/>
  <c r="TO33" i="25"/>
  <c r="TN33" i="25"/>
  <c r="TM33" i="25"/>
  <c r="TP33" i="25" s="1"/>
  <c r="TO29" i="25"/>
  <c r="TN29" i="25"/>
  <c r="TM29" i="25"/>
  <c r="TP29" i="25" s="1"/>
  <c r="TO25" i="25"/>
  <c r="TN25" i="25"/>
  <c r="TM25" i="25"/>
  <c r="TP25" i="25" s="1"/>
  <c r="TN31" i="25"/>
  <c r="TM31" i="25"/>
  <c r="TP31" i="25" s="1"/>
  <c r="TO31" i="25"/>
  <c r="TO26" i="25"/>
  <c r="TN26" i="25"/>
  <c r="TM26" i="25"/>
  <c r="TP26" i="25" s="1"/>
  <c r="TO21" i="25"/>
  <c r="TN21" i="25"/>
  <c r="TM21" i="25"/>
  <c r="TP21" i="25" s="1"/>
  <c r="TM24" i="25"/>
  <c r="TP24" i="25" s="1"/>
  <c r="TO24" i="25"/>
  <c r="TN24" i="25"/>
  <c r="TN51" i="25"/>
  <c r="TM51" i="25"/>
  <c r="TP51" i="25" s="1"/>
  <c r="TO51" i="25"/>
  <c r="TO22" i="25"/>
  <c r="TN22" i="25"/>
  <c r="TM22" i="25"/>
  <c r="TP22" i="25" s="1"/>
  <c r="TO42" i="25"/>
  <c r="TN42" i="25"/>
  <c r="TM42" i="25"/>
  <c r="TP42" i="25" s="1"/>
  <c r="TN23" i="25"/>
  <c r="TM23" i="25"/>
  <c r="TP23" i="25" s="1"/>
  <c r="TO23" i="25"/>
  <c r="TO46" i="25"/>
  <c r="TN46" i="25"/>
  <c r="TM46" i="25"/>
  <c r="TP46" i="25" s="1"/>
  <c r="TO49" i="25"/>
  <c r="TN49" i="25"/>
  <c r="TM49" i="25"/>
  <c r="TP49" i="25" s="1"/>
  <c r="TO54" i="25"/>
  <c r="TN54" i="25"/>
  <c r="TM54" i="25"/>
  <c r="TP54" i="25" s="1"/>
  <c r="TN47" i="25"/>
  <c r="TM47" i="25"/>
  <c r="TP47" i="25" s="1"/>
  <c r="TO47" i="25"/>
  <c r="TM52" i="25"/>
  <c r="TP52" i="25" s="1"/>
  <c r="TO52" i="25"/>
  <c r="TN52" i="25"/>
  <c r="TM20" i="25"/>
  <c r="TP20" i="25" s="1"/>
  <c r="TO20" i="25"/>
  <c r="TN20" i="25"/>
  <c r="TM44" i="25"/>
  <c r="TP44" i="25" s="1"/>
  <c r="TO44" i="25"/>
  <c r="TN44" i="25"/>
  <c r="TO37" i="25"/>
  <c r="TN37" i="25"/>
  <c r="TM37" i="25"/>
  <c r="TP37" i="25" s="1"/>
  <c r="TO50" i="25"/>
  <c r="TN50" i="25"/>
  <c r="TM50" i="25"/>
  <c r="TP50" i="25" s="1"/>
  <c r="TN39" i="25"/>
  <c r="TM39" i="25"/>
  <c r="TP39" i="25" s="1"/>
  <c r="TO39" i="25"/>
  <c r="TO45" i="25"/>
  <c r="TN45" i="25"/>
  <c r="TM45" i="25"/>
  <c r="TP45" i="25" s="1"/>
  <c r="TO38" i="25"/>
  <c r="TN38" i="25"/>
  <c r="TM38" i="25"/>
  <c r="TP38" i="25" s="1"/>
  <c r="TM28" i="25"/>
  <c r="TP28" i="25" s="1"/>
  <c r="TO28" i="25"/>
  <c r="TN28" i="25"/>
  <c r="TO41" i="25"/>
  <c r="TN41" i="25"/>
  <c r="TM41" i="25"/>
  <c r="TP41" i="25" s="1"/>
  <c r="TM40" i="25"/>
  <c r="TP40" i="25" s="1"/>
  <c r="TO40" i="25"/>
  <c r="TN40" i="25"/>
  <c r="TM36" i="25"/>
  <c r="TP36" i="25" s="1"/>
  <c r="TO36" i="25"/>
  <c r="TN36" i="25"/>
  <c r="TM32" i="25"/>
  <c r="TP32" i="25" s="1"/>
  <c r="TO32" i="25"/>
  <c r="TN32" i="25"/>
  <c r="TN35" i="25"/>
  <c r="TM35" i="25"/>
  <c r="TP35" i="25" s="1"/>
  <c r="TO35" i="25"/>
  <c r="TN27" i="25"/>
  <c r="TM27" i="25"/>
  <c r="TP27" i="25" s="1"/>
  <c r="TO27" i="25"/>
  <c r="TM48" i="25"/>
  <c r="TP48" i="25" s="1"/>
  <c r="TO48" i="25"/>
  <c r="TN48" i="25"/>
  <c r="TN55" i="25"/>
  <c r="TM55" i="25"/>
  <c r="TP55" i="25" s="1"/>
  <c r="TO55" i="25"/>
  <c r="TI40" i="25"/>
  <c r="TD40" i="25"/>
  <c r="TT40" i="25"/>
  <c r="TA40" i="25"/>
  <c r="TI36" i="25"/>
  <c r="TD36" i="25"/>
  <c r="TT36" i="25"/>
  <c r="TA36" i="25"/>
  <c r="TI32" i="25"/>
  <c r="TD32" i="25"/>
  <c r="TC32" i="25"/>
  <c r="TA32" i="25"/>
  <c r="TI35" i="25"/>
  <c r="TD35" i="25"/>
  <c r="TC35" i="25"/>
  <c r="TA35" i="25"/>
  <c r="TI27" i="25"/>
  <c r="TD27" i="25"/>
  <c r="TT27" i="25"/>
  <c r="TA27" i="25"/>
  <c r="TI48" i="25"/>
  <c r="TD48" i="25"/>
  <c r="TA48" i="25"/>
  <c r="TI55" i="25"/>
  <c r="TD55" i="25"/>
  <c r="TA55" i="25"/>
  <c r="TI34" i="25"/>
  <c r="TD34" i="25"/>
  <c r="TT34" i="25"/>
  <c r="TA34" i="25"/>
  <c r="TI53" i="25"/>
  <c r="TD53" i="25"/>
  <c r="TA53" i="25"/>
  <c r="TI30" i="25"/>
  <c r="TD30" i="25"/>
  <c r="TC30" i="25"/>
  <c r="TA30" i="25"/>
  <c r="TI43" i="25"/>
  <c r="TD43" i="25"/>
  <c r="TG43" i="25"/>
  <c r="TA43" i="25"/>
  <c r="TI33" i="25"/>
  <c r="TD33" i="25"/>
  <c r="TT33" i="25"/>
  <c r="TA33" i="25"/>
  <c r="TI29" i="25"/>
  <c r="TD29" i="25"/>
  <c r="TC29" i="25"/>
  <c r="TA29" i="25"/>
  <c r="TI25" i="25"/>
  <c r="TD25" i="25"/>
  <c r="TA25" i="25"/>
  <c r="TI31" i="25"/>
  <c r="TD31" i="25"/>
  <c r="TA31" i="25"/>
  <c r="TI26" i="25"/>
  <c r="TD26" i="25"/>
  <c r="TA26" i="25"/>
  <c r="TI21" i="25"/>
  <c r="TD21" i="25"/>
  <c r="TA21" i="25"/>
  <c r="TI24" i="25"/>
  <c r="TD24" i="25"/>
  <c r="TA24" i="25"/>
  <c r="TI51" i="25"/>
  <c r="TD51" i="25"/>
  <c r="TA51" i="25"/>
  <c r="TI22" i="25"/>
  <c r="TD22" i="25"/>
  <c r="TA22" i="25"/>
  <c r="TI42" i="25"/>
  <c r="TD42" i="25"/>
  <c r="TT42" i="25"/>
  <c r="TA42" i="25"/>
  <c r="TI23" i="25"/>
  <c r="TD23" i="25"/>
  <c r="TA23" i="25"/>
  <c r="TI46" i="25"/>
  <c r="TD46" i="25"/>
  <c r="TT46" i="25"/>
  <c r="TA46" i="25"/>
  <c r="TI49" i="25"/>
  <c r="TD49" i="25"/>
  <c r="TA49" i="25"/>
  <c r="TI54" i="25"/>
  <c r="TD54" i="25"/>
  <c r="TT54" i="25"/>
  <c r="TA54" i="25"/>
  <c r="TI47" i="25"/>
  <c r="TD47" i="25"/>
  <c r="TC47" i="25"/>
  <c r="TA47" i="25"/>
  <c r="TI52" i="25"/>
  <c r="TD52" i="25"/>
  <c r="TA52" i="25"/>
  <c r="TI20" i="25"/>
  <c r="TD20" i="25"/>
  <c r="TA20" i="25"/>
  <c r="TI44" i="25"/>
  <c r="TD44" i="25"/>
  <c r="TT44" i="25"/>
  <c r="TA44" i="25"/>
  <c r="TI37" i="25"/>
  <c r="TD37" i="25"/>
  <c r="TT37" i="25"/>
  <c r="TA37" i="25"/>
  <c r="TI50" i="25"/>
  <c r="TD50" i="25"/>
  <c r="TC50" i="25"/>
  <c r="TA50" i="25"/>
  <c r="TI39" i="25"/>
  <c r="TD39" i="25"/>
  <c r="TC39" i="25"/>
  <c r="TA39" i="25"/>
  <c r="TI45" i="25"/>
  <c r="TD45" i="25"/>
  <c r="TC45" i="25"/>
  <c r="TA45" i="25"/>
  <c r="TI38" i="25"/>
  <c r="TD38" i="25"/>
  <c r="TT38" i="25"/>
  <c r="TA38" i="25"/>
  <c r="TI28" i="25"/>
  <c r="TD28" i="25"/>
  <c r="TC28" i="25"/>
  <c r="TA28" i="25"/>
  <c r="TI41" i="25"/>
  <c r="TD41" i="25"/>
  <c r="TC41" i="25"/>
  <c r="TA41" i="25"/>
  <c r="I49" i="25"/>
  <c r="S49" i="25" s="1"/>
  <c r="B64" i="3"/>
  <c r="I26" i="25"/>
  <c r="B41" i="3"/>
  <c r="B36" i="3"/>
  <c r="I52" i="25"/>
  <c r="S52" i="25" s="1"/>
  <c r="B67" i="3"/>
  <c r="I40" i="25"/>
  <c r="S40" i="25" s="1"/>
  <c r="B55" i="3"/>
  <c r="I36" i="25"/>
  <c r="S36" i="25" s="1"/>
  <c r="B51" i="3"/>
  <c r="I27" i="25"/>
  <c r="B42" i="3"/>
  <c r="B38" i="3"/>
  <c r="B35" i="3"/>
  <c r="B52" i="3"/>
  <c r="B66" i="3"/>
  <c r="B37" i="3"/>
  <c r="I51" i="25"/>
  <c r="S51" i="25" s="1"/>
  <c r="I35" i="25"/>
  <c r="S35" i="25" s="1"/>
  <c r="I47" i="25"/>
  <c r="S47" i="25" s="1"/>
  <c r="I43" i="25"/>
  <c r="S43" i="25" s="1"/>
  <c r="I39" i="25"/>
  <c r="S39" i="25" s="1"/>
  <c r="I38" i="25"/>
  <c r="S38" i="25" s="1"/>
  <c r="I54" i="25"/>
  <c r="S54" i="25" s="1"/>
  <c r="I37" i="25"/>
  <c r="S37" i="25" s="1"/>
  <c r="I50" i="25"/>
  <c r="S50" i="25" s="1"/>
  <c r="I32" i="25"/>
  <c r="I55" i="25"/>
  <c r="S55" i="25" s="1"/>
  <c r="I53" i="25"/>
  <c r="S53" i="25" s="1"/>
  <c r="I33" i="25"/>
  <c r="I48" i="25"/>
  <c r="S48" i="25" s="1"/>
  <c r="I28" i="25"/>
  <c r="I31" i="25"/>
  <c r="I46" i="25"/>
  <c r="S46" i="25" s="1"/>
  <c r="I42" i="25"/>
  <c r="S42" i="25" s="1"/>
  <c r="I22" i="25"/>
  <c r="I23" i="25"/>
  <c r="I21" i="25"/>
  <c r="I20" i="25"/>
  <c r="RA30" i="25"/>
  <c r="QA30" i="25"/>
  <c r="PA30" i="25"/>
  <c r="SA30" i="25"/>
  <c r="SA36" i="25"/>
  <c r="QA36" i="25"/>
  <c r="PA36" i="25"/>
  <c r="RA36" i="25"/>
  <c r="SA37" i="25"/>
  <c r="QA37" i="25"/>
  <c r="RA37" i="25"/>
  <c r="PA37" i="25"/>
  <c r="RA39" i="25"/>
  <c r="SA39" i="25"/>
  <c r="QA39" i="25"/>
  <c r="PA39" i="25"/>
  <c r="SA49" i="25"/>
  <c r="QA49" i="25"/>
  <c r="RA49" i="25"/>
  <c r="PA49" i="25"/>
  <c r="SA28" i="25"/>
  <c r="QA28" i="25"/>
  <c r="PA28" i="25"/>
  <c r="RA28" i="25"/>
  <c r="RA54" i="25"/>
  <c r="QA54" i="25"/>
  <c r="SA54" i="25"/>
  <c r="PA54" i="25"/>
  <c r="SA53" i="25"/>
  <c r="QA53" i="25"/>
  <c r="RA53" i="25"/>
  <c r="PA53" i="25"/>
  <c r="SA29" i="25"/>
  <c r="QA29" i="25"/>
  <c r="RA29" i="25"/>
  <c r="PA29" i="25"/>
  <c r="RA25" i="25"/>
  <c r="SA25" i="25"/>
  <c r="PA25" i="25"/>
  <c r="QA25" i="25"/>
  <c r="SA44" i="25"/>
  <c r="QA44" i="25"/>
  <c r="PA44" i="25"/>
  <c r="RA44" i="25"/>
  <c r="RA46" i="25"/>
  <c r="QA46" i="25"/>
  <c r="PA46" i="25"/>
  <c r="SA46" i="25"/>
  <c r="RA51" i="25"/>
  <c r="SA51" i="25"/>
  <c r="QA51" i="25"/>
  <c r="PA51" i="25"/>
  <c r="SA45" i="25"/>
  <c r="QA45" i="25"/>
  <c r="RA45" i="25"/>
  <c r="PA45" i="25"/>
  <c r="SA41" i="25"/>
  <c r="QA41" i="25"/>
  <c r="RA41" i="25"/>
  <c r="PA41" i="25"/>
  <c r="RA55" i="25"/>
  <c r="SA55" i="25"/>
  <c r="QA55" i="25"/>
  <c r="PA55" i="25"/>
  <c r="SA40" i="25"/>
  <c r="QA40" i="25"/>
  <c r="RA40" i="25"/>
  <c r="PA40" i="25"/>
  <c r="RA43" i="25"/>
  <c r="SA43" i="25"/>
  <c r="QA43" i="25"/>
  <c r="PA43" i="25"/>
  <c r="RA35" i="25"/>
  <c r="SA35" i="25"/>
  <c r="QA35" i="25"/>
  <c r="PA35" i="25"/>
  <c r="SA23" i="25"/>
  <c r="QA23" i="25"/>
  <c r="RA23" i="25"/>
  <c r="PA23" i="25"/>
  <c r="SA24" i="25"/>
  <c r="QA24" i="25"/>
  <c r="RA24" i="25"/>
  <c r="PA24" i="25"/>
  <c r="RA50" i="25"/>
  <c r="QA50" i="25"/>
  <c r="SA50" i="25"/>
  <c r="PA50" i="25"/>
  <c r="RA34" i="25"/>
  <c r="QA34" i="25"/>
  <c r="SA34" i="25"/>
  <c r="PA34" i="25"/>
  <c r="RA47" i="25"/>
  <c r="SA47" i="25"/>
  <c r="QA47" i="25"/>
  <c r="PA47" i="25"/>
  <c r="SA33" i="25"/>
  <c r="QA33" i="25"/>
  <c r="RA33" i="25"/>
  <c r="PA33" i="25"/>
  <c r="RA42" i="25"/>
  <c r="SA42" i="25"/>
  <c r="PA42" i="25"/>
  <c r="QA42" i="25"/>
  <c r="SA52" i="25"/>
  <c r="QA52" i="25"/>
  <c r="PA52" i="25"/>
  <c r="RA52" i="25"/>
  <c r="SA32" i="25"/>
  <c r="QA32" i="25"/>
  <c r="PA32" i="25"/>
  <c r="RA32" i="25"/>
  <c r="RA31" i="25"/>
  <c r="SA31" i="25"/>
  <c r="QA31" i="25"/>
  <c r="PA31" i="25"/>
  <c r="RA27" i="25"/>
  <c r="SA27" i="25"/>
  <c r="QA27" i="25"/>
  <c r="PA27" i="25"/>
  <c r="RA22" i="25"/>
  <c r="SA22" i="25"/>
  <c r="QA22" i="25"/>
  <c r="PA22" i="25"/>
  <c r="SA48" i="25"/>
  <c r="QA48" i="25"/>
  <c r="PA48" i="25"/>
  <c r="RA48" i="25"/>
  <c r="RA38" i="25"/>
  <c r="QA38" i="25"/>
  <c r="SA38" i="25"/>
  <c r="PA38" i="25"/>
  <c r="RA26" i="25"/>
  <c r="QA26" i="25"/>
  <c r="PA26" i="25"/>
  <c r="SA26" i="25"/>
  <c r="PA20" i="25"/>
  <c r="QA20" i="25"/>
  <c r="RA20" i="25"/>
  <c r="SA20" i="25"/>
  <c r="QA21" i="25"/>
  <c r="RA21" i="25"/>
  <c r="SA21" i="25"/>
  <c r="PA21" i="25"/>
  <c r="DP40" i="25"/>
  <c r="FO40" i="25"/>
  <c r="FN40" i="25"/>
  <c r="DR40" i="25"/>
  <c r="FM40" i="25"/>
  <c r="FP40" i="25" s="1"/>
  <c r="DQ40" i="25"/>
  <c r="DR30" i="25"/>
  <c r="FM30" i="25"/>
  <c r="FP30" i="25" s="1"/>
  <c r="DQ30" i="25"/>
  <c r="DP30" i="25"/>
  <c r="FO30" i="25"/>
  <c r="FN30" i="25"/>
  <c r="DQ29" i="25"/>
  <c r="DP29" i="25"/>
  <c r="FO29" i="25"/>
  <c r="FN29" i="25"/>
  <c r="DR29" i="25"/>
  <c r="FM29" i="25"/>
  <c r="FP29" i="25" s="1"/>
  <c r="DQ25" i="25"/>
  <c r="DP25" i="25"/>
  <c r="FO25" i="25"/>
  <c r="FN25" i="25"/>
  <c r="DR25" i="25"/>
  <c r="FM25" i="25"/>
  <c r="FP25" i="25" s="1"/>
  <c r="FN51" i="25"/>
  <c r="DR51" i="25"/>
  <c r="FM51" i="25"/>
  <c r="FP51" i="25" s="1"/>
  <c r="DQ51" i="25"/>
  <c r="DP51" i="25"/>
  <c r="FO51" i="25"/>
  <c r="FN27" i="25"/>
  <c r="DR27" i="25"/>
  <c r="FM27" i="25"/>
  <c r="FP27" i="25" s="1"/>
  <c r="DQ27" i="25"/>
  <c r="DP27" i="25"/>
  <c r="FO27" i="25"/>
  <c r="FN47" i="25"/>
  <c r="DR47" i="25"/>
  <c r="FM47" i="25"/>
  <c r="FP47" i="25" s="1"/>
  <c r="DQ47" i="25"/>
  <c r="DP47" i="25"/>
  <c r="FO47" i="25"/>
  <c r="FN43" i="25"/>
  <c r="DR43" i="25"/>
  <c r="FM43" i="25"/>
  <c r="FP43" i="25" s="1"/>
  <c r="DQ43" i="25"/>
  <c r="DP43" i="25"/>
  <c r="FO43" i="25"/>
  <c r="DQ33" i="25"/>
  <c r="DP33" i="25"/>
  <c r="FO33" i="25"/>
  <c r="FN33" i="25"/>
  <c r="DR33" i="25"/>
  <c r="FM33" i="25"/>
  <c r="FP33" i="25" s="1"/>
  <c r="FN35" i="25"/>
  <c r="DR35" i="25"/>
  <c r="FM35" i="25"/>
  <c r="FP35" i="25" s="1"/>
  <c r="DQ35" i="25"/>
  <c r="DP35" i="25"/>
  <c r="FO35" i="25"/>
  <c r="DR21" i="25"/>
  <c r="DQ21" i="25"/>
  <c r="FO21" i="25"/>
  <c r="DP21" i="25"/>
  <c r="FN21" i="25"/>
  <c r="FM21" i="25"/>
  <c r="FP21" i="25" s="1"/>
  <c r="DQ49" i="25"/>
  <c r="DP49" i="25"/>
  <c r="FO49" i="25"/>
  <c r="FN49" i="25"/>
  <c r="DR49" i="25"/>
  <c r="FM49" i="25"/>
  <c r="FP49" i="25" s="1"/>
  <c r="DP28" i="25"/>
  <c r="FO28" i="25"/>
  <c r="FN28" i="25"/>
  <c r="DR28" i="25"/>
  <c r="FM28" i="25"/>
  <c r="FP28" i="25" s="1"/>
  <c r="DQ28" i="25"/>
  <c r="DQ41" i="25"/>
  <c r="DP41" i="25"/>
  <c r="FO41" i="25"/>
  <c r="FN41" i="25"/>
  <c r="DR41" i="25"/>
  <c r="FM41" i="25"/>
  <c r="FP41" i="25" s="1"/>
  <c r="DR34" i="25"/>
  <c r="FM34" i="25"/>
  <c r="FP34" i="25" s="1"/>
  <c r="DQ34" i="25"/>
  <c r="DP34" i="25"/>
  <c r="FO34" i="25"/>
  <c r="FN34" i="25"/>
  <c r="DP32" i="25"/>
  <c r="FO32" i="25"/>
  <c r="FN32" i="25"/>
  <c r="DR32" i="25"/>
  <c r="FM32" i="25"/>
  <c r="FP32" i="25" s="1"/>
  <c r="DQ32" i="25"/>
  <c r="DR20" i="25"/>
  <c r="FO20" i="25"/>
  <c r="DQ20" i="25"/>
  <c r="FN20" i="25"/>
  <c r="DP20" i="25"/>
  <c r="FM20" i="25"/>
  <c r="FP20" i="25" s="1"/>
  <c r="FN23" i="25"/>
  <c r="DR23" i="25"/>
  <c r="FM23" i="25"/>
  <c r="FP23" i="25" s="1"/>
  <c r="DQ23" i="25"/>
  <c r="DP23" i="25"/>
  <c r="FO23" i="25"/>
  <c r="DR26" i="25"/>
  <c r="FM26" i="25"/>
  <c r="FP26" i="25" s="1"/>
  <c r="DQ26" i="25"/>
  <c r="DP26" i="25"/>
  <c r="FO26" i="25"/>
  <c r="FN26" i="25"/>
  <c r="DR50" i="25"/>
  <c r="FM50" i="25"/>
  <c r="FP50" i="25" s="1"/>
  <c r="DQ50" i="25"/>
  <c r="DP50" i="25"/>
  <c r="FO50" i="25"/>
  <c r="FN50" i="25"/>
  <c r="DP48" i="25"/>
  <c r="FO48" i="25"/>
  <c r="FN48" i="25"/>
  <c r="DR48" i="25"/>
  <c r="FM48" i="25"/>
  <c r="FP48" i="25" s="1"/>
  <c r="DQ48" i="25"/>
  <c r="DQ53" i="25"/>
  <c r="DP53" i="25"/>
  <c r="FO53" i="25"/>
  <c r="FN53" i="25"/>
  <c r="DR53" i="25"/>
  <c r="FM53" i="25"/>
  <c r="FP53" i="25" s="1"/>
  <c r="DR42" i="25"/>
  <c r="FM42" i="25"/>
  <c r="FP42" i="25" s="1"/>
  <c r="DQ42" i="25"/>
  <c r="DP42" i="25"/>
  <c r="FO42" i="25"/>
  <c r="FN42" i="25"/>
  <c r="DP52" i="25"/>
  <c r="FO52" i="25"/>
  <c r="FN52" i="25"/>
  <c r="DR52" i="25"/>
  <c r="FM52" i="25"/>
  <c r="FP52" i="25" s="1"/>
  <c r="DQ52" i="25"/>
  <c r="DP44" i="25"/>
  <c r="FO44" i="25"/>
  <c r="FN44" i="25"/>
  <c r="DR44" i="25"/>
  <c r="FM44" i="25"/>
  <c r="FP44" i="25" s="1"/>
  <c r="DQ44" i="25"/>
  <c r="FN31" i="25"/>
  <c r="DR31" i="25"/>
  <c r="FM31" i="25"/>
  <c r="FP31" i="25" s="1"/>
  <c r="DQ31" i="25"/>
  <c r="DP31" i="25"/>
  <c r="FO31" i="25"/>
  <c r="DR46" i="25"/>
  <c r="FM46" i="25"/>
  <c r="FP46" i="25" s="1"/>
  <c r="DQ46" i="25"/>
  <c r="DP46" i="25"/>
  <c r="FO46" i="25"/>
  <c r="FN46" i="25"/>
  <c r="DP24" i="25"/>
  <c r="FO24" i="25"/>
  <c r="FN24" i="25"/>
  <c r="DR24" i="25"/>
  <c r="FM24" i="25"/>
  <c r="FP24" i="25" s="1"/>
  <c r="DQ24" i="25"/>
  <c r="DR22" i="25"/>
  <c r="FM22" i="25"/>
  <c r="FP22" i="25" s="1"/>
  <c r="DQ22" i="25"/>
  <c r="DP22" i="25"/>
  <c r="FO22" i="25"/>
  <c r="FN22" i="25"/>
  <c r="DQ45" i="25"/>
  <c r="DP45" i="25"/>
  <c r="FO45" i="25"/>
  <c r="FN45" i="25"/>
  <c r="DR45" i="25"/>
  <c r="FM45" i="25"/>
  <c r="FP45" i="25" s="1"/>
  <c r="DR39" i="25"/>
  <c r="FO39" i="25"/>
  <c r="DQ39" i="25"/>
  <c r="FN39" i="25"/>
  <c r="DP39" i="25"/>
  <c r="FM39" i="25"/>
  <c r="FP39" i="25" s="1"/>
  <c r="DR36" i="25"/>
  <c r="FO36" i="25"/>
  <c r="DQ36" i="25"/>
  <c r="FN36" i="25"/>
  <c r="DP36" i="25"/>
  <c r="FM36" i="25"/>
  <c r="FP36" i="25" s="1"/>
  <c r="DR54" i="25"/>
  <c r="FO54" i="25"/>
  <c r="DQ54" i="25"/>
  <c r="FN54" i="25"/>
  <c r="DP54" i="25"/>
  <c r="FM54" i="25"/>
  <c r="FP54" i="25" s="1"/>
  <c r="DR55" i="25"/>
  <c r="FO55" i="25"/>
  <c r="DQ55" i="25"/>
  <c r="FN55" i="25"/>
  <c r="DP55" i="25"/>
  <c r="FM55" i="25"/>
  <c r="FP55" i="25" s="1"/>
  <c r="DR37" i="25"/>
  <c r="FM37" i="25"/>
  <c r="FP37" i="25" s="1"/>
  <c r="DQ37" i="25"/>
  <c r="DP37" i="25"/>
  <c r="FO37" i="25"/>
  <c r="FN37" i="25"/>
  <c r="FN38" i="25"/>
  <c r="DR38" i="25"/>
  <c r="FM38" i="25"/>
  <c r="FP38" i="25" s="1"/>
  <c r="DQ38" i="25"/>
  <c r="DP38" i="25"/>
  <c r="FO38" i="25"/>
  <c r="RN55" i="25"/>
  <c r="QN55" i="25"/>
  <c r="PO55" i="25"/>
  <c r="PM55" i="25"/>
  <c r="PP55" i="25" s="1"/>
  <c r="IN55" i="25"/>
  <c r="JN55" i="25"/>
  <c r="IO55" i="25"/>
  <c r="HN55" i="25"/>
  <c r="GM55" i="25"/>
  <c r="GP55" i="25" s="1"/>
  <c r="OO55" i="25"/>
  <c r="LM55" i="25"/>
  <c r="LP55" i="25" s="1"/>
  <c r="EQ55" i="25"/>
  <c r="HT55" i="25"/>
  <c r="HA55" i="25"/>
  <c r="QI55" i="25"/>
  <c r="OA55" i="25"/>
  <c r="JD55" i="25"/>
  <c r="KA55" i="25"/>
  <c r="IA55" i="25"/>
  <c r="RO55" i="25"/>
  <c r="RM55" i="25"/>
  <c r="RP55" i="25" s="1"/>
  <c r="NO55" i="25"/>
  <c r="NM55" i="25"/>
  <c r="NP55" i="25" s="1"/>
  <c r="MM55" i="25"/>
  <c r="MP55" i="25" s="1"/>
  <c r="KM55" i="25"/>
  <c r="KP55" i="25" s="1"/>
  <c r="KO55" i="25"/>
  <c r="JM55" i="25"/>
  <c r="JP55" i="25" s="1"/>
  <c r="GO55" i="25"/>
  <c r="HM55" i="25"/>
  <c r="HP55" i="25" s="1"/>
  <c r="LN55" i="25"/>
  <c r="ER55" i="25"/>
  <c r="HI55" i="25"/>
  <c r="FT55" i="25"/>
  <c r="FA55" i="25"/>
  <c r="RI55" i="25"/>
  <c r="KI55" i="25"/>
  <c r="FI55" i="25"/>
  <c r="NA55" i="25"/>
  <c r="SO55" i="25"/>
  <c r="QM55" i="25"/>
  <c r="QP55" i="25" s="1"/>
  <c r="PN55" i="25"/>
  <c r="MN55" i="25"/>
  <c r="IM55" i="25"/>
  <c r="KN55" i="25"/>
  <c r="HO55" i="25"/>
  <c r="SM55" i="25"/>
  <c r="SP55" i="25" s="1"/>
  <c r="OM55" i="25"/>
  <c r="OP55" i="25" s="1"/>
  <c r="LO55" i="25"/>
  <c r="ES55" i="25"/>
  <c r="EA55" i="25"/>
  <c r="DF55" i="25"/>
  <c r="GA55" i="25"/>
  <c r="SI55" i="25"/>
  <c r="PI55" i="25"/>
  <c r="MI55" i="25"/>
  <c r="JI55" i="25"/>
  <c r="LD55" i="25"/>
  <c r="LA55" i="25"/>
  <c r="QO55" i="25"/>
  <c r="SN55" i="25"/>
  <c r="NN55" i="25"/>
  <c r="MO55" i="25"/>
  <c r="JO55" i="25"/>
  <c r="GN55" i="25"/>
  <c r="ON55" i="25"/>
  <c r="EX55" i="25"/>
  <c r="AH55" i="25" s="1"/>
  <c r="DL55" i="25"/>
  <c r="GI55" i="25"/>
  <c r="GD55" i="25"/>
  <c r="EL55" i="25"/>
  <c r="NI55" i="25"/>
  <c r="MA55" i="25"/>
  <c r="LI55" i="25"/>
  <c r="JA55" i="25"/>
  <c r="II55" i="25"/>
  <c r="OI55" i="25"/>
  <c r="KC55" i="25"/>
  <c r="KT55" i="25"/>
  <c r="RO54" i="25"/>
  <c r="SN54" i="25"/>
  <c r="NO54" i="25"/>
  <c r="NM54" i="25"/>
  <c r="NP54" i="25" s="1"/>
  <c r="MM54" i="25"/>
  <c r="MP54" i="25" s="1"/>
  <c r="IM54" i="25"/>
  <c r="IP54" i="25" s="1"/>
  <c r="KN54" i="25"/>
  <c r="GO54" i="25"/>
  <c r="OM54" i="25"/>
  <c r="OP54" i="25" s="1"/>
  <c r="LO54" i="25"/>
  <c r="EQ54" i="25"/>
  <c r="GI54" i="25"/>
  <c r="FT54" i="25"/>
  <c r="GD54" i="25"/>
  <c r="OC54" i="25"/>
  <c r="MT54" i="25"/>
  <c r="LT54" i="25"/>
  <c r="OI54" i="25"/>
  <c r="QO54" i="25"/>
  <c r="QM54" i="25"/>
  <c r="PN54" i="25"/>
  <c r="MN54" i="25"/>
  <c r="JO54" i="25"/>
  <c r="HO54" i="25"/>
  <c r="GN54" i="25"/>
  <c r="GM54" i="25"/>
  <c r="GP54" i="25" s="1"/>
  <c r="ON54" i="25"/>
  <c r="LM54" i="25"/>
  <c r="LP54" i="25" s="1"/>
  <c r="ER54" i="25"/>
  <c r="HC54" i="25"/>
  <c r="GG54" i="25"/>
  <c r="HA54" i="25"/>
  <c r="SI54" i="25"/>
  <c r="NI54" i="25"/>
  <c r="LA54" i="25"/>
  <c r="LI54" i="25"/>
  <c r="MA54" i="25"/>
  <c r="II54" i="25"/>
  <c r="IC54" i="25"/>
  <c r="RN54" i="25"/>
  <c r="QN54" i="25"/>
  <c r="NN54" i="25"/>
  <c r="MO54" i="25"/>
  <c r="IN54" i="25"/>
  <c r="JN54" i="25"/>
  <c r="IO54" i="25"/>
  <c r="HN54" i="25"/>
  <c r="HM54" i="25"/>
  <c r="HP54" i="25" s="1"/>
  <c r="LN54" i="25"/>
  <c r="EA54" i="25"/>
  <c r="DL54" i="25"/>
  <c r="HI54" i="25"/>
  <c r="EL54" i="25"/>
  <c r="FA54" i="25"/>
  <c r="QI54" i="25"/>
  <c r="PD54" i="25"/>
  <c r="PI54" i="25"/>
  <c r="MI54" i="25"/>
  <c r="JA54" i="25"/>
  <c r="NA54" i="25"/>
  <c r="SO54" i="25"/>
  <c r="RM54" i="25"/>
  <c r="RP54" i="25" s="1"/>
  <c r="PO54" i="25"/>
  <c r="PM54" i="25"/>
  <c r="PP54" i="25" s="1"/>
  <c r="KM54" i="25"/>
  <c r="KP54" i="25" s="1"/>
  <c r="KO54" i="25"/>
  <c r="JM54" i="25"/>
  <c r="JP54" i="25" s="1"/>
  <c r="SM54" i="25"/>
  <c r="OO54" i="25"/>
  <c r="ES54" i="25"/>
  <c r="EG54" i="25"/>
  <c r="DF54" i="25"/>
  <c r="GA54" i="25"/>
  <c r="RI54" i="25"/>
  <c r="OA54" i="25"/>
  <c r="JD54" i="25"/>
  <c r="KA54" i="25"/>
  <c r="KI54" i="25"/>
  <c r="JI54" i="25"/>
  <c r="IA54" i="25"/>
  <c r="FI54" i="25"/>
  <c r="NT54" i="25"/>
  <c r="RO34" i="25"/>
  <c r="SN34" i="25"/>
  <c r="NO34" i="25"/>
  <c r="NM34" i="25"/>
  <c r="NP34" i="25" s="1"/>
  <c r="MN34" i="25"/>
  <c r="QO34" i="25"/>
  <c r="QM34" i="25"/>
  <c r="PN34" i="25"/>
  <c r="MO34" i="25"/>
  <c r="RN34" i="25"/>
  <c r="QN34" i="25"/>
  <c r="NN34" i="25"/>
  <c r="SO34" i="25"/>
  <c r="RM34" i="25"/>
  <c r="RP34" i="25" s="1"/>
  <c r="PO34" i="25"/>
  <c r="PM34" i="25"/>
  <c r="PP34" i="25" s="1"/>
  <c r="MM34" i="25"/>
  <c r="MP34" i="25" s="1"/>
  <c r="IN34" i="25"/>
  <c r="KO34" i="25"/>
  <c r="JM34" i="25"/>
  <c r="JP34" i="25" s="1"/>
  <c r="SM34" i="25"/>
  <c r="ON34" i="25"/>
  <c r="LM34" i="25"/>
  <c r="LP34" i="25" s="1"/>
  <c r="EC34" i="25"/>
  <c r="AA34" i="19"/>
  <c r="KM34" i="25"/>
  <c r="KP34" i="25" s="1"/>
  <c r="IM34" i="25"/>
  <c r="IP34" i="25" s="1"/>
  <c r="KN34" i="25"/>
  <c r="GO34" i="25"/>
  <c r="LN34" i="25"/>
  <c r="ES34" i="25"/>
  <c r="JO34" i="25"/>
  <c r="HO34" i="25"/>
  <c r="GN34" i="25"/>
  <c r="GM34" i="25"/>
  <c r="GP34" i="25" s="1"/>
  <c r="OO34" i="25"/>
  <c r="EQ34" i="25"/>
  <c r="JN34" i="25"/>
  <c r="IO34" i="25"/>
  <c r="HN34" i="25"/>
  <c r="HM34" i="25"/>
  <c r="HP34" i="25" s="1"/>
  <c r="OM34" i="25"/>
  <c r="OP34" i="25" s="1"/>
  <c r="LO34" i="25"/>
  <c r="ER34" i="25"/>
  <c r="EA34" i="25"/>
  <c r="DL34" i="25"/>
  <c r="GI34" i="25"/>
  <c r="FG34" i="25"/>
  <c r="GD34" i="25"/>
  <c r="HC34" i="25"/>
  <c r="HA34" i="25"/>
  <c r="HI34" i="25"/>
  <c r="GG34" i="25"/>
  <c r="EL34" i="25"/>
  <c r="FA34" i="25"/>
  <c r="GA34" i="25"/>
  <c r="RI34" i="25"/>
  <c r="PD34" i="25"/>
  <c r="MI34" i="25"/>
  <c r="JC34" i="25"/>
  <c r="KA34" i="25"/>
  <c r="KI34" i="25"/>
  <c r="LT34" i="25"/>
  <c r="NC34" i="25"/>
  <c r="RC34" i="25"/>
  <c r="MA34" i="25"/>
  <c r="IA34" i="25"/>
  <c r="FI34" i="25"/>
  <c r="OI34" i="25"/>
  <c r="SI34" i="25"/>
  <c r="QI34" i="25"/>
  <c r="NI34" i="25"/>
  <c r="LA34" i="25"/>
  <c r="LI34" i="25"/>
  <c r="JI34" i="25"/>
  <c r="PI34" i="25"/>
  <c r="OA34" i="25"/>
  <c r="JA34" i="25"/>
  <c r="II34" i="25"/>
  <c r="IC34" i="25"/>
  <c r="NA34" i="25"/>
  <c r="RO47" i="25"/>
  <c r="RM47" i="25"/>
  <c r="RP47" i="25" s="1"/>
  <c r="NO47" i="25"/>
  <c r="NM47" i="25"/>
  <c r="NP47" i="25" s="1"/>
  <c r="MN47" i="25"/>
  <c r="SO47" i="25"/>
  <c r="QM47" i="25"/>
  <c r="PN47" i="25"/>
  <c r="MO47" i="25"/>
  <c r="QO47" i="25"/>
  <c r="SN47" i="25"/>
  <c r="NN47" i="25"/>
  <c r="RN47" i="25"/>
  <c r="QN47" i="25"/>
  <c r="PO47" i="25"/>
  <c r="PM47" i="25"/>
  <c r="PP47" i="25" s="1"/>
  <c r="MM47" i="25"/>
  <c r="MP47" i="25" s="1"/>
  <c r="IN47" i="25"/>
  <c r="JN47" i="25"/>
  <c r="GN47" i="25"/>
  <c r="LO47" i="25"/>
  <c r="EQ47" i="25"/>
  <c r="AA47" i="19"/>
  <c r="KM47" i="25"/>
  <c r="KP47" i="25" s="1"/>
  <c r="KO47" i="25"/>
  <c r="IO47" i="25"/>
  <c r="HN47" i="25"/>
  <c r="GM47" i="25"/>
  <c r="GP47" i="25" s="1"/>
  <c r="OM47" i="25"/>
  <c r="OP47" i="25" s="1"/>
  <c r="ER47" i="25"/>
  <c r="EA47" i="25"/>
  <c r="DL47" i="25"/>
  <c r="IM47" i="25"/>
  <c r="IP47" i="25" s="1"/>
  <c r="JM47" i="25"/>
  <c r="JP47" i="25" s="1"/>
  <c r="GO47" i="25"/>
  <c r="HM47" i="25"/>
  <c r="HP47" i="25" s="1"/>
  <c r="ON47" i="25"/>
  <c r="LM47" i="25"/>
  <c r="LP47" i="25" s="1"/>
  <c r="ES47" i="25"/>
  <c r="EG47" i="25"/>
  <c r="JO47" i="25"/>
  <c r="KN47" i="25"/>
  <c r="HO47" i="25"/>
  <c r="SM47" i="25"/>
  <c r="OO47" i="25"/>
  <c r="LN47" i="25"/>
  <c r="HI47" i="25"/>
  <c r="GA47" i="25"/>
  <c r="QI47" i="25"/>
  <c r="OC47" i="25"/>
  <c r="LA47" i="25"/>
  <c r="II47" i="25"/>
  <c r="GI47" i="25"/>
  <c r="GD47" i="25"/>
  <c r="EL47" i="25"/>
  <c r="SI47" i="25"/>
  <c r="RI47" i="25"/>
  <c r="MI47" i="25"/>
  <c r="JI47" i="25"/>
  <c r="KA47" i="25"/>
  <c r="IC47" i="25"/>
  <c r="IA47" i="25"/>
  <c r="HT47" i="25"/>
  <c r="HA47" i="25"/>
  <c r="RT47" i="25"/>
  <c r="MA47" i="25"/>
  <c r="LI47" i="25"/>
  <c r="JA47" i="25"/>
  <c r="KI47" i="25"/>
  <c r="FI47" i="25"/>
  <c r="FC47" i="25"/>
  <c r="FA47" i="25"/>
  <c r="PI47" i="25"/>
  <c r="NI47" i="25"/>
  <c r="OA47" i="25"/>
  <c r="JD47" i="25"/>
  <c r="NA47" i="25"/>
  <c r="ND47" i="25"/>
  <c r="OI47" i="25"/>
  <c r="SO42" i="25"/>
  <c r="RM42" i="25"/>
  <c r="RP42" i="25" s="1"/>
  <c r="PO42" i="25"/>
  <c r="PM42" i="25"/>
  <c r="PP42" i="25" s="1"/>
  <c r="MM42" i="25"/>
  <c r="MP42" i="25" s="1"/>
  <c r="KM42" i="25"/>
  <c r="KP42" i="25" s="1"/>
  <c r="IM42" i="25"/>
  <c r="IP42" i="25" s="1"/>
  <c r="KN42" i="25"/>
  <c r="GO42" i="25"/>
  <c r="RO42" i="25"/>
  <c r="SN42" i="25"/>
  <c r="NO42" i="25"/>
  <c r="NM42" i="25"/>
  <c r="NP42" i="25" s="1"/>
  <c r="MN42" i="25"/>
  <c r="JO42" i="25"/>
  <c r="HO42" i="25"/>
  <c r="GN42" i="25"/>
  <c r="GM42" i="25"/>
  <c r="GP42" i="25" s="1"/>
  <c r="QO42" i="25"/>
  <c r="QM42" i="25"/>
  <c r="PN42" i="25"/>
  <c r="MO42" i="25"/>
  <c r="JN42" i="25"/>
  <c r="IO42" i="25"/>
  <c r="HN42" i="25"/>
  <c r="HM42" i="25"/>
  <c r="HP42" i="25" s="1"/>
  <c r="RN42" i="25"/>
  <c r="QN42" i="25"/>
  <c r="NN42" i="25"/>
  <c r="IN42" i="25"/>
  <c r="KO42" i="25"/>
  <c r="JM42" i="25"/>
  <c r="JP42" i="25" s="1"/>
  <c r="SM42" i="25"/>
  <c r="OM42" i="25"/>
  <c r="OP42" i="25" s="1"/>
  <c r="LO42" i="25"/>
  <c r="ER42" i="25"/>
  <c r="EG42" i="25"/>
  <c r="ON42" i="25"/>
  <c r="LM42" i="25"/>
  <c r="LP42" i="25" s="1"/>
  <c r="DL42" i="25"/>
  <c r="LN42" i="25"/>
  <c r="ES42" i="25"/>
  <c r="AA42" i="19"/>
  <c r="OO42" i="25"/>
  <c r="EQ42" i="25"/>
  <c r="EA42" i="25"/>
  <c r="HI42" i="25"/>
  <c r="EL42" i="25"/>
  <c r="GI42" i="25"/>
  <c r="GA42" i="25"/>
  <c r="HT42" i="25"/>
  <c r="FT42" i="25"/>
  <c r="GD42" i="25"/>
  <c r="GT42" i="25"/>
  <c r="HA42" i="25"/>
  <c r="FA42" i="25"/>
  <c r="PT42" i="25"/>
  <c r="LI42" i="25"/>
  <c r="MA42" i="25"/>
  <c r="IA42" i="25"/>
  <c r="FI42" i="25"/>
  <c r="SC42" i="25"/>
  <c r="OI42" i="25"/>
  <c r="SI42" i="25"/>
  <c r="PI42" i="25"/>
  <c r="LA42" i="25"/>
  <c r="JI42" i="25"/>
  <c r="QI42" i="25"/>
  <c r="RD42" i="25"/>
  <c r="NI42" i="25"/>
  <c r="JT42" i="25"/>
  <c r="JA42" i="25"/>
  <c r="II42" i="25"/>
  <c r="IC42" i="25"/>
  <c r="NA42" i="25"/>
  <c r="RI42" i="25"/>
  <c r="OA42" i="25"/>
  <c r="MI42" i="25"/>
  <c r="KA42" i="25"/>
  <c r="KI42" i="25"/>
  <c r="LD42" i="25"/>
  <c r="ND42" i="25"/>
  <c r="RO52" i="25"/>
  <c r="QN52" i="25"/>
  <c r="PO52" i="25"/>
  <c r="PM52" i="25"/>
  <c r="PP52" i="25" s="1"/>
  <c r="JO52" i="25"/>
  <c r="GM52" i="25"/>
  <c r="GP52" i="25" s="1"/>
  <c r="SN52" i="25"/>
  <c r="RM52" i="25"/>
  <c r="RP52" i="25" s="1"/>
  <c r="NO52" i="25"/>
  <c r="NM52" i="25"/>
  <c r="NP52" i="25" s="1"/>
  <c r="MM52" i="25"/>
  <c r="MP52" i="25" s="1"/>
  <c r="IN52" i="25"/>
  <c r="JN52" i="25"/>
  <c r="IO52" i="25"/>
  <c r="GO52" i="25"/>
  <c r="HM52" i="25"/>
  <c r="HP52" i="25" s="1"/>
  <c r="QO52" i="25"/>
  <c r="QM52" i="25"/>
  <c r="PN52" i="25"/>
  <c r="MN52" i="25"/>
  <c r="KM52" i="25"/>
  <c r="KP52" i="25" s="1"/>
  <c r="KO52" i="25"/>
  <c r="JM52" i="25"/>
  <c r="JP52" i="25" s="1"/>
  <c r="HO52" i="25"/>
  <c r="GN52" i="25"/>
  <c r="RN52" i="25"/>
  <c r="SO52" i="25"/>
  <c r="NN52" i="25"/>
  <c r="MO52" i="25"/>
  <c r="IM52" i="25"/>
  <c r="IP52" i="25" s="1"/>
  <c r="KN52" i="25"/>
  <c r="SM52" i="25"/>
  <c r="HN52" i="25"/>
  <c r="ON52" i="25"/>
  <c r="LM52" i="25"/>
  <c r="LP52" i="25" s="1"/>
  <c r="EQ52" i="25"/>
  <c r="EA52" i="25"/>
  <c r="DF52" i="25"/>
  <c r="OM52" i="25"/>
  <c r="OP52" i="25" s="1"/>
  <c r="LN52" i="25"/>
  <c r="ER52" i="25"/>
  <c r="EG52" i="25"/>
  <c r="OO52" i="25"/>
  <c r="LO52" i="25"/>
  <c r="ES52" i="25"/>
  <c r="DL52" i="25"/>
  <c r="GI52" i="25"/>
  <c r="HA52" i="25"/>
  <c r="FA52" i="25"/>
  <c r="QI52" i="25"/>
  <c r="RI52" i="25"/>
  <c r="NI52" i="25"/>
  <c r="MI52" i="25"/>
  <c r="KI52" i="25"/>
  <c r="LI52" i="25"/>
  <c r="HC52" i="25"/>
  <c r="EL52" i="25"/>
  <c r="OA52" i="25"/>
  <c r="MA52" i="25"/>
  <c r="JI52" i="25"/>
  <c r="FI52" i="25"/>
  <c r="HI52" i="25"/>
  <c r="GA52" i="25"/>
  <c r="SI52" i="25"/>
  <c r="PI52" i="25"/>
  <c r="LA52" i="25"/>
  <c r="KA52" i="25"/>
  <c r="JA52" i="25"/>
  <c r="II52" i="25"/>
  <c r="IC52" i="25"/>
  <c r="FD52" i="25"/>
  <c r="GD52" i="25"/>
  <c r="RT52" i="25"/>
  <c r="JC52" i="25"/>
  <c r="IA52" i="25"/>
  <c r="ND52" i="25"/>
  <c r="NA52" i="25"/>
  <c r="OI52" i="25"/>
  <c r="SN32" i="25"/>
  <c r="RM32" i="25"/>
  <c r="RP32" i="25" s="1"/>
  <c r="NO32" i="25"/>
  <c r="NM32" i="25"/>
  <c r="NP32" i="25" s="1"/>
  <c r="MN32" i="25"/>
  <c r="QO32" i="25"/>
  <c r="QM32" i="25"/>
  <c r="PN32" i="25"/>
  <c r="MO32" i="25"/>
  <c r="RN32" i="25"/>
  <c r="SO32" i="25"/>
  <c r="NN32" i="25"/>
  <c r="RO32" i="25"/>
  <c r="QN32" i="25"/>
  <c r="PO32" i="25"/>
  <c r="PM32" i="25"/>
  <c r="PP32" i="25" s="1"/>
  <c r="MM32" i="25"/>
  <c r="MP32" i="25" s="1"/>
  <c r="JO32" i="25"/>
  <c r="KN32" i="25"/>
  <c r="SM32" i="25"/>
  <c r="HN32" i="25"/>
  <c r="OO32" i="25"/>
  <c r="LN32" i="25"/>
  <c r="EX32" i="25"/>
  <c r="AH32" i="25" s="1"/>
  <c r="AA32" i="19"/>
  <c r="JN32" i="25"/>
  <c r="GM32" i="25"/>
  <c r="GP32" i="25" s="1"/>
  <c r="LO32" i="25"/>
  <c r="EQ32" i="25"/>
  <c r="IN32" i="25"/>
  <c r="KO32" i="25"/>
  <c r="IO32" i="25"/>
  <c r="GO32" i="25"/>
  <c r="HM32" i="25"/>
  <c r="HP32" i="25" s="1"/>
  <c r="ON32" i="25"/>
  <c r="ER32" i="25"/>
  <c r="DL32" i="25"/>
  <c r="KM32" i="25"/>
  <c r="KP32" i="25" s="1"/>
  <c r="IM32" i="25"/>
  <c r="IP32" i="25" s="1"/>
  <c r="JM32" i="25"/>
  <c r="JP32" i="25" s="1"/>
  <c r="HO32" i="25"/>
  <c r="GN32" i="25"/>
  <c r="OM32" i="25"/>
  <c r="OP32" i="25" s="1"/>
  <c r="LM32" i="25"/>
  <c r="LP32" i="25" s="1"/>
  <c r="ES32" i="25"/>
  <c r="EA32" i="25"/>
  <c r="GI32" i="25"/>
  <c r="EL32" i="25"/>
  <c r="FA32" i="25"/>
  <c r="QI32" i="25"/>
  <c r="PI32" i="25"/>
  <c r="OA32" i="25"/>
  <c r="OT32" i="25"/>
  <c r="LA32" i="25"/>
  <c r="KA32" i="25"/>
  <c r="JC32" i="25"/>
  <c r="IA32" i="25"/>
  <c r="HC32" i="25"/>
  <c r="GA32" i="25"/>
  <c r="RI32" i="25"/>
  <c r="LD32" i="25"/>
  <c r="FC32" i="25"/>
  <c r="GD32" i="25"/>
  <c r="SI32" i="25"/>
  <c r="KI32" i="25"/>
  <c r="LI32" i="25"/>
  <c r="JI32" i="25"/>
  <c r="MC32" i="25"/>
  <c r="FI32" i="25"/>
  <c r="HI32" i="25"/>
  <c r="GG32" i="25"/>
  <c r="GU32" i="25" s="1"/>
  <c r="HA32" i="25"/>
  <c r="RT32" i="25"/>
  <c r="NI32" i="25"/>
  <c r="MI32" i="25"/>
  <c r="MA32" i="25"/>
  <c r="JA32" i="25"/>
  <c r="II32" i="25"/>
  <c r="IC32" i="25"/>
  <c r="NA32" i="25"/>
  <c r="OI32" i="25"/>
  <c r="NC32" i="25"/>
  <c r="SN29" i="25"/>
  <c r="QN29" i="25"/>
  <c r="NN29" i="25"/>
  <c r="MO29" i="25"/>
  <c r="RO29" i="25"/>
  <c r="RM29" i="25"/>
  <c r="PO29" i="25"/>
  <c r="PM29" i="25"/>
  <c r="SO29" i="25"/>
  <c r="QO29" i="25"/>
  <c r="NO29" i="25"/>
  <c r="NM29" i="25"/>
  <c r="NP29" i="25" s="1"/>
  <c r="MM29" i="25"/>
  <c r="MP29" i="25" s="1"/>
  <c r="RN29" i="25"/>
  <c r="QM29" i="25"/>
  <c r="PN29" i="25"/>
  <c r="MN29" i="25"/>
  <c r="IM29" i="25"/>
  <c r="IP29" i="25" s="1"/>
  <c r="JM29" i="25"/>
  <c r="JP29" i="25" s="1"/>
  <c r="GO29" i="25"/>
  <c r="GN29" i="25"/>
  <c r="EG29" i="25"/>
  <c r="JO29" i="25"/>
  <c r="KN29" i="25"/>
  <c r="HO29" i="25"/>
  <c r="HN29" i="25"/>
  <c r="GM29" i="25"/>
  <c r="GP29" i="25" s="1"/>
  <c r="ON29" i="25"/>
  <c r="LN29" i="25"/>
  <c r="ER29" i="25"/>
  <c r="AA29" i="19"/>
  <c r="IN29" i="25"/>
  <c r="JN29" i="25"/>
  <c r="SM29" i="25"/>
  <c r="HM29" i="25"/>
  <c r="HP29" i="25" s="1"/>
  <c r="OO29" i="25"/>
  <c r="LO29" i="25"/>
  <c r="ES29" i="25"/>
  <c r="DL29" i="25"/>
  <c r="KM29" i="25"/>
  <c r="KP29" i="25" s="1"/>
  <c r="KO29" i="25"/>
  <c r="IO29" i="25"/>
  <c r="OM29" i="25"/>
  <c r="OP29" i="25" s="1"/>
  <c r="LM29" i="25"/>
  <c r="LP29" i="25" s="1"/>
  <c r="EQ29" i="25"/>
  <c r="EA29" i="25"/>
  <c r="HI29" i="25"/>
  <c r="GG29" i="25"/>
  <c r="GA29" i="25"/>
  <c r="RD29" i="25"/>
  <c r="RI29" i="25"/>
  <c r="JA29" i="25"/>
  <c r="KI29" i="25"/>
  <c r="LA29" i="25"/>
  <c r="FI29" i="25"/>
  <c r="IA29" i="25"/>
  <c r="II29" i="25"/>
  <c r="GI29" i="25"/>
  <c r="GD29" i="25"/>
  <c r="EL29" i="25"/>
  <c r="SI29" i="25"/>
  <c r="PD29" i="25"/>
  <c r="NI29" i="25"/>
  <c r="LD29" i="25"/>
  <c r="MA29" i="25"/>
  <c r="HD29" i="25"/>
  <c r="HA29" i="25"/>
  <c r="MI29" i="25"/>
  <c r="LI29" i="25"/>
  <c r="JI29" i="25"/>
  <c r="KA29" i="25"/>
  <c r="FG29" i="25"/>
  <c r="FA29" i="25"/>
  <c r="QI29" i="25"/>
  <c r="PI29" i="25"/>
  <c r="OA29" i="25"/>
  <c r="SC29" i="25"/>
  <c r="NA29" i="25"/>
  <c r="OI29" i="25"/>
  <c r="RO20" i="25"/>
  <c r="QN20" i="25"/>
  <c r="PO20" i="25"/>
  <c r="PM20" i="25"/>
  <c r="KM20" i="25"/>
  <c r="KP20" i="25" s="1"/>
  <c r="JO20" i="25"/>
  <c r="KN20" i="25"/>
  <c r="HO20" i="25"/>
  <c r="HN20" i="25"/>
  <c r="SN20" i="25"/>
  <c r="RM20" i="25"/>
  <c r="NO20" i="25"/>
  <c r="NM20" i="25"/>
  <c r="NP20" i="25" s="1"/>
  <c r="MM20" i="25"/>
  <c r="MP20" i="25" s="1"/>
  <c r="JN20" i="25"/>
  <c r="SM20" i="25"/>
  <c r="GM20" i="25"/>
  <c r="GP20" i="25" s="1"/>
  <c r="QO20" i="25"/>
  <c r="QM20" i="25"/>
  <c r="PN20" i="25"/>
  <c r="MN20" i="25"/>
  <c r="IN20" i="25"/>
  <c r="KO20" i="25"/>
  <c r="IO20" i="25"/>
  <c r="HM20" i="25"/>
  <c r="HP20" i="25" s="1"/>
  <c r="RN20" i="25"/>
  <c r="SO20" i="25"/>
  <c r="NN20" i="25"/>
  <c r="MO20" i="25"/>
  <c r="IM20" i="25"/>
  <c r="IP20" i="25" s="1"/>
  <c r="JM20" i="25"/>
  <c r="JP20" i="25" s="1"/>
  <c r="GO20" i="25"/>
  <c r="GN20" i="25"/>
  <c r="ON20" i="25"/>
  <c r="LN20" i="25"/>
  <c r="ES20" i="25"/>
  <c r="DL20" i="25"/>
  <c r="HI20" i="25"/>
  <c r="GA20" i="25"/>
  <c r="LO20" i="25"/>
  <c r="GD20" i="25"/>
  <c r="FA20" i="25"/>
  <c r="OM20" i="25"/>
  <c r="OP20" i="25" s="1"/>
  <c r="EQ20" i="25"/>
  <c r="DF20" i="25"/>
  <c r="GI20" i="25"/>
  <c r="HA20" i="25"/>
  <c r="OO20" i="25"/>
  <c r="LM20" i="25"/>
  <c r="LP20" i="25" s="1"/>
  <c r="ER20" i="25"/>
  <c r="EA20" i="25"/>
  <c r="EL20" i="25"/>
  <c r="QI20" i="25"/>
  <c r="PI20" i="25"/>
  <c r="LA20" i="25"/>
  <c r="JC20" i="25"/>
  <c r="LI20" i="25"/>
  <c r="FI20" i="25"/>
  <c r="II20" i="25"/>
  <c r="SI20" i="25"/>
  <c r="NI20" i="25"/>
  <c r="MI20" i="25"/>
  <c r="KI20" i="25"/>
  <c r="MA20" i="25"/>
  <c r="JI20" i="25"/>
  <c r="JA20" i="25"/>
  <c r="IA20" i="25"/>
  <c r="RI20" i="25"/>
  <c r="OA20" i="25"/>
  <c r="KA20" i="25"/>
  <c r="NA20" i="25"/>
  <c r="OI20" i="25"/>
  <c r="QO26" i="25"/>
  <c r="QM26" i="25"/>
  <c r="PN26" i="25"/>
  <c r="MO26" i="25"/>
  <c r="IM26" i="25"/>
  <c r="IP26" i="25" s="1"/>
  <c r="KN26" i="25"/>
  <c r="HO26" i="25"/>
  <c r="GN26" i="25"/>
  <c r="HM26" i="25"/>
  <c r="HP26" i="25" s="1"/>
  <c r="RN26" i="25"/>
  <c r="QN26" i="25"/>
  <c r="NN26" i="25"/>
  <c r="JO26" i="25"/>
  <c r="HN26" i="25"/>
  <c r="SM26" i="25"/>
  <c r="SO26" i="25"/>
  <c r="RM26" i="25"/>
  <c r="PO26" i="25"/>
  <c r="PM26" i="25"/>
  <c r="MM26" i="25"/>
  <c r="MP26" i="25" s="1"/>
  <c r="IN26" i="25"/>
  <c r="JN26" i="25"/>
  <c r="IO26" i="25"/>
  <c r="RO26" i="25"/>
  <c r="SN26" i="25"/>
  <c r="NO26" i="25"/>
  <c r="NM26" i="25"/>
  <c r="NP26" i="25" s="1"/>
  <c r="MN26" i="25"/>
  <c r="KM26" i="25"/>
  <c r="KP26" i="25" s="1"/>
  <c r="KO26" i="25"/>
  <c r="JM26" i="25"/>
  <c r="JP26" i="25" s="1"/>
  <c r="GO26" i="25"/>
  <c r="GM26" i="25"/>
  <c r="GP26" i="25" s="1"/>
  <c r="OO26" i="25"/>
  <c r="EQ26" i="25"/>
  <c r="OM26" i="25"/>
  <c r="OP26" i="25" s="1"/>
  <c r="LO26" i="25"/>
  <c r="ER26" i="25"/>
  <c r="EA26" i="25"/>
  <c r="ON26" i="25"/>
  <c r="LM26" i="25"/>
  <c r="LP26" i="25" s="1"/>
  <c r="DL26" i="25"/>
  <c r="LN26" i="25"/>
  <c r="ES26" i="25"/>
  <c r="DG26" i="25"/>
  <c r="GD26" i="25"/>
  <c r="HI26" i="25"/>
  <c r="GT26" i="25"/>
  <c r="HA26" i="25"/>
  <c r="GI26" i="25"/>
  <c r="EL26" i="25"/>
  <c r="FA26" i="25"/>
  <c r="GA26" i="25"/>
  <c r="RI26" i="25"/>
  <c r="LA26" i="25"/>
  <c r="LI26" i="25"/>
  <c r="JA26" i="25"/>
  <c r="NA26" i="25"/>
  <c r="QI26" i="25"/>
  <c r="NI26" i="25"/>
  <c r="OA26" i="25"/>
  <c r="KA26" i="25"/>
  <c r="KI26" i="25"/>
  <c r="LT26" i="25"/>
  <c r="IA26" i="25"/>
  <c r="FI26" i="25"/>
  <c r="PI26" i="25"/>
  <c r="MI26" i="25"/>
  <c r="MA26" i="25"/>
  <c r="OI26" i="25"/>
  <c r="SI26" i="25"/>
  <c r="JI26" i="25"/>
  <c r="II26" i="25"/>
  <c r="SO37" i="25"/>
  <c r="QO37" i="25"/>
  <c r="NO37" i="25"/>
  <c r="NM37" i="25"/>
  <c r="NP37" i="25" s="1"/>
  <c r="MM37" i="25"/>
  <c r="MP37" i="25" s="1"/>
  <c r="IN37" i="25"/>
  <c r="KO37" i="25"/>
  <c r="IO37" i="25"/>
  <c r="RN37" i="25"/>
  <c r="QM37" i="25"/>
  <c r="PN37" i="25"/>
  <c r="MN37" i="25"/>
  <c r="IM37" i="25"/>
  <c r="IP37" i="25" s="1"/>
  <c r="JM37" i="25"/>
  <c r="JP37" i="25" s="1"/>
  <c r="GO37" i="25"/>
  <c r="GN37" i="25"/>
  <c r="SN37" i="25"/>
  <c r="QN37" i="25"/>
  <c r="NN37" i="25"/>
  <c r="MO37" i="25"/>
  <c r="KM37" i="25"/>
  <c r="KP37" i="25" s="1"/>
  <c r="JO37" i="25"/>
  <c r="KN37" i="25"/>
  <c r="HO37" i="25"/>
  <c r="HN37" i="25"/>
  <c r="GM37" i="25"/>
  <c r="GP37" i="25" s="1"/>
  <c r="RO37" i="25"/>
  <c r="RM37" i="25"/>
  <c r="RP37" i="25" s="1"/>
  <c r="PO37" i="25"/>
  <c r="PM37" i="25"/>
  <c r="PP37" i="25" s="1"/>
  <c r="JN37" i="25"/>
  <c r="SM37" i="25"/>
  <c r="HM37" i="25"/>
  <c r="HP37" i="25" s="1"/>
  <c r="OM37" i="25"/>
  <c r="OP37" i="25" s="1"/>
  <c r="LN37" i="25"/>
  <c r="EQ37" i="25"/>
  <c r="EC37" i="25"/>
  <c r="DL37" i="25"/>
  <c r="LO37" i="25"/>
  <c r="ON37" i="25"/>
  <c r="LM37" i="25"/>
  <c r="LP37" i="25" s="1"/>
  <c r="ER37" i="25"/>
  <c r="OO37" i="25"/>
  <c r="ES37" i="25"/>
  <c r="EA37" i="25"/>
  <c r="AA37" i="19"/>
  <c r="HI37" i="25"/>
  <c r="GT37" i="25"/>
  <c r="GA37" i="25"/>
  <c r="EL37" i="25"/>
  <c r="RT37" i="25"/>
  <c r="RI37" i="25"/>
  <c r="PI37" i="25"/>
  <c r="OA37" i="25"/>
  <c r="JT37" i="25"/>
  <c r="FI37" i="25"/>
  <c r="SC37" i="25"/>
  <c r="GI37" i="25"/>
  <c r="GD37" i="25"/>
  <c r="PC37" i="25"/>
  <c r="JA37" i="25"/>
  <c r="KI37" i="25"/>
  <c r="LA37" i="25"/>
  <c r="IA37" i="25"/>
  <c r="II37" i="25"/>
  <c r="HT37" i="25"/>
  <c r="HA37" i="25"/>
  <c r="FA37" i="25"/>
  <c r="SI37" i="25"/>
  <c r="NI37" i="25"/>
  <c r="LT37" i="25"/>
  <c r="MA37" i="25"/>
  <c r="JI37" i="25"/>
  <c r="KA37" i="25"/>
  <c r="FG37" i="25"/>
  <c r="QI37" i="25"/>
  <c r="MI37" i="25"/>
  <c r="LI37" i="25"/>
  <c r="NC37" i="25"/>
  <c r="OI37" i="25"/>
  <c r="NA37" i="25"/>
  <c r="QO46" i="25"/>
  <c r="QM46" i="25"/>
  <c r="PN46" i="25"/>
  <c r="MN46" i="25"/>
  <c r="RN46" i="25"/>
  <c r="QN46" i="25"/>
  <c r="NN46" i="25"/>
  <c r="MO46" i="25"/>
  <c r="SO46" i="25"/>
  <c r="RM46" i="25"/>
  <c r="RP46" i="25" s="1"/>
  <c r="PO46" i="25"/>
  <c r="PM46" i="25"/>
  <c r="PP46" i="25" s="1"/>
  <c r="RO46" i="25"/>
  <c r="SN46" i="25"/>
  <c r="NO46" i="25"/>
  <c r="NM46" i="25"/>
  <c r="NP46" i="25" s="1"/>
  <c r="MM46" i="25"/>
  <c r="MP46" i="25" s="1"/>
  <c r="KO46" i="25"/>
  <c r="IO46" i="25"/>
  <c r="GO46" i="25"/>
  <c r="GM46" i="25"/>
  <c r="GP46" i="25" s="1"/>
  <c r="OO46" i="25"/>
  <c r="LO46" i="25"/>
  <c r="ES46" i="25"/>
  <c r="KM46" i="25"/>
  <c r="KP46" i="25" s="1"/>
  <c r="IM46" i="25"/>
  <c r="IP46" i="25" s="1"/>
  <c r="JM46" i="25"/>
  <c r="JP46" i="25" s="1"/>
  <c r="HO46" i="25"/>
  <c r="GN46" i="25"/>
  <c r="HM46" i="25"/>
  <c r="HP46" i="25" s="1"/>
  <c r="OM46" i="25"/>
  <c r="OP46" i="25" s="1"/>
  <c r="LM46" i="25"/>
  <c r="LP46" i="25" s="1"/>
  <c r="EQ46" i="25"/>
  <c r="JO46" i="25"/>
  <c r="KN46" i="25"/>
  <c r="HN46" i="25"/>
  <c r="SM46" i="25"/>
  <c r="ON46" i="25"/>
  <c r="LN46" i="25"/>
  <c r="ER46" i="25"/>
  <c r="DL46" i="25"/>
  <c r="IN46" i="25"/>
  <c r="JN46" i="25"/>
  <c r="EA46" i="25"/>
  <c r="AA46" i="19"/>
  <c r="HI46" i="25"/>
  <c r="GA46" i="25"/>
  <c r="SI46" i="25"/>
  <c r="QI46" i="25"/>
  <c r="NI46" i="25"/>
  <c r="LA46" i="25"/>
  <c r="LI46" i="25"/>
  <c r="JI46" i="25"/>
  <c r="GD46" i="25"/>
  <c r="PI46" i="25"/>
  <c r="JA46" i="25"/>
  <c r="II46" i="25"/>
  <c r="IC46" i="25"/>
  <c r="GI46" i="25"/>
  <c r="HA46" i="25"/>
  <c r="FA46" i="25"/>
  <c r="RI46" i="25"/>
  <c r="OA46" i="25"/>
  <c r="MI46" i="25"/>
  <c r="JT46" i="25"/>
  <c r="KA46" i="25"/>
  <c r="KI46" i="25"/>
  <c r="LC46" i="25"/>
  <c r="HC46" i="25"/>
  <c r="EL46" i="25"/>
  <c r="MA46" i="25"/>
  <c r="IA46" i="25"/>
  <c r="FI46" i="25"/>
  <c r="NT46" i="25"/>
  <c r="OI46" i="25"/>
  <c r="NA46" i="25"/>
  <c r="RN50" i="25"/>
  <c r="QN50" i="25"/>
  <c r="NN50" i="25"/>
  <c r="SO50" i="25"/>
  <c r="RM50" i="25"/>
  <c r="RP50" i="25" s="1"/>
  <c r="PO50" i="25"/>
  <c r="PM50" i="25"/>
  <c r="PP50" i="25" s="1"/>
  <c r="MM50" i="25"/>
  <c r="MP50" i="25" s="1"/>
  <c r="RO50" i="25"/>
  <c r="SN50" i="25"/>
  <c r="NO50" i="25"/>
  <c r="NM50" i="25"/>
  <c r="NP50" i="25" s="1"/>
  <c r="MN50" i="25"/>
  <c r="QO50" i="25"/>
  <c r="QM50" i="25"/>
  <c r="QP50" i="25" s="1"/>
  <c r="PN50" i="25"/>
  <c r="MO50" i="25"/>
  <c r="IN50" i="25"/>
  <c r="JN50" i="25"/>
  <c r="IO50" i="25"/>
  <c r="HN50" i="25"/>
  <c r="HM50" i="25"/>
  <c r="LN50" i="25"/>
  <c r="ES50" i="25"/>
  <c r="KM50" i="25"/>
  <c r="KP50" i="25" s="1"/>
  <c r="KO50" i="25"/>
  <c r="JM50" i="25"/>
  <c r="JP50" i="25" s="1"/>
  <c r="SM50" i="25"/>
  <c r="SP50" i="25" s="1"/>
  <c r="OO50" i="25"/>
  <c r="EQ50" i="25"/>
  <c r="EA50" i="25"/>
  <c r="IM50" i="25"/>
  <c r="IP50" i="25" s="1"/>
  <c r="KN50" i="25"/>
  <c r="GO50" i="25"/>
  <c r="OM50" i="25"/>
  <c r="OP50" i="25" s="1"/>
  <c r="LO50" i="25"/>
  <c r="ER50" i="25"/>
  <c r="EX50" i="25"/>
  <c r="AH50" i="25" s="1"/>
  <c r="DL50" i="25"/>
  <c r="JO50" i="25"/>
  <c r="HO50" i="25"/>
  <c r="GN50" i="25"/>
  <c r="GM50" i="25"/>
  <c r="GP50" i="25" s="1"/>
  <c r="ON50" i="25"/>
  <c r="LM50" i="25"/>
  <c r="LP50" i="25" s="1"/>
  <c r="AA50" i="19"/>
  <c r="HC50" i="25"/>
  <c r="HA50" i="25"/>
  <c r="HI50" i="25"/>
  <c r="GG50" i="25"/>
  <c r="EL50" i="25"/>
  <c r="FA50" i="25"/>
  <c r="GA50" i="25"/>
  <c r="GI50" i="25"/>
  <c r="FG50" i="25"/>
  <c r="GD50" i="25"/>
  <c r="MA50" i="25"/>
  <c r="JI50" i="25"/>
  <c r="SI50" i="25"/>
  <c r="PD50" i="25"/>
  <c r="PI50" i="25"/>
  <c r="LI50" i="25"/>
  <c r="II50" i="25"/>
  <c r="IC50" i="25"/>
  <c r="NA50" i="25"/>
  <c r="RI50" i="25"/>
  <c r="QT50" i="25"/>
  <c r="NI50" i="25"/>
  <c r="LA50" i="25"/>
  <c r="JA50" i="25"/>
  <c r="NC50" i="25"/>
  <c r="QI50" i="25"/>
  <c r="RT50" i="25"/>
  <c r="OA50" i="25"/>
  <c r="MI50" i="25"/>
  <c r="JT50" i="25"/>
  <c r="KA50" i="25"/>
  <c r="KI50" i="25"/>
  <c r="JC50" i="25"/>
  <c r="IA50" i="25"/>
  <c r="FI50" i="25"/>
  <c r="OI50" i="25"/>
  <c r="QO39" i="25"/>
  <c r="SN39" i="25"/>
  <c r="NN39" i="25"/>
  <c r="JO39" i="25"/>
  <c r="GN39" i="25"/>
  <c r="RN39" i="25"/>
  <c r="QN39" i="25"/>
  <c r="PO39" i="25"/>
  <c r="PM39" i="25"/>
  <c r="PP39" i="25" s="1"/>
  <c r="MM39" i="25"/>
  <c r="MP39" i="25" s="1"/>
  <c r="JN39" i="25"/>
  <c r="IO39" i="25"/>
  <c r="HN39" i="25"/>
  <c r="GM39" i="25"/>
  <c r="GP39" i="25" s="1"/>
  <c r="RO39" i="25"/>
  <c r="RM39" i="25"/>
  <c r="RP39" i="25" s="1"/>
  <c r="NO39" i="25"/>
  <c r="NM39" i="25"/>
  <c r="NP39" i="25" s="1"/>
  <c r="MN39" i="25"/>
  <c r="IN39" i="25"/>
  <c r="KO39" i="25"/>
  <c r="JM39" i="25"/>
  <c r="JP39" i="25" s="1"/>
  <c r="GO39" i="25"/>
  <c r="HM39" i="25"/>
  <c r="HP39" i="25" s="1"/>
  <c r="SO39" i="25"/>
  <c r="QM39" i="25"/>
  <c r="PN39" i="25"/>
  <c r="MO39" i="25"/>
  <c r="KM39" i="25"/>
  <c r="KP39" i="25" s="1"/>
  <c r="IM39" i="25"/>
  <c r="IP39" i="25" s="1"/>
  <c r="KN39" i="25"/>
  <c r="HO39" i="25"/>
  <c r="SM39" i="25"/>
  <c r="OM39" i="25"/>
  <c r="OP39" i="25" s="1"/>
  <c r="LM39" i="25"/>
  <c r="LP39" i="25" s="1"/>
  <c r="ES39" i="25"/>
  <c r="EC39" i="25"/>
  <c r="AA39" i="19"/>
  <c r="OO39" i="25"/>
  <c r="LN39" i="25"/>
  <c r="DL39" i="25"/>
  <c r="LO39" i="25"/>
  <c r="EQ39" i="25"/>
  <c r="ON39" i="25"/>
  <c r="ER39" i="25"/>
  <c r="EA39" i="25"/>
  <c r="HI39" i="25"/>
  <c r="GD39" i="25"/>
  <c r="FA39" i="25"/>
  <c r="PC39" i="25"/>
  <c r="MA39" i="25"/>
  <c r="LI39" i="25"/>
  <c r="JA39" i="25"/>
  <c r="KI39" i="25"/>
  <c r="FI39" i="25"/>
  <c r="HA39" i="25"/>
  <c r="SI39" i="25"/>
  <c r="NI39" i="25"/>
  <c r="OA39" i="25"/>
  <c r="JC39" i="25"/>
  <c r="GI39" i="25"/>
  <c r="FG39" i="25"/>
  <c r="EL39" i="25"/>
  <c r="RC39" i="25"/>
  <c r="QI39" i="25"/>
  <c r="OT39" i="25"/>
  <c r="LA39" i="25"/>
  <c r="II39" i="25"/>
  <c r="HD39" i="25"/>
  <c r="GG39" i="25"/>
  <c r="GA39" i="25"/>
  <c r="QT39" i="25"/>
  <c r="PI39" i="25"/>
  <c r="RI39" i="25"/>
  <c r="MI39" i="25"/>
  <c r="JI39" i="25"/>
  <c r="KA39" i="25"/>
  <c r="IA39" i="25"/>
  <c r="NA39" i="25"/>
  <c r="NC39" i="25"/>
  <c r="OI39" i="25"/>
  <c r="RN45" i="25"/>
  <c r="QM45" i="25"/>
  <c r="PN45" i="25"/>
  <c r="MN45" i="25"/>
  <c r="SN45" i="25"/>
  <c r="QN45" i="25"/>
  <c r="NN45" i="25"/>
  <c r="MO45" i="25"/>
  <c r="RO45" i="25"/>
  <c r="RM45" i="25"/>
  <c r="RP45" i="25" s="1"/>
  <c r="PO45" i="25"/>
  <c r="PM45" i="25"/>
  <c r="PP45" i="25" s="1"/>
  <c r="SO45" i="25"/>
  <c r="QO45" i="25"/>
  <c r="NO45" i="25"/>
  <c r="NM45" i="25"/>
  <c r="NP45" i="25" s="1"/>
  <c r="MM45" i="25"/>
  <c r="MP45" i="25" s="1"/>
  <c r="JO45" i="25"/>
  <c r="KN45" i="25"/>
  <c r="HO45" i="25"/>
  <c r="HN45" i="25"/>
  <c r="GM45" i="25"/>
  <c r="GP45" i="25" s="1"/>
  <c r="OO45" i="25"/>
  <c r="LN45" i="25"/>
  <c r="ER45" i="25"/>
  <c r="EC45" i="25"/>
  <c r="AA45" i="19"/>
  <c r="IN45" i="25"/>
  <c r="JN45" i="25"/>
  <c r="SM45" i="25"/>
  <c r="HM45" i="25"/>
  <c r="HP45" i="25" s="1"/>
  <c r="ON45" i="25"/>
  <c r="LO45" i="25"/>
  <c r="ES45" i="25"/>
  <c r="DL45" i="25"/>
  <c r="KO45" i="25"/>
  <c r="IO45" i="25"/>
  <c r="OM45" i="25"/>
  <c r="OP45" i="25" s="1"/>
  <c r="LM45" i="25"/>
  <c r="LP45" i="25" s="1"/>
  <c r="EQ45" i="25"/>
  <c r="KM45" i="25"/>
  <c r="KP45" i="25" s="1"/>
  <c r="IM45" i="25"/>
  <c r="IP45" i="25" s="1"/>
  <c r="JM45" i="25"/>
  <c r="JP45" i="25" s="1"/>
  <c r="GO45" i="25"/>
  <c r="GN45" i="25"/>
  <c r="EA45" i="25"/>
  <c r="HA45" i="25"/>
  <c r="OA45" i="25"/>
  <c r="MC45" i="25"/>
  <c r="JT45" i="25"/>
  <c r="FI45" i="25"/>
  <c r="GI45" i="25"/>
  <c r="FG45" i="25"/>
  <c r="EL45" i="25"/>
  <c r="QI45" i="25"/>
  <c r="PT45" i="25"/>
  <c r="JA45" i="25"/>
  <c r="JE45" i="25" s="1"/>
  <c r="KI45" i="25"/>
  <c r="LA45" i="25"/>
  <c r="IA45" i="25"/>
  <c r="II45" i="25"/>
  <c r="HC45" i="25"/>
  <c r="GG45" i="25"/>
  <c r="GA45" i="25"/>
  <c r="RT45" i="25"/>
  <c r="RI45" i="25"/>
  <c r="PI45" i="25"/>
  <c r="NI45" i="25"/>
  <c r="MA45" i="25"/>
  <c r="JI45" i="25"/>
  <c r="KA45" i="25"/>
  <c r="HI45" i="25"/>
  <c r="GD45" i="25"/>
  <c r="FA45" i="25"/>
  <c r="SI45" i="25"/>
  <c r="MI45" i="25"/>
  <c r="LI45" i="25"/>
  <c r="OI45" i="25"/>
  <c r="NA45" i="25"/>
  <c r="RN41" i="25"/>
  <c r="QM41" i="25"/>
  <c r="PN41" i="25"/>
  <c r="MO41" i="25"/>
  <c r="IN41" i="25"/>
  <c r="KO41" i="25"/>
  <c r="JM41" i="25"/>
  <c r="JP41" i="25" s="1"/>
  <c r="GO41" i="25"/>
  <c r="GN41" i="25"/>
  <c r="SN41" i="25"/>
  <c r="QN41" i="25"/>
  <c r="NN41" i="25"/>
  <c r="KM41" i="25"/>
  <c r="KP41" i="25" s="1"/>
  <c r="IM41" i="25"/>
  <c r="IP41" i="25" s="1"/>
  <c r="KN41" i="25"/>
  <c r="HO41" i="25"/>
  <c r="HN41" i="25"/>
  <c r="GM41" i="25"/>
  <c r="GP41" i="25" s="1"/>
  <c r="RO41" i="25"/>
  <c r="RM41" i="25"/>
  <c r="RP41" i="25" s="1"/>
  <c r="PO41" i="25"/>
  <c r="PM41" i="25"/>
  <c r="PP41" i="25" s="1"/>
  <c r="MM41" i="25"/>
  <c r="MP41" i="25" s="1"/>
  <c r="JO41" i="25"/>
  <c r="SM41" i="25"/>
  <c r="HM41" i="25"/>
  <c r="HP41" i="25" s="1"/>
  <c r="SO41" i="25"/>
  <c r="QO41" i="25"/>
  <c r="NO41" i="25"/>
  <c r="NM41" i="25"/>
  <c r="NP41" i="25" s="1"/>
  <c r="MN41" i="25"/>
  <c r="JN41" i="25"/>
  <c r="IO41" i="25"/>
  <c r="OO41" i="25"/>
  <c r="LN41" i="25"/>
  <c r="EQ41" i="25"/>
  <c r="ED41" i="25"/>
  <c r="DL41" i="25"/>
  <c r="OM41" i="25"/>
  <c r="OP41" i="25" s="1"/>
  <c r="LO41" i="25"/>
  <c r="LM41" i="25"/>
  <c r="LP41" i="25" s="1"/>
  <c r="ER41" i="25"/>
  <c r="ON41" i="25"/>
  <c r="ES41" i="25"/>
  <c r="EA41" i="25"/>
  <c r="AA41" i="19"/>
  <c r="FG41" i="25"/>
  <c r="HI41" i="25"/>
  <c r="GT41" i="25"/>
  <c r="GA41" i="25"/>
  <c r="EL41" i="25"/>
  <c r="GI41" i="25"/>
  <c r="GD41" i="25"/>
  <c r="HD41" i="25"/>
  <c r="HA41" i="25"/>
  <c r="FA41" i="25"/>
  <c r="RI41" i="25"/>
  <c r="PI41" i="25"/>
  <c r="OA41" i="25"/>
  <c r="JA41" i="25"/>
  <c r="KI41" i="25"/>
  <c r="LA41" i="25"/>
  <c r="JI41" i="25"/>
  <c r="KA41" i="25"/>
  <c r="OI41" i="25"/>
  <c r="MA41" i="25"/>
  <c r="IT41" i="25"/>
  <c r="SI41" i="25"/>
  <c r="NI41" i="25"/>
  <c r="LI41" i="25"/>
  <c r="FI41" i="25"/>
  <c r="II41" i="25"/>
  <c r="NA41" i="25"/>
  <c r="QI41" i="25"/>
  <c r="MI41" i="25"/>
  <c r="MT41" i="25"/>
  <c r="IA41" i="25"/>
  <c r="RO25" i="25"/>
  <c r="RM25" i="25"/>
  <c r="PO25" i="25"/>
  <c r="PM25" i="25"/>
  <c r="MM25" i="25"/>
  <c r="MP25" i="25" s="1"/>
  <c r="KM25" i="25"/>
  <c r="KP25" i="25" s="1"/>
  <c r="IM25" i="25"/>
  <c r="IP25" i="25" s="1"/>
  <c r="KN25" i="25"/>
  <c r="HO25" i="25"/>
  <c r="HN25" i="25"/>
  <c r="GM25" i="25"/>
  <c r="GP25" i="25" s="1"/>
  <c r="SO25" i="25"/>
  <c r="QO25" i="25"/>
  <c r="NO25" i="25"/>
  <c r="NM25" i="25"/>
  <c r="NP25" i="25" s="1"/>
  <c r="MN25" i="25"/>
  <c r="JO25" i="25"/>
  <c r="SM25" i="25"/>
  <c r="HM25" i="25"/>
  <c r="RN25" i="25"/>
  <c r="QM25" i="25"/>
  <c r="PN25" i="25"/>
  <c r="MO25" i="25"/>
  <c r="IN25" i="25"/>
  <c r="JN25" i="25"/>
  <c r="IO25" i="25"/>
  <c r="SN25" i="25"/>
  <c r="QN25" i="25"/>
  <c r="NN25" i="25"/>
  <c r="KO25" i="25"/>
  <c r="JM25" i="25"/>
  <c r="JP25" i="25" s="1"/>
  <c r="GO25" i="25"/>
  <c r="GN25" i="25"/>
  <c r="ON25" i="25"/>
  <c r="ES25" i="25"/>
  <c r="OO25" i="25"/>
  <c r="LN25" i="25"/>
  <c r="EQ25" i="25"/>
  <c r="EA25" i="25"/>
  <c r="DL25" i="25"/>
  <c r="OM25" i="25"/>
  <c r="OP25" i="25" s="1"/>
  <c r="LO25" i="25"/>
  <c r="LM25" i="25"/>
  <c r="LP25" i="25" s="1"/>
  <c r="ER25" i="25"/>
  <c r="HA25" i="25"/>
  <c r="FA25" i="25"/>
  <c r="FG25" i="25"/>
  <c r="HI25" i="25"/>
  <c r="GA25" i="25"/>
  <c r="EL25" i="25"/>
  <c r="GI25" i="25"/>
  <c r="GD25" i="25"/>
  <c r="MI25" i="25"/>
  <c r="MT25" i="25"/>
  <c r="KI25" i="25"/>
  <c r="LA25" i="25"/>
  <c r="NA25" i="25"/>
  <c r="NI25" i="25"/>
  <c r="JA25" i="25"/>
  <c r="MA25" i="25"/>
  <c r="JI25" i="25"/>
  <c r="KA25" i="25"/>
  <c r="QI25" i="25"/>
  <c r="PI25" i="25"/>
  <c r="FI25" i="25"/>
  <c r="IA25" i="25"/>
  <c r="II25" i="25"/>
  <c r="OI25" i="25"/>
  <c r="SI25" i="25"/>
  <c r="RI25" i="25"/>
  <c r="OA25" i="25"/>
  <c r="LI25" i="25"/>
  <c r="QO31" i="25"/>
  <c r="SN31" i="25"/>
  <c r="NN31" i="25"/>
  <c r="RN31" i="25"/>
  <c r="QN31" i="25"/>
  <c r="PO31" i="25"/>
  <c r="PM31" i="25"/>
  <c r="MM31" i="25"/>
  <c r="MP31" i="25" s="1"/>
  <c r="RO31" i="25"/>
  <c r="RM31" i="25"/>
  <c r="NO31" i="25"/>
  <c r="NM31" i="25"/>
  <c r="NP31" i="25" s="1"/>
  <c r="MN31" i="25"/>
  <c r="SO31" i="25"/>
  <c r="QM31" i="25"/>
  <c r="PN31" i="25"/>
  <c r="MO31" i="25"/>
  <c r="JN31" i="25"/>
  <c r="IO31" i="25"/>
  <c r="HN31" i="25"/>
  <c r="GM31" i="25"/>
  <c r="GP31" i="25" s="1"/>
  <c r="OO31" i="25"/>
  <c r="LN31" i="25"/>
  <c r="EC31" i="25"/>
  <c r="IN31" i="25"/>
  <c r="KO31" i="25"/>
  <c r="JM31" i="25"/>
  <c r="JP31" i="25" s="1"/>
  <c r="GO31" i="25"/>
  <c r="HM31" i="25"/>
  <c r="LO31" i="25"/>
  <c r="EQ31" i="25"/>
  <c r="AA31" i="19"/>
  <c r="KM31" i="25"/>
  <c r="KP31" i="25" s="1"/>
  <c r="IM31" i="25"/>
  <c r="IP31" i="25" s="1"/>
  <c r="KN31" i="25"/>
  <c r="HO31" i="25"/>
  <c r="SM31" i="25"/>
  <c r="ON31" i="25"/>
  <c r="ER31" i="25"/>
  <c r="DL31" i="25"/>
  <c r="JO31" i="25"/>
  <c r="GN31" i="25"/>
  <c r="OM31" i="25"/>
  <c r="OP31" i="25" s="1"/>
  <c r="LM31" i="25"/>
  <c r="LP31" i="25" s="1"/>
  <c r="ES31" i="25"/>
  <c r="EA31" i="25"/>
  <c r="FG31" i="25"/>
  <c r="RT31" i="25"/>
  <c r="RI31" i="25"/>
  <c r="MI31" i="25"/>
  <c r="JI31" i="25"/>
  <c r="LT31" i="25"/>
  <c r="JA31" i="25"/>
  <c r="KI31" i="25"/>
  <c r="FI31" i="25"/>
  <c r="HI31" i="25"/>
  <c r="GC31" i="25"/>
  <c r="GA31" i="25"/>
  <c r="EL31" i="25"/>
  <c r="PI31" i="25"/>
  <c r="MA31" i="25"/>
  <c r="LI31" i="25"/>
  <c r="ST31" i="25"/>
  <c r="GI31" i="25"/>
  <c r="GD31" i="25"/>
  <c r="NI31" i="25"/>
  <c r="OA31" i="25"/>
  <c r="II31" i="25"/>
  <c r="HT31" i="25"/>
  <c r="HA31" i="25"/>
  <c r="FA31" i="25"/>
  <c r="SI31" i="25"/>
  <c r="QI31" i="25"/>
  <c r="LA31" i="25"/>
  <c r="KA31" i="25"/>
  <c r="IA31" i="25"/>
  <c r="OI31" i="25"/>
  <c r="NA31" i="25"/>
  <c r="NC31" i="25"/>
  <c r="QO24" i="25"/>
  <c r="QM24" i="25"/>
  <c r="PN24" i="25"/>
  <c r="MO24" i="25"/>
  <c r="KM24" i="25"/>
  <c r="KP24" i="25" s="1"/>
  <c r="JO24" i="25"/>
  <c r="KN24" i="25"/>
  <c r="HN24" i="25"/>
  <c r="RN24" i="25"/>
  <c r="SO24" i="25"/>
  <c r="NN24" i="25"/>
  <c r="JN24" i="25"/>
  <c r="GM24" i="25"/>
  <c r="GP24" i="25" s="1"/>
  <c r="RO24" i="25"/>
  <c r="QN24" i="25"/>
  <c r="PO24" i="25"/>
  <c r="PM24" i="25"/>
  <c r="MM24" i="25"/>
  <c r="MP24" i="25" s="1"/>
  <c r="IN24" i="25"/>
  <c r="KO24" i="25"/>
  <c r="IO24" i="25"/>
  <c r="GO24" i="25"/>
  <c r="HM24" i="25"/>
  <c r="HP24" i="25" s="1"/>
  <c r="SN24" i="25"/>
  <c r="RM24" i="25"/>
  <c r="NO24" i="25"/>
  <c r="NM24" i="25"/>
  <c r="NP24" i="25" s="1"/>
  <c r="MN24" i="25"/>
  <c r="IM24" i="25"/>
  <c r="IP24" i="25" s="1"/>
  <c r="JM24" i="25"/>
  <c r="JP24" i="25" s="1"/>
  <c r="HO24" i="25"/>
  <c r="GN24" i="25"/>
  <c r="OM24" i="25"/>
  <c r="OP24" i="25" s="1"/>
  <c r="ER24" i="25"/>
  <c r="ON24" i="25"/>
  <c r="LM24" i="25"/>
  <c r="LP24" i="25" s="1"/>
  <c r="ES24" i="25"/>
  <c r="EA24" i="25"/>
  <c r="DL24" i="25"/>
  <c r="SM24" i="25"/>
  <c r="OO24" i="25"/>
  <c r="LN24" i="25"/>
  <c r="EG24" i="25"/>
  <c r="LO24" i="25"/>
  <c r="EQ24" i="25"/>
  <c r="DF24" i="25"/>
  <c r="GI24" i="25"/>
  <c r="HA24" i="25"/>
  <c r="QI24" i="25"/>
  <c r="RI24" i="25"/>
  <c r="PI24" i="25"/>
  <c r="OA24" i="25"/>
  <c r="MI24" i="25"/>
  <c r="KI24" i="25"/>
  <c r="MA24" i="25"/>
  <c r="JI24" i="25"/>
  <c r="JA24" i="25"/>
  <c r="IA24" i="25"/>
  <c r="HI24" i="25"/>
  <c r="OT24" i="25"/>
  <c r="KA24" i="25"/>
  <c r="EL24" i="25"/>
  <c r="FA24" i="25"/>
  <c r="SC24" i="25"/>
  <c r="LA24" i="25"/>
  <c r="JD24" i="25"/>
  <c r="GD24" i="25"/>
  <c r="GA24" i="25"/>
  <c r="SI24" i="25"/>
  <c r="NI24" i="25"/>
  <c r="LI24" i="25"/>
  <c r="FI24" i="25"/>
  <c r="II24" i="25"/>
  <c r="NA24" i="25"/>
  <c r="OI24" i="25"/>
  <c r="QO51" i="25"/>
  <c r="SN51" i="25"/>
  <c r="NN51" i="25"/>
  <c r="MO51" i="25"/>
  <c r="IN51" i="25"/>
  <c r="JN51" i="25"/>
  <c r="IO51" i="25"/>
  <c r="HO51" i="25"/>
  <c r="SM51" i="25"/>
  <c r="RN51" i="25"/>
  <c r="QN51" i="25"/>
  <c r="PO51" i="25"/>
  <c r="PM51" i="25"/>
  <c r="PP51" i="25" s="1"/>
  <c r="KM51" i="25"/>
  <c r="KP51" i="25" s="1"/>
  <c r="KO51" i="25"/>
  <c r="JM51" i="25"/>
  <c r="JP51" i="25" s="1"/>
  <c r="GN51" i="25"/>
  <c r="RO51" i="25"/>
  <c r="RM51" i="25"/>
  <c r="RP51" i="25" s="1"/>
  <c r="NO51" i="25"/>
  <c r="NM51" i="25"/>
  <c r="NP51" i="25" s="1"/>
  <c r="MM51" i="25"/>
  <c r="MP51" i="25" s="1"/>
  <c r="IM51" i="25"/>
  <c r="IP51" i="25" s="1"/>
  <c r="KN51" i="25"/>
  <c r="HN51" i="25"/>
  <c r="GM51" i="25"/>
  <c r="GP51" i="25" s="1"/>
  <c r="SO51" i="25"/>
  <c r="QM51" i="25"/>
  <c r="PN51" i="25"/>
  <c r="MN51" i="25"/>
  <c r="JO51" i="25"/>
  <c r="GO51" i="25"/>
  <c r="HM51" i="25"/>
  <c r="HP51" i="25" s="1"/>
  <c r="LO51" i="25"/>
  <c r="GI51" i="25"/>
  <c r="FT51" i="25"/>
  <c r="OM51" i="25"/>
  <c r="OP51" i="25" s="1"/>
  <c r="EQ51" i="25"/>
  <c r="EA51" i="25"/>
  <c r="HC51" i="25"/>
  <c r="GC51" i="25"/>
  <c r="GA51" i="25"/>
  <c r="ON51" i="25"/>
  <c r="LM51" i="25"/>
  <c r="LP51" i="25" s="1"/>
  <c r="ER51" i="25"/>
  <c r="EC51" i="25"/>
  <c r="AA51" i="19"/>
  <c r="HI51" i="25"/>
  <c r="GD51" i="25"/>
  <c r="OO51" i="25"/>
  <c r="LN51" i="25"/>
  <c r="ES51" i="25"/>
  <c r="DL51" i="25"/>
  <c r="HA51" i="25"/>
  <c r="FA51" i="25"/>
  <c r="RD51" i="25"/>
  <c r="RI51" i="25"/>
  <c r="NI51" i="25"/>
  <c r="MA51" i="25"/>
  <c r="LI51" i="25"/>
  <c r="JA51" i="25"/>
  <c r="KA51" i="25"/>
  <c r="IT51" i="25"/>
  <c r="IA51" i="25"/>
  <c r="PC51" i="25"/>
  <c r="PI51" i="25"/>
  <c r="OA51" i="25"/>
  <c r="JT51" i="25"/>
  <c r="KI51" i="25"/>
  <c r="FI51" i="25"/>
  <c r="SI51" i="25"/>
  <c r="QI51" i="25"/>
  <c r="SC51" i="25"/>
  <c r="EL51" i="25"/>
  <c r="QC51" i="25"/>
  <c r="MI51" i="25"/>
  <c r="JI51" i="25"/>
  <c r="LD51" i="25"/>
  <c r="LA51" i="25"/>
  <c r="II51" i="25"/>
  <c r="NA51" i="25"/>
  <c r="ND51" i="25"/>
  <c r="OI51" i="25"/>
  <c r="RN48" i="25"/>
  <c r="SO48" i="25"/>
  <c r="NN48" i="25"/>
  <c r="RO48" i="25"/>
  <c r="QN48" i="25"/>
  <c r="PO48" i="25"/>
  <c r="PM48" i="25"/>
  <c r="PP48" i="25" s="1"/>
  <c r="MM48" i="25"/>
  <c r="MP48" i="25" s="1"/>
  <c r="SN48" i="25"/>
  <c r="RM48" i="25"/>
  <c r="RP48" i="25" s="1"/>
  <c r="NO48" i="25"/>
  <c r="NM48" i="25"/>
  <c r="NP48" i="25" s="1"/>
  <c r="MN48" i="25"/>
  <c r="QO48" i="25"/>
  <c r="QM48" i="25"/>
  <c r="PN48" i="25"/>
  <c r="MO48" i="25"/>
  <c r="IM48" i="25"/>
  <c r="IP48" i="25" s="1"/>
  <c r="JM48" i="25"/>
  <c r="JP48" i="25" s="1"/>
  <c r="SM48" i="25"/>
  <c r="HN48" i="25"/>
  <c r="LO48" i="25"/>
  <c r="EQ48" i="25"/>
  <c r="JO48" i="25"/>
  <c r="KN48" i="25"/>
  <c r="GM48" i="25"/>
  <c r="GP48" i="25" s="1"/>
  <c r="OM48" i="25"/>
  <c r="OP48" i="25" s="1"/>
  <c r="ER48" i="25"/>
  <c r="EA48" i="25"/>
  <c r="DL48" i="25"/>
  <c r="IN48" i="25"/>
  <c r="JN48" i="25"/>
  <c r="GO48" i="25"/>
  <c r="HM48" i="25"/>
  <c r="HP48" i="25" s="1"/>
  <c r="OO48" i="25"/>
  <c r="LM48" i="25"/>
  <c r="LP48" i="25" s="1"/>
  <c r="ES48" i="25"/>
  <c r="ED48" i="25"/>
  <c r="KM48" i="25"/>
  <c r="KP48" i="25" s="1"/>
  <c r="KO48" i="25"/>
  <c r="IO48" i="25"/>
  <c r="HO48" i="25"/>
  <c r="GN48" i="25"/>
  <c r="ON48" i="25"/>
  <c r="LN48" i="25"/>
  <c r="DF48" i="25"/>
  <c r="GA48" i="25"/>
  <c r="QI48" i="25"/>
  <c r="RI48" i="25"/>
  <c r="OT48" i="25"/>
  <c r="MA48" i="25"/>
  <c r="JI48" i="25"/>
  <c r="LC48" i="25"/>
  <c r="SC48" i="25"/>
  <c r="FC48" i="25"/>
  <c r="GD48" i="25"/>
  <c r="SI48" i="25"/>
  <c r="LA48" i="25"/>
  <c r="KA48" i="25"/>
  <c r="FI48" i="25"/>
  <c r="HI48" i="25"/>
  <c r="GC48" i="25"/>
  <c r="HA48" i="25"/>
  <c r="PD48" i="25"/>
  <c r="NI48" i="25"/>
  <c r="JA48" i="25"/>
  <c r="II48" i="25"/>
  <c r="GI48" i="25"/>
  <c r="EL48" i="25"/>
  <c r="FA48" i="25"/>
  <c r="RD48" i="25"/>
  <c r="PI48" i="25"/>
  <c r="OA48" i="25"/>
  <c r="MI48" i="25"/>
  <c r="KI48" i="25"/>
  <c r="LI48" i="25"/>
  <c r="IA48" i="25"/>
  <c r="NC48" i="25"/>
  <c r="NA48" i="25"/>
  <c r="OI48" i="25"/>
  <c r="RO53" i="25"/>
  <c r="RM53" i="25"/>
  <c r="RP53" i="25" s="1"/>
  <c r="PO53" i="25"/>
  <c r="PM53" i="25"/>
  <c r="PP53" i="25" s="1"/>
  <c r="IM53" i="25"/>
  <c r="IP53" i="25" s="1"/>
  <c r="KN53" i="25"/>
  <c r="HO53" i="25"/>
  <c r="HN53" i="25"/>
  <c r="GM53" i="25"/>
  <c r="GP53" i="25" s="1"/>
  <c r="SO53" i="25"/>
  <c r="QO53" i="25"/>
  <c r="NO53" i="25"/>
  <c r="NM53" i="25"/>
  <c r="NP53" i="25" s="1"/>
  <c r="MM53" i="25"/>
  <c r="MP53" i="25" s="1"/>
  <c r="JO53" i="25"/>
  <c r="SM53" i="25"/>
  <c r="HM53" i="25"/>
  <c r="HP53" i="25" s="1"/>
  <c r="RN53" i="25"/>
  <c r="QM53" i="25"/>
  <c r="PN53" i="25"/>
  <c r="MN53" i="25"/>
  <c r="IN53" i="25"/>
  <c r="JN53" i="25"/>
  <c r="IO53" i="25"/>
  <c r="SN53" i="25"/>
  <c r="QN53" i="25"/>
  <c r="NN53" i="25"/>
  <c r="MO53" i="25"/>
  <c r="KM53" i="25"/>
  <c r="KP53" i="25" s="1"/>
  <c r="KO53" i="25"/>
  <c r="JM53" i="25"/>
  <c r="JP53" i="25" s="1"/>
  <c r="GO53" i="25"/>
  <c r="GN53" i="25"/>
  <c r="LM53" i="25"/>
  <c r="LP53" i="25" s="1"/>
  <c r="ON53" i="25"/>
  <c r="ER53" i="25"/>
  <c r="EA53" i="25"/>
  <c r="OO53" i="25"/>
  <c r="LN53" i="25"/>
  <c r="ES53" i="25"/>
  <c r="EX53" i="25"/>
  <c r="AH53" i="25" s="1"/>
  <c r="DJ53" i="25"/>
  <c r="OM53" i="25"/>
  <c r="OP53" i="25" s="1"/>
  <c r="LO53" i="25"/>
  <c r="EQ53" i="25"/>
  <c r="DL53" i="25"/>
  <c r="HA53" i="25"/>
  <c r="PI53" i="25"/>
  <c r="NI53" i="25"/>
  <c r="KI53" i="25"/>
  <c r="LA53" i="25"/>
  <c r="IT53" i="25"/>
  <c r="GI53" i="25"/>
  <c r="FC53" i="25"/>
  <c r="EL53" i="25"/>
  <c r="SI53" i="25"/>
  <c r="RI53" i="25"/>
  <c r="OC53" i="25"/>
  <c r="MI53" i="25"/>
  <c r="JA53" i="25"/>
  <c r="MA53" i="25"/>
  <c r="JT53" i="25"/>
  <c r="FI53" i="25"/>
  <c r="GT53" i="25"/>
  <c r="GA53" i="25"/>
  <c r="RE53" i="25"/>
  <c r="OA53" i="25"/>
  <c r="LD53" i="25"/>
  <c r="IA53" i="25"/>
  <c r="II53" i="25"/>
  <c r="HI53" i="25"/>
  <c r="GD53" i="25"/>
  <c r="FA53" i="25"/>
  <c r="QI53" i="25"/>
  <c r="LI53" i="25"/>
  <c r="JI53" i="25"/>
  <c r="KA53" i="25"/>
  <c r="NA53" i="25"/>
  <c r="NC53" i="25"/>
  <c r="OI53" i="25"/>
  <c r="ND53" i="25"/>
  <c r="SN33" i="25"/>
  <c r="QN33" i="25"/>
  <c r="NN33" i="25"/>
  <c r="RO33" i="25"/>
  <c r="RM33" i="25"/>
  <c r="RP33" i="25" s="1"/>
  <c r="PO33" i="25"/>
  <c r="PM33" i="25"/>
  <c r="PP33" i="25" s="1"/>
  <c r="MM33" i="25"/>
  <c r="MP33" i="25" s="1"/>
  <c r="SO33" i="25"/>
  <c r="QO33" i="25"/>
  <c r="NO33" i="25"/>
  <c r="NM33" i="25"/>
  <c r="NP33" i="25" s="1"/>
  <c r="MN33" i="25"/>
  <c r="RN33" i="25"/>
  <c r="QM33" i="25"/>
  <c r="PN33" i="25"/>
  <c r="MO33" i="25"/>
  <c r="KM33" i="25"/>
  <c r="KP33" i="25" s="1"/>
  <c r="IM33" i="25"/>
  <c r="IP33" i="25" s="1"/>
  <c r="KN33" i="25"/>
  <c r="HO33" i="25"/>
  <c r="HN33" i="25"/>
  <c r="GM33" i="25"/>
  <c r="GP33" i="25" s="1"/>
  <c r="OM33" i="25"/>
  <c r="OP33" i="25" s="1"/>
  <c r="LO33" i="25"/>
  <c r="EC33" i="25"/>
  <c r="JO33" i="25"/>
  <c r="SM33" i="25"/>
  <c r="HM33" i="25"/>
  <c r="HP33" i="25" s="1"/>
  <c r="LM33" i="25"/>
  <c r="LP33" i="25" s="1"/>
  <c r="ER33" i="25"/>
  <c r="AA33" i="19"/>
  <c r="JN33" i="25"/>
  <c r="IO33" i="25"/>
  <c r="ON33" i="25"/>
  <c r="ES33" i="25"/>
  <c r="DL33" i="25"/>
  <c r="IN33" i="25"/>
  <c r="KO33" i="25"/>
  <c r="JM33" i="25"/>
  <c r="JP33" i="25" s="1"/>
  <c r="GO33" i="25"/>
  <c r="GN33" i="25"/>
  <c r="OO33" i="25"/>
  <c r="LN33" i="25"/>
  <c r="EQ33" i="25"/>
  <c r="EA33" i="25"/>
  <c r="HI33" i="25"/>
  <c r="GG33" i="25"/>
  <c r="GA33" i="25"/>
  <c r="GD33" i="25"/>
  <c r="FA33" i="25"/>
  <c r="GI33" i="25"/>
  <c r="HA33" i="25"/>
  <c r="HT33" i="25"/>
  <c r="FC33" i="25"/>
  <c r="EL33" i="25"/>
  <c r="RC33" i="25"/>
  <c r="QI33" i="25"/>
  <c r="OA33" i="25"/>
  <c r="MT33" i="25"/>
  <c r="JI33" i="25"/>
  <c r="KA33" i="25"/>
  <c r="IC33" i="25"/>
  <c r="NC33" i="25"/>
  <c r="RI33" i="25"/>
  <c r="PI33" i="25"/>
  <c r="NI33" i="25"/>
  <c r="JA33" i="25"/>
  <c r="KI33" i="25"/>
  <c r="LA33" i="25"/>
  <c r="FI33" i="25"/>
  <c r="OI33" i="25"/>
  <c r="SI33" i="25"/>
  <c r="LT33" i="25"/>
  <c r="MA33" i="25"/>
  <c r="IA33" i="25"/>
  <c r="II33" i="25"/>
  <c r="MI33" i="25"/>
  <c r="LI33" i="25"/>
  <c r="NA33" i="25"/>
  <c r="QO44" i="25"/>
  <c r="QM44" i="25"/>
  <c r="PN44" i="25"/>
  <c r="MN44" i="25"/>
  <c r="RN44" i="25"/>
  <c r="SO44" i="25"/>
  <c r="NN44" i="25"/>
  <c r="MO44" i="25"/>
  <c r="RO44" i="25"/>
  <c r="QN44" i="25"/>
  <c r="PO44" i="25"/>
  <c r="PM44" i="25"/>
  <c r="PP44" i="25" s="1"/>
  <c r="SN44" i="25"/>
  <c r="RM44" i="25"/>
  <c r="RP44" i="25" s="1"/>
  <c r="NO44" i="25"/>
  <c r="NM44" i="25"/>
  <c r="NP44" i="25" s="1"/>
  <c r="MM44" i="25"/>
  <c r="MP44" i="25" s="1"/>
  <c r="IN44" i="25"/>
  <c r="JN44" i="25"/>
  <c r="GM44" i="25"/>
  <c r="GP44" i="25" s="1"/>
  <c r="OM44" i="25"/>
  <c r="OP44" i="25" s="1"/>
  <c r="LM44" i="25"/>
  <c r="LP44" i="25" s="1"/>
  <c r="EQ44" i="25"/>
  <c r="ED44" i="25"/>
  <c r="KO44" i="25"/>
  <c r="IO44" i="25"/>
  <c r="GO44" i="25"/>
  <c r="HM44" i="25"/>
  <c r="OO44" i="25"/>
  <c r="LN44" i="25"/>
  <c r="ER44" i="25"/>
  <c r="DL44" i="25"/>
  <c r="KM44" i="25"/>
  <c r="KP44" i="25" s="1"/>
  <c r="IM44" i="25"/>
  <c r="IP44" i="25" s="1"/>
  <c r="JM44" i="25"/>
  <c r="JP44" i="25" s="1"/>
  <c r="HO44" i="25"/>
  <c r="GN44" i="25"/>
  <c r="ON44" i="25"/>
  <c r="LO44" i="25"/>
  <c r="ES44" i="25"/>
  <c r="JO44" i="25"/>
  <c r="KN44" i="25"/>
  <c r="SM44" i="25"/>
  <c r="HN44" i="25"/>
  <c r="EA44" i="25"/>
  <c r="AA44" i="19"/>
  <c r="GI44" i="25"/>
  <c r="HA44" i="25"/>
  <c r="FA44" i="25"/>
  <c r="QI44" i="25"/>
  <c r="LA44" i="25"/>
  <c r="KA44" i="25"/>
  <c r="JA44" i="25"/>
  <c r="II44" i="25"/>
  <c r="HT44" i="25"/>
  <c r="GG44" i="25"/>
  <c r="EL44" i="25"/>
  <c r="PT44" i="25"/>
  <c r="PI44" i="25"/>
  <c r="JC44" i="25"/>
  <c r="IA44" i="25"/>
  <c r="HI44" i="25"/>
  <c r="GA44" i="25"/>
  <c r="SI44" i="25"/>
  <c r="NI44" i="25"/>
  <c r="MI44" i="25"/>
  <c r="KI44" i="25"/>
  <c r="LI44" i="25"/>
  <c r="LC44" i="25"/>
  <c r="FD44" i="25"/>
  <c r="GD44" i="25"/>
  <c r="RD44" i="25"/>
  <c r="RI44" i="25"/>
  <c r="OA44" i="25"/>
  <c r="MA44" i="25"/>
  <c r="JI44" i="25"/>
  <c r="FI44" i="25"/>
  <c r="OI44" i="25"/>
  <c r="ND44" i="25"/>
  <c r="NA44" i="25"/>
  <c r="RN23" i="25"/>
  <c r="QN23" i="25"/>
  <c r="PO23" i="25"/>
  <c r="PM23" i="25"/>
  <c r="KO23" i="25"/>
  <c r="IO23" i="25"/>
  <c r="HO23" i="25"/>
  <c r="GN23" i="25"/>
  <c r="RO23" i="25"/>
  <c r="RM23" i="25"/>
  <c r="NO23" i="25"/>
  <c r="NM23" i="25"/>
  <c r="NP23" i="25" s="1"/>
  <c r="MM23" i="25"/>
  <c r="MP23" i="25" s="1"/>
  <c r="KM23" i="25"/>
  <c r="KP23" i="25" s="1"/>
  <c r="IM23" i="25"/>
  <c r="IP23" i="25" s="1"/>
  <c r="JM23" i="25"/>
  <c r="JP23" i="25" s="1"/>
  <c r="SM23" i="25"/>
  <c r="HN23" i="25"/>
  <c r="GM23" i="25"/>
  <c r="GP23" i="25" s="1"/>
  <c r="SO23" i="25"/>
  <c r="QM23" i="25"/>
  <c r="PN23" i="25"/>
  <c r="MN23" i="25"/>
  <c r="JO23" i="25"/>
  <c r="KN23" i="25"/>
  <c r="HM23" i="25"/>
  <c r="HP23" i="25" s="1"/>
  <c r="QO23" i="25"/>
  <c r="SN23" i="25"/>
  <c r="NN23" i="25"/>
  <c r="MO23" i="25"/>
  <c r="IN23" i="25"/>
  <c r="JN23" i="25"/>
  <c r="GO23" i="25"/>
  <c r="OM23" i="25"/>
  <c r="OP23" i="25" s="1"/>
  <c r="LM23" i="25"/>
  <c r="LP23" i="25" s="1"/>
  <c r="EQ23" i="25"/>
  <c r="EX23" i="25"/>
  <c r="AH23" i="25" s="1"/>
  <c r="DL23" i="25"/>
  <c r="ON23" i="25"/>
  <c r="LN23" i="25"/>
  <c r="ER23" i="25"/>
  <c r="OO23" i="25"/>
  <c r="LO23" i="25"/>
  <c r="ES23" i="25"/>
  <c r="EA23" i="25"/>
  <c r="DG23" i="25"/>
  <c r="HC23" i="25"/>
  <c r="JI23" i="25"/>
  <c r="LA23" i="25"/>
  <c r="IC23" i="25"/>
  <c r="FI23" i="25"/>
  <c r="HI23" i="25"/>
  <c r="GA23" i="25"/>
  <c r="SI23" i="25"/>
  <c r="QI23" i="25"/>
  <c r="MI23" i="25"/>
  <c r="MA23" i="25"/>
  <c r="LI23" i="25"/>
  <c r="JA23" i="25"/>
  <c r="KA23" i="25"/>
  <c r="SC23" i="25"/>
  <c r="GD23" i="25"/>
  <c r="PI23" i="25"/>
  <c r="RI23" i="25"/>
  <c r="NI23" i="25"/>
  <c r="KI23" i="25"/>
  <c r="II23" i="25"/>
  <c r="GI23" i="25"/>
  <c r="HA23" i="25"/>
  <c r="FA23" i="25"/>
  <c r="OA23" i="25"/>
  <c r="IA23" i="25"/>
  <c r="OI23" i="25"/>
  <c r="NA23" i="25"/>
  <c r="SO21" i="25"/>
  <c r="QO21" i="25"/>
  <c r="NO21" i="25"/>
  <c r="NM21" i="25"/>
  <c r="NP21" i="25" s="1"/>
  <c r="MN21" i="25"/>
  <c r="RN21" i="25"/>
  <c r="QM21" i="25"/>
  <c r="PN21" i="25"/>
  <c r="MO21" i="25"/>
  <c r="SN21" i="25"/>
  <c r="QN21" i="25"/>
  <c r="NN21" i="25"/>
  <c r="RO21" i="25"/>
  <c r="RM21" i="25"/>
  <c r="PO21" i="25"/>
  <c r="PM21" i="25"/>
  <c r="MM21" i="25"/>
  <c r="MP21" i="25" s="1"/>
  <c r="IN21" i="25"/>
  <c r="KO21" i="25"/>
  <c r="JM21" i="25"/>
  <c r="JP21" i="25" s="1"/>
  <c r="GO21" i="25"/>
  <c r="OM21" i="25"/>
  <c r="OP21" i="25" s="1"/>
  <c r="LO21" i="25"/>
  <c r="EG21" i="25"/>
  <c r="DL21" i="25"/>
  <c r="KM21" i="25"/>
  <c r="KP21" i="25" s="1"/>
  <c r="IM21" i="25"/>
  <c r="IP21" i="25" s="1"/>
  <c r="KN21" i="25"/>
  <c r="HO21" i="25"/>
  <c r="GN21" i="25"/>
  <c r="GM21" i="25"/>
  <c r="GP21" i="25" s="1"/>
  <c r="LM21" i="25"/>
  <c r="LP21" i="25" s="1"/>
  <c r="ER21" i="25"/>
  <c r="JO21" i="25"/>
  <c r="HN21" i="25"/>
  <c r="HM21" i="25"/>
  <c r="HP21" i="25" s="1"/>
  <c r="ON21" i="25"/>
  <c r="ES21" i="25"/>
  <c r="JN21" i="25"/>
  <c r="IO21" i="25"/>
  <c r="SM21" i="25"/>
  <c r="OO21" i="25"/>
  <c r="LN21" i="25"/>
  <c r="EQ21" i="25"/>
  <c r="EA21" i="25"/>
  <c r="DG21" i="25"/>
  <c r="GA21" i="25"/>
  <c r="JI21" i="25"/>
  <c r="KA21" i="25"/>
  <c r="IT21" i="25"/>
  <c r="II21" i="25"/>
  <c r="FD21" i="25"/>
  <c r="GD21" i="25"/>
  <c r="NI21" i="25"/>
  <c r="LI21" i="25"/>
  <c r="LA21" i="25"/>
  <c r="FI21" i="25"/>
  <c r="IA21" i="25"/>
  <c r="HI21" i="25"/>
  <c r="HA21" i="25"/>
  <c r="QI21" i="25"/>
  <c r="PI21" i="25"/>
  <c r="MI21" i="25"/>
  <c r="MC21" i="25"/>
  <c r="KI21" i="25"/>
  <c r="MA21" i="25"/>
  <c r="GI21" i="25"/>
  <c r="EL21" i="25"/>
  <c r="FA21" i="25"/>
  <c r="SI21" i="25"/>
  <c r="RI21" i="25"/>
  <c r="OA21" i="25"/>
  <c r="JA21" i="25"/>
  <c r="ST21" i="25"/>
  <c r="NA21" i="25"/>
  <c r="NT21" i="25"/>
  <c r="OI21" i="25"/>
  <c r="RO22" i="25"/>
  <c r="SN22" i="25"/>
  <c r="NO22" i="25"/>
  <c r="NM22" i="25"/>
  <c r="NP22" i="25" s="1"/>
  <c r="MM22" i="25"/>
  <c r="MP22" i="25" s="1"/>
  <c r="IM22" i="25"/>
  <c r="IP22" i="25" s="1"/>
  <c r="QO22" i="25"/>
  <c r="QM22" i="25"/>
  <c r="PN22" i="25"/>
  <c r="MN22" i="25"/>
  <c r="JO22" i="25"/>
  <c r="RN22" i="25"/>
  <c r="QN22" i="25"/>
  <c r="NN22" i="25"/>
  <c r="MO22" i="25"/>
  <c r="IN22" i="25"/>
  <c r="JN22" i="25"/>
  <c r="SO22" i="25"/>
  <c r="RM22" i="25"/>
  <c r="PO22" i="25"/>
  <c r="PM22" i="25"/>
  <c r="KM22" i="25"/>
  <c r="KP22" i="25" s="1"/>
  <c r="KO22" i="25"/>
  <c r="HO22" i="25"/>
  <c r="GN22" i="25"/>
  <c r="GM22" i="25"/>
  <c r="GP22" i="25" s="1"/>
  <c r="EG22" i="25"/>
  <c r="DG22" i="25"/>
  <c r="IO22" i="25"/>
  <c r="HN22" i="25"/>
  <c r="HM22" i="25"/>
  <c r="HP22" i="25" s="1"/>
  <c r="OO22" i="25"/>
  <c r="LO22" i="25"/>
  <c r="ES22" i="25"/>
  <c r="JM22" i="25"/>
  <c r="JP22" i="25" s="1"/>
  <c r="SM22" i="25"/>
  <c r="OM22" i="25"/>
  <c r="OP22" i="25" s="1"/>
  <c r="LM22" i="25"/>
  <c r="LP22" i="25" s="1"/>
  <c r="EQ22" i="25"/>
  <c r="KN22" i="25"/>
  <c r="GO22" i="25"/>
  <c r="ON22" i="25"/>
  <c r="LN22" i="25"/>
  <c r="ER22" i="25"/>
  <c r="EA22" i="25"/>
  <c r="DL22" i="25"/>
  <c r="HA22" i="25"/>
  <c r="RI22" i="25"/>
  <c r="OA22" i="25"/>
  <c r="MI22" i="25"/>
  <c r="JA22" i="25"/>
  <c r="JI22" i="25"/>
  <c r="FA22" i="25"/>
  <c r="KA22" i="25"/>
  <c r="KI22" i="25"/>
  <c r="II22" i="25"/>
  <c r="IC22" i="25"/>
  <c r="HI22" i="25"/>
  <c r="GA22" i="25"/>
  <c r="SI22" i="25"/>
  <c r="PI22" i="25"/>
  <c r="NI22" i="25"/>
  <c r="GI22" i="25"/>
  <c r="GD22" i="25"/>
  <c r="EL22" i="25"/>
  <c r="QI22" i="25"/>
  <c r="LA22" i="25"/>
  <c r="LI22" i="25"/>
  <c r="MA22" i="25"/>
  <c r="IA22" i="25"/>
  <c r="FI22" i="25"/>
  <c r="NA22" i="25"/>
  <c r="NT22" i="25"/>
  <c r="OI22" i="25"/>
  <c r="SO49" i="25"/>
  <c r="QO49" i="25"/>
  <c r="NO49" i="25"/>
  <c r="NM49" i="25"/>
  <c r="NP49" i="25" s="1"/>
  <c r="MN49" i="25"/>
  <c r="RN49" i="25"/>
  <c r="QM49" i="25"/>
  <c r="PN49" i="25"/>
  <c r="MO49" i="25"/>
  <c r="SN49" i="25"/>
  <c r="QN49" i="25"/>
  <c r="NN49" i="25"/>
  <c r="RO49" i="25"/>
  <c r="RM49" i="25"/>
  <c r="RP49" i="25" s="1"/>
  <c r="PO49" i="25"/>
  <c r="PM49" i="25"/>
  <c r="PP49" i="25" s="1"/>
  <c r="MM49" i="25"/>
  <c r="MP49" i="25" s="1"/>
  <c r="IN49" i="25"/>
  <c r="JN49" i="25"/>
  <c r="IO49" i="25"/>
  <c r="LM49" i="25"/>
  <c r="LP49" i="25" s="1"/>
  <c r="ER49" i="25"/>
  <c r="AA49" i="19"/>
  <c r="KM49" i="25"/>
  <c r="KP49" i="25" s="1"/>
  <c r="KO49" i="25"/>
  <c r="JM49" i="25"/>
  <c r="JP49" i="25" s="1"/>
  <c r="GO49" i="25"/>
  <c r="GN49" i="25"/>
  <c r="ON49" i="25"/>
  <c r="ES49" i="25"/>
  <c r="EA49" i="25"/>
  <c r="DL49" i="25"/>
  <c r="IM49" i="25"/>
  <c r="IP49" i="25" s="1"/>
  <c r="KN49" i="25"/>
  <c r="HO49" i="25"/>
  <c r="HN49" i="25"/>
  <c r="GM49" i="25"/>
  <c r="GP49" i="25" s="1"/>
  <c r="OO49" i="25"/>
  <c r="LN49" i="25"/>
  <c r="EQ49" i="25"/>
  <c r="EC49" i="25"/>
  <c r="JO49" i="25"/>
  <c r="SM49" i="25"/>
  <c r="HM49" i="25"/>
  <c r="HP49" i="25" s="1"/>
  <c r="OM49" i="25"/>
  <c r="OP49" i="25" s="1"/>
  <c r="LO49" i="25"/>
  <c r="GD49" i="25"/>
  <c r="FA49" i="25"/>
  <c r="SI49" i="25"/>
  <c r="GI49" i="25"/>
  <c r="HA49" i="25"/>
  <c r="NI49" i="25"/>
  <c r="LI49" i="25"/>
  <c r="JT49" i="25"/>
  <c r="HT49" i="25"/>
  <c r="FG49" i="25"/>
  <c r="EL49" i="25"/>
  <c r="QI49" i="25"/>
  <c r="PI49" i="25"/>
  <c r="MI49" i="25"/>
  <c r="MT49" i="25"/>
  <c r="KI49" i="25"/>
  <c r="LA49" i="25"/>
  <c r="HI49" i="25"/>
  <c r="GG49" i="25"/>
  <c r="GA49" i="25"/>
  <c r="RT49" i="25"/>
  <c r="RI49" i="25"/>
  <c r="PD49" i="25"/>
  <c r="OA49" i="25"/>
  <c r="JA49" i="25"/>
  <c r="MA49" i="25"/>
  <c r="JI49" i="25"/>
  <c r="KA49" i="25"/>
  <c r="IT49" i="25"/>
  <c r="FI49" i="25"/>
  <c r="ST49" i="25"/>
  <c r="NA49" i="25"/>
  <c r="IA49" i="25"/>
  <c r="II49" i="25"/>
  <c r="OI49" i="25"/>
  <c r="RO40" i="25"/>
  <c r="QN40" i="25"/>
  <c r="PO40" i="25"/>
  <c r="PM40" i="25"/>
  <c r="PP40" i="25" s="1"/>
  <c r="MM40" i="25"/>
  <c r="MP40" i="25" s="1"/>
  <c r="IN40" i="25"/>
  <c r="KO40" i="25"/>
  <c r="IO40" i="25"/>
  <c r="HO40" i="25"/>
  <c r="GN40" i="25"/>
  <c r="SN40" i="25"/>
  <c r="RM40" i="25"/>
  <c r="RP40" i="25" s="1"/>
  <c r="NO40" i="25"/>
  <c r="NM40" i="25"/>
  <c r="NP40" i="25" s="1"/>
  <c r="MN40" i="25"/>
  <c r="KM40" i="25"/>
  <c r="KP40" i="25" s="1"/>
  <c r="IM40" i="25"/>
  <c r="IP40" i="25" s="1"/>
  <c r="JM40" i="25"/>
  <c r="JP40" i="25" s="1"/>
  <c r="SM40" i="25"/>
  <c r="HN40" i="25"/>
  <c r="QO40" i="25"/>
  <c r="QM40" i="25"/>
  <c r="PN40" i="25"/>
  <c r="MO40" i="25"/>
  <c r="JO40" i="25"/>
  <c r="KN40" i="25"/>
  <c r="GM40" i="25"/>
  <c r="GP40" i="25" s="1"/>
  <c r="RN40" i="25"/>
  <c r="SO40" i="25"/>
  <c r="NN40" i="25"/>
  <c r="JN40" i="25"/>
  <c r="GO40" i="25"/>
  <c r="HM40" i="25"/>
  <c r="HP40" i="25" s="1"/>
  <c r="OM40" i="25"/>
  <c r="OP40" i="25" s="1"/>
  <c r="LM40" i="25"/>
  <c r="LP40" i="25" s="1"/>
  <c r="ES40" i="25"/>
  <c r="EC40" i="25"/>
  <c r="DL40" i="25"/>
  <c r="OO40" i="25"/>
  <c r="LN40" i="25"/>
  <c r="LO40" i="25"/>
  <c r="EQ40" i="25"/>
  <c r="AA40" i="19"/>
  <c r="ON40" i="25"/>
  <c r="ER40" i="25"/>
  <c r="EA40" i="25"/>
  <c r="GI40" i="25"/>
  <c r="HA40" i="25"/>
  <c r="FA40" i="25"/>
  <c r="QI40" i="25"/>
  <c r="RI40" i="25"/>
  <c r="MT40" i="25"/>
  <c r="KI40" i="25"/>
  <c r="LI40" i="25"/>
  <c r="JI40" i="25"/>
  <c r="LT40" i="25"/>
  <c r="SC40" i="25"/>
  <c r="HD40" i="25"/>
  <c r="GG40" i="25"/>
  <c r="GU40" i="25" s="1"/>
  <c r="EL40" i="25"/>
  <c r="SI40" i="25"/>
  <c r="NI40" i="25"/>
  <c r="MI40" i="25"/>
  <c r="MA40" i="25"/>
  <c r="FI40" i="25"/>
  <c r="HI40" i="25"/>
  <c r="GA40" i="25"/>
  <c r="PD40" i="25"/>
  <c r="PI40" i="25"/>
  <c r="OA40" i="25"/>
  <c r="OC40" i="25"/>
  <c r="LA40" i="25"/>
  <c r="KA40" i="25"/>
  <c r="JA40" i="25"/>
  <c r="II40" i="25"/>
  <c r="IC40" i="25"/>
  <c r="FT40" i="25"/>
  <c r="GD40" i="25"/>
  <c r="RC40" i="25"/>
  <c r="QC40" i="25"/>
  <c r="JT40" i="25"/>
  <c r="IA40" i="25"/>
  <c r="OI40" i="25"/>
  <c r="NT40" i="25"/>
  <c r="NA40" i="25"/>
  <c r="RN30" i="25"/>
  <c r="QN30" i="25"/>
  <c r="NN30" i="25"/>
  <c r="SO30" i="25"/>
  <c r="RM30" i="25"/>
  <c r="PO30" i="25"/>
  <c r="PM30" i="25"/>
  <c r="MM30" i="25"/>
  <c r="MP30" i="25" s="1"/>
  <c r="RO30" i="25"/>
  <c r="SN30" i="25"/>
  <c r="NO30" i="25"/>
  <c r="NM30" i="25"/>
  <c r="NP30" i="25" s="1"/>
  <c r="MN30" i="25"/>
  <c r="QO30" i="25"/>
  <c r="QM30" i="25"/>
  <c r="PN30" i="25"/>
  <c r="MO30" i="25"/>
  <c r="JN30" i="25"/>
  <c r="HN30" i="25"/>
  <c r="HM30" i="25"/>
  <c r="HP30" i="25" s="1"/>
  <c r="EC30" i="25"/>
  <c r="IN30" i="25"/>
  <c r="KO30" i="25"/>
  <c r="IO30" i="25"/>
  <c r="SM30" i="25"/>
  <c r="OO30" i="25"/>
  <c r="LO30" i="25"/>
  <c r="ES30" i="25"/>
  <c r="KM30" i="25"/>
  <c r="KP30" i="25" s="1"/>
  <c r="IM30" i="25"/>
  <c r="IP30" i="25" s="1"/>
  <c r="JM30" i="25"/>
  <c r="JP30" i="25" s="1"/>
  <c r="GO30" i="25"/>
  <c r="OM30" i="25"/>
  <c r="OP30" i="25" s="1"/>
  <c r="LM30" i="25"/>
  <c r="LP30" i="25" s="1"/>
  <c r="EQ30" i="25"/>
  <c r="DL30" i="25"/>
  <c r="JO30" i="25"/>
  <c r="KN30" i="25"/>
  <c r="HO30" i="25"/>
  <c r="GN30" i="25"/>
  <c r="GM30" i="25"/>
  <c r="GP30" i="25" s="1"/>
  <c r="ON30" i="25"/>
  <c r="LN30" i="25"/>
  <c r="ER30" i="25"/>
  <c r="EA30" i="25"/>
  <c r="AA30" i="19"/>
  <c r="FC30" i="25"/>
  <c r="GD30" i="25"/>
  <c r="QI30" i="25"/>
  <c r="RT30" i="25"/>
  <c r="KA30" i="25"/>
  <c r="KI30" i="25"/>
  <c r="LT30" i="25"/>
  <c r="IA30" i="25"/>
  <c r="FI30" i="25"/>
  <c r="HI30" i="25"/>
  <c r="GC30" i="25"/>
  <c r="HA30" i="25"/>
  <c r="PI30" i="25"/>
  <c r="OA30" i="25"/>
  <c r="LA30" i="25"/>
  <c r="LI30" i="25"/>
  <c r="MA30" i="25"/>
  <c r="GI30" i="25"/>
  <c r="EL30" i="25"/>
  <c r="FA30" i="25"/>
  <c r="SI30" i="25"/>
  <c r="PT30" i="25"/>
  <c r="OC30" i="25"/>
  <c r="MI30" i="25"/>
  <c r="JI30" i="25"/>
  <c r="II30" i="25"/>
  <c r="IT30" i="25"/>
  <c r="HD30" i="25"/>
  <c r="GA30" i="25"/>
  <c r="RI30" i="25"/>
  <c r="NI30" i="25"/>
  <c r="JD30" i="25"/>
  <c r="JA30" i="25"/>
  <c r="NA30" i="25"/>
  <c r="NT30" i="25"/>
  <c r="OI30" i="25"/>
  <c r="RN43" i="25"/>
  <c r="QN43" i="25"/>
  <c r="PO43" i="25"/>
  <c r="PM43" i="25"/>
  <c r="PP43" i="25" s="1"/>
  <c r="MM43" i="25"/>
  <c r="MP43" i="25" s="1"/>
  <c r="RO43" i="25"/>
  <c r="RM43" i="25"/>
  <c r="RP43" i="25" s="1"/>
  <c r="NO43" i="25"/>
  <c r="NM43" i="25"/>
  <c r="NP43" i="25" s="1"/>
  <c r="MN43" i="25"/>
  <c r="SO43" i="25"/>
  <c r="QM43" i="25"/>
  <c r="PN43" i="25"/>
  <c r="MO43" i="25"/>
  <c r="QO43" i="25"/>
  <c r="SN43" i="25"/>
  <c r="NN43" i="25"/>
  <c r="JO43" i="25"/>
  <c r="KN43" i="25"/>
  <c r="HN43" i="25"/>
  <c r="GM43" i="25"/>
  <c r="GP43" i="25" s="1"/>
  <c r="OM43" i="25"/>
  <c r="OP43" i="25" s="1"/>
  <c r="LM43" i="25"/>
  <c r="LP43" i="25" s="1"/>
  <c r="EQ43" i="25"/>
  <c r="EC43" i="25"/>
  <c r="AA43" i="19"/>
  <c r="IN43" i="25"/>
  <c r="JN43" i="25"/>
  <c r="HM43" i="25"/>
  <c r="HP43" i="25" s="1"/>
  <c r="ON43" i="25"/>
  <c r="LN43" i="25"/>
  <c r="ER43" i="25"/>
  <c r="DL43" i="25"/>
  <c r="KO43" i="25"/>
  <c r="IO43" i="25"/>
  <c r="GO43" i="25"/>
  <c r="SM43" i="25"/>
  <c r="OO43" i="25"/>
  <c r="LO43" i="25"/>
  <c r="ES43" i="25"/>
  <c r="KM43" i="25"/>
  <c r="KP43" i="25" s="1"/>
  <c r="IM43" i="25"/>
  <c r="IP43" i="25" s="1"/>
  <c r="JM43" i="25"/>
  <c r="JP43" i="25" s="1"/>
  <c r="HO43" i="25"/>
  <c r="GN43" i="25"/>
  <c r="EA43" i="25"/>
  <c r="GI43" i="25"/>
  <c r="FT43" i="25"/>
  <c r="SI43" i="25"/>
  <c r="RT43" i="25"/>
  <c r="MI43" i="25"/>
  <c r="JI43" i="25"/>
  <c r="LD43" i="25"/>
  <c r="LA43" i="25"/>
  <c r="MC43" i="25"/>
  <c r="II43" i="25"/>
  <c r="HC43" i="25"/>
  <c r="GC43" i="25"/>
  <c r="GA43" i="25"/>
  <c r="EL43" i="25"/>
  <c r="PI43" i="25"/>
  <c r="RI43" i="25"/>
  <c r="NI43" i="25"/>
  <c r="MA43" i="25"/>
  <c r="LI43" i="25"/>
  <c r="JA43" i="25"/>
  <c r="KA43" i="25"/>
  <c r="IA43" i="25"/>
  <c r="HI43" i="25"/>
  <c r="GD43" i="25"/>
  <c r="PD43" i="25"/>
  <c r="OA43" i="25"/>
  <c r="JD43" i="25"/>
  <c r="KI43" i="25"/>
  <c r="FI43" i="25"/>
  <c r="HA43" i="25"/>
  <c r="FA43" i="25"/>
  <c r="QI43" i="25"/>
  <c r="OI43" i="25"/>
  <c r="NA43" i="25"/>
  <c r="NC43" i="25"/>
  <c r="SN36" i="25"/>
  <c r="RM36" i="25"/>
  <c r="RP36" i="25" s="1"/>
  <c r="NO36" i="25"/>
  <c r="NM36" i="25"/>
  <c r="NP36" i="25" s="1"/>
  <c r="MM36" i="25"/>
  <c r="MP36" i="25" s="1"/>
  <c r="IN36" i="25"/>
  <c r="KO36" i="25"/>
  <c r="IO36" i="25"/>
  <c r="GO36" i="25"/>
  <c r="HM36" i="25"/>
  <c r="HP36" i="25" s="1"/>
  <c r="QO36" i="25"/>
  <c r="QM36" i="25"/>
  <c r="PN36" i="25"/>
  <c r="MN36" i="25"/>
  <c r="IM36" i="25"/>
  <c r="IP36" i="25" s="1"/>
  <c r="JM36" i="25"/>
  <c r="JP36" i="25" s="1"/>
  <c r="HO36" i="25"/>
  <c r="GN36" i="25"/>
  <c r="RN36" i="25"/>
  <c r="SO36" i="25"/>
  <c r="NN36" i="25"/>
  <c r="MO36" i="25"/>
  <c r="KM36" i="25"/>
  <c r="KP36" i="25" s="1"/>
  <c r="JO36" i="25"/>
  <c r="KN36" i="25"/>
  <c r="SM36" i="25"/>
  <c r="HN36" i="25"/>
  <c r="RO36" i="25"/>
  <c r="QN36" i="25"/>
  <c r="PO36" i="25"/>
  <c r="PM36" i="25"/>
  <c r="PP36" i="25" s="1"/>
  <c r="JN36" i="25"/>
  <c r="GM36" i="25"/>
  <c r="GP36" i="25" s="1"/>
  <c r="OO36" i="25"/>
  <c r="LN36" i="25"/>
  <c r="ES36" i="25"/>
  <c r="EX36" i="25"/>
  <c r="AH36" i="25" s="1"/>
  <c r="DL36" i="25"/>
  <c r="LO36" i="25"/>
  <c r="OM36" i="25"/>
  <c r="OP36" i="25" s="1"/>
  <c r="EQ36" i="25"/>
  <c r="AA36" i="19"/>
  <c r="ON36" i="25"/>
  <c r="LM36" i="25"/>
  <c r="LP36" i="25" s="1"/>
  <c r="ER36" i="25"/>
  <c r="EA36" i="25"/>
  <c r="GI36" i="25"/>
  <c r="EL36" i="25"/>
  <c r="FA36" i="25"/>
  <c r="SI36" i="25"/>
  <c r="PI36" i="25"/>
  <c r="JC36" i="25"/>
  <c r="IA36" i="25"/>
  <c r="HC36" i="25"/>
  <c r="GA36" i="25"/>
  <c r="PT36" i="25"/>
  <c r="NI36" i="25"/>
  <c r="MI36" i="25"/>
  <c r="KI36" i="25"/>
  <c r="LI36" i="25"/>
  <c r="LD36" i="25"/>
  <c r="ST36" i="25"/>
  <c r="FC36" i="25"/>
  <c r="GD36" i="25"/>
  <c r="RT36" i="25"/>
  <c r="OA36" i="25"/>
  <c r="MA36" i="25"/>
  <c r="JI36" i="25"/>
  <c r="FI36" i="25"/>
  <c r="HI36" i="25"/>
  <c r="GT36" i="25"/>
  <c r="HA36" i="25"/>
  <c r="QI36" i="25"/>
  <c r="RI36" i="25"/>
  <c r="LA36" i="25"/>
  <c r="KA36" i="25"/>
  <c r="JA36" i="25"/>
  <c r="II36" i="25"/>
  <c r="IC36" i="25"/>
  <c r="NA36" i="25"/>
  <c r="OI36" i="25"/>
  <c r="ND36" i="25"/>
  <c r="RN35" i="25"/>
  <c r="QN35" i="25"/>
  <c r="PO35" i="25"/>
  <c r="PM35" i="25"/>
  <c r="PP35" i="25" s="1"/>
  <c r="MM35" i="25"/>
  <c r="MP35" i="25" s="1"/>
  <c r="JN35" i="25"/>
  <c r="HM35" i="25"/>
  <c r="HP35" i="25" s="1"/>
  <c r="RO35" i="25"/>
  <c r="RM35" i="25"/>
  <c r="RP35" i="25" s="1"/>
  <c r="NO35" i="25"/>
  <c r="NM35" i="25"/>
  <c r="NP35" i="25" s="1"/>
  <c r="MN35" i="25"/>
  <c r="IN35" i="25"/>
  <c r="KO35" i="25"/>
  <c r="IO35" i="25"/>
  <c r="GO35" i="25"/>
  <c r="SM35" i="25"/>
  <c r="SO35" i="25"/>
  <c r="QM35" i="25"/>
  <c r="PN35" i="25"/>
  <c r="MO35" i="25"/>
  <c r="IM35" i="25"/>
  <c r="IP35" i="25" s="1"/>
  <c r="JM35" i="25"/>
  <c r="JP35" i="25" s="1"/>
  <c r="HO35" i="25"/>
  <c r="GN35" i="25"/>
  <c r="QO35" i="25"/>
  <c r="SN35" i="25"/>
  <c r="NN35" i="25"/>
  <c r="KM35" i="25"/>
  <c r="KP35" i="25" s="1"/>
  <c r="JO35" i="25"/>
  <c r="KN35" i="25"/>
  <c r="HN35" i="25"/>
  <c r="GM35" i="25"/>
  <c r="GP35" i="25" s="1"/>
  <c r="OO35" i="25"/>
  <c r="LM35" i="25"/>
  <c r="LP35" i="25" s="1"/>
  <c r="ES35" i="25"/>
  <c r="EX35" i="25"/>
  <c r="AH35" i="25" s="1"/>
  <c r="DL35" i="25"/>
  <c r="LN35" i="25"/>
  <c r="ON35" i="25"/>
  <c r="LO35" i="25"/>
  <c r="EQ35" i="25"/>
  <c r="OM35" i="25"/>
  <c r="OP35" i="25" s="1"/>
  <c r="ER35" i="25"/>
  <c r="EA35" i="25"/>
  <c r="AA35" i="19"/>
  <c r="HT35" i="25"/>
  <c r="HA35" i="25"/>
  <c r="RI35" i="25"/>
  <c r="OT35" i="25"/>
  <c r="FG35" i="25"/>
  <c r="FA35" i="25"/>
  <c r="SI35" i="25"/>
  <c r="MI35" i="25"/>
  <c r="JI35" i="25"/>
  <c r="LD35" i="25"/>
  <c r="LA35" i="25"/>
  <c r="MC35" i="25"/>
  <c r="II35" i="25"/>
  <c r="HI35" i="25"/>
  <c r="GT35" i="25"/>
  <c r="GA35" i="25"/>
  <c r="RC35" i="25"/>
  <c r="QI35" i="25"/>
  <c r="NI35" i="25"/>
  <c r="MA35" i="25"/>
  <c r="LI35" i="25"/>
  <c r="JA35" i="25"/>
  <c r="KA35" i="25"/>
  <c r="IA35" i="25"/>
  <c r="GI35" i="25"/>
  <c r="GD35" i="25"/>
  <c r="EL35" i="25"/>
  <c r="PI35" i="25"/>
  <c r="PT35" i="25"/>
  <c r="OA35" i="25"/>
  <c r="JC35" i="25"/>
  <c r="KI35" i="25"/>
  <c r="FI35" i="25"/>
  <c r="ND35" i="25"/>
  <c r="OI35" i="25"/>
  <c r="NA35" i="25"/>
  <c r="SO27" i="25"/>
  <c r="QM27" i="25"/>
  <c r="PN27" i="25"/>
  <c r="MO27" i="25"/>
  <c r="QO27" i="25"/>
  <c r="SN27" i="25"/>
  <c r="NN27" i="25"/>
  <c r="RN27" i="25"/>
  <c r="QN27" i="25"/>
  <c r="PO27" i="25"/>
  <c r="PM27" i="25"/>
  <c r="MM27" i="25"/>
  <c r="MP27" i="25" s="1"/>
  <c r="RO27" i="25"/>
  <c r="RM27" i="25"/>
  <c r="NO27" i="25"/>
  <c r="NM27" i="25"/>
  <c r="NP27" i="25" s="1"/>
  <c r="MN27" i="25"/>
  <c r="IN27" i="25"/>
  <c r="KO27" i="25"/>
  <c r="JM27" i="25"/>
  <c r="JP27" i="25" s="1"/>
  <c r="GO27" i="25"/>
  <c r="HM27" i="25"/>
  <c r="HP27" i="25" s="1"/>
  <c r="EC27" i="25"/>
  <c r="AA27" i="19"/>
  <c r="KM27" i="25"/>
  <c r="KP27" i="25" s="1"/>
  <c r="IM27" i="25"/>
  <c r="IP27" i="25" s="1"/>
  <c r="KN27" i="25"/>
  <c r="HO27" i="25"/>
  <c r="SM27" i="25"/>
  <c r="ON27" i="25"/>
  <c r="LM27" i="25"/>
  <c r="LP27" i="25" s="1"/>
  <c r="EQ27" i="25"/>
  <c r="DL27" i="25"/>
  <c r="JO27" i="25"/>
  <c r="GN27" i="25"/>
  <c r="OM27" i="25"/>
  <c r="OP27" i="25" s="1"/>
  <c r="LN27" i="25"/>
  <c r="ER27" i="25"/>
  <c r="JN27" i="25"/>
  <c r="IO27" i="25"/>
  <c r="HN27" i="25"/>
  <c r="GM27" i="25"/>
  <c r="GP27" i="25" s="1"/>
  <c r="OO27" i="25"/>
  <c r="LO27" i="25"/>
  <c r="ES27" i="25"/>
  <c r="EA27" i="25"/>
  <c r="HI27" i="25"/>
  <c r="GI27" i="25"/>
  <c r="GD27" i="25"/>
  <c r="QI27" i="25"/>
  <c r="JI27" i="25"/>
  <c r="LA27" i="25"/>
  <c r="IT27" i="25"/>
  <c r="FI27" i="25"/>
  <c r="HT27" i="25"/>
  <c r="HA27" i="25"/>
  <c r="FA27" i="25"/>
  <c r="QT27" i="25"/>
  <c r="MI27" i="25"/>
  <c r="MA27" i="25"/>
  <c r="LI27" i="25"/>
  <c r="JA27" i="25"/>
  <c r="KA27" i="25"/>
  <c r="SC27" i="25"/>
  <c r="BN27" i="25" s="1"/>
  <c r="SI27" i="25"/>
  <c r="PI27" i="25"/>
  <c r="RI27" i="25"/>
  <c r="NI27" i="25"/>
  <c r="JC27" i="25"/>
  <c r="KI27" i="25"/>
  <c r="II27" i="25"/>
  <c r="GC27" i="25"/>
  <c r="GA27" i="25"/>
  <c r="EL27" i="25"/>
  <c r="OA27" i="25"/>
  <c r="IA27" i="25"/>
  <c r="NA27" i="25"/>
  <c r="NT27" i="25"/>
  <c r="OI27" i="25"/>
  <c r="RO38" i="25"/>
  <c r="SN38" i="25"/>
  <c r="NO38" i="25"/>
  <c r="NM38" i="25"/>
  <c r="NP38" i="25" s="1"/>
  <c r="MM38" i="25"/>
  <c r="MP38" i="25" s="1"/>
  <c r="KM38" i="25"/>
  <c r="KP38" i="25" s="1"/>
  <c r="IM38" i="25"/>
  <c r="IP38" i="25" s="1"/>
  <c r="JM38" i="25"/>
  <c r="JP38" i="25" s="1"/>
  <c r="HO38" i="25"/>
  <c r="GN38" i="25"/>
  <c r="GM38" i="25"/>
  <c r="GP38" i="25" s="1"/>
  <c r="QO38" i="25"/>
  <c r="QM38" i="25"/>
  <c r="PN38" i="25"/>
  <c r="MN38" i="25"/>
  <c r="JO38" i="25"/>
  <c r="KN38" i="25"/>
  <c r="HN38" i="25"/>
  <c r="HM38" i="25"/>
  <c r="HP38" i="25" s="1"/>
  <c r="RN38" i="25"/>
  <c r="QN38" i="25"/>
  <c r="NN38" i="25"/>
  <c r="MO38" i="25"/>
  <c r="IN38" i="25"/>
  <c r="JN38" i="25"/>
  <c r="SM38" i="25"/>
  <c r="SO38" i="25"/>
  <c r="RM38" i="25"/>
  <c r="RP38" i="25" s="1"/>
  <c r="PO38" i="25"/>
  <c r="PM38" i="25"/>
  <c r="PP38" i="25" s="1"/>
  <c r="KO38" i="25"/>
  <c r="IO38" i="25"/>
  <c r="GO38" i="25"/>
  <c r="ON38" i="25"/>
  <c r="LM38" i="25"/>
  <c r="LP38" i="25" s="1"/>
  <c r="ER38" i="25"/>
  <c r="EG38" i="25"/>
  <c r="DL38" i="25"/>
  <c r="LN38" i="25"/>
  <c r="AA38" i="19"/>
  <c r="OO38" i="25"/>
  <c r="ES38" i="25"/>
  <c r="OM38" i="25"/>
  <c r="OP38" i="25" s="1"/>
  <c r="LO38" i="25"/>
  <c r="EQ38" i="25"/>
  <c r="EA38" i="25"/>
  <c r="FT38" i="25"/>
  <c r="GD38" i="25"/>
  <c r="QI38" i="25"/>
  <c r="RC38" i="25"/>
  <c r="OA38" i="25"/>
  <c r="JA38" i="25"/>
  <c r="II38" i="25"/>
  <c r="IC38" i="25"/>
  <c r="HI38" i="25"/>
  <c r="GG38" i="25"/>
  <c r="HA38" i="25"/>
  <c r="SI38" i="25"/>
  <c r="RI38" i="25"/>
  <c r="OT38" i="25"/>
  <c r="MI38" i="25"/>
  <c r="KA38" i="25"/>
  <c r="KI38" i="25"/>
  <c r="LD38" i="25"/>
  <c r="GI38" i="25"/>
  <c r="EL38" i="25"/>
  <c r="FA38" i="25"/>
  <c r="PT38" i="25"/>
  <c r="NI38" i="25"/>
  <c r="MC38" i="25"/>
  <c r="MA38" i="25"/>
  <c r="IA38" i="25"/>
  <c r="FI38" i="25"/>
  <c r="HC38" i="25"/>
  <c r="GA38" i="25"/>
  <c r="PI38" i="25"/>
  <c r="LA38" i="25"/>
  <c r="LI38" i="25"/>
  <c r="JI38" i="25"/>
  <c r="NA38" i="25"/>
  <c r="NC38" i="25"/>
  <c r="OI38" i="25"/>
  <c r="RN28" i="25"/>
  <c r="SO28" i="25"/>
  <c r="NN28" i="25"/>
  <c r="MO28" i="25"/>
  <c r="RO28" i="25"/>
  <c r="QN28" i="25"/>
  <c r="PO28" i="25"/>
  <c r="PM28" i="25"/>
  <c r="SN28" i="25"/>
  <c r="RM28" i="25"/>
  <c r="NO28" i="25"/>
  <c r="NM28" i="25"/>
  <c r="NP28" i="25" s="1"/>
  <c r="MM28" i="25"/>
  <c r="MP28" i="25" s="1"/>
  <c r="QO28" i="25"/>
  <c r="QM28" i="25"/>
  <c r="PN28" i="25"/>
  <c r="MN28" i="25"/>
  <c r="JN28" i="25"/>
  <c r="GO28" i="25"/>
  <c r="HM28" i="25"/>
  <c r="EC28" i="25"/>
  <c r="DL28" i="25"/>
  <c r="IN28" i="25"/>
  <c r="KO28" i="25"/>
  <c r="IO28" i="25"/>
  <c r="HO28" i="25"/>
  <c r="GN28" i="25"/>
  <c r="OM28" i="25"/>
  <c r="OP28" i="25" s="1"/>
  <c r="LM28" i="25"/>
  <c r="LP28" i="25" s="1"/>
  <c r="EQ28" i="25"/>
  <c r="KM28" i="25"/>
  <c r="KP28" i="25" s="1"/>
  <c r="IM28" i="25"/>
  <c r="IP28" i="25" s="1"/>
  <c r="JM28" i="25"/>
  <c r="JP28" i="25" s="1"/>
  <c r="SM28" i="25"/>
  <c r="HN28" i="25"/>
  <c r="ON28" i="25"/>
  <c r="LN28" i="25"/>
  <c r="ER28" i="25"/>
  <c r="AA28" i="19"/>
  <c r="JO28" i="25"/>
  <c r="KN28" i="25"/>
  <c r="GM28" i="25"/>
  <c r="GP28" i="25" s="1"/>
  <c r="OO28" i="25"/>
  <c r="LO28" i="25"/>
  <c r="ES28" i="25"/>
  <c r="EA28" i="25"/>
  <c r="GI28" i="25"/>
  <c r="EL28" i="25"/>
  <c r="FA28" i="25"/>
  <c r="PI28" i="25"/>
  <c r="MT28" i="25"/>
  <c r="LI28" i="25"/>
  <c r="FI28" i="25"/>
  <c r="II28" i="25"/>
  <c r="IT28" i="25"/>
  <c r="HD28" i="25"/>
  <c r="GA28" i="25"/>
  <c r="QT28" i="25"/>
  <c r="NI28" i="25"/>
  <c r="MI28" i="25"/>
  <c r="KI28" i="25"/>
  <c r="MA28" i="25"/>
  <c r="JI28" i="25"/>
  <c r="JA28" i="25"/>
  <c r="IA28" i="25"/>
  <c r="FD28" i="25"/>
  <c r="GD28" i="25"/>
  <c r="RD28" i="25"/>
  <c r="RI28" i="25"/>
  <c r="OA28" i="25"/>
  <c r="OC28" i="25"/>
  <c r="KA28" i="25"/>
  <c r="HI28" i="25"/>
  <c r="HA28" i="25"/>
  <c r="SI28" i="25"/>
  <c r="QI28" i="25"/>
  <c r="LA28" i="25"/>
  <c r="JC28" i="25"/>
  <c r="ND28" i="25"/>
  <c r="NA28" i="25"/>
  <c r="OI28" i="25"/>
  <c r="N22" i="19" l="1"/>
  <c r="EX20" i="25"/>
  <c r="AH20" i="25" s="1"/>
  <c r="N21" i="19"/>
  <c r="N20" i="19"/>
  <c r="T52" i="42"/>
  <c r="N53" i="42"/>
  <c r="AI53" i="42" s="1"/>
  <c r="AJ53" i="42" s="1"/>
  <c r="L62" i="42"/>
  <c r="N59" i="42"/>
  <c r="L52" i="42"/>
  <c r="L53" i="42"/>
  <c r="D60" i="42"/>
  <c r="CK62" i="25"/>
  <c r="CK61" i="25"/>
  <c r="CU69" i="25"/>
  <c r="CU70" i="25"/>
  <c r="CU71" i="25"/>
  <c r="QE55" i="25"/>
  <c r="TT25" i="25"/>
  <c r="G59" i="42"/>
  <c r="G60" i="42"/>
  <c r="N60" i="42"/>
  <c r="L59" i="42"/>
  <c r="R59" i="42" s="1"/>
  <c r="TT52" i="25"/>
  <c r="D57" i="42"/>
  <c r="CU56" i="25"/>
  <c r="EI49" i="25"/>
  <c r="EH49" i="25"/>
  <c r="EI53" i="25"/>
  <c r="EH53" i="25"/>
  <c r="U53" i="25"/>
  <c r="W53" i="25"/>
  <c r="EH55" i="25"/>
  <c r="EI55" i="25"/>
  <c r="EI52" i="25"/>
  <c r="EH52" i="25"/>
  <c r="EY52" i="25" s="1"/>
  <c r="EI48" i="25"/>
  <c r="EH48" i="25"/>
  <c r="EH51" i="25"/>
  <c r="EI51" i="25"/>
  <c r="G66" i="42"/>
  <c r="EH54" i="25"/>
  <c r="EY54" i="25" s="1"/>
  <c r="EI54" i="25"/>
  <c r="EH50" i="25"/>
  <c r="EI50" i="25"/>
  <c r="D65" i="42"/>
  <c r="R52" i="42"/>
  <c r="R53" i="42"/>
  <c r="R62" i="42"/>
  <c r="R60" i="42"/>
  <c r="R50" i="42"/>
  <c r="R51" i="42"/>
  <c r="EH20" i="25"/>
  <c r="EO20" i="25" s="1"/>
  <c r="EI20" i="25"/>
  <c r="EH22" i="25"/>
  <c r="EI22" i="25"/>
  <c r="EI21" i="25"/>
  <c r="EH21" i="25"/>
  <c r="EI41" i="25"/>
  <c r="EH41" i="25"/>
  <c r="EI27" i="25"/>
  <c r="EH27" i="25"/>
  <c r="EI24" i="25"/>
  <c r="EH24" i="25"/>
  <c r="EI23" i="25"/>
  <c r="EH23" i="25"/>
  <c r="EO23" i="25" s="1"/>
  <c r="EI44" i="25"/>
  <c r="EH44" i="25"/>
  <c r="EI35" i="25"/>
  <c r="EH35" i="25"/>
  <c r="EI47" i="25"/>
  <c r="EH47" i="25"/>
  <c r="EI28" i="25"/>
  <c r="EH28" i="25"/>
  <c r="EI39" i="25"/>
  <c r="EH39" i="25"/>
  <c r="EI31" i="25"/>
  <c r="EH31" i="25"/>
  <c r="EI43" i="25"/>
  <c r="EH43" i="25"/>
  <c r="EI32" i="25"/>
  <c r="EH32" i="25"/>
  <c r="EI36" i="25"/>
  <c r="EH36" i="25"/>
  <c r="EI40" i="25"/>
  <c r="EH40" i="25"/>
  <c r="EI46" i="25"/>
  <c r="EH46" i="25"/>
  <c r="EI38" i="25"/>
  <c r="EH38" i="25"/>
  <c r="EY38" i="25" s="1"/>
  <c r="EI42" i="25"/>
  <c r="EH42" i="25"/>
  <c r="EY42" i="25" s="1"/>
  <c r="EI45" i="25"/>
  <c r="EH45" i="25"/>
  <c r="EI29" i="25"/>
  <c r="EH29" i="25"/>
  <c r="EY29" i="25" s="1"/>
  <c r="EI30" i="25"/>
  <c r="EH30" i="25"/>
  <c r="EI34" i="25"/>
  <c r="EH34" i="25"/>
  <c r="EI33" i="25"/>
  <c r="EH33" i="25"/>
  <c r="EI37" i="25"/>
  <c r="EH37" i="25"/>
  <c r="EY47" i="25"/>
  <c r="EC25" i="25"/>
  <c r="EI25" i="25"/>
  <c r="EC26" i="25"/>
  <c r="EI26" i="25"/>
  <c r="CU68" i="25"/>
  <c r="GU49" i="25"/>
  <c r="GU34" i="25"/>
  <c r="AF53" i="42"/>
  <c r="CU57" i="25"/>
  <c r="CU66" i="25"/>
  <c r="CU67" i="25"/>
  <c r="CU63" i="25"/>
  <c r="CU65" i="25"/>
  <c r="GU55" i="25"/>
  <c r="GU44" i="25"/>
  <c r="FU37" i="25"/>
  <c r="GU38" i="25"/>
  <c r="GU54" i="25"/>
  <c r="GU45" i="25"/>
  <c r="FU50" i="25"/>
  <c r="DX53" i="25"/>
  <c r="FU39" i="25"/>
  <c r="UU43" i="25"/>
  <c r="FU34" i="25"/>
  <c r="FU35" i="25"/>
  <c r="GU33" i="25"/>
  <c r="FU25" i="25"/>
  <c r="T57" i="42"/>
  <c r="FU29" i="25"/>
  <c r="FU31" i="25"/>
  <c r="GU29" i="25"/>
  <c r="L54" i="42"/>
  <c r="D48" i="42"/>
  <c r="N57" i="42"/>
  <c r="AI57" i="42" s="1"/>
  <c r="AJ57" i="42" s="1"/>
  <c r="T47" i="42"/>
  <c r="N54" i="42"/>
  <c r="AI54" i="42" s="1"/>
  <c r="AJ54" i="42" s="1"/>
  <c r="L66" i="42"/>
  <c r="R66" i="42" s="1"/>
  <c r="D54" i="42"/>
  <c r="G47" i="42"/>
  <c r="G48" i="42"/>
  <c r="T48" i="42"/>
  <c r="T66" i="42"/>
  <c r="G54" i="42"/>
  <c r="L47" i="42"/>
  <c r="D47" i="42"/>
  <c r="N66" i="42"/>
  <c r="AI48" i="42"/>
  <c r="AJ48" i="42" s="1"/>
  <c r="D66" i="42"/>
  <c r="C55" i="42"/>
  <c r="C66" i="42"/>
  <c r="C54" i="42"/>
  <c r="C47" i="42"/>
  <c r="C48" i="42"/>
  <c r="C68" i="42"/>
  <c r="C42" i="42"/>
  <c r="C41" i="42"/>
  <c r="C50" i="42"/>
  <c r="C51" i="42"/>
  <c r="C46" i="42"/>
  <c r="C49" i="42"/>
  <c r="N51" i="42"/>
  <c r="C59" i="42"/>
  <c r="C60" i="42"/>
  <c r="C40" i="42"/>
  <c r="C43" i="42"/>
  <c r="C44" i="42"/>
  <c r="C53" i="42"/>
  <c r="C52" i="42"/>
  <c r="C37" i="42"/>
  <c r="C38" i="42"/>
  <c r="C36" i="42"/>
  <c r="GU20" i="25"/>
  <c r="GU25" i="25"/>
  <c r="E41" i="3"/>
  <c r="E43" i="3"/>
  <c r="E49" i="3"/>
  <c r="FU41" i="25"/>
  <c r="E52" i="3"/>
  <c r="E42" i="3"/>
  <c r="E36" i="3"/>
  <c r="E45" i="3"/>
  <c r="E53" i="3"/>
  <c r="E47" i="3"/>
  <c r="E48" i="3"/>
  <c r="GU39" i="25"/>
  <c r="E38" i="3"/>
  <c r="E40" i="3"/>
  <c r="E50" i="3"/>
  <c r="E44" i="3"/>
  <c r="FU49" i="25"/>
  <c r="FU45" i="25"/>
  <c r="GU50" i="25"/>
  <c r="UU44" i="25"/>
  <c r="E37" i="3"/>
  <c r="E35" i="3"/>
  <c r="E51" i="3"/>
  <c r="E46" i="3"/>
  <c r="BM51" i="25"/>
  <c r="BN40" i="25"/>
  <c r="UU40" i="25"/>
  <c r="UU55" i="25"/>
  <c r="TU43" i="25"/>
  <c r="AC41" i="25"/>
  <c r="UU51" i="25"/>
  <c r="UU45" i="25"/>
  <c r="UU47" i="25"/>
  <c r="G69" i="42"/>
  <c r="C69" i="42"/>
  <c r="AC55" i="25"/>
  <c r="AC54" i="25"/>
  <c r="AC53" i="25"/>
  <c r="T70" i="42"/>
  <c r="C70" i="42"/>
  <c r="AC46" i="25"/>
  <c r="AC50" i="25"/>
  <c r="AC45" i="25"/>
  <c r="D67" i="42"/>
  <c r="C67" i="42"/>
  <c r="N65" i="42"/>
  <c r="C65" i="42"/>
  <c r="N64" i="42"/>
  <c r="C64" i="42"/>
  <c r="C61" i="42"/>
  <c r="AC48" i="25"/>
  <c r="AC49" i="25"/>
  <c r="D62" i="42"/>
  <c r="C62" i="42"/>
  <c r="AC47" i="25"/>
  <c r="AC51" i="25"/>
  <c r="AC52" i="25"/>
  <c r="C63" i="42"/>
  <c r="S33" i="25"/>
  <c r="AC33" i="25"/>
  <c r="AC39" i="25"/>
  <c r="AC40" i="25"/>
  <c r="C57" i="42"/>
  <c r="S30" i="25"/>
  <c r="AC30" i="25"/>
  <c r="AC42" i="25"/>
  <c r="S32" i="25"/>
  <c r="AC32" i="25"/>
  <c r="AC38" i="25"/>
  <c r="S34" i="25"/>
  <c r="AC34" i="25"/>
  <c r="AC36" i="25"/>
  <c r="D58" i="42"/>
  <c r="C58" i="42"/>
  <c r="S31" i="25"/>
  <c r="AC31" i="25"/>
  <c r="AC37" i="25"/>
  <c r="AC43" i="25"/>
  <c r="AC35" i="25"/>
  <c r="AC44" i="25"/>
  <c r="T56" i="42"/>
  <c r="C56" i="42"/>
  <c r="S21" i="25"/>
  <c r="AC21" i="25"/>
  <c r="S27" i="25"/>
  <c r="AC27" i="25"/>
  <c r="S20" i="25"/>
  <c r="AC20" i="25"/>
  <c r="S22" i="25"/>
  <c r="AC22" i="25"/>
  <c r="S28" i="25"/>
  <c r="AC28" i="25"/>
  <c r="F39" i="3"/>
  <c r="E39" i="3"/>
  <c r="AC25" i="25"/>
  <c r="S29" i="25"/>
  <c r="AC29" i="25"/>
  <c r="AC24" i="25"/>
  <c r="AC23" i="25"/>
  <c r="AC26" i="25"/>
  <c r="T55" i="42"/>
  <c r="N63" i="42"/>
  <c r="G63" i="42"/>
  <c r="D63" i="42"/>
  <c r="T63" i="42"/>
  <c r="C59" i="3"/>
  <c r="F45" i="3"/>
  <c r="C53" i="3"/>
  <c r="F47" i="3"/>
  <c r="D48" i="3"/>
  <c r="F58" i="3"/>
  <c r="D50" i="3"/>
  <c r="C44" i="3"/>
  <c r="E69" i="3"/>
  <c r="D60" i="3"/>
  <c r="F56" i="3"/>
  <c r="E65" i="3"/>
  <c r="F46" i="3"/>
  <c r="E57" i="3"/>
  <c r="C63" i="3"/>
  <c r="C62" i="3"/>
  <c r="D54" i="3"/>
  <c r="F61" i="3"/>
  <c r="F49" i="3"/>
  <c r="K35" i="42"/>
  <c r="N56" i="42"/>
  <c r="AI56" i="42" s="1"/>
  <c r="AJ56" i="42" s="1"/>
  <c r="G70" i="42"/>
  <c r="D69" i="42"/>
  <c r="L65" i="42"/>
  <c r="R65" i="42" s="1"/>
  <c r="D64" i="42"/>
  <c r="D56" i="42"/>
  <c r="L56" i="42"/>
  <c r="N55" i="42"/>
  <c r="D70" i="42"/>
  <c r="N69" i="42"/>
  <c r="AI69" i="42" s="1"/>
  <c r="AJ69" i="42" s="1"/>
  <c r="T64" i="42"/>
  <c r="G56" i="42"/>
  <c r="L69" i="42"/>
  <c r="R69" i="42" s="1"/>
  <c r="L70" i="42"/>
  <c r="T69" i="42"/>
  <c r="G65" i="42"/>
  <c r="L64" i="42"/>
  <c r="R64" i="42" s="1"/>
  <c r="G55" i="42"/>
  <c r="N70" i="42"/>
  <c r="T65" i="42"/>
  <c r="G64" i="42"/>
  <c r="S24" i="25"/>
  <c r="D49" i="3"/>
  <c r="E63" i="3"/>
  <c r="D57" i="3"/>
  <c r="S23" i="25"/>
  <c r="S25" i="25"/>
  <c r="S26" i="25"/>
  <c r="D61" i="3"/>
  <c r="F54" i="3"/>
  <c r="L46" i="42"/>
  <c r="L67" i="42"/>
  <c r="R67" i="42" s="1"/>
  <c r="F62" i="3"/>
  <c r="T67" i="42"/>
  <c r="F60" i="3"/>
  <c r="F68" i="3"/>
  <c r="D50" i="42"/>
  <c r="L55" i="42"/>
  <c r="D55" i="42"/>
  <c r="R48" i="42"/>
  <c r="N62" i="42"/>
  <c r="AI62" i="42" s="1"/>
  <c r="AJ62" i="42" s="1"/>
  <c r="L63" i="42"/>
  <c r="R63" i="42" s="1"/>
  <c r="L57" i="42"/>
  <c r="N67" i="42"/>
  <c r="C48" i="3"/>
  <c r="G67" i="42"/>
  <c r="D47" i="3"/>
  <c r="F65" i="3"/>
  <c r="D46" i="3"/>
  <c r="D56" i="3"/>
  <c r="E70" i="3"/>
  <c r="T46" i="42"/>
  <c r="J46" i="42"/>
  <c r="C65" i="3"/>
  <c r="E56" i="3"/>
  <c r="F70" i="3"/>
  <c r="J51" i="42"/>
  <c r="J48" i="42"/>
  <c r="K50" i="42"/>
  <c r="J50" i="42"/>
  <c r="J52" i="42"/>
  <c r="D65" i="3"/>
  <c r="C56" i="3"/>
  <c r="C46" i="3"/>
  <c r="C70" i="3"/>
  <c r="J47" i="42"/>
  <c r="D70" i="3"/>
  <c r="J49" i="42"/>
  <c r="N45" i="42"/>
  <c r="J45" i="42"/>
  <c r="J53" i="42"/>
  <c r="D53" i="3"/>
  <c r="F57" i="3"/>
  <c r="N46" i="42"/>
  <c r="AI46" i="42" s="1"/>
  <c r="AJ46" i="42" s="1"/>
  <c r="T58" i="42"/>
  <c r="G61" i="42"/>
  <c r="C45" i="3"/>
  <c r="C47" i="3"/>
  <c r="F48" i="3"/>
  <c r="F53" i="3"/>
  <c r="C57" i="3"/>
  <c r="D46" i="42"/>
  <c r="L58" i="42"/>
  <c r="N61" i="42"/>
  <c r="D61" i="42"/>
  <c r="G46" i="42"/>
  <c r="N58" i="42"/>
  <c r="AI58" i="42" s="1"/>
  <c r="AJ58" i="42" s="1"/>
  <c r="L61" i="42"/>
  <c r="T61" i="42"/>
  <c r="L45" i="42"/>
  <c r="T44" i="42"/>
  <c r="D45" i="3"/>
  <c r="D45" i="42"/>
  <c r="L44" i="42"/>
  <c r="N44" i="42"/>
  <c r="AI44" i="42" s="1"/>
  <c r="AJ44" i="42" s="1"/>
  <c r="D44" i="42"/>
  <c r="D39" i="3"/>
  <c r="D40" i="3"/>
  <c r="C43" i="3"/>
  <c r="F44" i="3"/>
  <c r="D35" i="42"/>
  <c r="C60" i="3"/>
  <c r="D62" i="3"/>
  <c r="E61" i="3"/>
  <c r="C49" i="3"/>
  <c r="C54" i="3"/>
  <c r="E68" i="3"/>
  <c r="D63" i="3"/>
  <c r="E60" i="3"/>
  <c r="C39" i="3"/>
  <c r="E62" i="3"/>
  <c r="C61" i="3"/>
  <c r="E54" i="3"/>
  <c r="C68" i="3"/>
  <c r="F63" i="3"/>
  <c r="D68" i="3"/>
  <c r="L35" i="42"/>
  <c r="D42" i="42"/>
  <c r="T41" i="42"/>
  <c r="C58" i="3"/>
  <c r="E59" i="3"/>
  <c r="F50" i="3"/>
  <c r="F40" i="3"/>
  <c r="F69" i="3"/>
  <c r="I56" i="42"/>
  <c r="I59" i="42"/>
  <c r="I63" i="42"/>
  <c r="GT55" i="25"/>
  <c r="JE55" i="25"/>
  <c r="C40" i="3"/>
  <c r="C50" i="3"/>
  <c r="E58" i="3"/>
  <c r="C69" i="3"/>
  <c r="D59" i="3"/>
  <c r="UT44" i="25"/>
  <c r="UC47" i="25"/>
  <c r="AF65" i="42"/>
  <c r="D58" i="3"/>
  <c r="D44" i="3"/>
  <c r="D69" i="3"/>
  <c r="F59" i="3"/>
  <c r="TG50" i="25"/>
  <c r="TU50" i="25" s="1"/>
  <c r="UC29" i="25"/>
  <c r="AF68" i="42"/>
  <c r="TC36" i="25"/>
  <c r="TC31" i="25"/>
  <c r="UG29" i="25"/>
  <c r="UU29" i="25" s="1"/>
  <c r="UE29" i="25"/>
  <c r="UT32" i="25"/>
  <c r="TC37" i="25"/>
  <c r="UC51" i="25"/>
  <c r="UC32" i="25"/>
  <c r="UG32" i="25"/>
  <c r="UU32" i="25" s="1"/>
  <c r="TG39" i="25"/>
  <c r="TU39" i="25" s="1"/>
  <c r="UC34" i="25"/>
  <c r="UC46" i="25"/>
  <c r="UT46" i="25"/>
  <c r="TG35" i="25"/>
  <c r="TU35" i="25" s="1"/>
  <c r="TC40" i="25"/>
  <c r="UC33" i="25"/>
  <c r="UC43" i="25"/>
  <c r="UE43" i="25"/>
  <c r="UT43" i="25"/>
  <c r="UE53" i="25"/>
  <c r="UG35" i="25"/>
  <c r="UU35" i="25" s="1"/>
  <c r="UT35" i="25"/>
  <c r="UG41" i="25"/>
  <c r="UU41" i="25" s="1"/>
  <c r="UT41" i="25"/>
  <c r="UG46" i="25"/>
  <c r="UU46" i="25" s="1"/>
  <c r="TC38" i="25"/>
  <c r="TC54" i="25"/>
  <c r="TG36" i="25"/>
  <c r="TU36" i="25" s="1"/>
  <c r="UC21" i="25"/>
  <c r="UT21" i="25"/>
  <c r="UE34" i="25"/>
  <c r="UC40" i="25"/>
  <c r="UC31" i="25"/>
  <c r="UG31" i="25"/>
  <c r="UU31" i="25" s="1"/>
  <c r="UT31" i="25"/>
  <c r="UC55" i="25"/>
  <c r="UE36" i="25"/>
  <c r="UC38" i="25"/>
  <c r="UC45" i="25"/>
  <c r="UE45" i="25"/>
  <c r="UT45" i="25"/>
  <c r="NE46" i="25"/>
  <c r="AA52" i="19"/>
  <c r="AA54" i="19"/>
  <c r="TG54" i="25"/>
  <c r="TU54" i="25" s="1"/>
  <c r="TG49" i="25"/>
  <c r="TU49" i="25" s="1"/>
  <c r="TG53" i="25"/>
  <c r="TU53" i="25" s="1"/>
  <c r="TC55" i="25"/>
  <c r="TG55" i="25"/>
  <c r="TU55" i="25" s="1"/>
  <c r="TT55" i="25"/>
  <c r="TT51" i="25"/>
  <c r="UE51" i="25"/>
  <c r="UT51" i="25"/>
  <c r="UE55" i="25"/>
  <c r="UT55" i="25"/>
  <c r="UE50" i="25"/>
  <c r="UC52" i="25"/>
  <c r="UE52" i="25"/>
  <c r="UE54" i="25"/>
  <c r="ED51" i="25"/>
  <c r="ED53" i="25"/>
  <c r="S68" i="3" s="1"/>
  <c r="TG52" i="25"/>
  <c r="TU52" i="25" s="1"/>
  <c r="TC49" i="25"/>
  <c r="TC51" i="25"/>
  <c r="TG51" i="25"/>
  <c r="TU51" i="25" s="1"/>
  <c r="TC53" i="25"/>
  <c r="TT50" i="25"/>
  <c r="TT49" i="25"/>
  <c r="TT53" i="25"/>
  <c r="UC53" i="25"/>
  <c r="UG53" i="25"/>
  <c r="UU53" i="25" s="1"/>
  <c r="UG52" i="25"/>
  <c r="UU52" i="25" s="1"/>
  <c r="UG49" i="25"/>
  <c r="UU49" i="25" s="1"/>
  <c r="UT49" i="25"/>
  <c r="ED54" i="25"/>
  <c r="S69" i="3" s="1"/>
  <c r="ED49" i="25"/>
  <c r="J68" i="42"/>
  <c r="J69" i="42"/>
  <c r="TC52" i="25"/>
  <c r="UC49" i="25"/>
  <c r="ED52" i="25"/>
  <c r="ED55" i="25"/>
  <c r="S70" i="3" s="1"/>
  <c r="OC55" i="25"/>
  <c r="UC50" i="25"/>
  <c r="UG50" i="25"/>
  <c r="UU50" i="25" s="1"/>
  <c r="UC54" i="25"/>
  <c r="UG54" i="25"/>
  <c r="UU54" i="25" s="1"/>
  <c r="ED50" i="25"/>
  <c r="J70" i="42"/>
  <c r="AA48" i="19"/>
  <c r="TG45" i="25"/>
  <c r="TU45" i="25" s="1"/>
  <c r="TG44" i="25"/>
  <c r="TU44" i="25" s="1"/>
  <c r="TC42" i="25"/>
  <c r="TC43" i="25"/>
  <c r="TG48" i="25"/>
  <c r="TU48" i="25" s="1"/>
  <c r="TT48" i="25"/>
  <c r="TT45" i="25"/>
  <c r="TT43" i="25"/>
  <c r="UC48" i="25"/>
  <c r="UE48" i="25"/>
  <c r="UE42" i="25"/>
  <c r="ED47" i="25"/>
  <c r="TC44" i="25"/>
  <c r="TC48" i="25"/>
  <c r="UG48" i="25"/>
  <c r="UU48" i="25" s="1"/>
  <c r="TG47" i="25"/>
  <c r="TU47" i="25" s="1"/>
  <c r="TG46" i="25"/>
  <c r="TU46" i="25" s="1"/>
  <c r="TT47" i="25"/>
  <c r="ED42" i="25"/>
  <c r="ED45" i="25"/>
  <c r="TC46" i="25"/>
  <c r="TG42" i="25"/>
  <c r="TU42" i="25" s="1"/>
  <c r="UC44" i="25"/>
  <c r="UE47" i="25"/>
  <c r="UC42" i="25"/>
  <c r="UG42" i="25"/>
  <c r="UU42" i="25" s="1"/>
  <c r="ED46" i="25"/>
  <c r="ED43" i="25"/>
  <c r="N49" i="42"/>
  <c r="AI49" i="42" s="1"/>
  <c r="AJ49" i="42" s="1"/>
  <c r="D49" i="42"/>
  <c r="G49" i="42"/>
  <c r="T49" i="42"/>
  <c r="L49" i="42"/>
  <c r="TG38" i="25"/>
  <c r="TU38" i="25" s="1"/>
  <c r="TG31" i="25"/>
  <c r="TU31" i="25" s="1"/>
  <c r="TC33" i="25"/>
  <c r="TC34" i="25"/>
  <c r="TG40" i="25"/>
  <c r="TU40" i="25" s="1"/>
  <c r="TT32" i="25"/>
  <c r="TT28" i="25"/>
  <c r="TT31" i="25"/>
  <c r="TT29" i="25"/>
  <c r="UG33" i="25"/>
  <c r="UU33" i="25" s="1"/>
  <c r="UG30" i="25"/>
  <c r="UU30" i="25" s="1"/>
  <c r="UT30" i="25"/>
  <c r="UC35" i="25"/>
  <c r="UE28" i="25"/>
  <c r="ED31" i="25"/>
  <c r="S46" i="3" s="1"/>
  <c r="ED30" i="25"/>
  <c r="ED28" i="25"/>
  <c r="ED35" i="25"/>
  <c r="TG41" i="25"/>
  <c r="TU41" i="25" s="1"/>
  <c r="TG29" i="25"/>
  <c r="TU29" i="25" s="1"/>
  <c r="TT35" i="25"/>
  <c r="TT41" i="25"/>
  <c r="TT39" i="25"/>
  <c r="TT30" i="25"/>
  <c r="UC37" i="25"/>
  <c r="UG37" i="25"/>
  <c r="UU37" i="25" s="1"/>
  <c r="UT37" i="25"/>
  <c r="ED40" i="25"/>
  <c r="TG28" i="25"/>
  <c r="TU28" i="25" s="1"/>
  <c r="TG32" i="25"/>
  <c r="TU32" i="25" s="1"/>
  <c r="UT40" i="25"/>
  <c r="UC41" i="25"/>
  <c r="UE38" i="25"/>
  <c r="UT38" i="25"/>
  <c r="UC39" i="25"/>
  <c r="UE39" i="25"/>
  <c r="ED39" i="25"/>
  <c r="ED33" i="25"/>
  <c r="S48" i="3" s="1"/>
  <c r="ED29" i="25"/>
  <c r="ED34" i="25"/>
  <c r="TG37" i="25"/>
  <c r="TU37" i="25" s="1"/>
  <c r="UE33" i="25"/>
  <c r="UC30" i="25"/>
  <c r="UC36" i="25"/>
  <c r="UG36" i="25"/>
  <c r="UU36" i="25" s="1"/>
  <c r="UC28" i="25"/>
  <c r="UG28" i="25"/>
  <c r="UU28" i="25" s="1"/>
  <c r="UG39" i="25"/>
  <c r="UU39" i="25" s="1"/>
  <c r="ED37" i="25"/>
  <c r="S52" i="3" s="1"/>
  <c r="ED38" i="25"/>
  <c r="S53" i="3" s="1"/>
  <c r="ED32" i="25"/>
  <c r="S47" i="3" s="1"/>
  <c r="ED36" i="25"/>
  <c r="N41" i="42"/>
  <c r="T42" i="42"/>
  <c r="G42" i="42"/>
  <c r="L41" i="42"/>
  <c r="D41" i="42"/>
  <c r="G41" i="42"/>
  <c r="L42" i="42"/>
  <c r="TC27" i="25"/>
  <c r="N42" i="42"/>
  <c r="TC23" i="25"/>
  <c r="L36" i="42"/>
  <c r="TC24" i="25"/>
  <c r="UC25" i="25"/>
  <c r="TC25" i="25"/>
  <c r="D43" i="3"/>
  <c r="F43" i="3"/>
  <c r="T43" i="42"/>
  <c r="L43" i="42"/>
  <c r="D43" i="42"/>
  <c r="N43" i="42"/>
  <c r="AI43" i="42" s="1"/>
  <c r="AJ43" i="42" s="1"/>
  <c r="G43" i="42"/>
  <c r="UT22" i="25"/>
  <c r="N40" i="42"/>
  <c r="AI40" i="42" s="1"/>
  <c r="AJ40" i="42" s="1"/>
  <c r="D40" i="42"/>
  <c r="G40" i="42"/>
  <c r="T40" i="42"/>
  <c r="L40" i="42"/>
  <c r="AA22" i="19"/>
  <c r="AA26" i="19"/>
  <c r="TC26" i="25"/>
  <c r="TT23" i="25"/>
  <c r="TT24" i="25"/>
  <c r="TT26" i="25"/>
  <c r="UC26" i="25"/>
  <c r="UE26" i="25"/>
  <c r="UE25" i="25"/>
  <c r="UT25" i="25"/>
  <c r="AA23" i="19"/>
  <c r="TC22" i="25"/>
  <c r="TG27" i="25"/>
  <c r="TU27" i="25" s="1"/>
  <c r="UT24" i="25"/>
  <c r="UE27" i="25"/>
  <c r="UT23" i="25"/>
  <c r="T39" i="42"/>
  <c r="G39" i="42"/>
  <c r="L39" i="42"/>
  <c r="D39" i="42"/>
  <c r="N39" i="42"/>
  <c r="AI39" i="42" s="1"/>
  <c r="AJ39" i="42" s="1"/>
  <c r="AA25" i="19"/>
  <c r="TT22" i="25"/>
  <c r="UC22" i="25"/>
  <c r="UC24" i="25"/>
  <c r="UG24" i="25"/>
  <c r="UU24" i="25" s="1"/>
  <c r="UG23" i="25"/>
  <c r="UU23" i="25" s="1"/>
  <c r="ED22" i="25"/>
  <c r="ED23" i="25"/>
  <c r="ED24" i="25"/>
  <c r="ED26" i="25"/>
  <c r="ED25" i="25"/>
  <c r="ED27" i="25"/>
  <c r="AA24" i="19"/>
  <c r="UC27" i="25"/>
  <c r="UG27" i="25"/>
  <c r="UU27" i="25" s="1"/>
  <c r="UC23" i="25"/>
  <c r="ED20" i="25"/>
  <c r="ED21" i="25"/>
  <c r="G38" i="42"/>
  <c r="G35" i="42"/>
  <c r="G37" i="42"/>
  <c r="L38" i="42"/>
  <c r="G36" i="42"/>
  <c r="D38" i="42"/>
  <c r="D36" i="42"/>
  <c r="TC20" i="25"/>
  <c r="TG20" i="25"/>
  <c r="TU20" i="25" s="1"/>
  <c r="TC21" i="25"/>
  <c r="TT20" i="25"/>
  <c r="TT21" i="25"/>
  <c r="UC20" i="25"/>
  <c r="UE20" i="25"/>
  <c r="D37" i="42"/>
  <c r="KG41" i="25"/>
  <c r="KU41" i="25" s="1"/>
  <c r="KT47" i="25"/>
  <c r="L37" i="42"/>
  <c r="KT28" i="25"/>
  <c r="KG35" i="25"/>
  <c r="KU35" i="25" s="1"/>
  <c r="KT30" i="25"/>
  <c r="KT22" i="25"/>
  <c r="KG37" i="25"/>
  <c r="KU37" i="25" s="1"/>
  <c r="KC29" i="25"/>
  <c r="BJ29" i="25" s="1"/>
  <c r="KG38" i="25"/>
  <c r="KU38" i="25" s="1"/>
  <c r="KG36" i="25"/>
  <c r="KU36" i="25" s="1"/>
  <c r="KG43" i="25"/>
  <c r="KU43" i="25" s="1"/>
  <c r="KG49" i="25"/>
  <c r="KU49" i="25" s="1"/>
  <c r="KG53" i="25"/>
  <c r="KU53" i="25" s="1"/>
  <c r="KT48" i="25"/>
  <c r="KC51" i="25"/>
  <c r="KT25" i="25"/>
  <c r="KG50" i="25"/>
  <c r="KU50" i="25" s="1"/>
  <c r="KG46" i="25"/>
  <c r="KU46" i="25" s="1"/>
  <c r="KG52" i="25"/>
  <c r="KU52" i="25" s="1"/>
  <c r="KG42" i="25"/>
  <c r="KU42" i="25" s="1"/>
  <c r="KG55" i="25"/>
  <c r="KU55" i="25" s="1"/>
  <c r="KT40" i="25"/>
  <c r="KE23" i="25"/>
  <c r="KC54" i="25"/>
  <c r="N38" i="42"/>
  <c r="AI38" i="42" s="1"/>
  <c r="AJ38" i="42" s="1"/>
  <c r="T38" i="42"/>
  <c r="T37" i="42"/>
  <c r="N37" i="42"/>
  <c r="AA20" i="19"/>
  <c r="AA21" i="19"/>
  <c r="N36" i="42"/>
  <c r="T36" i="42"/>
  <c r="N35" i="42"/>
  <c r="AI35" i="42" s="1"/>
  <c r="AJ35" i="42" s="1"/>
  <c r="T35" i="42"/>
  <c r="C38" i="3"/>
  <c r="F38" i="3"/>
  <c r="D38" i="3"/>
  <c r="D51" i="3"/>
  <c r="F51" i="3"/>
  <c r="C51" i="3"/>
  <c r="D55" i="3"/>
  <c r="F55" i="3"/>
  <c r="C55" i="3"/>
  <c r="E55" i="3"/>
  <c r="D36" i="3"/>
  <c r="F36" i="3"/>
  <c r="C36" i="3"/>
  <c r="D64" i="3"/>
  <c r="F64" i="3"/>
  <c r="C64" i="3"/>
  <c r="E64" i="3"/>
  <c r="D37" i="3"/>
  <c r="C37" i="3"/>
  <c r="F37" i="3"/>
  <c r="D66" i="3"/>
  <c r="E66" i="3"/>
  <c r="F66" i="3"/>
  <c r="C66" i="3"/>
  <c r="D52" i="3"/>
  <c r="C52" i="3"/>
  <c r="F52" i="3"/>
  <c r="C35" i="3"/>
  <c r="F35" i="3"/>
  <c r="D35" i="3"/>
  <c r="D42" i="3"/>
  <c r="C42" i="3"/>
  <c r="F42" i="3"/>
  <c r="D67" i="3"/>
  <c r="E67" i="3"/>
  <c r="F67" i="3"/>
  <c r="C67" i="3"/>
  <c r="D41" i="3"/>
  <c r="C41" i="3"/>
  <c r="F41" i="3"/>
  <c r="DW55" i="25"/>
  <c r="K70" i="42" s="1"/>
  <c r="BL53" i="25"/>
  <c r="AI67" i="42"/>
  <c r="AJ67" i="42" s="1"/>
  <c r="AF48" i="42"/>
  <c r="AF52" i="42"/>
  <c r="HP50" i="25"/>
  <c r="CD50" i="25" s="1"/>
  <c r="HP28" i="25"/>
  <c r="HP31" i="25"/>
  <c r="HP44" i="25"/>
  <c r="ME39" i="25"/>
  <c r="AI65" i="42"/>
  <c r="AJ65" i="42" s="1"/>
  <c r="AF61" i="42"/>
  <c r="AF63" i="42"/>
  <c r="AF64" i="42"/>
  <c r="AI45" i="42"/>
  <c r="AJ45" i="42" s="1"/>
  <c r="AF46" i="42"/>
  <c r="AF55" i="42"/>
  <c r="AI63" i="42"/>
  <c r="AJ63" i="42" s="1"/>
  <c r="AF58" i="42"/>
  <c r="AF59" i="42"/>
  <c r="AF47" i="42"/>
  <c r="AI60" i="42"/>
  <c r="AJ60" i="42" s="1"/>
  <c r="AF62" i="42"/>
  <c r="AI59" i="42"/>
  <c r="AJ59" i="42" s="1"/>
  <c r="KE44" i="25"/>
  <c r="DW43" i="25"/>
  <c r="BQ30" i="25"/>
  <c r="DG29" i="25"/>
  <c r="DF47" i="25"/>
  <c r="BR27" i="25"/>
  <c r="BQ27" i="25"/>
  <c r="BR31" i="25"/>
  <c r="BQ31" i="25"/>
  <c r="BR47" i="25"/>
  <c r="DW27" i="25"/>
  <c r="BL30" i="25"/>
  <c r="DF33" i="25"/>
  <c r="DJ48" i="25"/>
  <c r="DX48" i="25" s="1"/>
  <c r="DF51" i="25"/>
  <c r="BQ51" i="25" s="1"/>
  <c r="DG39" i="25"/>
  <c r="BQ37" i="25"/>
  <c r="BN29" i="25"/>
  <c r="DG34" i="25"/>
  <c r="BQ33" i="25"/>
  <c r="BL28" i="25"/>
  <c r="DJ28" i="25"/>
  <c r="DX28" i="25" s="1"/>
  <c r="DG30" i="25"/>
  <c r="DF40" i="25"/>
  <c r="DG49" i="25"/>
  <c r="DW32" i="25"/>
  <c r="PD36" i="25"/>
  <c r="PE45" i="25"/>
  <c r="BR48" i="25"/>
  <c r="BQ28" i="25"/>
  <c r="DW38" i="25"/>
  <c r="DW35" i="25"/>
  <c r="DF36" i="25"/>
  <c r="BR30" i="25"/>
  <c r="DG44" i="25"/>
  <c r="DG31" i="25"/>
  <c r="DF41" i="25"/>
  <c r="DW50" i="25"/>
  <c r="BN37" i="25"/>
  <c r="DF37" i="25"/>
  <c r="DF42" i="25"/>
  <c r="IE40" i="25"/>
  <c r="BQ34" i="25"/>
  <c r="BQ40" i="25"/>
  <c r="AI52" i="42"/>
  <c r="AJ52" i="42" s="1"/>
  <c r="AI64" i="42"/>
  <c r="AJ64" i="42" s="1"/>
  <c r="AF49" i="42"/>
  <c r="AF51" i="42"/>
  <c r="AI42" i="42"/>
  <c r="AJ42" i="42" s="1"/>
  <c r="AF54" i="42"/>
  <c r="AF44" i="42"/>
  <c r="AF57" i="42"/>
  <c r="AI55" i="42"/>
  <c r="AJ55" i="42" s="1"/>
  <c r="AF45" i="42"/>
  <c r="AI61" i="42"/>
  <c r="AJ61" i="42" s="1"/>
  <c r="AI51" i="42"/>
  <c r="AJ51" i="42" s="1"/>
  <c r="AF60" i="42"/>
  <c r="AF66" i="42"/>
  <c r="BN24" i="25"/>
  <c r="BQ26" i="25"/>
  <c r="BQ25" i="25"/>
  <c r="GT20" i="25"/>
  <c r="AF35" i="42"/>
  <c r="BN23" i="25"/>
  <c r="ST55" i="25"/>
  <c r="FG55" i="25"/>
  <c r="FU55" i="25" s="1"/>
  <c r="MC55" i="25"/>
  <c r="CF55" i="25" s="1"/>
  <c r="IT55" i="25"/>
  <c r="FC55" i="25"/>
  <c r="PC34" i="25"/>
  <c r="HC55" i="25"/>
  <c r="NC55" i="25"/>
  <c r="PE55" i="25"/>
  <c r="NT34" i="25"/>
  <c r="ME55" i="25"/>
  <c r="HE55" i="25"/>
  <c r="JC55" i="25"/>
  <c r="BJ55" i="25" s="1"/>
  <c r="HE34" i="25"/>
  <c r="HT34" i="25"/>
  <c r="JD34" i="25"/>
  <c r="JT34" i="25"/>
  <c r="ME54" i="25"/>
  <c r="LC24" i="25"/>
  <c r="EX24" i="25"/>
  <c r="AH24" i="25" s="1"/>
  <c r="OC34" i="25"/>
  <c r="CG34" i="25" s="1"/>
  <c r="EX25" i="25"/>
  <c r="AH25" i="25" s="1"/>
  <c r="DJ20" i="25"/>
  <c r="DX20" i="25" s="1"/>
  <c r="LD34" i="25"/>
  <c r="RT34" i="25"/>
  <c r="HD34" i="25"/>
  <c r="QE26" i="25"/>
  <c r="DW20" i="25"/>
  <c r="EX37" i="25"/>
  <c r="EG37" i="25"/>
  <c r="EY37" i="25" s="1"/>
  <c r="LT55" i="25"/>
  <c r="LC55" i="25"/>
  <c r="LE55" i="25"/>
  <c r="SE55" i="25"/>
  <c r="KE55" i="25"/>
  <c r="DJ55" i="25"/>
  <c r="DX55" i="25" s="1"/>
  <c r="JT44" i="25"/>
  <c r="SE37" i="25"/>
  <c r="OT44" i="25"/>
  <c r="JD44" i="25"/>
  <c r="GC45" i="25"/>
  <c r="ND27" i="25"/>
  <c r="CD32" i="25"/>
  <c r="RD34" i="25"/>
  <c r="NE34" i="25"/>
  <c r="DW22" i="25"/>
  <c r="DW44" i="25"/>
  <c r="DJ44" i="25"/>
  <c r="DX44" i="25" s="1"/>
  <c r="DG24" i="25"/>
  <c r="ND38" i="25"/>
  <c r="FC37" i="25"/>
  <c r="NT55" i="25"/>
  <c r="HD55" i="25"/>
  <c r="CD54" i="25"/>
  <c r="IC43" i="25"/>
  <c r="CD43" i="25" s="1"/>
  <c r="KC30" i="25"/>
  <c r="BJ30" i="25" s="1"/>
  <c r="FD49" i="25"/>
  <c r="DW49" i="25"/>
  <c r="QC52" i="25"/>
  <c r="LD24" i="25"/>
  <c r="QC45" i="25"/>
  <c r="IT54" i="25"/>
  <c r="IE54" i="25"/>
  <c r="FD54" i="25"/>
  <c r="GC54" i="25"/>
  <c r="LT29" i="25"/>
  <c r="IT34" i="25"/>
  <c r="MC54" i="25"/>
  <c r="CF54" i="25" s="1"/>
  <c r="SC38" i="25"/>
  <c r="GT31" i="25"/>
  <c r="OC50" i="25"/>
  <c r="RE54" i="25"/>
  <c r="QE23" i="25"/>
  <c r="LT48" i="25"/>
  <c r="ST34" i="25"/>
  <c r="DW34" i="25"/>
  <c r="NC54" i="25"/>
  <c r="BL54" i="25" s="1"/>
  <c r="PC54" i="25"/>
  <c r="LC54" i="25"/>
  <c r="RC55" i="25"/>
  <c r="ND43" i="25"/>
  <c r="SE31" i="25"/>
  <c r="SE54" i="25"/>
  <c r="IE27" i="25"/>
  <c r="FT49" i="25"/>
  <c r="HD33" i="25"/>
  <c r="GT51" i="25"/>
  <c r="RC46" i="25"/>
  <c r="IE20" i="25"/>
  <c r="LC32" i="25"/>
  <c r="DG52" i="25"/>
  <c r="LE34" i="25"/>
  <c r="LC34" i="25"/>
  <c r="DJ34" i="25"/>
  <c r="DX34" i="25" s="1"/>
  <c r="GT34" i="25"/>
  <c r="RT55" i="25"/>
  <c r="QE35" i="25"/>
  <c r="QE54" i="25"/>
  <c r="IT38" i="25"/>
  <c r="HD43" i="25"/>
  <c r="KE43" i="25"/>
  <c r="RC49" i="25"/>
  <c r="ND21" i="25"/>
  <c r="DW21" i="25"/>
  <c r="FC51" i="25"/>
  <c r="BR51" i="25" s="1"/>
  <c r="GG51" i="25"/>
  <c r="GU51" i="25" s="1"/>
  <c r="CM51" i="25" s="1"/>
  <c r="FG51" i="25"/>
  <c r="FU51" i="25" s="1"/>
  <c r="OT41" i="25"/>
  <c r="JD45" i="25"/>
  <c r="JD39" i="25"/>
  <c r="NT50" i="25"/>
  <c r="MC46" i="25"/>
  <c r="CF46" i="25" s="1"/>
  <c r="MT26" i="25"/>
  <c r="GC29" i="25"/>
  <c r="JE32" i="25"/>
  <c r="NT47" i="25"/>
  <c r="KC34" i="25"/>
  <c r="BJ34" i="25" s="1"/>
  <c r="ND34" i="25"/>
  <c r="OT34" i="25"/>
  <c r="DF34" i="25"/>
  <c r="LD54" i="25"/>
  <c r="JT54" i="25"/>
  <c r="OE54" i="25"/>
  <c r="DW54" i="25"/>
  <c r="RE28" i="25"/>
  <c r="CD36" i="25"/>
  <c r="HE43" i="25"/>
  <c r="SE40" i="25"/>
  <c r="GC40" i="25"/>
  <c r="RD49" i="25"/>
  <c r="EG33" i="25"/>
  <c r="EY33" i="25" s="1"/>
  <c r="MT31" i="25"/>
  <c r="JT39" i="25"/>
  <c r="PE39" i="25"/>
  <c r="GT32" i="25"/>
  <c r="OE42" i="25"/>
  <c r="DG47" i="25"/>
  <c r="LE54" i="25"/>
  <c r="QT54" i="25"/>
  <c r="HD54" i="25"/>
  <c r="PT54" i="25"/>
  <c r="RD50" i="25"/>
  <c r="SE46" i="25"/>
  <c r="NE54" i="25"/>
  <c r="EG49" i="25"/>
  <c r="EC24" i="25"/>
  <c r="EG34" i="25"/>
  <c r="EY34" i="25" s="1"/>
  <c r="EX34" i="25"/>
  <c r="AH34" i="25" s="1"/>
  <c r="EC55" i="25"/>
  <c r="EX45" i="25"/>
  <c r="AH45" i="25" s="1"/>
  <c r="EC52" i="25"/>
  <c r="EG55" i="25"/>
  <c r="RE34" i="25"/>
  <c r="HE54" i="25"/>
  <c r="SC28" i="25"/>
  <c r="KT43" i="25"/>
  <c r="PE43" i="25"/>
  <c r="JD21" i="25"/>
  <c r="IE21" i="25"/>
  <c r="EX21" i="25"/>
  <c r="AH21" i="25" s="1"/>
  <c r="SE44" i="25"/>
  <c r="GG53" i="25"/>
  <c r="GU53" i="25" s="1"/>
  <c r="JC53" i="25"/>
  <c r="NT48" i="25"/>
  <c r="FD51" i="25"/>
  <c r="ST45" i="25"/>
  <c r="JC45" i="25"/>
  <c r="HT50" i="25"/>
  <c r="GC50" i="25"/>
  <c r="CM50" i="25" s="1"/>
  <c r="HD26" i="25"/>
  <c r="DG20" i="25"/>
  <c r="HD20" i="25"/>
  <c r="OE52" i="25"/>
  <c r="EC42" i="25"/>
  <c r="QC34" i="25"/>
  <c r="MT34" i="25"/>
  <c r="PT34" i="25"/>
  <c r="GC34" i="25"/>
  <c r="CW34" i="25" s="1"/>
  <c r="JE34" i="25"/>
  <c r="HT54" i="25"/>
  <c r="FG54" i="25"/>
  <c r="FU54" i="25" s="1"/>
  <c r="RT54" i="25"/>
  <c r="OT54" i="25"/>
  <c r="QC54" i="25"/>
  <c r="GT54" i="25"/>
  <c r="FC54" i="25"/>
  <c r="DJ54" i="25"/>
  <c r="DX54" i="25" s="1"/>
  <c r="NE55" i="25"/>
  <c r="PT55" i="25"/>
  <c r="SC55" i="25"/>
  <c r="QT55" i="25"/>
  <c r="OT55" i="25"/>
  <c r="OE55" i="25"/>
  <c r="JT55" i="25"/>
  <c r="DG55" i="25"/>
  <c r="FD55" i="25"/>
  <c r="PC55" i="25"/>
  <c r="BM55" i="25" s="1"/>
  <c r="QT38" i="25"/>
  <c r="IT36" i="25"/>
  <c r="PT43" i="25"/>
  <c r="PC43" i="25"/>
  <c r="ND40" i="25"/>
  <c r="IC21" i="25"/>
  <c r="JT21" i="25"/>
  <c r="IT23" i="25"/>
  <c r="DW23" i="25"/>
  <c r="HD23" i="25"/>
  <c r="DF23" i="25"/>
  <c r="JE44" i="25"/>
  <c r="MC53" i="25"/>
  <c r="ME31" i="25"/>
  <c r="LT25" i="25"/>
  <c r="IC41" i="25"/>
  <c r="IE41" i="25"/>
  <c r="SC39" i="25"/>
  <c r="LC20" i="25"/>
  <c r="RT29" i="25"/>
  <c r="RC32" i="25"/>
  <c r="EG32" i="25"/>
  <c r="EY32" i="25" s="1"/>
  <c r="PC52" i="25"/>
  <c r="EX52" i="25"/>
  <c r="AH52" i="25" s="1"/>
  <c r="DW52" i="25"/>
  <c r="MT47" i="25"/>
  <c r="HC47" i="25"/>
  <c r="MC34" i="25"/>
  <c r="CF34" i="25" s="1"/>
  <c r="QT34" i="25"/>
  <c r="SC54" i="25"/>
  <c r="RC54" i="25"/>
  <c r="KG54" i="25"/>
  <c r="KU54" i="25" s="1"/>
  <c r="JC54" i="25"/>
  <c r="CE54" i="25" s="1"/>
  <c r="KE54" i="25"/>
  <c r="ND54" i="25"/>
  <c r="DG54" i="25"/>
  <c r="PE54" i="25"/>
  <c r="EX54" i="25"/>
  <c r="AH54" i="25" s="1"/>
  <c r="EC54" i="25"/>
  <c r="GC55" i="25"/>
  <c r="RE55" i="25"/>
  <c r="IE55" i="25"/>
  <c r="EX38" i="25"/>
  <c r="AH38" i="25" s="1"/>
  <c r="IE38" i="25"/>
  <c r="DW40" i="25"/>
  <c r="OE21" i="25"/>
  <c r="ST44" i="25"/>
  <c r="EX33" i="25"/>
  <c r="AH33" i="25" s="1"/>
  <c r="NE53" i="25"/>
  <c r="SE39" i="25"/>
  <c r="HD50" i="25"/>
  <c r="IE46" i="25"/>
  <c r="NE35" i="25"/>
  <c r="PE32" i="25"/>
  <c r="FC34" i="25"/>
  <c r="JE54" i="25"/>
  <c r="KT54" i="25"/>
  <c r="NT28" i="25"/>
  <c r="FC28" i="25"/>
  <c r="DG28" i="25"/>
  <c r="GG27" i="25"/>
  <c r="GU27" i="25" s="1"/>
  <c r="OE27" i="25"/>
  <c r="NT35" i="25"/>
  <c r="DG43" i="25"/>
  <c r="DJ43" i="25"/>
  <c r="DX43" i="25" s="1"/>
  <c r="NC30" i="25"/>
  <c r="NE30" i="25"/>
  <c r="LC40" i="25"/>
  <c r="DJ40" i="25"/>
  <c r="DX40" i="25" s="1"/>
  <c r="HE40" i="25"/>
  <c r="EG40" i="25"/>
  <c r="EY40" i="25" s="1"/>
  <c r="MC49" i="25"/>
  <c r="IE49" i="25"/>
  <c r="IC49" i="25"/>
  <c r="IT22" i="25"/>
  <c r="FG21" i="25"/>
  <c r="FU21" i="25" s="1"/>
  <c r="GC33" i="25"/>
  <c r="JE33" i="25"/>
  <c r="OE33" i="25"/>
  <c r="FT39" i="25"/>
  <c r="PE26" i="25"/>
  <c r="DF32" i="25"/>
  <c r="NC42" i="25"/>
  <c r="PD47" i="25"/>
  <c r="EC38" i="25"/>
  <c r="PD25" i="25"/>
  <c r="FC41" i="25"/>
  <c r="IT50" i="25"/>
  <c r="IT46" i="25"/>
  <c r="NC26" i="25"/>
  <c r="DW28" i="25"/>
  <c r="JD27" i="25"/>
  <c r="LE28" i="25"/>
  <c r="SE28" i="25"/>
  <c r="DF28" i="25"/>
  <c r="OE38" i="25"/>
  <c r="KE38" i="25"/>
  <c r="GT27" i="25"/>
  <c r="EX27" i="25"/>
  <c r="AH27" i="25" s="1"/>
  <c r="GC35" i="25"/>
  <c r="RD30" i="25"/>
  <c r="DG40" i="25"/>
  <c r="SC49" i="25"/>
  <c r="PC22" i="25"/>
  <c r="PE22" i="25"/>
  <c r="DJ21" i="25"/>
  <c r="DX21" i="25" s="1"/>
  <c r="DF21" i="25"/>
  <c r="HC21" i="25"/>
  <c r="HT21" i="25"/>
  <c r="QE44" i="25"/>
  <c r="DF44" i="25"/>
  <c r="MT44" i="25"/>
  <c r="GT33" i="25"/>
  <c r="NT53" i="25"/>
  <c r="MT51" i="25"/>
  <c r="LC31" i="25"/>
  <c r="JT25" i="25"/>
  <c r="FD41" i="25"/>
  <c r="SC45" i="25"/>
  <c r="ST39" i="25"/>
  <c r="MC50" i="25"/>
  <c r="RT46" i="25"/>
  <c r="ME46" i="25"/>
  <c r="HE46" i="25"/>
  <c r="DW26" i="25"/>
  <c r="EX26" i="25"/>
  <c r="AH26" i="25" s="1"/>
  <c r="JT20" i="25"/>
  <c r="HC20" i="25"/>
  <c r="EC20" i="25"/>
  <c r="LC29" i="25"/>
  <c r="MC29" i="25"/>
  <c r="GC52" i="25"/>
  <c r="DG42" i="25"/>
  <c r="PD42" i="25"/>
  <c r="GG47" i="25"/>
  <c r="GU47" i="25" s="1"/>
  <c r="HD47" i="25"/>
  <c r="LE53" i="25"/>
  <c r="IE39" i="25"/>
  <c r="PC38" i="25"/>
  <c r="OC27" i="25"/>
  <c r="DF27" i="25"/>
  <c r="JC49" i="25"/>
  <c r="NE23" i="25"/>
  <c r="MC44" i="25"/>
  <c r="KC44" i="25"/>
  <c r="BJ44" i="25" s="1"/>
  <c r="KE33" i="25"/>
  <c r="LC53" i="25"/>
  <c r="QE53" i="25"/>
  <c r="JE48" i="25"/>
  <c r="MC51" i="25"/>
  <c r="HC31" i="25"/>
  <c r="MC25" i="25"/>
  <c r="FT25" i="25"/>
  <c r="QT41" i="25"/>
  <c r="QE41" i="25"/>
  <c r="PD45" i="25"/>
  <c r="SE45" i="25"/>
  <c r="ND50" i="25"/>
  <c r="OE50" i="25"/>
  <c r="JD50" i="25"/>
  <c r="SC46" i="25"/>
  <c r="GG37" i="25"/>
  <c r="GU37" i="25" s="1"/>
  <c r="ST37" i="25"/>
  <c r="FG26" i="25"/>
  <c r="FU26" i="25" s="1"/>
  <c r="RT26" i="25"/>
  <c r="RC29" i="25"/>
  <c r="RE32" i="25"/>
  <c r="IT52" i="25"/>
  <c r="RD52" i="25"/>
  <c r="DW42" i="25"/>
  <c r="DJ42" i="25"/>
  <c r="DX42" i="25" s="1"/>
  <c r="HT28" i="25"/>
  <c r="FD43" i="25"/>
  <c r="FG43" i="25"/>
  <c r="FU43" i="25" s="1"/>
  <c r="NE28" i="25"/>
  <c r="HC28" i="25"/>
  <c r="MT27" i="25"/>
  <c r="JE27" i="25"/>
  <c r="LE27" i="25"/>
  <c r="IT35" i="25"/>
  <c r="QT35" i="25"/>
  <c r="QC35" i="25"/>
  <c r="JE36" i="25"/>
  <c r="PC36" i="25"/>
  <c r="KT36" i="25"/>
  <c r="NT43" i="25"/>
  <c r="FC43" i="25"/>
  <c r="BR43" i="25" s="1"/>
  <c r="QE43" i="25"/>
  <c r="SC30" i="25"/>
  <c r="NC40" i="25"/>
  <c r="BL40" i="25" s="1"/>
  <c r="NE40" i="25"/>
  <c r="JE49" i="25"/>
  <c r="JD49" i="25"/>
  <c r="ST22" i="25"/>
  <c r="MT21" i="25"/>
  <c r="FT21" i="25"/>
  <c r="NT23" i="25"/>
  <c r="CD23" i="25"/>
  <c r="NE44" i="25"/>
  <c r="HD44" i="25"/>
  <c r="GT44" i="25"/>
  <c r="QT33" i="25"/>
  <c r="OC33" i="25"/>
  <c r="QT53" i="25"/>
  <c r="IE53" i="25"/>
  <c r="DF53" i="25"/>
  <c r="JE53" i="25"/>
  <c r="LD48" i="25"/>
  <c r="RC31" i="25"/>
  <c r="HE41" i="25"/>
  <c r="FT41" i="25"/>
  <c r="PC45" i="25"/>
  <c r="QE45" i="25"/>
  <c r="QC39" i="25"/>
  <c r="MT39" i="25"/>
  <c r="KC50" i="25"/>
  <c r="BJ50" i="25" s="1"/>
  <c r="HT46" i="25"/>
  <c r="EG46" i="25"/>
  <c r="EY46" i="25" s="1"/>
  <c r="ND37" i="25"/>
  <c r="RE37" i="25"/>
  <c r="RD26" i="25"/>
  <c r="ND26" i="25"/>
  <c r="QC20" i="25"/>
  <c r="IT29" i="25"/>
  <c r="IC29" i="25"/>
  <c r="EC29" i="25"/>
  <c r="JD29" i="25"/>
  <c r="IE29" i="25"/>
  <c r="CF32" i="25"/>
  <c r="ST32" i="25"/>
  <c r="SE32" i="25"/>
  <c r="QT32" i="25"/>
  <c r="JD32" i="25"/>
  <c r="SC52" i="25"/>
  <c r="PE52" i="25"/>
  <c r="OC42" i="25"/>
  <c r="SE42" i="25"/>
  <c r="PC47" i="25"/>
  <c r="BM47" i="25" s="1"/>
  <c r="DW47" i="25"/>
  <c r="DJ47" i="25"/>
  <c r="DX47" i="25" s="1"/>
  <c r="HE47" i="25"/>
  <c r="JE38" i="25"/>
  <c r="ME27" i="25"/>
  <c r="HD35" i="25"/>
  <c r="HT43" i="25"/>
  <c r="QT43" i="25"/>
  <c r="PD30" i="25"/>
  <c r="SE30" i="25"/>
  <c r="GC49" i="25"/>
  <c r="KE49" i="25"/>
  <c r="SC22" i="25"/>
  <c r="NC21" i="25"/>
  <c r="OE23" i="25"/>
  <c r="NC23" i="25"/>
  <c r="FG44" i="25"/>
  <c r="FU44" i="25" s="1"/>
  <c r="FD53" i="25"/>
  <c r="QC53" i="25"/>
  <c r="OE48" i="25"/>
  <c r="EG25" i="25"/>
  <c r="EY25" i="25" s="1"/>
  <c r="GG41" i="25"/>
  <c r="GU41" i="25" s="1"/>
  <c r="NE50" i="25"/>
  <c r="KT37" i="25"/>
  <c r="FD26" i="25"/>
  <c r="HT26" i="25"/>
  <c r="SE52" i="25"/>
  <c r="ST52" i="25"/>
  <c r="CD38" i="25"/>
  <c r="IE23" i="25"/>
  <c r="LE23" i="25"/>
  <c r="OE44" i="25"/>
  <c r="OE41" i="25"/>
  <c r="MT50" i="25"/>
  <c r="FT50" i="25"/>
  <c r="OE46" i="25"/>
  <c r="KE37" i="25"/>
  <c r="KE26" i="25"/>
  <c r="JC26" i="25"/>
  <c r="JT26" i="25"/>
  <c r="JT29" i="25"/>
  <c r="HT29" i="25"/>
  <c r="FG32" i="25"/>
  <c r="FU32" i="25" s="1"/>
  <c r="RC42" i="25"/>
  <c r="BN42" i="25" s="1"/>
  <c r="QT42" i="25"/>
  <c r="QC42" i="25"/>
  <c r="MT42" i="25"/>
  <c r="SC47" i="25"/>
  <c r="FT47" i="25"/>
  <c r="QT47" i="25"/>
  <c r="LE47" i="25"/>
  <c r="SC34" i="25"/>
  <c r="PE34" i="25"/>
  <c r="KT38" i="25"/>
  <c r="EG36" i="25"/>
  <c r="EY36" i="25" s="1"/>
  <c r="JC30" i="25"/>
  <c r="HE44" i="25"/>
  <c r="LE51" i="25"/>
  <c r="JC24" i="25"/>
  <c r="QE24" i="25"/>
  <c r="FD47" i="25"/>
  <c r="RC28" i="25"/>
  <c r="GT49" i="25"/>
  <c r="FT28" i="25"/>
  <c r="LC38" i="25"/>
  <c r="FG38" i="25"/>
  <c r="FU38" i="25" s="1"/>
  <c r="NE38" i="25"/>
  <c r="HD38" i="25"/>
  <c r="DJ38" i="25"/>
  <c r="DX38" i="25" s="1"/>
  <c r="NE27" i="25"/>
  <c r="KT27" i="25"/>
  <c r="JT27" i="25"/>
  <c r="SC35" i="25"/>
  <c r="FG36" i="25"/>
  <c r="FU36" i="25" s="1"/>
  <c r="EC36" i="25"/>
  <c r="GC36" i="25"/>
  <c r="KC36" i="25"/>
  <c r="BJ36" i="25" s="1"/>
  <c r="RD43" i="25"/>
  <c r="NE43" i="25"/>
  <c r="LE43" i="25"/>
  <c r="GG43" i="25"/>
  <c r="GU43" i="25" s="1"/>
  <c r="DF43" i="25"/>
  <c r="BQ43" i="25" s="1"/>
  <c r="GT30" i="25"/>
  <c r="MC30" i="25"/>
  <c r="DJ30" i="25"/>
  <c r="DX30" i="25" s="1"/>
  <c r="QE30" i="25"/>
  <c r="EX30" i="25"/>
  <c r="AH30" i="25" s="1"/>
  <c r="DF30" i="25"/>
  <c r="EG30" i="25"/>
  <c r="EY30" i="25" s="1"/>
  <c r="PC30" i="25"/>
  <c r="OT30" i="25"/>
  <c r="HT40" i="25"/>
  <c r="LD40" i="25"/>
  <c r="PT40" i="25"/>
  <c r="HC40" i="25"/>
  <c r="EX49" i="25"/>
  <c r="U49" i="25" s="1"/>
  <c r="KC49" i="25"/>
  <c r="BJ49" i="25" s="1"/>
  <c r="FC49" i="25"/>
  <c r="LE22" i="25"/>
  <c r="MC22" i="25"/>
  <c r="HE22" i="25"/>
  <c r="PT22" i="25"/>
  <c r="HE21" i="25"/>
  <c r="FC21" i="25"/>
  <c r="EG23" i="25"/>
  <c r="EY23" i="25" s="1"/>
  <c r="EC23" i="25"/>
  <c r="DJ23" i="25"/>
  <c r="DX23" i="25" s="1"/>
  <c r="ME44" i="25"/>
  <c r="QC44" i="25"/>
  <c r="RD33" i="25"/>
  <c r="KC33" i="25"/>
  <c r="BJ33" i="25" s="1"/>
  <c r="HC33" i="25"/>
  <c r="QC33" i="25"/>
  <c r="MT53" i="25"/>
  <c r="LT53" i="25"/>
  <c r="EG53" i="25"/>
  <c r="PC48" i="25"/>
  <c r="IE48" i="25"/>
  <c r="NC51" i="25"/>
  <c r="JT24" i="25"/>
  <c r="SC31" i="25"/>
  <c r="HD31" i="25"/>
  <c r="RD31" i="25"/>
  <c r="LE25" i="25"/>
  <c r="IT25" i="25"/>
  <c r="LD25" i="25"/>
  <c r="IC25" i="25"/>
  <c r="QC41" i="25"/>
  <c r="KC41" i="25"/>
  <c r="HC41" i="25"/>
  <c r="FD45" i="25"/>
  <c r="QT45" i="25"/>
  <c r="GT45" i="25"/>
  <c r="RE39" i="25"/>
  <c r="QC50" i="25"/>
  <c r="FC50" i="25"/>
  <c r="HE50" i="25"/>
  <c r="PE50" i="25"/>
  <c r="ME50" i="25"/>
  <c r="GT50" i="25"/>
  <c r="ND46" i="25"/>
  <c r="KC46" i="25"/>
  <c r="KT46" i="25"/>
  <c r="HD46" i="25"/>
  <c r="EX46" i="25"/>
  <c r="AH46" i="25" s="1"/>
  <c r="KC37" i="25"/>
  <c r="BJ37" i="25" s="1"/>
  <c r="PC26" i="25"/>
  <c r="DF26" i="25"/>
  <c r="EG26" i="25"/>
  <c r="EY26" i="25" s="1"/>
  <c r="OT20" i="25"/>
  <c r="ND29" i="25"/>
  <c r="NT29" i="25"/>
  <c r="HC29" i="25"/>
  <c r="QC29" i="25"/>
  <c r="DJ29" i="25"/>
  <c r="DX29" i="25" s="1"/>
  <c r="RE29" i="25"/>
  <c r="DF29" i="25"/>
  <c r="KE32" i="25"/>
  <c r="OT52" i="25"/>
  <c r="IE52" i="25"/>
  <c r="OC52" i="25"/>
  <c r="QT52" i="25"/>
  <c r="MC42" i="25"/>
  <c r="NE42" i="25"/>
  <c r="PE42" i="25"/>
  <c r="QE42" i="25"/>
  <c r="GT47" i="25"/>
  <c r="OT47" i="25"/>
  <c r="KG47" i="25"/>
  <c r="KU47" i="25" s="1"/>
  <c r="KC47" i="25"/>
  <c r="IE47" i="25"/>
  <c r="EC47" i="25"/>
  <c r="CV47" i="25" s="1"/>
  <c r="LC28" i="25"/>
  <c r="NC28" i="25"/>
  <c r="EX28" i="25"/>
  <c r="AH28" i="25" s="1"/>
  <c r="NT38" i="25"/>
  <c r="NC27" i="25"/>
  <c r="EG27" i="25"/>
  <c r="EY27" i="25" s="1"/>
  <c r="SE27" i="25"/>
  <c r="NC35" i="25"/>
  <c r="KC35" i="25"/>
  <c r="BJ35" i="25" s="1"/>
  <c r="RE35" i="25"/>
  <c r="EC35" i="25"/>
  <c r="PE35" i="25"/>
  <c r="KE36" i="25"/>
  <c r="ME36" i="25"/>
  <c r="LT43" i="25"/>
  <c r="ND30" i="25"/>
  <c r="MT30" i="25"/>
  <c r="KT49" i="25"/>
  <c r="OC22" i="25"/>
  <c r="KC21" i="25"/>
  <c r="PC21" i="25"/>
  <c r="HT23" i="25"/>
  <c r="K38" i="42" s="1"/>
  <c r="GC44" i="25"/>
  <c r="GC53" i="25"/>
  <c r="DG53" i="25"/>
  <c r="PT48" i="25"/>
  <c r="PE48" i="25"/>
  <c r="LC51" i="25"/>
  <c r="KE51" i="25"/>
  <c r="HT24" i="25"/>
  <c r="QC24" i="25"/>
  <c r="RE24" i="25"/>
  <c r="GG31" i="25"/>
  <c r="GU31" i="25" s="1"/>
  <c r="MC31" i="25"/>
  <c r="QC25" i="25"/>
  <c r="QT25" i="25"/>
  <c r="IT39" i="25"/>
  <c r="FD39" i="25"/>
  <c r="IE50" i="25"/>
  <c r="CG50" i="25"/>
  <c r="NC46" i="25"/>
  <c r="KE46" i="25"/>
  <c r="NT37" i="25"/>
  <c r="NE37" i="25"/>
  <c r="DJ37" i="25"/>
  <c r="DX37" i="25" s="1"/>
  <c r="LE26" i="25"/>
  <c r="RT20" i="25"/>
  <c r="RC20" i="25"/>
  <c r="RE20" i="25"/>
  <c r="EX29" i="25"/>
  <c r="AH29" i="25" s="1"/>
  <c r="DW29" i="25"/>
  <c r="KE52" i="25"/>
  <c r="RE52" i="25"/>
  <c r="HE52" i="25"/>
  <c r="KE42" i="25"/>
  <c r="FG47" i="25"/>
  <c r="FU47" i="25" s="1"/>
  <c r="LT47" i="25"/>
  <c r="OE34" i="25"/>
  <c r="CG30" i="25"/>
  <c r="GG21" i="25"/>
  <c r="GU21" i="25" s="1"/>
  <c r="GC21" i="25"/>
  <c r="RC21" i="25"/>
  <c r="RD21" i="25"/>
  <c r="ST53" i="25"/>
  <c r="SC53" i="25"/>
  <c r="ST24" i="25"/>
  <c r="OT31" i="25"/>
  <c r="DJ31" i="25"/>
  <c r="DX31" i="25" s="1"/>
  <c r="DW31" i="25"/>
  <c r="DF31" i="25"/>
  <c r="OC25" i="25"/>
  <c r="CG25" i="25" s="1"/>
  <c r="OT25" i="25"/>
  <c r="NC25" i="25"/>
  <c r="ND25" i="25"/>
  <c r="NT25" i="25"/>
  <c r="JT41" i="25"/>
  <c r="JD41" i="25"/>
  <c r="NE45" i="25"/>
  <c r="ND45" i="25"/>
  <c r="DW45" i="25"/>
  <c r="DJ45" i="25"/>
  <c r="DX45" i="25" s="1"/>
  <c r="KE39" i="25"/>
  <c r="LT50" i="25"/>
  <c r="LD50" i="25"/>
  <c r="JD28" i="25"/>
  <c r="DJ27" i="25"/>
  <c r="DX27" i="25" s="1"/>
  <c r="LC35" i="25"/>
  <c r="JE35" i="25"/>
  <c r="LC36" i="25"/>
  <c r="JT36" i="25"/>
  <c r="QT36" i="25"/>
  <c r="JD36" i="25"/>
  <c r="DG36" i="25"/>
  <c r="JC43" i="25"/>
  <c r="GT43" i="25"/>
  <c r="IT40" i="25"/>
  <c r="RD40" i="25"/>
  <c r="PC49" i="25"/>
  <c r="ME49" i="25"/>
  <c r="PT49" i="25"/>
  <c r="PE49" i="25"/>
  <c r="DJ49" i="25"/>
  <c r="DX49" i="25" s="1"/>
  <c r="DF49" i="25"/>
  <c r="BQ49" i="25" s="1"/>
  <c r="RT44" i="25"/>
  <c r="RE44" i="25"/>
  <c r="NE33" i="25"/>
  <c r="PT51" i="25"/>
  <c r="HD24" i="25"/>
  <c r="HE24" i="25"/>
  <c r="OE31" i="25"/>
  <c r="OC31" i="25"/>
  <c r="LE45" i="25"/>
  <c r="SE50" i="25"/>
  <c r="JC23" i="25"/>
  <c r="JD23" i="25"/>
  <c r="ME23" i="25"/>
  <c r="MC23" i="25"/>
  <c r="QC48" i="25"/>
  <c r="HT48" i="25"/>
  <c r="HC48" i="25"/>
  <c r="IC51" i="25"/>
  <c r="ND41" i="25"/>
  <c r="NC41" i="25"/>
  <c r="RE41" i="25"/>
  <c r="RT41" i="25"/>
  <c r="KG45" i="25"/>
  <c r="KU45" i="25" s="1"/>
  <c r="KT45" i="25"/>
  <c r="LC45" i="25"/>
  <c r="LD45" i="25"/>
  <c r="KT39" i="25"/>
  <c r="KC39" i="25"/>
  <c r="BJ39" i="25" s="1"/>
  <c r="KG39" i="25"/>
  <c r="KU39" i="25" s="1"/>
  <c r="DG50" i="25"/>
  <c r="DF50" i="25"/>
  <c r="DJ50" i="25"/>
  <c r="DX50" i="25" s="1"/>
  <c r="QT46" i="25"/>
  <c r="QC46" i="25"/>
  <c r="LE49" i="25"/>
  <c r="HC22" i="25"/>
  <c r="HD22" i="25"/>
  <c r="PC23" i="25"/>
  <c r="PT23" i="25"/>
  <c r="KC23" i="25"/>
  <c r="BJ23" i="25" s="1"/>
  <c r="JD33" i="25"/>
  <c r="JC33" i="25"/>
  <c r="SC33" i="25"/>
  <c r="ST33" i="25"/>
  <c r="HE48" i="25"/>
  <c r="ST48" i="25"/>
  <c r="ST51" i="25"/>
  <c r="HE31" i="25"/>
  <c r="JC31" i="25"/>
  <c r="JT31" i="25"/>
  <c r="JD31" i="25"/>
  <c r="PD31" i="25"/>
  <c r="PT31" i="25"/>
  <c r="PE31" i="25"/>
  <c r="KE25" i="25"/>
  <c r="GT25" i="25"/>
  <c r="GC25" i="25"/>
  <c r="DG25" i="25"/>
  <c r="DJ25" i="25"/>
  <c r="DX25" i="25" s="1"/>
  <c r="DF25" i="25"/>
  <c r="IT45" i="25"/>
  <c r="LD39" i="25"/>
  <c r="LC39" i="25"/>
  <c r="LT39" i="25"/>
  <c r="GG46" i="25"/>
  <c r="GU46" i="25" s="1"/>
  <c r="GT46" i="25"/>
  <c r="FT46" i="25"/>
  <c r="FC46" i="25"/>
  <c r="FG46" i="25"/>
  <c r="FU46" i="25" s="1"/>
  <c r="CE29" i="25"/>
  <c r="JE28" i="25"/>
  <c r="EG28" i="25"/>
  <c r="EY28" i="25" s="1"/>
  <c r="SE36" i="25"/>
  <c r="JT28" i="25"/>
  <c r="PD38" i="25"/>
  <c r="FD38" i="25"/>
  <c r="OT27" i="25"/>
  <c r="DG27" i="25"/>
  <c r="GG35" i="25"/>
  <c r="GU35" i="25" s="1"/>
  <c r="SE35" i="25"/>
  <c r="RD36" i="25"/>
  <c r="NE36" i="25"/>
  <c r="QC36" i="25"/>
  <c r="QT30" i="25"/>
  <c r="ST30" i="25"/>
  <c r="HE30" i="25"/>
  <c r="QC30" i="25"/>
  <c r="RE30" i="25"/>
  <c r="RT40" i="25"/>
  <c r="PC40" i="25"/>
  <c r="BM40" i="25" s="1"/>
  <c r="JE40" i="25"/>
  <c r="GT40" i="25"/>
  <c r="QT49" i="25"/>
  <c r="QC49" i="25"/>
  <c r="RE49" i="25"/>
  <c r="NE22" i="25"/>
  <c r="NE21" i="25"/>
  <c r="OT23" i="25"/>
  <c r="SC44" i="25"/>
  <c r="OC44" i="25"/>
  <c r="RC44" i="25"/>
  <c r="MC33" i="25"/>
  <c r="OT33" i="25"/>
  <c r="RT33" i="25"/>
  <c r="JT33" i="25"/>
  <c r="JD53" i="25"/>
  <c r="HE53" i="25"/>
  <c r="QT48" i="25"/>
  <c r="NT51" i="25"/>
  <c r="PE51" i="25"/>
  <c r="ND24" i="25"/>
  <c r="NT24" i="25"/>
  <c r="LT45" i="25"/>
  <c r="NT45" i="25"/>
  <c r="LE50" i="25"/>
  <c r="LC50" i="25"/>
  <c r="LT22" i="25"/>
  <c r="LD22" i="25"/>
  <c r="LC22" i="25"/>
  <c r="FC23" i="25"/>
  <c r="FD23" i="25"/>
  <c r="QT23" i="25"/>
  <c r="IT33" i="25"/>
  <c r="DJ51" i="25"/>
  <c r="DX51" i="25" s="1"/>
  <c r="DG51" i="25"/>
  <c r="HD51" i="25"/>
  <c r="HT51" i="25"/>
  <c r="RC24" i="25"/>
  <c r="RT24" i="25"/>
  <c r="GG24" i="25"/>
  <c r="GU24" i="25" s="1"/>
  <c r="GT24" i="25"/>
  <c r="KC25" i="25"/>
  <c r="BJ25" i="25" s="1"/>
  <c r="RT25" i="25"/>
  <c r="RC25" i="25"/>
  <c r="RD25" i="25"/>
  <c r="PD41" i="25"/>
  <c r="PT41" i="25"/>
  <c r="MT45" i="25"/>
  <c r="ME45" i="25"/>
  <c r="DW39" i="25"/>
  <c r="DJ39" i="25"/>
  <c r="DX39" i="25" s="1"/>
  <c r="DW46" i="25"/>
  <c r="DJ46" i="25"/>
  <c r="DX46" i="25" s="1"/>
  <c r="IC37" i="25"/>
  <c r="IT37" i="25"/>
  <c r="PE38" i="25"/>
  <c r="PD28" i="25"/>
  <c r="PT28" i="25"/>
  <c r="KE28" i="25"/>
  <c r="IE28" i="25"/>
  <c r="PE28" i="25"/>
  <c r="KC38" i="25"/>
  <c r="BJ38" i="25" s="1"/>
  <c r="SE38" i="25"/>
  <c r="QC38" i="25"/>
  <c r="ST38" i="25"/>
  <c r="FC38" i="25"/>
  <c r="LT38" i="25"/>
  <c r="PC27" i="25"/>
  <c r="PE27" i="25"/>
  <c r="MC27" i="25"/>
  <c r="PT27" i="25"/>
  <c r="LT35" i="25"/>
  <c r="ST35" i="25"/>
  <c r="IC35" i="25"/>
  <c r="IE35" i="25"/>
  <c r="ME35" i="25"/>
  <c r="FC35" i="25"/>
  <c r="QE36" i="25"/>
  <c r="OE36" i="25"/>
  <c r="IE36" i="25"/>
  <c r="LC43" i="25"/>
  <c r="MT43" i="25"/>
  <c r="RC43" i="25"/>
  <c r="KC43" i="25"/>
  <c r="BJ43" i="25" s="1"/>
  <c r="IT43" i="25"/>
  <c r="SC43" i="25"/>
  <c r="SE43" i="25"/>
  <c r="QC43" i="25"/>
  <c r="IE43" i="25"/>
  <c r="RE43" i="25"/>
  <c r="LD30" i="25"/>
  <c r="OE30" i="25"/>
  <c r="ME30" i="25"/>
  <c r="PE30" i="25"/>
  <c r="JD40" i="25"/>
  <c r="PE40" i="25"/>
  <c r="ME40" i="25"/>
  <c r="SE49" i="25"/>
  <c r="HC49" i="25"/>
  <c r="CD49" i="25" s="1"/>
  <c r="NC22" i="25"/>
  <c r="JC22" i="25"/>
  <c r="ND22" i="25"/>
  <c r="IE22" i="25"/>
  <c r="EC21" i="25"/>
  <c r="PE21" i="25"/>
  <c r="KT23" i="25"/>
  <c r="OC23" i="25"/>
  <c r="RE33" i="25"/>
  <c r="DW53" i="25"/>
  <c r="QE48" i="25"/>
  <c r="PD51" i="25"/>
  <c r="IE51" i="25"/>
  <c r="LE24" i="25"/>
  <c r="SE24" i="25"/>
  <c r="FC24" i="25"/>
  <c r="FG24" i="25"/>
  <c r="FU24" i="25" s="1"/>
  <c r="JC25" i="25"/>
  <c r="NT41" i="25"/>
  <c r="JC41" i="25"/>
  <c r="OE39" i="25"/>
  <c r="OC39" i="25"/>
  <c r="SC26" i="25"/>
  <c r="SE29" i="25"/>
  <c r="PE29" i="25"/>
  <c r="KT32" i="25"/>
  <c r="OE22" i="25"/>
  <c r="ME21" i="25"/>
  <c r="SE33" i="25"/>
  <c r="NE51" i="25"/>
  <c r="RE51" i="25"/>
  <c r="RE31" i="25"/>
  <c r="NE25" i="25"/>
  <c r="IE25" i="25"/>
  <c r="KT41" i="25"/>
  <c r="PE41" i="25"/>
  <c r="LE41" i="25"/>
  <c r="EG39" i="25"/>
  <c r="EY39" i="25" s="1"/>
  <c r="GT39" i="25"/>
  <c r="PT50" i="25"/>
  <c r="RC50" i="25"/>
  <c r="EC50" i="25"/>
  <c r="QE50" i="25"/>
  <c r="PT46" i="25"/>
  <c r="QE46" i="25"/>
  <c r="ME37" i="25"/>
  <c r="LC37" i="25"/>
  <c r="DG37" i="25"/>
  <c r="FD37" i="25"/>
  <c r="QE37" i="25"/>
  <c r="DW37" i="25"/>
  <c r="HD37" i="25"/>
  <c r="IC26" i="25"/>
  <c r="QC26" i="25"/>
  <c r="ST26" i="25"/>
  <c r="QT26" i="25"/>
  <c r="DJ26" i="25"/>
  <c r="DX26" i="25" s="1"/>
  <c r="LT20" i="25"/>
  <c r="ST20" i="25"/>
  <c r="JE20" i="25"/>
  <c r="KT29" i="25"/>
  <c r="ST29" i="25"/>
  <c r="LE29" i="25"/>
  <c r="PT29" i="25"/>
  <c r="JT32" i="25"/>
  <c r="IT32" i="25"/>
  <c r="PC32" i="25"/>
  <c r="PD32" i="25"/>
  <c r="ME32" i="25"/>
  <c r="RD32" i="25"/>
  <c r="HE32" i="25"/>
  <c r="EC32" i="25"/>
  <c r="GC32" i="25"/>
  <c r="KC32" i="25"/>
  <c r="BJ32" i="25" s="1"/>
  <c r="LE32" i="25"/>
  <c r="JT52" i="25"/>
  <c r="PT52" i="25"/>
  <c r="NE52" i="25"/>
  <c r="DJ52" i="25"/>
  <c r="DX52" i="25" s="1"/>
  <c r="CD52" i="25"/>
  <c r="MT52" i="25"/>
  <c r="HD52" i="25"/>
  <c r="HC42" i="25"/>
  <c r="CD42" i="25" s="1"/>
  <c r="OT42" i="25"/>
  <c r="NE47" i="25"/>
  <c r="ME47" i="25"/>
  <c r="LD47" i="25"/>
  <c r="SE34" i="25"/>
  <c r="ME34" i="25"/>
  <c r="CD34" i="25"/>
  <c r="JE46" i="25"/>
  <c r="HC37" i="25"/>
  <c r="IE37" i="25"/>
  <c r="LE37" i="25"/>
  <c r="MC26" i="25"/>
  <c r="SE26" i="25"/>
  <c r="PC29" i="25"/>
  <c r="FC29" i="25"/>
  <c r="PT32" i="25"/>
  <c r="ND32" i="25"/>
  <c r="IE32" i="25"/>
  <c r="LT42" i="25"/>
  <c r="IE31" i="25"/>
  <c r="KE41" i="25"/>
  <c r="JE41" i="25"/>
  <c r="KE45" i="25"/>
  <c r="LE39" i="25"/>
  <c r="JE39" i="25"/>
  <c r="PE46" i="25"/>
  <c r="PD46" i="25"/>
  <c r="MC37" i="25"/>
  <c r="OE37" i="25"/>
  <c r="OC37" i="25"/>
  <c r="JC37" i="25"/>
  <c r="OT37" i="25"/>
  <c r="LC26" i="25"/>
  <c r="IT26" i="25"/>
  <c r="LD26" i="25"/>
  <c r="NE20" i="25"/>
  <c r="KE20" i="25"/>
  <c r="QE20" i="25"/>
  <c r="PE20" i="25"/>
  <c r="ME29" i="25"/>
  <c r="HE29" i="25"/>
  <c r="FT32" i="25"/>
  <c r="NT32" i="25"/>
  <c r="HD32" i="25"/>
  <c r="HT32" i="25"/>
  <c r="K47" i="42" s="1"/>
  <c r="MT32" i="25"/>
  <c r="SC32" i="25"/>
  <c r="DG32" i="25"/>
  <c r="HT52" i="25"/>
  <c r="QE52" i="25"/>
  <c r="JE52" i="25"/>
  <c r="KC52" i="25"/>
  <c r="BJ52" i="25" s="1"/>
  <c r="JD52" i="25"/>
  <c r="LC42" i="25"/>
  <c r="LE42" i="25"/>
  <c r="NC47" i="25"/>
  <c r="BL47" i="25" s="1"/>
  <c r="KE47" i="25"/>
  <c r="RD47" i="25"/>
  <c r="MC47" i="25"/>
  <c r="IE34" i="25"/>
  <c r="KT34" i="25"/>
  <c r="FD34" i="25"/>
  <c r="FT34" i="25"/>
  <c r="CE30" i="25"/>
  <c r="CG53" i="25"/>
  <c r="CF43" i="25"/>
  <c r="CC48" i="25"/>
  <c r="GT38" i="25"/>
  <c r="GC38" i="25"/>
  <c r="FG27" i="25"/>
  <c r="FU27" i="25" s="1"/>
  <c r="FD27" i="25"/>
  <c r="LD27" i="25"/>
  <c r="LC27" i="25"/>
  <c r="GG28" i="25"/>
  <c r="GU28" i="25" s="1"/>
  <c r="GT28" i="25"/>
  <c r="HT36" i="25"/>
  <c r="K51" i="42" s="1"/>
  <c r="HD36" i="25"/>
  <c r="MT36" i="25"/>
  <c r="QC22" i="25"/>
  <c r="OT28" i="25"/>
  <c r="IC28" i="25"/>
  <c r="KC28" i="25"/>
  <c r="BJ28" i="25" s="1"/>
  <c r="MT38" i="25"/>
  <c r="OC38" i="25"/>
  <c r="ST27" i="25"/>
  <c r="KE27" i="25"/>
  <c r="JD35" i="25"/>
  <c r="JT35" i="25"/>
  <c r="RD35" i="25"/>
  <c r="RT35" i="25"/>
  <c r="FT36" i="25"/>
  <c r="FD36" i="25"/>
  <c r="EG43" i="25"/>
  <c r="EY43" i="25" s="1"/>
  <c r="EX43" i="25"/>
  <c r="FC40" i="25"/>
  <c r="CC40" i="25" s="1"/>
  <c r="FD40" i="25"/>
  <c r="OE40" i="25"/>
  <c r="ST40" i="25"/>
  <c r="OT49" i="25"/>
  <c r="OC49" i="25"/>
  <c r="RT22" i="25"/>
  <c r="RC22" i="25"/>
  <c r="GG22" i="25"/>
  <c r="GU22" i="25" s="1"/>
  <c r="GC22" i="25"/>
  <c r="GT22" i="25"/>
  <c r="JE22" i="25"/>
  <c r="EC22" i="25"/>
  <c r="EX22" i="25"/>
  <c r="AH22" i="25" s="1"/>
  <c r="OT21" i="25"/>
  <c r="OC21" i="25"/>
  <c r="KE21" i="25"/>
  <c r="GG23" i="25"/>
  <c r="GU23" i="25" s="1"/>
  <c r="GC23" i="25"/>
  <c r="NC44" i="25"/>
  <c r="NT44" i="25"/>
  <c r="LD44" i="25"/>
  <c r="LT44" i="25"/>
  <c r="KE53" i="25"/>
  <c r="RC53" i="25"/>
  <c r="RD53" i="25"/>
  <c r="RT53" i="25"/>
  <c r="MT48" i="25"/>
  <c r="MC48" i="25"/>
  <c r="ME48" i="25"/>
  <c r="OC48" i="25"/>
  <c r="EX48" i="25"/>
  <c r="AH48" i="25" s="1"/>
  <c r="EG48" i="25"/>
  <c r="EC48" i="25"/>
  <c r="JD51" i="25"/>
  <c r="JC51" i="25"/>
  <c r="EX51" i="25"/>
  <c r="AH51" i="25" s="1"/>
  <c r="EG51" i="25"/>
  <c r="IC24" i="25"/>
  <c r="IT24" i="25"/>
  <c r="KT24" i="25"/>
  <c r="KC24" i="25"/>
  <c r="BJ24" i="25" s="1"/>
  <c r="IT31" i="25"/>
  <c r="ST25" i="25"/>
  <c r="SC25" i="25"/>
  <c r="NE41" i="25"/>
  <c r="DW41" i="25"/>
  <c r="DJ41" i="25"/>
  <c r="DX41" i="25" s="1"/>
  <c r="DG41" i="25"/>
  <c r="EX41" i="25"/>
  <c r="AH41" i="25" s="1"/>
  <c r="EG41" i="25"/>
  <c r="EY41" i="25" s="1"/>
  <c r="EC41" i="25"/>
  <c r="CV37" i="25"/>
  <c r="CV29" i="25"/>
  <c r="CD47" i="25"/>
  <c r="FT27" i="25"/>
  <c r="DJ35" i="25"/>
  <c r="DX35" i="25" s="1"/>
  <c r="OE28" i="25"/>
  <c r="FG28" i="25"/>
  <c r="FU28" i="25" s="1"/>
  <c r="GC28" i="25"/>
  <c r="HE28" i="25"/>
  <c r="RT28" i="25"/>
  <c r="LE38" i="25"/>
  <c r="DF38" i="25"/>
  <c r="CV38" i="25" s="1"/>
  <c r="DG38" i="25"/>
  <c r="RD27" i="25"/>
  <c r="RT27" i="25"/>
  <c r="IC27" i="25"/>
  <c r="FT35" i="25"/>
  <c r="KT35" i="25"/>
  <c r="FD35" i="25"/>
  <c r="DF35" i="25"/>
  <c r="EG35" i="25"/>
  <c r="EY35" i="25" s="1"/>
  <c r="KE35" i="25"/>
  <c r="LT36" i="25"/>
  <c r="HE36" i="25"/>
  <c r="DJ36" i="25"/>
  <c r="DX36" i="25" s="1"/>
  <c r="RE36" i="25"/>
  <c r="OC43" i="25"/>
  <c r="OT43" i="25"/>
  <c r="RC30" i="25"/>
  <c r="GG30" i="25"/>
  <c r="GU30" i="25" s="1"/>
  <c r="JE30" i="25"/>
  <c r="IE30" i="25"/>
  <c r="CG40" i="25"/>
  <c r="QE40" i="25"/>
  <c r="FG40" i="25"/>
  <c r="FU40" i="25" s="1"/>
  <c r="CC49" i="25"/>
  <c r="JD22" i="25"/>
  <c r="DF22" i="25"/>
  <c r="QE22" i="25"/>
  <c r="SC21" i="25"/>
  <c r="SE21" i="25"/>
  <c r="RT21" i="25"/>
  <c r="PD21" i="25"/>
  <c r="RE23" i="25"/>
  <c r="LE44" i="25"/>
  <c r="KT53" i="25"/>
  <c r="RC48" i="25"/>
  <c r="BN48" i="25" s="1"/>
  <c r="RT48" i="25"/>
  <c r="DW48" i="25"/>
  <c r="RC51" i="25"/>
  <c r="BN51" i="25" s="1"/>
  <c r="CC51" i="25"/>
  <c r="OC24" i="25"/>
  <c r="KE24" i="25"/>
  <c r="LE31" i="25"/>
  <c r="QE31" i="25"/>
  <c r="FD31" i="25"/>
  <c r="FT31" i="25"/>
  <c r="ME28" i="25"/>
  <c r="HC27" i="25"/>
  <c r="HD27" i="25"/>
  <c r="HE27" i="25"/>
  <c r="RD38" i="25"/>
  <c r="RT38" i="25"/>
  <c r="MT35" i="25"/>
  <c r="SC36" i="25"/>
  <c r="CC43" i="25"/>
  <c r="QC28" i="25"/>
  <c r="QC27" i="25"/>
  <c r="PD35" i="25"/>
  <c r="PC35" i="25"/>
  <c r="OC35" i="25"/>
  <c r="NT36" i="25"/>
  <c r="NC36" i="25"/>
  <c r="ME43" i="25"/>
  <c r="KE30" i="25"/>
  <c r="FD30" i="25"/>
  <c r="FG30" i="25"/>
  <c r="FU30" i="25" s="1"/>
  <c r="FT30" i="25"/>
  <c r="OT40" i="25"/>
  <c r="MC40" i="25"/>
  <c r="HE49" i="25"/>
  <c r="QE21" i="25"/>
  <c r="QT21" i="25"/>
  <c r="LT21" i="25"/>
  <c r="LD21" i="25"/>
  <c r="LC21" i="25"/>
  <c r="ST23" i="25"/>
  <c r="EC44" i="25"/>
  <c r="EX44" i="25"/>
  <c r="EG44" i="25"/>
  <c r="EY44" i="25" s="1"/>
  <c r="PE33" i="25"/>
  <c r="PC33" i="25"/>
  <c r="PD33" i="25"/>
  <c r="PT33" i="25"/>
  <c r="NT33" i="25"/>
  <c r="ND33" i="25"/>
  <c r="FG33" i="25"/>
  <c r="FU33" i="25" s="1"/>
  <c r="FD33" i="25"/>
  <c r="HC53" i="25"/>
  <c r="HT53" i="25"/>
  <c r="HD53" i="25"/>
  <c r="NE48" i="25"/>
  <c r="KG48" i="25"/>
  <c r="KU48" i="25" s="1"/>
  <c r="KC48" i="25"/>
  <c r="KG51" i="25"/>
  <c r="KU51" i="25" s="1"/>
  <c r="KT51" i="25"/>
  <c r="EX31" i="25"/>
  <c r="AH31" i="25" s="1"/>
  <c r="EG31" i="25"/>
  <c r="EY31" i="25" s="1"/>
  <c r="CW29" i="25"/>
  <c r="CG28" i="25"/>
  <c r="HT38" i="25"/>
  <c r="CF35" i="25"/>
  <c r="DG35" i="25"/>
  <c r="LE35" i="25"/>
  <c r="DW36" i="25"/>
  <c r="KE40" i="25"/>
  <c r="LT28" i="25"/>
  <c r="CF38" i="25"/>
  <c r="ME38" i="25"/>
  <c r="RE38" i="25"/>
  <c r="FC27" i="25"/>
  <c r="CC27" i="25" s="1"/>
  <c r="QE27" i="25"/>
  <c r="HC35" i="25"/>
  <c r="HE35" i="25"/>
  <c r="GG36" i="25"/>
  <c r="GU36" i="25" s="1"/>
  <c r="LE36" i="25"/>
  <c r="MC36" i="25"/>
  <c r="OE43" i="25"/>
  <c r="JE43" i="25"/>
  <c r="LC30" i="25"/>
  <c r="LC49" i="25"/>
  <c r="LT49" i="25"/>
  <c r="LD49" i="25"/>
  <c r="QT22" i="25"/>
  <c r="FC44" i="25"/>
  <c r="LE48" i="25"/>
  <c r="RE48" i="25"/>
  <c r="QT31" i="25"/>
  <c r="FC31" i="25"/>
  <c r="CC31" i="25" s="1"/>
  <c r="JT30" i="25"/>
  <c r="HT30" i="25"/>
  <c r="HC30" i="25"/>
  <c r="NT49" i="25"/>
  <c r="NC49" i="25"/>
  <c r="ND49" i="25"/>
  <c r="KC22" i="25"/>
  <c r="BJ22" i="25" s="1"/>
  <c r="KE22" i="25"/>
  <c r="KG44" i="25"/>
  <c r="KU44" i="25" s="1"/>
  <c r="KT44" i="25"/>
  <c r="PC44" i="25"/>
  <c r="PD44" i="25"/>
  <c r="LC33" i="25"/>
  <c r="LD33" i="25"/>
  <c r="ME53" i="25"/>
  <c r="JD48" i="25"/>
  <c r="JT48" i="25"/>
  <c r="JC48" i="25"/>
  <c r="IC48" i="25"/>
  <c r="IT48" i="25"/>
  <c r="QT51" i="25"/>
  <c r="PD24" i="25"/>
  <c r="PC24" i="25"/>
  <c r="ME24" i="25"/>
  <c r="NE31" i="25"/>
  <c r="NT31" i="25"/>
  <c r="ND31" i="25"/>
  <c r="HE25" i="25"/>
  <c r="LT41" i="25"/>
  <c r="LC41" i="25"/>
  <c r="LD41" i="25"/>
  <c r="CD46" i="25"/>
  <c r="JT43" i="25"/>
  <c r="ST43" i="25"/>
  <c r="IC30" i="25"/>
  <c r="LE30" i="25"/>
  <c r="DW30" i="25"/>
  <c r="JC40" i="25"/>
  <c r="CM40" i="25"/>
  <c r="OE49" i="25"/>
  <c r="NE49" i="25"/>
  <c r="DJ22" i="25"/>
  <c r="DX22" i="25" s="1"/>
  <c r="HT22" i="25"/>
  <c r="KT21" i="25"/>
  <c r="HE23" i="25"/>
  <c r="GT23" i="25"/>
  <c r="SE23" i="25"/>
  <c r="IE44" i="25"/>
  <c r="FT44" i="25"/>
  <c r="CD33" i="25"/>
  <c r="LE33" i="25"/>
  <c r="FT33" i="25"/>
  <c r="IC53" i="25"/>
  <c r="KC53" i="25"/>
  <c r="BJ53" i="25" s="1"/>
  <c r="PE53" i="25"/>
  <c r="DG48" i="25"/>
  <c r="KE48" i="25"/>
  <c r="ME51" i="25"/>
  <c r="RT51" i="25"/>
  <c r="NE24" i="25"/>
  <c r="QT24" i="25"/>
  <c r="IE24" i="25"/>
  <c r="QC31" i="25"/>
  <c r="IC31" i="25"/>
  <c r="LD31" i="25"/>
  <c r="SE41" i="25"/>
  <c r="JT38" i="25"/>
  <c r="JC38" i="25"/>
  <c r="JD38" i="25"/>
  <c r="OC36" i="25"/>
  <c r="OT36" i="25"/>
  <c r="MC28" i="25"/>
  <c r="CC30" i="25"/>
  <c r="KG40" i="25"/>
  <c r="KU40" i="25" s="1"/>
  <c r="KC40" i="25"/>
  <c r="BJ40" i="25" s="1"/>
  <c r="QT40" i="25"/>
  <c r="FC22" i="25"/>
  <c r="FD22" i="25"/>
  <c r="FT22" i="25"/>
  <c r="FG22" i="25"/>
  <c r="FU22" i="25" s="1"/>
  <c r="LE21" i="25"/>
  <c r="RT23" i="25"/>
  <c r="RC23" i="25"/>
  <c r="LD23" i="25"/>
  <c r="LC23" i="25"/>
  <c r="LT23" i="25"/>
  <c r="CE44" i="25"/>
  <c r="IC44" i="25"/>
  <c r="IT44" i="25"/>
  <c r="ME33" i="25"/>
  <c r="HE33" i="25"/>
  <c r="DG33" i="25"/>
  <c r="DJ33" i="25"/>
  <c r="DX33" i="25" s="1"/>
  <c r="DW33" i="25"/>
  <c r="PT53" i="25"/>
  <c r="PC53" i="25"/>
  <c r="PD53" i="25"/>
  <c r="OE53" i="25"/>
  <c r="OT53" i="25"/>
  <c r="FG53" i="25"/>
  <c r="FU53" i="25" s="1"/>
  <c r="FT53" i="25"/>
  <c r="GG48" i="25"/>
  <c r="GU48" i="25" s="1"/>
  <c r="GT48" i="25"/>
  <c r="FD48" i="25"/>
  <c r="FG48" i="25"/>
  <c r="FU48" i="25" s="1"/>
  <c r="FT48" i="25"/>
  <c r="OC51" i="25"/>
  <c r="OT51" i="25"/>
  <c r="HE51" i="25"/>
  <c r="DJ24" i="25"/>
  <c r="DX24" i="25" s="1"/>
  <c r="DW24" i="25"/>
  <c r="KT31" i="25"/>
  <c r="KE31" i="25"/>
  <c r="KC31" i="25"/>
  <c r="BJ31" i="25" s="1"/>
  <c r="OE25" i="25"/>
  <c r="CE41" i="25"/>
  <c r="MC41" i="25"/>
  <c r="ST41" i="25"/>
  <c r="SC41" i="25"/>
  <c r="HE38" i="25"/>
  <c r="LT27" i="25"/>
  <c r="KC27" i="25"/>
  <c r="BJ27" i="25" s="1"/>
  <c r="RC36" i="25"/>
  <c r="OE51" i="25"/>
  <c r="QE25" i="25"/>
  <c r="SE25" i="25"/>
  <c r="PC25" i="25"/>
  <c r="RD45" i="25"/>
  <c r="IE45" i="25"/>
  <c r="IC45" i="25"/>
  <c r="KC45" i="25"/>
  <c r="BJ45" i="25" s="1"/>
  <c r="FC45" i="25"/>
  <c r="CW45" i="25" s="1"/>
  <c r="HE45" i="25"/>
  <c r="DF45" i="25"/>
  <c r="BQ45" i="25" s="1"/>
  <c r="NT39" i="25"/>
  <c r="QE39" i="25"/>
  <c r="ND39" i="25"/>
  <c r="MC39" i="25"/>
  <c r="PT39" i="25"/>
  <c r="EX39" i="25"/>
  <c r="AH39" i="25" s="1"/>
  <c r="FC39" i="25"/>
  <c r="PD39" i="25"/>
  <c r="JE50" i="25"/>
  <c r="LE46" i="25"/>
  <c r="OT46" i="25"/>
  <c r="FD46" i="25"/>
  <c r="LT46" i="25"/>
  <c r="DF46" i="25"/>
  <c r="CV46" i="25" s="1"/>
  <c r="PE37" i="25"/>
  <c r="LD37" i="25"/>
  <c r="RC37" i="25"/>
  <c r="GG26" i="25"/>
  <c r="GU26" i="25" s="1"/>
  <c r="KT26" i="25"/>
  <c r="IE26" i="25"/>
  <c r="OE20" i="25"/>
  <c r="PC20" i="25"/>
  <c r="MT20" i="25"/>
  <c r="FT29" i="25"/>
  <c r="GT29" i="25"/>
  <c r="JE29" i="25"/>
  <c r="NE32" i="25"/>
  <c r="FD32" i="25"/>
  <c r="LT52" i="25"/>
  <c r="LC52" i="25"/>
  <c r="ME52" i="25"/>
  <c r="FC52" i="25"/>
  <c r="CC52" i="25" s="1"/>
  <c r="JD42" i="25"/>
  <c r="JE42" i="25"/>
  <c r="NT42" i="25"/>
  <c r="ME42" i="25"/>
  <c r="FG42" i="25"/>
  <c r="FU42" i="25" s="1"/>
  <c r="OE47" i="25"/>
  <c r="SE47" i="25"/>
  <c r="RE47" i="25"/>
  <c r="OC45" i="25"/>
  <c r="RC45" i="25"/>
  <c r="HC39" i="25"/>
  <c r="FD29" i="25"/>
  <c r="OC29" i="25"/>
  <c r="JC42" i="25"/>
  <c r="ST47" i="25"/>
  <c r="JE21" i="25"/>
  <c r="JE23" i="25"/>
  <c r="FG23" i="25"/>
  <c r="FU23" i="25" s="1"/>
  <c r="HC44" i="25"/>
  <c r="QT44" i="25"/>
  <c r="QE51" i="25"/>
  <c r="FD24" i="25"/>
  <c r="PE24" i="25"/>
  <c r="GC24" i="25"/>
  <c r="JE31" i="25"/>
  <c r="HD25" i="25"/>
  <c r="HC25" i="25"/>
  <c r="RE25" i="25"/>
  <c r="ME41" i="25"/>
  <c r="RC41" i="25"/>
  <c r="PC41" i="25"/>
  <c r="HT41" i="25"/>
  <c r="OE45" i="25"/>
  <c r="CM45" i="25"/>
  <c r="DG45" i="25"/>
  <c r="FT45" i="25"/>
  <c r="EG45" i="25"/>
  <c r="EY45" i="25" s="1"/>
  <c r="HD45" i="25"/>
  <c r="NE39" i="25"/>
  <c r="HT39" i="25"/>
  <c r="HE39" i="25"/>
  <c r="GC39" i="25"/>
  <c r="RD39" i="25"/>
  <c r="PC50" i="25"/>
  <c r="SC50" i="25"/>
  <c r="KE50" i="25"/>
  <c r="ST50" i="25"/>
  <c r="RE50" i="25"/>
  <c r="KT50" i="25"/>
  <c r="OT50" i="25"/>
  <c r="LD46" i="25"/>
  <c r="DG46" i="25"/>
  <c r="RE46" i="25"/>
  <c r="QT37" i="25"/>
  <c r="HE37" i="25"/>
  <c r="RD37" i="25"/>
  <c r="PD37" i="25"/>
  <c r="OE26" i="25"/>
  <c r="IT20" i="25"/>
  <c r="LE20" i="25"/>
  <c r="ND20" i="25"/>
  <c r="FC20" i="25"/>
  <c r="HE20" i="25"/>
  <c r="PD20" i="25"/>
  <c r="QT20" i="25"/>
  <c r="SE20" i="25"/>
  <c r="EG20" i="25"/>
  <c r="FT20" i="25"/>
  <c r="FG20" i="25"/>
  <c r="FU20" i="25" s="1"/>
  <c r="OE29" i="25"/>
  <c r="NE29" i="25"/>
  <c r="QC32" i="25"/>
  <c r="OC32" i="25"/>
  <c r="QE32" i="25"/>
  <c r="LT32" i="25"/>
  <c r="DJ32" i="25"/>
  <c r="DX32" i="25" s="1"/>
  <c r="NT52" i="25"/>
  <c r="NC52" i="25"/>
  <c r="LE52" i="25"/>
  <c r="GG52" i="25"/>
  <c r="GU52" i="25" s="1"/>
  <c r="FG52" i="25"/>
  <c r="FU52" i="25" s="1"/>
  <c r="FT52" i="25"/>
  <c r="KC42" i="25"/>
  <c r="PC42" i="25"/>
  <c r="IT42" i="25"/>
  <c r="KT42" i="25"/>
  <c r="FD42" i="25"/>
  <c r="ST42" i="25"/>
  <c r="HE42" i="25"/>
  <c r="IE42" i="25"/>
  <c r="EX42" i="25"/>
  <c r="GG42" i="25"/>
  <c r="GU42" i="25" s="1"/>
  <c r="CM47" i="25"/>
  <c r="IT47" i="25"/>
  <c r="JE47" i="25"/>
  <c r="EX47" i="25"/>
  <c r="JT47" i="25"/>
  <c r="JC47" i="25"/>
  <c r="PE47" i="25"/>
  <c r="QE34" i="25"/>
  <c r="HD49" i="25"/>
  <c r="QE28" i="25"/>
  <c r="ST28" i="25"/>
  <c r="QE38" i="25"/>
  <c r="RE27" i="25"/>
  <c r="OE35" i="25"/>
  <c r="PE36" i="25"/>
  <c r="LE40" i="25"/>
  <c r="EX40" i="25"/>
  <c r="RE40" i="25"/>
  <c r="QE49" i="25"/>
  <c r="OT22" i="25"/>
  <c r="MT22" i="25"/>
  <c r="ME22" i="25"/>
  <c r="RE22" i="25"/>
  <c r="SE22" i="25"/>
  <c r="RE21" i="25"/>
  <c r="JT23" i="25"/>
  <c r="PE23" i="25"/>
  <c r="FT23" i="25"/>
  <c r="PE44" i="25"/>
  <c r="CG33" i="25"/>
  <c r="QE33" i="25"/>
  <c r="IE33" i="25"/>
  <c r="KT33" i="25"/>
  <c r="EC53" i="25"/>
  <c r="SE53" i="25"/>
  <c r="ND48" i="25"/>
  <c r="SE48" i="25"/>
  <c r="HD48" i="25"/>
  <c r="LT51" i="25"/>
  <c r="DW51" i="25"/>
  <c r="SE51" i="25"/>
  <c r="JE51" i="25"/>
  <c r="OE24" i="25"/>
  <c r="JE24" i="25"/>
  <c r="MT24" i="25"/>
  <c r="RD24" i="25"/>
  <c r="MC24" i="25"/>
  <c r="JE25" i="25"/>
  <c r="FD25" i="25"/>
  <c r="PE25" i="25"/>
  <c r="FC25" i="25"/>
  <c r="ME25" i="25"/>
  <c r="RD41" i="25"/>
  <c r="OC41" i="25"/>
  <c r="GC41" i="25"/>
  <c r="NC45" i="25"/>
  <c r="HT45" i="25"/>
  <c r="RE45" i="25"/>
  <c r="OT45" i="25"/>
  <c r="IC39" i="25"/>
  <c r="RT39" i="25"/>
  <c r="DF39" i="25"/>
  <c r="BQ39" i="25" s="1"/>
  <c r="CY50" i="25"/>
  <c r="FD50" i="25"/>
  <c r="EG50" i="25"/>
  <c r="JD46" i="25"/>
  <c r="OC46" i="25"/>
  <c r="JC46" i="25"/>
  <c r="GC46" i="25"/>
  <c r="MT46" i="25"/>
  <c r="ST46" i="25"/>
  <c r="QC37" i="25"/>
  <c r="PT37" i="25"/>
  <c r="MT37" i="25"/>
  <c r="FT37" i="25"/>
  <c r="GC37" i="25"/>
  <c r="JD37" i="25"/>
  <c r="JE37" i="25"/>
  <c r="OC26" i="25"/>
  <c r="KC26" i="25"/>
  <c r="BJ26" i="25" s="1"/>
  <c r="NE26" i="25"/>
  <c r="OT26" i="25"/>
  <c r="GC26" i="25"/>
  <c r="ME26" i="25"/>
  <c r="PT26" i="25"/>
  <c r="HE26" i="25"/>
  <c r="RE26" i="25"/>
  <c r="FC26" i="25"/>
  <c r="JE26" i="25"/>
  <c r="NT20" i="25"/>
  <c r="ME20" i="25"/>
  <c r="GC20" i="25"/>
  <c r="KT20" i="25"/>
  <c r="MC20" i="25"/>
  <c r="JD20" i="25"/>
  <c r="OC20" i="25"/>
  <c r="SC20" i="25"/>
  <c r="KC20" i="25"/>
  <c r="BJ20" i="25" s="1"/>
  <c r="CF29" i="25"/>
  <c r="MT29" i="25"/>
  <c r="KE29" i="25"/>
  <c r="QT29" i="25"/>
  <c r="QE29" i="25"/>
  <c r="OT29" i="25"/>
  <c r="OE32" i="25"/>
  <c r="KT52" i="25"/>
  <c r="MC52" i="25"/>
  <c r="RC52" i="25"/>
  <c r="RT42" i="25"/>
  <c r="FC42" i="25"/>
  <c r="GC42" i="25"/>
  <c r="HD42" i="25"/>
  <c r="RE42" i="25"/>
  <c r="RC47" i="25"/>
  <c r="CC47" i="25"/>
  <c r="QE47" i="25"/>
  <c r="KE34" i="25"/>
  <c r="E9" i="20"/>
  <c r="B15" i="20" s="1"/>
  <c r="H4" i="20"/>
  <c r="G4" i="20"/>
  <c r="G3" i="20"/>
  <c r="G2" i="20"/>
  <c r="M3" i="20"/>
  <c r="M1" i="20"/>
  <c r="S51" i="3"/>
  <c r="S45" i="3"/>
  <c r="S50" i="3"/>
  <c r="S49" i="3"/>
  <c r="EY24" i="25" l="1"/>
  <c r="EO24" i="25"/>
  <c r="EY21" i="25"/>
  <c r="EO21" i="25"/>
  <c r="EY22" i="25"/>
  <c r="EO22" i="25"/>
  <c r="U21" i="25"/>
  <c r="V21" i="25" s="1"/>
  <c r="W21" i="25"/>
  <c r="U20" i="25"/>
  <c r="W20" i="25"/>
  <c r="W44" i="25"/>
  <c r="U44" i="25"/>
  <c r="W32" i="25"/>
  <c r="U32" i="25"/>
  <c r="U43" i="25"/>
  <c r="W43" i="25"/>
  <c r="W33" i="25"/>
  <c r="U33" i="25"/>
  <c r="U46" i="25"/>
  <c r="W46" i="25"/>
  <c r="W41" i="25"/>
  <c r="U27" i="25"/>
  <c r="U30" i="25"/>
  <c r="V30" i="25" s="1"/>
  <c r="W36" i="25"/>
  <c r="U36" i="25"/>
  <c r="U38" i="25"/>
  <c r="W38" i="25"/>
  <c r="U34" i="25"/>
  <c r="W34" i="25"/>
  <c r="U41" i="25"/>
  <c r="W27" i="25"/>
  <c r="W30" i="25"/>
  <c r="U42" i="25"/>
  <c r="W42" i="25"/>
  <c r="U31" i="25"/>
  <c r="W31" i="25"/>
  <c r="W37" i="25"/>
  <c r="U37" i="25"/>
  <c r="W45" i="25"/>
  <c r="U45" i="25"/>
  <c r="W40" i="25"/>
  <c r="U40" i="25"/>
  <c r="W22" i="25"/>
  <c r="U22" i="25"/>
  <c r="W28" i="25"/>
  <c r="U47" i="25"/>
  <c r="W47" i="25"/>
  <c r="U24" i="25"/>
  <c r="W24" i="25"/>
  <c r="U26" i="25"/>
  <c r="W26" i="25"/>
  <c r="U39" i="25"/>
  <c r="W39" i="25"/>
  <c r="W25" i="25"/>
  <c r="U25" i="25"/>
  <c r="W29" i="25"/>
  <c r="U29" i="25"/>
  <c r="U35" i="25"/>
  <c r="W35" i="25"/>
  <c r="U23" i="25"/>
  <c r="W23" i="25"/>
  <c r="U28" i="25"/>
  <c r="W48" i="25"/>
  <c r="U48" i="25"/>
  <c r="W52" i="25"/>
  <c r="U52" i="25"/>
  <c r="U50" i="25"/>
  <c r="W50" i="25"/>
  <c r="EY49" i="25"/>
  <c r="EY48" i="25"/>
  <c r="CL48" i="25" s="1"/>
  <c r="U54" i="25"/>
  <c r="W54" i="25"/>
  <c r="EY51" i="25"/>
  <c r="U55" i="25"/>
  <c r="W55" i="25"/>
  <c r="U51" i="25"/>
  <c r="EY50" i="25"/>
  <c r="EY53" i="25"/>
  <c r="AH49" i="25"/>
  <c r="K64" i="42" s="1"/>
  <c r="EY55" i="25"/>
  <c r="W49" i="25"/>
  <c r="W51" i="25"/>
  <c r="R44" i="42"/>
  <c r="R45" i="42"/>
  <c r="R55" i="42"/>
  <c r="R38" i="42"/>
  <c r="R39" i="42"/>
  <c r="R43" i="42"/>
  <c r="R58" i="42"/>
  <c r="R57" i="42"/>
  <c r="R46" i="42"/>
  <c r="R56" i="42"/>
  <c r="R40" i="42"/>
  <c r="R36" i="42"/>
  <c r="R61" i="42"/>
  <c r="R37" i="42"/>
  <c r="R41" i="42"/>
  <c r="R49" i="42"/>
  <c r="R35" i="42"/>
  <c r="R47" i="42"/>
  <c r="R54" i="42"/>
  <c r="CW35" i="25"/>
  <c r="CW47" i="25"/>
  <c r="CC35" i="25"/>
  <c r="CV34" i="25"/>
  <c r="CL29" i="25"/>
  <c r="AH42" i="25"/>
  <c r="K57" i="42" s="1"/>
  <c r="AH43" i="25"/>
  <c r="K58" i="42" s="1"/>
  <c r="AH37" i="25"/>
  <c r="K52" i="42" s="1"/>
  <c r="AH47" i="25"/>
  <c r="K62" i="42" s="1"/>
  <c r="AH40" i="25"/>
  <c r="K55" i="42" s="1"/>
  <c r="AH44" i="25"/>
  <c r="K59" i="42" s="1"/>
  <c r="EY20" i="25"/>
  <c r="CL20" i="25" s="1"/>
  <c r="CL40" i="25"/>
  <c r="CF42" i="25"/>
  <c r="CV40" i="25"/>
  <c r="CL42" i="25"/>
  <c r="K54" i="42"/>
  <c r="AF67" i="42"/>
  <c r="K68" i="42"/>
  <c r="K69" i="42"/>
  <c r="K53" i="42"/>
  <c r="K65" i="42"/>
  <c r="R70" i="42"/>
  <c r="AI70" i="42"/>
  <c r="AJ70" i="42" s="1"/>
  <c r="BL55" i="25"/>
  <c r="CD41" i="25"/>
  <c r="CE50" i="25"/>
  <c r="CL47" i="25"/>
  <c r="AF36" i="42"/>
  <c r="CV25" i="25"/>
  <c r="CV28" i="25"/>
  <c r="CL30" i="25"/>
  <c r="CG47" i="25"/>
  <c r="CV49" i="25"/>
  <c r="CO50" i="25"/>
  <c r="BJ48" i="25"/>
  <c r="CW54" i="25"/>
  <c r="CM54" i="25"/>
  <c r="K66" i="42"/>
  <c r="BJ47" i="25"/>
  <c r="BJ46" i="25"/>
  <c r="K67" i="42"/>
  <c r="CG54" i="25"/>
  <c r="BJ42" i="25"/>
  <c r="K56" i="42"/>
  <c r="K60" i="42"/>
  <c r="CE55" i="25"/>
  <c r="BJ51" i="25"/>
  <c r="K63" i="42"/>
  <c r="K61" i="42"/>
  <c r="BJ41" i="25"/>
  <c r="BQ46" i="25"/>
  <c r="CO54" i="25"/>
  <c r="AF70" i="42"/>
  <c r="V53" i="25"/>
  <c r="T53" i="25"/>
  <c r="AF69" i="42"/>
  <c r="CW51" i="25"/>
  <c r="CL39" i="25"/>
  <c r="V49" i="25"/>
  <c r="T49" i="25"/>
  <c r="CV45" i="25"/>
  <c r="V51" i="25"/>
  <c r="T51" i="25"/>
  <c r="CL51" i="25"/>
  <c r="CV52" i="25"/>
  <c r="V41" i="25"/>
  <c r="T41" i="25"/>
  <c r="AF56" i="42"/>
  <c r="CV30" i="25"/>
  <c r="CV27" i="25"/>
  <c r="CV31" i="25"/>
  <c r="K49" i="42"/>
  <c r="T30" i="25"/>
  <c r="V28" i="25"/>
  <c r="T28" i="25"/>
  <c r="K48" i="42"/>
  <c r="T21" i="25"/>
  <c r="T27" i="25"/>
  <c r="V27" i="25"/>
  <c r="K46" i="42"/>
  <c r="K45" i="42"/>
  <c r="CL34" i="25"/>
  <c r="K43" i="42"/>
  <c r="K41" i="42"/>
  <c r="K36" i="42"/>
  <c r="CL25" i="25"/>
  <c r="K44" i="42"/>
  <c r="K37" i="42"/>
  <c r="K40" i="42"/>
  <c r="K42" i="42"/>
  <c r="K39" i="42"/>
  <c r="AA55" i="19"/>
  <c r="AA53" i="19"/>
  <c r="AF41" i="42"/>
  <c r="CE34" i="25"/>
  <c r="AF40" i="42"/>
  <c r="AF43" i="42"/>
  <c r="I40" i="42"/>
  <c r="I37" i="42"/>
  <c r="I53" i="42"/>
  <c r="I48" i="42"/>
  <c r="I43" i="42"/>
  <c r="I67" i="42"/>
  <c r="I42" i="42"/>
  <c r="I38" i="42"/>
  <c r="I47" i="42"/>
  <c r="I44" i="42"/>
  <c r="I55" i="42"/>
  <c r="I50" i="42"/>
  <c r="I61" i="42"/>
  <c r="I57" i="42"/>
  <c r="I70" i="42"/>
  <c r="I66" i="42"/>
  <c r="I35" i="42"/>
  <c r="I39" i="42"/>
  <c r="I51" i="42"/>
  <c r="I49" i="42"/>
  <c r="I46" i="42"/>
  <c r="I58" i="42"/>
  <c r="I60" i="42"/>
  <c r="I69" i="42"/>
  <c r="I68" i="42"/>
  <c r="I36" i="42"/>
  <c r="I41" i="42"/>
  <c r="I52" i="42"/>
  <c r="I54" i="42"/>
  <c r="I45" i="42"/>
  <c r="I62" i="42"/>
  <c r="I65" i="42"/>
  <c r="I64" i="42"/>
  <c r="CG55" i="25"/>
  <c r="BJ54" i="25"/>
  <c r="CW43" i="25"/>
  <c r="CD29" i="25"/>
  <c r="CM35" i="25"/>
  <c r="R42" i="42"/>
  <c r="AF42" i="42"/>
  <c r="CF22" i="25"/>
  <c r="CM23" i="25"/>
  <c r="CD21" i="25"/>
  <c r="CE21" i="25"/>
  <c r="BJ21" i="25"/>
  <c r="B17" i="20"/>
  <c r="B21" i="20"/>
  <c r="B26" i="20"/>
  <c r="B28" i="20"/>
  <c r="B33" i="20"/>
  <c r="B37" i="20"/>
  <c r="B41" i="20"/>
  <c r="B45" i="20"/>
  <c r="B49" i="20"/>
  <c r="B53" i="20"/>
  <c r="B57" i="20"/>
  <c r="B61" i="20"/>
  <c r="B65" i="20"/>
  <c r="B69" i="20"/>
  <c r="B73" i="20"/>
  <c r="B77" i="20"/>
  <c r="B16" i="20"/>
  <c r="B20" i="20"/>
  <c r="B25" i="20"/>
  <c r="B32" i="20"/>
  <c r="B31" i="20"/>
  <c r="B36" i="20"/>
  <c r="B40" i="20"/>
  <c r="B44" i="20"/>
  <c r="B48" i="20"/>
  <c r="B51" i="20"/>
  <c r="B56" i="20"/>
  <c r="B60" i="20"/>
  <c r="B64" i="20"/>
  <c r="B68" i="20"/>
  <c r="B72" i="20"/>
  <c r="B76" i="20"/>
  <c r="B80" i="20"/>
  <c r="B19" i="20"/>
  <c r="B24" i="20"/>
  <c r="B22" i="20"/>
  <c r="B30" i="20"/>
  <c r="B35" i="20"/>
  <c r="B39" i="20"/>
  <c r="B43" i="20"/>
  <c r="B47" i="20"/>
  <c r="B50" i="20"/>
  <c r="B55" i="20"/>
  <c r="B59" i="20"/>
  <c r="B63" i="20"/>
  <c r="B67" i="20"/>
  <c r="B71" i="20"/>
  <c r="B75" i="20"/>
  <c r="B79" i="20"/>
  <c r="B18" i="20"/>
  <c r="B23" i="20"/>
  <c r="B27" i="20"/>
  <c r="B29" i="20"/>
  <c r="B34" i="20"/>
  <c r="B38" i="20"/>
  <c r="B42" i="20"/>
  <c r="B46" i="20"/>
  <c r="B52" i="20"/>
  <c r="B54" i="20"/>
  <c r="B58" i="20"/>
  <c r="B62" i="20"/>
  <c r="B66" i="20"/>
  <c r="B70" i="20"/>
  <c r="B74" i="20"/>
  <c r="B78" i="20"/>
  <c r="BQ53" i="25"/>
  <c r="BR53" i="25"/>
  <c r="BR55" i="25"/>
  <c r="BN54" i="25"/>
  <c r="BN55" i="25"/>
  <c r="BQ55" i="25"/>
  <c r="BN53" i="25"/>
  <c r="BM53" i="25"/>
  <c r="BQ54" i="25"/>
  <c r="BM54" i="25"/>
  <c r="BR54" i="25"/>
  <c r="BL52" i="25"/>
  <c r="BQ52" i="25"/>
  <c r="BM52" i="25"/>
  <c r="CE52" i="25"/>
  <c r="BN52" i="25"/>
  <c r="BR52" i="25"/>
  <c r="AF50" i="42"/>
  <c r="AI66" i="42"/>
  <c r="AJ66" i="42" s="1"/>
  <c r="AF38" i="42"/>
  <c r="BL45" i="25"/>
  <c r="BN41" i="25"/>
  <c r="BM31" i="25"/>
  <c r="BL35" i="25"/>
  <c r="BM28" i="25"/>
  <c r="BR28" i="25"/>
  <c r="BQ48" i="25"/>
  <c r="BL38" i="25"/>
  <c r="BN32" i="25"/>
  <c r="BR32" i="25"/>
  <c r="CG39" i="25"/>
  <c r="BL39" i="25"/>
  <c r="BM43" i="25"/>
  <c r="BM38" i="25"/>
  <c r="CG44" i="25"/>
  <c r="BL44" i="25"/>
  <c r="BN33" i="25"/>
  <c r="BR44" i="25"/>
  <c r="BN31" i="25"/>
  <c r="CE33" i="25"/>
  <c r="BN35" i="25"/>
  <c r="BM39" i="25"/>
  <c r="BM35" i="25"/>
  <c r="BL27" i="25"/>
  <c r="BN49" i="25"/>
  <c r="BQ38" i="25"/>
  <c r="BR33" i="25"/>
  <c r="BM34" i="25"/>
  <c r="BQ42" i="25"/>
  <c r="BN28" i="25"/>
  <c r="BR40" i="25"/>
  <c r="BM45" i="25"/>
  <c r="AI50" i="42"/>
  <c r="AJ50" i="42" s="1"/>
  <c r="BR46" i="25"/>
  <c r="BL29" i="25"/>
  <c r="BM27" i="25"/>
  <c r="BQ41" i="25"/>
  <c r="BL48" i="25"/>
  <c r="CD28" i="25"/>
  <c r="CF47" i="25"/>
  <c r="BL37" i="25"/>
  <c r="BN43" i="25"/>
  <c r="BN44" i="25"/>
  <c r="BM36" i="25"/>
  <c r="CE35" i="25"/>
  <c r="BM50" i="25"/>
  <c r="BN47" i="25"/>
  <c r="CG42" i="25"/>
  <c r="BL42" i="25"/>
  <c r="BQ29" i="25"/>
  <c r="BL33" i="25"/>
  <c r="BN30" i="25"/>
  <c r="CF44" i="25"/>
  <c r="BL50" i="25"/>
  <c r="BL34" i="25"/>
  <c r="BR37" i="25"/>
  <c r="BM32" i="25"/>
  <c r="BL51" i="25"/>
  <c r="BL36" i="25"/>
  <c r="BQ44" i="25"/>
  <c r="BN36" i="25"/>
  <c r="BL43" i="25"/>
  <c r="BL49" i="25"/>
  <c r="BQ50" i="25"/>
  <c r="BM30" i="25"/>
  <c r="BM46" i="25"/>
  <c r="CD51" i="25"/>
  <c r="CG31" i="25"/>
  <c r="BL31" i="25"/>
  <c r="CF31" i="25"/>
  <c r="BM29" i="25"/>
  <c r="BM33" i="25"/>
  <c r="BM44" i="25"/>
  <c r="BQ36" i="25"/>
  <c r="BN46" i="25"/>
  <c r="BR35" i="25"/>
  <c r="BN39" i="25"/>
  <c r="BR29" i="25"/>
  <c r="BN38" i="25"/>
  <c r="BR42" i="25"/>
  <c r="BM37" i="25"/>
  <c r="BL41" i="25"/>
  <c r="BL46" i="25"/>
  <c r="BR41" i="25"/>
  <c r="BL32" i="25"/>
  <c r="BN50" i="25"/>
  <c r="BR39" i="25"/>
  <c r="BR38" i="25"/>
  <c r="BQ32" i="25"/>
  <c r="BM49" i="25"/>
  <c r="BM48" i="25"/>
  <c r="BQ35" i="25"/>
  <c r="BQ47" i="25"/>
  <c r="BM41" i="25"/>
  <c r="BR36" i="25"/>
  <c r="BN34" i="25"/>
  <c r="BM42" i="25"/>
  <c r="BR49" i="25"/>
  <c r="BN45" i="25"/>
  <c r="BR34" i="25"/>
  <c r="BR50" i="25"/>
  <c r="BR45" i="25"/>
  <c r="AF37" i="42"/>
  <c r="AI41" i="42"/>
  <c r="AJ41" i="42" s="1"/>
  <c r="AF39" i="42"/>
  <c r="CV24" i="25"/>
  <c r="BL24" i="25"/>
  <c r="BM25" i="25"/>
  <c r="BR26" i="25"/>
  <c r="BN25" i="25"/>
  <c r="CD24" i="25"/>
  <c r="BM26" i="25"/>
  <c r="BR25" i="25"/>
  <c r="BM24" i="25"/>
  <c r="BQ24" i="25"/>
  <c r="BL26" i="25"/>
  <c r="BR24" i="25"/>
  <c r="BN26" i="25"/>
  <c r="BL25" i="25"/>
  <c r="CF25" i="25"/>
  <c r="CV23" i="25"/>
  <c r="AI37" i="42"/>
  <c r="AJ37" i="42" s="1"/>
  <c r="AI36" i="42"/>
  <c r="AJ36" i="42" s="1"/>
  <c r="BN21" i="25"/>
  <c r="BN22" i="25"/>
  <c r="BM22" i="25"/>
  <c r="BL23" i="25"/>
  <c r="BQ23" i="25"/>
  <c r="BM20" i="25"/>
  <c r="BL20" i="25"/>
  <c r="BN20" i="25"/>
  <c r="BR23" i="25"/>
  <c r="BL21" i="25"/>
  <c r="CL21" i="25"/>
  <c r="BL22" i="25"/>
  <c r="CF26" i="25"/>
  <c r="CL49" i="25"/>
  <c r="CF23" i="25"/>
  <c r="CV50" i="25"/>
  <c r="CC54" i="25"/>
  <c r="CC26" i="25"/>
  <c r="CV22" i="25"/>
  <c r="CC22" i="25"/>
  <c r="CW38" i="25"/>
  <c r="CO38" i="25"/>
  <c r="CF30" i="25"/>
  <c r="CV39" i="25"/>
  <c r="CF49" i="25"/>
  <c r="CE47" i="25"/>
  <c r="CC29" i="25"/>
  <c r="CY36" i="25"/>
  <c r="CL37" i="25"/>
  <c r="CE51" i="25"/>
  <c r="CD20" i="25"/>
  <c r="CW32" i="25"/>
  <c r="CC53" i="25"/>
  <c r="CW50" i="25"/>
  <c r="CM29" i="25"/>
  <c r="CM44" i="25"/>
  <c r="CW27" i="25"/>
  <c r="CY35" i="25"/>
  <c r="CD22" i="25"/>
  <c r="CO35" i="25"/>
  <c r="CC45" i="25"/>
  <c r="CM49" i="25"/>
  <c r="CL26" i="25"/>
  <c r="CC50" i="25"/>
  <c r="CD25" i="25"/>
  <c r="CG27" i="25"/>
  <c r="CF51" i="25"/>
  <c r="CW37" i="25"/>
  <c r="CC41" i="25"/>
  <c r="CC21" i="25"/>
  <c r="CV42" i="25"/>
  <c r="CM25" i="25"/>
  <c r="CD35" i="25"/>
  <c r="CF27" i="25"/>
  <c r="CF21" i="25"/>
  <c r="CG22" i="25"/>
  <c r="CF53" i="25"/>
  <c r="CC44" i="25"/>
  <c r="CC36" i="25"/>
  <c r="CW49" i="25"/>
  <c r="CO51" i="25"/>
  <c r="CW40" i="25"/>
  <c r="CL38" i="25"/>
  <c r="CF45" i="25"/>
  <c r="CD40" i="25"/>
  <c r="CC25" i="25"/>
  <c r="CV33" i="25"/>
  <c r="CL22" i="25"/>
  <c r="CL27" i="25"/>
  <c r="CL28" i="25"/>
  <c r="CE37" i="25"/>
  <c r="CV35" i="25"/>
  <c r="CG52" i="25"/>
  <c r="CF50" i="25"/>
  <c r="CD26" i="25"/>
  <c r="CW44" i="25"/>
  <c r="CW53" i="25"/>
  <c r="CM24" i="25"/>
  <c r="CO43" i="25"/>
  <c r="CV55" i="25"/>
  <c r="CL55" i="25"/>
  <c r="CV21" i="25"/>
  <c r="CV54" i="25"/>
  <c r="CL54" i="25"/>
  <c r="CC34" i="25"/>
  <c r="CM34" i="25"/>
  <c r="CW25" i="25"/>
  <c r="CY54" i="25"/>
  <c r="CW55" i="25"/>
  <c r="CC55" i="25"/>
  <c r="CM55" i="25"/>
  <c r="CW33" i="25"/>
  <c r="CC33" i="25"/>
  <c r="CY51" i="25"/>
  <c r="CV26" i="25"/>
  <c r="CM31" i="25"/>
  <c r="CW31" i="25"/>
  <c r="CE49" i="25"/>
  <c r="CE36" i="25"/>
  <c r="CV36" i="25"/>
  <c r="CO40" i="25"/>
  <c r="CC32" i="25"/>
  <c r="CM43" i="25"/>
  <c r="CM38" i="25"/>
  <c r="CL23" i="25"/>
  <c r="CE46" i="25"/>
  <c r="CO36" i="25"/>
  <c r="CG37" i="25"/>
  <c r="CL52" i="25"/>
  <c r="CE43" i="25"/>
  <c r="CY43" i="25"/>
  <c r="CL46" i="25"/>
  <c r="CM41" i="25"/>
  <c r="CV51" i="25"/>
  <c r="CE38" i="25"/>
  <c r="CY38" i="25"/>
  <c r="CD37" i="25"/>
  <c r="CY39" i="25"/>
  <c r="CE39" i="25"/>
  <c r="CW21" i="25"/>
  <c r="CM21" i="25"/>
  <c r="CE32" i="25"/>
  <c r="CM32" i="25"/>
  <c r="CF37" i="25"/>
  <c r="CE25" i="25"/>
  <c r="CE23" i="25"/>
  <c r="CF33" i="25"/>
  <c r="CV32" i="25"/>
  <c r="CG23" i="25"/>
  <c r="CE20" i="25"/>
  <c r="CF20" i="25"/>
  <c r="CW46" i="25"/>
  <c r="CM46" i="25"/>
  <c r="CC46" i="25"/>
  <c r="CD39" i="25"/>
  <c r="CF24" i="25"/>
  <c r="CC24" i="25"/>
  <c r="CW24" i="25"/>
  <c r="CG45" i="25"/>
  <c r="CW26" i="25"/>
  <c r="CM26" i="25"/>
  <c r="CF39" i="25"/>
  <c r="CD45" i="25"/>
  <c r="CE27" i="25"/>
  <c r="CM53" i="25"/>
  <c r="CL33" i="25"/>
  <c r="CL44" i="25"/>
  <c r="CG24" i="25"/>
  <c r="CL36" i="25"/>
  <c r="CV41" i="25"/>
  <c r="CG48" i="25"/>
  <c r="CW22" i="25"/>
  <c r="CM22" i="25"/>
  <c r="CM37" i="25"/>
  <c r="CM42" i="25"/>
  <c r="CG26" i="25"/>
  <c r="CC37" i="25"/>
  <c r="CE42" i="25"/>
  <c r="CY42" i="25"/>
  <c r="CO42" i="25"/>
  <c r="CM39" i="25"/>
  <c r="CW39" i="25"/>
  <c r="CC39" i="25"/>
  <c r="CE45" i="25"/>
  <c r="CG51" i="25"/>
  <c r="CM48" i="25"/>
  <c r="CY40" i="25"/>
  <c r="CE40" i="25"/>
  <c r="CG36" i="25"/>
  <c r="CD31" i="25"/>
  <c r="CE53" i="25"/>
  <c r="CO53" i="25"/>
  <c r="CY53" i="25"/>
  <c r="CW30" i="25"/>
  <c r="CM30" i="25"/>
  <c r="CE24" i="25"/>
  <c r="CF48" i="25"/>
  <c r="CC23" i="25"/>
  <c r="CW23" i="25"/>
  <c r="CG21" i="25"/>
  <c r="CC38" i="25"/>
  <c r="CW52" i="25"/>
  <c r="CC42" i="25"/>
  <c r="CW42" i="25"/>
  <c r="CF52" i="25"/>
  <c r="CG20" i="25"/>
  <c r="CC20" i="25"/>
  <c r="CW20" i="25"/>
  <c r="CG46" i="25"/>
  <c r="CL50" i="25"/>
  <c r="CV53" i="25"/>
  <c r="CL32" i="25"/>
  <c r="CL45" i="25"/>
  <c r="CD44" i="25"/>
  <c r="CD30" i="25"/>
  <c r="CD48" i="25"/>
  <c r="CE22" i="25"/>
  <c r="CO48" i="25"/>
  <c r="CV44" i="25"/>
  <c r="CF40" i="25"/>
  <c r="CL35" i="25"/>
  <c r="CD27" i="25"/>
  <c r="CW28" i="25"/>
  <c r="CC28" i="25"/>
  <c r="CL43" i="25"/>
  <c r="CV43" i="25"/>
  <c r="CM27" i="25"/>
  <c r="CL53" i="25"/>
  <c r="CV20" i="25"/>
  <c r="CW48" i="25"/>
  <c r="CE26" i="25"/>
  <c r="CG41" i="25"/>
  <c r="CG32" i="25"/>
  <c r="CG29" i="25"/>
  <c r="CF41" i="25"/>
  <c r="CE31" i="25"/>
  <c r="CF28" i="25"/>
  <c r="CD53" i="25"/>
  <c r="CF36" i="25"/>
  <c r="CW36" i="25"/>
  <c r="CM36" i="25"/>
  <c r="CL31" i="25"/>
  <c r="CE48" i="25"/>
  <c r="CY48" i="25"/>
  <c r="CM33" i="25"/>
  <c r="CG35" i="25"/>
  <c r="CG43" i="25"/>
  <c r="CL41" i="25"/>
  <c r="CV48" i="25"/>
  <c r="CG49" i="25"/>
  <c r="CG38" i="25"/>
  <c r="CE28" i="25"/>
  <c r="CM28" i="25"/>
  <c r="CW41" i="25"/>
  <c r="CM20" i="25"/>
  <c r="X53" i="25" l="1"/>
  <c r="X21" i="25"/>
  <c r="X30" i="25"/>
  <c r="X27" i="25"/>
  <c r="X28" i="25"/>
  <c r="X51" i="25"/>
  <c r="T55" i="25"/>
  <c r="X55" i="25" s="1"/>
  <c r="R55" i="19" s="1"/>
  <c r="V55" i="25"/>
  <c r="V54" i="25"/>
  <c r="T54" i="25"/>
  <c r="X41" i="25"/>
  <c r="X49" i="25"/>
  <c r="T39" i="25"/>
  <c r="V39" i="25"/>
  <c r="T43" i="25"/>
  <c r="V43" i="25"/>
  <c r="CO47" i="25"/>
  <c r="T52" i="25"/>
  <c r="V52" i="25"/>
  <c r="V46" i="25"/>
  <c r="T46" i="25"/>
  <c r="T48" i="25"/>
  <c r="V48" i="25"/>
  <c r="Y51" i="25"/>
  <c r="Z51" i="25"/>
  <c r="AA51" i="25"/>
  <c r="H66" i="42"/>
  <c r="W66" i="42"/>
  <c r="Q66" i="42"/>
  <c r="V45" i="25"/>
  <c r="T45" i="25"/>
  <c r="V44" i="25"/>
  <c r="T44" i="25"/>
  <c r="CO39" i="25"/>
  <c r="V40" i="25"/>
  <c r="T40" i="25"/>
  <c r="V47" i="25"/>
  <c r="T47" i="25"/>
  <c r="AA41" i="25"/>
  <c r="V50" i="25"/>
  <c r="T50" i="25"/>
  <c r="V42" i="25"/>
  <c r="T42" i="25"/>
  <c r="Z49" i="25"/>
  <c r="AA49" i="25"/>
  <c r="W64" i="42"/>
  <c r="Q64" i="42"/>
  <c r="T26" i="25"/>
  <c r="V26" i="25"/>
  <c r="V36" i="25"/>
  <c r="T36" i="25"/>
  <c r="CO37" i="25"/>
  <c r="T35" i="25"/>
  <c r="V35" i="25"/>
  <c r="V33" i="25"/>
  <c r="T33" i="25"/>
  <c r="T31" i="25"/>
  <c r="V31" i="25"/>
  <c r="T25" i="25"/>
  <c r="V25" i="25"/>
  <c r="T22" i="25"/>
  <c r="V22" i="25"/>
  <c r="V24" i="25"/>
  <c r="T24" i="25"/>
  <c r="V34" i="25"/>
  <c r="T34" i="25"/>
  <c r="V23" i="25"/>
  <c r="T23" i="25"/>
  <c r="V32" i="25"/>
  <c r="T32" i="25"/>
  <c r="V38" i="25"/>
  <c r="T38" i="25"/>
  <c r="T29" i="25"/>
  <c r="V29" i="25"/>
  <c r="V20" i="25"/>
  <c r="T20" i="25"/>
  <c r="V37" i="25"/>
  <c r="T37" i="25"/>
  <c r="Y28" i="25"/>
  <c r="AA28" i="25"/>
  <c r="W43" i="42"/>
  <c r="Q43" i="42"/>
  <c r="H43" i="42"/>
  <c r="H36" i="42"/>
  <c r="CM52" i="25"/>
  <c r="CY37" i="25"/>
  <c r="CY47" i="25"/>
  <c r="S51" i="19" l="1"/>
  <c r="KF51" i="25"/>
  <c r="IF51" i="25"/>
  <c r="IG51" i="25" s="1"/>
  <c r="S28" i="19"/>
  <c r="KF28" i="25"/>
  <c r="IF28" i="25"/>
  <c r="R28" i="19"/>
  <c r="P28" i="20" s="1"/>
  <c r="R21" i="19"/>
  <c r="P21" i="20" s="1"/>
  <c r="R41" i="19"/>
  <c r="P41" i="20" s="1"/>
  <c r="AA30" i="25"/>
  <c r="R30" i="19"/>
  <c r="P30" i="20" s="1"/>
  <c r="AA27" i="25"/>
  <c r="R27" i="19"/>
  <c r="Z53" i="25"/>
  <c r="R53" i="19"/>
  <c r="P53" i="20" s="1"/>
  <c r="R51" i="19"/>
  <c r="P50" i="20" s="1"/>
  <c r="R49" i="19"/>
  <c r="P49" i="20" s="1"/>
  <c r="AA21" i="25"/>
  <c r="SF21" i="25" s="1"/>
  <c r="SG21" i="25" s="1"/>
  <c r="Z21" i="25"/>
  <c r="Y21" i="25"/>
  <c r="NF21" i="25" s="1"/>
  <c r="NG21" i="25" s="1"/>
  <c r="NU21" i="25" s="1"/>
  <c r="H56" i="42"/>
  <c r="X48" i="25"/>
  <c r="Q68" i="42"/>
  <c r="X45" i="25"/>
  <c r="Q56" i="42"/>
  <c r="Y41" i="25"/>
  <c r="H68" i="42"/>
  <c r="AA53" i="25"/>
  <c r="QF53" i="25" s="1"/>
  <c r="QG53" i="25" s="1"/>
  <c r="Z41" i="25"/>
  <c r="W68" i="42"/>
  <c r="Y53" i="25"/>
  <c r="W56" i="42"/>
  <c r="X36" i="25"/>
  <c r="H64" i="42"/>
  <c r="Y49" i="25"/>
  <c r="X54" i="25"/>
  <c r="H45" i="42"/>
  <c r="Y30" i="25"/>
  <c r="Z28" i="25"/>
  <c r="Q42" i="42"/>
  <c r="Y27" i="25"/>
  <c r="Z30" i="25"/>
  <c r="W45" i="42"/>
  <c r="Q45" i="42"/>
  <c r="W42" i="42"/>
  <c r="X31" i="25"/>
  <c r="P27" i="20"/>
  <c r="H42" i="42"/>
  <c r="Z27" i="25"/>
  <c r="X26" i="25"/>
  <c r="X25" i="25"/>
  <c r="X47" i="25"/>
  <c r="X39" i="25"/>
  <c r="X52" i="25"/>
  <c r="X43" i="25"/>
  <c r="X40" i="25"/>
  <c r="X44" i="25"/>
  <c r="P55" i="20"/>
  <c r="Y55" i="25"/>
  <c r="Z55" i="25"/>
  <c r="AA55" i="25"/>
  <c r="Q70" i="42"/>
  <c r="H70" i="42"/>
  <c r="W70" i="42"/>
  <c r="PF53" i="25"/>
  <c r="PG53" i="25" s="1"/>
  <c r="PU53" i="25" s="1"/>
  <c r="RF53" i="25"/>
  <c r="RG53" i="25" s="1"/>
  <c r="RU53" i="25" s="1"/>
  <c r="AD53" i="25"/>
  <c r="UF53" i="25"/>
  <c r="LF53" i="25"/>
  <c r="LG53" i="25" s="1"/>
  <c r="LU53" i="25" s="1"/>
  <c r="NF53" i="25"/>
  <c r="NG53" i="25" s="1"/>
  <c r="NU53" i="25" s="1"/>
  <c r="AE53" i="25"/>
  <c r="AF53" i="25" s="1"/>
  <c r="MF53" i="25"/>
  <c r="MG53" i="25" s="1"/>
  <c r="MU53" i="25" s="1"/>
  <c r="HF53" i="25"/>
  <c r="HG53" i="25" s="1"/>
  <c r="HU53" i="25" s="1"/>
  <c r="OF53" i="25"/>
  <c r="OG53" i="25" s="1"/>
  <c r="TF53" i="25"/>
  <c r="JF53" i="25"/>
  <c r="JG53" i="25" s="1"/>
  <c r="JU53" i="25" s="1"/>
  <c r="X46" i="25"/>
  <c r="X50" i="25"/>
  <c r="X42" i="25"/>
  <c r="LF51" i="25"/>
  <c r="LG51" i="25" s="1"/>
  <c r="LU51" i="25" s="1"/>
  <c r="HF51" i="25"/>
  <c r="HG51" i="25" s="1"/>
  <c r="HU51" i="25" s="1"/>
  <c r="MF51" i="25"/>
  <c r="MG51" i="25" s="1"/>
  <c r="MU51" i="25" s="1"/>
  <c r="JF51" i="25"/>
  <c r="JG51" i="25" s="1"/>
  <c r="JU51" i="25" s="1"/>
  <c r="IU51" i="25"/>
  <c r="OF51" i="25"/>
  <c r="OG51" i="25" s="1"/>
  <c r="UF51" i="25"/>
  <c r="NF51" i="25"/>
  <c r="NG51" i="25" s="1"/>
  <c r="NU51" i="25" s="1"/>
  <c r="TF51" i="25"/>
  <c r="MF49" i="25"/>
  <c r="MG49" i="25" s="1"/>
  <c r="MU49" i="25" s="1"/>
  <c r="LF49" i="25"/>
  <c r="LG49" i="25" s="1"/>
  <c r="LU49" i="25" s="1"/>
  <c r="HF49" i="25"/>
  <c r="HG49" i="25" s="1"/>
  <c r="HU49" i="25" s="1"/>
  <c r="NF49" i="25"/>
  <c r="NG49" i="25" s="1"/>
  <c r="NU49" i="25" s="1"/>
  <c r="OF49" i="25"/>
  <c r="OG49" i="25" s="1"/>
  <c r="TF49" i="25"/>
  <c r="UF49" i="25"/>
  <c r="JF49" i="25"/>
  <c r="JG49" i="25" s="1"/>
  <c r="JU49" i="25" s="1"/>
  <c r="Y50" i="25"/>
  <c r="Y40" i="25"/>
  <c r="H55" i="42"/>
  <c r="Z45" i="25"/>
  <c r="QF51" i="25"/>
  <c r="QG51" i="25" s="1"/>
  <c r="SF51" i="25"/>
  <c r="SG51" i="25" s="1"/>
  <c r="SF41" i="25"/>
  <c r="SG41" i="25" s="1"/>
  <c r="QF41" i="25"/>
  <c r="QG41" i="25" s="1"/>
  <c r="H54" i="42"/>
  <c r="PF49" i="25"/>
  <c r="PG49" i="25" s="1"/>
  <c r="PU49" i="25" s="1"/>
  <c r="AD49" i="25"/>
  <c r="RF49" i="25"/>
  <c r="RG49" i="25" s="1"/>
  <c r="RU49" i="25" s="1"/>
  <c r="AE49" i="25"/>
  <c r="AF49" i="25" s="1"/>
  <c r="W62" i="42"/>
  <c r="H59" i="42"/>
  <c r="RF51" i="25"/>
  <c r="RG51" i="25" s="1"/>
  <c r="RU51" i="25" s="1"/>
  <c r="PF51" i="25"/>
  <c r="PG51" i="25" s="1"/>
  <c r="PU51" i="25" s="1"/>
  <c r="AD51" i="25"/>
  <c r="AE51" i="25"/>
  <c r="AF51" i="25" s="1"/>
  <c r="QF49" i="25"/>
  <c r="QG49" i="25" s="1"/>
  <c r="SF49" i="25"/>
  <c r="SG49" i="25" s="1"/>
  <c r="PF41" i="25"/>
  <c r="PG41" i="25" s="1"/>
  <c r="PU41" i="25" s="1"/>
  <c r="TF41" i="25"/>
  <c r="HF41" i="25"/>
  <c r="HG41" i="25" s="1"/>
  <c r="HU41" i="25" s="1"/>
  <c r="NF41" i="25"/>
  <c r="NG41" i="25" s="1"/>
  <c r="NU41" i="25" s="1"/>
  <c r="JF41" i="25"/>
  <c r="JG41" i="25" s="1"/>
  <c r="AE41" i="25"/>
  <c r="AF41" i="25" s="1"/>
  <c r="UF41" i="25"/>
  <c r="LF41" i="25"/>
  <c r="LG41" i="25" s="1"/>
  <c r="LU41" i="25" s="1"/>
  <c r="MF41" i="25"/>
  <c r="MG41" i="25" s="1"/>
  <c r="MU41" i="25" s="1"/>
  <c r="OF41" i="25"/>
  <c r="OG41" i="25" s="1"/>
  <c r="AA48" i="25"/>
  <c r="Z48" i="25"/>
  <c r="Y48" i="25"/>
  <c r="H63" i="42"/>
  <c r="Q63" i="42"/>
  <c r="W63" i="42"/>
  <c r="AA52" i="25"/>
  <c r="Z52" i="25"/>
  <c r="Y52" i="25"/>
  <c r="H67" i="42"/>
  <c r="W67" i="42"/>
  <c r="Q67" i="42"/>
  <c r="AA43" i="25"/>
  <c r="X29" i="25"/>
  <c r="X22" i="25"/>
  <c r="X35" i="25"/>
  <c r="X20" i="25"/>
  <c r="X38" i="25"/>
  <c r="X23" i="25"/>
  <c r="X24" i="25"/>
  <c r="X33" i="25"/>
  <c r="X37" i="25"/>
  <c r="X32" i="25"/>
  <c r="X34" i="25"/>
  <c r="AD28" i="25"/>
  <c r="AE28" i="25"/>
  <c r="AF28" i="25" s="1"/>
  <c r="AE27" i="25"/>
  <c r="AF27" i="25" s="1"/>
  <c r="Z36" i="25"/>
  <c r="UF30" i="25"/>
  <c r="KG30" i="25"/>
  <c r="KU30" i="25" s="1"/>
  <c r="JF30" i="25"/>
  <c r="JG30" i="25" s="1"/>
  <c r="JU30" i="25" s="1"/>
  <c r="LF30" i="25"/>
  <c r="LG30" i="25" s="1"/>
  <c r="LU30" i="25" s="1"/>
  <c r="RF30" i="25"/>
  <c r="RG30" i="25" s="1"/>
  <c r="MF30" i="25"/>
  <c r="MG30" i="25" s="1"/>
  <c r="MU30" i="25" s="1"/>
  <c r="TF30" i="25"/>
  <c r="TG30" i="25" s="1"/>
  <c r="TU30" i="25" s="1"/>
  <c r="HF30" i="25"/>
  <c r="HG30" i="25" s="1"/>
  <c r="HU30" i="25" s="1"/>
  <c r="NF30" i="25"/>
  <c r="NG30" i="25" s="1"/>
  <c r="NU30" i="25" s="1"/>
  <c r="OF30" i="25"/>
  <c r="OG30" i="25" s="1"/>
  <c r="OU30" i="25" s="1"/>
  <c r="UF28" i="25"/>
  <c r="RF28" i="25"/>
  <c r="RG28" i="25" s="1"/>
  <c r="JF28" i="25"/>
  <c r="JG28" i="25" s="1"/>
  <c r="JU28" i="25" s="1"/>
  <c r="MF28" i="25"/>
  <c r="MG28" i="25" s="1"/>
  <c r="MU28" i="25" s="1"/>
  <c r="IG28" i="25"/>
  <c r="IU28" i="25" s="1"/>
  <c r="KG28" i="25"/>
  <c r="KU28" i="25" s="1"/>
  <c r="OF28" i="25"/>
  <c r="OG28" i="25" s="1"/>
  <c r="OU28" i="25" s="1"/>
  <c r="NF28" i="25"/>
  <c r="NG28" i="25" s="1"/>
  <c r="NU28" i="25" s="1"/>
  <c r="LF28" i="25"/>
  <c r="LG28" i="25" s="1"/>
  <c r="LU28" i="25" s="1"/>
  <c r="HF28" i="25"/>
  <c r="HG28" i="25" s="1"/>
  <c r="HU28" i="25" s="1"/>
  <c r="TF28" i="25"/>
  <c r="PF28" i="25"/>
  <c r="PG28" i="25" s="1"/>
  <c r="QF28" i="25"/>
  <c r="QG28" i="25" s="1"/>
  <c r="SF28" i="25"/>
  <c r="SG28" i="25" s="1"/>
  <c r="MF27" i="25"/>
  <c r="MG27" i="25" s="1"/>
  <c r="MU27" i="25" s="1"/>
  <c r="TF27" i="25"/>
  <c r="JF27" i="25"/>
  <c r="JG27" i="25" s="1"/>
  <c r="JU27" i="25" s="1"/>
  <c r="KG27" i="25"/>
  <c r="KU27" i="25" s="1"/>
  <c r="UF27" i="25"/>
  <c r="NF27" i="25"/>
  <c r="NG27" i="25" s="1"/>
  <c r="NU27" i="25" s="1"/>
  <c r="HF27" i="25"/>
  <c r="HG27" i="25" s="1"/>
  <c r="HU27" i="25" s="1"/>
  <c r="LF27" i="25"/>
  <c r="LG27" i="25" s="1"/>
  <c r="LU27" i="25" s="1"/>
  <c r="OF27" i="25"/>
  <c r="OG27" i="25" s="1"/>
  <c r="OU27" i="25" s="1"/>
  <c r="RF27" i="25"/>
  <c r="RG27" i="25" s="1"/>
  <c r="W46" i="42"/>
  <c r="QF30" i="25"/>
  <c r="QG30" i="25" s="1"/>
  <c r="SF30" i="25"/>
  <c r="SG30" i="25" s="1"/>
  <c r="QF27" i="25"/>
  <c r="QG27" i="25" s="1"/>
  <c r="SF27" i="25"/>
  <c r="SG27" i="25" s="1"/>
  <c r="QF21" i="25"/>
  <c r="QG21" i="25" s="1"/>
  <c r="H35" i="42"/>
  <c r="Q40" i="42"/>
  <c r="H40" i="42"/>
  <c r="W41" i="42"/>
  <c r="D2" i="18"/>
  <c r="PF21" i="25" l="1"/>
  <c r="PG21" i="25" s="1"/>
  <c r="HF21" i="25"/>
  <c r="HG21" i="25" s="1"/>
  <c r="HU21" i="25" s="1"/>
  <c r="RF21" i="25"/>
  <c r="RG21" i="25" s="1"/>
  <c r="LF21" i="25"/>
  <c r="LG21" i="25" s="1"/>
  <c r="LU21" i="25" s="1"/>
  <c r="JF21" i="25"/>
  <c r="JG21" i="25" s="1"/>
  <c r="JU21" i="25" s="1"/>
  <c r="UF21" i="25"/>
  <c r="UG21" i="25" s="1"/>
  <c r="UU21" i="25" s="1"/>
  <c r="TF21" i="25"/>
  <c r="TG21" i="25" s="1"/>
  <c r="TU21" i="25" s="1"/>
  <c r="S52" i="19"/>
  <c r="KF52" i="25"/>
  <c r="IF52" i="25"/>
  <c r="IG52" i="25" s="1"/>
  <c r="S50" i="19"/>
  <c r="IF50" i="25"/>
  <c r="IG50" i="25" s="1"/>
  <c r="KF50" i="25"/>
  <c r="S55" i="19"/>
  <c r="IF55" i="25"/>
  <c r="IG55" i="25" s="1"/>
  <c r="IU55" i="25" s="1"/>
  <c r="KF55" i="25"/>
  <c r="S53" i="19"/>
  <c r="KF53" i="25"/>
  <c r="IF53" i="25"/>
  <c r="IG53" i="25" s="1"/>
  <c r="IU53" i="25" s="1"/>
  <c r="S48" i="19"/>
  <c r="IF48" i="25"/>
  <c r="IG48" i="25" s="1"/>
  <c r="KF48" i="25"/>
  <c r="S27" i="19"/>
  <c r="IF27" i="25"/>
  <c r="IG27" i="25" s="1"/>
  <c r="IU27" i="25" s="1"/>
  <c r="KF27" i="25"/>
  <c r="S30" i="19"/>
  <c r="IF30" i="25"/>
  <c r="IG30" i="25" s="1"/>
  <c r="IU30" i="25" s="1"/>
  <c r="KF30" i="25"/>
  <c r="KF41" i="25"/>
  <c r="IF41" i="25"/>
  <c r="IG41" i="25" s="1"/>
  <c r="IU41" i="25" s="1"/>
  <c r="S40" i="19"/>
  <c r="KF40" i="25"/>
  <c r="IF40" i="25"/>
  <c r="IG40" i="25" s="1"/>
  <c r="S49" i="19"/>
  <c r="IF49" i="25"/>
  <c r="IG49" i="25" s="1"/>
  <c r="IU49" i="25" s="1"/>
  <c r="KF49" i="25"/>
  <c r="IF21" i="25"/>
  <c r="KF21" i="25"/>
  <c r="R33" i="19"/>
  <c r="P33" i="20" s="1"/>
  <c r="R20" i="19"/>
  <c r="P20" i="20" s="1"/>
  <c r="R26" i="19"/>
  <c r="P26" i="20" s="1"/>
  <c r="Y31" i="25"/>
  <c r="R31" i="19"/>
  <c r="P31" i="20" s="1"/>
  <c r="AE21" i="25"/>
  <c r="AF21" i="25" s="1"/>
  <c r="S21" i="19"/>
  <c r="R37" i="19"/>
  <c r="P37" i="20" s="1"/>
  <c r="Y38" i="25"/>
  <c r="R38" i="19"/>
  <c r="P38" i="20" s="1"/>
  <c r="R29" i="19"/>
  <c r="P29" i="20" s="1"/>
  <c r="Y42" i="25"/>
  <c r="R42" i="19"/>
  <c r="R43" i="19"/>
  <c r="P43" i="20" s="1"/>
  <c r="R25" i="19"/>
  <c r="P25" i="20" s="1"/>
  <c r="AA45" i="25"/>
  <c r="R45" i="19"/>
  <c r="Y32" i="25"/>
  <c r="R32" i="19"/>
  <c r="P32" i="20" s="1"/>
  <c r="R23" i="19"/>
  <c r="P23" i="20" s="1"/>
  <c r="R22" i="19"/>
  <c r="P22" i="20" s="1"/>
  <c r="R40" i="19"/>
  <c r="P40" i="20" s="1"/>
  <c r="R47" i="19"/>
  <c r="P47" i="20" s="1"/>
  <c r="AA36" i="25"/>
  <c r="R36" i="19"/>
  <c r="P36" i="20" s="1"/>
  <c r="AA34" i="25"/>
  <c r="R34" i="19"/>
  <c r="R24" i="19"/>
  <c r="P24" i="20" s="1"/>
  <c r="R35" i="19"/>
  <c r="P35" i="20" s="1"/>
  <c r="R46" i="19"/>
  <c r="P46" i="20" s="1"/>
  <c r="R44" i="19"/>
  <c r="P44" i="20" s="1"/>
  <c r="R39" i="19"/>
  <c r="P39" i="20" s="1"/>
  <c r="AD41" i="25"/>
  <c r="S41" i="19"/>
  <c r="AA50" i="25"/>
  <c r="R50" i="19"/>
  <c r="P52" i="20" s="1"/>
  <c r="R52" i="19"/>
  <c r="P51" i="20" s="1"/>
  <c r="R54" i="19"/>
  <c r="P54" i="20" s="1"/>
  <c r="R48" i="19"/>
  <c r="P48" i="20" s="1"/>
  <c r="W65" i="42"/>
  <c r="SF53" i="25"/>
  <c r="SG53" i="25" s="1"/>
  <c r="AA54" i="25"/>
  <c r="W51" i="42"/>
  <c r="H37" i="42"/>
  <c r="Q51" i="42"/>
  <c r="Y36" i="25"/>
  <c r="RF41" i="25"/>
  <c r="RG41" i="25" s="1"/>
  <c r="RU41" i="25" s="1"/>
  <c r="Q62" i="42"/>
  <c r="Z47" i="25"/>
  <c r="Z40" i="25"/>
  <c r="PF27" i="25"/>
  <c r="PG27" i="25" s="1"/>
  <c r="H62" i="42"/>
  <c r="Y47" i="25"/>
  <c r="W55" i="42"/>
  <c r="AA40" i="25"/>
  <c r="H51" i="42"/>
  <c r="AD30" i="25"/>
  <c r="Z44" i="25"/>
  <c r="AA47" i="25"/>
  <c r="QF47" i="25" s="1"/>
  <c r="QG47" i="25" s="1"/>
  <c r="AA39" i="25"/>
  <c r="Q55" i="42"/>
  <c r="AD21" i="25"/>
  <c r="Q47" i="42"/>
  <c r="W59" i="42"/>
  <c r="Y44" i="25"/>
  <c r="Q54" i="42"/>
  <c r="Y39" i="25"/>
  <c r="Q59" i="42"/>
  <c r="AA44" i="25"/>
  <c r="W54" i="42"/>
  <c r="Z39" i="25"/>
  <c r="W40" i="42"/>
  <c r="W58" i="42"/>
  <c r="AA42" i="25"/>
  <c r="SF42" i="25" s="1"/>
  <c r="SG42" i="25" s="1"/>
  <c r="Q60" i="42"/>
  <c r="H60" i="42"/>
  <c r="P45" i="20"/>
  <c r="Q53" i="42"/>
  <c r="Z25" i="25"/>
  <c r="H58" i="42"/>
  <c r="Y43" i="25"/>
  <c r="H57" i="42"/>
  <c r="W60" i="42"/>
  <c r="Y45" i="25"/>
  <c r="Z43" i="25"/>
  <c r="W57" i="42"/>
  <c r="Q41" i="42"/>
  <c r="H39" i="42"/>
  <c r="H41" i="42"/>
  <c r="Q46" i="42"/>
  <c r="Y26" i="25"/>
  <c r="Z46" i="25"/>
  <c r="H46" i="42"/>
  <c r="Z31" i="25"/>
  <c r="Q61" i="42"/>
  <c r="W52" i="42"/>
  <c r="Z42" i="25"/>
  <c r="Y46" i="25"/>
  <c r="Z54" i="25"/>
  <c r="Q57" i="42"/>
  <c r="W61" i="42"/>
  <c r="W69" i="42"/>
  <c r="AA33" i="25"/>
  <c r="SF33" i="25" s="1"/>
  <c r="SG33" i="25" s="1"/>
  <c r="W47" i="42"/>
  <c r="AD27" i="25"/>
  <c r="AA26" i="25"/>
  <c r="QF26" i="25" s="1"/>
  <c r="QG26" i="25" s="1"/>
  <c r="AA29" i="25"/>
  <c r="Q49" i="42"/>
  <c r="H50" i="42"/>
  <c r="Q65" i="42"/>
  <c r="H69" i="42"/>
  <c r="Y54" i="25"/>
  <c r="Q69" i="42"/>
  <c r="Q48" i="42"/>
  <c r="H47" i="42"/>
  <c r="H48" i="42"/>
  <c r="AA32" i="25"/>
  <c r="Z32" i="25"/>
  <c r="OU53" i="25"/>
  <c r="CQ53" i="25" s="1"/>
  <c r="DA53" i="25"/>
  <c r="OU51" i="25"/>
  <c r="CQ51" i="25" s="1"/>
  <c r="DA51" i="25"/>
  <c r="OU49" i="25"/>
  <c r="CQ49" i="25" s="1"/>
  <c r="DA49" i="25"/>
  <c r="OU41" i="25"/>
  <c r="CQ41" i="25" s="1"/>
  <c r="DA41" i="25"/>
  <c r="W49" i="42"/>
  <c r="Q50" i="42"/>
  <c r="Y35" i="25"/>
  <c r="H49" i="42"/>
  <c r="W50" i="42"/>
  <c r="Z35" i="25"/>
  <c r="Y33" i="25"/>
  <c r="W48" i="42"/>
  <c r="AA35" i="25"/>
  <c r="Z33" i="25"/>
  <c r="AA37" i="25"/>
  <c r="QF37" i="25" s="1"/>
  <c r="QG37" i="25" s="1"/>
  <c r="Y34" i="25"/>
  <c r="Q58" i="42"/>
  <c r="PF30" i="25"/>
  <c r="PG30" i="25" s="1"/>
  <c r="AE30" i="25"/>
  <c r="AF30" i="25" s="1"/>
  <c r="Y25" i="25"/>
  <c r="HF25" i="25" s="1"/>
  <c r="HG25" i="25" s="1"/>
  <c r="HU25" i="25" s="1"/>
  <c r="AA25" i="25"/>
  <c r="SF25" i="25" s="1"/>
  <c r="SG25" i="25" s="1"/>
  <c r="DC25" i="25" s="1"/>
  <c r="AA31" i="25"/>
  <c r="SF31" i="25" s="1"/>
  <c r="SG31" i="25" s="1"/>
  <c r="P42" i="20"/>
  <c r="Y23" i="25"/>
  <c r="AE23" i="25" s="1"/>
  <c r="AF23" i="25" s="1"/>
  <c r="Y24" i="25"/>
  <c r="NF24" i="25" s="1"/>
  <c r="NG24" i="25" s="1"/>
  <c r="NU24" i="25" s="1"/>
  <c r="AA23" i="25"/>
  <c r="AA22" i="25"/>
  <c r="QF22" i="25" s="1"/>
  <c r="QG22" i="25" s="1"/>
  <c r="AA24" i="25"/>
  <c r="QF24" i="25" s="1"/>
  <c r="QG24" i="25" s="1"/>
  <c r="DB24" i="25" s="1"/>
  <c r="Z26" i="25"/>
  <c r="Q44" i="42"/>
  <c r="Z24" i="25"/>
  <c r="AA20" i="25"/>
  <c r="QF20" i="25" s="1"/>
  <c r="QG20" i="25" s="1"/>
  <c r="Y22" i="25"/>
  <c r="UF22" i="25" s="1"/>
  <c r="UG22" i="25" s="1"/>
  <c r="UU22" i="25" s="1"/>
  <c r="Z22" i="25"/>
  <c r="Z23" i="25"/>
  <c r="Z20" i="25"/>
  <c r="Y20" i="25"/>
  <c r="MF20" i="25" s="1"/>
  <c r="MG20" i="25" s="1"/>
  <c r="MU20" i="25" s="1"/>
  <c r="CY41" i="25"/>
  <c r="JU41" i="25"/>
  <c r="AA46" i="25"/>
  <c r="H65" i="42"/>
  <c r="Z50" i="25"/>
  <c r="OF50" i="25" s="1"/>
  <c r="OG50" i="25" s="1"/>
  <c r="H61" i="42"/>
  <c r="CO49" i="25"/>
  <c r="CY49" i="25"/>
  <c r="CP53" i="25"/>
  <c r="CZ53" i="25"/>
  <c r="DB53" i="25"/>
  <c r="CN53" i="25"/>
  <c r="CX53" i="25"/>
  <c r="LF55" i="25"/>
  <c r="LG55" i="25" s="1"/>
  <c r="LU55" i="25" s="1"/>
  <c r="PF55" i="25"/>
  <c r="PG55" i="25" s="1"/>
  <c r="PU55" i="25" s="1"/>
  <c r="HF55" i="25"/>
  <c r="HG55" i="25" s="1"/>
  <c r="HU55" i="25" s="1"/>
  <c r="RF55" i="25"/>
  <c r="RG55" i="25" s="1"/>
  <c r="RU55" i="25" s="1"/>
  <c r="NF55" i="25"/>
  <c r="NG55" i="25" s="1"/>
  <c r="UF55" i="25"/>
  <c r="JF55" i="25"/>
  <c r="JG55" i="25" s="1"/>
  <c r="JU55" i="25" s="1"/>
  <c r="OF55" i="25"/>
  <c r="OG55" i="25" s="1"/>
  <c r="AD55" i="25"/>
  <c r="MF55" i="25"/>
  <c r="MG55" i="25" s="1"/>
  <c r="MU55" i="25" s="1"/>
  <c r="TF55" i="25"/>
  <c r="AE55" i="25"/>
  <c r="AF55" i="25" s="1"/>
  <c r="PF54" i="25"/>
  <c r="PG54" i="25" s="1"/>
  <c r="PU54" i="25" s="1"/>
  <c r="UF54" i="25"/>
  <c r="MF54" i="25"/>
  <c r="MG54" i="25" s="1"/>
  <c r="MU54" i="25" s="1"/>
  <c r="JF54" i="25"/>
  <c r="JG54" i="25" s="1"/>
  <c r="JU54" i="25" s="1"/>
  <c r="TF54" i="25"/>
  <c r="OF54" i="25"/>
  <c r="OG54" i="25" s="1"/>
  <c r="NF54" i="25"/>
  <c r="NG54" i="25" s="1"/>
  <c r="NU54" i="25" s="1"/>
  <c r="HF54" i="25"/>
  <c r="HG54" i="25" s="1"/>
  <c r="HU54" i="25" s="1"/>
  <c r="AD54" i="25"/>
  <c r="LF54" i="25"/>
  <c r="LG54" i="25" s="1"/>
  <c r="LU54" i="25" s="1"/>
  <c r="RF54" i="25"/>
  <c r="RG54" i="25" s="1"/>
  <c r="RU54" i="25" s="1"/>
  <c r="AE54" i="25"/>
  <c r="AF54" i="25" s="1"/>
  <c r="QF55" i="25"/>
  <c r="QG55" i="25" s="1"/>
  <c r="QU55" i="25" s="1"/>
  <c r="SF55" i="25"/>
  <c r="SG55" i="25" s="1"/>
  <c r="SU55" i="25" s="1"/>
  <c r="DC53" i="25"/>
  <c r="QF54" i="25"/>
  <c r="QG54" i="25" s="1"/>
  <c r="SF54" i="25"/>
  <c r="SG54" i="25" s="1"/>
  <c r="UF50" i="25"/>
  <c r="NF50" i="25"/>
  <c r="NG50" i="25" s="1"/>
  <c r="NU50" i="25" s="1"/>
  <c r="TF50" i="25"/>
  <c r="HF50" i="25"/>
  <c r="HG50" i="25" s="1"/>
  <c r="HU50" i="25" s="1"/>
  <c r="LF50" i="25"/>
  <c r="LG50" i="25" s="1"/>
  <c r="LU50" i="25" s="1"/>
  <c r="JF50" i="25"/>
  <c r="JG50" i="25" s="1"/>
  <c r="JU50" i="25" s="1"/>
  <c r="CN51" i="25"/>
  <c r="CX51" i="25"/>
  <c r="JF48" i="25"/>
  <c r="JG48" i="25" s="1"/>
  <c r="JU48" i="25" s="1"/>
  <c r="HF48" i="25"/>
  <c r="HG48" i="25" s="1"/>
  <c r="HU48" i="25" s="1"/>
  <c r="UF48" i="25"/>
  <c r="NF48" i="25"/>
  <c r="NG48" i="25" s="1"/>
  <c r="NU48" i="25" s="1"/>
  <c r="MF48" i="25"/>
  <c r="MG48" i="25" s="1"/>
  <c r="MU48" i="25" s="1"/>
  <c r="OF48" i="25"/>
  <c r="OG48" i="25" s="1"/>
  <c r="LF48" i="25"/>
  <c r="LG48" i="25" s="1"/>
  <c r="LU48" i="25" s="1"/>
  <c r="IU48" i="25"/>
  <c r="TF48" i="25"/>
  <c r="CN49" i="25"/>
  <c r="CX49" i="25"/>
  <c r="LF47" i="25"/>
  <c r="LG47" i="25" s="1"/>
  <c r="LU47" i="25" s="1"/>
  <c r="MF47" i="25"/>
  <c r="MG47" i="25" s="1"/>
  <c r="MU47" i="25" s="1"/>
  <c r="HF47" i="25"/>
  <c r="HG47" i="25" s="1"/>
  <c r="HU47" i="25" s="1"/>
  <c r="JF47" i="25"/>
  <c r="JG47" i="25" s="1"/>
  <c r="JU47" i="25" s="1"/>
  <c r="NF47" i="25"/>
  <c r="NG47" i="25" s="1"/>
  <c r="NU47" i="25" s="1"/>
  <c r="OF47" i="25"/>
  <c r="OG47" i="25" s="1"/>
  <c r="TF47" i="25"/>
  <c r="UF47" i="25"/>
  <c r="CP49" i="25"/>
  <c r="CZ49" i="25"/>
  <c r="CP51" i="25"/>
  <c r="CZ51" i="25"/>
  <c r="LF52" i="25"/>
  <c r="LG52" i="25" s="1"/>
  <c r="LU52" i="25" s="1"/>
  <c r="OF52" i="25"/>
  <c r="OG52" i="25" s="1"/>
  <c r="JF52" i="25"/>
  <c r="JG52" i="25" s="1"/>
  <c r="JU52" i="25" s="1"/>
  <c r="MF52" i="25"/>
  <c r="MG52" i="25" s="1"/>
  <c r="MU52" i="25" s="1"/>
  <c r="IU52" i="25"/>
  <c r="TF52" i="25"/>
  <c r="UF52" i="25"/>
  <c r="NF52" i="25"/>
  <c r="NG52" i="25" s="1"/>
  <c r="NU52" i="25" s="1"/>
  <c r="HF52" i="25"/>
  <c r="HG52" i="25" s="1"/>
  <c r="HU52" i="25" s="1"/>
  <c r="UF46" i="25"/>
  <c r="OF46" i="25"/>
  <c r="OG46" i="25" s="1"/>
  <c r="OU46" i="25" s="1"/>
  <c r="HF46" i="25"/>
  <c r="HG46" i="25" s="1"/>
  <c r="HU46" i="25" s="1"/>
  <c r="JF46" i="25"/>
  <c r="JG46" i="25" s="1"/>
  <c r="JU46" i="25" s="1"/>
  <c r="MF46" i="25"/>
  <c r="MG46" i="25" s="1"/>
  <c r="MU46" i="25" s="1"/>
  <c r="TF46" i="25"/>
  <c r="NF46" i="25"/>
  <c r="NG46" i="25" s="1"/>
  <c r="NU46" i="25" s="1"/>
  <c r="LF46" i="25"/>
  <c r="LG46" i="25" s="1"/>
  <c r="LU46" i="25" s="1"/>
  <c r="DB49" i="25"/>
  <c r="PF44" i="25"/>
  <c r="PG44" i="25" s="1"/>
  <c r="PU44" i="25" s="1"/>
  <c r="OF44" i="25"/>
  <c r="OG44" i="25" s="1"/>
  <c r="OU44" i="25" s="1"/>
  <c r="AD44" i="25"/>
  <c r="NF44" i="25"/>
  <c r="NG44" i="25" s="1"/>
  <c r="NU44" i="25" s="1"/>
  <c r="RF44" i="25"/>
  <c r="RG44" i="25" s="1"/>
  <c r="RU44" i="25" s="1"/>
  <c r="LF44" i="25"/>
  <c r="LG44" i="25" s="1"/>
  <c r="LU44" i="25" s="1"/>
  <c r="MF44" i="25"/>
  <c r="MG44" i="25" s="1"/>
  <c r="MU44" i="25" s="1"/>
  <c r="TF44" i="25"/>
  <c r="HF44" i="25"/>
  <c r="HG44" i="25" s="1"/>
  <c r="HU44" i="25" s="1"/>
  <c r="UF44" i="25"/>
  <c r="JF44" i="25"/>
  <c r="JG44" i="25" s="1"/>
  <c r="JU44" i="25" s="1"/>
  <c r="AE44" i="25"/>
  <c r="AF44" i="25" s="1"/>
  <c r="PF39" i="25"/>
  <c r="PG39" i="25" s="1"/>
  <c r="PU39" i="25" s="1"/>
  <c r="UF39" i="25"/>
  <c r="LF39" i="25"/>
  <c r="LG39" i="25" s="1"/>
  <c r="LU39" i="25" s="1"/>
  <c r="JF39" i="25"/>
  <c r="JG39" i="25" s="1"/>
  <c r="JU39" i="25" s="1"/>
  <c r="MF39" i="25"/>
  <c r="MG39" i="25" s="1"/>
  <c r="MU39" i="25" s="1"/>
  <c r="TF39" i="25"/>
  <c r="OF39" i="25"/>
  <c r="OG39" i="25" s="1"/>
  <c r="NF39" i="25"/>
  <c r="NG39" i="25" s="1"/>
  <c r="NU39" i="25" s="1"/>
  <c r="HF39" i="25"/>
  <c r="HG39" i="25" s="1"/>
  <c r="HU39" i="25" s="1"/>
  <c r="AE39" i="25"/>
  <c r="AF39" i="25" s="1"/>
  <c r="DC41" i="25"/>
  <c r="SF46" i="25"/>
  <c r="SG46" i="25" s="1"/>
  <c r="QF46" i="25"/>
  <c r="QG46" i="25" s="1"/>
  <c r="RF45" i="25"/>
  <c r="RG45" i="25" s="1"/>
  <c r="RU45" i="25" s="1"/>
  <c r="PF45" i="25"/>
  <c r="PG45" i="25" s="1"/>
  <c r="PU45" i="25" s="1"/>
  <c r="OF45" i="25"/>
  <c r="OG45" i="25" s="1"/>
  <c r="MF45" i="25"/>
  <c r="MG45" i="25" s="1"/>
  <c r="MU45" i="25" s="1"/>
  <c r="AD45" i="25"/>
  <c r="UF45" i="25"/>
  <c r="NF45" i="25"/>
  <c r="NG45" i="25" s="1"/>
  <c r="NU45" i="25" s="1"/>
  <c r="HF45" i="25"/>
  <c r="HG45" i="25" s="1"/>
  <c r="HU45" i="25" s="1"/>
  <c r="JF45" i="25"/>
  <c r="JG45" i="25" s="1"/>
  <c r="JU45" i="25" s="1"/>
  <c r="TF45" i="25"/>
  <c r="LF45" i="25"/>
  <c r="LG45" i="25" s="1"/>
  <c r="LU45" i="25" s="1"/>
  <c r="AE45" i="25"/>
  <c r="AF45" i="25" s="1"/>
  <c r="PF40" i="25"/>
  <c r="PG40" i="25" s="1"/>
  <c r="PU40" i="25" s="1"/>
  <c r="RF40" i="25"/>
  <c r="RG40" i="25" s="1"/>
  <c r="RU40" i="25" s="1"/>
  <c r="MF40" i="25"/>
  <c r="MG40" i="25" s="1"/>
  <c r="MU40" i="25" s="1"/>
  <c r="IU40" i="25"/>
  <c r="AD40" i="25"/>
  <c r="TF40" i="25"/>
  <c r="LF40" i="25"/>
  <c r="LG40" i="25" s="1"/>
  <c r="LU40" i="25" s="1"/>
  <c r="NF40" i="25"/>
  <c r="NG40" i="25" s="1"/>
  <c r="NU40" i="25" s="1"/>
  <c r="OF40" i="25"/>
  <c r="OG40" i="25" s="1"/>
  <c r="UF40" i="25"/>
  <c r="JF40" i="25"/>
  <c r="JG40" i="25" s="1"/>
  <c r="JU40" i="25" s="1"/>
  <c r="HF40" i="25"/>
  <c r="HG40" i="25" s="1"/>
  <c r="HU40" i="25" s="1"/>
  <c r="AE40" i="25"/>
  <c r="AF40" i="25" s="1"/>
  <c r="DC49" i="25"/>
  <c r="QF44" i="25"/>
  <c r="QG44" i="25" s="1"/>
  <c r="SF44" i="25"/>
  <c r="SG44" i="25" s="1"/>
  <c r="PF47" i="25"/>
  <c r="PG47" i="25" s="1"/>
  <c r="PU47" i="25" s="1"/>
  <c r="RF47" i="25"/>
  <c r="RG47" i="25" s="1"/>
  <c r="RU47" i="25" s="1"/>
  <c r="AD47" i="25"/>
  <c r="AE47" i="25"/>
  <c r="AF47" i="25" s="1"/>
  <c r="DB41" i="25"/>
  <c r="SF45" i="25"/>
  <c r="SG45" i="25" s="1"/>
  <c r="QF45" i="25"/>
  <c r="QG45" i="25" s="1"/>
  <c r="SF40" i="25"/>
  <c r="SG40" i="25" s="1"/>
  <c r="QF40" i="25"/>
  <c r="QG40" i="25" s="1"/>
  <c r="RF50" i="25"/>
  <c r="RG50" i="25" s="1"/>
  <c r="RU50" i="25" s="1"/>
  <c r="PF50" i="25"/>
  <c r="PG50" i="25" s="1"/>
  <c r="PU50" i="25" s="1"/>
  <c r="AD50" i="25"/>
  <c r="AE50" i="25"/>
  <c r="AF50" i="25" s="1"/>
  <c r="CN41" i="25"/>
  <c r="CX41" i="25"/>
  <c r="QF43" i="25"/>
  <c r="QG43" i="25" s="1"/>
  <c r="SF43" i="25"/>
  <c r="SG43" i="25" s="1"/>
  <c r="PF52" i="25"/>
  <c r="PG52" i="25" s="1"/>
  <c r="PU52" i="25" s="1"/>
  <c r="AE52" i="25"/>
  <c r="AF52" i="25" s="1"/>
  <c r="RF52" i="25"/>
  <c r="RG52" i="25" s="1"/>
  <c r="RU52" i="25" s="1"/>
  <c r="AD52" i="25"/>
  <c r="RF48" i="25"/>
  <c r="RG48" i="25" s="1"/>
  <c r="RU48" i="25" s="1"/>
  <c r="PF48" i="25"/>
  <c r="PG48" i="25" s="1"/>
  <c r="PU48" i="25" s="1"/>
  <c r="AD48" i="25"/>
  <c r="AE48" i="25"/>
  <c r="AF48" i="25" s="1"/>
  <c r="CO41" i="25"/>
  <c r="QF52" i="25"/>
  <c r="QG52" i="25" s="1"/>
  <c r="SF52" i="25"/>
  <c r="SG52" i="25" s="1"/>
  <c r="QF48" i="25"/>
  <c r="QG48" i="25" s="1"/>
  <c r="SF48" i="25"/>
  <c r="SG48" i="25" s="1"/>
  <c r="QF39" i="25"/>
  <c r="QG39" i="25" s="1"/>
  <c r="SF39" i="25"/>
  <c r="SG39" i="25" s="1"/>
  <c r="DB51" i="25"/>
  <c r="QF50" i="25"/>
  <c r="QG50" i="25" s="1"/>
  <c r="QU50" i="25" s="1"/>
  <c r="SF50" i="25"/>
  <c r="SG50" i="25" s="1"/>
  <c r="SU50" i="25" s="1"/>
  <c r="PF43" i="25"/>
  <c r="PG43" i="25" s="1"/>
  <c r="PU43" i="25" s="1"/>
  <c r="RF43" i="25"/>
  <c r="RG43" i="25" s="1"/>
  <c r="RU43" i="25" s="1"/>
  <c r="HF43" i="25"/>
  <c r="HG43" i="25" s="1"/>
  <c r="HU43" i="25" s="1"/>
  <c r="NF43" i="25"/>
  <c r="NG43" i="25" s="1"/>
  <c r="NU43" i="25" s="1"/>
  <c r="MF43" i="25"/>
  <c r="MG43" i="25" s="1"/>
  <c r="MU43" i="25" s="1"/>
  <c r="AD43" i="25"/>
  <c r="TF43" i="25"/>
  <c r="JF43" i="25"/>
  <c r="JG43" i="25" s="1"/>
  <c r="JU43" i="25" s="1"/>
  <c r="OF43" i="25"/>
  <c r="OG43" i="25" s="1"/>
  <c r="AE43" i="25"/>
  <c r="AF43" i="25" s="1"/>
  <c r="UF43" i="25"/>
  <c r="LF43" i="25"/>
  <c r="LG43" i="25" s="1"/>
  <c r="LU43" i="25" s="1"/>
  <c r="CP41" i="25"/>
  <c r="CZ41" i="25"/>
  <c r="SF47" i="25"/>
  <c r="SG47" i="25" s="1"/>
  <c r="PF42" i="25"/>
  <c r="PG42" i="25" s="1"/>
  <c r="PU42" i="25" s="1"/>
  <c r="UF42" i="25"/>
  <c r="OF42" i="25"/>
  <c r="OG42" i="25" s="1"/>
  <c r="JF42" i="25"/>
  <c r="JG42" i="25" s="1"/>
  <c r="JU42" i="25" s="1"/>
  <c r="NF42" i="25"/>
  <c r="NG42" i="25" s="1"/>
  <c r="NU42" i="25" s="1"/>
  <c r="RF42" i="25"/>
  <c r="RG42" i="25" s="1"/>
  <c r="RU42" i="25" s="1"/>
  <c r="LF42" i="25"/>
  <c r="LG42" i="25" s="1"/>
  <c r="LU42" i="25" s="1"/>
  <c r="TF42" i="25"/>
  <c r="AD42" i="25"/>
  <c r="MF42" i="25"/>
  <c r="MG42" i="25" s="1"/>
  <c r="MU42" i="25" s="1"/>
  <c r="AE42" i="25"/>
  <c r="AF42" i="25" s="1"/>
  <c r="HF42" i="25"/>
  <c r="HG42" i="25" s="1"/>
  <c r="HU42" i="25" s="1"/>
  <c r="PF46" i="25"/>
  <c r="PG46" i="25" s="1"/>
  <c r="PU46" i="25" s="1"/>
  <c r="DC51" i="25"/>
  <c r="Z34" i="25"/>
  <c r="Y29" i="25"/>
  <c r="W53" i="42"/>
  <c r="AA38" i="25"/>
  <c r="SF38" i="25" s="1"/>
  <c r="SG38" i="25" s="1"/>
  <c r="Q52" i="42"/>
  <c r="Y37" i="25"/>
  <c r="H44" i="42"/>
  <c r="Z29" i="25"/>
  <c r="H53" i="42"/>
  <c r="Z38" i="25"/>
  <c r="Z37" i="25"/>
  <c r="W44" i="42"/>
  <c r="H52" i="42"/>
  <c r="P34" i="20"/>
  <c r="DB30" i="25"/>
  <c r="PF36" i="25"/>
  <c r="PG36" i="25" s="1"/>
  <c r="PU36" i="25" s="1"/>
  <c r="MF36" i="25"/>
  <c r="MG36" i="25" s="1"/>
  <c r="MU36" i="25" s="1"/>
  <c r="OF36" i="25"/>
  <c r="OG36" i="25" s="1"/>
  <c r="NF36" i="25"/>
  <c r="NG36" i="25" s="1"/>
  <c r="NU36" i="25" s="1"/>
  <c r="HF36" i="25"/>
  <c r="HG36" i="25" s="1"/>
  <c r="HU36" i="25" s="1"/>
  <c r="UF36" i="25"/>
  <c r="TF36" i="25"/>
  <c r="RF36" i="25"/>
  <c r="RG36" i="25" s="1"/>
  <c r="RU36" i="25" s="1"/>
  <c r="AD36" i="25"/>
  <c r="LF36" i="25"/>
  <c r="LG36" i="25" s="1"/>
  <c r="LU36" i="25" s="1"/>
  <c r="AE36" i="25"/>
  <c r="AF36" i="25" s="1"/>
  <c r="JF36" i="25"/>
  <c r="JG36" i="25" s="1"/>
  <c r="JU36" i="25" s="1"/>
  <c r="QF35" i="25"/>
  <c r="QG35" i="25" s="1"/>
  <c r="SF35" i="25"/>
  <c r="SG35" i="25" s="1"/>
  <c r="PF38" i="25"/>
  <c r="PG38" i="25" s="1"/>
  <c r="PU38" i="25" s="1"/>
  <c r="RF38" i="25"/>
  <c r="RG38" i="25" s="1"/>
  <c r="RU38" i="25" s="1"/>
  <c r="MF38" i="25"/>
  <c r="MG38" i="25" s="1"/>
  <c r="MU38" i="25" s="1"/>
  <c r="LF38" i="25"/>
  <c r="LG38" i="25" s="1"/>
  <c r="LU38" i="25" s="1"/>
  <c r="AD38" i="25"/>
  <c r="TF38" i="25"/>
  <c r="HF38" i="25"/>
  <c r="HG38" i="25" s="1"/>
  <c r="HU38" i="25" s="1"/>
  <c r="JF38" i="25"/>
  <c r="JG38" i="25" s="1"/>
  <c r="JU38" i="25" s="1"/>
  <c r="OF38" i="25"/>
  <c r="OG38" i="25" s="1"/>
  <c r="NF38" i="25"/>
  <c r="NG38" i="25" s="1"/>
  <c r="NU38" i="25" s="1"/>
  <c r="UF38" i="25"/>
  <c r="UG38" i="25" s="1"/>
  <c r="UU38" i="25" s="1"/>
  <c r="AE38" i="25"/>
  <c r="AF38" i="25" s="1"/>
  <c r="HF37" i="25"/>
  <c r="HG37" i="25" s="1"/>
  <c r="HU37" i="25" s="1"/>
  <c r="AD34" i="25"/>
  <c r="AE34" i="25"/>
  <c r="AF34" i="25" s="1"/>
  <c r="AE32" i="25"/>
  <c r="AF32" i="25" s="1"/>
  <c r="AD32" i="25"/>
  <c r="DC30" i="25"/>
  <c r="QF36" i="25"/>
  <c r="QG36" i="25" s="1"/>
  <c r="SF36" i="25"/>
  <c r="SG36" i="25" s="1"/>
  <c r="AD31" i="25"/>
  <c r="AE31" i="25"/>
  <c r="AF31" i="25" s="1"/>
  <c r="RF35" i="25"/>
  <c r="RG35" i="25" s="1"/>
  <c r="RU35" i="25" s="1"/>
  <c r="LF35" i="25"/>
  <c r="LG35" i="25" s="1"/>
  <c r="LU35" i="25" s="1"/>
  <c r="HF35" i="25"/>
  <c r="HG35" i="25" s="1"/>
  <c r="HU35" i="25" s="1"/>
  <c r="NF35" i="25"/>
  <c r="NG35" i="25" s="1"/>
  <c r="NU35" i="25" s="1"/>
  <c r="TF35" i="25"/>
  <c r="JF35" i="25"/>
  <c r="JG35" i="25" s="1"/>
  <c r="JU35" i="25" s="1"/>
  <c r="OF35" i="25"/>
  <c r="OG35" i="25" s="1"/>
  <c r="MF35" i="25"/>
  <c r="MG35" i="25" s="1"/>
  <c r="MU35" i="25" s="1"/>
  <c r="UF35" i="25"/>
  <c r="AE26" i="25"/>
  <c r="AF26" i="25" s="1"/>
  <c r="AD26" i="25"/>
  <c r="DC27" i="25"/>
  <c r="DB28" i="25"/>
  <c r="DC21" i="25"/>
  <c r="DC28" i="25"/>
  <c r="DB21" i="25"/>
  <c r="DB27" i="25"/>
  <c r="NF26" i="25"/>
  <c r="NG26" i="25" s="1"/>
  <c r="NU26" i="25" s="1"/>
  <c r="OF26" i="25"/>
  <c r="OG26" i="25" s="1"/>
  <c r="OU26" i="25" s="1"/>
  <c r="UF26" i="25"/>
  <c r="UG26" i="25" s="1"/>
  <c r="UU26" i="25" s="1"/>
  <c r="KG26" i="25"/>
  <c r="KU26" i="25" s="1"/>
  <c r="MF26" i="25"/>
  <c r="MG26" i="25" s="1"/>
  <c r="MU26" i="25" s="1"/>
  <c r="HF26" i="25"/>
  <c r="HG26" i="25" s="1"/>
  <c r="HU26" i="25" s="1"/>
  <c r="JF26" i="25"/>
  <c r="JG26" i="25" s="1"/>
  <c r="JU26" i="25" s="1"/>
  <c r="LF26" i="25"/>
  <c r="LG26" i="25" s="1"/>
  <c r="LU26" i="25" s="1"/>
  <c r="TF26" i="25"/>
  <c r="TG26" i="25" s="1"/>
  <c r="TU26" i="25" s="1"/>
  <c r="MF24" i="25"/>
  <c r="MG24" i="25" s="1"/>
  <c r="MU24" i="25" s="1"/>
  <c r="UF25" i="25"/>
  <c r="UG25" i="25" s="1"/>
  <c r="UU25" i="25" s="1"/>
  <c r="LF25" i="25"/>
  <c r="LG25" i="25" s="1"/>
  <c r="LU25" i="25" s="1"/>
  <c r="KG25" i="25"/>
  <c r="KU25" i="25" s="1"/>
  <c r="TF25" i="25"/>
  <c r="TG25" i="25" s="1"/>
  <c r="TU25" i="25" s="1"/>
  <c r="NF25" i="25"/>
  <c r="NG25" i="25" s="1"/>
  <c r="NU25" i="25" s="1"/>
  <c r="LF31" i="25"/>
  <c r="LG31" i="25" s="1"/>
  <c r="LU31" i="25" s="1"/>
  <c r="OF31" i="25"/>
  <c r="OG31" i="25" s="1"/>
  <c r="OU31" i="25" s="1"/>
  <c r="NF31" i="25"/>
  <c r="NG31" i="25" s="1"/>
  <c r="NU31" i="25" s="1"/>
  <c r="JF31" i="25"/>
  <c r="JG31" i="25" s="1"/>
  <c r="JU31" i="25" s="1"/>
  <c r="KG31" i="25"/>
  <c r="KU31" i="25" s="1"/>
  <c r="UF31" i="25"/>
  <c r="TF31" i="25"/>
  <c r="HF31" i="25"/>
  <c r="HG31" i="25" s="1"/>
  <c r="HU31" i="25" s="1"/>
  <c r="MF31" i="25"/>
  <c r="MG31" i="25" s="1"/>
  <c r="MU31" i="25" s="1"/>
  <c r="KG34" i="25"/>
  <c r="KU34" i="25" s="1"/>
  <c r="UF34" i="25"/>
  <c r="UG34" i="25" s="1"/>
  <c r="UU34" i="25" s="1"/>
  <c r="JF34" i="25"/>
  <c r="JG34" i="25" s="1"/>
  <c r="JU34" i="25" s="1"/>
  <c r="OF34" i="25"/>
  <c r="OG34" i="25" s="1"/>
  <c r="OU34" i="25" s="1"/>
  <c r="LF34" i="25"/>
  <c r="LG34" i="25" s="1"/>
  <c r="LU34" i="25" s="1"/>
  <c r="NF34" i="25"/>
  <c r="NG34" i="25" s="1"/>
  <c r="NU34" i="25" s="1"/>
  <c r="TF34" i="25"/>
  <c r="TG34" i="25" s="1"/>
  <c r="TU34" i="25" s="1"/>
  <c r="HF34" i="25"/>
  <c r="HG34" i="25" s="1"/>
  <c r="HU34" i="25" s="1"/>
  <c r="MF34" i="25"/>
  <c r="MG34" i="25" s="1"/>
  <c r="MU34" i="25" s="1"/>
  <c r="KG32" i="25"/>
  <c r="KU32" i="25" s="1"/>
  <c r="OF32" i="25"/>
  <c r="OG32" i="25" s="1"/>
  <c r="OU32" i="25" s="1"/>
  <c r="NF32" i="25"/>
  <c r="NG32" i="25" s="1"/>
  <c r="NU32" i="25" s="1"/>
  <c r="HF32" i="25"/>
  <c r="HG32" i="25" s="1"/>
  <c r="HU32" i="25" s="1"/>
  <c r="LF32" i="25"/>
  <c r="LG32" i="25" s="1"/>
  <c r="LU32" i="25" s="1"/>
  <c r="MF32" i="25"/>
  <c r="MG32" i="25" s="1"/>
  <c r="MU32" i="25" s="1"/>
  <c r="UF32" i="25"/>
  <c r="TF32" i="25"/>
  <c r="JF32" i="25"/>
  <c r="JG32" i="25" s="1"/>
  <c r="JU32" i="25" s="1"/>
  <c r="UF33" i="25"/>
  <c r="KG33" i="25"/>
  <c r="KU33" i="25" s="1"/>
  <c r="HF33" i="25"/>
  <c r="HG33" i="25" s="1"/>
  <c r="HU33" i="25" s="1"/>
  <c r="OF33" i="25"/>
  <c r="OG33" i="25" s="1"/>
  <c r="OU33" i="25" s="1"/>
  <c r="LF33" i="25"/>
  <c r="LG33" i="25" s="1"/>
  <c r="LU33" i="25" s="1"/>
  <c r="MF33" i="25"/>
  <c r="MG33" i="25" s="1"/>
  <c r="MU33" i="25" s="1"/>
  <c r="NF33" i="25"/>
  <c r="NG33" i="25" s="1"/>
  <c r="NU33" i="25" s="1"/>
  <c r="JF33" i="25"/>
  <c r="JG33" i="25" s="1"/>
  <c r="JU33" i="25" s="1"/>
  <c r="TF33" i="25"/>
  <c r="TG33" i="25" s="1"/>
  <c r="TU33" i="25" s="1"/>
  <c r="QF31" i="25"/>
  <c r="QG31" i="25" s="1"/>
  <c r="RF32" i="25"/>
  <c r="RG32" i="25" s="1"/>
  <c r="RU32" i="25" s="1"/>
  <c r="PF32" i="25"/>
  <c r="PG32" i="25" s="1"/>
  <c r="PU32" i="25" s="1"/>
  <c r="CO27" i="25"/>
  <c r="CY27" i="25"/>
  <c r="CN27" i="25"/>
  <c r="CX27" i="25"/>
  <c r="TF29" i="25"/>
  <c r="LF29" i="25"/>
  <c r="LG29" i="25" s="1"/>
  <c r="LU29" i="25" s="1"/>
  <c r="HF29" i="25"/>
  <c r="HG29" i="25" s="1"/>
  <c r="HU29" i="25" s="1"/>
  <c r="UF29" i="25"/>
  <c r="MF29" i="25"/>
  <c r="MG29" i="25" s="1"/>
  <c r="MU29" i="25" s="1"/>
  <c r="KG29" i="25"/>
  <c r="KU29" i="25" s="1"/>
  <c r="OF29" i="25"/>
  <c r="OG29" i="25" s="1"/>
  <c r="OU29" i="25" s="1"/>
  <c r="NF29" i="25"/>
  <c r="NG29" i="25" s="1"/>
  <c r="NU29" i="25" s="1"/>
  <c r="JF29" i="25"/>
  <c r="JG29" i="25" s="1"/>
  <c r="JU29" i="25" s="1"/>
  <c r="QF34" i="25"/>
  <c r="QG34" i="25" s="1"/>
  <c r="SF34" i="25"/>
  <c r="SG34" i="25" s="1"/>
  <c r="CP30" i="25"/>
  <c r="CZ30" i="25"/>
  <c r="SF32" i="25"/>
  <c r="SG32" i="25" s="1"/>
  <c r="QF32" i="25"/>
  <c r="QG32" i="25" s="1"/>
  <c r="CP27" i="25"/>
  <c r="CZ27" i="25"/>
  <c r="CN28" i="25"/>
  <c r="CX28" i="25"/>
  <c r="RF34" i="25"/>
  <c r="RG34" i="25" s="1"/>
  <c r="RU34" i="25" s="1"/>
  <c r="PF34" i="25"/>
  <c r="PG34" i="25" s="1"/>
  <c r="PU34" i="25" s="1"/>
  <c r="CQ30" i="25"/>
  <c r="DA30" i="25"/>
  <c r="CQ27" i="25"/>
  <c r="DA27" i="25"/>
  <c r="SF29" i="25"/>
  <c r="SG29" i="25" s="1"/>
  <c r="QF29" i="25"/>
  <c r="QG29" i="25" s="1"/>
  <c r="CO28" i="25"/>
  <c r="CY28" i="25"/>
  <c r="CN30" i="25"/>
  <c r="CX30" i="25"/>
  <c r="PF31" i="25"/>
  <c r="PG31" i="25" s="1"/>
  <c r="RF31" i="25"/>
  <c r="RG31" i="25" s="1"/>
  <c r="CQ28" i="25"/>
  <c r="DA28" i="25"/>
  <c r="CP28" i="25"/>
  <c r="CZ28" i="25"/>
  <c r="CO30" i="25"/>
  <c r="CY30" i="25"/>
  <c r="RF22" i="25"/>
  <c r="RG22" i="25" s="1"/>
  <c r="JF22" i="25"/>
  <c r="JG22" i="25" s="1"/>
  <c r="JU22" i="25" s="1"/>
  <c r="TF22" i="25"/>
  <c r="TG22" i="25" s="1"/>
  <c r="TU22" i="25" s="1"/>
  <c r="NF22" i="25"/>
  <c r="NG22" i="25" s="1"/>
  <c r="NU22" i="25" s="1"/>
  <c r="HF22" i="25"/>
  <c r="HG22" i="25" s="1"/>
  <c r="HU22" i="25" s="1"/>
  <c r="LF22" i="25"/>
  <c r="LG22" i="25" s="1"/>
  <c r="LU22" i="25" s="1"/>
  <c r="PF20" i="25"/>
  <c r="PG20" i="25" s="1"/>
  <c r="TF20" i="25"/>
  <c r="HF20" i="25"/>
  <c r="HG20" i="25" s="1"/>
  <c r="HU20" i="25" s="1"/>
  <c r="OF20" i="25"/>
  <c r="OG20" i="25" s="1"/>
  <c r="OU20" i="25" s="1"/>
  <c r="JF20" i="25"/>
  <c r="JG20" i="25" s="1"/>
  <c r="JU20" i="25" s="1"/>
  <c r="RF25" i="25"/>
  <c r="RG25" i="25" s="1"/>
  <c r="H38" i="42"/>
  <c r="SF26" i="25"/>
  <c r="SG26" i="25" s="1"/>
  <c r="QF25" i="25"/>
  <c r="QG25" i="25" s="1"/>
  <c r="PF24" i="25"/>
  <c r="PG24" i="25" s="1"/>
  <c r="RF26" i="25"/>
  <c r="RG26" i="25" s="1"/>
  <c r="B17" i="18"/>
  <c r="B18" i="18"/>
  <c r="SF20" i="25" l="1"/>
  <c r="SG20" i="25" s="1"/>
  <c r="NF20" i="25"/>
  <c r="NG20" i="25" s="1"/>
  <c r="NU20" i="25" s="1"/>
  <c r="RF20" i="25"/>
  <c r="RG20" i="25" s="1"/>
  <c r="OF22" i="25"/>
  <c r="OG22" i="25" s="1"/>
  <c r="OU22" i="25" s="1"/>
  <c r="CQ22" i="25" s="1"/>
  <c r="MF22" i="25"/>
  <c r="MG22" i="25" s="1"/>
  <c r="MU22" i="25" s="1"/>
  <c r="CP22" i="25" s="1"/>
  <c r="HF24" i="25"/>
  <c r="HG24" i="25" s="1"/>
  <c r="HU24" i="25" s="1"/>
  <c r="LF20" i="25"/>
  <c r="LG20" i="25" s="1"/>
  <c r="LU20" i="25" s="1"/>
  <c r="UF20" i="25"/>
  <c r="UG20" i="25" s="1"/>
  <c r="UU20" i="25" s="1"/>
  <c r="PF22" i="25"/>
  <c r="PG22" i="25" s="1"/>
  <c r="S54" i="19"/>
  <c r="KF54" i="25"/>
  <c r="IF54" i="25"/>
  <c r="IG54" i="25" s="1"/>
  <c r="IU54" i="25" s="1"/>
  <c r="IF33" i="25"/>
  <c r="IG33" i="25" s="1"/>
  <c r="IU33" i="25" s="1"/>
  <c r="KF33" i="25"/>
  <c r="S35" i="19"/>
  <c r="KF35" i="25"/>
  <c r="IF35" i="25"/>
  <c r="IG35" i="25" s="1"/>
  <c r="IU35" i="25" s="1"/>
  <c r="S43" i="19"/>
  <c r="IF43" i="25"/>
  <c r="IG43" i="25" s="1"/>
  <c r="IU43" i="25" s="1"/>
  <c r="KF43" i="25"/>
  <c r="S44" i="19"/>
  <c r="KF44" i="25"/>
  <c r="IF44" i="25"/>
  <c r="IG44" i="25" s="1"/>
  <c r="IU44" i="25" s="1"/>
  <c r="S47" i="19"/>
  <c r="KF47" i="25"/>
  <c r="IF47" i="25"/>
  <c r="IG47" i="25" s="1"/>
  <c r="IU47" i="25" s="1"/>
  <c r="S36" i="19"/>
  <c r="KF36" i="25"/>
  <c r="IF36" i="25"/>
  <c r="IG36" i="25" s="1"/>
  <c r="IU36" i="25" s="1"/>
  <c r="S32" i="19"/>
  <c r="KF32" i="25"/>
  <c r="IF32" i="25"/>
  <c r="IG32" i="25" s="1"/>
  <c r="IU32" i="25" s="1"/>
  <c r="KF37" i="25"/>
  <c r="IF37" i="25"/>
  <c r="IG37" i="25" s="1"/>
  <c r="IU37" i="25" s="1"/>
  <c r="KF29" i="25"/>
  <c r="IF29" i="25"/>
  <c r="IG29" i="25" s="1"/>
  <c r="IU29" i="25" s="1"/>
  <c r="S34" i="19"/>
  <c r="KF34" i="25"/>
  <c r="IF34" i="25"/>
  <c r="IG34" i="25" s="1"/>
  <c r="IU34" i="25" s="1"/>
  <c r="S46" i="19"/>
  <c r="KF46" i="25"/>
  <c r="IF46" i="25"/>
  <c r="IG46" i="25" s="1"/>
  <c r="IU46" i="25" s="1"/>
  <c r="IF39" i="25"/>
  <c r="IG39" i="25" s="1"/>
  <c r="IU39" i="25" s="1"/>
  <c r="KF39" i="25"/>
  <c r="S42" i="19"/>
  <c r="IF42" i="25"/>
  <c r="IG42" i="25" s="1"/>
  <c r="IU42" i="25" s="1"/>
  <c r="KF42" i="25"/>
  <c r="S31" i="19"/>
  <c r="KF31" i="25"/>
  <c r="IF31" i="25"/>
  <c r="IG31" i="25" s="1"/>
  <c r="IU31" i="25" s="1"/>
  <c r="S45" i="19"/>
  <c r="IF45" i="25"/>
  <c r="IG45" i="25" s="1"/>
  <c r="IU45" i="25" s="1"/>
  <c r="KF45" i="25"/>
  <c r="S38" i="19"/>
  <c r="KF38" i="25"/>
  <c r="IF38" i="25"/>
  <c r="IG38" i="25" s="1"/>
  <c r="IU38" i="25" s="1"/>
  <c r="JF25" i="25"/>
  <c r="JG25" i="25" s="1"/>
  <c r="JU25" i="25" s="1"/>
  <c r="MF25" i="25"/>
  <c r="MG25" i="25" s="1"/>
  <c r="MU25" i="25" s="1"/>
  <c r="JF24" i="25"/>
  <c r="JG24" i="25" s="1"/>
  <c r="JU24" i="25" s="1"/>
  <c r="OF25" i="25"/>
  <c r="OG25" i="25" s="1"/>
  <c r="OU25" i="25" s="1"/>
  <c r="OF24" i="25"/>
  <c r="OG24" i="25" s="1"/>
  <c r="OU24" i="25" s="1"/>
  <c r="CQ24" i="25" s="1"/>
  <c r="SF24" i="25"/>
  <c r="SG24" i="25" s="1"/>
  <c r="DC24" i="25" s="1"/>
  <c r="LF24" i="25"/>
  <c r="LG24" i="25" s="1"/>
  <c r="LU24" i="25" s="1"/>
  <c r="IF23" i="25"/>
  <c r="KF23" i="25"/>
  <c r="KG23" i="25" s="1"/>
  <c r="KU23" i="25" s="1"/>
  <c r="AD25" i="25"/>
  <c r="KF25" i="25"/>
  <c r="IF25" i="25"/>
  <c r="KF24" i="25"/>
  <c r="KG24" i="25" s="1"/>
  <c r="KU24" i="25" s="1"/>
  <c r="CO24" i="25" s="1"/>
  <c r="IF24" i="25"/>
  <c r="IG24" i="25" s="1"/>
  <c r="S26" i="19"/>
  <c r="KF26" i="25"/>
  <c r="IF26" i="25"/>
  <c r="IG26" i="25" s="1"/>
  <c r="IU26" i="25" s="1"/>
  <c r="CN26" i="25" s="1"/>
  <c r="KF20" i="25"/>
  <c r="KG20" i="25" s="1"/>
  <c r="KU20" i="25" s="1"/>
  <c r="CO20" i="25" s="1"/>
  <c r="IF20" i="25"/>
  <c r="KF22" i="25"/>
  <c r="KG22" i="25" s="1"/>
  <c r="KU22" i="25" s="1"/>
  <c r="CO22" i="25" s="1"/>
  <c r="IF22" i="25"/>
  <c r="IG22" i="25" s="1"/>
  <c r="IU22" i="25" s="1"/>
  <c r="CN22" i="25" s="1"/>
  <c r="AE20" i="25"/>
  <c r="AF20" i="25" s="1"/>
  <c r="S20" i="19"/>
  <c r="AE22" i="25"/>
  <c r="AF22" i="25" s="1"/>
  <c r="S22" i="19"/>
  <c r="RF33" i="25"/>
  <c r="RG33" i="25" s="1"/>
  <c r="RU33" i="25" s="1"/>
  <c r="S33" i="19"/>
  <c r="LF37" i="25"/>
  <c r="LG37" i="25" s="1"/>
  <c r="LU37" i="25" s="1"/>
  <c r="S37" i="19"/>
  <c r="AE29" i="25"/>
  <c r="AF29" i="25" s="1"/>
  <c r="S29" i="19"/>
  <c r="AD23" i="25"/>
  <c r="S23" i="19"/>
  <c r="PF25" i="25"/>
  <c r="PG25" i="25" s="1"/>
  <c r="S25" i="19"/>
  <c r="UF24" i="25"/>
  <c r="S24" i="19"/>
  <c r="AD39" i="25"/>
  <c r="S39" i="19"/>
  <c r="PF35" i="25"/>
  <c r="PG35" i="25" s="1"/>
  <c r="PU35" i="25" s="1"/>
  <c r="SF37" i="25"/>
  <c r="SG37" i="25" s="1"/>
  <c r="AD33" i="25"/>
  <c r="AE46" i="25"/>
  <c r="AF46" i="25" s="1"/>
  <c r="PF26" i="25"/>
  <c r="PG26" i="25" s="1"/>
  <c r="PF33" i="25"/>
  <c r="PG33" i="25" s="1"/>
  <c r="PU33" i="25" s="1"/>
  <c r="QF33" i="25"/>
  <c r="QG33" i="25" s="1"/>
  <c r="AE25" i="25"/>
  <c r="AF25" i="25" s="1"/>
  <c r="AE33" i="25"/>
  <c r="AF33" i="25" s="1"/>
  <c r="RF46" i="25"/>
  <c r="RG46" i="25" s="1"/>
  <c r="RU46" i="25" s="1"/>
  <c r="RF39" i="25"/>
  <c r="RG39" i="25" s="1"/>
  <c r="RU39" i="25" s="1"/>
  <c r="QF42" i="25"/>
  <c r="QG42" i="25" s="1"/>
  <c r="SF22" i="25"/>
  <c r="SG22" i="25" s="1"/>
  <c r="DC22" i="25" s="1"/>
  <c r="AE35" i="25"/>
  <c r="AF35" i="25" s="1"/>
  <c r="AD35" i="25"/>
  <c r="AD46" i="25"/>
  <c r="PF29" i="25"/>
  <c r="PG29" i="25" s="1"/>
  <c r="RF29" i="25"/>
  <c r="RG29" i="25" s="1"/>
  <c r="OU55" i="25"/>
  <c r="CQ55" i="25" s="1"/>
  <c r="DA55" i="25"/>
  <c r="QF38" i="25"/>
  <c r="QG38" i="25" s="1"/>
  <c r="DB38" i="25" s="1"/>
  <c r="NU55" i="25"/>
  <c r="OU52" i="25"/>
  <c r="CQ52" i="25" s="1"/>
  <c r="DA52" i="25"/>
  <c r="OU48" i="25"/>
  <c r="CQ48" i="25" s="1"/>
  <c r="DA48" i="25"/>
  <c r="OU54" i="25"/>
  <c r="CQ54" i="25" s="1"/>
  <c r="DA54" i="25"/>
  <c r="OU50" i="25"/>
  <c r="CQ50" i="25" s="1"/>
  <c r="DA50" i="25"/>
  <c r="OU45" i="25"/>
  <c r="CQ45" i="25" s="1"/>
  <c r="DA45" i="25"/>
  <c r="OU47" i="25"/>
  <c r="CQ47" i="25" s="1"/>
  <c r="DA47" i="25"/>
  <c r="OU43" i="25"/>
  <c r="CQ43" i="25" s="1"/>
  <c r="DA43" i="25"/>
  <c r="AE37" i="25"/>
  <c r="AF37" i="25" s="1"/>
  <c r="OU39" i="25"/>
  <c r="CQ39" i="25" s="1"/>
  <c r="DA39" i="25"/>
  <c r="OU36" i="25"/>
  <c r="CQ36" i="25" s="1"/>
  <c r="DA36" i="25"/>
  <c r="OU35" i="25"/>
  <c r="CQ35" i="25" s="1"/>
  <c r="DA35" i="25"/>
  <c r="OU38" i="25"/>
  <c r="CQ38" i="25" s="1"/>
  <c r="DA38" i="25"/>
  <c r="OU42" i="25"/>
  <c r="CQ42" i="25" s="1"/>
  <c r="DA42" i="25"/>
  <c r="OU40" i="25"/>
  <c r="CQ40" i="25" s="1"/>
  <c r="DA40" i="25"/>
  <c r="AD37" i="25"/>
  <c r="AD20" i="25"/>
  <c r="AD22" i="25"/>
  <c r="AD24" i="25"/>
  <c r="TF24" i="25"/>
  <c r="TG24" i="25" s="1"/>
  <c r="TU24" i="25" s="1"/>
  <c r="AE24" i="25"/>
  <c r="AF24" i="25" s="1"/>
  <c r="RF24" i="25"/>
  <c r="RG24" i="25" s="1"/>
  <c r="IG25" i="25"/>
  <c r="IU25" i="25" s="1"/>
  <c r="CN25" i="25" s="1"/>
  <c r="IG20" i="25"/>
  <c r="IU20" i="25" s="1"/>
  <c r="CN20" i="25" s="1"/>
  <c r="IU50" i="25"/>
  <c r="CN50" i="25" s="1"/>
  <c r="MF50" i="25"/>
  <c r="MG50" i="25" s="1"/>
  <c r="MU50" i="25" s="1"/>
  <c r="CP50" i="25" s="1"/>
  <c r="CO55" i="25"/>
  <c r="CY55" i="25"/>
  <c r="CO45" i="25"/>
  <c r="CY45" i="25"/>
  <c r="CQ44" i="25"/>
  <c r="DA44" i="25"/>
  <c r="CQ46" i="25"/>
  <c r="DA46" i="25"/>
  <c r="CO44" i="25"/>
  <c r="CY44" i="25"/>
  <c r="CO46" i="25"/>
  <c r="CY46" i="25"/>
  <c r="CO52" i="25"/>
  <c r="CY52" i="25"/>
  <c r="DB54" i="25"/>
  <c r="DB55" i="25"/>
  <c r="CU53" i="25"/>
  <c r="DC54" i="25"/>
  <c r="DC55" i="25"/>
  <c r="CP55" i="25"/>
  <c r="CZ55" i="25"/>
  <c r="CN55" i="25"/>
  <c r="CX55" i="25"/>
  <c r="CN54" i="25"/>
  <c r="CX54" i="25"/>
  <c r="CP54" i="25"/>
  <c r="CZ54" i="25"/>
  <c r="CN47" i="25"/>
  <c r="CX47" i="25"/>
  <c r="CN48" i="25"/>
  <c r="CX48" i="25"/>
  <c r="CP47" i="25"/>
  <c r="CZ47" i="25"/>
  <c r="CP48" i="25"/>
  <c r="CZ48" i="25"/>
  <c r="CP46" i="25"/>
  <c r="CZ46" i="25"/>
  <c r="CN46" i="25"/>
  <c r="CX46" i="25"/>
  <c r="CP52" i="25"/>
  <c r="CZ52" i="25"/>
  <c r="CN52" i="25"/>
  <c r="CX52" i="25"/>
  <c r="CX50" i="25"/>
  <c r="CX43" i="25"/>
  <c r="DC39" i="25"/>
  <c r="CN43" i="25"/>
  <c r="DB48" i="25"/>
  <c r="DB43" i="25"/>
  <c r="DB40" i="25"/>
  <c r="DC42" i="25"/>
  <c r="CP44" i="25"/>
  <c r="CZ44" i="25"/>
  <c r="CU51" i="25"/>
  <c r="DC46" i="25"/>
  <c r="CN42" i="25"/>
  <c r="CX42" i="25"/>
  <c r="DC48" i="25"/>
  <c r="DC43" i="25"/>
  <c r="DC45" i="25"/>
  <c r="CP45" i="25"/>
  <c r="CZ45" i="25"/>
  <c r="CN44" i="25"/>
  <c r="CX44" i="25"/>
  <c r="DB44" i="25"/>
  <c r="DC47" i="25"/>
  <c r="CP43" i="25"/>
  <c r="CZ43" i="25"/>
  <c r="DB50" i="25"/>
  <c r="DB39" i="25"/>
  <c r="DB52" i="25"/>
  <c r="DB45" i="25"/>
  <c r="CP40" i="25"/>
  <c r="CZ40" i="25"/>
  <c r="CN39" i="25"/>
  <c r="CX39" i="25"/>
  <c r="DC44" i="25"/>
  <c r="CP42" i="25"/>
  <c r="CZ42" i="25"/>
  <c r="DC50" i="25"/>
  <c r="DC52" i="25"/>
  <c r="DC40" i="25"/>
  <c r="DB47" i="25"/>
  <c r="CN40" i="25"/>
  <c r="CX40" i="25"/>
  <c r="CN45" i="25"/>
  <c r="CX45" i="25"/>
  <c r="DB46" i="25"/>
  <c r="CP39" i="25"/>
  <c r="CZ39" i="25"/>
  <c r="DB42" i="25"/>
  <c r="CU41" i="25"/>
  <c r="CU49" i="25"/>
  <c r="PF37" i="25"/>
  <c r="PG37" i="25" s="1"/>
  <c r="PU37" i="25" s="1"/>
  <c r="TF37" i="25"/>
  <c r="OF37" i="25"/>
  <c r="OG37" i="25" s="1"/>
  <c r="UF37" i="25"/>
  <c r="JF37" i="25"/>
  <c r="JG37" i="25" s="1"/>
  <c r="JU37" i="25" s="1"/>
  <c r="RF37" i="25"/>
  <c r="RG37" i="25" s="1"/>
  <c r="RU37" i="25" s="1"/>
  <c r="CN37" i="25"/>
  <c r="NF37" i="25"/>
  <c r="NG37" i="25" s="1"/>
  <c r="NU37" i="25" s="1"/>
  <c r="AD29" i="25"/>
  <c r="MF37" i="25"/>
  <c r="MG37" i="25" s="1"/>
  <c r="DB35" i="25"/>
  <c r="CP35" i="25"/>
  <c r="CZ35" i="25"/>
  <c r="CN38" i="25"/>
  <c r="CX38" i="25"/>
  <c r="DC35" i="25"/>
  <c r="CP36" i="25"/>
  <c r="CZ36" i="25"/>
  <c r="DC37" i="25"/>
  <c r="DB36" i="25"/>
  <c r="CP38" i="25"/>
  <c r="CZ38" i="25"/>
  <c r="DB37" i="25"/>
  <c r="CN35" i="25"/>
  <c r="CX35" i="25"/>
  <c r="DC38" i="25"/>
  <c r="DC36" i="25"/>
  <c r="CX36" i="25"/>
  <c r="CN36" i="25"/>
  <c r="DC33" i="25"/>
  <c r="DB31" i="25"/>
  <c r="DC32" i="25"/>
  <c r="DB34" i="25"/>
  <c r="DB32" i="25"/>
  <c r="DC34" i="25"/>
  <c r="DB33" i="25"/>
  <c r="DC31" i="25"/>
  <c r="DB22" i="25"/>
  <c r="DB20" i="25"/>
  <c r="DC26" i="25"/>
  <c r="DB26" i="25"/>
  <c r="DC20" i="25"/>
  <c r="DC29" i="25"/>
  <c r="DB25" i="25"/>
  <c r="DB29" i="25"/>
  <c r="CQ25" i="25"/>
  <c r="DA25" i="25"/>
  <c r="CO26" i="25"/>
  <c r="CY26" i="25"/>
  <c r="CO25" i="25"/>
  <c r="CY25" i="25"/>
  <c r="CQ26" i="25"/>
  <c r="DA26" i="25"/>
  <c r="CP25" i="25"/>
  <c r="CP26" i="25"/>
  <c r="CZ26" i="25"/>
  <c r="CP24" i="25"/>
  <c r="CZ24" i="25"/>
  <c r="MF23" i="25"/>
  <c r="MG23" i="25" s="1"/>
  <c r="MU23" i="25" s="1"/>
  <c r="TF23" i="25"/>
  <c r="TG23" i="25" s="1"/>
  <c r="TU23" i="25" s="1"/>
  <c r="UF23" i="25"/>
  <c r="NF23" i="25"/>
  <c r="NG23" i="25" s="1"/>
  <c r="NU23" i="25" s="1"/>
  <c r="HF23" i="25"/>
  <c r="HG23" i="25" s="1"/>
  <c r="HU23" i="25" s="1"/>
  <c r="OF23" i="25"/>
  <c r="OG23" i="25" s="1"/>
  <c r="OU23" i="25" s="1"/>
  <c r="LF23" i="25"/>
  <c r="LG23" i="25" s="1"/>
  <c r="LU23" i="25" s="1"/>
  <c r="JF23" i="25"/>
  <c r="JG23" i="25" s="1"/>
  <c r="JU23" i="25" s="1"/>
  <c r="CQ32" i="25"/>
  <c r="DA32" i="25"/>
  <c r="CP34" i="25"/>
  <c r="CZ34" i="25"/>
  <c r="CO34" i="25"/>
  <c r="CY34" i="25"/>
  <c r="CQ33" i="25"/>
  <c r="DA33" i="25"/>
  <c r="CP32" i="25"/>
  <c r="CZ32" i="25"/>
  <c r="CN34" i="25"/>
  <c r="CX34" i="25"/>
  <c r="CP31" i="25"/>
  <c r="CZ31" i="25"/>
  <c r="CO31" i="25"/>
  <c r="CY31" i="25"/>
  <c r="CN33" i="25"/>
  <c r="CX33" i="25"/>
  <c r="CN32" i="25"/>
  <c r="CX32" i="25"/>
  <c r="CN31" i="25"/>
  <c r="CX31" i="25"/>
  <c r="CQ31" i="25"/>
  <c r="DA31" i="25"/>
  <c r="CP33" i="25"/>
  <c r="CZ33" i="25"/>
  <c r="CO33" i="25"/>
  <c r="CY33" i="25"/>
  <c r="CO32" i="25"/>
  <c r="CY32" i="25"/>
  <c r="CQ34" i="25"/>
  <c r="DA34" i="25"/>
  <c r="CP29" i="25"/>
  <c r="CZ29" i="25"/>
  <c r="CU28" i="25"/>
  <c r="CN29" i="25"/>
  <c r="CX29" i="25"/>
  <c r="CO29" i="25"/>
  <c r="CY29" i="25"/>
  <c r="CU30" i="25"/>
  <c r="CU27" i="25"/>
  <c r="CQ29" i="25"/>
  <c r="DA29" i="25"/>
  <c r="CP20" i="25"/>
  <c r="CZ20" i="25"/>
  <c r="CQ20" i="25"/>
  <c r="DA20" i="25"/>
  <c r="SF23" i="25"/>
  <c r="SG23" i="25" s="1"/>
  <c r="QF23" i="25"/>
  <c r="QG23" i="25" s="1"/>
  <c r="RF23" i="25"/>
  <c r="RG23" i="25" s="1"/>
  <c r="PF23" i="25"/>
  <c r="PG23" i="25" s="1"/>
  <c r="DA22" i="25" l="1"/>
  <c r="CY22" i="25"/>
  <c r="CZ22" i="25"/>
  <c r="CY20" i="25"/>
  <c r="CY24" i="25"/>
  <c r="CZ25" i="25"/>
  <c r="CX26" i="25"/>
  <c r="CU26" i="25" s="1"/>
  <c r="DA24" i="25"/>
  <c r="IU24" i="25"/>
  <c r="CN24" i="25" s="1"/>
  <c r="CX24" i="25"/>
  <c r="CX20" i="25"/>
  <c r="CX25" i="25"/>
  <c r="CU46" i="25"/>
  <c r="CU38" i="25"/>
  <c r="CZ50" i="25"/>
  <c r="CU50" i="25" s="1"/>
  <c r="MU37" i="25"/>
  <c r="CP37" i="25" s="1"/>
  <c r="OU37" i="25"/>
  <c r="CQ37" i="25" s="1"/>
  <c r="DA37" i="25"/>
  <c r="CX22" i="25"/>
  <c r="CU22" i="25" s="1"/>
  <c r="IG23" i="25"/>
  <c r="IU23" i="25" s="1"/>
  <c r="CN23" i="25" s="1"/>
  <c r="CU47" i="25"/>
  <c r="CU55" i="25"/>
  <c r="CU54" i="25"/>
  <c r="CU45" i="25"/>
  <c r="CU40" i="25"/>
  <c r="CU52" i="25"/>
  <c r="CU42" i="25"/>
  <c r="CU43" i="25"/>
  <c r="CU39" i="25"/>
  <c r="CU44" i="25"/>
  <c r="CU48" i="25"/>
  <c r="CZ37" i="25"/>
  <c r="CU36" i="25"/>
  <c r="CX37" i="25"/>
  <c r="CU33" i="25"/>
  <c r="CU32" i="25"/>
  <c r="CU35" i="25"/>
  <c r="CU31" i="25"/>
  <c r="CU34" i="25"/>
  <c r="DC23" i="25"/>
  <c r="DB23" i="25"/>
  <c r="CO23" i="25"/>
  <c r="CY23" i="25"/>
  <c r="CQ23" i="25"/>
  <c r="DA23" i="25"/>
  <c r="CP23" i="25"/>
  <c r="CZ23" i="25"/>
  <c r="CU29" i="25"/>
  <c r="CU20" i="25" l="1"/>
  <c r="CU25" i="25"/>
  <c r="CU24" i="25"/>
  <c r="CX23" i="25"/>
  <c r="CU23" i="25" s="1"/>
  <c r="CU37" i="25"/>
  <c r="F21" i="22" l="1"/>
  <c r="F24" i="22"/>
  <c r="G13" i="45"/>
  <c r="G12" i="45"/>
  <c r="G11" i="45"/>
  <c r="A18" i="12"/>
  <c r="G6" i="45"/>
  <c r="A19" i="12"/>
  <c r="F27" i="22" l="1"/>
  <c r="J19" i="3" s="1"/>
  <c r="F28" i="22"/>
  <c r="A23" i="12"/>
  <c r="M8" i="20"/>
  <c r="A24" i="12"/>
  <c r="M9" i="20"/>
  <c r="A22" i="12"/>
  <c r="M7" i="20"/>
  <c r="A17" i="12"/>
  <c r="M4" i="20"/>
  <c r="G21" i="22"/>
  <c r="H21" i="22" s="1"/>
  <c r="I21" i="22" s="1"/>
  <c r="J21" i="22" s="1"/>
  <c r="K21" i="22" s="1"/>
  <c r="F41" i="22"/>
  <c r="G24" i="22"/>
  <c r="B18" i="12"/>
  <c r="J43" i="42"/>
  <c r="J42" i="42"/>
  <c r="J56" i="42"/>
  <c r="S56" i="3"/>
  <c r="J63" i="42"/>
  <c r="S63" i="3"/>
  <c r="J59" i="42"/>
  <c r="S59" i="3"/>
  <c r="J66" i="42"/>
  <c r="S66" i="3"/>
  <c r="J36" i="42"/>
  <c r="J55" i="42"/>
  <c r="S55" i="3"/>
  <c r="J61" i="42"/>
  <c r="S61" i="3"/>
  <c r="J57" i="42"/>
  <c r="S57" i="3"/>
  <c r="J64" i="42"/>
  <c r="S64" i="3"/>
  <c r="J35" i="42"/>
  <c r="J40" i="42"/>
  <c r="J37" i="42"/>
  <c r="J54" i="42"/>
  <c r="S54" i="3"/>
  <c r="J67" i="42"/>
  <c r="S67" i="3"/>
  <c r="J62" i="42"/>
  <c r="S62" i="3"/>
  <c r="J39" i="42"/>
  <c r="J44" i="42"/>
  <c r="J41" i="42"/>
  <c r="J38" i="42"/>
  <c r="J58" i="42"/>
  <c r="S58" i="3"/>
  <c r="J65" i="42"/>
  <c r="S65" i="3"/>
  <c r="J60" i="42"/>
  <c r="S60" i="3"/>
  <c r="E27" i="21"/>
  <c r="C79" i="21"/>
  <c r="C80" i="21"/>
  <c r="C81" i="21"/>
  <c r="C45" i="21"/>
  <c r="E45" i="21"/>
  <c r="B23" i="10" s="1"/>
  <c r="G45" i="21"/>
  <c r="B22" i="10" s="1"/>
  <c r="C58" i="21"/>
  <c r="F59" i="11"/>
  <c r="F60" i="11"/>
  <c r="F58" i="11"/>
  <c r="C27" i="11"/>
  <c r="B22" i="18"/>
  <c r="V11" i="20"/>
  <c r="Q11" i="20"/>
  <c r="N11" i="20"/>
  <c r="V10" i="20"/>
  <c r="A8" i="20"/>
  <c r="A7" i="20"/>
  <c r="A6" i="20"/>
  <c r="A3" i="20"/>
  <c r="A2" i="20"/>
  <c r="A1" i="20"/>
  <c r="B24" i="18"/>
  <c r="B26" i="18" s="1"/>
  <c r="D26" i="18" s="1"/>
  <c r="B23" i="18"/>
  <c r="B21" i="18" s="1"/>
  <c r="S43" i="3"/>
  <c r="S40" i="3"/>
  <c r="S44" i="3"/>
  <c r="S38" i="3"/>
  <c r="S42" i="3"/>
  <c r="S39" i="3"/>
  <c r="S41" i="3"/>
  <c r="S37" i="3"/>
  <c r="S36" i="3"/>
  <c r="S35" i="3"/>
  <c r="G28" i="22" l="1"/>
  <c r="G27" i="22"/>
  <c r="D19" i="42"/>
  <c r="C46" i="11"/>
  <c r="C33" i="11"/>
  <c r="C59" i="11"/>
  <c r="H24" i="22"/>
  <c r="B17" i="12"/>
  <c r="N4" i="20"/>
  <c r="S11" i="20"/>
  <c r="F61" i="11"/>
  <c r="F33" i="22" l="1"/>
  <c r="F29" i="22"/>
  <c r="F36" i="22" s="1"/>
  <c r="H27" i="22"/>
  <c r="H28" i="22"/>
  <c r="D20" i="42"/>
  <c r="J20" i="3"/>
  <c r="I24" i="22"/>
  <c r="D15" i="18"/>
  <c r="D14" i="18"/>
  <c r="D13" i="18"/>
  <c r="D23" i="18"/>
  <c r="D22" i="18"/>
  <c r="D20" i="18"/>
  <c r="B19" i="18"/>
  <c r="D19" i="18" s="1"/>
  <c r="D18" i="18"/>
  <c r="D17" i="18"/>
  <c r="D12" i="18"/>
  <c r="D7" i="18"/>
  <c r="A38" i="17"/>
  <c r="C2" i="11"/>
  <c r="C69" i="11" s="1"/>
  <c r="F35" i="10"/>
  <c r="I27" i="22" l="1"/>
  <c r="D22" i="42" s="1"/>
  <c r="I28" i="22"/>
  <c r="H29" i="22" s="1"/>
  <c r="H36" i="22" s="1"/>
  <c r="D21" i="42"/>
  <c r="J21" i="3"/>
  <c r="B24" i="12"/>
  <c r="B26" i="12"/>
  <c r="C2" i="45"/>
  <c r="H96" i="45"/>
  <c r="H69" i="45"/>
  <c r="H189" i="45"/>
  <c r="H162" i="45"/>
  <c r="H136" i="45"/>
  <c r="H42" i="45"/>
  <c r="H109" i="45"/>
  <c r="H82" i="45"/>
  <c r="H56" i="45"/>
  <c r="H202" i="45"/>
  <c r="H176" i="45"/>
  <c r="H149" i="45"/>
  <c r="H122" i="45"/>
  <c r="H29" i="45"/>
  <c r="C3" i="35"/>
  <c r="E7" i="10"/>
  <c r="V8" i="19"/>
  <c r="D21" i="18"/>
  <c r="W1" i="20" s="1"/>
  <c r="B25" i="18"/>
  <c r="D25" i="18" s="1"/>
  <c r="D24" i="18"/>
  <c r="A5" i="17"/>
  <c r="A9" i="17"/>
  <c r="A13" i="17"/>
  <c r="A17" i="17"/>
  <c r="A21" i="17"/>
  <c r="A25" i="17"/>
  <c r="A29" i="17"/>
  <c r="A33" i="17"/>
  <c r="A37" i="17"/>
  <c r="A41" i="17"/>
  <c r="A4" i="17"/>
  <c r="A8" i="17"/>
  <c r="A12" i="17"/>
  <c r="A16" i="17"/>
  <c r="A20" i="17"/>
  <c r="A24" i="17"/>
  <c r="A28" i="17"/>
  <c r="A32" i="17"/>
  <c r="A36" i="17"/>
  <c r="A40" i="17"/>
  <c r="A3" i="17"/>
  <c r="A7" i="17"/>
  <c r="A11" i="17"/>
  <c r="A15" i="17"/>
  <c r="A19" i="17"/>
  <c r="A23" i="17"/>
  <c r="A27" i="17"/>
  <c r="A31" i="17"/>
  <c r="A35" i="17"/>
  <c r="A39" i="17"/>
  <c r="A2" i="17"/>
  <c r="A6" i="17"/>
  <c r="A10" i="17"/>
  <c r="A14" i="17"/>
  <c r="A18" i="17"/>
  <c r="A22" i="17"/>
  <c r="A26" i="17"/>
  <c r="A30" i="17"/>
  <c r="A34" i="17"/>
  <c r="M24" i="19" l="1"/>
  <c r="M23" i="19"/>
  <c r="J22" i="3"/>
  <c r="F37" i="22"/>
  <c r="H33" i="22"/>
  <c r="M15" i="19"/>
  <c r="Y82" i="20"/>
  <c r="Y86" i="20"/>
  <c r="Y90" i="20"/>
  <c r="Y94" i="20"/>
  <c r="Y98" i="20"/>
  <c r="Y81" i="20"/>
  <c r="Y85" i="20"/>
  <c r="Y89" i="20"/>
  <c r="Y93" i="20"/>
  <c r="Y97" i="20"/>
  <c r="Y84" i="20"/>
  <c r="Y88" i="20"/>
  <c r="Y92" i="20"/>
  <c r="Y96" i="20"/>
  <c r="Y83" i="20"/>
  <c r="Y87" i="20"/>
  <c r="Y91" i="20"/>
  <c r="Y95" i="20"/>
  <c r="Y99" i="20"/>
  <c r="Y101" i="20"/>
  <c r="Y100" i="20"/>
  <c r="Y103" i="20"/>
  <c r="Y102" i="20"/>
  <c r="Y53" i="20"/>
  <c r="Y57" i="20"/>
  <c r="Y61" i="20"/>
  <c r="Y65" i="20"/>
  <c r="K65" i="19" s="1"/>
  <c r="Y69" i="20"/>
  <c r="K69" i="19" s="1"/>
  <c r="Y73" i="20"/>
  <c r="Y77" i="20"/>
  <c r="Y56" i="20"/>
  <c r="Y60" i="20"/>
  <c r="Y64" i="20"/>
  <c r="K64" i="19" s="1"/>
  <c r="Y68" i="20"/>
  <c r="K68" i="19" s="1"/>
  <c r="Y72" i="20"/>
  <c r="Y76" i="20"/>
  <c r="Y80" i="20"/>
  <c r="Y51" i="20"/>
  <c r="Y55" i="20"/>
  <c r="Y59" i="20"/>
  <c r="Y63" i="20"/>
  <c r="K63" i="19" s="1"/>
  <c r="Y67" i="20"/>
  <c r="K67" i="19" s="1"/>
  <c r="Y71" i="20"/>
  <c r="K71" i="19" s="1"/>
  <c r="Y75" i="20"/>
  <c r="Y79" i="20"/>
  <c r="Y54" i="20"/>
  <c r="Y58" i="20"/>
  <c r="Y62" i="20"/>
  <c r="Y66" i="20"/>
  <c r="K66" i="19" s="1"/>
  <c r="Y70" i="20"/>
  <c r="K70" i="19" s="1"/>
  <c r="Y74" i="20"/>
  <c r="Y78" i="20"/>
  <c r="Y26" i="20"/>
  <c r="Y28" i="20"/>
  <c r="K28" i="19" s="1"/>
  <c r="Y33" i="20"/>
  <c r="Y37" i="20"/>
  <c r="Y41" i="20"/>
  <c r="Y45" i="20"/>
  <c r="Y49" i="20"/>
  <c r="Y22" i="20"/>
  <c r="K22" i="19" s="1"/>
  <c r="Y32" i="20"/>
  <c r="Y31" i="20"/>
  <c r="Y36" i="20"/>
  <c r="Y40" i="20"/>
  <c r="Y44" i="20"/>
  <c r="Y48" i="20"/>
  <c r="Y30" i="20"/>
  <c r="Y35" i="20"/>
  <c r="Y39" i="20"/>
  <c r="Y43" i="20"/>
  <c r="Y47" i="20"/>
  <c r="Y50" i="20"/>
  <c r="Y29" i="20"/>
  <c r="K29" i="19" s="1"/>
  <c r="Y34" i="20"/>
  <c r="Y38" i="20"/>
  <c r="Y42" i="20"/>
  <c r="Y46" i="20"/>
  <c r="Y52" i="20"/>
  <c r="Y18" i="20"/>
  <c r="K18" i="19" s="1"/>
  <c r="Y23" i="20"/>
  <c r="Y27" i="20"/>
  <c r="K27" i="19" s="1"/>
  <c r="Y17" i="20"/>
  <c r="K17" i="19" s="1"/>
  <c r="Y21" i="20"/>
  <c r="K21" i="19" s="1"/>
  <c r="Y16" i="20"/>
  <c r="Y20" i="20"/>
  <c r="K20" i="19" s="1"/>
  <c r="Y25" i="20"/>
  <c r="Y15" i="20"/>
  <c r="R15" i="20" s="1"/>
  <c r="Y19" i="20"/>
  <c r="K19" i="19" s="1"/>
  <c r="Y24" i="20"/>
  <c r="B28" i="18"/>
  <c r="D40" i="18"/>
  <c r="D41" i="18"/>
  <c r="B31" i="18"/>
  <c r="D31" i="18" s="1"/>
  <c r="K23" i="19" l="1"/>
  <c r="N23" i="19" s="1"/>
  <c r="R23" i="20"/>
  <c r="K24" i="19"/>
  <c r="N24" i="19" s="1"/>
  <c r="R24" i="20"/>
  <c r="R42" i="20"/>
  <c r="K42" i="19"/>
  <c r="R50" i="20"/>
  <c r="K50" i="19"/>
  <c r="R35" i="20"/>
  <c r="K35" i="19"/>
  <c r="R40" i="20"/>
  <c r="K40" i="19"/>
  <c r="R37" i="20"/>
  <c r="K37" i="19"/>
  <c r="R61" i="20"/>
  <c r="K61" i="19"/>
  <c r="R39" i="20"/>
  <c r="K39" i="19"/>
  <c r="R44" i="20"/>
  <c r="K44" i="19"/>
  <c r="R32" i="20"/>
  <c r="K32" i="19"/>
  <c r="R41" i="20"/>
  <c r="K41" i="19"/>
  <c r="Q26" i="25"/>
  <c r="K26" i="19"/>
  <c r="R54" i="20"/>
  <c r="K54" i="19"/>
  <c r="R51" i="20"/>
  <c r="K51" i="19"/>
  <c r="R56" i="20"/>
  <c r="K56" i="19"/>
  <c r="R16" i="20"/>
  <c r="K16" i="19"/>
  <c r="O16" i="25" s="1"/>
  <c r="R52" i="20"/>
  <c r="K52" i="19"/>
  <c r="R34" i="20"/>
  <c r="K34" i="19"/>
  <c r="R43" i="20"/>
  <c r="K43" i="19"/>
  <c r="R48" i="20"/>
  <c r="K48" i="19"/>
  <c r="R31" i="20"/>
  <c r="K31" i="19"/>
  <c r="R45" i="20"/>
  <c r="K45" i="19"/>
  <c r="R58" i="20"/>
  <c r="K58" i="19"/>
  <c r="R55" i="20"/>
  <c r="K55" i="19"/>
  <c r="R60" i="20"/>
  <c r="K60" i="19"/>
  <c r="R53" i="20"/>
  <c r="K53" i="19"/>
  <c r="R46" i="20"/>
  <c r="K46" i="19"/>
  <c r="Q25" i="25"/>
  <c r="K25" i="19"/>
  <c r="R38" i="20"/>
  <c r="K38" i="19"/>
  <c r="R47" i="20"/>
  <c r="K47" i="19"/>
  <c r="R30" i="20"/>
  <c r="K30" i="19"/>
  <c r="R36" i="20"/>
  <c r="K36" i="19"/>
  <c r="R49" i="20"/>
  <c r="K49" i="19"/>
  <c r="P49" i="19" s="1"/>
  <c r="R33" i="20"/>
  <c r="K33" i="19"/>
  <c r="R62" i="20"/>
  <c r="K62" i="19"/>
  <c r="R59" i="20"/>
  <c r="K59" i="19"/>
  <c r="R57" i="20"/>
  <c r="K57" i="19"/>
  <c r="F38" i="22"/>
  <c r="F40" i="22" s="1"/>
  <c r="H11" i="45" s="1"/>
  <c r="B30" i="18"/>
  <c r="D30" i="18" s="1"/>
  <c r="D28" i="18"/>
  <c r="W2" i="20" s="1"/>
  <c r="W3" i="20" s="1"/>
  <c r="A16" i="20" s="1"/>
  <c r="Q52" i="19"/>
  <c r="Q27" i="25"/>
  <c r="R27" i="20"/>
  <c r="K15" i="19"/>
  <c r="O15" i="25" s="1"/>
  <c r="R78" i="20"/>
  <c r="Q78" i="25"/>
  <c r="R67" i="20"/>
  <c r="Q67" i="25"/>
  <c r="R72" i="20"/>
  <c r="Q72" i="25"/>
  <c r="R69" i="20"/>
  <c r="Q69" i="25"/>
  <c r="Q103" i="25"/>
  <c r="R91" i="20"/>
  <c r="O91" i="25"/>
  <c r="Q91" i="25"/>
  <c r="R92" i="20"/>
  <c r="Q92" i="19"/>
  <c r="Q92" i="25"/>
  <c r="R93" i="20"/>
  <c r="O93" i="25"/>
  <c r="Q93" i="25"/>
  <c r="R98" i="20"/>
  <c r="O98" i="25"/>
  <c r="Q98" i="25"/>
  <c r="R82" i="20"/>
  <c r="Q82" i="25"/>
  <c r="R66" i="20"/>
  <c r="Q66" i="25"/>
  <c r="O88" i="25"/>
  <c r="Q88" i="19"/>
  <c r="R71" i="20"/>
  <c r="Q71" i="25"/>
  <c r="R76" i="20"/>
  <c r="Q76" i="25"/>
  <c r="R73" i="20"/>
  <c r="Q73" i="25"/>
  <c r="Q102" i="25"/>
  <c r="Q91" i="19"/>
  <c r="R95" i="20"/>
  <c r="O95" i="25"/>
  <c r="Q95" i="25"/>
  <c r="R96" i="20"/>
  <c r="O96" i="25"/>
  <c r="Q96" i="25"/>
  <c r="R97" i="20"/>
  <c r="Q97" i="19"/>
  <c r="Q97" i="25"/>
  <c r="R81" i="20"/>
  <c r="Q81" i="25"/>
  <c r="R86" i="20"/>
  <c r="Q86" i="25"/>
  <c r="R70" i="20"/>
  <c r="Q70" i="25"/>
  <c r="R75" i="20"/>
  <c r="Q75" i="25"/>
  <c r="R80" i="20"/>
  <c r="Q80" i="25"/>
  <c r="R64" i="20"/>
  <c r="Q64" i="25"/>
  <c r="R77" i="20"/>
  <c r="Q77" i="25"/>
  <c r="Q101" i="25"/>
  <c r="Q93" i="19"/>
  <c r="Q96" i="19"/>
  <c r="R99" i="20"/>
  <c r="Q99" i="25"/>
  <c r="R83" i="20"/>
  <c r="Q83" i="25"/>
  <c r="R84" i="20"/>
  <c r="Q84" i="25"/>
  <c r="R85" i="20"/>
  <c r="Q85" i="25"/>
  <c r="R90" i="20"/>
  <c r="O90" i="25"/>
  <c r="Q90" i="25"/>
  <c r="R74" i="20"/>
  <c r="Q74" i="25"/>
  <c r="R79" i="20"/>
  <c r="Q79" i="25"/>
  <c r="R63" i="20"/>
  <c r="Q63" i="25"/>
  <c r="P88" i="19"/>
  <c r="R68" i="20"/>
  <c r="Q68" i="25"/>
  <c r="R65" i="20"/>
  <c r="Q65" i="25"/>
  <c r="Q100" i="25"/>
  <c r="Q95" i="19"/>
  <c r="Q98" i="19"/>
  <c r="Q90" i="19"/>
  <c r="R87" i="20"/>
  <c r="Q87" i="25"/>
  <c r="R88" i="20"/>
  <c r="Q88" i="25"/>
  <c r="R89" i="20"/>
  <c r="Q89" i="25"/>
  <c r="R94" i="20"/>
  <c r="Q94" i="19"/>
  <c r="Q94" i="25"/>
  <c r="Q46" i="19"/>
  <c r="Q46" i="25"/>
  <c r="A29" i="20"/>
  <c r="Q30" i="25"/>
  <c r="Q39" i="19"/>
  <c r="Q39" i="25"/>
  <c r="Q44" i="25"/>
  <c r="Q28" i="25"/>
  <c r="Q41" i="25"/>
  <c r="Q82" i="19"/>
  <c r="O63" i="25"/>
  <c r="O72" i="25"/>
  <c r="A56" i="20"/>
  <c r="Q56" i="25"/>
  <c r="Q77" i="19"/>
  <c r="A61" i="20"/>
  <c r="Q61" i="25"/>
  <c r="Q50" i="25"/>
  <c r="A34" i="20"/>
  <c r="Q34" i="25"/>
  <c r="Q43" i="25"/>
  <c r="Q48" i="25"/>
  <c r="A31" i="20"/>
  <c r="Q32" i="25"/>
  <c r="Q45" i="19"/>
  <c r="Q45" i="25"/>
  <c r="Q29" i="25"/>
  <c r="O86" i="25"/>
  <c r="O70" i="25"/>
  <c r="A54" i="20"/>
  <c r="Q54" i="25"/>
  <c r="O83" i="25"/>
  <c r="Q67" i="19"/>
  <c r="Q52" i="25"/>
  <c r="A60" i="20"/>
  <c r="Q60" i="25"/>
  <c r="Q81" i="19"/>
  <c r="Q65" i="19"/>
  <c r="A38" i="20"/>
  <c r="Q38" i="25"/>
  <c r="Q47" i="25"/>
  <c r="A30" i="20"/>
  <c r="Q31" i="25"/>
  <c r="A36" i="20"/>
  <c r="Q36" i="25"/>
  <c r="Q49" i="25"/>
  <c r="Q33" i="19"/>
  <c r="A33" i="20"/>
  <c r="Q33" i="25"/>
  <c r="O74" i="25"/>
  <c r="A58" i="20"/>
  <c r="Q58" i="25"/>
  <c r="O87" i="25"/>
  <c r="O71" i="25"/>
  <c r="A55" i="20"/>
  <c r="Q55" i="25"/>
  <c r="Q80" i="19"/>
  <c r="A53" i="20"/>
  <c r="Q53" i="25"/>
  <c r="Q42" i="19"/>
  <c r="Q42" i="25"/>
  <c r="Q51" i="25"/>
  <c r="A35" i="20"/>
  <c r="Q35" i="25"/>
  <c r="Q40" i="25"/>
  <c r="Q37" i="19"/>
  <c r="A37" i="20"/>
  <c r="Q37" i="25"/>
  <c r="Q78" i="19"/>
  <c r="A62" i="20"/>
  <c r="Q62" i="25"/>
  <c r="Q75" i="19"/>
  <c r="A59" i="20"/>
  <c r="Q59" i="25"/>
  <c r="Q84" i="19"/>
  <c r="Q68" i="19"/>
  <c r="Q73" i="19"/>
  <c r="A57" i="20"/>
  <c r="Q57" i="25"/>
  <c r="Q24" i="25"/>
  <c r="O19" i="25"/>
  <c r="O18" i="25"/>
  <c r="O17" i="25"/>
  <c r="R17" i="20"/>
  <c r="Q21" i="25"/>
  <c r="Q22" i="25"/>
  <c r="Q23" i="25"/>
  <c r="Q20" i="25"/>
  <c r="P38" i="19"/>
  <c r="P36" i="19"/>
  <c r="P33" i="19"/>
  <c r="P42" i="19"/>
  <c r="P51" i="19"/>
  <c r="P35" i="19"/>
  <c r="P40" i="19"/>
  <c r="P37" i="19"/>
  <c r="P46" i="19"/>
  <c r="P39" i="19"/>
  <c r="P44" i="19"/>
  <c r="P41" i="19"/>
  <c r="P50" i="19"/>
  <c r="P34" i="19"/>
  <c r="P48" i="19"/>
  <c r="P32" i="19"/>
  <c r="P45" i="19"/>
  <c r="P29" i="19"/>
  <c r="B29" i="18"/>
  <c r="C26" i="11"/>
  <c r="P43" i="19" l="1"/>
  <c r="P47" i="19"/>
  <c r="P52" i="19"/>
  <c r="G67" i="3" s="1"/>
  <c r="P30" i="19"/>
  <c r="M30" i="25" s="1"/>
  <c r="AG30" i="25" s="1"/>
  <c r="T30" i="19" s="1"/>
  <c r="Q38" i="19"/>
  <c r="Q53" i="19"/>
  <c r="Q48" i="19"/>
  <c r="Q51" i="19"/>
  <c r="Q49" i="19"/>
  <c r="Q54" i="19"/>
  <c r="Q50" i="19"/>
  <c r="O51" i="25"/>
  <c r="Q56" i="19"/>
  <c r="Q57" i="19"/>
  <c r="O49" i="25"/>
  <c r="O54" i="25"/>
  <c r="P54" i="19"/>
  <c r="O52" i="25"/>
  <c r="H67" i="3"/>
  <c r="O48" i="25"/>
  <c r="O53" i="25"/>
  <c r="P53" i="19"/>
  <c r="O50" i="25"/>
  <c r="O32" i="25"/>
  <c r="O43" i="25"/>
  <c r="F58" i="42"/>
  <c r="Q32" i="19"/>
  <c r="O40" i="25"/>
  <c r="F55" i="42"/>
  <c r="O47" i="25"/>
  <c r="F62" i="42"/>
  <c r="Q29" i="19"/>
  <c r="O41" i="25"/>
  <c r="F56" i="42"/>
  <c r="O44" i="25"/>
  <c r="F59" i="42"/>
  <c r="Q41" i="19"/>
  <c r="O35" i="25"/>
  <c r="O42" i="25"/>
  <c r="F57" i="42"/>
  <c r="O36" i="25"/>
  <c r="O38" i="25"/>
  <c r="O46" i="25"/>
  <c r="F61" i="42"/>
  <c r="Q35" i="19"/>
  <c r="Q40" i="19"/>
  <c r="Q43" i="19"/>
  <c r="Q36" i="19"/>
  <c r="O37" i="25"/>
  <c r="O33" i="25"/>
  <c r="P31" i="19"/>
  <c r="O45" i="25"/>
  <c r="F60" i="42"/>
  <c r="Q28" i="19"/>
  <c r="L28" i="25"/>
  <c r="O39" i="25"/>
  <c r="F54" i="42"/>
  <c r="Q47" i="19"/>
  <c r="Q44" i="19"/>
  <c r="Q34" i="19"/>
  <c r="Q21" i="19"/>
  <c r="H36" i="3"/>
  <c r="O59" i="25"/>
  <c r="P59" i="19"/>
  <c r="M59" i="25" s="1"/>
  <c r="O62" i="25"/>
  <c r="P62" i="19"/>
  <c r="O58" i="25"/>
  <c r="P58" i="19"/>
  <c r="M58" i="25" s="1"/>
  <c r="Q59" i="19"/>
  <c r="O55" i="25"/>
  <c r="P55" i="19"/>
  <c r="O61" i="25"/>
  <c r="P61" i="19"/>
  <c r="O56" i="25"/>
  <c r="P56" i="19"/>
  <c r="M56" i="25" s="1"/>
  <c r="Q61" i="19"/>
  <c r="O57" i="25"/>
  <c r="P57" i="19"/>
  <c r="M57" i="25" s="1"/>
  <c r="O60" i="25"/>
  <c r="P60" i="19"/>
  <c r="M60" i="25" s="1"/>
  <c r="Q58" i="19"/>
  <c r="Q60" i="19"/>
  <c r="Q62" i="19"/>
  <c r="Q55" i="19"/>
  <c r="N7" i="20"/>
  <c r="B22" i="12"/>
  <c r="P27" i="19"/>
  <c r="E42" i="42" s="1"/>
  <c r="P28" i="19"/>
  <c r="E43" i="42" s="1"/>
  <c r="P21" i="19"/>
  <c r="E36" i="42" s="1"/>
  <c r="O31" i="25"/>
  <c r="L31" i="25"/>
  <c r="O30" i="25"/>
  <c r="L30" i="25"/>
  <c r="Q31" i="19"/>
  <c r="Q30" i="19"/>
  <c r="D29" i="18"/>
  <c r="B32" i="18" s="1"/>
  <c r="D32" i="18" s="1"/>
  <c r="H55" i="3"/>
  <c r="H58" i="3"/>
  <c r="H59" i="3"/>
  <c r="H62" i="3"/>
  <c r="E67" i="42"/>
  <c r="A40" i="20"/>
  <c r="A47" i="20"/>
  <c r="A51" i="20"/>
  <c r="A45" i="20"/>
  <c r="A46" i="20"/>
  <c r="A49" i="20"/>
  <c r="A52" i="20"/>
  <c r="A44" i="20"/>
  <c r="F67" i="42"/>
  <c r="L52" i="25"/>
  <c r="A50" i="20"/>
  <c r="A48" i="20"/>
  <c r="A41" i="20"/>
  <c r="A39" i="20"/>
  <c r="A42" i="20"/>
  <c r="A43" i="20"/>
  <c r="A28" i="20"/>
  <c r="A32" i="20"/>
  <c r="A23" i="20"/>
  <c r="A22" i="20"/>
  <c r="A26" i="20"/>
  <c r="A19" i="20"/>
  <c r="A25" i="20"/>
  <c r="A27" i="20"/>
  <c r="A24" i="20"/>
  <c r="P22" i="19"/>
  <c r="G37" i="3" s="1"/>
  <c r="H37" i="3"/>
  <c r="O29" i="25"/>
  <c r="L29" i="25"/>
  <c r="O28" i="25"/>
  <c r="O21" i="25"/>
  <c r="P26" i="19"/>
  <c r="M26" i="25" s="1"/>
  <c r="AG26" i="25" s="1"/>
  <c r="T26" i="19" s="1"/>
  <c r="L26" i="25"/>
  <c r="O20" i="25"/>
  <c r="H35" i="3"/>
  <c r="P20" i="19"/>
  <c r="M20" i="25" s="1"/>
  <c r="Q20" i="19"/>
  <c r="P23" i="19"/>
  <c r="G38" i="3" s="1"/>
  <c r="P24" i="19"/>
  <c r="E39" i="42" s="1"/>
  <c r="P25" i="19"/>
  <c r="O67" i="25"/>
  <c r="O34" i="25"/>
  <c r="L34" i="25"/>
  <c r="A17" i="20"/>
  <c r="A18" i="20"/>
  <c r="O78" i="25"/>
  <c r="R11" i="20"/>
  <c r="O92" i="25"/>
  <c r="P64" i="19"/>
  <c r="P86" i="19"/>
  <c r="P66" i="19"/>
  <c r="P89" i="19"/>
  <c r="O100" i="25"/>
  <c r="P100" i="19"/>
  <c r="F103" i="42"/>
  <c r="L88" i="25"/>
  <c r="P99" i="19"/>
  <c r="P95" i="19"/>
  <c r="O102" i="25"/>
  <c r="P102" i="19"/>
  <c r="P98" i="19"/>
  <c r="Q64" i="19"/>
  <c r="O97" i="25"/>
  <c r="O82" i="25"/>
  <c r="A69" i="20"/>
  <c r="A64" i="20"/>
  <c r="A68" i="20"/>
  <c r="A72" i="20"/>
  <c r="A76" i="20"/>
  <c r="A80" i="20"/>
  <c r="A84" i="20"/>
  <c r="A88" i="20"/>
  <c r="A63" i="20"/>
  <c r="A71" i="20"/>
  <c r="A75" i="20"/>
  <c r="A79" i="20"/>
  <c r="A83" i="20"/>
  <c r="A87" i="20"/>
  <c r="A67" i="20"/>
  <c r="A66" i="20"/>
  <c r="A70" i="20"/>
  <c r="A74" i="20"/>
  <c r="A78" i="20"/>
  <c r="A82" i="20"/>
  <c r="A86" i="20"/>
  <c r="A65" i="20"/>
  <c r="A73" i="20"/>
  <c r="A77" i="20"/>
  <c r="A81" i="20"/>
  <c r="A85" i="20"/>
  <c r="P84" i="19"/>
  <c r="P75" i="19"/>
  <c r="P78" i="19"/>
  <c r="P85" i="19"/>
  <c r="P83" i="19"/>
  <c r="P70" i="19"/>
  <c r="P79" i="19"/>
  <c r="P90" i="19"/>
  <c r="P93" i="19"/>
  <c r="O80" i="25"/>
  <c r="O85" i="25"/>
  <c r="O79" i="25"/>
  <c r="O77" i="25"/>
  <c r="O66" i="25"/>
  <c r="Q70" i="19"/>
  <c r="O94" i="25"/>
  <c r="O99" i="25"/>
  <c r="O73" i="25"/>
  <c r="P68" i="19"/>
  <c r="P69" i="19"/>
  <c r="P87" i="19"/>
  <c r="P74" i="19"/>
  <c r="P81" i="19"/>
  <c r="P76" i="19"/>
  <c r="P67" i="19"/>
  <c r="P63" i="19"/>
  <c r="O101" i="25"/>
  <c r="P101" i="19"/>
  <c r="P97" i="19"/>
  <c r="P92" i="19"/>
  <c r="Q86" i="19"/>
  <c r="Q85" i="19"/>
  <c r="Q79" i="19"/>
  <c r="Q66" i="19"/>
  <c r="Q87" i="19"/>
  <c r="Q74" i="19"/>
  <c r="Q99" i="19"/>
  <c r="O89" i="25"/>
  <c r="O69" i="25"/>
  <c r="O76" i="25"/>
  <c r="P73" i="19"/>
  <c r="P80" i="19"/>
  <c r="P71" i="19"/>
  <c r="P65" i="19"/>
  <c r="P77" i="19"/>
  <c r="P72" i="19"/>
  <c r="P82" i="19"/>
  <c r="P94" i="19"/>
  <c r="E103" i="42"/>
  <c r="M88" i="25"/>
  <c r="P96" i="19"/>
  <c r="P91" i="19"/>
  <c r="O103" i="25"/>
  <c r="P103" i="19"/>
  <c r="Q83" i="19"/>
  <c r="O81" i="25"/>
  <c r="O68" i="25"/>
  <c r="O65" i="25"/>
  <c r="O75" i="25"/>
  <c r="Q63" i="19"/>
  <c r="O64" i="25"/>
  <c r="O84" i="25"/>
  <c r="Q89" i="19"/>
  <c r="Q69" i="19"/>
  <c r="Q72" i="19"/>
  <c r="Q76" i="19"/>
  <c r="Q71" i="19"/>
  <c r="G65" i="3"/>
  <c r="E65" i="42"/>
  <c r="H65" i="3"/>
  <c r="F65" i="42"/>
  <c r="G66" i="3"/>
  <c r="E66" i="42"/>
  <c r="H66" i="3"/>
  <c r="F66" i="42"/>
  <c r="G64" i="3"/>
  <c r="E64" i="42"/>
  <c r="H64" i="3"/>
  <c r="F64" i="42"/>
  <c r="G58" i="3"/>
  <c r="E58" i="42"/>
  <c r="G62" i="3"/>
  <c r="E62" i="42"/>
  <c r="H63" i="3"/>
  <c r="F63" i="42"/>
  <c r="G59" i="3"/>
  <c r="E59" i="42"/>
  <c r="G60" i="3"/>
  <c r="E60" i="42"/>
  <c r="G63" i="3"/>
  <c r="E63" i="42"/>
  <c r="G61" i="3"/>
  <c r="E61" i="42"/>
  <c r="G57" i="3"/>
  <c r="E57" i="42"/>
  <c r="G54" i="3"/>
  <c r="E54" i="42"/>
  <c r="G44" i="3"/>
  <c r="E44" i="42"/>
  <c r="G47" i="3"/>
  <c r="E47" i="42"/>
  <c r="G52" i="3"/>
  <c r="E52" i="42"/>
  <c r="G48" i="3"/>
  <c r="E48" i="42"/>
  <c r="G51" i="3"/>
  <c r="E51" i="42"/>
  <c r="G56" i="3"/>
  <c r="E56" i="42"/>
  <c r="G55" i="3"/>
  <c r="E55" i="42"/>
  <c r="E45" i="42"/>
  <c r="G49" i="3"/>
  <c r="E49" i="42"/>
  <c r="G46" i="3"/>
  <c r="E46" i="42"/>
  <c r="G53" i="3"/>
  <c r="E53" i="42"/>
  <c r="G50" i="3"/>
  <c r="E50" i="42"/>
  <c r="O23" i="25"/>
  <c r="Q23" i="19"/>
  <c r="F38" i="42"/>
  <c r="O24" i="25"/>
  <c r="Q24" i="19"/>
  <c r="O26" i="25"/>
  <c r="Q26" i="19"/>
  <c r="O22" i="25"/>
  <c r="Q22" i="19"/>
  <c r="O27" i="25"/>
  <c r="Q27" i="19"/>
  <c r="O25" i="25"/>
  <c r="Q25" i="19"/>
  <c r="L25" i="25"/>
  <c r="A21" i="20"/>
  <c r="A20" i="20"/>
  <c r="H38" i="3"/>
  <c r="M48" i="25"/>
  <c r="AG48" i="25" s="1"/>
  <c r="T48" i="19" s="1"/>
  <c r="L45" i="25"/>
  <c r="L48" i="25"/>
  <c r="L44" i="25"/>
  <c r="L27" i="25"/>
  <c r="L35" i="25"/>
  <c r="L33" i="25"/>
  <c r="L36" i="25"/>
  <c r="L32" i="25"/>
  <c r="L43" i="25"/>
  <c r="L50" i="25"/>
  <c r="L39" i="25"/>
  <c r="L46" i="25"/>
  <c r="L37" i="25"/>
  <c r="L49" i="25"/>
  <c r="L38" i="25"/>
  <c r="A15" i="20"/>
  <c r="L24" i="25"/>
  <c r="L23" i="25"/>
  <c r="L40" i="25"/>
  <c r="L51" i="25"/>
  <c r="L42" i="25"/>
  <c r="L47" i="25"/>
  <c r="T10" i="20"/>
  <c r="M55" i="25"/>
  <c r="IP55" i="25" s="1"/>
  <c r="CD55" i="25" s="1"/>
  <c r="M46" i="25"/>
  <c r="AG46" i="25" s="1"/>
  <c r="T46" i="19" s="1"/>
  <c r="M39" i="25"/>
  <c r="AG39" i="25" s="1"/>
  <c r="T39" i="19" s="1"/>
  <c r="M36" i="25"/>
  <c r="AG36" i="25" s="1"/>
  <c r="T36" i="19" s="1"/>
  <c r="M54" i="25"/>
  <c r="M37" i="25"/>
  <c r="AG37" i="25" s="1"/>
  <c r="T37" i="19" s="1"/>
  <c r="M38" i="25"/>
  <c r="AG38" i="25" s="1"/>
  <c r="T38" i="19" s="1"/>
  <c r="M49" i="25"/>
  <c r="AG49" i="25" s="1"/>
  <c r="T49" i="19" s="1"/>
  <c r="M35" i="25"/>
  <c r="AG35" i="25" s="1"/>
  <c r="T35" i="19" s="1"/>
  <c r="M51" i="25"/>
  <c r="AG51" i="25" s="1"/>
  <c r="T51" i="19" s="1"/>
  <c r="M45" i="25"/>
  <c r="AG45" i="25" s="1"/>
  <c r="T45" i="19" s="1"/>
  <c r="M44" i="25"/>
  <c r="AG44" i="25" s="1"/>
  <c r="T44" i="19" s="1"/>
  <c r="M29" i="25"/>
  <c r="AG29" i="25" s="1"/>
  <c r="T29" i="19" s="1"/>
  <c r="M42" i="25"/>
  <c r="AG42" i="25" s="1"/>
  <c r="T42" i="19" s="1"/>
  <c r="M43" i="25"/>
  <c r="AG43" i="25" s="1"/>
  <c r="T43" i="19" s="1"/>
  <c r="M40" i="25"/>
  <c r="AG40" i="25" s="1"/>
  <c r="T40" i="19" s="1"/>
  <c r="M33" i="25"/>
  <c r="AG33" i="25" s="1"/>
  <c r="T33" i="19" s="1"/>
  <c r="M47" i="25"/>
  <c r="AG47" i="25" s="1"/>
  <c r="T47" i="19" s="1"/>
  <c r="M31" i="25"/>
  <c r="AG31" i="25" s="1"/>
  <c r="T31" i="19" s="1"/>
  <c r="M53" i="25"/>
  <c r="AG53" i="25" s="1"/>
  <c r="T53" i="19" s="1"/>
  <c r="M34" i="25"/>
  <c r="AG34" i="25" s="1"/>
  <c r="T34" i="19" s="1"/>
  <c r="M50" i="25"/>
  <c r="AG50" i="25" s="1"/>
  <c r="T50" i="19" s="1"/>
  <c r="M52" i="25"/>
  <c r="AG52" i="25" s="1"/>
  <c r="T52" i="19" s="1"/>
  <c r="M32" i="25"/>
  <c r="AG32" i="25" s="1"/>
  <c r="T32" i="19" s="1"/>
  <c r="M41" i="25"/>
  <c r="AG41" i="25" s="1"/>
  <c r="T41" i="19" s="1"/>
  <c r="G45" i="3" l="1"/>
  <c r="E68" i="42"/>
  <c r="G68" i="3"/>
  <c r="F68" i="42"/>
  <c r="L53" i="25"/>
  <c r="H68" i="3"/>
  <c r="E69" i="42"/>
  <c r="G69" i="3"/>
  <c r="F69" i="42"/>
  <c r="H69" i="3"/>
  <c r="L54" i="25"/>
  <c r="EJ51" i="25"/>
  <c r="EK51" i="25"/>
  <c r="EJ52" i="25"/>
  <c r="EM52" i="25" s="1"/>
  <c r="EK52" i="25"/>
  <c r="EJ49" i="25"/>
  <c r="EK49" i="25"/>
  <c r="EK50" i="25"/>
  <c r="EJ50" i="25"/>
  <c r="EK48" i="25"/>
  <c r="EJ48" i="25"/>
  <c r="H60" i="3"/>
  <c r="H57" i="3"/>
  <c r="AG20" i="25"/>
  <c r="T20" i="19" s="1"/>
  <c r="M28" i="25"/>
  <c r="AG28" i="25" s="1"/>
  <c r="T28" i="19" s="1"/>
  <c r="L41" i="25"/>
  <c r="EJ41" i="25" s="1"/>
  <c r="H56" i="3"/>
  <c r="EK23" i="25"/>
  <c r="EJ23" i="25"/>
  <c r="EK41" i="25"/>
  <c r="EK40" i="25"/>
  <c r="EJ40" i="25"/>
  <c r="EJ38" i="25"/>
  <c r="EK38" i="25"/>
  <c r="EK39" i="25"/>
  <c r="EJ39" i="25"/>
  <c r="EK36" i="25"/>
  <c r="EJ36" i="25"/>
  <c r="EK44" i="25"/>
  <c r="EJ44" i="25"/>
  <c r="EJ25" i="25"/>
  <c r="EK25" i="25"/>
  <c r="H61" i="3"/>
  <c r="EK27" i="25"/>
  <c r="EJ27" i="25"/>
  <c r="EK34" i="25"/>
  <c r="EJ34" i="25"/>
  <c r="EK30" i="25"/>
  <c r="EJ30" i="25"/>
  <c r="EK46" i="25"/>
  <c r="EJ46" i="25"/>
  <c r="EK32" i="25"/>
  <c r="EJ32" i="25"/>
  <c r="EK45" i="25"/>
  <c r="EJ45" i="25"/>
  <c r="EK42" i="25"/>
  <c r="EJ42" i="25"/>
  <c r="EJ24" i="25"/>
  <c r="EM24" i="25" s="1"/>
  <c r="EK24" i="25"/>
  <c r="EK37" i="25"/>
  <c r="EJ37" i="25"/>
  <c r="EK43" i="25"/>
  <c r="EJ43" i="25"/>
  <c r="EK35" i="25"/>
  <c r="EJ35" i="25"/>
  <c r="EJ47" i="25"/>
  <c r="EK47" i="25"/>
  <c r="EK33" i="25"/>
  <c r="EJ33" i="25"/>
  <c r="EK26" i="25"/>
  <c r="EJ26" i="25"/>
  <c r="EK29" i="25"/>
  <c r="EJ29" i="25"/>
  <c r="EM29" i="25" s="1"/>
  <c r="EK31" i="25"/>
  <c r="EJ31" i="25"/>
  <c r="EK28" i="25"/>
  <c r="EJ28" i="25"/>
  <c r="EM28" i="25" s="1"/>
  <c r="E41" i="42"/>
  <c r="H54" i="3"/>
  <c r="F48" i="42"/>
  <c r="H48" i="3"/>
  <c r="F51" i="42"/>
  <c r="H51" i="3"/>
  <c r="F50" i="42"/>
  <c r="H50" i="3"/>
  <c r="H47" i="3"/>
  <c r="F47" i="42"/>
  <c r="F52" i="42"/>
  <c r="H52" i="3"/>
  <c r="F53" i="42"/>
  <c r="H53" i="3"/>
  <c r="E75" i="42"/>
  <c r="G75" i="3"/>
  <c r="L55" i="25"/>
  <c r="ET55" i="25" s="1"/>
  <c r="F70" i="42"/>
  <c r="H70" i="3"/>
  <c r="E73" i="42"/>
  <c r="G73" i="3"/>
  <c r="L62" i="25"/>
  <c r="ET62" i="25" s="1"/>
  <c r="CB62" i="25" s="1"/>
  <c r="BZ62" i="25" s="1"/>
  <c r="F77" i="42"/>
  <c r="H77" i="3"/>
  <c r="F75" i="42"/>
  <c r="L60" i="25"/>
  <c r="ET60" i="25" s="1"/>
  <c r="CB60" i="25" s="1"/>
  <c r="BZ60" i="25" s="1"/>
  <c r="H75" i="3"/>
  <c r="E72" i="42"/>
  <c r="G72" i="3"/>
  <c r="E71" i="42"/>
  <c r="G71" i="3"/>
  <c r="E77" i="42"/>
  <c r="G77" i="3"/>
  <c r="M62" i="25"/>
  <c r="L59" i="25"/>
  <c r="ET59" i="25" s="1"/>
  <c r="CB59" i="25" s="1"/>
  <c r="BZ59" i="25" s="1"/>
  <c r="F74" i="42"/>
  <c r="H74" i="3"/>
  <c r="L57" i="25"/>
  <c r="ET57" i="25" s="1"/>
  <c r="F72" i="42"/>
  <c r="H72" i="3"/>
  <c r="F71" i="42"/>
  <c r="L56" i="25"/>
  <c r="ET56" i="25" s="1"/>
  <c r="H71" i="3"/>
  <c r="F76" i="42"/>
  <c r="H76" i="3"/>
  <c r="L61" i="25"/>
  <c r="ET61" i="25" s="1"/>
  <c r="CB61" i="25" s="1"/>
  <c r="BZ61" i="25" s="1"/>
  <c r="E74" i="42"/>
  <c r="G74" i="3"/>
  <c r="E76" i="42"/>
  <c r="G76" i="3"/>
  <c r="M61" i="25"/>
  <c r="G70" i="3"/>
  <c r="E70" i="42"/>
  <c r="F73" i="42"/>
  <c r="L58" i="25"/>
  <c r="ET58" i="25" s="1"/>
  <c r="CB58" i="25" s="1"/>
  <c r="BZ58" i="25" s="1"/>
  <c r="H73" i="3"/>
  <c r="AG57" i="25"/>
  <c r="T57" i="19" s="1"/>
  <c r="IP57" i="25"/>
  <c r="CD57" i="25" s="1"/>
  <c r="AG59" i="25"/>
  <c r="T59" i="19" s="1"/>
  <c r="IP59" i="25"/>
  <c r="CD59" i="25" s="1"/>
  <c r="AG60" i="25"/>
  <c r="T60" i="19" s="1"/>
  <c r="IP60" i="25"/>
  <c r="CD60" i="25" s="1"/>
  <c r="AG58" i="25"/>
  <c r="T58" i="19" s="1"/>
  <c r="IP58" i="25"/>
  <c r="CD58" i="25" s="1"/>
  <c r="AG56" i="25"/>
  <c r="T56" i="19" s="1"/>
  <c r="IP56" i="25"/>
  <c r="CD56" i="25" s="1"/>
  <c r="ET46" i="25"/>
  <c r="WH46" i="25"/>
  <c r="VH46" i="25"/>
  <c r="ET48" i="25"/>
  <c r="WH48" i="25"/>
  <c r="VH48" i="25"/>
  <c r="WH52" i="25"/>
  <c r="VH52" i="25"/>
  <c r="ET47" i="25"/>
  <c r="WH47" i="25"/>
  <c r="VH47" i="25"/>
  <c r="ET49" i="25"/>
  <c r="WH49" i="25"/>
  <c r="VH49" i="25"/>
  <c r="ET50" i="25"/>
  <c r="WH50" i="25"/>
  <c r="VH50" i="25"/>
  <c r="ET44" i="25"/>
  <c r="WH44" i="25"/>
  <c r="VH44" i="25"/>
  <c r="ET51" i="25"/>
  <c r="WH51" i="25"/>
  <c r="VH51" i="25"/>
  <c r="ET45" i="25"/>
  <c r="WH45" i="25"/>
  <c r="VH45" i="25"/>
  <c r="ET42" i="25"/>
  <c r="WH42" i="25"/>
  <c r="VH42" i="25"/>
  <c r="ET37" i="25"/>
  <c r="WH37" i="25"/>
  <c r="VH37" i="25"/>
  <c r="ET43" i="25"/>
  <c r="WH43" i="25"/>
  <c r="VH43" i="25"/>
  <c r="ET35" i="25"/>
  <c r="CB35" i="25" s="1"/>
  <c r="BZ35" i="25" s="1"/>
  <c r="WH35" i="25"/>
  <c r="VH35" i="25"/>
  <c r="ET33" i="25"/>
  <c r="CB33" i="25" s="1"/>
  <c r="BZ33" i="25" s="1"/>
  <c r="WH33" i="25"/>
  <c r="VH33" i="25"/>
  <c r="ET41" i="25"/>
  <c r="WH41" i="25"/>
  <c r="VH41" i="25"/>
  <c r="ET40" i="25"/>
  <c r="WH40" i="25"/>
  <c r="VH40" i="25"/>
  <c r="ET38" i="25"/>
  <c r="WH38" i="25"/>
  <c r="VH38" i="25"/>
  <c r="ET39" i="25"/>
  <c r="WH39" i="25"/>
  <c r="VH39" i="25"/>
  <c r="ET36" i="25"/>
  <c r="CB36" i="25" s="1"/>
  <c r="BZ36" i="25" s="1"/>
  <c r="WH36" i="25"/>
  <c r="VH36" i="25"/>
  <c r="ET32" i="25"/>
  <c r="CB32" i="25" s="1"/>
  <c r="BZ32" i="25" s="1"/>
  <c r="WH32" i="25"/>
  <c r="VH32" i="25"/>
  <c r="ET34" i="25"/>
  <c r="CB34" i="25" s="1"/>
  <c r="BZ34" i="25" s="1"/>
  <c r="WH34" i="25"/>
  <c r="VH34" i="25"/>
  <c r="M21" i="25"/>
  <c r="QH21" i="25" s="1"/>
  <c r="L21" i="25"/>
  <c r="WH21" i="25" s="1"/>
  <c r="F36" i="42"/>
  <c r="G43" i="3"/>
  <c r="E37" i="42"/>
  <c r="G36" i="3"/>
  <c r="E35" i="42"/>
  <c r="M27" i="25"/>
  <c r="AG27" i="25" s="1"/>
  <c r="T27" i="19" s="1"/>
  <c r="G42" i="3"/>
  <c r="L20" i="25"/>
  <c r="VH20" i="25" s="1"/>
  <c r="E38" i="42"/>
  <c r="F35" i="42"/>
  <c r="L22" i="25"/>
  <c r="VH22" i="25" s="1"/>
  <c r="F37" i="42"/>
  <c r="B33" i="18"/>
  <c r="D33" i="18" s="1"/>
  <c r="H46" i="3"/>
  <c r="F46" i="42"/>
  <c r="H45" i="3"/>
  <c r="F45" i="42"/>
  <c r="ET28" i="25"/>
  <c r="CB28" i="25" s="1"/>
  <c r="BZ28" i="25" s="1"/>
  <c r="VH28" i="25"/>
  <c r="WH28" i="25"/>
  <c r="ET29" i="25"/>
  <c r="CB29" i="25" s="1"/>
  <c r="BZ29" i="25" s="1"/>
  <c r="VH29" i="25"/>
  <c r="WH29" i="25"/>
  <c r="ET27" i="25"/>
  <c r="CB27" i="25" s="1"/>
  <c r="BZ27" i="25" s="1"/>
  <c r="WH27" i="25"/>
  <c r="VH27" i="25"/>
  <c r="WH23" i="25"/>
  <c r="VH23" i="25"/>
  <c r="WH26" i="25"/>
  <c r="VH26" i="25"/>
  <c r="ET31" i="25"/>
  <c r="CB31" i="25" s="1"/>
  <c r="BZ31" i="25" s="1"/>
  <c r="WH31" i="25"/>
  <c r="VH31" i="25"/>
  <c r="WH25" i="25"/>
  <c r="VH25" i="25"/>
  <c r="ET30" i="25"/>
  <c r="CB30" i="25" s="1"/>
  <c r="BZ30" i="25" s="1"/>
  <c r="WH30" i="25"/>
  <c r="VH30" i="25"/>
  <c r="VH24" i="25"/>
  <c r="WH24" i="25"/>
  <c r="M24" i="25"/>
  <c r="AG24" i="25" s="1"/>
  <c r="T24" i="19" s="1"/>
  <c r="G39" i="3"/>
  <c r="G35" i="3"/>
  <c r="M23" i="25"/>
  <c r="AG23" i="25" s="1"/>
  <c r="T23" i="19" s="1"/>
  <c r="G41" i="3"/>
  <c r="DS52" i="25"/>
  <c r="UH52" i="25"/>
  <c r="UJ52" i="25" s="1"/>
  <c r="UK52" i="25" s="1"/>
  <c r="AQ52" i="25"/>
  <c r="AB52" i="19" s="1"/>
  <c r="GH52" i="25"/>
  <c r="ET52" i="25"/>
  <c r="CB52" i="25" s="1"/>
  <c r="BZ52" i="25" s="1"/>
  <c r="FH52" i="25"/>
  <c r="FJ52" i="25" s="1"/>
  <c r="FK52" i="25" s="1"/>
  <c r="FL52" i="25" s="1"/>
  <c r="FQ52" i="25" s="1"/>
  <c r="TH52" i="25"/>
  <c r="TJ52" i="25" s="1"/>
  <c r="TK52" i="25" s="1"/>
  <c r="DK52" i="25"/>
  <c r="DM52" i="25" s="1"/>
  <c r="DN52" i="25" s="1"/>
  <c r="DO52" i="25" s="1"/>
  <c r="AG54" i="25"/>
  <c r="T54" i="19" s="1"/>
  <c r="CB55" i="25"/>
  <c r="BZ55" i="25" s="1"/>
  <c r="AG55" i="25"/>
  <c r="T55" i="19" s="1"/>
  <c r="M22" i="25"/>
  <c r="H43" i="3"/>
  <c r="F43" i="42"/>
  <c r="F44" i="42"/>
  <c r="H44" i="3"/>
  <c r="E40" i="42"/>
  <c r="M25" i="25"/>
  <c r="AG25" i="25" s="1"/>
  <c r="T25" i="19" s="1"/>
  <c r="G40" i="3"/>
  <c r="HP25" i="25"/>
  <c r="ET23" i="25"/>
  <c r="CB23" i="25" s="1"/>
  <c r="BZ23" i="25" s="1"/>
  <c r="F49" i="42"/>
  <c r="H49" i="3"/>
  <c r="L103" i="25"/>
  <c r="F118" i="42"/>
  <c r="E106" i="42"/>
  <c r="M91" i="25"/>
  <c r="L82" i="25"/>
  <c r="F97" i="42"/>
  <c r="F92" i="42"/>
  <c r="L77" i="25"/>
  <c r="H92" i="3"/>
  <c r="F86" i="42"/>
  <c r="H86" i="3"/>
  <c r="L71" i="25"/>
  <c r="F88" i="42"/>
  <c r="L73" i="25"/>
  <c r="H88" i="3"/>
  <c r="L92" i="25"/>
  <c r="F107" i="42"/>
  <c r="F116" i="42"/>
  <c r="L101" i="25"/>
  <c r="G78" i="3"/>
  <c r="E78" i="42"/>
  <c r="M63" i="25"/>
  <c r="G91" i="3"/>
  <c r="E91" i="42"/>
  <c r="M76" i="25"/>
  <c r="E89" i="42"/>
  <c r="G89" i="3"/>
  <c r="M74" i="25"/>
  <c r="E84" i="42"/>
  <c r="G84" i="3"/>
  <c r="M69" i="25"/>
  <c r="AG69" i="25" s="1"/>
  <c r="T69" i="19" s="1"/>
  <c r="F108" i="42"/>
  <c r="L93" i="25"/>
  <c r="F94" i="42"/>
  <c r="L79" i="25"/>
  <c r="F98" i="42"/>
  <c r="L83" i="25"/>
  <c r="L78" i="25"/>
  <c r="F93" i="42"/>
  <c r="F99" i="42"/>
  <c r="L84" i="25"/>
  <c r="E113" i="42"/>
  <c r="M98" i="25"/>
  <c r="F110" i="42"/>
  <c r="L95" i="25"/>
  <c r="ET88" i="25"/>
  <c r="AQ88" i="25"/>
  <c r="AB88" i="19" s="1"/>
  <c r="DS88" i="25"/>
  <c r="CB88" i="25" s="1"/>
  <c r="BZ88" i="25" s="1"/>
  <c r="AL88" i="25" s="1"/>
  <c r="W88" i="19" s="1"/>
  <c r="GH88" i="25"/>
  <c r="GJ88" i="25" s="1"/>
  <c r="GK88" i="25" s="1"/>
  <c r="GQ88" i="25" s="1"/>
  <c r="DK88" i="25"/>
  <c r="DM88" i="25" s="1"/>
  <c r="DN88" i="25" s="1"/>
  <c r="TH88" i="25"/>
  <c r="TJ88" i="25" s="1"/>
  <c r="TK88" i="25" s="1"/>
  <c r="TQ88" i="25" s="1"/>
  <c r="FH88" i="25"/>
  <c r="FJ88" i="25" s="1"/>
  <c r="FK88" i="25" s="1"/>
  <c r="UH88" i="25"/>
  <c r="UJ88" i="25" s="1"/>
  <c r="UK88" i="25" s="1"/>
  <c r="UQ88" i="25" s="1"/>
  <c r="E81" i="42"/>
  <c r="G81" i="3"/>
  <c r="M66" i="25"/>
  <c r="E79" i="42"/>
  <c r="G79" i="3"/>
  <c r="M64" i="25"/>
  <c r="F106" i="42"/>
  <c r="L91" i="25"/>
  <c r="JH88" i="25"/>
  <c r="JJ88" i="25" s="1"/>
  <c r="JK88" i="25" s="1"/>
  <c r="OH88" i="25"/>
  <c r="OJ88" i="25" s="1"/>
  <c r="OK88" i="25" s="1"/>
  <c r="OQ88" i="25" s="1"/>
  <c r="IH88" i="25"/>
  <c r="IJ88" i="25" s="1"/>
  <c r="IK88" i="25" s="1"/>
  <c r="IQ88" i="25" s="1"/>
  <c r="RH88" i="25"/>
  <c r="RJ88" i="25" s="1"/>
  <c r="RK88" i="25" s="1"/>
  <c r="MH88" i="25"/>
  <c r="MJ88" i="25" s="1"/>
  <c r="MK88" i="25" s="1"/>
  <c r="MQ88" i="25" s="1"/>
  <c r="KH88" i="25"/>
  <c r="KJ88" i="25" s="1"/>
  <c r="KK88" i="25" s="1"/>
  <c r="KQ88" i="25" s="1"/>
  <c r="LH88" i="25"/>
  <c r="LJ88" i="25" s="1"/>
  <c r="LK88" i="25" s="1"/>
  <c r="QH88" i="25"/>
  <c r="QJ88" i="25" s="1"/>
  <c r="QK88" i="25" s="1"/>
  <c r="QQ88" i="25" s="1"/>
  <c r="NH88" i="25"/>
  <c r="NJ88" i="25" s="1"/>
  <c r="NK88" i="25" s="1"/>
  <c r="PH88" i="25"/>
  <c r="PJ88" i="25" s="1"/>
  <c r="PK88" i="25" s="1"/>
  <c r="SH88" i="25"/>
  <c r="SJ88" i="25" s="1"/>
  <c r="SK88" i="25" s="1"/>
  <c r="SQ88" i="25" s="1"/>
  <c r="HH88" i="25"/>
  <c r="HJ88" i="25" s="1"/>
  <c r="HK88" i="25" s="1"/>
  <c r="E109" i="42"/>
  <c r="M94" i="25"/>
  <c r="E87" i="42"/>
  <c r="G87" i="3"/>
  <c r="M72" i="25"/>
  <c r="E80" i="42"/>
  <c r="G80" i="3"/>
  <c r="M65" i="25"/>
  <c r="E95" i="42"/>
  <c r="M80" i="25"/>
  <c r="E112" i="42"/>
  <c r="M97" i="25"/>
  <c r="F78" i="42"/>
  <c r="H78" i="3"/>
  <c r="L63" i="25"/>
  <c r="F91" i="42"/>
  <c r="L76" i="25"/>
  <c r="H91" i="3"/>
  <c r="H89" i="3"/>
  <c r="L74" i="25"/>
  <c r="F89" i="42"/>
  <c r="F84" i="42"/>
  <c r="L69" i="25"/>
  <c r="H84" i="3"/>
  <c r="E105" i="42"/>
  <c r="M90" i="25"/>
  <c r="E85" i="42"/>
  <c r="G85" i="3"/>
  <c r="M70" i="25"/>
  <c r="AG70" i="25" s="1"/>
  <c r="T70" i="19" s="1"/>
  <c r="E100" i="42"/>
  <c r="M85" i="25"/>
  <c r="E90" i="42"/>
  <c r="G90" i="3"/>
  <c r="M75" i="25"/>
  <c r="F113" i="42"/>
  <c r="L98" i="25"/>
  <c r="E114" i="42"/>
  <c r="M99" i="25"/>
  <c r="E115" i="42"/>
  <c r="M100" i="25"/>
  <c r="H81" i="3"/>
  <c r="F81" i="42"/>
  <c r="L66" i="25"/>
  <c r="F79" i="42"/>
  <c r="L64" i="25"/>
  <c r="H79" i="3"/>
  <c r="E111" i="42"/>
  <c r="M96" i="25"/>
  <c r="F109" i="42"/>
  <c r="L94" i="25"/>
  <c r="F87" i="42"/>
  <c r="L72" i="25"/>
  <c r="H87" i="3"/>
  <c r="H80" i="3"/>
  <c r="L65" i="25"/>
  <c r="F80" i="42"/>
  <c r="F95" i="42"/>
  <c r="L80" i="25"/>
  <c r="F112" i="42"/>
  <c r="L97" i="25"/>
  <c r="G82" i="3"/>
  <c r="E82" i="42"/>
  <c r="M67" i="25"/>
  <c r="AG67" i="25" s="1"/>
  <c r="T67" i="19" s="1"/>
  <c r="E96" i="42"/>
  <c r="M81" i="25"/>
  <c r="E102" i="42"/>
  <c r="M87" i="25"/>
  <c r="G83" i="3"/>
  <c r="E83" i="42"/>
  <c r="M68" i="25"/>
  <c r="L90" i="25"/>
  <c r="F105" i="42"/>
  <c r="F85" i="42"/>
  <c r="L70" i="25"/>
  <c r="H85" i="3"/>
  <c r="L85" i="25"/>
  <c r="F100" i="42"/>
  <c r="F90" i="42"/>
  <c r="L75" i="25"/>
  <c r="H90" i="3"/>
  <c r="E117" i="42"/>
  <c r="M102" i="25"/>
  <c r="L99" i="25"/>
  <c r="F114" i="42"/>
  <c r="L100" i="25"/>
  <c r="F115" i="42"/>
  <c r="E104" i="42"/>
  <c r="M89" i="25"/>
  <c r="E101" i="42"/>
  <c r="M86" i="25"/>
  <c r="E118" i="42"/>
  <c r="M103" i="25"/>
  <c r="L96" i="25"/>
  <c r="F111" i="42"/>
  <c r="E97" i="42"/>
  <c r="M82" i="25"/>
  <c r="G92" i="3"/>
  <c r="E92" i="42"/>
  <c r="M77" i="25"/>
  <c r="G86" i="3"/>
  <c r="E86" i="42"/>
  <c r="M71" i="25"/>
  <c r="AG71" i="25" s="1"/>
  <c r="T71" i="19" s="1"/>
  <c r="E88" i="42"/>
  <c r="G88" i="3"/>
  <c r="M73" i="25"/>
  <c r="E107" i="42"/>
  <c r="M92" i="25"/>
  <c r="E116" i="42"/>
  <c r="M101" i="25"/>
  <c r="F82" i="42"/>
  <c r="H82" i="3"/>
  <c r="L67" i="25"/>
  <c r="L81" i="25"/>
  <c r="F96" i="42"/>
  <c r="F102" i="42"/>
  <c r="L87" i="25"/>
  <c r="F83" i="42"/>
  <c r="H83" i="3"/>
  <c r="L68" i="25"/>
  <c r="E108" i="42"/>
  <c r="M93" i="25"/>
  <c r="E94" i="42"/>
  <c r="M79" i="25"/>
  <c r="E98" i="42"/>
  <c r="M83" i="25"/>
  <c r="E93" i="42"/>
  <c r="M78" i="25"/>
  <c r="E99" i="42"/>
  <c r="M84" i="25"/>
  <c r="F117" i="42"/>
  <c r="L102" i="25"/>
  <c r="E110" i="42"/>
  <c r="M95" i="25"/>
  <c r="L89" i="25"/>
  <c r="F104" i="42"/>
  <c r="L86" i="25"/>
  <c r="F101" i="42"/>
  <c r="AQ50" i="25"/>
  <c r="AB50" i="19" s="1"/>
  <c r="GH50" i="25"/>
  <c r="GJ50" i="25" s="1"/>
  <c r="GK50" i="25" s="1"/>
  <c r="GL50" i="25" s="1"/>
  <c r="TH50" i="25"/>
  <c r="UH50" i="25"/>
  <c r="AQ49" i="25"/>
  <c r="AB49" i="19" s="1"/>
  <c r="GH49" i="25"/>
  <c r="TH49" i="25"/>
  <c r="UH49" i="25"/>
  <c r="AQ51" i="25"/>
  <c r="AB51" i="19" s="1"/>
  <c r="UH51" i="25"/>
  <c r="TH51" i="25"/>
  <c r="GH51" i="25"/>
  <c r="AQ46" i="25"/>
  <c r="AB46" i="19" s="1"/>
  <c r="UH46" i="25"/>
  <c r="GH46" i="25"/>
  <c r="TH46" i="25"/>
  <c r="TH43" i="25"/>
  <c r="UH43" i="25"/>
  <c r="AQ43" i="25"/>
  <c r="AB43" i="19" s="1"/>
  <c r="GH43" i="25"/>
  <c r="GJ43" i="25" s="1"/>
  <c r="GK43" i="25" s="1"/>
  <c r="GL43" i="25" s="1"/>
  <c r="UH47" i="25"/>
  <c r="AQ47" i="25"/>
  <c r="AB47" i="19" s="1"/>
  <c r="TH47" i="25"/>
  <c r="GH47" i="25"/>
  <c r="AQ42" i="25"/>
  <c r="AB42" i="19" s="1"/>
  <c r="UH42" i="25"/>
  <c r="GH42" i="25"/>
  <c r="TH42" i="25"/>
  <c r="AQ44" i="25"/>
  <c r="AB44" i="19" s="1"/>
  <c r="UH44" i="25"/>
  <c r="GH44" i="25"/>
  <c r="GJ44" i="25" s="1"/>
  <c r="GK44" i="25" s="1"/>
  <c r="GL44" i="25" s="1"/>
  <c r="TH44" i="25"/>
  <c r="AQ45" i="25"/>
  <c r="AB45" i="19" s="1"/>
  <c r="GH45" i="25"/>
  <c r="UH45" i="25"/>
  <c r="TH45" i="25"/>
  <c r="TH48" i="25"/>
  <c r="GH48" i="25"/>
  <c r="GJ48" i="25" s="1"/>
  <c r="GK48" i="25" s="1"/>
  <c r="GL48" i="25" s="1"/>
  <c r="UH48" i="25"/>
  <c r="AQ48" i="25"/>
  <c r="AB48" i="19" s="1"/>
  <c r="AQ31" i="25"/>
  <c r="AB31" i="19" s="1"/>
  <c r="UH31" i="25"/>
  <c r="GH31" i="25"/>
  <c r="GJ31" i="25" s="1"/>
  <c r="GK31" i="25" s="1"/>
  <c r="GL31" i="25" s="1"/>
  <c r="TH31" i="25"/>
  <c r="GH39" i="25"/>
  <c r="TH39" i="25"/>
  <c r="AQ39" i="25"/>
  <c r="AB39" i="19" s="1"/>
  <c r="UH39" i="25"/>
  <c r="UH32" i="25"/>
  <c r="GH32" i="25"/>
  <c r="AQ32" i="25"/>
  <c r="AB32" i="19" s="1"/>
  <c r="TH32" i="25"/>
  <c r="TH35" i="25"/>
  <c r="AQ35" i="25"/>
  <c r="AB35" i="19" s="1"/>
  <c r="UH35" i="25"/>
  <c r="GH35" i="25"/>
  <c r="GJ35" i="25" s="1"/>
  <c r="GK35" i="25" s="1"/>
  <c r="GL35" i="25" s="1"/>
  <c r="TH34" i="25"/>
  <c r="UH34" i="25"/>
  <c r="GH34" i="25"/>
  <c r="AQ34" i="25"/>
  <c r="AB34" i="19" s="1"/>
  <c r="AQ40" i="25"/>
  <c r="AB40" i="19" s="1"/>
  <c r="UH40" i="25"/>
  <c r="GH40" i="25"/>
  <c r="GJ40" i="25" s="1"/>
  <c r="GK40" i="25" s="1"/>
  <c r="GL40" i="25" s="1"/>
  <c r="TH40" i="25"/>
  <c r="GH38" i="25"/>
  <c r="GJ38" i="25" s="1"/>
  <c r="GK38" i="25" s="1"/>
  <c r="GL38" i="25" s="1"/>
  <c r="AQ38" i="25"/>
  <c r="AB38" i="19" s="1"/>
  <c r="UH38" i="25"/>
  <c r="TH38" i="25"/>
  <c r="AQ33" i="25"/>
  <c r="AB33" i="19" s="1"/>
  <c r="GH33" i="25"/>
  <c r="UH33" i="25"/>
  <c r="TH33" i="25"/>
  <c r="AQ41" i="25"/>
  <c r="AB41" i="19" s="1"/>
  <c r="UH41" i="25"/>
  <c r="TH41" i="25"/>
  <c r="GH41" i="25"/>
  <c r="GJ41" i="25" s="1"/>
  <c r="GK41" i="25" s="1"/>
  <c r="GL41" i="25" s="1"/>
  <c r="TH30" i="25"/>
  <c r="AQ30" i="25"/>
  <c r="AB30" i="19" s="1"/>
  <c r="GH30" i="25"/>
  <c r="UH30" i="25"/>
  <c r="AQ37" i="25"/>
  <c r="AB37" i="19" s="1"/>
  <c r="GH37" i="25"/>
  <c r="TH37" i="25"/>
  <c r="UH37" i="25"/>
  <c r="AQ36" i="25"/>
  <c r="AB36" i="19" s="1"/>
  <c r="TH36" i="25"/>
  <c r="GH36" i="25"/>
  <c r="UH36" i="25"/>
  <c r="AQ28" i="25"/>
  <c r="AB28" i="19" s="1"/>
  <c r="TH28" i="25"/>
  <c r="GH28" i="25"/>
  <c r="GJ28" i="25" s="1"/>
  <c r="GK28" i="25" s="1"/>
  <c r="GL28" i="25" s="1"/>
  <c r="UH28" i="25"/>
  <c r="AQ29" i="25"/>
  <c r="AB29" i="19" s="1"/>
  <c r="UH29" i="25"/>
  <c r="GH29" i="25"/>
  <c r="GJ29" i="25" s="1"/>
  <c r="GK29" i="25" s="1"/>
  <c r="GL29" i="25" s="1"/>
  <c r="TH29" i="25"/>
  <c r="F41" i="42"/>
  <c r="H41" i="3"/>
  <c r="F40" i="42"/>
  <c r="H40" i="3"/>
  <c r="F39" i="42"/>
  <c r="H39" i="3"/>
  <c r="F42" i="42"/>
  <c r="H42" i="3"/>
  <c r="TH23" i="25"/>
  <c r="GH23" i="25"/>
  <c r="GJ23" i="25" s="1"/>
  <c r="GK23" i="25" s="1"/>
  <c r="GL23" i="25" s="1"/>
  <c r="AQ23" i="25"/>
  <c r="AB23" i="19" s="1"/>
  <c r="UH23" i="25"/>
  <c r="GH22" i="25"/>
  <c r="GJ22" i="25" s="1"/>
  <c r="GK22" i="25" s="1"/>
  <c r="TH26" i="25"/>
  <c r="UH26" i="25"/>
  <c r="AQ26" i="25"/>
  <c r="AB26" i="19" s="1"/>
  <c r="GH26" i="25"/>
  <c r="GJ26" i="25" s="1"/>
  <c r="GK26" i="25" s="1"/>
  <c r="GL26" i="25" s="1"/>
  <c r="AQ27" i="25"/>
  <c r="AB27" i="19" s="1"/>
  <c r="TH27" i="25"/>
  <c r="UH27" i="25"/>
  <c r="GH27" i="25"/>
  <c r="GJ27" i="25" s="1"/>
  <c r="GK27" i="25" s="1"/>
  <c r="GL27" i="25" s="1"/>
  <c r="ET25" i="25"/>
  <c r="CB25" i="25" s="1"/>
  <c r="BZ25" i="25" s="1"/>
  <c r="GH25" i="25"/>
  <c r="UH25" i="25"/>
  <c r="AQ25" i="25"/>
  <c r="AB25" i="19" s="1"/>
  <c r="TH25" i="25"/>
  <c r="TH24" i="25"/>
  <c r="GH24" i="25"/>
  <c r="GJ24" i="25" s="1"/>
  <c r="GK24" i="25" s="1"/>
  <c r="GL24" i="25" s="1"/>
  <c r="AQ24" i="25"/>
  <c r="AB24" i="19" s="1"/>
  <c r="UH24" i="25"/>
  <c r="ET21" i="25"/>
  <c r="CB21" i="25" s="1"/>
  <c r="BZ21" i="25" s="1"/>
  <c r="ET20" i="25"/>
  <c r="K8" i="20"/>
  <c r="I7" i="20"/>
  <c r="K7" i="20"/>
  <c r="I8" i="20"/>
  <c r="I6" i="20"/>
  <c r="J8" i="20"/>
  <c r="J6" i="20"/>
  <c r="J7" i="20"/>
  <c r="K6" i="20"/>
  <c r="KH58" i="25"/>
  <c r="NH58" i="25"/>
  <c r="MH58" i="25"/>
  <c r="IH58" i="25"/>
  <c r="OH58" i="25"/>
  <c r="SH58" i="25"/>
  <c r="JH58" i="25"/>
  <c r="QH58" i="25"/>
  <c r="LH58" i="25"/>
  <c r="RH58" i="25"/>
  <c r="PH58" i="25"/>
  <c r="HH58" i="25"/>
  <c r="OH56" i="25"/>
  <c r="KH56" i="25"/>
  <c r="SH56" i="25"/>
  <c r="JH56" i="25"/>
  <c r="QH56" i="25"/>
  <c r="MH56" i="25"/>
  <c r="IH56" i="25"/>
  <c r="NH56" i="25"/>
  <c r="LH56" i="25"/>
  <c r="RH56" i="25"/>
  <c r="PH56" i="25"/>
  <c r="HH56" i="25"/>
  <c r="JH57" i="25"/>
  <c r="NH57" i="25"/>
  <c r="OH57" i="25"/>
  <c r="SH57" i="25"/>
  <c r="KH57" i="25"/>
  <c r="QH57" i="25"/>
  <c r="IH57" i="25"/>
  <c r="MH57" i="25"/>
  <c r="LH57" i="25"/>
  <c r="PH57" i="25"/>
  <c r="HH57" i="25"/>
  <c r="RH57" i="25"/>
  <c r="KH59" i="25"/>
  <c r="JH59" i="25"/>
  <c r="MH59" i="25"/>
  <c r="OH59" i="25"/>
  <c r="QH59" i="25"/>
  <c r="SH59" i="25"/>
  <c r="IH59" i="25"/>
  <c r="NH59" i="25"/>
  <c r="RH59" i="25"/>
  <c r="LH59" i="25"/>
  <c r="PH59" i="25"/>
  <c r="HH59" i="25"/>
  <c r="OH60" i="25"/>
  <c r="SH60" i="25"/>
  <c r="MH60" i="25"/>
  <c r="JH60" i="25"/>
  <c r="KH60" i="25"/>
  <c r="IH60" i="25"/>
  <c r="NH60" i="25"/>
  <c r="QH60" i="25"/>
  <c r="RH60" i="25"/>
  <c r="HH60" i="25"/>
  <c r="LH60" i="25"/>
  <c r="PH60" i="25"/>
  <c r="DS31" i="25"/>
  <c r="FH31" i="25"/>
  <c r="FJ31" i="25" s="1"/>
  <c r="FK31" i="25" s="1"/>
  <c r="FL31" i="25" s="1"/>
  <c r="DK31" i="25"/>
  <c r="DM31" i="25" s="1"/>
  <c r="DN31" i="25" s="1"/>
  <c r="DO31" i="25" s="1"/>
  <c r="FH49" i="25"/>
  <c r="FJ49" i="25" s="1"/>
  <c r="FK49" i="25" s="1"/>
  <c r="FL49" i="25" s="1"/>
  <c r="DS49" i="25"/>
  <c r="CB49" i="25" s="1"/>
  <c r="BZ49" i="25" s="1"/>
  <c r="DK49" i="25"/>
  <c r="DM49" i="25" s="1"/>
  <c r="DN49" i="25" s="1"/>
  <c r="DO49" i="25" s="1"/>
  <c r="DK28" i="25"/>
  <c r="DM28" i="25" s="1"/>
  <c r="DN28" i="25" s="1"/>
  <c r="DO28" i="25" s="1"/>
  <c r="DS28" i="25"/>
  <c r="FH28" i="25"/>
  <c r="FJ28" i="25" s="1"/>
  <c r="FK28" i="25" s="1"/>
  <c r="FL28" i="25" s="1"/>
  <c r="FH29" i="25"/>
  <c r="FJ29" i="25" s="1"/>
  <c r="FK29" i="25" s="1"/>
  <c r="FL29" i="25" s="1"/>
  <c r="DS29" i="25"/>
  <c r="DK29" i="25"/>
  <c r="DM29" i="25" s="1"/>
  <c r="DN29" i="25" s="1"/>
  <c r="DO29" i="25" s="1"/>
  <c r="DS27" i="25"/>
  <c r="FH27" i="25"/>
  <c r="FJ27" i="25" s="1"/>
  <c r="FK27" i="25" s="1"/>
  <c r="FL27" i="25" s="1"/>
  <c r="DK27" i="25"/>
  <c r="DM27" i="25" s="1"/>
  <c r="DN27" i="25" s="1"/>
  <c r="DO27" i="25" s="1"/>
  <c r="SH48" i="25"/>
  <c r="SJ48" i="25" s="1"/>
  <c r="SK48" i="25" s="1"/>
  <c r="SL48" i="25" s="1"/>
  <c r="HH48" i="25"/>
  <c r="HJ48" i="25" s="1"/>
  <c r="HK48" i="25" s="1"/>
  <c r="HL48" i="25" s="1"/>
  <c r="QH48" i="25"/>
  <c r="QJ48" i="25" s="1"/>
  <c r="QK48" i="25" s="1"/>
  <c r="QL48" i="25" s="1"/>
  <c r="JH48" i="25"/>
  <c r="JJ48" i="25" s="1"/>
  <c r="JK48" i="25" s="1"/>
  <c r="JL48" i="25" s="1"/>
  <c r="LH48" i="25"/>
  <c r="LJ48" i="25" s="1"/>
  <c r="LK48" i="25" s="1"/>
  <c r="LL48" i="25" s="1"/>
  <c r="PH48" i="25"/>
  <c r="PJ48" i="25" s="1"/>
  <c r="PK48" i="25" s="1"/>
  <c r="PL48" i="25" s="1"/>
  <c r="KH48" i="25"/>
  <c r="KJ48" i="25" s="1"/>
  <c r="KK48" i="25" s="1"/>
  <c r="KL48" i="25" s="1"/>
  <c r="MH48" i="25"/>
  <c r="MJ48" i="25" s="1"/>
  <c r="MK48" i="25" s="1"/>
  <c r="ML48" i="25" s="1"/>
  <c r="RH48" i="25"/>
  <c r="RJ48" i="25" s="1"/>
  <c r="RK48" i="25" s="1"/>
  <c r="RL48" i="25" s="1"/>
  <c r="OH48" i="25"/>
  <c r="OJ48" i="25" s="1"/>
  <c r="OK48" i="25" s="1"/>
  <c r="OL48" i="25" s="1"/>
  <c r="IH48" i="25"/>
  <c r="IJ48" i="25" s="1"/>
  <c r="IK48" i="25" s="1"/>
  <c r="IL48" i="25" s="1"/>
  <c r="NH48" i="25"/>
  <c r="NJ48" i="25" s="1"/>
  <c r="NK48" i="25" s="1"/>
  <c r="NL48" i="25" s="1"/>
  <c r="DS50" i="25"/>
  <c r="CB50" i="25" s="1"/>
  <c r="BZ50" i="25" s="1"/>
  <c r="FH50" i="25"/>
  <c r="FJ50" i="25" s="1"/>
  <c r="FK50" i="25" s="1"/>
  <c r="FL50" i="25" s="1"/>
  <c r="DK50" i="25"/>
  <c r="DM50" i="25" s="1"/>
  <c r="DN50" i="25" s="1"/>
  <c r="DO50" i="25" s="1"/>
  <c r="DS36" i="25"/>
  <c r="DK36" i="25"/>
  <c r="DM36" i="25" s="1"/>
  <c r="DN36" i="25" s="1"/>
  <c r="DO36" i="25" s="1"/>
  <c r="FH36" i="25"/>
  <c r="FJ36" i="25" s="1"/>
  <c r="FK36" i="25" s="1"/>
  <c r="FL36" i="25" s="1"/>
  <c r="DS33" i="25"/>
  <c r="FH33" i="25"/>
  <c r="FJ33" i="25" s="1"/>
  <c r="FK33" i="25" s="1"/>
  <c r="FL33" i="25" s="1"/>
  <c r="DK33" i="25"/>
  <c r="DM33" i="25" s="1"/>
  <c r="DN33" i="25" s="1"/>
  <c r="DO33" i="25" s="1"/>
  <c r="DS44" i="25"/>
  <c r="CB44" i="25" s="1"/>
  <c r="BZ44" i="25" s="1"/>
  <c r="FH44" i="25"/>
  <c r="FJ44" i="25" s="1"/>
  <c r="FK44" i="25" s="1"/>
  <c r="FL44" i="25" s="1"/>
  <c r="DK44" i="25"/>
  <c r="DM44" i="25" s="1"/>
  <c r="DN44" i="25" s="1"/>
  <c r="DO44" i="25" s="1"/>
  <c r="DS41" i="25"/>
  <c r="CB41" i="25" s="1"/>
  <c r="BZ41" i="25" s="1"/>
  <c r="FH41" i="25"/>
  <c r="FJ41" i="25" s="1"/>
  <c r="FK41" i="25" s="1"/>
  <c r="FL41" i="25" s="1"/>
  <c r="DK41" i="25"/>
  <c r="DM41" i="25" s="1"/>
  <c r="DN41" i="25" s="1"/>
  <c r="DO41" i="25" s="1"/>
  <c r="FH34" i="25"/>
  <c r="FJ34" i="25" s="1"/>
  <c r="FK34" i="25" s="1"/>
  <c r="FL34" i="25" s="1"/>
  <c r="DS34" i="25"/>
  <c r="DK34" i="25"/>
  <c r="DM34" i="25" s="1"/>
  <c r="DN34" i="25" s="1"/>
  <c r="DO34" i="25" s="1"/>
  <c r="FH48" i="25"/>
  <c r="FJ48" i="25" s="1"/>
  <c r="FK48" i="25" s="1"/>
  <c r="FL48" i="25" s="1"/>
  <c r="EM48" i="25"/>
  <c r="DK48" i="25"/>
  <c r="DM48" i="25" s="1"/>
  <c r="DN48" i="25" s="1"/>
  <c r="DO48" i="25" s="1"/>
  <c r="DS48" i="25"/>
  <c r="CB48" i="25" s="1"/>
  <c r="BZ48" i="25" s="1"/>
  <c r="DS20" i="25"/>
  <c r="DS38" i="25"/>
  <c r="DK38" i="25"/>
  <c r="DM38" i="25" s="1"/>
  <c r="DN38" i="25" s="1"/>
  <c r="DO38" i="25" s="1"/>
  <c r="FH38" i="25"/>
  <c r="FJ38" i="25" s="1"/>
  <c r="FK38" i="25" s="1"/>
  <c r="FL38" i="25" s="1"/>
  <c r="DK37" i="25"/>
  <c r="DM37" i="25" s="1"/>
  <c r="DN37" i="25" s="1"/>
  <c r="DO37" i="25" s="1"/>
  <c r="DS37" i="25"/>
  <c r="FH37" i="25"/>
  <c r="FJ37" i="25" s="1"/>
  <c r="FK37" i="25" s="1"/>
  <c r="FL37" i="25" s="1"/>
  <c r="DS46" i="25"/>
  <c r="CB46" i="25" s="1"/>
  <c r="BZ46" i="25" s="1"/>
  <c r="FH46" i="25"/>
  <c r="FJ46" i="25" s="1"/>
  <c r="FK46" i="25" s="1"/>
  <c r="FL46" i="25" s="1"/>
  <c r="DK46" i="25"/>
  <c r="DM46" i="25" s="1"/>
  <c r="DN46" i="25" s="1"/>
  <c r="DO46" i="25" s="1"/>
  <c r="DS43" i="25"/>
  <c r="CB43" i="25" s="1"/>
  <c r="BZ43" i="25" s="1"/>
  <c r="DK43" i="25"/>
  <c r="DM43" i="25" s="1"/>
  <c r="DN43" i="25" s="1"/>
  <c r="DO43" i="25" s="1"/>
  <c r="FH43" i="25"/>
  <c r="FJ43" i="25" s="1"/>
  <c r="FK43" i="25" s="1"/>
  <c r="FL43" i="25" s="1"/>
  <c r="FH32" i="25"/>
  <c r="DS32" i="25"/>
  <c r="DK32" i="25"/>
  <c r="DM32" i="25" s="1"/>
  <c r="DN32" i="25" s="1"/>
  <c r="DO32" i="25" s="1"/>
  <c r="FH35" i="25"/>
  <c r="FJ35" i="25" s="1"/>
  <c r="FK35" i="25" s="1"/>
  <c r="FL35" i="25" s="1"/>
  <c r="DS35" i="25"/>
  <c r="DK35" i="25"/>
  <c r="DM35" i="25" s="1"/>
  <c r="DN35" i="25" s="1"/>
  <c r="DO35" i="25" s="1"/>
  <c r="DS39" i="25"/>
  <c r="CB39" i="25" s="1"/>
  <c r="BZ39" i="25" s="1"/>
  <c r="DK39" i="25"/>
  <c r="DM39" i="25" s="1"/>
  <c r="DN39" i="25" s="1"/>
  <c r="DO39" i="25" s="1"/>
  <c r="FH39" i="25"/>
  <c r="FJ39" i="25" s="1"/>
  <c r="FK39" i="25" s="1"/>
  <c r="FL39" i="25" s="1"/>
  <c r="DS45" i="25"/>
  <c r="FH45" i="25"/>
  <c r="FJ45" i="25" s="1"/>
  <c r="FK45" i="25" s="1"/>
  <c r="FL45" i="25" s="1"/>
  <c r="DK45" i="25"/>
  <c r="DM45" i="25" s="1"/>
  <c r="DN45" i="25" s="1"/>
  <c r="DO45" i="25" s="1"/>
  <c r="DS42" i="25"/>
  <c r="CB42" i="25" s="1"/>
  <c r="BZ42" i="25" s="1"/>
  <c r="DS40" i="25"/>
  <c r="CB40" i="25" s="1"/>
  <c r="BZ40" i="25" s="1"/>
  <c r="DS47" i="25"/>
  <c r="CB47" i="25" s="1"/>
  <c r="BZ47" i="25" s="1"/>
  <c r="DS51" i="25"/>
  <c r="CB51" i="25" s="1"/>
  <c r="BZ51" i="25" s="1"/>
  <c r="DS30" i="25"/>
  <c r="FH24" i="25"/>
  <c r="FJ24" i="25" s="1"/>
  <c r="FK24" i="25" s="1"/>
  <c r="FL24" i="25" s="1"/>
  <c r="DS24" i="25"/>
  <c r="ET24" i="25"/>
  <c r="CB24" i="25" s="1"/>
  <c r="BZ24" i="25" s="1"/>
  <c r="DK24" i="25"/>
  <c r="DM24" i="25" s="1"/>
  <c r="DN24" i="25" s="1"/>
  <c r="DO24" i="25" s="1"/>
  <c r="DS26" i="25"/>
  <c r="ET26" i="25"/>
  <c r="CB26" i="25" s="1"/>
  <c r="BZ26" i="25" s="1"/>
  <c r="DK26" i="25"/>
  <c r="DM26" i="25" s="1"/>
  <c r="DN26" i="25" s="1"/>
  <c r="DO26" i="25" s="1"/>
  <c r="FH26" i="25"/>
  <c r="FJ26" i="25" s="1"/>
  <c r="FK26" i="25" s="1"/>
  <c r="FL26" i="25" s="1"/>
  <c r="DS21" i="25"/>
  <c r="DS23" i="25"/>
  <c r="FH23" i="25"/>
  <c r="FJ23" i="25" s="1"/>
  <c r="FK23" i="25" s="1"/>
  <c r="FL23" i="25" s="1"/>
  <c r="DK23" i="25"/>
  <c r="DM23" i="25" s="1"/>
  <c r="DN23" i="25" s="1"/>
  <c r="DO23" i="25" s="1"/>
  <c r="CB38" i="25"/>
  <c r="BZ38" i="25" s="1"/>
  <c r="CB37" i="25"/>
  <c r="BZ37" i="25" s="1"/>
  <c r="EM32" i="25"/>
  <c r="GJ32" i="25"/>
  <c r="GK32" i="25" s="1"/>
  <c r="GL32" i="25" s="1"/>
  <c r="EM35" i="25"/>
  <c r="EM31" i="25"/>
  <c r="EM43" i="25"/>
  <c r="EM44" i="25"/>
  <c r="EM27" i="25"/>
  <c r="EM46" i="25"/>
  <c r="GJ46" i="25"/>
  <c r="GK46" i="25" s="1"/>
  <c r="GL46" i="25" s="1"/>
  <c r="EM50" i="25"/>
  <c r="EM26" i="25"/>
  <c r="EM45" i="25"/>
  <c r="GJ45" i="25"/>
  <c r="GK45" i="25" s="1"/>
  <c r="GL45" i="25" s="1"/>
  <c r="EM49" i="25"/>
  <c r="GJ49" i="25"/>
  <c r="GK49" i="25" s="1"/>
  <c r="GL49" i="25" s="1"/>
  <c r="EM39" i="25"/>
  <c r="GJ39" i="25"/>
  <c r="GK39" i="25" s="1"/>
  <c r="GL39" i="25" s="1"/>
  <c r="GJ52" i="25"/>
  <c r="GK52" i="25" s="1"/>
  <c r="GL52" i="25" s="1"/>
  <c r="EM34" i="25"/>
  <c r="GJ34" i="25"/>
  <c r="GK34" i="25" s="1"/>
  <c r="GL34" i="25" s="1"/>
  <c r="EM33" i="25"/>
  <c r="GJ33" i="25"/>
  <c r="GK33" i="25" s="1"/>
  <c r="GL33" i="25" s="1"/>
  <c r="EM36" i="25"/>
  <c r="GJ36" i="25"/>
  <c r="GK36" i="25" s="1"/>
  <c r="GL36" i="25" s="1"/>
  <c r="EM38" i="25"/>
  <c r="EM37" i="25"/>
  <c r="GJ37" i="25"/>
  <c r="GK37" i="25" s="1"/>
  <c r="GL37" i="25" s="1"/>
  <c r="SH55" i="25"/>
  <c r="QH55" i="25"/>
  <c r="OH55" i="25"/>
  <c r="KH55" i="25"/>
  <c r="IH55" i="25"/>
  <c r="MH55" i="25"/>
  <c r="PH55" i="25"/>
  <c r="NH55" i="25"/>
  <c r="JH55" i="25"/>
  <c r="LH55" i="25"/>
  <c r="RH55" i="25"/>
  <c r="HH55" i="25"/>
  <c r="QH54" i="25"/>
  <c r="IH54" i="25"/>
  <c r="MH54" i="25"/>
  <c r="SH54" i="25"/>
  <c r="OH54" i="25"/>
  <c r="KH54" i="25"/>
  <c r="RH54" i="25"/>
  <c r="HH54" i="25"/>
  <c r="NH54" i="25"/>
  <c r="PH54" i="25"/>
  <c r="JH54" i="25"/>
  <c r="LH54" i="25"/>
  <c r="DK47" i="25"/>
  <c r="DM47" i="25" s="1"/>
  <c r="DN47" i="25" s="1"/>
  <c r="DO47" i="25" s="1"/>
  <c r="FH47" i="25"/>
  <c r="FH22" i="25"/>
  <c r="DK25" i="25"/>
  <c r="DM25" i="25" s="1"/>
  <c r="DN25" i="25" s="1"/>
  <c r="DO25" i="25" s="1"/>
  <c r="FH25" i="25"/>
  <c r="FJ25" i="25" s="1"/>
  <c r="FK25" i="25" s="1"/>
  <c r="FL25" i="25" s="1"/>
  <c r="FH42" i="25"/>
  <c r="EM42" i="25"/>
  <c r="DK42" i="25"/>
  <c r="DK40" i="25"/>
  <c r="DM40" i="25" s="1"/>
  <c r="DN40" i="25" s="1"/>
  <c r="DO40" i="25" s="1"/>
  <c r="FH40" i="25"/>
  <c r="FJ40" i="25" s="1"/>
  <c r="FK40" i="25" s="1"/>
  <c r="FL40" i="25" s="1"/>
  <c r="DK51" i="25"/>
  <c r="DM51" i="25" s="1"/>
  <c r="DN51" i="25" s="1"/>
  <c r="DO51" i="25" s="1"/>
  <c r="GJ51" i="25"/>
  <c r="GK51" i="25" s="1"/>
  <c r="GL51" i="25" s="1"/>
  <c r="EM51" i="25"/>
  <c r="FH51" i="25"/>
  <c r="DK30" i="25"/>
  <c r="FH30" i="25"/>
  <c r="FJ30" i="25" s="1"/>
  <c r="FK30" i="25" s="1"/>
  <c r="FL30" i="25" s="1"/>
  <c r="KH50" i="25"/>
  <c r="OH50" i="25"/>
  <c r="MH50" i="25"/>
  <c r="IH50" i="25"/>
  <c r="SH50" i="25"/>
  <c r="QH50" i="25"/>
  <c r="HH50" i="25"/>
  <c r="LH50" i="25"/>
  <c r="PH50" i="25"/>
  <c r="RH50" i="25"/>
  <c r="JH50" i="25"/>
  <c r="NH50" i="25"/>
  <c r="QH53" i="25"/>
  <c r="SH53" i="25"/>
  <c r="OH53" i="25"/>
  <c r="MH53" i="25"/>
  <c r="KH53" i="25"/>
  <c r="IH53" i="25"/>
  <c r="JH53" i="25"/>
  <c r="PH53" i="25"/>
  <c r="LH53" i="25"/>
  <c r="RH53" i="25"/>
  <c r="HH53" i="25"/>
  <c r="NH53" i="25"/>
  <c r="KH40" i="25"/>
  <c r="QH40" i="25"/>
  <c r="MH40" i="25"/>
  <c r="SH40" i="25"/>
  <c r="OH40" i="25"/>
  <c r="IH40" i="25"/>
  <c r="PH40" i="25"/>
  <c r="HH40" i="25"/>
  <c r="LH40" i="25"/>
  <c r="RH40" i="25"/>
  <c r="NH40" i="25"/>
  <c r="JH40" i="25"/>
  <c r="QH26" i="25"/>
  <c r="OH26" i="25"/>
  <c r="KH26" i="25"/>
  <c r="MH26" i="25"/>
  <c r="SH26" i="25"/>
  <c r="NH26" i="25"/>
  <c r="HH26" i="25"/>
  <c r="IH26" i="25"/>
  <c r="LH26" i="25"/>
  <c r="JH26" i="25"/>
  <c r="PH26" i="25"/>
  <c r="RH26" i="25"/>
  <c r="OH29" i="25"/>
  <c r="MH29" i="25"/>
  <c r="QH29" i="25"/>
  <c r="LH29" i="25"/>
  <c r="JH29" i="25"/>
  <c r="HH29" i="25"/>
  <c r="IH29" i="25"/>
  <c r="NH29" i="25"/>
  <c r="KH29" i="25"/>
  <c r="SH29" i="25"/>
  <c r="RH29" i="25"/>
  <c r="PH29" i="25"/>
  <c r="KH45" i="25"/>
  <c r="OH45" i="25"/>
  <c r="MH45" i="25"/>
  <c r="QH45" i="25"/>
  <c r="SH45" i="25"/>
  <c r="IH45" i="25"/>
  <c r="JH45" i="25"/>
  <c r="LH45" i="25"/>
  <c r="PH45" i="25"/>
  <c r="NH45" i="25"/>
  <c r="RH45" i="25"/>
  <c r="HH45" i="25"/>
  <c r="QH23" i="25"/>
  <c r="JH23" i="25"/>
  <c r="PH23" i="25"/>
  <c r="QH49" i="25"/>
  <c r="KH49" i="25"/>
  <c r="OH49" i="25"/>
  <c r="MH49" i="25"/>
  <c r="IH49" i="25"/>
  <c r="SH49" i="25"/>
  <c r="NH49" i="25"/>
  <c r="PH49" i="25"/>
  <c r="JH49" i="25"/>
  <c r="LH49" i="25"/>
  <c r="HH49" i="25"/>
  <c r="RH49" i="25"/>
  <c r="SH39" i="25"/>
  <c r="MH39" i="25"/>
  <c r="QH39" i="25"/>
  <c r="IH39" i="25"/>
  <c r="OH39" i="25"/>
  <c r="KH39" i="25"/>
  <c r="PH39" i="25"/>
  <c r="JH39" i="25"/>
  <c r="HH39" i="25"/>
  <c r="RH39" i="25"/>
  <c r="LH39" i="25"/>
  <c r="NH39" i="25"/>
  <c r="KH20" i="25"/>
  <c r="OH20" i="25"/>
  <c r="SH20" i="25"/>
  <c r="MH20" i="25"/>
  <c r="QH20" i="25"/>
  <c r="IH20" i="25"/>
  <c r="JH20" i="25"/>
  <c r="LH20" i="25"/>
  <c r="HH20" i="25"/>
  <c r="NH20" i="25"/>
  <c r="RH20" i="25"/>
  <c r="PH20" i="25"/>
  <c r="OH52" i="25"/>
  <c r="MH52" i="25"/>
  <c r="SH52" i="25"/>
  <c r="QH52" i="25"/>
  <c r="KH52" i="25"/>
  <c r="IH52" i="25"/>
  <c r="RH52" i="25"/>
  <c r="LH52" i="25"/>
  <c r="JH52" i="25"/>
  <c r="HH52" i="25"/>
  <c r="NH52" i="25"/>
  <c r="PH52" i="25"/>
  <c r="QH34" i="25"/>
  <c r="KH34" i="25"/>
  <c r="SH34" i="25"/>
  <c r="MH34" i="25"/>
  <c r="OH34" i="25"/>
  <c r="IH34" i="25"/>
  <c r="JH34" i="25"/>
  <c r="PH34" i="25"/>
  <c r="HH34" i="25"/>
  <c r="NH34" i="25"/>
  <c r="LH34" i="25"/>
  <c r="RH34" i="25"/>
  <c r="KH33" i="25"/>
  <c r="QH33" i="25"/>
  <c r="OH33" i="25"/>
  <c r="SH33" i="25"/>
  <c r="IH33" i="25"/>
  <c r="MH33" i="25"/>
  <c r="RH33" i="25"/>
  <c r="LH33" i="25"/>
  <c r="HH33" i="25"/>
  <c r="NH33" i="25"/>
  <c r="JH33" i="25"/>
  <c r="PH33" i="25"/>
  <c r="LH21" i="25"/>
  <c r="SH21" i="25"/>
  <c r="JH21" i="25"/>
  <c r="PH21" i="25"/>
  <c r="MH37" i="25"/>
  <c r="OH37" i="25"/>
  <c r="SH37" i="25"/>
  <c r="QH37" i="25"/>
  <c r="IH37" i="25"/>
  <c r="KH37" i="25"/>
  <c r="HH37" i="25"/>
  <c r="RH37" i="25"/>
  <c r="LH37" i="25"/>
  <c r="NH37" i="25"/>
  <c r="JH37" i="25"/>
  <c r="PH37" i="25"/>
  <c r="KH36" i="25"/>
  <c r="QH36" i="25"/>
  <c r="OH36" i="25"/>
  <c r="MH36" i="25"/>
  <c r="SH36" i="25"/>
  <c r="IH36" i="25"/>
  <c r="NH36" i="25"/>
  <c r="RH36" i="25"/>
  <c r="LH36" i="25"/>
  <c r="HH36" i="25"/>
  <c r="PH36" i="25"/>
  <c r="JH36" i="25"/>
  <c r="SH32" i="25"/>
  <c r="MH32" i="25"/>
  <c r="KH32" i="25"/>
  <c r="QH32" i="25"/>
  <c r="OH32" i="25"/>
  <c r="IH32" i="25"/>
  <c r="NH32" i="25"/>
  <c r="HH32" i="25"/>
  <c r="JH32" i="25"/>
  <c r="LH32" i="25"/>
  <c r="RH32" i="25"/>
  <c r="PH32" i="25"/>
  <c r="SH47" i="25"/>
  <c r="KH47" i="25"/>
  <c r="IH47" i="25"/>
  <c r="MH47" i="25"/>
  <c r="OH47" i="25"/>
  <c r="QH47" i="25"/>
  <c r="LH47" i="25"/>
  <c r="HH47" i="25"/>
  <c r="RH47" i="25"/>
  <c r="PH47" i="25"/>
  <c r="JH47" i="25"/>
  <c r="NH47" i="25"/>
  <c r="KH42" i="25"/>
  <c r="OH42" i="25"/>
  <c r="QH42" i="25"/>
  <c r="MH42" i="25"/>
  <c r="IH42" i="25"/>
  <c r="SH42" i="25"/>
  <c r="RH42" i="25"/>
  <c r="PH42" i="25"/>
  <c r="HH42" i="25"/>
  <c r="NH42" i="25"/>
  <c r="JH42" i="25"/>
  <c r="LH42" i="25"/>
  <c r="MH28" i="25"/>
  <c r="OH28" i="25"/>
  <c r="KH28" i="25"/>
  <c r="QH28" i="25"/>
  <c r="SH28" i="25"/>
  <c r="IH28" i="25"/>
  <c r="JH28" i="25"/>
  <c r="HH28" i="25"/>
  <c r="NH28" i="25"/>
  <c r="LH28" i="25"/>
  <c r="PH28" i="25"/>
  <c r="RH28" i="25"/>
  <c r="KH35" i="25"/>
  <c r="OH35" i="25"/>
  <c r="SH35" i="25"/>
  <c r="QH35" i="25"/>
  <c r="MH35" i="25"/>
  <c r="IH35" i="25"/>
  <c r="NH35" i="25"/>
  <c r="LH35" i="25"/>
  <c r="PH35" i="25"/>
  <c r="HH35" i="25"/>
  <c r="RH35" i="25"/>
  <c r="JH35" i="25"/>
  <c r="KH38" i="25"/>
  <c r="MH38" i="25"/>
  <c r="OH38" i="25"/>
  <c r="QH38" i="25"/>
  <c r="SH38" i="25"/>
  <c r="IH38" i="25"/>
  <c r="PH38" i="25"/>
  <c r="HH38" i="25"/>
  <c r="JH38" i="25"/>
  <c r="LH38" i="25"/>
  <c r="NH38" i="25"/>
  <c r="RH38" i="25"/>
  <c r="IH25" i="25"/>
  <c r="LH24" i="25"/>
  <c r="QH41" i="25"/>
  <c r="OH41" i="25"/>
  <c r="KH41" i="25"/>
  <c r="SH41" i="25"/>
  <c r="IH41" i="25"/>
  <c r="MH41" i="25"/>
  <c r="PH41" i="25"/>
  <c r="NH41" i="25"/>
  <c r="RH41" i="25"/>
  <c r="HH41" i="25"/>
  <c r="JH41" i="25"/>
  <c r="LH41" i="25"/>
  <c r="QH31" i="25"/>
  <c r="MH31" i="25"/>
  <c r="SH31" i="25"/>
  <c r="IH31" i="25"/>
  <c r="KH31" i="25"/>
  <c r="OH31" i="25"/>
  <c r="NH31" i="25"/>
  <c r="HH31" i="25"/>
  <c r="LH31" i="25"/>
  <c r="PH31" i="25"/>
  <c r="RH31" i="25"/>
  <c r="JH31" i="25"/>
  <c r="QH43" i="25"/>
  <c r="MH43" i="25"/>
  <c r="SH43" i="25"/>
  <c r="KH43" i="25"/>
  <c r="OH43" i="25"/>
  <c r="IH43" i="25"/>
  <c r="PH43" i="25"/>
  <c r="HH43" i="25"/>
  <c r="LH43" i="25"/>
  <c r="NH43" i="25"/>
  <c r="RH43" i="25"/>
  <c r="JH43" i="25"/>
  <c r="KH44" i="25"/>
  <c r="QH44" i="25"/>
  <c r="SH44" i="25"/>
  <c r="MH44" i="25"/>
  <c r="OH44" i="25"/>
  <c r="IH44" i="25"/>
  <c r="NH44" i="25"/>
  <c r="RH44" i="25"/>
  <c r="HH44" i="25"/>
  <c r="PH44" i="25"/>
  <c r="LH44" i="25"/>
  <c r="JH44" i="25"/>
  <c r="KH51" i="25"/>
  <c r="OH51" i="25"/>
  <c r="SH51" i="25"/>
  <c r="MH51" i="25"/>
  <c r="QH51" i="25"/>
  <c r="IH51" i="25"/>
  <c r="PH51" i="25"/>
  <c r="JH51" i="25"/>
  <c r="NH51" i="25"/>
  <c r="LH51" i="25"/>
  <c r="RH51" i="25"/>
  <c r="HH51" i="25"/>
  <c r="SH30" i="25"/>
  <c r="QH30" i="25"/>
  <c r="MH30" i="25"/>
  <c r="NH30" i="25"/>
  <c r="KH30" i="25"/>
  <c r="IH30" i="25"/>
  <c r="HH30" i="25"/>
  <c r="JH30" i="25"/>
  <c r="LH30" i="25"/>
  <c r="OH30" i="25"/>
  <c r="PH30" i="25"/>
  <c r="RH30" i="25"/>
  <c r="NH27" i="25"/>
  <c r="OH46" i="25"/>
  <c r="SH46" i="25"/>
  <c r="MH46" i="25"/>
  <c r="KH46" i="25"/>
  <c r="QH46" i="25"/>
  <c r="IH46" i="25"/>
  <c r="JH46" i="25"/>
  <c r="LH46" i="25"/>
  <c r="HH46" i="25"/>
  <c r="NH46" i="25"/>
  <c r="PH46" i="25"/>
  <c r="RH46" i="25"/>
  <c r="SH24" i="25" l="1"/>
  <c r="RH24" i="25"/>
  <c r="TH21" i="25"/>
  <c r="VH70" i="25"/>
  <c r="WH70" i="25"/>
  <c r="EJ70" i="25"/>
  <c r="EK70" i="25"/>
  <c r="EJ68" i="25"/>
  <c r="EK68" i="25"/>
  <c r="EJ65" i="25"/>
  <c r="EK65" i="25"/>
  <c r="EJ66" i="25"/>
  <c r="EK66" i="25"/>
  <c r="WH69" i="25"/>
  <c r="VH69" i="25"/>
  <c r="EJ69" i="25"/>
  <c r="EK69" i="25"/>
  <c r="EJ63" i="25"/>
  <c r="EK63" i="25"/>
  <c r="WH71" i="25"/>
  <c r="VH71" i="25"/>
  <c r="EJ71" i="25"/>
  <c r="EK71" i="25"/>
  <c r="EJ61" i="25"/>
  <c r="EK61" i="25"/>
  <c r="EJ62" i="25"/>
  <c r="EK62" i="25"/>
  <c r="EJ67" i="25"/>
  <c r="EK67" i="25"/>
  <c r="EJ64" i="25"/>
  <c r="EK64" i="25"/>
  <c r="PH25" i="25"/>
  <c r="RH21" i="25"/>
  <c r="NH21" i="25"/>
  <c r="NJ21" i="25" s="1"/>
  <c r="NK21" i="25" s="1"/>
  <c r="NL21" i="25" s="1"/>
  <c r="DS22" i="25"/>
  <c r="ET22" i="25"/>
  <c r="CB22" i="25" s="1"/>
  <c r="BZ22" i="25" s="1"/>
  <c r="KH25" i="25"/>
  <c r="HH21" i="25"/>
  <c r="EJ20" i="25"/>
  <c r="EM20" i="25" s="1"/>
  <c r="AN20" i="25" s="1"/>
  <c r="Y20" i="19" s="1"/>
  <c r="EK20" i="25"/>
  <c r="EJ54" i="25"/>
  <c r="EM54" i="25" s="1"/>
  <c r="WH54" i="25"/>
  <c r="WJ54" i="25" s="1"/>
  <c r="WK54" i="25" s="1"/>
  <c r="WL54" i="25" s="1"/>
  <c r="WQ54" i="25" s="1"/>
  <c r="UH54" i="25"/>
  <c r="UJ54" i="25" s="1"/>
  <c r="UK54" i="25" s="1"/>
  <c r="EK54" i="25"/>
  <c r="DS54" i="25"/>
  <c r="ET54" i="25"/>
  <c r="CB54" i="25" s="1"/>
  <c r="BZ54" i="25" s="1"/>
  <c r="GH54" i="25"/>
  <c r="GJ54" i="25" s="1"/>
  <c r="GK54" i="25" s="1"/>
  <c r="GL54" i="25" s="1"/>
  <c r="FH54" i="25"/>
  <c r="FJ54" i="25" s="1"/>
  <c r="FK54" i="25" s="1"/>
  <c r="FL54" i="25" s="1"/>
  <c r="FQ54" i="25" s="1"/>
  <c r="VH54" i="25"/>
  <c r="VJ54" i="25" s="1"/>
  <c r="VK54" i="25" s="1"/>
  <c r="VL54" i="25" s="1"/>
  <c r="VQ54" i="25" s="1"/>
  <c r="AQ54" i="25"/>
  <c r="AB54" i="19" s="1"/>
  <c r="TH54" i="25"/>
  <c r="TJ54" i="25" s="1"/>
  <c r="TK54" i="25" s="1"/>
  <c r="DK54" i="25"/>
  <c r="DM54" i="25" s="1"/>
  <c r="DN54" i="25" s="1"/>
  <c r="DO54" i="25" s="1"/>
  <c r="VH53" i="25"/>
  <c r="VJ53" i="25" s="1"/>
  <c r="VK53" i="25" s="1"/>
  <c r="VL53" i="25" s="1"/>
  <c r="VQ53" i="25" s="1"/>
  <c r="WH53" i="25"/>
  <c r="WJ53" i="25" s="1"/>
  <c r="WK53" i="25" s="1"/>
  <c r="WL53" i="25" s="1"/>
  <c r="WQ53" i="25" s="1"/>
  <c r="DS53" i="25"/>
  <c r="ET53" i="25"/>
  <c r="CB53" i="25" s="1"/>
  <c r="BZ53" i="25" s="1"/>
  <c r="DK53" i="25"/>
  <c r="DM53" i="25" s="1"/>
  <c r="DN53" i="25" s="1"/>
  <c r="DO53" i="25" s="1"/>
  <c r="GH53" i="25"/>
  <c r="GJ53" i="25" s="1"/>
  <c r="GK53" i="25" s="1"/>
  <c r="GL53" i="25" s="1"/>
  <c r="UH53" i="25"/>
  <c r="UJ53" i="25" s="1"/>
  <c r="UK53" i="25" s="1"/>
  <c r="FH53" i="25"/>
  <c r="FJ53" i="25" s="1"/>
  <c r="FK53" i="25" s="1"/>
  <c r="FL53" i="25" s="1"/>
  <c r="FQ53" i="25" s="1"/>
  <c r="AQ53" i="25"/>
  <c r="AB53" i="19" s="1"/>
  <c r="TH53" i="25"/>
  <c r="TJ53" i="25" s="1"/>
  <c r="TK53" i="25" s="1"/>
  <c r="EK53" i="25"/>
  <c r="EJ53" i="25"/>
  <c r="EM53" i="25" s="1"/>
  <c r="EJ60" i="25"/>
  <c r="EK60" i="25"/>
  <c r="EJ59" i="25"/>
  <c r="EK59" i="25"/>
  <c r="EJ58" i="25"/>
  <c r="EM58" i="25" s="1"/>
  <c r="EK58" i="25"/>
  <c r="EN54" i="25"/>
  <c r="BE54" i="25" s="1"/>
  <c r="AN54" i="25"/>
  <c r="Y54" i="19" s="1"/>
  <c r="EJ55" i="25"/>
  <c r="EK55" i="25"/>
  <c r="AN48" i="25"/>
  <c r="Y48" i="19" s="1"/>
  <c r="EN49" i="25"/>
  <c r="EN51" i="25"/>
  <c r="BE51" i="25" s="1"/>
  <c r="EJ56" i="25"/>
  <c r="EK56" i="25"/>
  <c r="EJ57" i="25"/>
  <c r="EM57" i="25" s="1"/>
  <c r="EK57" i="25"/>
  <c r="EN48" i="25"/>
  <c r="AN49" i="25"/>
  <c r="Y49" i="19" s="1"/>
  <c r="AN51" i="25"/>
  <c r="Y51" i="19" s="1"/>
  <c r="AN50" i="25"/>
  <c r="Y50" i="19" s="1"/>
  <c r="EN52" i="25"/>
  <c r="EN50" i="25"/>
  <c r="AN52" i="25"/>
  <c r="Y52" i="19" s="1"/>
  <c r="AG21" i="25"/>
  <c r="T21" i="19" s="1"/>
  <c r="EJ21" i="25"/>
  <c r="EM21" i="25" s="1"/>
  <c r="EK21" i="25"/>
  <c r="AG22" i="25"/>
  <c r="T22" i="19" s="1"/>
  <c r="EJ22" i="25"/>
  <c r="EK22" i="25"/>
  <c r="EN28" i="25"/>
  <c r="EN29" i="25"/>
  <c r="BE29" i="25" s="1"/>
  <c r="EN33" i="25"/>
  <c r="EN35" i="25"/>
  <c r="EN37" i="25"/>
  <c r="BE37" i="25" s="1"/>
  <c r="AU37" i="25" s="1"/>
  <c r="EN42" i="25"/>
  <c r="BE42" i="25" s="1"/>
  <c r="EN32" i="25"/>
  <c r="EN27" i="25"/>
  <c r="AN36" i="25"/>
  <c r="Y36" i="19" s="1"/>
  <c r="EN38" i="25"/>
  <c r="BE38" i="25" s="1"/>
  <c r="AU38" i="25" s="1"/>
  <c r="EM41" i="25"/>
  <c r="EN41" i="25" s="1"/>
  <c r="BE41" i="25" s="1"/>
  <c r="AU41" i="25" s="1"/>
  <c r="AN31" i="25"/>
  <c r="Y31" i="19" s="1"/>
  <c r="AN26" i="25"/>
  <c r="Y26" i="19" s="1"/>
  <c r="AN43" i="25"/>
  <c r="Y43" i="19" s="1"/>
  <c r="EN24" i="25"/>
  <c r="AN45" i="25"/>
  <c r="Y45" i="19" s="1"/>
  <c r="AN46" i="25"/>
  <c r="Y46" i="19" s="1"/>
  <c r="AN34" i="25"/>
  <c r="Y34" i="19" s="1"/>
  <c r="EN36" i="25"/>
  <c r="AN38" i="25"/>
  <c r="Y38" i="19" s="1"/>
  <c r="AN41" i="25"/>
  <c r="Y41" i="19" s="1"/>
  <c r="EN31" i="25"/>
  <c r="BE31" i="25" s="1"/>
  <c r="AU31" i="25" s="1"/>
  <c r="EN26" i="25"/>
  <c r="EN43" i="25"/>
  <c r="AN24" i="25"/>
  <c r="Y24" i="19" s="1"/>
  <c r="EN45" i="25"/>
  <c r="BE45" i="25" s="1"/>
  <c r="AU45" i="25" s="1"/>
  <c r="EN46" i="25"/>
  <c r="EN34" i="25"/>
  <c r="AN44" i="25"/>
  <c r="Y44" i="19" s="1"/>
  <c r="AN39" i="25"/>
  <c r="Y39" i="19" s="1"/>
  <c r="AN28" i="25"/>
  <c r="Y28" i="19" s="1"/>
  <c r="AN29" i="25"/>
  <c r="Y29" i="19" s="1"/>
  <c r="AN33" i="25"/>
  <c r="Y33" i="19" s="1"/>
  <c r="AN35" i="25"/>
  <c r="Y35" i="19" s="1"/>
  <c r="AN37" i="25"/>
  <c r="Y37" i="19" s="1"/>
  <c r="AN42" i="25"/>
  <c r="Y42" i="19" s="1"/>
  <c r="AN32" i="25"/>
  <c r="Y32" i="19" s="1"/>
  <c r="AN27" i="25"/>
  <c r="Y27" i="19" s="1"/>
  <c r="EN44" i="25"/>
  <c r="EN39" i="25"/>
  <c r="BE39" i="25" s="1"/>
  <c r="AU39" i="25" s="1"/>
  <c r="BE46" i="25"/>
  <c r="BE35" i="25"/>
  <c r="BE33" i="25"/>
  <c r="BE26" i="25"/>
  <c r="BE44" i="25"/>
  <c r="BE24" i="25"/>
  <c r="AU24" i="25" s="1"/>
  <c r="BE32" i="25"/>
  <c r="BE36" i="25"/>
  <c r="BE27" i="25"/>
  <c r="BE28" i="25"/>
  <c r="EM23" i="25"/>
  <c r="CB45" i="25"/>
  <c r="BZ45" i="25" s="1"/>
  <c r="GL22" i="25"/>
  <c r="GQ22" i="25" s="1"/>
  <c r="BR22" i="25"/>
  <c r="FH58" i="25"/>
  <c r="FJ58" i="25" s="1"/>
  <c r="FK58" i="25" s="1"/>
  <c r="FL58" i="25" s="1"/>
  <c r="FQ58" i="25" s="1"/>
  <c r="WH58" i="25"/>
  <c r="WJ58" i="25" s="1"/>
  <c r="WK58" i="25" s="1"/>
  <c r="WL58" i="25" s="1"/>
  <c r="WQ58" i="25" s="1"/>
  <c r="VH58" i="25"/>
  <c r="DK58" i="25"/>
  <c r="DM58" i="25" s="1"/>
  <c r="DN58" i="25" s="1"/>
  <c r="DO58" i="25" s="1"/>
  <c r="AQ58" i="25"/>
  <c r="AB58" i="19" s="1"/>
  <c r="DS58" i="25"/>
  <c r="UH58" i="25"/>
  <c r="UJ58" i="25" s="1"/>
  <c r="UK58" i="25" s="1"/>
  <c r="GH58" i="25"/>
  <c r="GJ58" i="25" s="1"/>
  <c r="GK58" i="25" s="1"/>
  <c r="TH58" i="25"/>
  <c r="TJ58" i="25" s="1"/>
  <c r="TK58" i="25" s="1"/>
  <c r="IP61" i="25"/>
  <c r="CD61" i="25" s="1"/>
  <c r="IH61" i="25"/>
  <c r="IJ61" i="25" s="1"/>
  <c r="IK61" i="25" s="1"/>
  <c r="MH61" i="25"/>
  <c r="MJ61" i="25" s="1"/>
  <c r="MK61" i="25" s="1"/>
  <c r="NH61" i="25"/>
  <c r="NJ61" i="25" s="1"/>
  <c r="NK61" i="25" s="1"/>
  <c r="NL61" i="25" s="1"/>
  <c r="NQ61" i="25" s="1"/>
  <c r="AG61" i="25"/>
  <c r="T61" i="19" s="1"/>
  <c r="JH61" i="25"/>
  <c r="JJ61" i="25" s="1"/>
  <c r="JK61" i="25" s="1"/>
  <c r="JL61" i="25" s="1"/>
  <c r="JQ61" i="25" s="1"/>
  <c r="KH61" i="25"/>
  <c r="KJ61" i="25" s="1"/>
  <c r="KK61" i="25" s="1"/>
  <c r="HH61" i="25"/>
  <c r="HJ61" i="25" s="1"/>
  <c r="HK61" i="25" s="1"/>
  <c r="HL61" i="25" s="1"/>
  <c r="HQ61" i="25" s="1"/>
  <c r="OH61" i="25"/>
  <c r="OJ61" i="25" s="1"/>
  <c r="OK61" i="25" s="1"/>
  <c r="LH61" i="25"/>
  <c r="LJ61" i="25" s="1"/>
  <c r="LK61" i="25" s="1"/>
  <c r="LL61" i="25" s="1"/>
  <c r="LQ61" i="25" s="1"/>
  <c r="RH61" i="25"/>
  <c r="RJ61" i="25" s="1"/>
  <c r="RK61" i="25" s="1"/>
  <c r="RL61" i="25" s="1"/>
  <c r="RQ61" i="25" s="1"/>
  <c r="QH61" i="25"/>
  <c r="QJ61" i="25" s="1"/>
  <c r="QK61" i="25" s="1"/>
  <c r="SH61" i="25"/>
  <c r="SJ61" i="25" s="1"/>
  <c r="SK61" i="25" s="1"/>
  <c r="PH61" i="25"/>
  <c r="PJ61" i="25" s="1"/>
  <c r="PK61" i="25" s="1"/>
  <c r="PL61" i="25" s="1"/>
  <c r="PQ61" i="25" s="1"/>
  <c r="VH59" i="25"/>
  <c r="VJ59" i="25" s="1"/>
  <c r="VK59" i="25" s="1"/>
  <c r="VL59" i="25" s="1"/>
  <c r="VQ59" i="25" s="1"/>
  <c r="FH59" i="25"/>
  <c r="FJ59" i="25" s="1"/>
  <c r="FK59" i="25" s="1"/>
  <c r="FL59" i="25" s="1"/>
  <c r="FQ59" i="25" s="1"/>
  <c r="WH59" i="25"/>
  <c r="WJ59" i="25" s="1"/>
  <c r="WK59" i="25" s="1"/>
  <c r="WL59" i="25" s="1"/>
  <c r="WQ59" i="25" s="1"/>
  <c r="GH59" i="25"/>
  <c r="GJ59" i="25" s="1"/>
  <c r="GK59" i="25" s="1"/>
  <c r="AQ59" i="25"/>
  <c r="AB59" i="19" s="1"/>
  <c r="EM59" i="25"/>
  <c r="UH59" i="25"/>
  <c r="UJ59" i="25" s="1"/>
  <c r="UK59" i="25" s="1"/>
  <c r="DK59" i="25"/>
  <c r="DM59" i="25" s="1"/>
  <c r="DN59" i="25" s="1"/>
  <c r="DO59" i="25" s="1"/>
  <c r="DS59" i="25"/>
  <c r="TH59" i="25"/>
  <c r="TJ59" i="25" s="1"/>
  <c r="TK59" i="25" s="1"/>
  <c r="VH55" i="25"/>
  <c r="GH55" i="25"/>
  <c r="GJ55" i="25" s="1"/>
  <c r="GK55" i="25" s="1"/>
  <c r="GL55" i="25" s="1"/>
  <c r="WH55" i="25"/>
  <c r="WJ55" i="25" s="1"/>
  <c r="WK55" i="25" s="1"/>
  <c r="WL55" i="25" s="1"/>
  <c r="WQ55" i="25" s="1"/>
  <c r="UH55" i="25"/>
  <c r="UJ55" i="25" s="1"/>
  <c r="UK55" i="25" s="1"/>
  <c r="DS55" i="25"/>
  <c r="FH55" i="25"/>
  <c r="FJ55" i="25" s="1"/>
  <c r="FK55" i="25" s="1"/>
  <c r="FL55" i="25" s="1"/>
  <c r="FQ55" i="25" s="1"/>
  <c r="DK55" i="25"/>
  <c r="DM55" i="25" s="1"/>
  <c r="DN55" i="25" s="1"/>
  <c r="DO55" i="25" s="1"/>
  <c r="AQ55" i="25"/>
  <c r="AB55" i="19" s="1"/>
  <c r="TH55" i="25"/>
  <c r="TJ55" i="25" s="1"/>
  <c r="TK55" i="25" s="1"/>
  <c r="AQ61" i="25"/>
  <c r="AB61" i="19" s="1"/>
  <c r="UH61" i="25"/>
  <c r="UJ61" i="25" s="1"/>
  <c r="UK61" i="25" s="1"/>
  <c r="FH61" i="25"/>
  <c r="FJ61" i="25" s="1"/>
  <c r="FK61" i="25" s="1"/>
  <c r="FL61" i="25" s="1"/>
  <c r="FQ61" i="25" s="1"/>
  <c r="DK61" i="25"/>
  <c r="DM61" i="25" s="1"/>
  <c r="DN61" i="25" s="1"/>
  <c r="DO61" i="25" s="1"/>
  <c r="GH61" i="25"/>
  <c r="GJ61" i="25" s="1"/>
  <c r="GK61" i="25" s="1"/>
  <c r="EM61" i="25"/>
  <c r="DS61" i="25"/>
  <c r="WH61" i="25"/>
  <c r="WJ61" i="25" s="1"/>
  <c r="WK61" i="25" s="1"/>
  <c r="WL61" i="25" s="1"/>
  <c r="WQ61" i="25" s="1"/>
  <c r="VH61" i="25"/>
  <c r="VJ61" i="25" s="1"/>
  <c r="VK61" i="25" s="1"/>
  <c r="VL61" i="25" s="1"/>
  <c r="VQ61" i="25" s="1"/>
  <c r="TH61" i="25"/>
  <c r="TJ61" i="25" s="1"/>
  <c r="TK61" i="25" s="1"/>
  <c r="WH56" i="25"/>
  <c r="EM56" i="25"/>
  <c r="DK56" i="25"/>
  <c r="DM56" i="25" s="1"/>
  <c r="DN56" i="25" s="1"/>
  <c r="DO56" i="25" s="1"/>
  <c r="VH56" i="25"/>
  <c r="AQ56" i="25"/>
  <c r="AB56" i="19" s="1"/>
  <c r="DS56" i="25"/>
  <c r="CB56" i="25" s="1"/>
  <c r="BZ56" i="25" s="1"/>
  <c r="GH56" i="25"/>
  <c r="GJ56" i="25" s="1"/>
  <c r="GK56" i="25" s="1"/>
  <c r="TH56" i="25"/>
  <c r="TJ56" i="25" s="1"/>
  <c r="TK56" i="25" s="1"/>
  <c r="FH56" i="25"/>
  <c r="FJ56" i="25" s="1"/>
  <c r="FK56" i="25" s="1"/>
  <c r="FL56" i="25" s="1"/>
  <c r="FQ56" i="25" s="1"/>
  <c r="UH56" i="25"/>
  <c r="UJ56" i="25" s="1"/>
  <c r="UK56" i="25" s="1"/>
  <c r="WH57" i="25"/>
  <c r="WJ57" i="25" s="1"/>
  <c r="WK57" i="25" s="1"/>
  <c r="WL57" i="25" s="1"/>
  <c r="WQ57" i="25" s="1"/>
  <c r="TH57" i="25"/>
  <c r="TJ57" i="25" s="1"/>
  <c r="TK57" i="25" s="1"/>
  <c r="FH57" i="25"/>
  <c r="FJ57" i="25" s="1"/>
  <c r="FK57" i="25" s="1"/>
  <c r="FL57" i="25" s="1"/>
  <c r="FQ57" i="25" s="1"/>
  <c r="VH57" i="25"/>
  <c r="VJ57" i="25" s="1"/>
  <c r="VK57" i="25" s="1"/>
  <c r="VL57" i="25" s="1"/>
  <c r="VQ57" i="25" s="1"/>
  <c r="AQ57" i="25"/>
  <c r="AB57" i="19" s="1"/>
  <c r="DK57" i="25"/>
  <c r="DM57" i="25" s="1"/>
  <c r="DN57" i="25" s="1"/>
  <c r="DO57" i="25" s="1"/>
  <c r="DS57" i="25"/>
  <c r="CB57" i="25" s="1"/>
  <c r="BZ57" i="25" s="1"/>
  <c r="UH57" i="25"/>
  <c r="UJ57" i="25" s="1"/>
  <c r="UK57" i="25" s="1"/>
  <c r="GH57" i="25"/>
  <c r="GJ57" i="25" s="1"/>
  <c r="GK57" i="25" s="1"/>
  <c r="IP62" i="25"/>
  <c r="CD62" i="25" s="1"/>
  <c r="MH62" i="25"/>
  <c r="MJ62" i="25" s="1"/>
  <c r="MK62" i="25" s="1"/>
  <c r="NH62" i="25"/>
  <c r="NJ62" i="25" s="1"/>
  <c r="NK62" i="25" s="1"/>
  <c r="NL62" i="25" s="1"/>
  <c r="NQ62" i="25" s="1"/>
  <c r="LH62" i="25"/>
  <c r="LJ62" i="25" s="1"/>
  <c r="LK62" i="25" s="1"/>
  <c r="LL62" i="25" s="1"/>
  <c r="LQ62" i="25" s="1"/>
  <c r="HH62" i="25"/>
  <c r="HJ62" i="25" s="1"/>
  <c r="HK62" i="25" s="1"/>
  <c r="HL62" i="25" s="1"/>
  <c r="HQ62" i="25" s="1"/>
  <c r="KH62" i="25"/>
  <c r="KJ62" i="25" s="1"/>
  <c r="KK62" i="25" s="1"/>
  <c r="IH62" i="25"/>
  <c r="IJ62" i="25" s="1"/>
  <c r="IK62" i="25" s="1"/>
  <c r="AG62" i="25"/>
  <c r="T62" i="19" s="1"/>
  <c r="OH62" i="25"/>
  <c r="OJ62" i="25" s="1"/>
  <c r="OK62" i="25" s="1"/>
  <c r="JH62" i="25"/>
  <c r="JJ62" i="25" s="1"/>
  <c r="JK62" i="25" s="1"/>
  <c r="JL62" i="25" s="1"/>
  <c r="JQ62" i="25" s="1"/>
  <c r="SH62" i="25"/>
  <c r="SJ62" i="25" s="1"/>
  <c r="SK62" i="25" s="1"/>
  <c r="QH62" i="25"/>
  <c r="QJ62" i="25" s="1"/>
  <c r="QK62" i="25" s="1"/>
  <c r="RH62" i="25"/>
  <c r="RJ62" i="25" s="1"/>
  <c r="RK62" i="25" s="1"/>
  <c r="RL62" i="25" s="1"/>
  <c r="RQ62" i="25" s="1"/>
  <c r="PH62" i="25"/>
  <c r="PJ62" i="25" s="1"/>
  <c r="PK62" i="25" s="1"/>
  <c r="PL62" i="25" s="1"/>
  <c r="PQ62" i="25" s="1"/>
  <c r="EM60" i="25"/>
  <c r="VH60" i="25"/>
  <c r="VJ60" i="25" s="1"/>
  <c r="VK60" i="25" s="1"/>
  <c r="VL60" i="25" s="1"/>
  <c r="VQ60" i="25" s="1"/>
  <c r="TH60" i="25"/>
  <c r="TJ60" i="25" s="1"/>
  <c r="TK60" i="25" s="1"/>
  <c r="DK60" i="25"/>
  <c r="DM60" i="25" s="1"/>
  <c r="DN60" i="25" s="1"/>
  <c r="DO60" i="25" s="1"/>
  <c r="FH60" i="25"/>
  <c r="FJ60" i="25" s="1"/>
  <c r="FK60" i="25" s="1"/>
  <c r="FL60" i="25" s="1"/>
  <c r="FQ60" i="25" s="1"/>
  <c r="DS60" i="25"/>
  <c r="WH60" i="25"/>
  <c r="WJ60" i="25" s="1"/>
  <c r="WK60" i="25" s="1"/>
  <c r="WL60" i="25" s="1"/>
  <c r="WQ60" i="25" s="1"/>
  <c r="AQ60" i="25"/>
  <c r="AB60" i="19" s="1"/>
  <c r="GH60" i="25"/>
  <c r="GJ60" i="25" s="1"/>
  <c r="GK60" i="25" s="1"/>
  <c r="UH60" i="25"/>
  <c r="UJ60" i="25" s="1"/>
  <c r="UK60" i="25" s="1"/>
  <c r="AQ62" i="25"/>
  <c r="AB62" i="19" s="1"/>
  <c r="EM62" i="25"/>
  <c r="TH62" i="25"/>
  <c r="TJ62" i="25" s="1"/>
  <c r="TK62" i="25" s="1"/>
  <c r="DK62" i="25"/>
  <c r="DM62" i="25" s="1"/>
  <c r="DN62" i="25" s="1"/>
  <c r="DO62" i="25" s="1"/>
  <c r="DS62" i="25"/>
  <c r="VH62" i="25"/>
  <c r="GH62" i="25"/>
  <c r="GJ62" i="25" s="1"/>
  <c r="GK62" i="25" s="1"/>
  <c r="FH62" i="25"/>
  <c r="FJ62" i="25" s="1"/>
  <c r="FK62" i="25" s="1"/>
  <c r="FL62" i="25" s="1"/>
  <c r="FQ62" i="25" s="1"/>
  <c r="WH62" i="25"/>
  <c r="WJ62" i="25" s="1"/>
  <c r="WK62" i="25" s="1"/>
  <c r="WL62" i="25" s="1"/>
  <c r="WQ62" i="25" s="1"/>
  <c r="UH62" i="25"/>
  <c r="UJ62" i="25" s="1"/>
  <c r="UK62" i="25" s="1"/>
  <c r="AG65" i="25"/>
  <c r="T65" i="19" s="1"/>
  <c r="IP65" i="25"/>
  <c r="CD65" i="25" s="1"/>
  <c r="AG63" i="25"/>
  <c r="T63" i="19" s="1"/>
  <c r="IP63" i="25"/>
  <c r="CD63" i="25" s="1"/>
  <c r="CA56" i="25"/>
  <c r="BY56" i="25"/>
  <c r="BY60" i="25"/>
  <c r="CA60" i="25"/>
  <c r="AL60" i="25" s="1"/>
  <c r="CA57" i="25"/>
  <c r="BY57" i="25"/>
  <c r="AG68" i="25"/>
  <c r="T68" i="19" s="1"/>
  <c r="IP68" i="25"/>
  <c r="CD68" i="25" s="1"/>
  <c r="AG64" i="25"/>
  <c r="T64" i="19" s="1"/>
  <c r="IP64" i="25"/>
  <c r="CD64" i="25" s="1"/>
  <c r="AG66" i="25"/>
  <c r="T66" i="19" s="1"/>
  <c r="IP66" i="25"/>
  <c r="CD66" i="25" s="1"/>
  <c r="CA58" i="25"/>
  <c r="AL58" i="25" s="1"/>
  <c r="BY58" i="25"/>
  <c r="CA59" i="25"/>
  <c r="AL59" i="25" s="1"/>
  <c r="BY59" i="25"/>
  <c r="WH68" i="25"/>
  <c r="VH68" i="25"/>
  <c r="VH65" i="25"/>
  <c r="WH65" i="25"/>
  <c r="VH66" i="25"/>
  <c r="WH66" i="25"/>
  <c r="WH63" i="25"/>
  <c r="VH63" i="25"/>
  <c r="VH67" i="25"/>
  <c r="WH67" i="25"/>
  <c r="WH64" i="25"/>
  <c r="VH64" i="25"/>
  <c r="SP48" i="25"/>
  <c r="CI48" i="25" s="1"/>
  <c r="SU48" i="25"/>
  <c r="CS48" i="25" s="1"/>
  <c r="QP48" i="25"/>
  <c r="CH48" i="25" s="1"/>
  <c r="QU48" i="25"/>
  <c r="CR48" i="25" s="1"/>
  <c r="WJ45" i="25"/>
  <c r="WK45" i="25" s="1"/>
  <c r="WL45" i="25" s="1"/>
  <c r="WQ45" i="25" s="1"/>
  <c r="VJ50" i="25"/>
  <c r="VK50" i="25" s="1"/>
  <c r="VL50" i="25" s="1"/>
  <c r="VQ50" i="25" s="1"/>
  <c r="WJ49" i="25"/>
  <c r="WK49" i="25" s="1"/>
  <c r="WL49" i="25" s="1"/>
  <c r="WQ49" i="25" s="1"/>
  <c r="WJ48" i="25"/>
  <c r="WK48" i="25" s="1"/>
  <c r="WL48" i="25" s="1"/>
  <c r="WQ48" i="25" s="1"/>
  <c r="VJ45" i="25"/>
  <c r="VK45" i="25" s="1"/>
  <c r="VL45" i="25" s="1"/>
  <c r="VQ45" i="25" s="1"/>
  <c r="WJ51" i="25"/>
  <c r="WK51" i="25" s="1"/>
  <c r="WL51" i="25" s="1"/>
  <c r="WQ51" i="25" s="1"/>
  <c r="VJ49" i="25"/>
  <c r="VK49" i="25" s="1"/>
  <c r="VL49" i="25" s="1"/>
  <c r="VQ49" i="25" s="1"/>
  <c r="WJ47" i="25"/>
  <c r="WK47" i="25" s="1"/>
  <c r="WL47" i="25" s="1"/>
  <c r="WQ47" i="25" s="1"/>
  <c r="VJ48" i="25"/>
  <c r="VK48" i="25" s="1"/>
  <c r="VL48" i="25" s="1"/>
  <c r="VQ48" i="25" s="1"/>
  <c r="WJ46" i="25"/>
  <c r="WK46" i="25" s="1"/>
  <c r="WL46" i="25" s="1"/>
  <c r="WQ46" i="25" s="1"/>
  <c r="VJ51" i="25"/>
  <c r="VK51" i="25" s="1"/>
  <c r="VL51" i="25" s="1"/>
  <c r="VQ51" i="25" s="1"/>
  <c r="WJ44" i="25"/>
  <c r="WK44" i="25" s="1"/>
  <c r="WL44" i="25" s="1"/>
  <c r="WQ44" i="25" s="1"/>
  <c r="VJ47" i="25"/>
  <c r="VK47" i="25" s="1"/>
  <c r="VL47" i="25" s="1"/>
  <c r="VQ47" i="25" s="1"/>
  <c r="WJ52" i="25"/>
  <c r="WK52" i="25" s="1"/>
  <c r="WL52" i="25" s="1"/>
  <c r="WQ52" i="25" s="1"/>
  <c r="VJ46" i="25"/>
  <c r="VK46" i="25" s="1"/>
  <c r="VL46" i="25" s="1"/>
  <c r="VQ46" i="25" s="1"/>
  <c r="VJ44" i="25"/>
  <c r="VK44" i="25" s="1"/>
  <c r="VL44" i="25" s="1"/>
  <c r="VQ44" i="25" s="1"/>
  <c r="WJ50" i="25"/>
  <c r="WK50" i="25" s="1"/>
  <c r="WL50" i="25" s="1"/>
  <c r="WQ50" i="25" s="1"/>
  <c r="VJ52" i="25"/>
  <c r="VK52" i="25" s="1"/>
  <c r="VL52" i="25" s="1"/>
  <c r="VQ52" i="25" s="1"/>
  <c r="VJ32" i="25"/>
  <c r="VK32" i="25" s="1"/>
  <c r="VL32" i="25" s="1"/>
  <c r="VQ32" i="25" s="1"/>
  <c r="WJ36" i="25"/>
  <c r="WK36" i="25" s="1"/>
  <c r="WL36" i="25" s="1"/>
  <c r="WQ36" i="25" s="1"/>
  <c r="VJ40" i="25"/>
  <c r="VK40" i="25" s="1"/>
  <c r="VL40" i="25" s="1"/>
  <c r="VQ40" i="25" s="1"/>
  <c r="WJ41" i="25"/>
  <c r="WK41" i="25" s="1"/>
  <c r="WL41" i="25" s="1"/>
  <c r="WQ41" i="25" s="1"/>
  <c r="VJ43" i="25"/>
  <c r="VK43" i="25" s="1"/>
  <c r="VL43" i="25" s="1"/>
  <c r="VQ43" i="25" s="1"/>
  <c r="WJ37" i="25"/>
  <c r="WK37" i="25" s="1"/>
  <c r="WL37" i="25" s="1"/>
  <c r="WQ37" i="25" s="1"/>
  <c r="VJ36" i="25"/>
  <c r="VK36" i="25" s="1"/>
  <c r="VL36" i="25" s="1"/>
  <c r="VQ36" i="25" s="1"/>
  <c r="WJ39" i="25"/>
  <c r="WK39" i="25" s="1"/>
  <c r="WL39" i="25" s="1"/>
  <c r="WQ39" i="25" s="1"/>
  <c r="VJ41" i="25"/>
  <c r="VK41" i="25" s="1"/>
  <c r="VL41" i="25" s="1"/>
  <c r="VQ41" i="25" s="1"/>
  <c r="WJ33" i="25"/>
  <c r="WK33" i="25" s="1"/>
  <c r="WL33" i="25" s="1"/>
  <c r="WQ33" i="25" s="1"/>
  <c r="VJ37" i="25"/>
  <c r="VK37" i="25" s="1"/>
  <c r="VL37" i="25" s="1"/>
  <c r="VQ37" i="25" s="1"/>
  <c r="WJ42" i="25"/>
  <c r="WK42" i="25" s="1"/>
  <c r="WL42" i="25" s="1"/>
  <c r="WQ42" i="25" s="1"/>
  <c r="WJ34" i="25"/>
  <c r="WK34" i="25" s="1"/>
  <c r="WL34" i="25" s="1"/>
  <c r="WQ34" i="25" s="1"/>
  <c r="VJ39" i="25"/>
  <c r="VK39" i="25" s="1"/>
  <c r="VL39" i="25" s="1"/>
  <c r="VQ39" i="25" s="1"/>
  <c r="WJ38" i="25"/>
  <c r="WK38" i="25" s="1"/>
  <c r="WL38" i="25" s="1"/>
  <c r="WQ38" i="25" s="1"/>
  <c r="VJ33" i="25"/>
  <c r="VK33" i="25" s="1"/>
  <c r="VL33" i="25" s="1"/>
  <c r="VQ33" i="25" s="1"/>
  <c r="WJ35" i="25"/>
  <c r="WK35" i="25" s="1"/>
  <c r="WL35" i="25" s="1"/>
  <c r="WQ35" i="25" s="1"/>
  <c r="VJ42" i="25"/>
  <c r="VK42" i="25" s="1"/>
  <c r="VL42" i="25" s="1"/>
  <c r="VQ42" i="25" s="1"/>
  <c r="VJ34" i="25"/>
  <c r="VK34" i="25" s="1"/>
  <c r="VL34" i="25" s="1"/>
  <c r="VQ34" i="25" s="1"/>
  <c r="WJ32" i="25"/>
  <c r="WK32" i="25" s="1"/>
  <c r="WL32" i="25" s="1"/>
  <c r="WQ32" i="25" s="1"/>
  <c r="VJ38" i="25"/>
  <c r="VK38" i="25" s="1"/>
  <c r="VL38" i="25" s="1"/>
  <c r="VQ38" i="25" s="1"/>
  <c r="WJ40" i="25"/>
  <c r="WK40" i="25" s="1"/>
  <c r="WL40" i="25" s="1"/>
  <c r="WQ40" i="25" s="1"/>
  <c r="VJ35" i="25"/>
  <c r="VK35" i="25" s="1"/>
  <c r="VL35" i="25" s="1"/>
  <c r="VQ35" i="25" s="1"/>
  <c r="WJ43" i="25"/>
  <c r="WK43" i="25" s="1"/>
  <c r="WL43" i="25" s="1"/>
  <c r="WQ43" i="25" s="1"/>
  <c r="GH20" i="25"/>
  <c r="GJ20" i="25" s="1"/>
  <c r="GK20" i="25" s="1"/>
  <c r="FH20" i="25"/>
  <c r="FJ20" i="25" s="1"/>
  <c r="FK20" i="25" s="1"/>
  <c r="FL20" i="25" s="1"/>
  <c r="FQ20" i="25" s="1"/>
  <c r="NH25" i="25"/>
  <c r="RH23" i="25"/>
  <c r="HH23" i="25"/>
  <c r="HJ23" i="25" s="1"/>
  <c r="HK23" i="25" s="1"/>
  <c r="HL23" i="25" s="1"/>
  <c r="SH23" i="25"/>
  <c r="FH21" i="25"/>
  <c r="FJ21" i="25" s="1"/>
  <c r="FK21" i="25" s="1"/>
  <c r="FL21" i="25" s="1"/>
  <c r="FQ21" i="25" s="1"/>
  <c r="DK20" i="25"/>
  <c r="DM20" i="25" s="1"/>
  <c r="DN20" i="25" s="1"/>
  <c r="DO20" i="25" s="1"/>
  <c r="DT20" i="25" s="1"/>
  <c r="DU20" i="25" s="1"/>
  <c r="AQ21" i="25"/>
  <c r="AB21" i="19" s="1"/>
  <c r="GH21" i="25"/>
  <c r="GJ21" i="25" s="1"/>
  <c r="GK21" i="25" s="1"/>
  <c r="LH25" i="25"/>
  <c r="SH25" i="25"/>
  <c r="HH25" i="25"/>
  <c r="OH25" i="25"/>
  <c r="LH23" i="25"/>
  <c r="MH23" i="25"/>
  <c r="KH23" i="25"/>
  <c r="KJ23" i="25" s="1"/>
  <c r="KK23" i="25" s="1"/>
  <c r="KL23" i="25" s="1"/>
  <c r="VH21" i="25"/>
  <c r="VJ21" i="25" s="1"/>
  <c r="VK21" i="25" s="1"/>
  <c r="VL21" i="25" s="1"/>
  <c r="VQ21" i="25" s="1"/>
  <c r="RH25" i="25"/>
  <c r="RJ25" i="25" s="1"/>
  <c r="RK25" i="25" s="1"/>
  <c r="RL25" i="25" s="1"/>
  <c r="MH25" i="25"/>
  <c r="JH25" i="25"/>
  <c r="QH25" i="25"/>
  <c r="IH23" i="25"/>
  <c r="NH23" i="25"/>
  <c r="OH23" i="25"/>
  <c r="OJ23" i="25" s="1"/>
  <c r="OK23" i="25" s="1"/>
  <c r="OL23" i="25" s="1"/>
  <c r="DK21" i="25"/>
  <c r="DM21" i="25" s="1"/>
  <c r="DN21" i="25" s="1"/>
  <c r="DO21" i="25" s="1"/>
  <c r="DT21" i="25" s="1"/>
  <c r="UH21" i="25"/>
  <c r="NH24" i="25"/>
  <c r="OH24" i="25"/>
  <c r="OJ24" i="25" s="1"/>
  <c r="OK24" i="25" s="1"/>
  <c r="OL24" i="25" s="1"/>
  <c r="MH24" i="25"/>
  <c r="JH24" i="25"/>
  <c r="JJ24" i="25" s="1"/>
  <c r="JK24" i="25" s="1"/>
  <c r="JL24" i="25" s="1"/>
  <c r="KH24" i="25"/>
  <c r="IH24" i="25"/>
  <c r="IJ24" i="25" s="1"/>
  <c r="IK24" i="25" s="1"/>
  <c r="IL24" i="25" s="1"/>
  <c r="PH24" i="25"/>
  <c r="HH24" i="25"/>
  <c r="HJ24" i="25" s="1"/>
  <c r="HK24" i="25" s="1"/>
  <c r="HL24" i="25" s="1"/>
  <c r="QH24" i="25"/>
  <c r="AQ20" i="25"/>
  <c r="AB20" i="19" s="1"/>
  <c r="TH20" i="25"/>
  <c r="HH27" i="25"/>
  <c r="SH27" i="25"/>
  <c r="RH22" i="25"/>
  <c r="RJ22" i="25" s="1"/>
  <c r="RK22" i="25" s="1"/>
  <c r="RL22" i="25" s="1"/>
  <c r="RU22" i="25" s="1"/>
  <c r="PH27" i="25"/>
  <c r="QH27" i="25"/>
  <c r="SH22" i="25"/>
  <c r="SJ22" i="25" s="1"/>
  <c r="SK22" i="25" s="1"/>
  <c r="SL22" i="25" s="1"/>
  <c r="SU22" i="25" s="1"/>
  <c r="OH27" i="25"/>
  <c r="OJ27" i="25" s="1"/>
  <c r="OK27" i="25" s="1"/>
  <c r="OL27" i="25" s="1"/>
  <c r="RH27" i="25"/>
  <c r="LH27" i="25"/>
  <c r="KH27" i="25"/>
  <c r="PH22" i="25"/>
  <c r="PJ22" i="25" s="1"/>
  <c r="PK22" i="25" s="1"/>
  <c r="PL22" i="25" s="1"/>
  <c r="PU22" i="25" s="1"/>
  <c r="KH22" i="25"/>
  <c r="KJ22" i="25" s="1"/>
  <c r="KK22" i="25" s="1"/>
  <c r="KL22" i="25" s="1"/>
  <c r="KQ22" i="25" s="1"/>
  <c r="OH22" i="25"/>
  <c r="OJ22" i="25" s="1"/>
  <c r="OK22" i="25" s="1"/>
  <c r="OL22" i="25" s="1"/>
  <c r="HH22" i="25"/>
  <c r="HJ22" i="25" s="1"/>
  <c r="HK22" i="25" s="1"/>
  <c r="HL22" i="25" s="1"/>
  <c r="HQ22" i="25" s="1"/>
  <c r="NH22" i="25"/>
  <c r="NJ22" i="25" s="1"/>
  <c r="NK22" i="25" s="1"/>
  <c r="NL22" i="25" s="1"/>
  <c r="NQ22" i="25" s="1"/>
  <c r="MH22" i="25"/>
  <c r="MJ22" i="25" s="1"/>
  <c r="MK22" i="25" s="1"/>
  <c r="ML22" i="25" s="1"/>
  <c r="MQ22" i="25" s="1"/>
  <c r="IH27" i="25"/>
  <c r="JH27" i="25"/>
  <c r="MH27" i="25"/>
  <c r="MJ27" i="25" s="1"/>
  <c r="MK27" i="25" s="1"/>
  <c r="ML27" i="25" s="1"/>
  <c r="IH22" i="25"/>
  <c r="IJ22" i="25" s="1"/>
  <c r="IK22" i="25" s="1"/>
  <c r="IL22" i="25" s="1"/>
  <c r="IQ22" i="25" s="1"/>
  <c r="LH22" i="25"/>
  <c r="LJ22" i="25" s="1"/>
  <c r="LK22" i="25" s="1"/>
  <c r="LL22" i="25" s="1"/>
  <c r="LQ22" i="25" s="1"/>
  <c r="UH20" i="25"/>
  <c r="WH20" i="25"/>
  <c r="WJ20" i="25" s="1"/>
  <c r="WK20" i="25" s="1"/>
  <c r="JH22" i="25"/>
  <c r="JJ22" i="25" s="1"/>
  <c r="JK22" i="25" s="1"/>
  <c r="JL22" i="25" s="1"/>
  <c r="JQ22" i="25" s="1"/>
  <c r="EM22" i="25"/>
  <c r="TH22" i="25"/>
  <c r="DK22" i="25"/>
  <c r="DM22" i="25" s="1"/>
  <c r="DN22" i="25" s="1"/>
  <c r="DO22" i="25" s="1"/>
  <c r="AQ22" i="25"/>
  <c r="AB22" i="19" s="1"/>
  <c r="WH22" i="25"/>
  <c r="WJ22" i="25" s="1"/>
  <c r="WK22" i="25" s="1"/>
  <c r="WL22" i="25" s="1"/>
  <c r="WQ22" i="25" s="1"/>
  <c r="UH22" i="25"/>
  <c r="UJ22" i="25" s="1"/>
  <c r="UK22" i="25" s="1"/>
  <c r="UL22" i="25" s="1"/>
  <c r="RP22" i="25"/>
  <c r="VJ22" i="25"/>
  <c r="VK22" i="25" s="1"/>
  <c r="VL22" i="25" s="1"/>
  <c r="VQ22" i="25" s="1"/>
  <c r="VJ30" i="25"/>
  <c r="VK30" i="25" s="1"/>
  <c r="VL30" i="25" s="1"/>
  <c r="VQ30" i="25" s="1"/>
  <c r="WJ25" i="25"/>
  <c r="WK25" i="25" s="1"/>
  <c r="WL25" i="25" s="1"/>
  <c r="WQ25" i="25" s="1"/>
  <c r="VJ26" i="25"/>
  <c r="VK26" i="25" s="1"/>
  <c r="VL26" i="25" s="1"/>
  <c r="VQ26" i="25" s="1"/>
  <c r="VJ27" i="25"/>
  <c r="VK27" i="25" s="1"/>
  <c r="VL27" i="25" s="1"/>
  <c r="VQ27" i="25" s="1"/>
  <c r="VJ29" i="25"/>
  <c r="VK29" i="25" s="1"/>
  <c r="VL29" i="25" s="1"/>
  <c r="VQ29" i="25" s="1"/>
  <c r="VJ24" i="25"/>
  <c r="VK24" i="25" s="1"/>
  <c r="VL24" i="25" s="1"/>
  <c r="VQ24" i="25" s="1"/>
  <c r="VJ25" i="25"/>
  <c r="VK25" i="25" s="1"/>
  <c r="VL25" i="25" s="1"/>
  <c r="VQ25" i="25" s="1"/>
  <c r="WJ23" i="25"/>
  <c r="WK23" i="25" s="1"/>
  <c r="WL23" i="25" s="1"/>
  <c r="WQ23" i="25" s="1"/>
  <c r="WJ29" i="25"/>
  <c r="WK29" i="25" s="1"/>
  <c r="WL29" i="25" s="1"/>
  <c r="WQ29" i="25" s="1"/>
  <c r="VJ28" i="25"/>
  <c r="VK28" i="25" s="1"/>
  <c r="VL28" i="25" s="1"/>
  <c r="VQ28" i="25" s="1"/>
  <c r="WJ24" i="25"/>
  <c r="WK24" i="25" s="1"/>
  <c r="WL24" i="25" s="1"/>
  <c r="WQ24" i="25" s="1"/>
  <c r="WJ31" i="25"/>
  <c r="WK31" i="25" s="1"/>
  <c r="WL31" i="25" s="1"/>
  <c r="WQ31" i="25" s="1"/>
  <c r="VJ23" i="25"/>
  <c r="VK23" i="25" s="1"/>
  <c r="VL23" i="25" s="1"/>
  <c r="VQ23" i="25" s="1"/>
  <c r="WJ28" i="25"/>
  <c r="WK28" i="25" s="1"/>
  <c r="WL28" i="25" s="1"/>
  <c r="WQ28" i="25" s="1"/>
  <c r="WJ21" i="25"/>
  <c r="WK21" i="25" s="1"/>
  <c r="WL21" i="25" s="1"/>
  <c r="WQ21" i="25" s="1"/>
  <c r="WJ30" i="25"/>
  <c r="WK30" i="25" s="1"/>
  <c r="WL30" i="25" s="1"/>
  <c r="WQ30" i="25" s="1"/>
  <c r="VJ31" i="25"/>
  <c r="VK31" i="25" s="1"/>
  <c r="VL31" i="25" s="1"/>
  <c r="VQ31" i="25" s="1"/>
  <c r="WJ26" i="25"/>
  <c r="WK26" i="25" s="1"/>
  <c r="WL26" i="25" s="1"/>
  <c r="WQ26" i="25" s="1"/>
  <c r="WJ27" i="25"/>
  <c r="WK27" i="25" s="1"/>
  <c r="WL27" i="25" s="1"/>
  <c r="WQ27" i="25" s="1"/>
  <c r="CB20" i="25"/>
  <c r="BZ20" i="25" s="1"/>
  <c r="VJ20" i="25"/>
  <c r="VK20" i="25" s="1"/>
  <c r="QH22" i="25"/>
  <c r="QJ22" i="25" s="1"/>
  <c r="QK22" i="25" s="1"/>
  <c r="QL22" i="25" s="1"/>
  <c r="QU22" i="25" s="1"/>
  <c r="FS52" i="25"/>
  <c r="FR52" i="25"/>
  <c r="BK52" i="25"/>
  <c r="UL52" i="25"/>
  <c r="UQ52" i="25" s="1"/>
  <c r="BI52" i="25"/>
  <c r="TL52" i="25"/>
  <c r="TQ52" i="25" s="1"/>
  <c r="DT52" i="25"/>
  <c r="BF55" i="25"/>
  <c r="J70" i="3" s="1"/>
  <c r="BF53" i="25"/>
  <c r="J68" i="3" s="1"/>
  <c r="BF54" i="25"/>
  <c r="J69" i="3" s="1"/>
  <c r="BF40" i="25"/>
  <c r="J55" i="3" s="1"/>
  <c r="BF39" i="25"/>
  <c r="J54" i="3" s="1"/>
  <c r="BF44" i="25"/>
  <c r="J59" i="3" s="1"/>
  <c r="FQ45" i="25"/>
  <c r="RQ48" i="25"/>
  <c r="LQ48" i="25"/>
  <c r="FQ49" i="25"/>
  <c r="FS49" i="25" s="1"/>
  <c r="DT39" i="25"/>
  <c r="FQ43" i="25"/>
  <c r="FQ46" i="25"/>
  <c r="FQ41" i="25"/>
  <c r="FQ50" i="25"/>
  <c r="PQ48" i="25"/>
  <c r="HQ48" i="25"/>
  <c r="BF52" i="25"/>
  <c r="J67" i="3" s="1"/>
  <c r="BF49" i="25"/>
  <c r="J64" i="3" s="1"/>
  <c r="BF43" i="25"/>
  <c r="J58" i="3" s="1"/>
  <c r="BF41" i="25"/>
  <c r="J56" i="3" s="1"/>
  <c r="FQ39" i="25"/>
  <c r="FQ48" i="25"/>
  <c r="FQ44" i="25"/>
  <c r="BF45" i="25"/>
  <c r="J60" i="3" s="1"/>
  <c r="BF50" i="25"/>
  <c r="J65" i="3" s="1"/>
  <c r="BF46" i="25"/>
  <c r="J61" i="3" s="1"/>
  <c r="NQ48" i="25"/>
  <c r="JQ48" i="25"/>
  <c r="BF38" i="25"/>
  <c r="J53" i="3" s="1"/>
  <c r="BF34" i="25"/>
  <c r="BF31" i="25"/>
  <c r="FQ38" i="25"/>
  <c r="FR38" i="25" s="1"/>
  <c r="AU33" i="25"/>
  <c r="AU32" i="25"/>
  <c r="FQ35" i="25"/>
  <c r="FQ36" i="25"/>
  <c r="FR36" i="25" s="1"/>
  <c r="BF37" i="25"/>
  <c r="BF36" i="25"/>
  <c r="BF33" i="25"/>
  <c r="BF35" i="25"/>
  <c r="BF32" i="25"/>
  <c r="FQ31" i="25"/>
  <c r="FS31" i="25" s="1"/>
  <c r="FQ37" i="25"/>
  <c r="FR37" i="25" s="1"/>
  <c r="FQ34" i="25"/>
  <c r="FR34" i="25" s="1"/>
  <c r="FQ33" i="25"/>
  <c r="BT22" i="25"/>
  <c r="FQ28" i="25"/>
  <c r="FQ26" i="25"/>
  <c r="CL24" i="25"/>
  <c r="FQ27" i="25"/>
  <c r="FQ29" i="25"/>
  <c r="FQ23" i="25"/>
  <c r="FQ24" i="25"/>
  <c r="FQ25" i="25"/>
  <c r="BF29" i="25"/>
  <c r="BF20" i="25"/>
  <c r="BF22" i="25"/>
  <c r="BF23" i="25"/>
  <c r="BF26" i="25"/>
  <c r="BF21" i="25"/>
  <c r="BF24" i="25"/>
  <c r="BF28" i="25"/>
  <c r="BF27" i="25"/>
  <c r="AU27" i="25"/>
  <c r="AU26" i="25"/>
  <c r="DT23" i="25"/>
  <c r="DU23" i="25" s="1"/>
  <c r="Q38" i="42"/>
  <c r="W38" i="42"/>
  <c r="W36" i="42"/>
  <c r="Q36" i="42"/>
  <c r="W39" i="42"/>
  <c r="Q39" i="42"/>
  <c r="W35" i="42"/>
  <c r="Q35" i="42"/>
  <c r="Q37" i="42"/>
  <c r="W37" i="42"/>
  <c r="JH79" i="25"/>
  <c r="JJ79" i="25" s="1"/>
  <c r="JK79" i="25" s="1"/>
  <c r="KH79" i="25"/>
  <c r="KJ79" i="25" s="1"/>
  <c r="KK79" i="25" s="1"/>
  <c r="KQ79" i="25" s="1"/>
  <c r="IH79" i="25"/>
  <c r="IJ79" i="25" s="1"/>
  <c r="IK79" i="25" s="1"/>
  <c r="IQ79" i="25" s="1"/>
  <c r="OH79" i="25"/>
  <c r="OJ79" i="25" s="1"/>
  <c r="OK79" i="25" s="1"/>
  <c r="OQ79" i="25" s="1"/>
  <c r="MH79" i="25"/>
  <c r="MJ79" i="25" s="1"/>
  <c r="MK79" i="25" s="1"/>
  <c r="MQ79" i="25" s="1"/>
  <c r="NH79" i="25"/>
  <c r="NJ79" i="25" s="1"/>
  <c r="NK79" i="25" s="1"/>
  <c r="RH79" i="25"/>
  <c r="RJ79" i="25" s="1"/>
  <c r="RK79" i="25" s="1"/>
  <c r="PH79" i="25"/>
  <c r="PJ79" i="25" s="1"/>
  <c r="PK79" i="25" s="1"/>
  <c r="QH79" i="25"/>
  <c r="QJ79" i="25" s="1"/>
  <c r="QK79" i="25" s="1"/>
  <c r="QQ79" i="25" s="1"/>
  <c r="HH79" i="25"/>
  <c r="HJ79" i="25" s="1"/>
  <c r="HK79" i="25" s="1"/>
  <c r="LH79" i="25"/>
  <c r="LJ79" i="25" s="1"/>
  <c r="LK79" i="25" s="1"/>
  <c r="SH79" i="25"/>
  <c r="SJ79" i="25" s="1"/>
  <c r="SK79" i="25" s="1"/>
  <c r="SQ79" i="25" s="1"/>
  <c r="DK81" i="25"/>
  <c r="DM81" i="25" s="1"/>
  <c r="DN81" i="25" s="1"/>
  <c r="EM81" i="25"/>
  <c r="ET81" i="25"/>
  <c r="GH81" i="25"/>
  <c r="GJ81" i="25" s="1"/>
  <c r="GK81" i="25" s="1"/>
  <c r="GQ81" i="25" s="1"/>
  <c r="AQ81" i="25"/>
  <c r="AB81" i="19" s="1"/>
  <c r="FH81" i="25"/>
  <c r="FJ81" i="25" s="1"/>
  <c r="FK81" i="25" s="1"/>
  <c r="DS81" i="25"/>
  <c r="CB81" i="25" s="1"/>
  <c r="BZ81" i="25" s="1"/>
  <c r="AL81" i="25" s="1"/>
  <c r="W81" i="19" s="1"/>
  <c r="UH81" i="25"/>
  <c r="UJ81" i="25" s="1"/>
  <c r="UK81" i="25" s="1"/>
  <c r="UQ81" i="25" s="1"/>
  <c r="TH81" i="25"/>
  <c r="TJ81" i="25" s="1"/>
  <c r="TK81" i="25" s="1"/>
  <c r="TQ81" i="25" s="1"/>
  <c r="MH101" i="25"/>
  <c r="MJ101" i="25" s="1"/>
  <c r="MK101" i="25" s="1"/>
  <c r="MQ101" i="25" s="1"/>
  <c r="KH101" i="25"/>
  <c r="KJ101" i="25" s="1"/>
  <c r="KK101" i="25" s="1"/>
  <c r="KQ101" i="25" s="1"/>
  <c r="NH101" i="25"/>
  <c r="NJ101" i="25" s="1"/>
  <c r="NK101" i="25" s="1"/>
  <c r="SH101" i="25"/>
  <c r="SJ101" i="25" s="1"/>
  <c r="SK101" i="25" s="1"/>
  <c r="SQ101" i="25" s="1"/>
  <c r="RH101" i="25"/>
  <c r="RJ101" i="25" s="1"/>
  <c r="RK101" i="25" s="1"/>
  <c r="HH101" i="25"/>
  <c r="JH101" i="25"/>
  <c r="JJ101" i="25" s="1"/>
  <c r="JK101" i="25" s="1"/>
  <c r="QH101" i="25"/>
  <c r="QJ101" i="25" s="1"/>
  <c r="QK101" i="25" s="1"/>
  <c r="QQ101" i="25" s="1"/>
  <c r="PH101" i="25"/>
  <c r="IH101" i="25"/>
  <c r="IJ101" i="25" s="1"/>
  <c r="IK101" i="25" s="1"/>
  <c r="IQ101" i="25" s="1"/>
  <c r="OH101" i="25"/>
  <c r="OJ101" i="25" s="1"/>
  <c r="OK101" i="25" s="1"/>
  <c r="OQ101" i="25" s="1"/>
  <c r="LH101" i="25"/>
  <c r="LJ101" i="25" s="1"/>
  <c r="LK101" i="25" s="1"/>
  <c r="KH102" i="25"/>
  <c r="IH102" i="25"/>
  <c r="RH102" i="25"/>
  <c r="PH102" i="25"/>
  <c r="PJ102" i="25" s="1"/>
  <c r="PK102" i="25" s="1"/>
  <c r="SH102" i="25"/>
  <c r="SJ102" i="25" s="1"/>
  <c r="SK102" i="25" s="1"/>
  <c r="SQ102" i="25" s="1"/>
  <c r="OH102" i="25"/>
  <c r="OJ102" i="25" s="1"/>
  <c r="OK102" i="25" s="1"/>
  <c r="OQ102" i="25" s="1"/>
  <c r="QH102" i="25"/>
  <c r="QJ102" i="25" s="1"/>
  <c r="QK102" i="25" s="1"/>
  <c r="QQ102" i="25" s="1"/>
  <c r="LH102" i="25"/>
  <c r="LJ102" i="25" s="1"/>
  <c r="LK102" i="25" s="1"/>
  <c r="MH102" i="25"/>
  <c r="JH102" i="25"/>
  <c r="HH102" i="25"/>
  <c r="HJ102" i="25" s="1"/>
  <c r="HK102" i="25" s="1"/>
  <c r="NH102" i="25"/>
  <c r="DK75" i="25"/>
  <c r="DM75" i="25" s="1"/>
  <c r="DN75" i="25" s="1"/>
  <c r="TH75" i="25"/>
  <c r="TJ75" i="25" s="1"/>
  <c r="TK75" i="25" s="1"/>
  <c r="TQ75" i="25" s="1"/>
  <c r="ET75" i="25"/>
  <c r="EM75" i="25"/>
  <c r="AQ75" i="25"/>
  <c r="AB75" i="19" s="1"/>
  <c r="UH75" i="25"/>
  <c r="DS75" i="25"/>
  <c r="CB75" i="25" s="1"/>
  <c r="BZ75" i="25" s="1"/>
  <c r="AL75" i="25" s="1"/>
  <c r="W75" i="19" s="1"/>
  <c r="GH75" i="25"/>
  <c r="GJ75" i="25" s="1"/>
  <c r="GK75" i="25" s="1"/>
  <c r="GQ75" i="25" s="1"/>
  <c r="FH75" i="25"/>
  <c r="FJ75" i="25" s="1"/>
  <c r="FK75" i="25" s="1"/>
  <c r="DS90" i="25"/>
  <c r="CB90" i="25" s="1"/>
  <c r="BZ90" i="25" s="1"/>
  <c r="AL90" i="25" s="1"/>
  <c r="W90" i="19" s="1"/>
  <c r="ET90" i="25"/>
  <c r="AQ90" i="25"/>
  <c r="AB90" i="19" s="1"/>
  <c r="DK90" i="25"/>
  <c r="DM90" i="25" s="1"/>
  <c r="DN90" i="25" s="1"/>
  <c r="UH90" i="25"/>
  <c r="UJ90" i="25" s="1"/>
  <c r="UK90" i="25" s="1"/>
  <c r="UQ90" i="25" s="1"/>
  <c r="FH90" i="25"/>
  <c r="FJ90" i="25" s="1"/>
  <c r="FK90" i="25" s="1"/>
  <c r="EM90" i="25"/>
  <c r="EU90" i="25" s="1"/>
  <c r="TH90" i="25"/>
  <c r="TJ90" i="25" s="1"/>
  <c r="TK90" i="25" s="1"/>
  <c r="TQ90" i="25" s="1"/>
  <c r="GH90" i="25"/>
  <c r="GJ90" i="25" s="1"/>
  <c r="GK90" i="25" s="1"/>
  <c r="GQ90" i="25" s="1"/>
  <c r="PH81" i="25"/>
  <c r="PJ81" i="25" s="1"/>
  <c r="PK81" i="25" s="1"/>
  <c r="OH81" i="25"/>
  <c r="OJ81" i="25" s="1"/>
  <c r="OK81" i="25" s="1"/>
  <c r="OQ81" i="25" s="1"/>
  <c r="IH81" i="25"/>
  <c r="IJ81" i="25" s="1"/>
  <c r="IK81" i="25" s="1"/>
  <c r="IQ81" i="25" s="1"/>
  <c r="NH81" i="25"/>
  <c r="NJ81" i="25" s="1"/>
  <c r="NK81" i="25" s="1"/>
  <c r="JH81" i="25"/>
  <c r="JJ81" i="25" s="1"/>
  <c r="JK81" i="25" s="1"/>
  <c r="QH81" i="25"/>
  <c r="QJ81" i="25" s="1"/>
  <c r="QK81" i="25" s="1"/>
  <c r="QQ81" i="25" s="1"/>
  <c r="KH81" i="25"/>
  <c r="KJ81" i="25" s="1"/>
  <c r="KK81" i="25" s="1"/>
  <c r="KQ81" i="25" s="1"/>
  <c r="HH81" i="25"/>
  <c r="HJ81" i="25" s="1"/>
  <c r="HK81" i="25" s="1"/>
  <c r="RH81" i="25"/>
  <c r="RJ81" i="25" s="1"/>
  <c r="RK81" i="25" s="1"/>
  <c r="LH81" i="25"/>
  <c r="LJ81" i="25" s="1"/>
  <c r="LK81" i="25" s="1"/>
  <c r="SH81" i="25"/>
  <c r="SJ81" i="25" s="1"/>
  <c r="SK81" i="25" s="1"/>
  <c r="SQ81" i="25" s="1"/>
  <c r="MH81" i="25"/>
  <c r="MJ81" i="25" s="1"/>
  <c r="MK81" i="25" s="1"/>
  <c r="MQ81" i="25" s="1"/>
  <c r="GH65" i="25"/>
  <c r="GJ65" i="25" s="1"/>
  <c r="GK65" i="25" s="1"/>
  <c r="TH65" i="25"/>
  <c r="TJ65" i="25" s="1"/>
  <c r="TK65" i="25" s="1"/>
  <c r="DK65" i="25"/>
  <c r="DM65" i="25" s="1"/>
  <c r="DN65" i="25" s="1"/>
  <c r="DO65" i="25" s="1"/>
  <c r="AQ65" i="25"/>
  <c r="AB65" i="19" s="1"/>
  <c r="DS65" i="25"/>
  <c r="UH65" i="25"/>
  <c r="UJ65" i="25" s="1"/>
  <c r="UK65" i="25" s="1"/>
  <c r="ET65" i="25"/>
  <c r="EM65" i="25"/>
  <c r="FH65" i="25"/>
  <c r="FJ65" i="25" s="1"/>
  <c r="FK65" i="25" s="1"/>
  <c r="FL65" i="25" s="1"/>
  <c r="IH100" i="25"/>
  <c r="IJ100" i="25" s="1"/>
  <c r="IK100" i="25" s="1"/>
  <c r="IQ100" i="25" s="1"/>
  <c r="MH100" i="25"/>
  <c r="MJ100" i="25" s="1"/>
  <c r="MK100" i="25" s="1"/>
  <c r="MQ100" i="25" s="1"/>
  <c r="NH100" i="25"/>
  <c r="HH100" i="25"/>
  <c r="KH100" i="25"/>
  <c r="KJ100" i="25" s="1"/>
  <c r="KK100" i="25" s="1"/>
  <c r="KQ100" i="25" s="1"/>
  <c r="OH100" i="25"/>
  <c r="OJ100" i="25" s="1"/>
  <c r="OK100" i="25" s="1"/>
  <c r="OQ100" i="25" s="1"/>
  <c r="PH100" i="25"/>
  <c r="PJ100" i="25" s="1"/>
  <c r="PK100" i="25" s="1"/>
  <c r="LH100" i="25"/>
  <c r="LJ100" i="25" s="1"/>
  <c r="LK100" i="25" s="1"/>
  <c r="SH100" i="25"/>
  <c r="SJ100" i="25" s="1"/>
  <c r="SK100" i="25" s="1"/>
  <c r="SQ100" i="25" s="1"/>
  <c r="RH100" i="25"/>
  <c r="QH100" i="25"/>
  <c r="QJ100" i="25" s="1"/>
  <c r="QK100" i="25" s="1"/>
  <c r="QQ100" i="25" s="1"/>
  <c r="JH100" i="25"/>
  <c r="RH75" i="25"/>
  <c r="RJ75" i="25" s="1"/>
  <c r="RK75" i="25" s="1"/>
  <c r="QH75" i="25"/>
  <c r="QJ75" i="25" s="1"/>
  <c r="QK75" i="25" s="1"/>
  <c r="QQ75" i="25" s="1"/>
  <c r="NH75" i="25"/>
  <c r="NJ75" i="25" s="1"/>
  <c r="NK75" i="25" s="1"/>
  <c r="PH75" i="25"/>
  <c r="PJ75" i="25" s="1"/>
  <c r="PK75" i="25" s="1"/>
  <c r="JH75" i="25"/>
  <c r="JJ75" i="25" s="1"/>
  <c r="JK75" i="25" s="1"/>
  <c r="LH75" i="25"/>
  <c r="LJ75" i="25" s="1"/>
  <c r="LK75" i="25" s="1"/>
  <c r="SH75" i="25"/>
  <c r="SJ75" i="25" s="1"/>
  <c r="SK75" i="25" s="1"/>
  <c r="SQ75" i="25" s="1"/>
  <c r="KH75" i="25"/>
  <c r="KJ75" i="25" s="1"/>
  <c r="KK75" i="25" s="1"/>
  <c r="KQ75" i="25" s="1"/>
  <c r="IH75" i="25"/>
  <c r="IJ75" i="25" s="1"/>
  <c r="IK75" i="25" s="1"/>
  <c r="IQ75" i="25" s="1"/>
  <c r="OH75" i="25"/>
  <c r="OJ75" i="25" s="1"/>
  <c r="OK75" i="25" s="1"/>
  <c r="OQ75" i="25" s="1"/>
  <c r="MH75" i="25"/>
  <c r="MJ75" i="25" s="1"/>
  <c r="MK75" i="25" s="1"/>
  <c r="MQ75" i="25" s="1"/>
  <c r="HH75" i="25"/>
  <c r="HJ75" i="25" s="1"/>
  <c r="HK75" i="25" s="1"/>
  <c r="PH85" i="25"/>
  <c r="PJ85" i="25" s="1"/>
  <c r="PK85" i="25" s="1"/>
  <c r="QH85" i="25"/>
  <c r="QJ85" i="25" s="1"/>
  <c r="QK85" i="25" s="1"/>
  <c r="QQ85" i="25" s="1"/>
  <c r="LH85" i="25"/>
  <c r="LJ85" i="25" s="1"/>
  <c r="LK85" i="25" s="1"/>
  <c r="NH85" i="25"/>
  <c r="NJ85" i="25" s="1"/>
  <c r="NK85" i="25" s="1"/>
  <c r="KH85" i="25"/>
  <c r="KJ85" i="25" s="1"/>
  <c r="KK85" i="25" s="1"/>
  <c r="KQ85" i="25" s="1"/>
  <c r="SH85" i="25"/>
  <c r="SJ85" i="25" s="1"/>
  <c r="SK85" i="25" s="1"/>
  <c r="SQ85" i="25" s="1"/>
  <c r="JH85" i="25"/>
  <c r="JJ85" i="25" s="1"/>
  <c r="JK85" i="25" s="1"/>
  <c r="RH85" i="25"/>
  <c r="RJ85" i="25" s="1"/>
  <c r="RK85" i="25" s="1"/>
  <c r="MH85" i="25"/>
  <c r="MJ85" i="25" s="1"/>
  <c r="MK85" i="25" s="1"/>
  <c r="MQ85" i="25" s="1"/>
  <c r="IH85" i="25"/>
  <c r="IJ85" i="25" s="1"/>
  <c r="IK85" i="25" s="1"/>
  <c r="IQ85" i="25" s="1"/>
  <c r="OH85" i="25"/>
  <c r="OJ85" i="25" s="1"/>
  <c r="OK85" i="25" s="1"/>
  <c r="OQ85" i="25" s="1"/>
  <c r="HH85" i="25"/>
  <c r="HJ85" i="25" s="1"/>
  <c r="HK85" i="25" s="1"/>
  <c r="QH65" i="25"/>
  <c r="QJ65" i="25" s="1"/>
  <c r="QK65" i="25" s="1"/>
  <c r="IH65" i="25"/>
  <c r="IJ65" i="25" s="1"/>
  <c r="IK65" i="25" s="1"/>
  <c r="PH65" i="25"/>
  <c r="PJ65" i="25" s="1"/>
  <c r="PK65" i="25" s="1"/>
  <c r="PL65" i="25" s="1"/>
  <c r="RH65" i="25"/>
  <c r="RJ65" i="25" s="1"/>
  <c r="RK65" i="25" s="1"/>
  <c r="RL65" i="25" s="1"/>
  <c r="SH65" i="25"/>
  <c r="SJ65" i="25" s="1"/>
  <c r="SK65" i="25" s="1"/>
  <c r="MH65" i="25"/>
  <c r="MJ65" i="25" s="1"/>
  <c r="MK65" i="25" s="1"/>
  <c r="KH65" i="25"/>
  <c r="KJ65" i="25" s="1"/>
  <c r="KK65" i="25" s="1"/>
  <c r="NH65" i="25"/>
  <c r="NJ65" i="25" s="1"/>
  <c r="NK65" i="25" s="1"/>
  <c r="NL65" i="25" s="1"/>
  <c r="HH65" i="25"/>
  <c r="HJ65" i="25" s="1"/>
  <c r="HK65" i="25" s="1"/>
  <c r="HL65" i="25" s="1"/>
  <c r="LH65" i="25"/>
  <c r="LJ65" i="25" s="1"/>
  <c r="LK65" i="25" s="1"/>
  <c r="LL65" i="25" s="1"/>
  <c r="OH65" i="25"/>
  <c r="OJ65" i="25" s="1"/>
  <c r="OK65" i="25" s="1"/>
  <c r="JH65" i="25"/>
  <c r="JJ65" i="25" s="1"/>
  <c r="JK65" i="25" s="1"/>
  <c r="JL65" i="25" s="1"/>
  <c r="KH72" i="25"/>
  <c r="KJ72" i="25" s="1"/>
  <c r="KK72" i="25" s="1"/>
  <c r="KQ72" i="25" s="1"/>
  <c r="JH72" i="25"/>
  <c r="JJ72" i="25" s="1"/>
  <c r="JK72" i="25" s="1"/>
  <c r="HH72" i="25"/>
  <c r="HJ72" i="25" s="1"/>
  <c r="HK72" i="25" s="1"/>
  <c r="SH72" i="25"/>
  <c r="SJ72" i="25" s="1"/>
  <c r="SK72" i="25" s="1"/>
  <c r="SQ72" i="25" s="1"/>
  <c r="MH72" i="25"/>
  <c r="MJ72" i="25" s="1"/>
  <c r="MK72" i="25" s="1"/>
  <c r="MQ72" i="25" s="1"/>
  <c r="NH72" i="25"/>
  <c r="NJ72" i="25" s="1"/>
  <c r="NK72" i="25" s="1"/>
  <c r="QH72" i="25"/>
  <c r="QJ72" i="25" s="1"/>
  <c r="QK72" i="25" s="1"/>
  <c r="QQ72" i="25" s="1"/>
  <c r="IH72" i="25"/>
  <c r="IJ72" i="25" s="1"/>
  <c r="IK72" i="25" s="1"/>
  <c r="IQ72" i="25" s="1"/>
  <c r="PH72" i="25"/>
  <c r="PJ72" i="25" s="1"/>
  <c r="PK72" i="25" s="1"/>
  <c r="RH72" i="25"/>
  <c r="RJ72" i="25" s="1"/>
  <c r="RK72" i="25" s="1"/>
  <c r="OH72" i="25"/>
  <c r="OJ72" i="25" s="1"/>
  <c r="OK72" i="25" s="1"/>
  <c r="OQ72" i="25" s="1"/>
  <c r="LH72" i="25"/>
  <c r="LJ72" i="25" s="1"/>
  <c r="LK72" i="25" s="1"/>
  <c r="SH94" i="25"/>
  <c r="SJ94" i="25" s="1"/>
  <c r="SK94" i="25" s="1"/>
  <c r="SQ94" i="25" s="1"/>
  <c r="OH94" i="25"/>
  <c r="OJ94" i="25" s="1"/>
  <c r="OK94" i="25" s="1"/>
  <c r="OQ94" i="25" s="1"/>
  <c r="RH94" i="25"/>
  <c r="RJ94" i="25" s="1"/>
  <c r="RK94" i="25" s="1"/>
  <c r="JH94" i="25"/>
  <c r="JJ94" i="25" s="1"/>
  <c r="JK94" i="25" s="1"/>
  <c r="NH94" i="25"/>
  <c r="NJ94" i="25" s="1"/>
  <c r="NK94" i="25" s="1"/>
  <c r="KH94" i="25"/>
  <c r="KJ94" i="25" s="1"/>
  <c r="KK94" i="25" s="1"/>
  <c r="KQ94" i="25" s="1"/>
  <c r="IH94" i="25"/>
  <c r="QH94" i="25"/>
  <c r="QJ94" i="25" s="1"/>
  <c r="QK94" i="25" s="1"/>
  <c r="QQ94" i="25" s="1"/>
  <c r="HH94" i="25"/>
  <c r="HJ94" i="25" s="1"/>
  <c r="HK94" i="25" s="1"/>
  <c r="MH94" i="25"/>
  <c r="MJ94" i="25" s="1"/>
  <c r="MK94" i="25" s="1"/>
  <c r="MQ94" i="25" s="1"/>
  <c r="LH94" i="25"/>
  <c r="LJ94" i="25" s="1"/>
  <c r="LK94" i="25" s="1"/>
  <c r="PH94" i="25"/>
  <c r="PJ94" i="25" s="1"/>
  <c r="PK94" i="25" s="1"/>
  <c r="SR88" i="25"/>
  <c r="SS88" i="25"/>
  <c r="LQ88" i="25"/>
  <c r="BU88" i="25"/>
  <c r="AY88" i="25" s="1"/>
  <c r="IR88" i="25"/>
  <c r="IS88" i="25"/>
  <c r="KH98" i="25"/>
  <c r="KJ98" i="25" s="1"/>
  <c r="KK98" i="25" s="1"/>
  <c r="KQ98" i="25" s="1"/>
  <c r="IH98" i="25"/>
  <c r="IJ98" i="25" s="1"/>
  <c r="IK98" i="25" s="1"/>
  <c r="IQ98" i="25" s="1"/>
  <c r="QH98" i="25"/>
  <c r="QJ98" i="25" s="1"/>
  <c r="QK98" i="25" s="1"/>
  <c r="QQ98" i="25" s="1"/>
  <c r="JH98" i="25"/>
  <c r="JJ98" i="25" s="1"/>
  <c r="JK98" i="25" s="1"/>
  <c r="PH98" i="25"/>
  <c r="PJ98" i="25" s="1"/>
  <c r="PK98" i="25" s="1"/>
  <c r="HH98" i="25"/>
  <c r="HJ98" i="25" s="1"/>
  <c r="HK98" i="25" s="1"/>
  <c r="NH98" i="25"/>
  <c r="NJ98" i="25" s="1"/>
  <c r="NK98" i="25" s="1"/>
  <c r="LH98" i="25"/>
  <c r="LJ98" i="25" s="1"/>
  <c r="LK98" i="25" s="1"/>
  <c r="SH98" i="25"/>
  <c r="SJ98" i="25" s="1"/>
  <c r="SK98" i="25" s="1"/>
  <c r="SQ98" i="25" s="1"/>
  <c r="RH98" i="25"/>
  <c r="RJ98" i="25" s="1"/>
  <c r="RK98" i="25" s="1"/>
  <c r="OH98" i="25"/>
  <c r="OJ98" i="25" s="1"/>
  <c r="OK98" i="25" s="1"/>
  <c r="OQ98" i="25" s="1"/>
  <c r="MH98" i="25"/>
  <c r="MJ98" i="25" s="1"/>
  <c r="MK98" i="25" s="1"/>
  <c r="MQ98" i="25" s="1"/>
  <c r="DS92" i="25"/>
  <c r="FH92" i="25"/>
  <c r="FJ92" i="25" s="1"/>
  <c r="FK92" i="25" s="1"/>
  <c r="EM92" i="25"/>
  <c r="ET92" i="25"/>
  <c r="CB92" i="25" s="1"/>
  <c r="BZ92" i="25" s="1"/>
  <c r="AL92" i="25" s="1"/>
  <c r="W92" i="19" s="1"/>
  <c r="DK92" i="25"/>
  <c r="DM92" i="25" s="1"/>
  <c r="DN92" i="25" s="1"/>
  <c r="GH92" i="25"/>
  <c r="GJ92" i="25" s="1"/>
  <c r="GK92" i="25" s="1"/>
  <c r="GQ92" i="25" s="1"/>
  <c r="AQ92" i="25"/>
  <c r="AB92" i="19" s="1"/>
  <c r="UH92" i="25"/>
  <c r="UJ92" i="25" s="1"/>
  <c r="UK92" i="25" s="1"/>
  <c r="UQ92" i="25" s="1"/>
  <c r="TH92" i="25"/>
  <c r="TJ92" i="25" s="1"/>
  <c r="TK92" i="25" s="1"/>
  <c r="TQ92" i="25" s="1"/>
  <c r="ET71" i="25"/>
  <c r="AQ71" i="25"/>
  <c r="AB71" i="19" s="1"/>
  <c r="UH71" i="25"/>
  <c r="UJ71" i="25" s="1"/>
  <c r="UK71" i="25" s="1"/>
  <c r="DK71" i="25"/>
  <c r="DM71" i="25" s="1"/>
  <c r="DN71" i="25" s="1"/>
  <c r="DO71" i="25" s="1"/>
  <c r="TH71" i="25"/>
  <c r="TJ71" i="25" s="1"/>
  <c r="TK71" i="25" s="1"/>
  <c r="DS71" i="25"/>
  <c r="EM71" i="25"/>
  <c r="FH71" i="25"/>
  <c r="FJ71" i="25" s="1"/>
  <c r="FK71" i="25" s="1"/>
  <c r="FL71" i="25" s="1"/>
  <c r="GH71" i="25"/>
  <c r="GJ71" i="25" s="1"/>
  <c r="GK71" i="25" s="1"/>
  <c r="DK77" i="25"/>
  <c r="DM77" i="25" s="1"/>
  <c r="DN77" i="25" s="1"/>
  <c r="GH77" i="25"/>
  <c r="GJ77" i="25" s="1"/>
  <c r="GK77" i="25" s="1"/>
  <c r="GQ77" i="25" s="1"/>
  <c r="ET77" i="25"/>
  <c r="EM77" i="25"/>
  <c r="FH77" i="25"/>
  <c r="FJ77" i="25" s="1"/>
  <c r="FK77" i="25" s="1"/>
  <c r="AQ77" i="25"/>
  <c r="AB77" i="19" s="1"/>
  <c r="DS77" i="25"/>
  <c r="CB77" i="25" s="1"/>
  <c r="BZ77" i="25" s="1"/>
  <c r="AL77" i="25" s="1"/>
  <c r="W77" i="19" s="1"/>
  <c r="UH77" i="25"/>
  <c r="UJ77" i="25" s="1"/>
  <c r="UK77" i="25" s="1"/>
  <c r="UQ77" i="25" s="1"/>
  <c r="TH77" i="25"/>
  <c r="TJ77" i="25" s="1"/>
  <c r="TK77" i="25" s="1"/>
  <c r="TQ77" i="25" s="1"/>
  <c r="LH91" i="25"/>
  <c r="LJ91" i="25" s="1"/>
  <c r="LK91" i="25" s="1"/>
  <c r="HH91" i="25"/>
  <c r="HJ91" i="25" s="1"/>
  <c r="HK91" i="25" s="1"/>
  <c r="OH91" i="25"/>
  <c r="OJ91" i="25" s="1"/>
  <c r="OK91" i="25" s="1"/>
  <c r="OQ91" i="25" s="1"/>
  <c r="NH91" i="25"/>
  <c r="JH91" i="25"/>
  <c r="JJ91" i="25" s="1"/>
  <c r="JK91" i="25" s="1"/>
  <c r="KH91" i="25"/>
  <c r="KJ91" i="25" s="1"/>
  <c r="KK91" i="25" s="1"/>
  <c r="KQ91" i="25" s="1"/>
  <c r="SH91" i="25"/>
  <c r="SJ91" i="25" s="1"/>
  <c r="SK91" i="25" s="1"/>
  <c r="SQ91" i="25" s="1"/>
  <c r="QH91" i="25"/>
  <c r="QJ91" i="25" s="1"/>
  <c r="QK91" i="25" s="1"/>
  <c r="QQ91" i="25" s="1"/>
  <c r="PH91" i="25"/>
  <c r="PJ91" i="25" s="1"/>
  <c r="PK91" i="25" s="1"/>
  <c r="IH91" i="25"/>
  <c r="IJ91" i="25" s="1"/>
  <c r="IK91" i="25" s="1"/>
  <c r="IQ91" i="25" s="1"/>
  <c r="MH91" i="25"/>
  <c r="MJ91" i="25" s="1"/>
  <c r="MK91" i="25" s="1"/>
  <c r="MQ91" i="25" s="1"/>
  <c r="RH91" i="25"/>
  <c r="RJ91" i="25" s="1"/>
  <c r="RK91" i="25" s="1"/>
  <c r="UH103" i="25"/>
  <c r="UJ103" i="25" s="1"/>
  <c r="UK103" i="25" s="1"/>
  <c r="UQ103" i="25" s="1"/>
  <c r="ET103" i="25"/>
  <c r="DS103" i="25"/>
  <c r="CB103" i="25" s="1"/>
  <c r="BZ103" i="25" s="1"/>
  <c r="AL103" i="25" s="1"/>
  <c r="W103" i="19" s="1"/>
  <c r="FH103" i="25"/>
  <c r="FJ103" i="25" s="1"/>
  <c r="FK103" i="25" s="1"/>
  <c r="EM103" i="25"/>
  <c r="EU103" i="25" s="1"/>
  <c r="AQ103" i="25"/>
  <c r="AB103" i="19" s="1"/>
  <c r="GH103" i="25"/>
  <c r="GJ103" i="25" s="1"/>
  <c r="GK103" i="25" s="1"/>
  <c r="GQ103" i="25" s="1"/>
  <c r="DK103" i="25"/>
  <c r="TH103" i="25"/>
  <c r="AQ86" i="25"/>
  <c r="AB86" i="19" s="1"/>
  <c r="FH86" i="25"/>
  <c r="FJ86" i="25" s="1"/>
  <c r="FK86" i="25" s="1"/>
  <c r="EM86" i="25"/>
  <c r="UH86" i="25"/>
  <c r="DK86" i="25"/>
  <c r="DM86" i="25" s="1"/>
  <c r="DN86" i="25" s="1"/>
  <c r="DS86" i="25"/>
  <c r="CB86" i="25" s="1"/>
  <c r="BZ86" i="25" s="1"/>
  <c r="AL86" i="25" s="1"/>
  <c r="W86" i="19" s="1"/>
  <c r="ET86" i="25"/>
  <c r="TH86" i="25"/>
  <c r="TJ86" i="25" s="1"/>
  <c r="TK86" i="25" s="1"/>
  <c r="TQ86" i="25" s="1"/>
  <c r="GH86" i="25"/>
  <c r="GJ86" i="25" s="1"/>
  <c r="GK86" i="25" s="1"/>
  <c r="GQ86" i="25" s="1"/>
  <c r="JH84" i="25"/>
  <c r="JJ84" i="25" s="1"/>
  <c r="JK84" i="25" s="1"/>
  <c r="IH84" i="25"/>
  <c r="IJ84" i="25" s="1"/>
  <c r="IK84" i="25" s="1"/>
  <c r="IQ84" i="25" s="1"/>
  <c r="RH84" i="25"/>
  <c r="RJ84" i="25" s="1"/>
  <c r="RK84" i="25" s="1"/>
  <c r="MH84" i="25"/>
  <c r="MJ84" i="25" s="1"/>
  <c r="MK84" i="25" s="1"/>
  <c r="MQ84" i="25" s="1"/>
  <c r="HH84" i="25"/>
  <c r="HJ84" i="25" s="1"/>
  <c r="HK84" i="25" s="1"/>
  <c r="QH84" i="25"/>
  <c r="QJ84" i="25" s="1"/>
  <c r="QK84" i="25" s="1"/>
  <c r="QQ84" i="25" s="1"/>
  <c r="KH84" i="25"/>
  <c r="KJ84" i="25" s="1"/>
  <c r="KK84" i="25" s="1"/>
  <c r="KQ84" i="25" s="1"/>
  <c r="NH84" i="25"/>
  <c r="NJ84" i="25" s="1"/>
  <c r="NK84" i="25" s="1"/>
  <c r="PH84" i="25"/>
  <c r="PJ84" i="25" s="1"/>
  <c r="PK84" i="25" s="1"/>
  <c r="SH84" i="25"/>
  <c r="SJ84" i="25" s="1"/>
  <c r="SK84" i="25" s="1"/>
  <c r="SQ84" i="25" s="1"/>
  <c r="OH84" i="25"/>
  <c r="OJ84" i="25" s="1"/>
  <c r="OK84" i="25" s="1"/>
  <c r="OQ84" i="25" s="1"/>
  <c r="LH84" i="25"/>
  <c r="LJ84" i="25" s="1"/>
  <c r="LK84" i="25" s="1"/>
  <c r="RH93" i="25"/>
  <c r="RJ93" i="25" s="1"/>
  <c r="RK93" i="25" s="1"/>
  <c r="QH93" i="25"/>
  <c r="QJ93" i="25" s="1"/>
  <c r="QK93" i="25" s="1"/>
  <c r="QQ93" i="25" s="1"/>
  <c r="JH93" i="25"/>
  <c r="JJ93" i="25" s="1"/>
  <c r="JK93" i="25" s="1"/>
  <c r="NH93" i="25"/>
  <c r="OH93" i="25"/>
  <c r="OJ93" i="25" s="1"/>
  <c r="OK93" i="25" s="1"/>
  <c r="OQ93" i="25" s="1"/>
  <c r="IH93" i="25"/>
  <c r="IJ93" i="25" s="1"/>
  <c r="IK93" i="25" s="1"/>
  <c r="IQ93" i="25" s="1"/>
  <c r="KH93" i="25"/>
  <c r="KJ93" i="25" s="1"/>
  <c r="KK93" i="25" s="1"/>
  <c r="KQ93" i="25" s="1"/>
  <c r="LH93" i="25"/>
  <c r="LJ93" i="25" s="1"/>
  <c r="LK93" i="25" s="1"/>
  <c r="PH93" i="25"/>
  <c r="PJ93" i="25" s="1"/>
  <c r="PK93" i="25" s="1"/>
  <c r="MH93" i="25"/>
  <c r="MJ93" i="25" s="1"/>
  <c r="MK93" i="25" s="1"/>
  <c r="MQ93" i="25" s="1"/>
  <c r="SH93" i="25"/>
  <c r="SJ93" i="25" s="1"/>
  <c r="SK93" i="25" s="1"/>
  <c r="SQ93" i="25" s="1"/>
  <c r="HH93" i="25"/>
  <c r="HJ93" i="25" s="1"/>
  <c r="HK93" i="25" s="1"/>
  <c r="MH92" i="25"/>
  <c r="MJ92" i="25" s="1"/>
  <c r="MK92" i="25" s="1"/>
  <c r="MQ92" i="25" s="1"/>
  <c r="JH92" i="25"/>
  <c r="JJ92" i="25" s="1"/>
  <c r="JK92" i="25" s="1"/>
  <c r="OH92" i="25"/>
  <c r="OJ92" i="25" s="1"/>
  <c r="OK92" i="25" s="1"/>
  <c r="OQ92" i="25" s="1"/>
  <c r="RH92" i="25"/>
  <c r="RJ92" i="25" s="1"/>
  <c r="RK92" i="25" s="1"/>
  <c r="KH92" i="25"/>
  <c r="KJ92" i="25" s="1"/>
  <c r="KK92" i="25" s="1"/>
  <c r="KQ92" i="25" s="1"/>
  <c r="HH92" i="25"/>
  <c r="HJ92" i="25" s="1"/>
  <c r="HK92" i="25" s="1"/>
  <c r="NH92" i="25"/>
  <c r="NJ92" i="25" s="1"/>
  <c r="NK92" i="25" s="1"/>
  <c r="QH92" i="25"/>
  <c r="QJ92" i="25" s="1"/>
  <c r="QK92" i="25" s="1"/>
  <c r="QQ92" i="25" s="1"/>
  <c r="SH92" i="25"/>
  <c r="SJ92" i="25" s="1"/>
  <c r="SK92" i="25" s="1"/>
  <c r="SQ92" i="25" s="1"/>
  <c r="PH92" i="25"/>
  <c r="PJ92" i="25" s="1"/>
  <c r="PK92" i="25" s="1"/>
  <c r="IH92" i="25"/>
  <c r="IJ92" i="25" s="1"/>
  <c r="IK92" i="25" s="1"/>
  <c r="IQ92" i="25" s="1"/>
  <c r="LH92" i="25"/>
  <c r="LJ92" i="25" s="1"/>
  <c r="LK92" i="25" s="1"/>
  <c r="RH103" i="25"/>
  <c r="IH103" i="25"/>
  <c r="KH103" i="25"/>
  <c r="KJ103" i="25" s="1"/>
  <c r="KK103" i="25" s="1"/>
  <c r="KQ103" i="25" s="1"/>
  <c r="LH103" i="25"/>
  <c r="MH103" i="25"/>
  <c r="MJ103" i="25" s="1"/>
  <c r="MK103" i="25" s="1"/>
  <c r="MQ103" i="25" s="1"/>
  <c r="HH103" i="25"/>
  <c r="QH103" i="25"/>
  <c r="NH103" i="25"/>
  <c r="NJ103" i="25" s="1"/>
  <c r="NK103" i="25" s="1"/>
  <c r="PH103" i="25"/>
  <c r="JH103" i="25"/>
  <c r="JJ103" i="25" s="1"/>
  <c r="JK103" i="25" s="1"/>
  <c r="OH103" i="25"/>
  <c r="SH103" i="25"/>
  <c r="SJ103" i="25" s="1"/>
  <c r="SK103" i="25" s="1"/>
  <c r="SQ103" i="25" s="1"/>
  <c r="DK99" i="25"/>
  <c r="DM99" i="25" s="1"/>
  <c r="DN99" i="25" s="1"/>
  <c r="EM99" i="25"/>
  <c r="AQ99" i="25"/>
  <c r="AB99" i="19" s="1"/>
  <c r="FH99" i="25"/>
  <c r="FJ99" i="25" s="1"/>
  <c r="FK99" i="25" s="1"/>
  <c r="ET99" i="25"/>
  <c r="GH99" i="25"/>
  <c r="GJ99" i="25" s="1"/>
  <c r="GK99" i="25" s="1"/>
  <c r="GQ99" i="25" s="1"/>
  <c r="DS99" i="25"/>
  <c r="CB99" i="25" s="1"/>
  <c r="BZ99" i="25" s="1"/>
  <c r="AL99" i="25" s="1"/>
  <c r="W99" i="19" s="1"/>
  <c r="TH99" i="25"/>
  <c r="UH99" i="25"/>
  <c r="UJ99" i="25" s="1"/>
  <c r="UK99" i="25" s="1"/>
  <c r="UQ99" i="25" s="1"/>
  <c r="ET85" i="25"/>
  <c r="UH85" i="25"/>
  <c r="DK85" i="25"/>
  <c r="DM85" i="25" s="1"/>
  <c r="DN85" i="25" s="1"/>
  <c r="EM85" i="25"/>
  <c r="EU85" i="25" s="1"/>
  <c r="FH85" i="25"/>
  <c r="FJ85" i="25" s="1"/>
  <c r="FK85" i="25" s="1"/>
  <c r="DS85" i="25"/>
  <c r="CB85" i="25" s="1"/>
  <c r="BZ85" i="25" s="1"/>
  <c r="AL85" i="25" s="1"/>
  <c r="W85" i="19" s="1"/>
  <c r="AQ85" i="25"/>
  <c r="AB85" i="19" s="1"/>
  <c r="GH85" i="25"/>
  <c r="GJ85" i="25" s="1"/>
  <c r="GK85" i="25" s="1"/>
  <c r="GQ85" i="25" s="1"/>
  <c r="TH85" i="25"/>
  <c r="TJ85" i="25" s="1"/>
  <c r="TK85" i="25" s="1"/>
  <c r="TQ85" i="25" s="1"/>
  <c r="MH67" i="25"/>
  <c r="MJ67" i="25" s="1"/>
  <c r="MK67" i="25" s="1"/>
  <c r="NH67" i="25"/>
  <c r="NJ67" i="25" s="1"/>
  <c r="NK67" i="25" s="1"/>
  <c r="NL67" i="25" s="1"/>
  <c r="HH67" i="25"/>
  <c r="HJ67" i="25" s="1"/>
  <c r="HK67" i="25" s="1"/>
  <c r="HL67" i="25" s="1"/>
  <c r="LH67" i="25"/>
  <c r="LJ67" i="25" s="1"/>
  <c r="LK67" i="25" s="1"/>
  <c r="LL67" i="25" s="1"/>
  <c r="PH67" i="25"/>
  <c r="PJ67" i="25" s="1"/>
  <c r="PK67" i="25" s="1"/>
  <c r="PL67" i="25" s="1"/>
  <c r="JH67" i="25"/>
  <c r="JJ67" i="25" s="1"/>
  <c r="JK67" i="25" s="1"/>
  <c r="JL67" i="25" s="1"/>
  <c r="IH67" i="25"/>
  <c r="IJ67" i="25" s="1"/>
  <c r="IK67" i="25" s="1"/>
  <c r="SH67" i="25"/>
  <c r="SJ67" i="25" s="1"/>
  <c r="SK67" i="25" s="1"/>
  <c r="QH67" i="25"/>
  <c r="QJ67" i="25" s="1"/>
  <c r="QK67" i="25" s="1"/>
  <c r="RH67" i="25"/>
  <c r="RJ67" i="25" s="1"/>
  <c r="RK67" i="25" s="1"/>
  <c r="RL67" i="25" s="1"/>
  <c r="KH67" i="25"/>
  <c r="KJ67" i="25" s="1"/>
  <c r="KK67" i="25" s="1"/>
  <c r="OH67" i="25"/>
  <c r="OJ67" i="25" s="1"/>
  <c r="OK67" i="25" s="1"/>
  <c r="TH97" i="25"/>
  <c r="TJ97" i="25" s="1"/>
  <c r="TK97" i="25" s="1"/>
  <c r="TQ97" i="25" s="1"/>
  <c r="AQ97" i="25"/>
  <c r="AB97" i="19" s="1"/>
  <c r="DS97" i="25"/>
  <c r="CB97" i="25" s="1"/>
  <c r="BZ97" i="25" s="1"/>
  <c r="AL97" i="25" s="1"/>
  <c r="W97" i="19" s="1"/>
  <c r="ET97" i="25"/>
  <c r="FH97" i="25"/>
  <c r="GH97" i="25"/>
  <c r="GJ97" i="25" s="1"/>
  <c r="GK97" i="25" s="1"/>
  <c r="GQ97" i="25" s="1"/>
  <c r="UH97" i="25"/>
  <c r="UJ97" i="25" s="1"/>
  <c r="UK97" i="25" s="1"/>
  <c r="UQ97" i="25" s="1"/>
  <c r="DK97" i="25"/>
  <c r="DM97" i="25" s="1"/>
  <c r="DN97" i="25" s="1"/>
  <c r="EM97" i="25"/>
  <c r="AQ72" i="25"/>
  <c r="AB72" i="19" s="1"/>
  <c r="GH72" i="25"/>
  <c r="GJ72" i="25" s="1"/>
  <c r="GK72" i="25" s="1"/>
  <c r="GQ72" i="25" s="1"/>
  <c r="DS72" i="25"/>
  <c r="CB72" i="25" s="1"/>
  <c r="BZ72" i="25" s="1"/>
  <c r="AL72" i="25" s="1"/>
  <c r="W72" i="19" s="1"/>
  <c r="ET72" i="25"/>
  <c r="EM72" i="25"/>
  <c r="DK72" i="25"/>
  <c r="DM72" i="25" s="1"/>
  <c r="DN72" i="25" s="1"/>
  <c r="FH72" i="25"/>
  <c r="FJ72" i="25" s="1"/>
  <c r="FK72" i="25" s="1"/>
  <c r="TH72" i="25"/>
  <c r="TJ72" i="25" s="1"/>
  <c r="TK72" i="25" s="1"/>
  <c r="TQ72" i="25" s="1"/>
  <c r="UH72" i="25"/>
  <c r="UJ72" i="25" s="1"/>
  <c r="UK72" i="25" s="1"/>
  <c r="UQ72" i="25" s="1"/>
  <c r="HH96" i="25"/>
  <c r="HJ96" i="25" s="1"/>
  <c r="HK96" i="25" s="1"/>
  <c r="OH96" i="25"/>
  <c r="OJ96" i="25" s="1"/>
  <c r="OK96" i="25" s="1"/>
  <c r="OQ96" i="25" s="1"/>
  <c r="QH96" i="25"/>
  <c r="QJ96" i="25" s="1"/>
  <c r="QK96" i="25" s="1"/>
  <c r="QQ96" i="25" s="1"/>
  <c r="PH96" i="25"/>
  <c r="PJ96" i="25" s="1"/>
  <c r="PK96" i="25" s="1"/>
  <c r="LH96" i="25"/>
  <c r="LJ96" i="25" s="1"/>
  <c r="LK96" i="25" s="1"/>
  <c r="KH96" i="25"/>
  <c r="KJ96" i="25" s="1"/>
  <c r="KK96" i="25" s="1"/>
  <c r="KQ96" i="25" s="1"/>
  <c r="SH96" i="25"/>
  <c r="SJ96" i="25" s="1"/>
  <c r="SK96" i="25" s="1"/>
  <c r="SQ96" i="25" s="1"/>
  <c r="NH96" i="25"/>
  <c r="NJ96" i="25" s="1"/>
  <c r="NK96" i="25" s="1"/>
  <c r="JH96" i="25"/>
  <c r="JJ96" i="25" s="1"/>
  <c r="JK96" i="25" s="1"/>
  <c r="IH96" i="25"/>
  <c r="IJ96" i="25" s="1"/>
  <c r="IK96" i="25" s="1"/>
  <c r="IQ96" i="25" s="1"/>
  <c r="MH96" i="25"/>
  <c r="MJ96" i="25" s="1"/>
  <c r="MK96" i="25" s="1"/>
  <c r="MQ96" i="25" s="1"/>
  <c r="RH96" i="25"/>
  <c r="RJ96" i="25" s="1"/>
  <c r="RK96" i="25" s="1"/>
  <c r="UH64" i="25"/>
  <c r="UJ64" i="25" s="1"/>
  <c r="UK64" i="25" s="1"/>
  <c r="TH64" i="25"/>
  <c r="TJ64" i="25" s="1"/>
  <c r="TK64" i="25" s="1"/>
  <c r="EM64" i="25"/>
  <c r="FH64" i="25"/>
  <c r="FJ64" i="25" s="1"/>
  <c r="FK64" i="25" s="1"/>
  <c r="FL64" i="25" s="1"/>
  <c r="AQ64" i="25"/>
  <c r="AB64" i="19" s="1"/>
  <c r="ET64" i="25"/>
  <c r="DK64" i="25"/>
  <c r="DM64" i="25" s="1"/>
  <c r="DN64" i="25" s="1"/>
  <c r="DO64" i="25" s="1"/>
  <c r="DS64" i="25"/>
  <c r="GH64" i="25"/>
  <c r="GJ64" i="25" s="1"/>
  <c r="GK64" i="25" s="1"/>
  <c r="SH99" i="25"/>
  <c r="SJ99" i="25" s="1"/>
  <c r="SK99" i="25" s="1"/>
  <c r="SQ99" i="25" s="1"/>
  <c r="LH99" i="25"/>
  <c r="LJ99" i="25" s="1"/>
  <c r="LK99" i="25" s="1"/>
  <c r="JH99" i="25"/>
  <c r="JJ99" i="25" s="1"/>
  <c r="JK99" i="25" s="1"/>
  <c r="HH99" i="25"/>
  <c r="HJ99" i="25" s="1"/>
  <c r="HK99" i="25" s="1"/>
  <c r="NH99" i="25"/>
  <c r="NJ99" i="25" s="1"/>
  <c r="NK99" i="25" s="1"/>
  <c r="PH99" i="25"/>
  <c r="PJ99" i="25" s="1"/>
  <c r="PK99" i="25" s="1"/>
  <c r="RH99" i="25"/>
  <c r="RJ99" i="25" s="1"/>
  <c r="RK99" i="25" s="1"/>
  <c r="QH99" i="25"/>
  <c r="QJ99" i="25" s="1"/>
  <c r="QK99" i="25" s="1"/>
  <c r="QQ99" i="25" s="1"/>
  <c r="MH99" i="25"/>
  <c r="MJ99" i="25" s="1"/>
  <c r="MK99" i="25" s="1"/>
  <c r="MQ99" i="25" s="1"/>
  <c r="OH99" i="25"/>
  <c r="OJ99" i="25" s="1"/>
  <c r="OK99" i="25" s="1"/>
  <c r="OQ99" i="25" s="1"/>
  <c r="KH99" i="25"/>
  <c r="KJ99" i="25" s="1"/>
  <c r="KK99" i="25" s="1"/>
  <c r="KQ99" i="25" s="1"/>
  <c r="IH99" i="25"/>
  <c r="IJ99" i="25" s="1"/>
  <c r="IK99" i="25" s="1"/>
  <c r="IQ99" i="25" s="1"/>
  <c r="JH70" i="25"/>
  <c r="JJ70" i="25" s="1"/>
  <c r="JK70" i="25" s="1"/>
  <c r="JL70" i="25" s="1"/>
  <c r="QH70" i="25"/>
  <c r="QJ70" i="25" s="1"/>
  <c r="QK70" i="25" s="1"/>
  <c r="PH70" i="25"/>
  <c r="PJ70" i="25" s="1"/>
  <c r="PK70" i="25" s="1"/>
  <c r="PL70" i="25" s="1"/>
  <c r="KH70" i="25"/>
  <c r="KJ70" i="25" s="1"/>
  <c r="KK70" i="25" s="1"/>
  <c r="HH70" i="25"/>
  <c r="HJ70" i="25" s="1"/>
  <c r="HK70" i="25" s="1"/>
  <c r="HL70" i="25" s="1"/>
  <c r="RH70" i="25"/>
  <c r="RJ70" i="25" s="1"/>
  <c r="RK70" i="25" s="1"/>
  <c r="RL70" i="25" s="1"/>
  <c r="SH70" i="25"/>
  <c r="SJ70" i="25" s="1"/>
  <c r="SK70" i="25" s="1"/>
  <c r="LH70" i="25"/>
  <c r="LJ70" i="25" s="1"/>
  <c r="LK70" i="25" s="1"/>
  <c r="LL70" i="25" s="1"/>
  <c r="NH70" i="25"/>
  <c r="NJ70" i="25" s="1"/>
  <c r="NK70" i="25" s="1"/>
  <c r="NL70" i="25" s="1"/>
  <c r="MH70" i="25"/>
  <c r="MJ70" i="25" s="1"/>
  <c r="MK70" i="25" s="1"/>
  <c r="OH70" i="25"/>
  <c r="OJ70" i="25" s="1"/>
  <c r="OK70" i="25" s="1"/>
  <c r="IH70" i="25"/>
  <c r="IJ70" i="25" s="1"/>
  <c r="IK70" i="25" s="1"/>
  <c r="MH90" i="25"/>
  <c r="MJ90" i="25" s="1"/>
  <c r="MK90" i="25" s="1"/>
  <c r="MQ90" i="25" s="1"/>
  <c r="HH90" i="25"/>
  <c r="HJ90" i="25" s="1"/>
  <c r="HK90" i="25" s="1"/>
  <c r="OH90" i="25"/>
  <c r="OJ90" i="25" s="1"/>
  <c r="OK90" i="25" s="1"/>
  <c r="OQ90" i="25" s="1"/>
  <c r="NH90" i="25"/>
  <c r="NJ90" i="25" s="1"/>
  <c r="NK90" i="25" s="1"/>
  <c r="RH90" i="25"/>
  <c r="RJ90" i="25" s="1"/>
  <c r="RK90" i="25" s="1"/>
  <c r="KH90" i="25"/>
  <c r="KJ90" i="25" s="1"/>
  <c r="KK90" i="25" s="1"/>
  <c r="KQ90" i="25" s="1"/>
  <c r="QH90" i="25"/>
  <c r="QJ90" i="25" s="1"/>
  <c r="QK90" i="25" s="1"/>
  <c r="QQ90" i="25" s="1"/>
  <c r="JH90" i="25"/>
  <c r="JJ90" i="25" s="1"/>
  <c r="JK90" i="25" s="1"/>
  <c r="PH90" i="25"/>
  <c r="PJ90" i="25" s="1"/>
  <c r="PK90" i="25" s="1"/>
  <c r="SH90" i="25"/>
  <c r="SJ90" i="25" s="1"/>
  <c r="SK90" i="25" s="1"/>
  <c r="SQ90" i="25" s="1"/>
  <c r="IH90" i="25"/>
  <c r="IJ90" i="25" s="1"/>
  <c r="IK90" i="25" s="1"/>
  <c r="IQ90" i="25" s="1"/>
  <c r="LH90" i="25"/>
  <c r="LJ90" i="25" s="1"/>
  <c r="LK90" i="25" s="1"/>
  <c r="TH69" i="25"/>
  <c r="TJ69" i="25" s="1"/>
  <c r="TK69" i="25" s="1"/>
  <c r="EM69" i="25"/>
  <c r="UH69" i="25"/>
  <c r="UJ69" i="25" s="1"/>
  <c r="UK69" i="25" s="1"/>
  <c r="FH69" i="25"/>
  <c r="FJ69" i="25" s="1"/>
  <c r="FK69" i="25" s="1"/>
  <c r="FL69" i="25" s="1"/>
  <c r="DS69" i="25"/>
  <c r="ET69" i="25"/>
  <c r="DK69" i="25"/>
  <c r="DM69" i="25" s="1"/>
  <c r="DN69" i="25" s="1"/>
  <c r="DO69" i="25" s="1"/>
  <c r="AQ69" i="25"/>
  <c r="AB69" i="19" s="1"/>
  <c r="GH69" i="25"/>
  <c r="GJ69" i="25" s="1"/>
  <c r="GK69" i="25" s="1"/>
  <c r="AQ63" i="25"/>
  <c r="AB63" i="19" s="1"/>
  <c r="DK63" i="25"/>
  <c r="DM63" i="25" s="1"/>
  <c r="DN63" i="25" s="1"/>
  <c r="DO63" i="25" s="1"/>
  <c r="UH63" i="25"/>
  <c r="UJ63" i="25" s="1"/>
  <c r="UK63" i="25" s="1"/>
  <c r="FH63" i="25"/>
  <c r="FJ63" i="25" s="1"/>
  <c r="FK63" i="25" s="1"/>
  <c r="FL63" i="25" s="1"/>
  <c r="EM63" i="25"/>
  <c r="GH63" i="25"/>
  <c r="GJ63" i="25" s="1"/>
  <c r="GK63" i="25" s="1"/>
  <c r="ET63" i="25"/>
  <c r="TH63" i="25"/>
  <c r="TJ63" i="25" s="1"/>
  <c r="TK63" i="25" s="1"/>
  <c r="DS63" i="25"/>
  <c r="HQ88" i="25"/>
  <c r="BS88" i="25"/>
  <c r="QS88" i="25"/>
  <c r="QR88" i="25"/>
  <c r="RQ88" i="25"/>
  <c r="BX88" i="25"/>
  <c r="BB88" i="25" s="1"/>
  <c r="ET91" i="25"/>
  <c r="DS91" i="25"/>
  <c r="CB91" i="25" s="1"/>
  <c r="BZ91" i="25" s="1"/>
  <c r="AL91" i="25" s="1"/>
  <c r="W91" i="19" s="1"/>
  <c r="FH91" i="25"/>
  <c r="FJ91" i="25" s="1"/>
  <c r="FK91" i="25" s="1"/>
  <c r="TH91" i="25"/>
  <c r="AQ91" i="25"/>
  <c r="AB91" i="19" s="1"/>
  <c r="DK91" i="25"/>
  <c r="DM91" i="25" s="1"/>
  <c r="DN91" i="25" s="1"/>
  <c r="UH91" i="25"/>
  <c r="UJ91" i="25" s="1"/>
  <c r="UK91" i="25" s="1"/>
  <c r="UQ91" i="25" s="1"/>
  <c r="GH91" i="25"/>
  <c r="GJ91" i="25" s="1"/>
  <c r="GK91" i="25" s="1"/>
  <c r="GQ91" i="25" s="1"/>
  <c r="EM91" i="25"/>
  <c r="FQ88" i="25"/>
  <c r="BF88" i="25"/>
  <c r="EM88" i="25"/>
  <c r="EU88" i="25"/>
  <c r="DS84" i="25"/>
  <c r="CB84" i="25" s="1"/>
  <c r="BZ84" i="25" s="1"/>
  <c r="AL84" i="25" s="1"/>
  <c r="W84" i="19" s="1"/>
  <c r="FH84" i="25"/>
  <c r="FJ84" i="25" s="1"/>
  <c r="FK84" i="25" s="1"/>
  <c r="ET84" i="25"/>
  <c r="AQ84" i="25"/>
  <c r="AB84" i="19" s="1"/>
  <c r="EM84" i="25"/>
  <c r="EU84" i="25" s="1"/>
  <c r="DK84" i="25"/>
  <c r="DM84" i="25" s="1"/>
  <c r="DN84" i="25" s="1"/>
  <c r="GH84" i="25"/>
  <c r="GJ84" i="25" s="1"/>
  <c r="GK84" i="25" s="1"/>
  <c r="GQ84" i="25" s="1"/>
  <c r="TH84" i="25"/>
  <c r="TJ84" i="25" s="1"/>
  <c r="TK84" i="25" s="1"/>
  <c r="TQ84" i="25" s="1"/>
  <c r="UH84" i="25"/>
  <c r="UJ84" i="25" s="1"/>
  <c r="UK84" i="25" s="1"/>
  <c r="UQ84" i="25" s="1"/>
  <c r="DK83" i="25"/>
  <c r="DM83" i="25" s="1"/>
  <c r="DN83" i="25" s="1"/>
  <c r="AQ83" i="25"/>
  <c r="AB83" i="19" s="1"/>
  <c r="ET83" i="25"/>
  <c r="EM83" i="25"/>
  <c r="EU83" i="25" s="1"/>
  <c r="FH83" i="25"/>
  <c r="FJ83" i="25" s="1"/>
  <c r="FK83" i="25" s="1"/>
  <c r="DS83" i="25"/>
  <c r="CB83" i="25" s="1"/>
  <c r="BZ83" i="25" s="1"/>
  <c r="AL83" i="25" s="1"/>
  <c r="W83" i="19" s="1"/>
  <c r="UH83" i="25"/>
  <c r="UJ83" i="25" s="1"/>
  <c r="UK83" i="25" s="1"/>
  <c r="UQ83" i="25" s="1"/>
  <c r="TH83" i="25"/>
  <c r="TJ83" i="25" s="1"/>
  <c r="TK83" i="25" s="1"/>
  <c r="TQ83" i="25" s="1"/>
  <c r="GH83" i="25"/>
  <c r="GJ83" i="25" s="1"/>
  <c r="GK83" i="25" s="1"/>
  <c r="GQ83" i="25" s="1"/>
  <c r="DK93" i="25"/>
  <c r="DM93" i="25" s="1"/>
  <c r="DN93" i="25" s="1"/>
  <c r="FH93" i="25"/>
  <c r="FJ93" i="25" s="1"/>
  <c r="FK93" i="25" s="1"/>
  <c r="TH93" i="25"/>
  <c r="TJ93" i="25" s="1"/>
  <c r="TK93" i="25" s="1"/>
  <c r="TQ93" i="25" s="1"/>
  <c r="GH93" i="25"/>
  <c r="GJ93" i="25" s="1"/>
  <c r="GK93" i="25" s="1"/>
  <c r="GQ93" i="25" s="1"/>
  <c r="DS93" i="25"/>
  <c r="CB93" i="25" s="1"/>
  <c r="BZ93" i="25" s="1"/>
  <c r="AL93" i="25" s="1"/>
  <c r="W93" i="19" s="1"/>
  <c r="UH93" i="25"/>
  <c r="UJ93" i="25" s="1"/>
  <c r="UK93" i="25" s="1"/>
  <c r="UQ93" i="25" s="1"/>
  <c r="ET93" i="25"/>
  <c r="AQ93" i="25"/>
  <c r="AB93" i="19" s="1"/>
  <c r="EM93" i="25"/>
  <c r="EU93" i="25" s="1"/>
  <c r="ET82" i="25"/>
  <c r="FH82" i="25"/>
  <c r="FJ82" i="25" s="1"/>
  <c r="FK82" i="25" s="1"/>
  <c r="DS82" i="25"/>
  <c r="CB82" i="25" s="1"/>
  <c r="BZ82" i="25" s="1"/>
  <c r="AL82" i="25" s="1"/>
  <c r="W82" i="19" s="1"/>
  <c r="GH82" i="25"/>
  <c r="GJ82" i="25" s="1"/>
  <c r="GK82" i="25" s="1"/>
  <c r="GQ82" i="25" s="1"/>
  <c r="AQ82" i="25"/>
  <c r="AB82" i="19" s="1"/>
  <c r="DK82" i="25"/>
  <c r="DM82" i="25" s="1"/>
  <c r="DN82" i="25" s="1"/>
  <c r="EM82" i="25"/>
  <c r="EU82" i="25" s="1"/>
  <c r="TH82" i="25"/>
  <c r="TJ82" i="25" s="1"/>
  <c r="TK82" i="25" s="1"/>
  <c r="TQ82" i="25" s="1"/>
  <c r="UH82" i="25"/>
  <c r="UJ82" i="25" s="1"/>
  <c r="UK82" i="25" s="1"/>
  <c r="UQ82" i="25" s="1"/>
  <c r="QH95" i="25"/>
  <c r="QJ95" i="25" s="1"/>
  <c r="QK95" i="25" s="1"/>
  <c r="QQ95" i="25" s="1"/>
  <c r="KH95" i="25"/>
  <c r="KJ95" i="25" s="1"/>
  <c r="KK95" i="25" s="1"/>
  <c r="KQ95" i="25" s="1"/>
  <c r="MH95" i="25"/>
  <c r="MJ95" i="25" s="1"/>
  <c r="MK95" i="25" s="1"/>
  <c r="MQ95" i="25" s="1"/>
  <c r="JH95" i="25"/>
  <c r="JJ95" i="25" s="1"/>
  <c r="JK95" i="25" s="1"/>
  <c r="PH95" i="25"/>
  <c r="PJ95" i="25" s="1"/>
  <c r="PK95" i="25" s="1"/>
  <c r="IH95" i="25"/>
  <c r="IJ95" i="25" s="1"/>
  <c r="IK95" i="25" s="1"/>
  <c r="IQ95" i="25" s="1"/>
  <c r="LH95" i="25"/>
  <c r="LJ95" i="25" s="1"/>
  <c r="LK95" i="25" s="1"/>
  <c r="NH95" i="25"/>
  <c r="NJ95" i="25" s="1"/>
  <c r="NK95" i="25" s="1"/>
  <c r="OH95" i="25"/>
  <c r="OJ95" i="25" s="1"/>
  <c r="OK95" i="25" s="1"/>
  <c r="OQ95" i="25" s="1"/>
  <c r="SH95" i="25"/>
  <c r="SJ95" i="25" s="1"/>
  <c r="SK95" i="25" s="1"/>
  <c r="SQ95" i="25" s="1"/>
  <c r="HH95" i="25"/>
  <c r="HJ95" i="25" s="1"/>
  <c r="HK95" i="25" s="1"/>
  <c r="RH95" i="25"/>
  <c r="RJ95" i="25" s="1"/>
  <c r="RK95" i="25" s="1"/>
  <c r="PH78" i="25"/>
  <c r="PJ78" i="25" s="1"/>
  <c r="PK78" i="25" s="1"/>
  <c r="SH78" i="25"/>
  <c r="SJ78" i="25" s="1"/>
  <c r="SK78" i="25" s="1"/>
  <c r="SQ78" i="25" s="1"/>
  <c r="HH78" i="25"/>
  <c r="HJ78" i="25" s="1"/>
  <c r="HK78" i="25" s="1"/>
  <c r="OH78" i="25"/>
  <c r="OJ78" i="25" s="1"/>
  <c r="OK78" i="25" s="1"/>
  <c r="OQ78" i="25" s="1"/>
  <c r="MH78" i="25"/>
  <c r="MJ78" i="25" s="1"/>
  <c r="MK78" i="25" s="1"/>
  <c r="MQ78" i="25" s="1"/>
  <c r="IH78" i="25"/>
  <c r="IJ78" i="25" s="1"/>
  <c r="IK78" i="25" s="1"/>
  <c r="IQ78" i="25" s="1"/>
  <c r="KH78" i="25"/>
  <c r="KJ78" i="25" s="1"/>
  <c r="KK78" i="25" s="1"/>
  <c r="KQ78" i="25" s="1"/>
  <c r="QH78" i="25"/>
  <c r="QJ78" i="25" s="1"/>
  <c r="QK78" i="25" s="1"/>
  <c r="QQ78" i="25" s="1"/>
  <c r="LH78" i="25"/>
  <c r="LJ78" i="25" s="1"/>
  <c r="LK78" i="25" s="1"/>
  <c r="RH78" i="25"/>
  <c r="RJ78" i="25" s="1"/>
  <c r="RK78" i="25" s="1"/>
  <c r="JH78" i="25"/>
  <c r="JJ78" i="25" s="1"/>
  <c r="JK78" i="25" s="1"/>
  <c r="NH78" i="25"/>
  <c r="NJ78" i="25" s="1"/>
  <c r="NK78" i="25" s="1"/>
  <c r="UH68" i="25"/>
  <c r="UJ68" i="25" s="1"/>
  <c r="UK68" i="25" s="1"/>
  <c r="DK68" i="25"/>
  <c r="DM68" i="25" s="1"/>
  <c r="DN68" i="25" s="1"/>
  <c r="DO68" i="25" s="1"/>
  <c r="ET68" i="25"/>
  <c r="FH68" i="25"/>
  <c r="FJ68" i="25" s="1"/>
  <c r="FK68" i="25" s="1"/>
  <c r="FL68" i="25" s="1"/>
  <c r="AQ68" i="25"/>
  <c r="AB68" i="19" s="1"/>
  <c r="GH68" i="25"/>
  <c r="GJ68" i="25" s="1"/>
  <c r="GK68" i="25" s="1"/>
  <c r="TH68" i="25"/>
  <c r="TJ68" i="25" s="1"/>
  <c r="TK68" i="25" s="1"/>
  <c r="EM68" i="25"/>
  <c r="DS68" i="25"/>
  <c r="PH73" i="25"/>
  <c r="PJ73" i="25" s="1"/>
  <c r="PK73" i="25" s="1"/>
  <c r="KH73" i="25"/>
  <c r="KJ73" i="25" s="1"/>
  <c r="KK73" i="25" s="1"/>
  <c r="KQ73" i="25" s="1"/>
  <c r="HH73" i="25"/>
  <c r="HJ73" i="25" s="1"/>
  <c r="HK73" i="25" s="1"/>
  <c r="RH73" i="25"/>
  <c r="RJ73" i="25" s="1"/>
  <c r="RK73" i="25" s="1"/>
  <c r="NH73" i="25"/>
  <c r="NJ73" i="25" s="1"/>
  <c r="NK73" i="25" s="1"/>
  <c r="MH73" i="25"/>
  <c r="MJ73" i="25" s="1"/>
  <c r="MK73" i="25" s="1"/>
  <c r="MQ73" i="25" s="1"/>
  <c r="SH73" i="25"/>
  <c r="SJ73" i="25" s="1"/>
  <c r="SK73" i="25" s="1"/>
  <c r="SQ73" i="25" s="1"/>
  <c r="QH73" i="25"/>
  <c r="QJ73" i="25" s="1"/>
  <c r="QK73" i="25" s="1"/>
  <c r="QQ73" i="25" s="1"/>
  <c r="IH73" i="25"/>
  <c r="IJ73" i="25" s="1"/>
  <c r="IK73" i="25" s="1"/>
  <c r="IQ73" i="25" s="1"/>
  <c r="OH73" i="25"/>
  <c r="OJ73" i="25" s="1"/>
  <c r="OK73" i="25" s="1"/>
  <c r="OQ73" i="25" s="1"/>
  <c r="JH73" i="25"/>
  <c r="JJ73" i="25" s="1"/>
  <c r="JK73" i="25" s="1"/>
  <c r="LH73" i="25"/>
  <c r="LJ73" i="25" s="1"/>
  <c r="LK73" i="25" s="1"/>
  <c r="OH71" i="25"/>
  <c r="OJ71" i="25" s="1"/>
  <c r="OK71" i="25" s="1"/>
  <c r="HH71" i="25"/>
  <c r="HJ71" i="25" s="1"/>
  <c r="HK71" i="25" s="1"/>
  <c r="HL71" i="25" s="1"/>
  <c r="RH71" i="25"/>
  <c r="RJ71" i="25" s="1"/>
  <c r="RK71" i="25" s="1"/>
  <c r="RL71" i="25" s="1"/>
  <c r="MH71" i="25"/>
  <c r="MJ71" i="25" s="1"/>
  <c r="MK71" i="25" s="1"/>
  <c r="JH71" i="25"/>
  <c r="JJ71" i="25" s="1"/>
  <c r="JK71" i="25" s="1"/>
  <c r="JL71" i="25" s="1"/>
  <c r="PH71" i="25"/>
  <c r="PJ71" i="25" s="1"/>
  <c r="PK71" i="25" s="1"/>
  <c r="PL71" i="25" s="1"/>
  <c r="QH71" i="25"/>
  <c r="QJ71" i="25" s="1"/>
  <c r="QK71" i="25" s="1"/>
  <c r="KH71" i="25"/>
  <c r="KJ71" i="25" s="1"/>
  <c r="KK71" i="25" s="1"/>
  <c r="IH71" i="25"/>
  <c r="IJ71" i="25" s="1"/>
  <c r="IK71" i="25" s="1"/>
  <c r="NH71" i="25"/>
  <c r="NJ71" i="25" s="1"/>
  <c r="NK71" i="25" s="1"/>
  <c r="NL71" i="25" s="1"/>
  <c r="SH71" i="25"/>
  <c r="SJ71" i="25" s="1"/>
  <c r="SK71" i="25" s="1"/>
  <c r="LH71" i="25"/>
  <c r="LJ71" i="25" s="1"/>
  <c r="LK71" i="25" s="1"/>
  <c r="LL71" i="25" s="1"/>
  <c r="QH77" i="25"/>
  <c r="QJ77" i="25" s="1"/>
  <c r="QK77" i="25" s="1"/>
  <c r="QQ77" i="25" s="1"/>
  <c r="SH77" i="25"/>
  <c r="SJ77" i="25" s="1"/>
  <c r="SK77" i="25" s="1"/>
  <c r="SQ77" i="25" s="1"/>
  <c r="KH77" i="25"/>
  <c r="KJ77" i="25" s="1"/>
  <c r="KK77" i="25" s="1"/>
  <c r="KQ77" i="25" s="1"/>
  <c r="LH77" i="25"/>
  <c r="LJ77" i="25" s="1"/>
  <c r="LK77" i="25" s="1"/>
  <c r="PH77" i="25"/>
  <c r="PJ77" i="25" s="1"/>
  <c r="PK77" i="25" s="1"/>
  <c r="OH77" i="25"/>
  <c r="OJ77" i="25" s="1"/>
  <c r="OK77" i="25" s="1"/>
  <c r="OQ77" i="25" s="1"/>
  <c r="IH77" i="25"/>
  <c r="IJ77" i="25" s="1"/>
  <c r="IK77" i="25" s="1"/>
  <c r="IQ77" i="25" s="1"/>
  <c r="NH77" i="25"/>
  <c r="NJ77" i="25" s="1"/>
  <c r="NK77" i="25" s="1"/>
  <c r="RH77" i="25"/>
  <c r="RJ77" i="25" s="1"/>
  <c r="RK77" i="25" s="1"/>
  <c r="MH77" i="25"/>
  <c r="MJ77" i="25" s="1"/>
  <c r="MK77" i="25" s="1"/>
  <c r="MQ77" i="25" s="1"/>
  <c r="JH77" i="25"/>
  <c r="JJ77" i="25" s="1"/>
  <c r="JK77" i="25" s="1"/>
  <c r="HH77" i="25"/>
  <c r="HJ77" i="25" s="1"/>
  <c r="HK77" i="25" s="1"/>
  <c r="OH82" i="25"/>
  <c r="OJ82" i="25" s="1"/>
  <c r="OK82" i="25" s="1"/>
  <c r="OQ82" i="25" s="1"/>
  <c r="NH82" i="25"/>
  <c r="NJ82" i="25" s="1"/>
  <c r="NK82" i="25" s="1"/>
  <c r="JH82" i="25"/>
  <c r="JJ82" i="25" s="1"/>
  <c r="JK82" i="25" s="1"/>
  <c r="MH82" i="25"/>
  <c r="MJ82" i="25" s="1"/>
  <c r="MK82" i="25" s="1"/>
  <c r="MQ82" i="25" s="1"/>
  <c r="LH82" i="25"/>
  <c r="LJ82" i="25" s="1"/>
  <c r="LK82" i="25" s="1"/>
  <c r="QH82" i="25"/>
  <c r="QJ82" i="25" s="1"/>
  <c r="QK82" i="25" s="1"/>
  <c r="QQ82" i="25" s="1"/>
  <c r="RH82" i="25"/>
  <c r="RJ82" i="25" s="1"/>
  <c r="RK82" i="25" s="1"/>
  <c r="KH82" i="25"/>
  <c r="KJ82" i="25" s="1"/>
  <c r="KK82" i="25" s="1"/>
  <c r="KQ82" i="25" s="1"/>
  <c r="SH82" i="25"/>
  <c r="SJ82" i="25" s="1"/>
  <c r="SK82" i="25" s="1"/>
  <c r="SQ82" i="25" s="1"/>
  <c r="PH82" i="25"/>
  <c r="PJ82" i="25" s="1"/>
  <c r="PK82" i="25" s="1"/>
  <c r="IH82" i="25"/>
  <c r="IJ82" i="25" s="1"/>
  <c r="IK82" i="25" s="1"/>
  <c r="IQ82" i="25" s="1"/>
  <c r="HH82" i="25"/>
  <c r="HJ82" i="25" s="1"/>
  <c r="HK82" i="25" s="1"/>
  <c r="DS96" i="25"/>
  <c r="CB96" i="25" s="1"/>
  <c r="BZ96" i="25" s="1"/>
  <c r="AL96" i="25" s="1"/>
  <c r="W96" i="19" s="1"/>
  <c r="UH96" i="25"/>
  <c r="UJ96" i="25" s="1"/>
  <c r="UK96" i="25" s="1"/>
  <c r="UQ96" i="25" s="1"/>
  <c r="ET96" i="25"/>
  <c r="FH96" i="25"/>
  <c r="FJ96" i="25" s="1"/>
  <c r="FK96" i="25" s="1"/>
  <c r="DK96" i="25"/>
  <c r="DM96" i="25" s="1"/>
  <c r="DN96" i="25" s="1"/>
  <c r="EM96" i="25"/>
  <c r="EU96" i="25" s="1"/>
  <c r="AQ96" i="25"/>
  <c r="AB96" i="19" s="1"/>
  <c r="TH96" i="25"/>
  <c r="TJ96" i="25" s="1"/>
  <c r="TK96" i="25" s="1"/>
  <c r="TQ96" i="25" s="1"/>
  <c r="GH96" i="25"/>
  <c r="GJ96" i="25" s="1"/>
  <c r="GK96" i="25" s="1"/>
  <c r="GQ96" i="25" s="1"/>
  <c r="LH86" i="25"/>
  <c r="LJ86" i="25" s="1"/>
  <c r="LK86" i="25" s="1"/>
  <c r="KH86" i="25"/>
  <c r="KJ86" i="25" s="1"/>
  <c r="KK86" i="25" s="1"/>
  <c r="KQ86" i="25" s="1"/>
  <c r="RH86" i="25"/>
  <c r="RJ86" i="25" s="1"/>
  <c r="RK86" i="25" s="1"/>
  <c r="SH86" i="25"/>
  <c r="SJ86" i="25" s="1"/>
  <c r="SK86" i="25" s="1"/>
  <c r="SQ86" i="25" s="1"/>
  <c r="OH86" i="25"/>
  <c r="OJ86" i="25" s="1"/>
  <c r="OK86" i="25" s="1"/>
  <c r="OQ86" i="25" s="1"/>
  <c r="MH86" i="25"/>
  <c r="MJ86" i="25" s="1"/>
  <c r="MK86" i="25" s="1"/>
  <c r="MQ86" i="25" s="1"/>
  <c r="HH86" i="25"/>
  <c r="HJ86" i="25" s="1"/>
  <c r="HK86" i="25" s="1"/>
  <c r="QH86" i="25"/>
  <c r="QJ86" i="25" s="1"/>
  <c r="QK86" i="25" s="1"/>
  <c r="QQ86" i="25" s="1"/>
  <c r="PH86" i="25"/>
  <c r="PJ86" i="25" s="1"/>
  <c r="PK86" i="25" s="1"/>
  <c r="JH86" i="25"/>
  <c r="JJ86" i="25" s="1"/>
  <c r="JK86" i="25" s="1"/>
  <c r="IH86" i="25"/>
  <c r="IJ86" i="25" s="1"/>
  <c r="IK86" i="25" s="1"/>
  <c r="IQ86" i="25" s="1"/>
  <c r="NH86" i="25"/>
  <c r="NJ86" i="25" s="1"/>
  <c r="NK86" i="25" s="1"/>
  <c r="ET98" i="25"/>
  <c r="DS98" i="25"/>
  <c r="CB98" i="25" s="1"/>
  <c r="BZ98" i="25" s="1"/>
  <c r="AL98" i="25" s="1"/>
  <c r="W98" i="19" s="1"/>
  <c r="GH98" i="25"/>
  <c r="GJ98" i="25" s="1"/>
  <c r="GK98" i="25" s="1"/>
  <c r="GQ98" i="25" s="1"/>
  <c r="TH98" i="25"/>
  <c r="TJ98" i="25" s="1"/>
  <c r="TK98" i="25" s="1"/>
  <c r="TQ98" i="25" s="1"/>
  <c r="FH98" i="25"/>
  <c r="FJ98" i="25" s="1"/>
  <c r="FK98" i="25" s="1"/>
  <c r="UH98" i="25"/>
  <c r="UJ98" i="25" s="1"/>
  <c r="UK98" i="25" s="1"/>
  <c r="UQ98" i="25" s="1"/>
  <c r="DK98" i="25"/>
  <c r="DM98" i="25" s="1"/>
  <c r="DN98" i="25" s="1"/>
  <c r="AQ98" i="25"/>
  <c r="AB98" i="19" s="1"/>
  <c r="EM98" i="25"/>
  <c r="EU98" i="25" s="1"/>
  <c r="EM74" i="25"/>
  <c r="EU74" i="25" s="1"/>
  <c r="ET74" i="25"/>
  <c r="AQ74" i="25"/>
  <c r="AB74" i="19" s="1"/>
  <c r="FH74" i="25"/>
  <c r="FJ74" i="25" s="1"/>
  <c r="FK74" i="25" s="1"/>
  <c r="UH74" i="25"/>
  <c r="UJ74" i="25" s="1"/>
  <c r="UK74" i="25" s="1"/>
  <c r="UQ74" i="25" s="1"/>
  <c r="DK74" i="25"/>
  <c r="DM74" i="25" s="1"/>
  <c r="DN74" i="25" s="1"/>
  <c r="DS74" i="25"/>
  <c r="CB74" i="25" s="1"/>
  <c r="BZ74" i="25" s="1"/>
  <c r="AL74" i="25" s="1"/>
  <c r="W74" i="19" s="1"/>
  <c r="TH74" i="25"/>
  <c r="TJ74" i="25" s="1"/>
  <c r="TK74" i="25" s="1"/>
  <c r="TQ74" i="25" s="1"/>
  <c r="GH74" i="25"/>
  <c r="GJ74" i="25" s="1"/>
  <c r="GK74" i="25" s="1"/>
  <c r="GQ74" i="25" s="1"/>
  <c r="IH97" i="25"/>
  <c r="IJ97" i="25" s="1"/>
  <c r="IK97" i="25" s="1"/>
  <c r="IQ97" i="25" s="1"/>
  <c r="JH97" i="25"/>
  <c r="JJ97" i="25" s="1"/>
  <c r="JK97" i="25" s="1"/>
  <c r="HH97" i="25"/>
  <c r="HJ97" i="25" s="1"/>
  <c r="HK97" i="25" s="1"/>
  <c r="OH97" i="25"/>
  <c r="OJ97" i="25" s="1"/>
  <c r="OK97" i="25" s="1"/>
  <c r="OQ97" i="25" s="1"/>
  <c r="NH97" i="25"/>
  <c r="NJ97" i="25" s="1"/>
  <c r="NK97" i="25" s="1"/>
  <c r="PH97" i="25"/>
  <c r="PJ97" i="25" s="1"/>
  <c r="PK97" i="25" s="1"/>
  <c r="KH97" i="25"/>
  <c r="KJ97" i="25" s="1"/>
  <c r="KK97" i="25" s="1"/>
  <c r="KQ97" i="25" s="1"/>
  <c r="SH97" i="25"/>
  <c r="SJ97" i="25" s="1"/>
  <c r="SK97" i="25" s="1"/>
  <c r="SQ97" i="25" s="1"/>
  <c r="RH97" i="25"/>
  <c r="RJ97" i="25" s="1"/>
  <c r="RK97" i="25" s="1"/>
  <c r="MH97" i="25"/>
  <c r="MJ97" i="25" s="1"/>
  <c r="MK97" i="25" s="1"/>
  <c r="MQ97" i="25" s="1"/>
  <c r="LH97" i="25"/>
  <c r="LJ97" i="25" s="1"/>
  <c r="LK97" i="25" s="1"/>
  <c r="QH97" i="25"/>
  <c r="QJ97" i="25" s="1"/>
  <c r="QK97" i="25" s="1"/>
  <c r="QQ97" i="25" s="1"/>
  <c r="NQ88" i="25"/>
  <c r="BV88" i="25"/>
  <c r="AZ88" i="25" s="1"/>
  <c r="MS88" i="25"/>
  <c r="MR88" i="25"/>
  <c r="JQ88" i="25"/>
  <c r="BT88" i="25"/>
  <c r="AX88" i="25" s="1"/>
  <c r="UR88" i="25"/>
  <c r="US88" i="25"/>
  <c r="DT88" i="25"/>
  <c r="GR88" i="25"/>
  <c r="GS88" i="25"/>
  <c r="DS95" i="25"/>
  <c r="CB95" i="25" s="1"/>
  <c r="BZ95" i="25" s="1"/>
  <c r="AL95" i="25" s="1"/>
  <c r="W95" i="19" s="1"/>
  <c r="UH95" i="25"/>
  <c r="UJ95" i="25" s="1"/>
  <c r="UK95" i="25" s="1"/>
  <c r="UQ95" i="25" s="1"/>
  <c r="ET95" i="25"/>
  <c r="TH95" i="25"/>
  <c r="TJ95" i="25" s="1"/>
  <c r="TK95" i="25" s="1"/>
  <c r="TQ95" i="25" s="1"/>
  <c r="AQ95" i="25"/>
  <c r="AB95" i="19" s="1"/>
  <c r="FH95" i="25"/>
  <c r="FJ95" i="25" s="1"/>
  <c r="FK95" i="25" s="1"/>
  <c r="GH95" i="25"/>
  <c r="GJ95" i="25" s="1"/>
  <c r="GK95" i="25" s="1"/>
  <c r="GQ95" i="25" s="1"/>
  <c r="DK95" i="25"/>
  <c r="DM95" i="25" s="1"/>
  <c r="DN95" i="25" s="1"/>
  <c r="EM95" i="25"/>
  <c r="EU95" i="25" s="1"/>
  <c r="AQ78" i="25"/>
  <c r="AB78" i="19" s="1"/>
  <c r="EM78" i="25"/>
  <c r="GH78" i="25"/>
  <c r="GJ78" i="25" s="1"/>
  <c r="GK78" i="25" s="1"/>
  <c r="GQ78" i="25" s="1"/>
  <c r="ET78" i="25"/>
  <c r="FH78" i="25"/>
  <c r="FJ78" i="25" s="1"/>
  <c r="FK78" i="25" s="1"/>
  <c r="DS78" i="25"/>
  <c r="CB78" i="25" s="1"/>
  <c r="BZ78" i="25" s="1"/>
  <c r="AL78" i="25" s="1"/>
  <c r="W78" i="19" s="1"/>
  <c r="DK78" i="25"/>
  <c r="DM78" i="25" s="1"/>
  <c r="DN78" i="25" s="1"/>
  <c r="TH78" i="25"/>
  <c r="TJ78" i="25" s="1"/>
  <c r="TK78" i="25" s="1"/>
  <c r="TQ78" i="25" s="1"/>
  <c r="UH78" i="25"/>
  <c r="UJ78" i="25" s="1"/>
  <c r="UK78" i="25" s="1"/>
  <c r="UQ78" i="25" s="1"/>
  <c r="UH73" i="25"/>
  <c r="UJ73" i="25" s="1"/>
  <c r="UK73" i="25" s="1"/>
  <c r="UQ73" i="25" s="1"/>
  <c r="TH73" i="25"/>
  <c r="TJ73" i="25" s="1"/>
  <c r="TK73" i="25" s="1"/>
  <c r="TQ73" i="25" s="1"/>
  <c r="AQ73" i="25"/>
  <c r="AB73" i="19" s="1"/>
  <c r="FH73" i="25"/>
  <c r="FJ73" i="25" s="1"/>
  <c r="FK73" i="25" s="1"/>
  <c r="EM73" i="25"/>
  <c r="DK73" i="25"/>
  <c r="DM73" i="25" s="1"/>
  <c r="DN73" i="25" s="1"/>
  <c r="DS73" i="25"/>
  <c r="CB73" i="25" s="1"/>
  <c r="BZ73" i="25" s="1"/>
  <c r="AL73" i="25" s="1"/>
  <c r="W73" i="19" s="1"/>
  <c r="ET73" i="25"/>
  <c r="GH73" i="25"/>
  <c r="GJ73" i="25" s="1"/>
  <c r="GK73" i="25" s="1"/>
  <c r="GQ73" i="25" s="1"/>
  <c r="ET89" i="25"/>
  <c r="GH89" i="25"/>
  <c r="GJ89" i="25" s="1"/>
  <c r="GK89" i="25" s="1"/>
  <c r="GQ89" i="25" s="1"/>
  <c r="DS89" i="25"/>
  <c r="CB89" i="25" s="1"/>
  <c r="BZ89" i="25" s="1"/>
  <c r="AL89" i="25" s="1"/>
  <c r="W89" i="19" s="1"/>
  <c r="UH89" i="25"/>
  <c r="UJ89" i="25" s="1"/>
  <c r="UK89" i="25" s="1"/>
  <c r="UQ89" i="25" s="1"/>
  <c r="TH89" i="25"/>
  <c r="TJ89" i="25" s="1"/>
  <c r="TK89" i="25" s="1"/>
  <c r="TQ89" i="25" s="1"/>
  <c r="EM89" i="25"/>
  <c r="EU89" i="25" s="1"/>
  <c r="AQ89" i="25"/>
  <c r="AB89" i="19" s="1"/>
  <c r="FH89" i="25"/>
  <c r="FJ89" i="25" s="1"/>
  <c r="FK89" i="25" s="1"/>
  <c r="DK89" i="25"/>
  <c r="DM89" i="25" s="1"/>
  <c r="DN89" i="25" s="1"/>
  <c r="ET102" i="25"/>
  <c r="UH102" i="25"/>
  <c r="UJ102" i="25" s="1"/>
  <c r="UK102" i="25" s="1"/>
  <c r="UQ102" i="25" s="1"/>
  <c r="DK102" i="25"/>
  <c r="DM102" i="25" s="1"/>
  <c r="DN102" i="25" s="1"/>
  <c r="EM102" i="25"/>
  <c r="DS102" i="25"/>
  <c r="CB102" i="25" s="1"/>
  <c r="BZ102" i="25" s="1"/>
  <c r="AL102" i="25" s="1"/>
  <c r="W102" i="19" s="1"/>
  <c r="FH102" i="25"/>
  <c r="FJ102" i="25" s="1"/>
  <c r="FK102" i="25" s="1"/>
  <c r="AQ102" i="25"/>
  <c r="AB102" i="19" s="1"/>
  <c r="TH102" i="25"/>
  <c r="TJ102" i="25" s="1"/>
  <c r="TK102" i="25" s="1"/>
  <c r="TQ102" i="25" s="1"/>
  <c r="GH102" i="25"/>
  <c r="GJ102" i="25" s="1"/>
  <c r="GK102" i="25" s="1"/>
  <c r="GQ102" i="25" s="1"/>
  <c r="RH83" i="25"/>
  <c r="RJ83" i="25" s="1"/>
  <c r="RK83" i="25" s="1"/>
  <c r="QH83" i="25"/>
  <c r="QJ83" i="25" s="1"/>
  <c r="QK83" i="25" s="1"/>
  <c r="QQ83" i="25" s="1"/>
  <c r="MH83" i="25"/>
  <c r="HH83" i="25"/>
  <c r="HJ83" i="25" s="1"/>
  <c r="HK83" i="25" s="1"/>
  <c r="PH83" i="25"/>
  <c r="PJ83" i="25" s="1"/>
  <c r="PK83" i="25" s="1"/>
  <c r="SH83" i="25"/>
  <c r="SJ83" i="25" s="1"/>
  <c r="SK83" i="25" s="1"/>
  <c r="SQ83" i="25" s="1"/>
  <c r="OH83" i="25"/>
  <c r="OJ83" i="25" s="1"/>
  <c r="OK83" i="25" s="1"/>
  <c r="OQ83" i="25" s="1"/>
  <c r="NH83" i="25"/>
  <c r="NJ83" i="25" s="1"/>
  <c r="NK83" i="25" s="1"/>
  <c r="JH83" i="25"/>
  <c r="JJ83" i="25" s="1"/>
  <c r="JK83" i="25" s="1"/>
  <c r="IH83" i="25"/>
  <c r="IJ83" i="25" s="1"/>
  <c r="IK83" i="25" s="1"/>
  <c r="IQ83" i="25" s="1"/>
  <c r="KH83" i="25"/>
  <c r="KJ83" i="25" s="1"/>
  <c r="KK83" i="25" s="1"/>
  <c r="KQ83" i="25" s="1"/>
  <c r="LH83" i="25"/>
  <c r="LJ83" i="25" s="1"/>
  <c r="LK83" i="25" s="1"/>
  <c r="ET87" i="25"/>
  <c r="AQ87" i="25"/>
  <c r="AB87" i="19" s="1"/>
  <c r="GH87" i="25"/>
  <c r="GJ87" i="25" s="1"/>
  <c r="GK87" i="25" s="1"/>
  <c r="GQ87" i="25" s="1"/>
  <c r="DK87" i="25"/>
  <c r="DM87" i="25" s="1"/>
  <c r="DN87" i="25" s="1"/>
  <c r="FH87" i="25"/>
  <c r="FJ87" i="25" s="1"/>
  <c r="FK87" i="25" s="1"/>
  <c r="DS87" i="25"/>
  <c r="CB87" i="25" s="1"/>
  <c r="BZ87" i="25" s="1"/>
  <c r="AL87" i="25" s="1"/>
  <c r="W87" i="19" s="1"/>
  <c r="EM87" i="25"/>
  <c r="EU87" i="25" s="1"/>
  <c r="TH87" i="25"/>
  <c r="TJ87" i="25" s="1"/>
  <c r="TK87" i="25" s="1"/>
  <c r="TQ87" i="25" s="1"/>
  <c r="UH87" i="25"/>
  <c r="UJ87" i="25" s="1"/>
  <c r="UK87" i="25" s="1"/>
  <c r="UQ87" i="25" s="1"/>
  <c r="ET67" i="25"/>
  <c r="EM67" i="25"/>
  <c r="DK67" i="25"/>
  <c r="DM67" i="25" s="1"/>
  <c r="DN67" i="25" s="1"/>
  <c r="DO67" i="25" s="1"/>
  <c r="AQ67" i="25"/>
  <c r="AB67" i="19" s="1"/>
  <c r="TH67" i="25"/>
  <c r="TJ67" i="25" s="1"/>
  <c r="TK67" i="25" s="1"/>
  <c r="GH67" i="25"/>
  <c r="GJ67" i="25" s="1"/>
  <c r="GK67" i="25" s="1"/>
  <c r="FH67" i="25"/>
  <c r="FJ67" i="25" s="1"/>
  <c r="FK67" i="25" s="1"/>
  <c r="FL67" i="25" s="1"/>
  <c r="UH67" i="25"/>
  <c r="UJ67" i="25" s="1"/>
  <c r="UK67" i="25" s="1"/>
  <c r="DS67" i="25"/>
  <c r="CB67" i="25" s="1"/>
  <c r="BZ67" i="25" s="1"/>
  <c r="AL67" i="25" s="1"/>
  <c r="W67" i="19" s="1"/>
  <c r="MH89" i="25"/>
  <c r="MJ89" i="25" s="1"/>
  <c r="MK89" i="25" s="1"/>
  <c r="MQ89" i="25" s="1"/>
  <c r="IH89" i="25"/>
  <c r="IJ89" i="25" s="1"/>
  <c r="IK89" i="25" s="1"/>
  <c r="IQ89" i="25" s="1"/>
  <c r="PH89" i="25"/>
  <c r="PJ89" i="25" s="1"/>
  <c r="PK89" i="25" s="1"/>
  <c r="LH89" i="25"/>
  <c r="QH89" i="25"/>
  <c r="KH89" i="25"/>
  <c r="KJ89" i="25" s="1"/>
  <c r="KK89" i="25" s="1"/>
  <c r="KQ89" i="25" s="1"/>
  <c r="OH89" i="25"/>
  <c r="OJ89" i="25" s="1"/>
  <c r="OK89" i="25" s="1"/>
  <c r="OQ89" i="25" s="1"/>
  <c r="HH89" i="25"/>
  <c r="HJ89" i="25" s="1"/>
  <c r="HK89" i="25" s="1"/>
  <c r="RH89" i="25"/>
  <c r="RJ89" i="25" s="1"/>
  <c r="RK89" i="25" s="1"/>
  <c r="SH89" i="25"/>
  <c r="SJ89" i="25" s="1"/>
  <c r="SK89" i="25" s="1"/>
  <c r="SQ89" i="25" s="1"/>
  <c r="NH89" i="25"/>
  <c r="NJ89" i="25" s="1"/>
  <c r="NK89" i="25" s="1"/>
  <c r="JH89" i="25"/>
  <c r="JJ89" i="25" s="1"/>
  <c r="JK89" i="25" s="1"/>
  <c r="AQ100" i="25"/>
  <c r="AB100" i="19" s="1"/>
  <c r="ET100" i="25"/>
  <c r="DS100" i="25"/>
  <c r="CB100" i="25" s="1"/>
  <c r="BZ100" i="25" s="1"/>
  <c r="AL100" i="25" s="1"/>
  <c r="W100" i="19" s="1"/>
  <c r="TH100" i="25"/>
  <c r="GH100" i="25"/>
  <c r="GJ100" i="25" s="1"/>
  <c r="GK100" i="25" s="1"/>
  <c r="GQ100" i="25" s="1"/>
  <c r="UH100" i="25"/>
  <c r="UJ100" i="25" s="1"/>
  <c r="UK100" i="25" s="1"/>
  <c r="UQ100" i="25" s="1"/>
  <c r="FH100" i="25"/>
  <c r="DK100" i="25"/>
  <c r="EM100" i="25"/>
  <c r="AQ70" i="25"/>
  <c r="AB70" i="19" s="1"/>
  <c r="EM70" i="25"/>
  <c r="ET70" i="25"/>
  <c r="DS70" i="25"/>
  <c r="DK70" i="25"/>
  <c r="DM70" i="25" s="1"/>
  <c r="DN70" i="25" s="1"/>
  <c r="DO70" i="25" s="1"/>
  <c r="GH70" i="25"/>
  <c r="GJ70" i="25" s="1"/>
  <c r="GK70" i="25" s="1"/>
  <c r="TH70" i="25"/>
  <c r="TJ70" i="25" s="1"/>
  <c r="TK70" i="25" s="1"/>
  <c r="FH70" i="25"/>
  <c r="FJ70" i="25" s="1"/>
  <c r="FK70" i="25" s="1"/>
  <c r="FL70" i="25" s="1"/>
  <c r="UH70" i="25"/>
  <c r="UJ70" i="25" s="1"/>
  <c r="UK70" i="25" s="1"/>
  <c r="MH68" i="25"/>
  <c r="MJ68" i="25" s="1"/>
  <c r="MK68" i="25" s="1"/>
  <c r="QH68" i="25"/>
  <c r="QJ68" i="25" s="1"/>
  <c r="QK68" i="25" s="1"/>
  <c r="PH68" i="25"/>
  <c r="PJ68" i="25" s="1"/>
  <c r="PK68" i="25" s="1"/>
  <c r="PL68" i="25" s="1"/>
  <c r="RH68" i="25"/>
  <c r="RJ68" i="25" s="1"/>
  <c r="RK68" i="25" s="1"/>
  <c r="RL68" i="25" s="1"/>
  <c r="OH68" i="25"/>
  <c r="OJ68" i="25" s="1"/>
  <c r="OK68" i="25" s="1"/>
  <c r="IH68" i="25"/>
  <c r="IJ68" i="25" s="1"/>
  <c r="IK68" i="25" s="1"/>
  <c r="KH68" i="25"/>
  <c r="KJ68" i="25" s="1"/>
  <c r="KK68" i="25" s="1"/>
  <c r="NH68" i="25"/>
  <c r="NJ68" i="25" s="1"/>
  <c r="NK68" i="25" s="1"/>
  <c r="NL68" i="25" s="1"/>
  <c r="LH68" i="25"/>
  <c r="LJ68" i="25" s="1"/>
  <c r="LK68" i="25" s="1"/>
  <c r="LL68" i="25" s="1"/>
  <c r="HH68" i="25"/>
  <c r="HJ68" i="25" s="1"/>
  <c r="HK68" i="25" s="1"/>
  <c r="HL68" i="25" s="1"/>
  <c r="SH68" i="25"/>
  <c r="SJ68" i="25" s="1"/>
  <c r="SK68" i="25" s="1"/>
  <c r="JH68" i="25"/>
  <c r="JJ68" i="25" s="1"/>
  <c r="JK68" i="25" s="1"/>
  <c r="JL68" i="25" s="1"/>
  <c r="MH87" i="25"/>
  <c r="MJ87" i="25" s="1"/>
  <c r="MK87" i="25" s="1"/>
  <c r="MQ87" i="25" s="1"/>
  <c r="KH87" i="25"/>
  <c r="KJ87" i="25" s="1"/>
  <c r="KK87" i="25" s="1"/>
  <c r="KQ87" i="25" s="1"/>
  <c r="LH87" i="25"/>
  <c r="LJ87" i="25" s="1"/>
  <c r="LK87" i="25" s="1"/>
  <c r="SH87" i="25"/>
  <c r="SJ87" i="25" s="1"/>
  <c r="SK87" i="25" s="1"/>
  <c r="SQ87" i="25" s="1"/>
  <c r="NH87" i="25"/>
  <c r="NJ87" i="25" s="1"/>
  <c r="NK87" i="25" s="1"/>
  <c r="IH87" i="25"/>
  <c r="IJ87" i="25" s="1"/>
  <c r="IK87" i="25" s="1"/>
  <c r="IQ87" i="25" s="1"/>
  <c r="JH87" i="25"/>
  <c r="JJ87" i="25" s="1"/>
  <c r="JK87" i="25" s="1"/>
  <c r="HH87" i="25"/>
  <c r="HJ87" i="25" s="1"/>
  <c r="HK87" i="25" s="1"/>
  <c r="PH87" i="25"/>
  <c r="PJ87" i="25" s="1"/>
  <c r="PK87" i="25" s="1"/>
  <c r="RH87" i="25"/>
  <c r="RJ87" i="25" s="1"/>
  <c r="RK87" i="25" s="1"/>
  <c r="QH87" i="25"/>
  <c r="QJ87" i="25" s="1"/>
  <c r="QK87" i="25" s="1"/>
  <c r="QQ87" i="25" s="1"/>
  <c r="OH87" i="25"/>
  <c r="OJ87" i="25" s="1"/>
  <c r="OK87" i="25" s="1"/>
  <c r="OQ87" i="25" s="1"/>
  <c r="ET80" i="25"/>
  <c r="AQ80" i="25"/>
  <c r="AB80" i="19" s="1"/>
  <c r="FH80" i="25"/>
  <c r="FJ80" i="25" s="1"/>
  <c r="FK80" i="25" s="1"/>
  <c r="DK80" i="25"/>
  <c r="DM80" i="25" s="1"/>
  <c r="DN80" i="25" s="1"/>
  <c r="GH80" i="25"/>
  <c r="GJ80" i="25" s="1"/>
  <c r="GK80" i="25" s="1"/>
  <c r="GQ80" i="25" s="1"/>
  <c r="EM80" i="25"/>
  <c r="EU80" i="25" s="1"/>
  <c r="DS80" i="25"/>
  <c r="CB80" i="25" s="1"/>
  <c r="BZ80" i="25" s="1"/>
  <c r="AL80" i="25" s="1"/>
  <c r="W80" i="19" s="1"/>
  <c r="TH80" i="25"/>
  <c r="TJ80" i="25" s="1"/>
  <c r="TK80" i="25" s="1"/>
  <c r="TQ80" i="25" s="1"/>
  <c r="UH80" i="25"/>
  <c r="UJ80" i="25" s="1"/>
  <c r="UK80" i="25" s="1"/>
  <c r="UQ80" i="25" s="1"/>
  <c r="FH94" i="25"/>
  <c r="FJ94" i="25" s="1"/>
  <c r="FK94" i="25" s="1"/>
  <c r="ET94" i="25"/>
  <c r="DS94" i="25"/>
  <c r="CB94" i="25" s="1"/>
  <c r="BZ94" i="25" s="1"/>
  <c r="AL94" i="25" s="1"/>
  <c r="W94" i="19" s="1"/>
  <c r="UH94" i="25"/>
  <c r="UJ94" i="25" s="1"/>
  <c r="UK94" i="25" s="1"/>
  <c r="UQ94" i="25" s="1"/>
  <c r="GH94" i="25"/>
  <c r="GJ94" i="25" s="1"/>
  <c r="GK94" i="25" s="1"/>
  <c r="GQ94" i="25" s="1"/>
  <c r="EM94" i="25"/>
  <c r="EU94" i="25" s="1"/>
  <c r="DK94" i="25"/>
  <c r="DM94" i="25" s="1"/>
  <c r="DN94" i="25" s="1"/>
  <c r="AQ94" i="25"/>
  <c r="AB94" i="19" s="1"/>
  <c r="TH94" i="25"/>
  <c r="TJ94" i="25" s="1"/>
  <c r="TK94" i="25" s="1"/>
  <c r="TQ94" i="25" s="1"/>
  <c r="AQ66" i="25"/>
  <c r="AB66" i="19" s="1"/>
  <c r="ET66" i="25"/>
  <c r="FH66" i="25"/>
  <c r="FJ66" i="25" s="1"/>
  <c r="FK66" i="25" s="1"/>
  <c r="FL66" i="25" s="1"/>
  <c r="EM66" i="25"/>
  <c r="DK66" i="25"/>
  <c r="DM66" i="25" s="1"/>
  <c r="DN66" i="25" s="1"/>
  <c r="DO66" i="25" s="1"/>
  <c r="DS66" i="25"/>
  <c r="CB66" i="25" s="1"/>
  <c r="BZ66" i="25" s="1"/>
  <c r="GH66" i="25"/>
  <c r="GJ66" i="25" s="1"/>
  <c r="GK66" i="25" s="1"/>
  <c r="UH66" i="25"/>
  <c r="UJ66" i="25" s="1"/>
  <c r="UK66" i="25" s="1"/>
  <c r="TH66" i="25"/>
  <c r="TJ66" i="25" s="1"/>
  <c r="TK66" i="25" s="1"/>
  <c r="ET76" i="25"/>
  <c r="UH76" i="25"/>
  <c r="UJ76" i="25" s="1"/>
  <c r="UK76" i="25" s="1"/>
  <c r="UQ76" i="25" s="1"/>
  <c r="DK76" i="25"/>
  <c r="DM76" i="25" s="1"/>
  <c r="DN76" i="25" s="1"/>
  <c r="EM76" i="25"/>
  <c r="DS76" i="25"/>
  <c r="CB76" i="25" s="1"/>
  <c r="BZ76" i="25" s="1"/>
  <c r="AL76" i="25" s="1"/>
  <c r="W76" i="19" s="1"/>
  <c r="TH76" i="25"/>
  <c r="TJ76" i="25" s="1"/>
  <c r="TK76" i="25" s="1"/>
  <c r="TQ76" i="25" s="1"/>
  <c r="AQ76" i="25"/>
  <c r="AB76" i="19" s="1"/>
  <c r="FH76" i="25"/>
  <c r="FJ76" i="25" s="1"/>
  <c r="FK76" i="25" s="1"/>
  <c r="GH76" i="25"/>
  <c r="GJ76" i="25" s="1"/>
  <c r="GK76" i="25" s="1"/>
  <c r="GQ76" i="25" s="1"/>
  <c r="RH80" i="25"/>
  <c r="RJ80" i="25" s="1"/>
  <c r="RK80" i="25" s="1"/>
  <c r="NH80" i="25"/>
  <c r="NJ80" i="25" s="1"/>
  <c r="NK80" i="25" s="1"/>
  <c r="LH80" i="25"/>
  <c r="LJ80" i="25" s="1"/>
  <c r="LK80" i="25" s="1"/>
  <c r="QH80" i="25"/>
  <c r="QJ80" i="25" s="1"/>
  <c r="QK80" i="25" s="1"/>
  <c r="QQ80" i="25" s="1"/>
  <c r="OH80" i="25"/>
  <c r="OJ80" i="25" s="1"/>
  <c r="OK80" i="25" s="1"/>
  <c r="OQ80" i="25" s="1"/>
  <c r="JH80" i="25"/>
  <c r="JJ80" i="25" s="1"/>
  <c r="JK80" i="25" s="1"/>
  <c r="KH80" i="25"/>
  <c r="KJ80" i="25" s="1"/>
  <c r="KK80" i="25" s="1"/>
  <c r="KQ80" i="25" s="1"/>
  <c r="HH80" i="25"/>
  <c r="HJ80" i="25" s="1"/>
  <c r="HK80" i="25" s="1"/>
  <c r="PH80" i="25"/>
  <c r="PJ80" i="25" s="1"/>
  <c r="PK80" i="25" s="1"/>
  <c r="SH80" i="25"/>
  <c r="SJ80" i="25" s="1"/>
  <c r="SK80" i="25" s="1"/>
  <c r="SQ80" i="25" s="1"/>
  <c r="MH80" i="25"/>
  <c r="MJ80" i="25" s="1"/>
  <c r="MK80" i="25" s="1"/>
  <c r="MQ80" i="25" s="1"/>
  <c r="IH80" i="25"/>
  <c r="IJ80" i="25" s="1"/>
  <c r="IK80" i="25" s="1"/>
  <c r="IQ80" i="25" s="1"/>
  <c r="PQ88" i="25"/>
  <c r="BW88" i="25"/>
  <c r="BA88" i="25" s="1"/>
  <c r="KS88" i="25"/>
  <c r="KR88" i="25"/>
  <c r="OS88" i="25"/>
  <c r="OR88" i="25"/>
  <c r="KH64" i="25"/>
  <c r="KJ64" i="25" s="1"/>
  <c r="KK64" i="25" s="1"/>
  <c r="IH64" i="25"/>
  <c r="IJ64" i="25" s="1"/>
  <c r="IK64" i="25" s="1"/>
  <c r="HH64" i="25"/>
  <c r="HJ64" i="25" s="1"/>
  <c r="HK64" i="25" s="1"/>
  <c r="HL64" i="25" s="1"/>
  <c r="PH64" i="25"/>
  <c r="PJ64" i="25" s="1"/>
  <c r="PK64" i="25" s="1"/>
  <c r="PL64" i="25" s="1"/>
  <c r="OH64" i="25"/>
  <c r="OJ64" i="25" s="1"/>
  <c r="OK64" i="25" s="1"/>
  <c r="QH64" i="25"/>
  <c r="QJ64" i="25" s="1"/>
  <c r="QK64" i="25" s="1"/>
  <c r="MH64" i="25"/>
  <c r="MJ64" i="25" s="1"/>
  <c r="MK64" i="25" s="1"/>
  <c r="SH64" i="25"/>
  <c r="SJ64" i="25" s="1"/>
  <c r="SK64" i="25" s="1"/>
  <c r="LH64" i="25"/>
  <c r="LJ64" i="25" s="1"/>
  <c r="LK64" i="25" s="1"/>
  <c r="LL64" i="25" s="1"/>
  <c r="RH64" i="25"/>
  <c r="RJ64" i="25" s="1"/>
  <c r="RK64" i="25" s="1"/>
  <c r="RL64" i="25" s="1"/>
  <c r="NH64" i="25"/>
  <c r="NJ64" i="25" s="1"/>
  <c r="NK64" i="25" s="1"/>
  <c r="NL64" i="25" s="1"/>
  <c r="JH64" i="25"/>
  <c r="JJ64" i="25" s="1"/>
  <c r="JK64" i="25" s="1"/>
  <c r="JL64" i="25" s="1"/>
  <c r="RH66" i="25"/>
  <c r="RJ66" i="25" s="1"/>
  <c r="RK66" i="25" s="1"/>
  <c r="RL66" i="25" s="1"/>
  <c r="NH66" i="25"/>
  <c r="NJ66" i="25" s="1"/>
  <c r="NK66" i="25" s="1"/>
  <c r="NL66" i="25" s="1"/>
  <c r="JH66" i="25"/>
  <c r="JJ66" i="25" s="1"/>
  <c r="JK66" i="25" s="1"/>
  <c r="JL66" i="25" s="1"/>
  <c r="MH66" i="25"/>
  <c r="MJ66" i="25" s="1"/>
  <c r="MK66" i="25" s="1"/>
  <c r="IH66" i="25"/>
  <c r="IJ66" i="25" s="1"/>
  <c r="IK66" i="25" s="1"/>
  <c r="LH66" i="25"/>
  <c r="LJ66" i="25" s="1"/>
  <c r="LK66" i="25" s="1"/>
  <c r="LL66" i="25" s="1"/>
  <c r="HH66" i="25"/>
  <c r="HJ66" i="25" s="1"/>
  <c r="HK66" i="25" s="1"/>
  <c r="HL66" i="25" s="1"/>
  <c r="PH66" i="25"/>
  <c r="PJ66" i="25" s="1"/>
  <c r="PK66" i="25" s="1"/>
  <c r="PL66" i="25" s="1"/>
  <c r="KH66" i="25"/>
  <c r="KJ66" i="25" s="1"/>
  <c r="KK66" i="25" s="1"/>
  <c r="SH66" i="25"/>
  <c r="SJ66" i="25" s="1"/>
  <c r="SK66" i="25" s="1"/>
  <c r="QH66" i="25"/>
  <c r="QJ66" i="25" s="1"/>
  <c r="QK66" i="25" s="1"/>
  <c r="OH66" i="25"/>
  <c r="OJ66" i="25" s="1"/>
  <c r="OK66" i="25" s="1"/>
  <c r="TS88" i="25"/>
  <c r="TR88" i="25"/>
  <c r="DK79" i="25"/>
  <c r="DM79" i="25" s="1"/>
  <c r="DN79" i="25" s="1"/>
  <c r="AQ79" i="25"/>
  <c r="AB79" i="19" s="1"/>
  <c r="EM79" i="25"/>
  <c r="FH79" i="25"/>
  <c r="FJ79" i="25" s="1"/>
  <c r="FK79" i="25" s="1"/>
  <c r="DS79" i="25"/>
  <c r="CB79" i="25" s="1"/>
  <c r="BZ79" i="25" s="1"/>
  <c r="AL79" i="25" s="1"/>
  <c r="W79" i="19" s="1"/>
  <c r="ET79" i="25"/>
  <c r="GH79" i="25"/>
  <c r="GJ79" i="25" s="1"/>
  <c r="GK79" i="25" s="1"/>
  <c r="GQ79" i="25" s="1"/>
  <c r="TH79" i="25"/>
  <c r="TJ79" i="25" s="1"/>
  <c r="TK79" i="25" s="1"/>
  <c r="TQ79" i="25" s="1"/>
  <c r="UH79" i="25"/>
  <c r="UJ79" i="25" s="1"/>
  <c r="UK79" i="25" s="1"/>
  <c r="UQ79" i="25" s="1"/>
  <c r="QH69" i="25"/>
  <c r="QJ69" i="25" s="1"/>
  <c r="QK69" i="25" s="1"/>
  <c r="OH69" i="25"/>
  <c r="OJ69" i="25" s="1"/>
  <c r="OK69" i="25" s="1"/>
  <c r="RH69" i="25"/>
  <c r="RJ69" i="25" s="1"/>
  <c r="RK69" i="25" s="1"/>
  <c r="RL69" i="25" s="1"/>
  <c r="MH69" i="25"/>
  <c r="MJ69" i="25" s="1"/>
  <c r="MK69" i="25" s="1"/>
  <c r="NH69" i="25"/>
  <c r="NJ69" i="25" s="1"/>
  <c r="NK69" i="25" s="1"/>
  <c r="NL69" i="25" s="1"/>
  <c r="SH69" i="25"/>
  <c r="SJ69" i="25" s="1"/>
  <c r="SK69" i="25" s="1"/>
  <c r="HH69" i="25"/>
  <c r="HJ69" i="25" s="1"/>
  <c r="HK69" i="25" s="1"/>
  <c r="HL69" i="25" s="1"/>
  <c r="KH69" i="25"/>
  <c r="KJ69" i="25" s="1"/>
  <c r="KK69" i="25" s="1"/>
  <c r="PH69" i="25"/>
  <c r="PJ69" i="25" s="1"/>
  <c r="PK69" i="25" s="1"/>
  <c r="PL69" i="25" s="1"/>
  <c r="JH69" i="25"/>
  <c r="JJ69" i="25" s="1"/>
  <c r="JK69" i="25" s="1"/>
  <c r="JL69" i="25" s="1"/>
  <c r="IH69" i="25"/>
  <c r="IJ69" i="25" s="1"/>
  <c r="IK69" i="25" s="1"/>
  <c r="LH69" i="25"/>
  <c r="LJ69" i="25" s="1"/>
  <c r="LK69" i="25" s="1"/>
  <c r="LL69" i="25" s="1"/>
  <c r="RH74" i="25"/>
  <c r="RJ74" i="25" s="1"/>
  <c r="RK74" i="25" s="1"/>
  <c r="IH74" i="25"/>
  <c r="IJ74" i="25" s="1"/>
  <c r="IK74" i="25" s="1"/>
  <c r="IQ74" i="25" s="1"/>
  <c r="HH74" i="25"/>
  <c r="HJ74" i="25" s="1"/>
  <c r="HK74" i="25" s="1"/>
  <c r="OH74" i="25"/>
  <c r="OJ74" i="25" s="1"/>
  <c r="OK74" i="25" s="1"/>
  <c r="OQ74" i="25" s="1"/>
  <c r="QH74" i="25"/>
  <c r="QJ74" i="25" s="1"/>
  <c r="QK74" i="25" s="1"/>
  <c r="QQ74" i="25" s="1"/>
  <c r="PH74" i="25"/>
  <c r="PJ74" i="25" s="1"/>
  <c r="PK74" i="25" s="1"/>
  <c r="NH74" i="25"/>
  <c r="NJ74" i="25" s="1"/>
  <c r="NK74" i="25" s="1"/>
  <c r="LH74" i="25"/>
  <c r="LJ74" i="25" s="1"/>
  <c r="LK74" i="25" s="1"/>
  <c r="JH74" i="25"/>
  <c r="JJ74" i="25" s="1"/>
  <c r="JK74" i="25" s="1"/>
  <c r="MH74" i="25"/>
  <c r="MJ74" i="25" s="1"/>
  <c r="MK74" i="25" s="1"/>
  <c r="MQ74" i="25" s="1"/>
  <c r="KH74" i="25"/>
  <c r="KJ74" i="25" s="1"/>
  <c r="KK74" i="25" s="1"/>
  <c r="KQ74" i="25" s="1"/>
  <c r="SH74" i="25"/>
  <c r="SJ74" i="25" s="1"/>
  <c r="SK74" i="25" s="1"/>
  <c r="SQ74" i="25" s="1"/>
  <c r="OH76" i="25"/>
  <c r="OJ76" i="25" s="1"/>
  <c r="OK76" i="25" s="1"/>
  <c r="OQ76" i="25" s="1"/>
  <c r="NH76" i="25"/>
  <c r="NJ76" i="25" s="1"/>
  <c r="NK76" i="25" s="1"/>
  <c r="QH76" i="25"/>
  <c r="QJ76" i="25" s="1"/>
  <c r="QK76" i="25" s="1"/>
  <c r="QQ76" i="25" s="1"/>
  <c r="RH76" i="25"/>
  <c r="RJ76" i="25" s="1"/>
  <c r="RK76" i="25" s="1"/>
  <c r="PH76" i="25"/>
  <c r="PJ76" i="25" s="1"/>
  <c r="PK76" i="25" s="1"/>
  <c r="MH76" i="25"/>
  <c r="MJ76" i="25" s="1"/>
  <c r="MK76" i="25" s="1"/>
  <c r="MQ76" i="25" s="1"/>
  <c r="KH76" i="25"/>
  <c r="KJ76" i="25" s="1"/>
  <c r="KK76" i="25" s="1"/>
  <c r="KQ76" i="25" s="1"/>
  <c r="LH76" i="25"/>
  <c r="LJ76" i="25" s="1"/>
  <c r="LK76" i="25" s="1"/>
  <c r="JH76" i="25"/>
  <c r="JJ76" i="25" s="1"/>
  <c r="JK76" i="25" s="1"/>
  <c r="HH76" i="25"/>
  <c r="HJ76" i="25" s="1"/>
  <c r="HK76" i="25" s="1"/>
  <c r="SH76" i="25"/>
  <c r="SJ76" i="25" s="1"/>
  <c r="SK76" i="25" s="1"/>
  <c r="SQ76" i="25" s="1"/>
  <c r="IH76" i="25"/>
  <c r="IJ76" i="25" s="1"/>
  <c r="IK76" i="25" s="1"/>
  <c r="IQ76" i="25" s="1"/>
  <c r="OH63" i="25"/>
  <c r="OJ63" i="25" s="1"/>
  <c r="OK63" i="25" s="1"/>
  <c r="NH63" i="25"/>
  <c r="NJ63" i="25" s="1"/>
  <c r="NK63" i="25" s="1"/>
  <c r="NL63" i="25" s="1"/>
  <c r="LH63" i="25"/>
  <c r="LJ63" i="25" s="1"/>
  <c r="LK63" i="25" s="1"/>
  <c r="LL63" i="25" s="1"/>
  <c r="MH63" i="25"/>
  <c r="MJ63" i="25" s="1"/>
  <c r="MK63" i="25" s="1"/>
  <c r="IH63" i="25"/>
  <c r="IJ63" i="25" s="1"/>
  <c r="IK63" i="25" s="1"/>
  <c r="QH63" i="25"/>
  <c r="QJ63" i="25" s="1"/>
  <c r="QK63" i="25" s="1"/>
  <c r="SH63" i="25"/>
  <c r="SJ63" i="25" s="1"/>
  <c r="SK63" i="25" s="1"/>
  <c r="PH63" i="25"/>
  <c r="PJ63" i="25" s="1"/>
  <c r="PK63" i="25" s="1"/>
  <c r="PL63" i="25" s="1"/>
  <c r="RH63" i="25"/>
  <c r="RJ63" i="25" s="1"/>
  <c r="RK63" i="25" s="1"/>
  <c r="RL63" i="25" s="1"/>
  <c r="HH63" i="25"/>
  <c r="HJ63" i="25" s="1"/>
  <c r="HK63" i="25" s="1"/>
  <c r="HL63" i="25" s="1"/>
  <c r="KH63" i="25"/>
  <c r="KJ63" i="25" s="1"/>
  <c r="KK63" i="25" s="1"/>
  <c r="JH63" i="25"/>
  <c r="JJ63" i="25" s="1"/>
  <c r="JK63" i="25" s="1"/>
  <c r="JL63" i="25" s="1"/>
  <c r="DS101" i="25"/>
  <c r="CB101" i="25" s="1"/>
  <c r="BZ101" i="25" s="1"/>
  <c r="AL101" i="25" s="1"/>
  <c r="W101" i="19" s="1"/>
  <c r="TH101" i="25"/>
  <c r="FH101" i="25"/>
  <c r="ET101" i="25"/>
  <c r="UH101" i="25"/>
  <c r="GH101" i="25"/>
  <c r="GJ101" i="25" s="1"/>
  <c r="GK101" i="25" s="1"/>
  <c r="GQ101" i="25" s="1"/>
  <c r="DK101" i="25"/>
  <c r="AQ101" i="25"/>
  <c r="AB101" i="19" s="1"/>
  <c r="IQ48" i="25"/>
  <c r="IS48" i="25" s="1"/>
  <c r="BS48" i="25"/>
  <c r="KQ48" i="25"/>
  <c r="KS48" i="25" s="1"/>
  <c r="BT48" i="25"/>
  <c r="MQ48" i="25"/>
  <c r="MR48" i="25" s="1"/>
  <c r="BU48" i="25"/>
  <c r="QQ48" i="25"/>
  <c r="QR48" i="25" s="1"/>
  <c r="BW48" i="25"/>
  <c r="SQ48" i="25"/>
  <c r="SR48" i="25" s="1"/>
  <c r="BX48" i="25"/>
  <c r="OQ48" i="25"/>
  <c r="OR48" i="25" s="1"/>
  <c r="BV48" i="25"/>
  <c r="GQ48" i="25"/>
  <c r="GS48" i="25" s="1"/>
  <c r="BF48" i="25"/>
  <c r="AU46" i="25"/>
  <c r="AU44" i="25"/>
  <c r="UJ51" i="25"/>
  <c r="UK51" i="25" s="1"/>
  <c r="TJ51" i="25"/>
  <c r="TK51" i="25" s="1"/>
  <c r="TJ49" i="25"/>
  <c r="TK49" i="25" s="1"/>
  <c r="TJ50" i="25"/>
  <c r="TK50" i="25" s="1"/>
  <c r="UJ49" i="25"/>
  <c r="UK49" i="25" s="1"/>
  <c r="UJ50" i="25"/>
  <c r="UK50" i="25" s="1"/>
  <c r="TJ48" i="25"/>
  <c r="TK48" i="25" s="1"/>
  <c r="UJ47" i="25"/>
  <c r="UK47" i="25" s="1"/>
  <c r="TJ43" i="25"/>
  <c r="TK43" i="25" s="1"/>
  <c r="DT45" i="25"/>
  <c r="DU45" i="25" s="1"/>
  <c r="DT46" i="25"/>
  <c r="DV46" i="25" s="1"/>
  <c r="UJ44" i="25"/>
  <c r="UK44" i="25" s="1"/>
  <c r="UJ42" i="25"/>
  <c r="UK42" i="25" s="1"/>
  <c r="UJ43" i="25"/>
  <c r="UK43" i="25" s="1"/>
  <c r="UJ46" i="25"/>
  <c r="UK46" i="25" s="1"/>
  <c r="UJ48" i="25"/>
  <c r="UK48" i="25" s="1"/>
  <c r="UJ45" i="25"/>
  <c r="UK45" i="25" s="1"/>
  <c r="TJ47" i="25"/>
  <c r="TK47" i="25" s="1"/>
  <c r="TJ45" i="25"/>
  <c r="TK45" i="25" s="1"/>
  <c r="TJ44" i="25"/>
  <c r="TK44" i="25" s="1"/>
  <c r="TJ42" i="25"/>
  <c r="TK42" i="25" s="1"/>
  <c r="TJ46" i="25"/>
  <c r="TK46" i="25" s="1"/>
  <c r="TJ30" i="25"/>
  <c r="TK30" i="25" s="1"/>
  <c r="TL30" i="25" s="1"/>
  <c r="TJ34" i="25"/>
  <c r="TK34" i="25" s="1"/>
  <c r="TL34" i="25" s="1"/>
  <c r="TJ35" i="25"/>
  <c r="TK35" i="25" s="1"/>
  <c r="TL35" i="25" s="1"/>
  <c r="UJ32" i="25"/>
  <c r="UK32" i="25" s="1"/>
  <c r="UL32" i="25" s="1"/>
  <c r="DT35" i="25"/>
  <c r="DV35" i="25" s="1"/>
  <c r="UJ29" i="25"/>
  <c r="UK29" i="25" s="1"/>
  <c r="UL29" i="25" s="1"/>
  <c r="TJ28" i="25"/>
  <c r="TK28" i="25" s="1"/>
  <c r="TL28" i="25" s="1"/>
  <c r="TJ36" i="25"/>
  <c r="TK36" i="25" s="1"/>
  <c r="TL36" i="25" s="1"/>
  <c r="UJ41" i="25"/>
  <c r="UK41" i="25" s="1"/>
  <c r="UJ40" i="25"/>
  <c r="UK40" i="25" s="1"/>
  <c r="UJ34" i="25"/>
  <c r="UK34" i="25" s="1"/>
  <c r="UL34" i="25" s="1"/>
  <c r="TJ39" i="25"/>
  <c r="TK39" i="25" s="1"/>
  <c r="UJ31" i="25"/>
  <c r="UK31" i="25" s="1"/>
  <c r="UL31" i="25" s="1"/>
  <c r="TJ37" i="25"/>
  <c r="TK37" i="25" s="1"/>
  <c r="TL37" i="25" s="1"/>
  <c r="TJ41" i="25"/>
  <c r="TK41" i="25" s="1"/>
  <c r="UJ33" i="25"/>
  <c r="UK33" i="25" s="1"/>
  <c r="UL33" i="25" s="1"/>
  <c r="UJ38" i="25"/>
  <c r="UK38" i="25" s="1"/>
  <c r="UL38" i="25" s="1"/>
  <c r="UJ35" i="25"/>
  <c r="UK35" i="25" s="1"/>
  <c r="UL35" i="25" s="1"/>
  <c r="DT29" i="25"/>
  <c r="DU29" i="25" s="1"/>
  <c r="TJ29" i="25"/>
  <c r="TK29" i="25" s="1"/>
  <c r="TL29" i="25" s="1"/>
  <c r="UJ28" i="25"/>
  <c r="UK28" i="25" s="1"/>
  <c r="UL28" i="25" s="1"/>
  <c r="UJ36" i="25"/>
  <c r="UK36" i="25" s="1"/>
  <c r="UL36" i="25" s="1"/>
  <c r="UJ37" i="25"/>
  <c r="UK37" i="25" s="1"/>
  <c r="UL37" i="25" s="1"/>
  <c r="UJ30" i="25"/>
  <c r="UK30" i="25" s="1"/>
  <c r="UL30" i="25" s="1"/>
  <c r="TJ33" i="25"/>
  <c r="TK33" i="25" s="1"/>
  <c r="TL33" i="25" s="1"/>
  <c r="TJ38" i="25"/>
  <c r="TK38" i="25" s="1"/>
  <c r="TL38" i="25" s="1"/>
  <c r="TJ40" i="25"/>
  <c r="TK40" i="25" s="1"/>
  <c r="TJ32" i="25"/>
  <c r="TK32" i="25" s="1"/>
  <c r="TL32" i="25" s="1"/>
  <c r="UJ39" i="25"/>
  <c r="UK39" i="25" s="1"/>
  <c r="TJ31" i="25"/>
  <c r="TK31" i="25" s="1"/>
  <c r="TL31" i="25" s="1"/>
  <c r="TJ23" i="25"/>
  <c r="TK23" i="25" s="1"/>
  <c r="TL23" i="25" s="1"/>
  <c r="UJ24" i="25"/>
  <c r="UK24" i="25" s="1"/>
  <c r="UL24" i="25" s="1"/>
  <c r="TJ25" i="25"/>
  <c r="TK25" i="25" s="1"/>
  <c r="TL25" i="25" s="1"/>
  <c r="TJ26" i="25"/>
  <c r="TK26" i="25" s="1"/>
  <c r="TL26" i="25" s="1"/>
  <c r="TJ24" i="25"/>
  <c r="TK24" i="25" s="1"/>
  <c r="TL24" i="25" s="1"/>
  <c r="TJ27" i="25"/>
  <c r="TK27" i="25" s="1"/>
  <c r="TL27" i="25" s="1"/>
  <c r="UJ26" i="25"/>
  <c r="UK26" i="25" s="1"/>
  <c r="UL26" i="25" s="1"/>
  <c r="UJ25" i="25"/>
  <c r="UK25" i="25" s="1"/>
  <c r="UL25" i="25" s="1"/>
  <c r="UJ27" i="25"/>
  <c r="UK27" i="25" s="1"/>
  <c r="UL27" i="25" s="1"/>
  <c r="TJ22" i="25"/>
  <c r="TK22" i="25" s="1"/>
  <c r="TL22" i="25" s="1"/>
  <c r="UJ23" i="25"/>
  <c r="UK23" i="25" s="1"/>
  <c r="UL23" i="25" s="1"/>
  <c r="UJ21" i="25"/>
  <c r="UK21" i="25" s="1"/>
  <c r="TJ21" i="25"/>
  <c r="TK21" i="25" s="1"/>
  <c r="TJ20" i="25"/>
  <c r="TK20" i="25" s="1"/>
  <c r="UJ20" i="25"/>
  <c r="UK20" i="25" s="1"/>
  <c r="PJ60" i="25"/>
  <c r="PK60" i="25" s="1"/>
  <c r="QJ60" i="25"/>
  <c r="QK60" i="25" s="1"/>
  <c r="QL60" i="25" s="1"/>
  <c r="JJ60" i="25"/>
  <c r="JK60" i="25" s="1"/>
  <c r="HJ59" i="25"/>
  <c r="HK59" i="25" s="1"/>
  <c r="NJ59" i="25"/>
  <c r="NK59" i="25" s="1"/>
  <c r="OJ59" i="25"/>
  <c r="OK59" i="25" s="1"/>
  <c r="OL59" i="25" s="1"/>
  <c r="RJ57" i="25"/>
  <c r="RK57" i="25" s="1"/>
  <c r="RL57" i="25" s="1"/>
  <c r="MJ57" i="25"/>
  <c r="MK57" i="25" s="1"/>
  <c r="ML57" i="25" s="1"/>
  <c r="SJ57" i="25"/>
  <c r="SK57" i="25" s="1"/>
  <c r="SL57" i="25" s="1"/>
  <c r="LJ56" i="25"/>
  <c r="LK56" i="25" s="1"/>
  <c r="LL56" i="25" s="1"/>
  <c r="QJ56" i="25"/>
  <c r="QK56" i="25" s="1"/>
  <c r="QL56" i="25" s="1"/>
  <c r="OJ56" i="25"/>
  <c r="OK56" i="25" s="1"/>
  <c r="OL56" i="25" s="1"/>
  <c r="LJ58" i="25"/>
  <c r="LK58" i="25" s="1"/>
  <c r="OJ58" i="25"/>
  <c r="OK58" i="25" s="1"/>
  <c r="OL58" i="25" s="1"/>
  <c r="KJ58" i="25"/>
  <c r="KK58" i="25" s="1"/>
  <c r="KL58" i="25" s="1"/>
  <c r="RJ60" i="25"/>
  <c r="RK60" i="25" s="1"/>
  <c r="KJ60" i="25"/>
  <c r="KK60" i="25" s="1"/>
  <c r="KL60" i="25" s="1"/>
  <c r="OJ60" i="25"/>
  <c r="OK60" i="25" s="1"/>
  <c r="OL60" i="25" s="1"/>
  <c r="RJ59" i="25"/>
  <c r="RK59" i="25" s="1"/>
  <c r="QJ59" i="25"/>
  <c r="QK59" i="25" s="1"/>
  <c r="QL59" i="25" s="1"/>
  <c r="KJ59" i="25"/>
  <c r="KK59" i="25" s="1"/>
  <c r="KL59" i="25" s="1"/>
  <c r="LJ57" i="25"/>
  <c r="LK57" i="25" s="1"/>
  <c r="LL57" i="25" s="1"/>
  <c r="KJ57" i="25"/>
  <c r="KK57" i="25" s="1"/>
  <c r="KL57" i="25" s="1"/>
  <c r="JJ57" i="25"/>
  <c r="JK57" i="25" s="1"/>
  <c r="JL57" i="25" s="1"/>
  <c r="RJ56" i="25"/>
  <c r="RK56" i="25" s="1"/>
  <c r="RL56" i="25" s="1"/>
  <c r="MJ56" i="25"/>
  <c r="MK56" i="25" s="1"/>
  <c r="ML56" i="25" s="1"/>
  <c r="KJ56" i="25"/>
  <c r="KK56" i="25" s="1"/>
  <c r="KL56" i="25" s="1"/>
  <c r="RJ58" i="25"/>
  <c r="RK58" i="25" s="1"/>
  <c r="SJ58" i="25"/>
  <c r="SK58" i="25" s="1"/>
  <c r="SL58" i="25" s="1"/>
  <c r="NJ58" i="25"/>
  <c r="NK58" i="25" s="1"/>
  <c r="HJ60" i="25"/>
  <c r="HK60" i="25" s="1"/>
  <c r="IJ60" i="25"/>
  <c r="IK60" i="25" s="1"/>
  <c r="IL60" i="25" s="1"/>
  <c r="SJ60" i="25"/>
  <c r="SK60" i="25" s="1"/>
  <c r="SL60" i="25" s="1"/>
  <c r="LJ59" i="25"/>
  <c r="LK59" i="25" s="1"/>
  <c r="SJ59" i="25"/>
  <c r="SK59" i="25" s="1"/>
  <c r="SL59" i="25" s="1"/>
  <c r="JJ59" i="25"/>
  <c r="JK59" i="25" s="1"/>
  <c r="PJ57" i="25"/>
  <c r="PK57" i="25" s="1"/>
  <c r="PL57" i="25" s="1"/>
  <c r="QJ57" i="25"/>
  <c r="QK57" i="25" s="1"/>
  <c r="QL57" i="25" s="1"/>
  <c r="NJ57" i="25"/>
  <c r="NK57" i="25" s="1"/>
  <c r="NL57" i="25" s="1"/>
  <c r="PJ56" i="25"/>
  <c r="PK56" i="25" s="1"/>
  <c r="PL56" i="25" s="1"/>
  <c r="IJ56" i="25"/>
  <c r="IK56" i="25" s="1"/>
  <c r="IL56" i="25" s="1"/>
  <c r="SJ56" i="25"/>
  <c r="SK56" i="25" s="1"/>
  <c r="SL56" i="25" s="1"/>
  <c r="PJ58" i="25"/>
  <c r="PK58" i="25" s="1"/>
  <c r="JJ58" i="25"/>
  <c r="JK58" i="25" s="1"/>
  <c r="MJ58" i="25"/>
  <c r="MK58" i="25" s="1"/>
  <c r="ML58" i="25" s="1"/>
  <c r="LJ60" i="25"/>
  <c r="LK60" i="25" s="1"/>
  <c r="NJ60" i="25"/>
  <c r="NK60" i="25" s="1"/>
  <c r="MJ60" i="25"/>
  <c r="MK60" i="25" s="1"/>
  <c r="ML60" i="25" s="1"/>
  <c r="PJ59" i="25"/>
  <c r="PK59" i="25" s="1"/>
  <c r="IJ59" i="25"/>
  <c r="IK59" i="25" s="1"/>
  <c r="IL59" i="25" s="1"/>
  <c r="MJ59" i="25"/>
  <c r="MK59" i="25" s="1"/>
  <c r="ML59" i="25" s="1"/>
  <c r="HJ57" i="25"/>
  <c r="HK57" i="25" s="1"/>
  <c r="HL57" i="25" s="1"/>
  <c r="IJ57" i="25"/>
  <c r="IK57" i="25" s="1"/>
  <c r="IL57" i="25" s="1"/>
  <c r="OJ57" i="25"/>
  <c r="OK57" i="25" s="1"/>
  <c r="OL57" i="25" s="1"/>
  <c r="HJ56" i="25"/>
  <c r="HK56" i="25" s="1"/>
  <c r="HL56" i="25" s="1"/>
  <c r="NJ56" i="25"/>
  <c r="NK56" i="25" s="1"/>
  <c r="NL56" i="25" s="1"/>
  <c r="JJ56" i="25"/>
  <c r="JK56" i="25" s="1"/>
  <c r="JL56" i="25" s="1"/>
  <c r="HJ58" i="25"/>
  <c r="HK58" i="25" s="1"/>
  <c r="QJ58" i="25"/>
  <c r="QK58" i="25" s="1"/>
  <c r="QL58" i="25" s="1"/>
  <c r="IJ58" i="25"/>
  <c r="IK58" i="25" s="1"/>
  <c r="IL58" i="25" s="1"/>
  <c r="DT48" i="25"/>
  <c r="DV48" i="25" s="1"/>
  <c r="DT44" i="25"/>
  <c r="DV44" i="25" s="1"/>
  <c r="DT43" i="25"/>
  <c r="DV43" i="25" s="1"/>
  <c r="DT38" i="25"/>
  <c r="DV38" i="25" s="1"/>
  <c r="DS25" i="25"/>
  <c r="DT25" i="25" s="1"/>
  <c r="FS45" i="25"/>
  <c r="FR45" i="25"/>
  <c r="FR35" i="25"/>
  <c r="FS35" i="25"/>
  <c r="FJ32" i="25"/>
  <c r="FK32" i="25" s="1"/>
  <c r="FL32" i="25" s="1"/>
  <c r="FS34" i="25"/>
  <c r="SS48" i="25"/>
  <c r="DT32" i="25"/>
  <c r="FS38" i="25"/>
  <c r="GR48" i="25"/>
  <c r="FR33" i="25"/>
  <c r="FS33" i="25"/>
  <c r="KR48" i="25"/>
  <c r="DT37" i="25"/>
  <c r="DT36" i="25"/>
  <c r="DT50" i="25"/>
  <c r="DT28" i="25"/>
  <c r="DT31" i="25"/>
  <c r="FS37" i="25"/>
  <c r="DT34" i="25"/>
  <c r="DT41" i="25"/>
  <c r="DT33" i="25"/>
  <c r="DT27" i="25"/>
  <c r="DT49" i="25"/>
  <c r="DT26" i="25"/>
  <c r="DT24" i="25"/>
  <c r="DV23" i="25"/>
  <c r="GQ33" i="25"/>
  <c r="GS33" i="25" s="1"/>
  <c r="GQ52" i="25"/>
  <c r="GS52" i="25" s="1"/>
  <c r="GQ23" i="25"/>
  <c r="GR23" i="25" s="1"/>
  <c r="GQ29" i="25"/>
  <c r="GS29" i="25" s="1"/>
  <c r="GQ53" i="25"/>
  <c r="GR53" i="25" s="1"/>
  <c r="GQ27" i="25"/>
  <c r="GS27" i="25" s="1"/>
  <c r="GQ35" i="25"/>
  <c r="GS35" i="25" s="1"/>
  <c r="GQ34" i="25"/>
  <c r="GS34" i="25" s="1"/>
  <c r="GQ49" i="25"/>
  <c r="GS49" i="25" s="1"/>
  <c r="GQ45" i="25"/>
  <c r="GS45" i="25" s="1"/>
  <c r="GQ26" i="25"/>
  <c r="GR26" i="25" s="1"/>
  <c r="GQ50" i="25"/>
  <c r="GS50" i="25" s="1"/>
  <c r="GQ46" i="25"/>
  <c r="GR46" i="25" s="1"/>
  <c r="GQ31" i="25"/>
  <c r="GR31" i="25" s="1"/>
  <c r="GQ24" i="25"/>
  <c r="GS24" i="25" s="1"/>
  <c r="GQ28" i="25"/>
  <c r="GS28" i="25" s="1"/>
  <c r="GQ32" i="25"/>
  <c r="GR32" i="25" s="1"/>
  <c r="GQ36" i="25"/>
  <c r="GS36" i="25" s="1"/>
  <c r="GQ39" i="25"/>
  <c r="GR39" i="25" s="1"/>
  <c r="GQ44" i="25"/>
  <c r="GS44" i="25" s="1"/>
  <c r="GQ43" i="25"/>
  <c r="GR43" i="25" s="1"/>
  <c r="GQ41" i="25"/>
  <c r="GR41" i="25" s="1"/>
  <c r="FQ40" i="25"/>
  <c r="FS40" i="25" s="1"/>
  <c r="DT47" i="25"/>
  <c r="DV47" i="25" s="1"/>
  <c r="FQ30" i="25"/>
  <c r="FR30" i="25" s="1"/>
  <c r="DT51" i="25"/>
  <c r="DU51" i="25" s="1"/>
  <c r="DT40" i="25"/>
  <c r="DV40" i="25" s="1"/>
  <c r="GQ38" i="25"/>
  <c r="GQ37" i="25"/>
  <c r="GQ55" i="25"/>
  <c r="GQ54" i="25"/>
  <c r="AU35" i="25"/>
  <c r="AU36" i="25"/>
  <c r="AU54" i="25"/>
  <c r="QJ54" i="25"/>
  <c r="QK54" i="25" s="1"/>
  <c r="QL54" i="25" s="1"/>
  <c r="SJ55" i="25"/>
  <c r="SK55" i="25" s="1"/>
  <c r="SL55" i="25" s="1"/>
  <c r="PJ54" i="25"/>
  <c r="PK54" i="25" s="1"/>
  <c r="PL54" i="25" s="1"/>
  <c r="KJ54" i="25"/>
  <c r="KK54" i="25" s="1"/>
  <c r="KL54" i="25" s="1"/>
  <c r="IJ54" i="25"/>
  <c r="IK54" i="25" s="1"/>
  <c r="IL54" i="25" s="1"/>
  <c r="LJ55" i="25"/>
  <c r="LK55" i="25" s="1"/>
  <c r="LL55" i="25" s="1"/>
  <c r="MJ55" i="25"/>
  <c r="MK55" i="25" s="1"/>
  <c r="ML55" i="25" s="1"/>
  <c r="QJ55" i="25"/>
  <c r="QK55" i="25" s="1"/>
  <c r="QL55" i="25" s="1"/>
  <c r="NJ54" i="25"/>
  <c r="NK54" i="25" s="1"/>
  <c r="NL54" i="25" s="1"/>
  <c r="OJ54" i="25"/>
  <c r="OK54" i="25" s="1"/>
  <c r="OL54" i="25" s="1"/>
  <c r="IJ55" i="25"/>
  <c r="IK55" i="25" s="1"/>
  <c r="IL55" i="25" s="1"/>
  <c r="JJ54" i="25"/>
  <c r="JK54" i="25" s="1"/>
  <c r="JL54" i="25" s="1"/>
  <c r="RJ54" i="25"/>
  <c r="RK54" i="25" s="1"/>
  <c r="RL54" i="25" s="1"/>
  <c r="MJ54" i="25"/>
  <c r="MK54" i="25" s="1"/>
  <c r="ML54" i="25" s="1"/>
  <c r="RJ55" i="25"/>
  <c r="RK55" i="25" s="1"/>
  <c r="RL55" i="25" s="1"/>
  <c r="PJ55" i="25"/>
  <c r="PK55" i="25" s="1"/>
  <c r="PL55" i="25" s="1"/>
  <c r="OJ55" i="25"/>
  <c r="OK55" i="25" s="1"/>
  <c r="OL55" i="25" s="1"/>
  <c r="JJ55" i="25"/>
  <c r="JK55" i="25" s="1"/>
  <c r="JL55" i="25" s="1"/>
  <c r="LJ54" i="25"/>
  <c r="LK54" i="25" s="1"/>
  <c r="LL54" i="25" s="1"/>
  <c r="HJ54" i="25"/>
  <c r="HK54" i="25" s="1"/>
  <c r="HL54" i="25" s="1"/>
  <c r="SJ54" i="25"/>
  <c r="SK54" i="25" s="1"/>
  <c r="SL54" i="25" s="1"/>
  <c r="HJ55" i="25"/>
  <c r="HK55" i="25" s="1"/>
  <c r="HL55" i="25" s="1"/>
  <c r="NJ55" i="25"/>
  <c r="NK55" i="25" s="1"/>
  <c r="NL55" i="25" s="1"/>
  <c r="KJ55" i="25"/>
  <c r="KK55" i="25" s="1"/>
  <c r="KL55" i="25" s="1"/>
  <c r="DM30" i="25"/>
  <c r="DN30" i="25" s="1"/>
  <c r="DO30" i="25" s="1"/>
  <c r="GQ51" i="25"/>
  <c r="DM42" i="25"/>
  <c r="DN42" i="25" s="1"/>
  <c r="DO42" i="25" s="1"/>
  <c r="GJ47" i="25"/>
  <c r="GK47" i="25" s="1"/>
  <c r="GL47" i="25" s="1"/>
  <c r="GJ30" i="25"/>
  <c r="GK30" i="25" s="1"/>
  <c r="GL30" i="25" s="1"/>
  <c r="FJ22" i="25"/>
  <c r="FK22" i="25" s="1"/>
  <c r="FL22" i="25" s="1"/>
  <c r="FJ47" i="25"/>
  <c r="FK47" i="25" s="1"/>
  <c r="FL47" i="25" s="1"/>
  <c r="EM30" i="25"/>
  <c r="EN30" i="25" s="1"/>
  <c r="EM40" i="25"/>
  <c r="AN40" i="25" s="1"/>
  <c r="Y40" i="19" s="1"/>
  <c r="GQ40" i="25"/>
  <c r="FJ42" i="25"/>
  <c r="FK42" i="25" s="1"/>
  <c r="FL42" i="25" s="1"/>
  <c r="EM25" i="25"/>
  <c r="AN25" i="25" s="1"/>
  <c r="Y25" i="19" s="1"/>
  <c r="FJ51" i="25"/>
  <c r="FK51" i="25" s="1"/>
  <c r="FL51" i="25" s="1"/>
  <c r="GJ42" i="25"/>
  <c r="GK42" i="25" s="1"/>
  <c r="GL42" i="25" s="1"/>
  <c r="GJ25" i="25"/>
  <c r="GK25" i="25" s="1"/>
  <c r="GL25" i="25" s="1"/>
  <c r="EM47" i="25"/>
  <c r="EN47" i="25" s="1"/>
  <c r="PJ46" i="25"/>
  <c r="PK46" i="25" s="1"/>
  <c r="PL46" i="25" s="1"/>
  <c r="JJ46" i="25"/>
  <c r="JK46" i="25" s="1"/>
  <c r="JL46" i="25" s="1"/>
  <c r="MJ46" i="25"/>
  <c r="MK46" i="25" s="1"/>
  <c r="ML46" i="25" s="1"/>
  <c r="PJ27" i="25"/>
  <c r="PK27" i="25" s="1"/>
  <c r="PL27" i="25" s="1"/>
  <c r="NJ27" i="25"/>
  <c r="NK27" i="25" s="1"/>
  <c r="NL27" i="25" s="1"/>
  <c r="QJ27" i="25"/>
  <c r="QK27" i="25" s="1"/>
  <c r="QL27" i="25" s="1"/>
  <c r="PJ30" i="25"/>
  <c r="PK30" i="25" s="1"/>
  <c r="PL30" i="25" s="1"/>
  <c r="HJ30" i="25"/>
  <c r="HK30" i="25" s="1"/>
  <c r="HL30" i="25" s="1"/>
  <c r="MJ30" i="25"/>
  <c r="MK30" i="25" s="1"/>
  <c r="ML30" i="25" s="1"/>
  <c r="RJ51" i="25"/>
  <c r="RK51" i="25" s="1"/>
  <c r="RL51" i="25" s="1"/>
  <c r="PJ51" i="25"/>
  <c r="PK51" i="25" s="1"/>
  <c r="PL51" i="25" s="1"/>
  <c r="SJ51" i="25"/>
  <c r="SK51" i="25" s="1"/>
  <c r="SL51" i="25" s="1"/>
  <c r="LJ44" i="25"/>
  <c r="LK44" i="25" s="1"/>
  <c r="LL44" i="25" s="1"/>
  <c r="NJ44" i="25"/>
  <c r="NK44" i="25" s="1"/>
  <c r="NL44" i="25" s="1"/>
  <c r="SJ44" i="25"/>
  <c r="SK44" i="25" s="1"/>
  <c r="SL44" i="25" s="1"/>
  <c r="RJ43" i="25"/>
  <c r="RK43" i="25" s="1"/>
  <c r="RL43" i="25" s="1"/>
  <c r="PJ43" i="25"/>
  <c r="PK43" i="25" s="1"/>
  <c r="PL43" i="25" s="1"/>
  <c r="SJ43" i="25"/>
  <c r="SK43" i="25" s="1"/>
  <c r="SL43" i="25" s="1"/>
  <c r="RJ31" i="25"/>
  <c r="RK31" i="25" s="1"/>
  <c r="RL31" i="25" s="1"/>
  <c r="NJ31" i="25"/>
  <c r="NK31" i="25" s="1"/>
  <c r="NL31" i="25" s="1"/>
  <c r="SJ31" i="25"/>
  <c r="SK31" i="25" s="1"/>
  <c r="SL31" i="25" s="1"/>
  <c r="JJ41" i="25"/>
  <c r="JK41" i="25" s="1"/>
  <c r="JL41" i="25" s="1"/>
  <c r="PJ41" i="25"/>
  <c r="PK41" i="25" s="1"/>
  <c r="PL41" i="25" s="1"/>
  <c r="KJ41" i="25"/>
  <c r="KK41" i="25" s="1"/>
  <c r="KL41" i="25" s="1"/>
  <c r="NJ24" i="25"/>
  <c r="NK24" i="25" s="1"/>
  <c r="NL24" i="25" s="1"/>
  <c r="MJ24" i="25"/>
  <c r="MK24" i="25" s="1"/>
  <c r="ML24" i="25" s="1"/>
  <c r="SJ25" i="25"/>
  <c r="SK25" i="25" s="1"/>
  <c r="SL25" i="25" s="1"/>
  <c r="SU25" i="25" s="1"/>
  <c r="HJ25" i="25"/>
  <c r="HK25" i="25" s="1"/>
  <c r="HL25" i="25" s="1"/>
  <c r="OJ25" i="25"/>
  <c r="OK25" i="25" s="1"/>
  <c r="OL25" i="25" s="1"/>
  <c r="JJ38" i="25"/>
  <c r="JK38" i="25" s="1"/>
  <c r="JL38" i="25" s="1"/>
  <c r="SJ38" i="25"/>
  <c r="SK38" i="25" s="1"/>
  <c r="SL38" i="25" s="1"/>
  <c r="KJ38" i="25"/>
  <c r="KK38" i="25" s="1"/>
  <c r="KL38" i="25" s="1"/>
  <c r="PJ35" i="25"/>
  <c r="PK35" i="25" s="1"/>
  <c r="PL35" i="25" s="1"/>
  <c r="MJ35" i="25"/>
  <c r="MK35" i="25" s="1"/>
  <c r="ML35" i="25" s="1"/>
  <c r="KJ35" i="25"/>
  <c r="KK35" i="25" s="1"/>
  <c r="KL35" i="25" s="1"/>
  <c r="NJ28" i="25"/>
  <c r="NK28" i="25" s="1"/>
  <c r="NL28" i="25" s="1"/>
  <c r="SJ28" i="25"/>
  <c r="SK28" i="25" s="1"/>
  <c r="SL28" i="25" s="1"/>
  <c r="MJ28" i="25"/>
  <c r="MK28" i="25" s="1"/>
  <c r="ML28" i="25" s="1"/>
  <c r="HJ42" i="25"/>
  <c r="HK42" i="25" s="1"/>
  <c r="HL42" i="25" s="1"/>
  <c r="IJ42" i="25"/>
  <c r="IK42" i="25" s="1"/>
  <c r="IL42" i="25" s="1"/>
  <c r="KJ42" i="25"/>
  <c r="KK42" i="25" s="1"/>
  <c r="KL42" i="25" s="1"/>
  <c r="RJ47" i="25"/>
  <c r="RK47" i="25" s="1"/>
  <c r="RL47" i="25" s="1"/>
  <c r="OJ47" i="25"/>
  <c r="OK47" i="25" s="1"/>
  <c r="OL47" i="25" s="1"/>
  <c r="SJ47" i="25"/>
  <c r="SK47" i="25" s="1"/>
  <c r="SL47" i="25" s="1"/>
  <c r="JJ32" i="25"/>
  <c r="JK32" i="25" s="1"/>
  <c r="JL32" i="25" s="1"/>
  <c r="OJ32" i="25"/>
  <c r="OK32" i="25" s="1"/>
  <c r="OL32" i="25" s="1"/>
  <c r="SJ32" i="25"/>
  <c r="SK32" i="25" s="1"/>
  <c r="SL32" i="25" s="1"/>
  <c r="PJ36" i="25"/>
  <c r="PK36" i="25" s="1"/>
  <c r="PL36" i="25" s="1"/>
  <c r="NJ36" i="25"/>
  <c r="NK36" i="25" s="1"/>
  <c r="NL36" i="25" s="1"/>
  <c r="OJ36" i="25"/>
  <c r="OK36" i="25" s="1"/>
  <c r="OL36" i="25" s="1"/>
  <c r="JJ37" i="25"/>
  <c r="JK37" i="25" s="1"/>
  <c r="JL37" i="25" s="1"/>
  <c r="HJ37" i="25"/>
  <c r="HK37" i="25" s="1"/>
  <c r="HL37" i="25" s="1"/>
  <c r="SJ37" i="25"/>
  <c r="SK37" i="25" s="1"/>
  <c r="SL37" i="25" s="1"/>
  <c r="RJ21" i="25"/>
  <c r="RK21" i="25" s="1"/>
  <c r="RL21" i="25" s="1"/>
  <c r="QJ21" i="25"/>
  <c r="QK21" i="25" s="1"/>
  <c r="QL21" i="25" s="1"/>
  <c r="QU21" i="25" s="1"/>
  <c r="JJ33" i="25"/>
  <c r="JK33" i="25" s="1"/>
  <c r="JL33" i="25" s="1"/>
  <c r="RJ33" i="25"/>
  <c r="RK33" i="25" s="1"/>
  <c r="RL33" i="25" s="1"/>
  <c r="OJ33" i="25"/>
  <c r="OK33" i="25" s="1"/>
  <c r="OL33" i="25" s="1"/>
  <c r="LJ34" i="25"/>
  <c r="LK34" i="25" s="1"/>
  <c r="LL34" i="25" s="1"/>
  <c r="JJ34" i="25"/>
  <c r="JK34" i="25" s="1"/>
  <c r="JL34" i="25" s="1"/>
  <c r="SJ34" i="25"/>
  <c r="SK34" i="25" s="1"/>
  <c r="SL34" i="25" s="1"/>
  <c r="NJ52" i="25"/>
  <c r="NK52" i="25" s="1"/>
  <c r="NL52" i="25" s="1"/>
  <c r="RJ52" i="25"/>
  <c r="RK52" i="25" s="1"/>
  <c r="RL52" i="25" s="1"/>
  <c r="SJ52" i="25"/>
  <c r="SK52" i="25" s="1"/>
  <c r="SL52" i="25" s="1"/>
  <c r="RJ20" i="25"/>
  <c r="RK20" i="25" s="1"/>
  <c r="RL20" i="25" s="1"/>
  <c r="JJ20" i="25"/>
  <c r="JK20" i="25" s="1"/>
  <c r="JL20" i="25" s="1"/>
  <c r="SJ20" i="25"/>
  <c r="SK20" i="25" s="1"/>
  <c r="SL20" i="25" s="1"/>
  <c r="SU20" i="25" s="1"/>
  <c r="HJ39" i="25"/>
  <c r="HK39" i="25" s="1"/>
  <c r="HL39" i="25" s="1"/>
  <c r="OJ39" i="25"/>
  <c r="OK39" i="25" s="1"/>
  <c r="OL39" i="25" s="1"/>
  <c r="SJ39" i="25"/>
  <c r="SK39" i="25" s="1"/>
  <c r="SL39" i="25" s="1"/>
  <c r="JJ49" i="25"/>
  <c r="JK49" i="25" s="1"/>
  <c r="JL49" i="25" s="1"/>
  <c r="IJ49" i="25"/>
  <c r="IK49" i="25" s="1"/>
  <c r="IL49" i="25" s="1"/>
  <c r="QJ49" i="25"/>
  <c r="QK49" i="25" s="1"/>
  <c r="QL49" i="25" s="1"/>
  <c r="LJ23" i="25"/>
  <c r="LK23" i="25" s="1"/>
  <c r="LL23" i="25" s="1"/>
  <c r="MJ23" i="25"/>
  <c r="MK23" i="25" s="1"/>
  <c r="ML23" i="25" s="1"/>
  <c r="PJ45" i="25"/>
  <c r="PK45" i="25" s="1"/>
  <c r="PL45" i="25" s="1"/>
  <c r="SJ45" i="25"/>
  <c r="SK45" i="25" s="1"/>
  <c r="SL45" i="25" s="1"/>
  <c r="KJ45" i="25"/>
  <c r="KK45" i="25" s="1"/>
  <c r="KL45" i="25" s="1"/>
  <c r="KJ29" i="25"/>
  <c r="KK29" i="25" s="1"/>
  <c r="KL29" i="25" s="1"/>
  <c r="JJ29" i="25"/>
  <c r="JK29" i="25" s="1"/>
  <c r="JL29" i="25" s="1"/>
  <c r="OJ29" i="25"/>
  <c r="OK29" i="25" s="1"/>
  <c r="OL29" i="25" s="1"/>
  <c r="LJ26" i="25"/>
  <c r="LK26" i="25" s="1"/>
  <c r="LL26" i="25" s="1"/>
  <c r="SJ26" i="25"/>
  <c r="SK26" i="25" s="1"/>
  <c r="SL26" i="25" s="1"/>
  <c r="SU26" i="25" s="1"/>
  <c r="QJ26" i="25"/>
  <c r="QK26" i="25" s="1"/>
  <c r="QL26" i="25" s="1"/>
  <c r="QU26" i="25" s="1"/>
  <c r="LJ40" i="25"/>
  <c r="LK40" i="25" s="1"/>
  <c r="LL40" i="25" s="1"/>
  <c r="OJ40" i="25"/>
  <c r="OK40" i="25" s="1"/>
  <c r="OL40" i="25" s="1"/>
  <c r="KJ40" i="25"/>
  <c r="KK40" i="25" s="1"/>
  <c r="KL40" i="25" s="1"/>
  <c r="LJ53" i="25"/>
  <c r="LK53" i="25" s="1"/>
  <c r="LL53" i="25" s="1"/>
  <c r="KJ53" i="25"/>
  <c r="KK53" i="25" s="1"/>
  <c r="KL53" i="25" s="1"/>
  <c r="QJ53" i="25"/>
  <c r="QK53" i="25" s="1"/>
  <c r="QL53" i="25" s="1"/>
  <c r="PJ50" i="25"/>
  <c r="PK50" i="25" s="1"/>
  <c r="PL50" i="25" s="1"/>
  <c r="SJ50" i="25"/>
  <c r="SK50" i="25" s="1"/>
  <c r="SL50" i="25" s="1"/>
  <c r="KJ50" i="25"/>
  <c r="KK50" i="25" s="1"/>
  <c r="KL50" i="25" s="1"/>
  <c r="RJ46" i="25"/>
  <c r="RK46" i="25" s="1"/>
  <c r="RL46" i="25" s="1"/>
  <c r="LJ46" i="25"/>
  <c r="LK46" i="25" s="1"/>
  <c r="LL46" i="25" s="1"/>
  <c r="KJ46" i="25"/>
  <c r="KK46" i="25" s="1"/>
  <c r="KL46" i="25" s="1"/>
  <c r="RJ27" i="25"/>
  <c r="RK27" i="25" s="1"/>
  <c r="RL27" i="25" s="1"/>
  <c r="LJ27" i="25"/>
  <c r="LK27" i="25" s="1"/>
  <c r="LL27" i="25" s="1"/>
  <c r="KJ27" i="25"/>
  <c r="KK27" i="25" s="1"/>
  <c r="KL27" i="25" s="1"/>
  <c r="RJ30" i="25"/>
  <c r="RK30" i="25" s="1"/>
  <c r="RL30" i="25" s="1"/>
  <c r="JJ30" i="25"/>
  <c r="JK30" i="25" s="1"/>
  <c r="JL30" i="25" s="1"/>
  <c r="NJ30" i="25"/>
  <c r="NK30" i="25" s="1"/>
  <c r="NL30" i="25" s="1"/>
  <c r="HJ51" i="25"/>
  <c r="HK51" i="25" s="1"/>
  <c r="HL51" i="25" s="1"/>
  <c r="JJ51" i="25"/>
  <c r="JK51" i="25" s="1"/>
  <c r="JL51" i="25" s="1"/>
  <c r="MJ51" i="25"/>
  <c r="MK51" i="25" s="1"/>
  <c r="ML51" i="25" s="1"/>
  <c r="JJ44" i="25"/>
  <c r="JK44" i="25" s="1"/>
  <c r="JL44" i="25" s="1"/>
  <c r="RJ44" i="25"/>
  <c r="RK44" i="25" s="1"/>
  <c r="RL44" i="25" s="1"/>
  <c r="MJ44" i="25"/>
  <c r="MK44" i="25" s="1"/>
  <c r="ML44" i="25" s="1"/>
  <c r="JJ43" i="25"/>
  <c r="JK43" i="25" s="1"/>
  <c r="JL43" i="25" s="1"/>
  <c r="HJ43" i="25"/>
  <c r="HK43" i="25" s="1"/>
  <c r="HL43" i="25" s="1"/>
  <c r="KJ43" i="25"/>
  <c r="KK43" i="25" s="1"/>
  <c r="KL43" i="25" s="1"/>
  <c r="JJ31" i="25"/>
  <c r="JK31" i="25" s="1"/>
  <c r="JL31" i="25" s="1"/>
  <c r="HJ31" i="25"/>
  <c r="HK31" i="25" s="1"/>
  <c r="HL31" i="25" s="1"/>
  <c r="IJ31" i="25"/>
  <c r="IK31" i="25" s="1"/>
  <c r="IL31" i="25" s="1"/>
  <c r="LJ41" i="25"/>
  <c r="LK41" i="25" s="1"/>
  <c r="LL41" i="25" s="1"/>
  <c r="NJ41" i="25"/>
  <c r="NK41" i="25" s="1"/>
  <c r="NL41" i="25" s="1"/>
  <c r="SJ41" i="25"/>
  <c r="SK41" i="25" s="1"/>
  <c r="SL41" i="25" s="1"/>
  <c r="KJ24" i="25"/>
  <c r="KK24" i="25" s="1"/>
  <c r="KL24" i="25" s="1"/>
  <c r="MJ25" i="25"/>
  <c r="MK25" i="25" s="1"/>
  <c r="ML25" i="25" s="1"/>
  <c r="JJ25" i="25"/>
  <c r="JK25" i="25" s="1"/>
  <c r="JL25" i="25" s="1"/>
  <c r="QJ25" i="25"/>
  <c r="QK25" i="25" s="1"/>
  <c r="QL25" i="25" s="1"/>
  <c r="QU25" i="25" s="1"/>
  <c r="LJ38" i="25"/>
  <c r="LK38" i="25" s="1"/>
  <c r="LL38" i="25" s="1"/>
  <c r="IJ38" i="25"/>
  <c r="IK38" i="25" s="1"/>
  <c r="IL38" i="25" s="1"/>
  <c r="MJ38" i="25"/>
  <c r="MK38" i="25" s="1"/>
  <c r="ML38" i="25" s="1"/>
  <c r="HJ35" i="25"/>
  <c r="HK35" i="25" s="1"/>
  <c r="HL35" i="25" s="1"/>
  <c r="IJ35" i="25"/>
  <c r="IK35" i="25" s="1"/>
  <c r="IL35" i="25" s="1"/>
  <c r="OJ35" i="25"/>
  <c r="OK35" i="25" s="1"/>
  <c r="OL35" i="25" s="1"/>
  <c r="LJ28" i="25"/>
  <c r="LK28" i="25" s="1"/>
  <c r="LL28" i="25" s="1"/>
  <c r="IJ28" i="25"/>
  <c r="IK28" i="25" s="1"/>
  <c r="IL28" i="25" s="1"/>
  <c r="OJ28" i="25"/>
  <c r="OK28" i="25" s="1"/>
  <c r="OL28" i="25" s="1"/>
  <c r="NJ42" i="25"/>
  <c r="NK42" i="25" s="1"/>
  <c r="NL42" i="25" s="1"/>
  <c r="SJ42" i="25"/>
  <c r="SK42" i="25" s="1"/>
  <c r="SL42" i="25" s="1"/>
  <c r="OJ42" i="25"/>
  <c r="OK42" i="25" s="1"/>
  <c r="OL42" i="25" s="1"/>
  <c r="PJ47" i="25"/>
  <c r="PK47" i="25" s="1"/>
  <c r="PL47" i="25" s="1"/>
  <c r="QJ47" i="25"/>
  <c r="QK47" i="25" s="1"/>
  <c r="QL47" i="25" s="1"/>
  <c r="KJ47" i="25"/>
  <c r="KK47" i="25" s="1"/>
  <c r="KL47" i="25" s="1"/>
  <c r="LJ32" i="25"/>
  <c r="LK32" i="25" s="1"/>
  <c r="LL32" i="25" s="1"/>
  <c r="IJ32" i="25"/>
  <c r="IK32" i="25" s="1"/>
  <c r="IL32" i="25" s="1"/>
  <c r="MJ32" i="25"/>
  <c r="MK32" i="25" s="1"/>
  <c r="ML32" i="25" s="1"/>
  <c r="JJ36" i="25"/>
  <c r="JK36" i="25" s="1"/>
  <c r="JL36" i="25" s="1"/>
  <c r="RJ36" i="25"/>
  <c r="RK36" i="25" s="1"/>
  <c r="RL36" i="25" s="1"/>
  <c r="MJ36" i="25"/>
  <c r="MK36" i="25" s="1"/>
  <c r="ML36" i="25" s="1"/>
  <c r="PJ37" i="25"/>
  <c r="PK37" i="25" s="1"/>
  <c r="PL37" i="25" s="1"/>
  <c r="RJ37" i="25"/>
  <c r="RK37" i="25" s="1"/>
  <c r="RL37" i="25" s="1"/>
  <c r="QJ37" i="25"/>
  <c r="QK37" i="25" s="1"/>
  <c r="QL37" i="25" s="1"/>
  <c r="PJ21" i="25"/>
  <c r="PK21" i="25" s="1"/>
  <c r="PL21" i="25" s="1"/>
  <c r="HJ21" i="25"/>
  <c r="HK21" i="25" s="1"/>
  <c r="HL21" i="25" s="1"/>
  <c r="LJ21" i="25"/>
  <c r="LK21" i="25" s="1"/>
  <c r="LL21" i="25" s="1"/>
  <c r="PJ33" i="25"/>
  <c r="PK33" i="25" s="1"/>
  <c r="PL33" i="25" s="1"/>
  <c r="LJ33" i="25"/>
  <c r="LK33" i="25" s="1"/>
  <c r="LL33" i="25" s="1"/>
  <c r="SJ33" i="25"/>
  <c r="SK33" i="25" s="1"/>
  <c r="SL33" i="25" s="1"/>
  <c r="RJ34" i="25"/>
  <c r="RK34" i="25" s="1"/>
  <c r="RL34" i="25" s="1"/>
  <c r="PJ34" i="25"/>
  <c r="PK34" i="25" s="1"/>
  <c r="PL34" i="25" s="1"/>
  <c r="MJ34" i="25"/>
  <c r="MK34" i="25" s="1"/>
  <c r="ML34" i="25" s="1"/>
  <c r="PJ52" i="25"/>
  <c r="PK52" i="25" s="1"/>
  <c r="PL52" i="25" s="1"/>
  <c r="LJ52" i="25"/>
  <c r="LK52" i="25" s="1"/>
  <c r="LL52" i="25" s="1"/>
  <c r="QJ52" i="25"/>
  <c r="QK52" i="25" s="1"/>
  <c r="QL52" i="25" s="1"/>
  <c r="PJ20" i="25"/>
  <c r="PK20" i="25" s="1"/>
  <c r="PL20" i="25" s="1"/>
  <c r="LJ20" i="25"/>
  <c r="LK20" i="25" s="1"/>
  <c r="LL20" i="25" s="1"/>
  <c r="MJ20" i="25"/>
  <c r="MK20" i="25" s="1"/>
  <c r="ML20" i="25" s="1"/>
  <c r="OQ22" i="25"/>
  <c r="RJ39" i="25"/>
  <c r="RK39" i="25" s="1"/>
  <c r="RL39" i="25" s="1"/>
  <c r="KJ39" i="25"/>
  <c r="KK39" i="25" s="1"/>
  <c r="KL39" i="25" s="1"/>
  <c r="MJ39" i="25"/>
  <c r="MK39" i="25" s="1"/>
  <c r="ML39" i="25" s="1"/>
  <c r="LJ49" i="25"/>
  <c r="LK49" i="25" s="1"/>
  <c r="LL49" i="25" s="1"/>
  <c r="SJ49" i="25"/>
  <c r="SK49" i="25" s="1"/>
  <c r="SL49" i="25" s="1"/>
  <c r="KJ49" i="25"/>
  <c r="KK49" i="25" s="1"/>
  <c r="KL49" i="25" s="1"/>
  <c r="IJ23" i="25"/>
  <c r="IK23" i="25" s="1"/>
  <c r="IL23" i="25" s="1"/>
  <c r="NJ23" i="25"/>
  <c r="NK23" i="25" s="1"/>
  <c r="NL23" i="25" s="1"/>
  <c r="NJ45" i="25"/>
  <c r="NK45" i="25" s="1"/>
  <c r="NL45" i="25" s="1"/>
  <c r="IJ45" i="25"/>
  <c r="IK45" i="25" s="1"/>
  <c r="IL45" i="25" s="1"/>
  <c r="OJ45" i="25"/>
  <c r="OK45" i="25" s="1"/>
  <c r="OL45" i="25" s="1"/>
  <c r="SJ29" i="25"/>
  <c r="SK29" i="25" s="1"/>
  <c r="SL29" i="25" s="1"/>
  <c r="HJ29" i="25"/>
  <c r="HK29" i="25" s="1"/>
  <c r="HL29" i="25" s="1"/>
  <c r="MJ29" i="25"/>
  <c r="MK29" i="25" s="1"/>
  <c r="ML29" i="25" s="1"/>
  <c r="JJ26" i="25"/>
  <c r="JK26" i="25" s="1"/>
  <c r="JL26" i="25" s="1"/>
  <c r="NJ26" i="25"/>
  <c r="NK26" i="25" s="1"/>
  <c r="NL26" i="25" s="1"/>
  <c r="OJ26" i="25"/>
  <c r="OK26" i="25" s="1"/>
  <c r="OL26" i="25" s="1"/>
  <c r="RJ40" i="25"/>
  <c r="RK40" i="25" s="1"/>
  <c r="RL40" i="25" s="1"/>
  <c r="IJ40" i="25"/>
  <c r="IK40" i="25" s="1"/>
  <c r="IL40" i="25" s="1"/>
  <c r="QJ40" i="25"/>
  <c r="QK40" i="25" s="1"/>
  <c r="QL40" i="25" s="1"/>
  <c r="RJ53" i="25"/>
  <c r="RK53" i="25" s="1"/>
  <c r="RL53" i="25" s="1"/>
  <c r="IJ53" i="25"/>
  <c r="IK53" i="25" s="1"/>
  <c r="IL53" i="25" s="1"/>
  <c r="SJ53" i="25"/>
  <c r="SK53" i="25" s="1"/>
  <c r="SL53" i="25" s="1"/>
  <c r="RJ50" i="25"/>
  <c r="RK50" i="25" s="1"/>
  <c r="RL50" i="25" s="1"/>
  <c r="QJ50" i="25"/>
  <c r="QK50" i="25" s="1"/>
  <c r="QL50" i="25" s="1"/>
  <c r="OJ50" i="25"/>
  <c r="OK50" i="25" s="1"/>
  <c r="OL50" i="25" s="1"/>
  <c r="HJ46" i="25"/>
  <c r="HK46" i="25" s="1"/>
  <c r="HL46" i="25" s="1"/>
  <c r="QJ46" i="25"/>
  <c r="QK46" i="25" s="1"/>
  <c r="QL46" i="25" s="1"/>
  <c r="OJ46" i="25"/>
  <c r="OK46" i="25" s="1"/>
  <c r="OL46" i="25" s="1"/>
  <c r="HJ27" i="25"/>
  <c r="HK27" i="25" s="1"/>
  <c r="HL27" i="25" s="1"/>
  <c r="SJ27" i="25"/>
  <c r="SK27" i="25" s="1"/>
  <c r="SL27" i="25" s="1"/>
  <c r="LJ30" i="25"/>
  <c r="LK30" i="25" s="1"/>
  <c r="LL30" i="25" s="1"/>
  <c r="KJ30" i="25"/>
  <c r="KK30" i="25" s="1"/>
  <c r="KL30" i="25" s="1"/>
  <c r="SJ30" i="25"/>
  <c r="SK30" i="25" s="1"/>
  <c r="SL30" i="25" s="1"/>
  <c r="NJ51" i="25"/>
  <c r="NK51" i="25" s="1"/>
  <c r="NL51" i="25" s="1"/>
  <c r="QJ51" i="25"/>
  <c r="QK51" i="25" s="1"/>
  <c r="QL51" i="25" s="1"/>
  <c r="KJ51" i="25"/>
  <c r="KK51" i="25" s="1"/>
  <c r="KL51" i="25" s="1"/>
  <c r="HJ44" i="25"/>
  <c r="HK44" i="25" s="1"/>
  <c r="HL44" i="25" s="1"/>
  <c r="OJ44" i="25"/>
  <c r="OK44" i="25" s="1"/>
  <c r="OL44" i="25" s="1"/>
  <c r="KJ44" i="25"/>
  <c r="KK44" i="25" s="1"/>
  <c r="KL44" i="25" s="1"/>
  <c r="LJ43" i="25"/>
  <c r="LK43" i="25" s="1"/>
  <c r="LL43" i="25" s="1"/>
  <c r="OJ43" i="25"/>
  <c r="OK43" i="25" s="1"/>
  <c r="OL43" i="25" s="1"/>
  <c r="QJ43" i="25"/>
  <c r="QK43" i="25" s="1"/>
  <c r="QL43" i="25" s="1"/>
  <c r="LJ31" i="25"/>
  <c r="LK31" i="25" s="1"/>
  <c r="LL31" i="25" s="1"/>
  <c r="KJ31" i="25"/>
  <c r="KK31" i="25" s="1"/>
  <c r="KL31" i="25" s="1"/>
  <c r="QJ31" i="25"/>
  <c r="QK31" i="25" s="1"/>
  <c r="QL31" i="25" s="1"/>
  <c r="RJ41" i="25"/>
  <c r="RK41" i="25" s="1"/>
  <c r="RL41" i="25" s="1"/>
  <c r="IJ41" i="25"/>
  <c r="IK41" i="25" s="1"/>
  <c r="IL41" i="25" s="1"/>
  <c r="QJ41" i="25"/>
  <c r="QK41" i="25" s="1"/>
  <c r="QL41" i="25" s="1"/>
  <c r="PJ24" i="25"/>
  <c r="PK24" i="25" s="1"/>
  <c r="PL24" i="25" s="1"/>
  <c r="QJ24" i="25"/>
  <c r="QK24" i="25" s="1"/>
  <c r="QL24" i="25" s="1"/>
  <c r="QU24" i="25" s="1"/>
  <c r="PJ25" i="25"/>
  <c r="PK25" i="25" s="1"/>
  <c r="PL25" i="25" s="1"/>
  <c r="IJ25" i="25"/>
  <c r="IK25" i="25" s="1"/>
  <c r="IL25" i="25" s="1"/>
  <c r="KJ25" i="25"/>
  <c r="KK25" i="25" s="1"/>
  <c r="KL25" i="25" s="1"/>
  <c r="NJ38" i="25"/>
  <c r="NK38" i="25" s="1"/>
  <c r="NL38" i="25" s="1"/>
  <c r="PJ38" i="25"/>
  <c r="PK38" i="25" s="1"/>
  <c r="PL38" i="25" s="1"/>
  <c r="OJ38" i="25"/>
  <c r="OK38" i="25" s="1"/>
  <c r="OL38" i="25" s="1"/>
  <c r="RJ35" i="25"/>
  <c r="RK35" i="25" s="1"/>
  <c r="RL35" i="25" s="1"/>
  <c r="NJ35" i="25"/>
  <c r="NK35" i="25" s="1"/>
  <c r="NL35" i="25" s="1"/>
  <c r="SJ35" i="25"/>
  <c r="SK35" i="25" s="1"/>
  <c r="SL35" i="25" s="1"/>
  <c r="PJ28" i="25"/>
  <c r="PK28" i="25" s="1"/>
  <c r="PL28" i="25" s="1"/>
  <c r="JJ28" i="25"/>
  <c r="JK28" i="25" s="1"/>
  <c r="JL28" i="25" s="1"/>
  <c r="KJ28" i="25"/>
  <c r="KK28" i="25" s="1"/>
  <c r="KL28" i="25" s="1"/>
  <c r="JJ42" i="25"/>
  <c r="JK42" i="25" s="1"/>
  <c r="JL42" i="25" s="1"/>
  <c r="RJ42" i="25"/>
  <c r="RK42" i="25" s="1"/>
  <c r="RL42" i="25" s="1"/>
  <c r="QJ42" i="25"/>
  <c r="QK42" i="25" s="1"/>
  <c r="QL42" i="25" s="1"/>
  <c r="JJ47" i="25"/>
  <c r="JK47" i="25" s="1"/>
  <c r="JL47" i="25" s="1"/>
  <c r="LJ47" i="25"/>
  <c r="LK47" i="25" s="1"/>
  <c r="LL47" i="25" s="1"/>
  <c r="IJ47" i="25"/>
  <c r="IK47" i="25" s="1"/>
  <c r="IL47" i="25" s="1"/>
  <c r="RJ32" i="25"/>
  <c r="RK32" i="25" s="1"/>
  <c r="RL32" i="25" s="1"/>
  <c r="NJ32" i="25"/>
  <c r="NK32" i="25" s="1"/>
  <c r="NL32" i="25" s="1"/>
  <c r="KJ32" i="25"/>
  <c r="KK32" i="25" s="1"/>
  <c r="KL32" i="25" s="1"/>
  <c r="SP22" i="25"/>
  <c r="LJ36" i="25"/>
  <c r="LK36" i="25" s="1"/>
  <c r="LL36" i="25" s="1"/>
  <c r="SJ36" i="25"/>
  <c r="SK36" i="25" s="1"/>
  <c r="SL36" i="25" s="1"/>
  <c r="KJ36" i="25"/>
  <c r="KK36" i="25" s="1"/>
  <c r="KL36" i="25" s="1"/>
  <c r="LJ37" i="25"/>
  <c r="LK37" i="25" s="1"/>
  <c r="LL37" i="25" s="1"/>
  <c r="IJ37" i="25"/>
  <c r="IK37" i="25" s="1"/>
  <c r="IL37" i="25" s="1"/>
  <c r="MJ37" i="25"/>
  <c r="MK37" i="25" s="1"/>
  <c r="ML37" i="25" s="1"/>
  <c r="JJ21" i="25"/>
  <c r="JK21" i="25" s="1"/>
  <c r="JL21" i="25" s="1"/>
  <c r="HJ33" i="25"/>
  <c r="HK33" i="25" s="1"/>
  <c r="HL33" i="25" s="1"/>
  <c r="IJ33" i="25"/>
  <c r="IK33" i="25" s="1"/>
  <c r="IL33" i="25" s="1"/>
  <c r="KJ33" i="25"/>
  <c r="KK33" i="25" s="1"/>
  <c r="KL33" i="25" s="1"/>
  <c r="HJ34" i="25"/>
  <c r="HK34" i="25" s="1"/>
  <c r="HL34" i="25" s="1"/>
  <c r="OJ34" i="25"/>
  <c r="OK34" i="25" s="1"/>
  <c r="OL34" i="25" s="1"/>
  <c r="QJ34" i="25"/>
  <c r="QK34" i="25" s="1"/>
  <c r="QL34" i="25" s="1"/>
  <c r="JJ52" i="25"/>
  <c r="JK52" i="25" s="1"/>
  <c r="JL52" i="25" s="1"/>
  <c r="KJ52" i="25"/>
  <c r="KK52" i="25" s="1"/>
  <c r="KL52" i="25" s="1"/>
  <c r="OJ52" i="25"/>
  <c r="OK52" i="25" s="1"/>
  <c r="OL52" i="25" s="1"/>
  <c r="HJ20" i="25"/>
  <c r="HK20" i="25" s="1"/>
  <c r="HL20" i="25" s="1"/>
  <c r="QJ20" i="25"/>
  <c r="QK20" i="25" s="1"/>
  <c r="QL20" i="25" s="1"/>
  <c r="QU20" i="25" s="1"/>
  <c r="KJ20" i="25"/>
  <c r="KK20" i="25" s="1"/>
  <c r="KL20" i="25" s="1"/>
  <c r="LJ39" i="25"/>
  <c r="LK39" i="25" s="1"/>
  <c r="LL39" i="25" s="1"/>
  <c r="PJ39" i="25"/>
  <c r="PK39" i="25" s="1"/>
  <c r="PL39" i="25" s="1"/>
  <c r="QJ39" i="25"/>
  <c r="QK39" i="25" s="1"/>
  <c r="QL39" i="25" s="1"/>
  <c r="HJ49" i="25"/>
  <c r="HK49" i="25" s="1"/>
  <c r="HL49" i="25" s="1"/>
  <c r="NJ49" i="25"/>
  <c r="NK49" i="25" s="1"/>
  <c r="NL49" i="25" s="1"/>
  <c r="OJ49" i="25"/>
  <c r="OK49" i="25" s="1"/>
  <c r="OL49" i="25" s="1"/>
  <c r="PJ23" i="25"/>
  <c r="PK23" i="25" s="1"/>
  <c r="PL23" i="25" s="1"/>
  <c r="JJ23" i="25"/>
  <c r="JK23" i="25" s="1"/>
  <c r="JL23" i="25" s="1"/>
  <c r="QJ23" i="25"/>
  <c r="QK23" i="25" s="1"/>
  <c r="QL23" i="25" s="1"/>
  <c r="QU23" i="25" s="1"/>
  <c r="RJ45" i="25"/>
  <c r="RK45" i="25" s="1"/>
  <c r="RL45" i="25" s="1"/>
  <c r="JJ45" i="25"/>
  <c r="JK45" i="25" s="1"/>
  <c r="JL45" i="25" s="1"/>
  <c r="MJ45" i="25"/>
  <c r="MK45" i="25" s="1"/>
  <c r="ML45" i="25" s="1"/>
  <c r="RJ29" i="25"/>
  <c r="RK29" i="25" s="1"/>
  <c r="RL29" i="25" s="1"/>
  <c r="IJ29" i="25"/>
  <c r="IK29" i="25" s="1"/>
  <c r="IL29" i="25" s="1"/>
  <c r="QJ29" i="25"/>
  <c r="QK29" i="25" s="1"/>
  <c r="QL29" i="25" s="1"/>
  <c r="PJ26" i="25"/>
  <c r="PK26" i="25" s="1"/>
  <c r="PL26" i="25" s="1"/>
  <c r="HJ26" i="25"/>
  <c r="HK26" i="25" s="1"/>
  <c r="HL26" i="25" s="1"/>
  <c r="KJ26" i="25"/>
  <c r="KK26" i="25" s="1"/>
  <c r="KL26" i="25" s="1"/>
  <c r="NJ40" i="25"/>
  <c r="NK40" i="25" s="1"/>
  <c r="NL40" i="25" s="1"/>
  <c r="PJ40" i="25"/>
  <c r="PK40" i="25" s="1"/>
  <c r="PL40" i="25" s="1"/>
  <c r="MJ40" i="25"/>
  <c r="MK40" i="25" s="1"/>
  <c r="ML40" i="25" s="1"/>
  <c r="HJ53" i="25"/>
  <c r="HK53" i="25" s="1"/>
  <c r="HL53" i="25" s="1"/>
  <c r="JJ53" i="25"/>
  <c r="JK53" i="25" s="1"/>
  <c r="JL53" i="25" s="1"/>
  <c r="OJ53" i="25"/>
  <c r="OK53" i="25" s="1"/>
  <c r="OL53" i="25" s="1"/>
  <c r="JJ50" i="25"/>
  <c r="JK50" i="25" s="1"/>
  <c r="JL50" i="25" s="1"/>
  <c r="HJ50" i="25"/>
  <c r="HK50" i="25" s="1"/>
  <c r="HL50" i="25" s="1"/>
  <c r="MJ50" i="25"/>
  <c r="MK50" i="25" s="1"/>
  <c r="ML50" i="25" s="1"/>
  <c r="NJ46" i="25"/>
  <c r="NK46" i="25" s="1"/>
  <c r="NL46" i="25" s="1"/>
  <c r="IJ46" i="25"/>
  <c r="IK46" i="25" s="1"/>
  <c r="IL46" i="25" s="1"/>
  <c r="SJ46" i="25"/>
  <c r="SK46" i="25" s="1"/>
  <c r="SL46" i="25" s="1"/>
  <c r="IJ27" i="25"/>
  <c r="IK27" i="25" s="1"/>
  <c r="IL27" i="25" s="1"/>
  <c r="JJ27" i="25"/>
  <c r="JK27" i="25" s="1"/>
  <c r="JL27" i="25" s="1"/>
  <c r="OJ30" i="25"/>
  <c r="OK30" i="25" s="1"/>
  <c r="OL30" i="25" s="1"/>
  <c r="IJ30" i="25"/>
  <c r="IK30" i="25" s="1"/>
  <c r="IL30" i="25" s="1"/>
  <c r="QJ30" i="25"/>
  <c r="QK30" i="25" s="1"/>
  <c r="QL30" i="25" s="1"/>
  <c r="LJ51" i="25"/>
  <c r="LK51" i="25" s="1"/>
  <c r="LL51" i="25" s="1"/>
  <c r="IJ51" i="25"/>
  <c r="IK51" i="25" s="1"/>
  <c r="IL51" i="25" s="1"/>
  <c r="OJ51" i="25"/>
  <c r="OK51" i="25" s="1"/>
  <c r="OL51" i="25" s="1"/>
  <c r="PJ44" i="25"/>
  <c r="PK44" i="25" s="1"/>
  <c r="PL44" i="25" s="1"/>
  <c r="IJ44" i="25"/>
  <c r="IK44" i="25" s="1"/>
  <c r="IL44" i="25" s="1"/>
  <c r="QJ44" i="25"/>
  <c r="QK44" i="25" s="1"/>
  <c r="QL44" i="25" s="1"/>
  <c r="NJ43" i="25"/>
  <c r="NK43" i="25" s="1"/>
  <c r="NL43" i="25" s="1"/>
  <c r="IJ43" i="25"/>
  <c r="IK43" i="25" s="1"/>
  <c r="IL43" i="25" s="1"/>
  <c r="MJ43" i="25"/>
  <c r="MK43" i="25" s="1"/>
  <c r="ML43" i="25" s="1"/>
  <c r="PJ31" i="25"/>
  <c r="PK31" i="25" s="1"/>
  <c r="PL31" i="25" s="1"/>
  <c r="OJ31" i="25"/>
  <c r="OK31" i="25" s="1"/>
  <c r="OL31" i="25" s="1"/>
  <c r="MJ31" i="25"/>
  <c r="MK31" i="25" s="1"/>
  <c r="ML31" i="25" s="1"/>
  <c r="HJ41" i="25"/>
  <c r="HK41" i="25" s="1"/>
  <c r="HL41" i="25" s="1"/>
  <c r="MJ41" i="25"/>
  <c r="MK41" i="25" s="1"/>
  <c r="ML41" i="25" s="1"/>
  <c r="OJ41" i="25"/>
  <c r="OK41" i="25" s="1"/>
  <c r="OL41" i="25" s="1"/>
  <c r="RJ24" i="25"/>
  <c r="RK24" i="25" s="1"/>
  <c r="RL24" i="25" s="1"/>
  <c r="LJ24" i="25"/>
  <c r="LK24" i="25" s="1"/>
  <c r="LL24" i="25" s="1"/>
  <c r="SJ24" i="25"/>
  <c r="SK24" i="25" s="1"/>
  <c r="SL24" i="25" s="1"/>
  <c r="SU24" i="25" s="1"/>
  <c r="NJ25" i="25"/>
  <c r="NK25" i="25" s="1"/>
  <c r="NL25" i="25" s="1"/>
  <c r="LJ25" i="25"/>
  <c r="LK25" i="25" s="1"/>
  <c r="LL25" i="25" s="1"/>
  <c r="RJ38" i="25"/>
  <c r="RK38" i="25" s="1"/>
  <c r="RL38" i="25" s="1"/>
  <c r="HJ38" i="25"/>
  <c r="HK38" i="25" s="1"/>
  <c r="HL38" i="25" s="1"/>
  <c r="QJ38" i="25"/>
  <c r="QK38" i="25" s="1"/>
  <c r="QL38" i="25" s="1"/>
  <c r="JJ35" i="25"/>
  <c r="JK35" i="25" s="1"/>
  <c r="JL35" i="25" s="1"/>
  <c r="LJ35" i="25"/>
  <c r="LK35" i="25" s="1"/>
  <c r="LL35" i="25" s="1"/>
  <c r="QJ35" i="25"/>
  <c r="QK35" i="25" s="1"/>
  <c r="QL35" i="25" s="1"/>
  <c r="RJ28" i="25"/>
  <c r="RK28" i="25" s="1"/>
  <c r="RL28" i="25" s="1"/>
  <c r="HJ28" i="25"/>
  <c r="HK28" i="25" s="1"/>
  <c r="HL28" i="25" s="1"/>
  <c r="QJ28" i="25"/>
  <c r="QK28" i="25" s="1"/>
  <c r="QL28" i="25" s="1"/>
  <c r="LJ42" i="25"/>
  <c r="LK42" i="25" s="1"/>
  <c r="LL42" i="25" s="1"/>
  <c r="PJ42" i="25"/>
  <c r="PK42" i="25" s="1"/>
  <c r="PL42" i="25" s="1"/>
  <c r="MJ42" i="25"/>
  <c r="MK42" i="25" s="1"/>
  <c r="ML42" i="25" s="1"/>
  <c r="NJ47" i="25"/>
  <c r="NK47" i="25" s="1"/>
  <c r="NL47" i="25" s="1"/>
  <c r="HJ47" i="25"/>
  <c r="HK47" i="25" s="1"/>
  <c r="HL47" i="25" s="1"/>
  <c r="MJ47" i="25"/>
  <c r="MK47" i="25" s="1"/>
  <c r="ML47" i="25" s="1"/>
  <c r="PJ32" i="25"/>
  <c r="PK32" i="25" s="1"/>
  <c r="PL32" i="25" s="1"/>
  <c r="HJ32" i="25"/>
  <c r="HK32" i="25" s="1"/>
  <c r="HL32" i="25" s="1"/>
  <c r="QJ32" i="25"/>
  <c r="QK32" i="25" s="1"/>
  <c r="QL32" i="25" s="1"/>
  <c r="HJ36" i="25"/>
  <c r="HK36" i="25" s="1"/>
  <c r="HL36" i="25" s="1"/>
  <c r="IJ36" i="25"/>
  <c r="IK36" i="25" s="1"/>
  <c r="IL36" i="25" s="1"/>
  <c r="QJ36" i="25"/>
  <c r="QK36" i="25" s="1"/>
  <c r="QL36" i="25" s="1"/>
  <c r="NJ37" i="25"/>
  <c r="NK37" i="25" s="1"/>
  <c r="NL37" i="25" s="1"/>
  <c r="KJ37" i="25"/>
  <c r="KK37" i="25" s="1"/>
  <c r="KL37" i="25" s="1"/>
  <c r="OJ37" i="25"/>
  <c r="OK37" i="25" s="1"/>
  <c r="OL37" i="25" s="1"/>
  <c r="SJ21" i="25"/>
  <c r="SK21" i="25" s="1"/>
  <c r="SL21" i="25" s="1"/>
  <c r="SU21" i="25" s="1"/>
  <c r="NJ33" i="25"/>
  <c r="NK33" i="25" s="1"/>
  <c r="NL33" i="25" s="1"/>
  <c r="MJ33" i="25"/>
  <c r="MK33" i="25" s="1"/>
  <c r="ML33" i="25" s="1"/>
  <c r="QJ33" i="25"/>
  <c r="QK33" i="25" s="1"/>
  <c r="QL33" i="25" s="1"/>
  <c r="NJ34" i="25"/>
  <c r="NK34" i="25" s="1"/>
  <c r="NL34" i="25" s="1"/>
  <c r="IJ34" i="25"/>
  <c r="IK34" i="25" s="1"/>
  <c r="IL34" i="25" s="1"/>
  <c r="KJ34" i="25"/>
  <c r="KK34" i="25" s="1"/>
  <c r="KL34" i="25" s="1"/>
  <c r="HJ52" i="25"/>
  <c r="HK52" i="25" s="1"/>
  <c r="HL52" i="25" s="1"/>
  <c r="IJ52" i="25"/>
  <c r="IK52" i="25" s="1"/>
  <c r="IL52" i="25" s="1"/>
  <c r="MJ52" i="25"/>
  <c r="MK52" i="25" s="1"/>
  <c r="ML52" i="25" s="1"/>
  <c r="NJ20" i="25"/>
  <c r="NK20" i="25" s="1"/>
  <c r="NL20" i="25" s="1"/>
  <c r="IJ20" i="25"/>
  <c r="IK20" i="25" s="1"/>
  <c r="IL20" i="25" s="1"/>
  <c r="OJ20" i="25"/>
  <c r="OK20" i="25" s="1"/>
  <c r="OL20" i="25" s="1"/>
  <c r="NJ39" i="25"/>
  <c r="NK39" i="25" s="1"/>
  <c r="NL39" i="25" s="1"/>
  <c r="JJ39" i="25"/>
  <c r="JK39" i="25" s="1"/>
  <c r="JL39" i="25" s="1"/>
  <c r="IJ39" i="25"/>
  <c r="IK39" i="25" s="1"/>
  <c r="IL39" i="25" s="1"/>
  <c r="RJ49" i="25"/>
  <c r="RK49" i="25" s="1"/>
  <c r="RL49" i="25" s="1"/>
  <c r="PJ49" i="25"/>
  <c r="PK49" i="25" s="1"/>
  <c r="PL49" i="25" s="1"/>
  <c r="MJ49" i="25"/>
  <c r="MK49" i="25" s="1"/>
  <c r="ML49" i="25" s="1"/>
  <c r="RJ23" i="25"/>
  <c r="RK23" i="25" s="1"/>
  <c r="RL23" i="25" s="1"/>
  <c r="SJ23" i="25"/>
  <c r="SK23" i="25" s="1"/>
  <c r="SL23" i="25" s="1"/>
  <c r="SU23" i="25" s="1"/>
  <c r="HJ45" i="25"/>
  <c r="HK45" i="25" s="1"/>
  <c r="HL45" i="25" s="1"/>
  <c r="LJ45" i="25"/>
  <c r="LK45" i="25" s="1"/>
  <c r="LL45" i="25" s="1"/>
  <c r="QJ45" i="25"/>
  <c r="QK45" i="25" s="1"/>
  <c r="QL45" i="25" s="1"/>
  <c r="PJ29" i="25"/>
  <c r="PK29" i="25" s="1"/>
  <c r="PL29" i="25" s="1"/>
  <c r="NJ29" i="25"/>
  <c r="NK29" i="25" s="1"/>
  <c r="NL29" i="25" s="1"/>
  <c r="LJ29" i="25"/>
  <c r="LK29" i="25" s="1"/>
  <c r="LL29" i="25" s="1"/>
  <c r="RJ26" i="25"/>
  <c r="RK26" i="25" s="1"/>
  <c r="RL26" i="25" s="1"/>
  <c r="IJ26" i="25"/>
  <c r="IK26" i="25" s="1"/>
  <c r="IL26" i="25" s="1"/>
  <c r="MJ26" i="25"/>
  <c r="MK26" i="25" s="1"/>
  <c r="ML26" i="25" s="1"/>
  <c r="JJ40" i="25"/>
  <c r="JK40" i="25" s="1"/>
  <c r="JL40" i="25" s="1"/>
  <c r="HJ40" i="25"/>
  <c r="HK40" i="25" s="1"/>
  <c r="HL40" i="25" s="1"/>
  <c r="SJ40" i="25"/>
  <c r="SK40" i="25" s="1"/>
  <c r="SL40" i="25" s="1"/>
  <c r="NJ53" i="25"/>
  <c r="NK53" i="25" s="1"/>
  <c r="NL53" i="25" s="1"/>
  <c r="PJ53" i="25"/>
  <c r="PK53" i="25" s="1"/>
  <c r="PL53" i="25" s="1"/>
  <c r="MJ53" i="25"/>
  <c r="MK53" i="25" s="1"/>
  <c r="ML53" i="25" s="1"/>
  <c r="NJ50" i="25"/>
  <c r="NK50" i="25" s="1"/>
  <c r="NL50" i="25" s="1"/>
  <c r="LJ50" i="25"/>
  <c r="LK50" i="25" s="1"/>
  <c r="LL50" i="25" s="1"/>
  <c r="IJ50" i="25"/>
  <c r="IK50" i="25" s="1"/>
  <c r="IL50" i="25" s="1"/>
  <c r="I9" i="20"/>
  <c r="K9" i="20"/>
  <c r="J9" i="20"/>
  <c r="L63" i="3"/>
  <c r="O63" i="3"/>
  <c r="N63" i="3"/>
  <c r="P63" i="3"/>
  <c r="I52" i="3"/>
  <c r="I51" i="3"/>
  <c r="I39" i="3"/>
  <c r="I41" i="3"/>
  <c r="I47" i="3"/>
  <c r="I42" i="3"/>
  <c r="I50" i="3"/>
  <c r="I46" i="3"/>
  <c r="I48" i="3"/>
  <c r="L37" i="3"/>
  <c r="DT22" i="25" l="1"/>
  <c r="DV22" i="25" s="1"/>
  <c r="BU22" i="25"/>
  <c r="QS48" i="25"/>
  <c r="BS22" i="25"/>
  <c r="GL57" i="25"/>
  <c r="GQ57" i="25" s="1"/>
  <c r="BF57" i="25"/>
  <c r="GL58" i="25"/>
  <c r="GQ58" i="25" s="1"/>
  <c r="BF58" i="25"/>
  <c r="GL62" i="25"/>
  <c r="GQ62" i="25" s="1"/>
  <c r="BF62" i="25"/>
  <c r="GL60" i="25"/>
  <c r="GQ60" i="25" s="1"/>
  <c r="BF60" i="25"/>
  <c r="GL56" i="25"/>
  <c r="GQ56" i="25" s="1"/>
  <c r="BF56" i="25"/>
  <c r="GL61" i="25"/>
  <c r="GQ61" i="25" s="1"/>
  <c r="BF61" i="25"/>
  <c r="GL59" i="25"/>
  <c r="GQ59" i="25" s="1"/>
  <c r="BF59" i="25"/>
  <c r="CB68" i="25"/>
  <c r="BZ68" i="25" s="1"/>
  <c r="CB64" i="25"/>
  <c r="BZ64" i="25" s="1"/>
  <c r="CB71" i="25"/>
  <c r="BZ71" i="25" s="1"/>
  <c r="AL71" i="25" s="1"/>
  <c r="W71" i="19" s="1"/>
  <c r="AU29" i="25"/>
  <c r="I44" i="3"/>
  <c r="FS36" i="25"/>
  <c r="CB65" i="25"/>
  <c r="BZ65" i="25" s="1"/>
  <c r="CB69" i="25"/>
  <c r="BZ69" i="25" s="1"/>
  <c r="AL69" i="25" s="1"/>
  <c r="W69" i="19" s="1"/>
  <c r="DT53" i="25"/>
  <c r="AN53" i="25"/>
  <c r="Y53" i="19" s="1"/>
  <c r="EN53" i="25"/>
  <c r="AV48" i="25"/>
  <c r="J63" i="3"/>
  <c r="SL69" i="25"/>
  <c r="SQ69" i="25" s="1"/>
  <c r="OL69" i="25"/>
  <c r="OQ69" i="25" s="1"/>
  <c r="IL70" i="25"/>
  <c r="IQ70" i="25" s="1"/>
  <c r="KL70" i="25"/>
  <c r="KQ70" i="25" s="1"/>
  <c r="GL71" i="25"/>
  <c r="GQ71" i="25" s="1"/>
  <c r="TL71" i="25"/>
  <c r="TQ71" i="25" s="1"/>
  <c r="BI71" i="25"/>
  <c r="AV24" i="25"/>
  <c r="J39" i="3"/>
  <c r="AV22" i="25"/>
  <c r="AV36" i="25"/>
  <c r="J51" i="3"/>
  <c r="AV34" i="25"/>
  <c r="J49" i="3"/>
  <c r="WJ71" i="25"/>
  <c r="WK71" i="25" s="1"/>
  <c r="WL71" i="25" s="1"/>
  <c r="WQ71" i="25" s="1"/>
  <c r="VJ70" i="25"/>
  <c r="VK70" i="25" s="1"/>
  <c r="VL70" i="25" s="1"/>
  <c r="VQ70" i="25" s="1"/>
  <c r="CB70" i="25"/>
  <c r="BZ70" i="25" s="1"/>
  <c r="AL70" i="25" s="1"/>
  <c r="W70" i="19" s="1"/>
  <c r="EN67" i="25"/>
  <c r="BE67" i="25" s="1"/>
  <c r="EN61" i="25"/>
  <c r="BE61" i="25" s="1"/>
  <c r="EN69" i="25"/>
  <c r="BE69" i="25" s="1"/>
  <c r="I84" i="3" s="1"/>
  <c r="EN66" i="25"/>
  <c r="BE66" i="25" s="1"/>
  <c r="EN68" i="25"/>
  <c r="BE68" i="25" s="1"/>
  <c r="IL69" i="25"/>
  <c r="IQ69" i="25" s="1"/>
  <c r="UL70" i="25"/>
  <c r="UQ70" i="25" s="1"/>
  <c r="BK70" i="25"/>
  <c r="SL71" i="25"/>
  <c r="SQ71" i="25" s="1"/>
  <c r="QL71" i="25"/>
  <c r="QQ71" i="25" s="1"/>
  <c r="GL69" i="25"/>
  <c r="GQ69" i="25" s="1"/>
  <c r="TL69" i="25"/>
  <c r="TQ69" i="25" s="1"/>
  <c r="BI69" i="25"/>
  <c r="AV28" i="25"/>
  <c r="J43" i="3"/>
  <c r="AV23" i="25"/>
  <c r="J38" i="3"/>
  <c r="AV33" i="25"/>
  <c r="J48" i="3"/>
  <c r="AV31" i="25"/>
  <c r="J46" i="3"/>
  <c r="VJ71" i="25"/>
  <c r="VK71" i="25" s="1"/>
  <c r="VL71" i="25" s="1"/>
  <c r="VQ71" i="25" s="1"/>
  <c r="WJ70" i="25"/>
  <c r="WK70" i="25" s="1"/>
  <c r="WL70" i="25" s="1"/>
  <c r="WQ70" i="25" s="1"/>
  <c r="AN67" i="25"/>
  <c r="Y67" i="19" s="1"/>
  <c r="AN61" i="25"/>
  <c r="AN69" i="25"/>
  <c r="Y69" i="19" s="1"/>
  <c r="AN66" i="25"/>
  <c r="Y66" i="19" s="1"/>
  <c r="AN68" i="25"/>
  <c r="Y68" i="19" s="1"/>
  <c r="KL69" i="25"/>
  <c r="KQ69" i="25" s="1"/>
  <c r="ML69" i="25"/>
  <c r="MQ69" i="25" s="1"/>
  <c r="GL70" i="25"/>
  <c r="GQ70" i="25" s="1"/>
  <c r="KL71" i="25"/>
  <c r="KQ71" i="25" s="1"/>
  <c r="ML71" i="25"/>
  <c r="MQ71" i="25" s="1"/>
  <c r="ML70" i="25"/>
  <c r="MQ70" i="25" s="1"/>
  <c r="QL70" i="25"/>
  <c r="QQ70" i="25" s="1"/>
  <c r="UL71" i="25"/>
  <c r="UQ71" i="25" s="1"/>
  <c r="BK71" i="25"/>
  <c r="AV27" i="25"/>
  <c r="J42" i="3"/>
  <c r="AV26" i="25"/>
  <c r="J41" i="3"/>
  <c r="AV29" i="25"/>
  <c r="J44" i="3"/>
  <c r="AV35" i="25"/>
  <c r="AS35" i="25" s="1"/>
  <c r="AJ35" i="25" s="1"/>
  <c r="M50" i="42" s="1"/>
  <c r="J50" i="3"/>
  <c r="WJ69" i="25"/>
  <c r="WK69" i="25" s="1"/>
  <c r="WL69" i="25" s="1"/>
  <c r="WQ69" i="25" s="1"/>
  <c r="CB63" i="25"/>
  <c r="BZ63" i="25" s="1"/>
  <c r="EN64" i="25"/>
  <c r="BE64" i="25" s="1"/>
  <c r="EN62" i="25"/>
  <c r="EN71" i="25"/>
  <c r="BE71" i="25" s="1"/>
  <c r="I86" i="3" s="1"/>
  <c r="EN63" i="25"/>
  <c r="BE63" i="25" s="1"/>
  <c r="EN65" i="25"/>
  <c r="BE65" i="25" s="1"/>
  <c r="EN70" i="25"/>
  <c r="QL69" i="25"/>
  <c r="QQ69" i="25" s="1"/>
  <c r="TL70" i="25"/>
  <c r="TQ70" i="25" s="1"/>
  <c r="BI70" i="25"/>
  <c r="AD70" i="19" s="1"/>
  <c r="IL71" i="25"/>
  <c r="IQ71" i="25" s="1"/>
  <c r="OL71" i="25"/>
  <c r="OQ71" i="25" s="1"/>
  <c r="UL69" i="25"/>
  <c r="UQ69" i="25" s="1"/>
  <c r="BK69" i="25"/>
  <c r="OL70" i="25"/>
  <c r="OQ70" i="25" s="1"/>
  <c r="SL70" i="25"/>
  <c r="SQ70" i="25" s="1"/>
  <c r="AV32" i="25"/>
  <c r="J47" i="3"/>
  <c r="AV37" i="25"/>
  <c r="AS37" i="25" s="1"/>
  <c r="AJ37" i="25" s="1"/>
  <c r="M52" i="42" s="1"/>
  <c r="J52" i="3"/>
  <c r="VJ69" i="25"/>
  <c r="VK69" i="25" s="1"/>
  <c r="VL69" i="25" s="1"/>
  <c r="VQ69" i="25" s="1"/>
  <c r="AN64" i="25"/>
  <c r="Y64" i="19" s="1"/>
  <c r="AN62" i="25"/>
  <c r="AN71" i="25"/>
  <c r="Y71" i="19" s="1"/>
  <c r="AN63" i="25"/>
  <c r="Y63" i="19" s="1"/>
  <c r="AN65" i="25"/>
  <c r="Y65" i="19" s="1"/>
  <c r="AN70" i="25"/>
  <c r="Y70" i="19" s="1"/>
  <c r="DT54" i="25"/>
  <c r="DU54" i="25" s="1"/>
  <c r="DU53" i="25"/>
  <c r="DV53" i="25"/>
  <c r="VS53" i="25"/>
  <c r="VR53" i="25"/>
  <c r="VS54" i="25"/>
  <c r="VR54" i="25"/>
  <c r="BI53" i="25"/>
  <c r="TL53" i="25"/>
  <c r="TQ53" i="25" s="1"/>
  <c r="WR53" i="25"/>
  <c r="WS53" i="25"/>
  <c r="WS54" i="25"/>
  <c r="WR54" i="25"/>
  <c r="BK53" i="25"/>
  <c r="UL53" i="25"/>
  <c r="UQ53" i="25" s="1"/>
  <c r="BI54" i="25"/>
  <c r="TL54" i="25"/>
  <c r="TQ54" i="25" s="1"/>
  <c r="BK54" i="25"/>
  <c r="UL54" i="25"/>
  <c r="UQ54" i="25" s="1"/>
  <c r="FS53" i="25"/>
  <c r="FR53" i="25"/>
  <c r="FR54" i="25"/>
  <c r="FS54" i="25"/>
  <c r="EP50" i="25"/>
  <c r="EU50" i="25" s="1"/>
  <c r="BE50" i="25"/>
  <c r="AU50" i="25" s="1"/>
  <c r="EP53" i="25"/>
  <c r="EU53" i="25" s="1"/>
  <c r="BE53" i="25"/>
  <c r="AU53" i="25" s="1"/>
  <c r="EP52" i="25"/>
  <c r="EU52" i="25" s="1"/>
  <c r="EV52" i="25" s="1"/>
  <c r="BE52" i="25"/>
  <c r="AU52" i="25" s="1"/>
  <c r="EP49" i="25"/>
  <c r="EU49" i="25" s="1"/>
  <c r="EW49" i="25" s="1"/>
  <c r="BE49" i="25"/>
  <c r="AU49" i="25" s="1"/>
  <c r="EP48" i="25"/>
  <c r="EU48" i="25" s="1"/>
  <c r="BE48" i="25"/>
  <c r="AC48" i="19" s="1"/>
  <c r="DT60" i="25"/>
  <c r="DU60" i="25" s="1"/>
  <c r="EN60" i="25"/>
  <c r="AN60" i="25"/>
  <c r="EN59" i="25"/>
  <c r="BE59" i="25" s="1"/>
  <c r="I74" i="3" s="1"/>
  <c r="AN59" i="25"/>
  <c r="AN58" i="25"/>
  <c r="EN58" i="25"/>
  <c r="BE58" i="25" s="1"/>
  <c r="I73" i="3" s="1"/>
  <c r="GR49" i="25"/>
  <c r="AN56" i="25"/>
  <c r="Y56" i="19" s="1"/>
  <c r="EP54" i="25"/>
  <c r="EU54" i="25" s="1"/>
  <c r="EN57" i="25"/>
  <c r="BE57" i="25" s="1"/>
  <c r="I72" i="3" s="1"/>
  <c r="EM55" i="25"/>
  <c r="EN55" i="25" s="1"/>
  <c r="AN57" i="25"/>
  <c r="Y57" i="19" s="1"/>
  <c r="EP51" i="25"/>
  <c r="EU51" i="25" s="1"/>
  <c r="EN56" i="25"/>
  <c r="AN55" i="25"/>
  <c r="Y55" i="19" s="1"/>
  <c r="EP34" i="25"/>
  <c r="EU34" i="25" s="1"/>
  <c r="EW34" i="25" s="1"/>
  <c r="EP43" i="25"/>
  <c r="EU43" i="25" s="1"/>
  <c r="EW43" i="25" s="1"/>
  <c r="EP39" i="25"/>
  <c r="EU39" i="25" s="1"/>
  <c r="EN20" i="25"/>
  <c r="EN21" i="25"/>
  <c r="BE21" i="25" s="1"/>
  <c r="EN22" i="25"/>
  <c r="BE22" i="25" s="1"/>
  <c r="AC22" i="19" s="1"/>
  <c r="AN21" i="25"/>
  <c r="Y21" i="19" s="1"/>
  <c r="AN22" i="25"/>
  <c r="Y22" i="19" s="1"/>
  <c r="FR31" i="25"/>
  <c r="BE43" i="25"/>
  <c r="EP45" i="25"/>
  <c r="EU45" i="25" s="1"/>
  <c r="EW45" i="25" s="1"/>
  <c r="EP31" i="25"/>
  <c r="EU31" i="25" s="1"/>
  <c r="BE34" i="25"/>
  <c r="EP44" i="25"/>
  <c r="EU44" i="25" s="1"/>
  <c r="EW44" i="25" s="1"/>
  <c r="EP46" i="25"/>
  <c r="EU46" i="25" s="1"/>
  <c r="EV46" i="25" s="1"/>
  <c r="EP26" i="25"/>
  <c r="EU26" i="25" s="1"/>
  <c r="EP36" i="25"/>
  <c r="EU36" i="25" s="1"/>
  <c r="EN23" i="25"/>
  <c r="BE23" i="25" s="1"/>
  <c r="I38" i="3" s="1"/>
  <c r="EP27" i="25"/>
  <c r="EU27" i="25" s="1"/>
  <c r="EP37" i="25"/>
  <c r="EU37" i="25" s="1"/>
  <c r="EV37" i="25" s="1"/>
  <c r="EP28" i="25"/>
  <c r="EU28" i="25" s="1"/>
  <c r="EV28" i="25" s="1"/>
  <c r="EN40" i="25"/>
  <c r="EP40" i="25" s="1"/>
  <c r="EN25" i="25"/>
  <c r="EP25" i="25" s="1"/>
  <c r="EP42" i="25"/>
  <c r="EU42" i="25" s="1"/>
  <c r="EP29" i="25"/>
  <c r="EU29" i="25" s="1"/>
  <c r="EW29" i="25" s="1"/>
  <c r="AN23" i="25"/>
  <c r="Y23" i="19" s="1"/>
  <c r="EP41" i="25"/>
  <c r="EU41" i="25" s="1"/>
  <c r="EW41" i="25" s="1"/>
  <c r="EP32" i="25"/>
  <c r="EU32" i="25" s="1"/>
  <c r="EV32" i="25" s="1"/>
  <c r="EP33" i="25"/>
  <c r="EU33" i="25" s="1"/>
  <c r="EV33" i="25" s="1"/>
  <c r="EP24" i="25"/>
  <c r="EU24" i="25" s="1"/>
  <c r="EW24" i="25" s="1"/>
  <c r="EP38" i="25"/>
  <c r="EU38" i="25" s="1"/>
  <c r="EW38" i="25" s="1"/>
  <c r="EP35" i="25"/>
  <c r="EU35" i="25" s="1"/>
  <c r="BE47" i="25"/>
  <c r="BE30" i="25"/>
  <c r="AS33" i="25"/>
  <c r="AJ33" i="25" s="1"/>
  <c r="M48" i="42" s="1"/>
  <c r="AS31" i="25"/>
  <c r="AJ31" i="25" s="1"/>
  <c r="M46" i="42" s="1"/>
  <c r="GL21" i="25"/>
  <c r="GQ21" i="25" s="1"/>
  <c r="GR21" i="25" s="1"/>
  <c r="BR21" i="25"/>
  <c r="GL20" i="25"/>
  <c r="GQ20" i="25" s="1"/>
  <c r="GS20" i="25" s="1"/>
  <c r="BR20" i="25"/>
  <c r="GR36" i="25"/>
  <c r="BQ22" i="25"/>
  <c r="BQ21" i="25"/>
  <c r="BQ20" i="25"/>
  <c r="AL57" i="25"/>
  <c r="AL56" i="25"/>
  <c r="DT55" i="25"/>
  <c r="DU55" i="25" s="1"/>
  <c r="DT59" i="25"/>
  <c r="DV59" i="25" s="1"/>
  <c r="FR62" i="25"/>
  <c r="FS62" i="25"/>
  <c r="BK60" i="25"/>
  <c r="UL60" i="25"/>
  <c r="UQ60" i="25" s="1"/>
  <c r="VR60" i="25"/>
  <c r="VS60" i="25"/>
  <c r="QL62" i="25"/>
  <c r="QQ62" i="25" s="1"/>
  <c r="BW62" i="25"/>
  <c r="LR62" i="25"/>
  <c r="LS62" i="25"/>
  <c r="GR57" i="25"/>
  <c r="GS57" i="25"/>
  <c r="BI57" i="25"/>
  <c r="TL57" i="25"/>
  <c r="TQ57" i="25" s="1"/>
  <c r="BI56" i="25"/>
  <c r="TL56" i="25"/>
  <c r="TQ56" i="25" s="1"/>
  <c r="VJ56" i="25"/>
  <c r="VK56" i="25" s="1"/>
  <c r="VL56" i="25" s="1"/>
  <c r="VQ56" i="25" s="1"/>
  <c r="BI61" i="25"/>
  <c r="TL61" i="25"/>
  <c r="TQ61" i="25" s="1"/>
  <c r="BK61" i="25"/>
  <c r="UL61" i="25"/>
  <c r="UQ61" i="25" s="1"/>
  <c r="WR55" i="25"/>
  <c r="WS55" i="25"/>
  <c r="VR59" i="25"/>
  <c r="VS59" i="25"/>
  <c r="RS61" i="25"/>
  <c r="RR61" i="25"/>
  <c r="KL61" i="25"/>
  <c r="KQ61" i="25" s="1"/>
  <c r="BT61" i="25"/>
  <c r="ML61" i="25"/>
  <c r="MQ61" i="25" s="1"/>
  <c r="BU61" i="25"/>
  <c r="GR58" i="25"/>
  <c r="GS58" i="25"/>
  <c r="FR58" i="25"/>
  <c r="FS58" i="25"/>
  <c r="DT62" i="25"/>
  <c r="DT58" i="25"/>
  <c r="WS62" i="25"/>
  <c r="WR62" i="25"/>
  <c r="WS60" i="25"/>
  <c r="WR60" i="25"/>
  <c r="BI60" i="25"/>
  <c r="TL60" i="25"/>
  <c r="TQ60" i="25" s="1"/>
  <c r="RS62" i="25"/>
  <c r="RR62" i="25"/>
  <c r="OL62" i="25"/>
  <c r="OQ62" i="25" s="1"/>
  <c r="BV62" i="25"/>
  <c r="HR62" i="25"/>
  <c r="HS62" i="25"/>
  <c r="BY62" i="25"/>
  <c r="CA62" i="25"/>
  <c r="AL62" i="25" s="1"/>
  <c r="FS57" i="25"/>
  <c r="FR57" i="25"/>
  <c r="FS56" i="25"/>
  <c r="FR56" i="25"/>
  <c r="WJ56" i="25"/>
  <c r="WK56" i="25" s="1"/>
  <c r="WL56" i="25" s="1"/>
  <c r="WQ56" i="25" s="1"/>
  <c r="FR61" i="25"/>
  <c r="FS61" i="25"/>
  <c r="BK55" i="25"/>
  <c r="UL55" i="25"/>
  <c r="UQ55" i="25" s="1"/>
  <c r="TL59" i="25"/>
  <c r="TQ59" i="25" s="1"/>
  <c r="BI59" i="25"/>
  <c r="FR59" i="25"/>
  <c r="FS59" i="25"/>
  <c r="QL61" i="25"/>
  <c r="QQ61" i="25" s="1"/>
  <c r="BW61" i="25"/>
  <c r="HR61" i="25"/>
  <c r="HS61" i="25"/>
  <c r="NS61" i="25"/>
  <c r="NR61" i="25"/>
  <c r="TL58" i="25"/>
  <c r="TQ58" i="25" s="1"/>
  <c r="BI58" i="25"/>
  <c r="WS58" i="25"/>
  <c r="WR58" i="25"/>
  <c r="DT57" i="25"/>
  <c r="UL62" i="25"/>
  <c r="UQ62" i="25" s="1"/>
  <c r="BK62" i="25"/>
  <c r="VJ62" i="25"/>
  <c r="VK62" i="25" s="1"/>
  <c r="VL62" i="25" s="1"/>
  <c r="VQ62" i="25" s="1"/>
  <c r="PR62" i="25"/>
  <c r="PS62" i="25"/>
  <c r="JS62" i="25"/>
  <c r="JR62" i="25"/>
  <c r="KL62" i="25"/>
  <c r="KQ62" i="25" s="1"/>
  <c r="BT62" i="25"/>
  <c r="ML62" i="25"/>
  <c r="MQ62" i="25" s="1"/>
  <c r="BU62" i="25"/>
  <c r="UL56" i="25"/>
  <c r="UQ56" i="25" s="1"/>
  <c r="BK56" i="25"/>
  <c r="WR61" i="25"/>
  <c r="WS61" i="25"/>
  <c r="BI55" i="25"/>
  <c r="TL55" i="25"/>
  <c r="TQ55" i="25" s="1"/>
  <c r="VJ55" i="25"/>
  <c r="VK55" i="25" s="1"/>
  <c r="VL55" i="25" s="1"/>
  <c r="VQ55" i="25" s="1"/>
  <c r="BK59" i="25"/>
  <c r="UL59" i="25"/>
  <c r="UQ59" i="25" s="1"/>
  <c r="WR59" i="25"/>
  <c r="WS59" i="25"/>
  <c r="SL61" i="25"/>
  <c r="SQ61" i="25" s="1"/>
  <c r="BX61" i="25"/>
  <c r="OL61" i="25"/>
  <c r="OQ61" i="25" s="1"/>
  <c r="BV61" i="25"/>
  <c r="BY61" i="25"/>
  <c r="CA61" i="25"/>
  <c r="AL61" i="25" s="1"/>
  <c r="VJ58" i="25"/>
  <c r="VK58" i="25" s="1"/>
  <c r="VL58" i="25" s="1"/>
  <c r="VQ58" i="25" s="1"/>
  <c r="DT61" i="25"/>
  <c r="GR62" i="25"/>
  <c r="GS62" i="25"/>
  <c r="BI62" i="25"/>
  <c r="TL62" i="25"/>
  <c r="TQ62" i="25" s="1"/>
  <c r="GR60" i="25"/>
  <c r="GS60" i="25"/>
  <c r="FR60" i="25"/>
  <c r="FS60" i="25"/>
  <c r="SL62" i="25"/>
  <c r="SQ62" i="25" s="1"/>
  <c r="BX62" i="25"/>
  <c r="IL62" i="25"/>
  <c r="IQ62" i="25" s="1"/>
  <c r="BS62" i="25"/>
  <c r="NR62" i="25"/>
  <c r="NS62" i="25"/>
  <c r="BK57" i="25"/>
  <c r="UL57" i="25"/>
  <c r="UQ57" i="25" s="1"/>
  <c r="VR57" i="25"/>
  <c r="VS57" i="25"/>
  <c r="WR57" i="25"/>
  <c r="WS57" i="25"/>
  <c r="GR56" i="25"/>
  <c r="GS56" i="25"/>
  <c r="VS61" i="25"/>
  <c r="VR61" i="25"/>
  <c r="GS61" i="25"/>
  <c r="GR61" i="25"/>
  <c r="FS55" i="25"/>
  <c r="FR55" i="25"/>
  <c r="DU59" i="25"/>
  <c r="GR59" i="25"/>
  <c r="GS59" i="25"/>
  <c r="PR61" i="25"/>
  <c r="PS61" i="25"/>
  <c r="LR61" i="25"/>
  <c r="LS61" i="25"/>
  <c r="JR61" i="25"/>
  <c r="JS61" i="25"/>
  <c r="IL61" i="25"/>
  <c r="IQ61" i="25" s="1"/>
  <c r="BS61" i="25"/>
  <c r="BK58" i="25"/>
  <c r="UL58" i="25"/>
  <c r="UQ58" i="25" s="1"/>
  <c r="DT56" i="25"/>
  <c r="W58" i="19"/>
  <c r="CA64" i="25"/>
  <c r="AL64" i="25" s="1"/>
  <c r="W64" i="19" s="1"/>
  <c r="BY64" i="25"/>
  <c r="BY65" i="25"/>
  <c r="CA65" i="25"/>
  <c r="AL65" i="25" s="1"/>
  <c r="W65" i="19" s="1"/>
  <c r="W59" i="19"/>
  <c r="CA66" i="25"/>
  <c r="AL66" i="25" s="1"/>
  <c r="W66" i="19" s="1"/>
  <c r="BY66" i="25"/>
  <c r="BY68" i="25"/>
  <c r="CA68" i="25"/>
  <c r="AL68" i="25" s="1"/>
  <c r="W68" i="19" s="1"/>
  <c r="W60" i="19"/>
  <c r="BY63" i="25"/>
  <c r="CA63" i="25"/>
  <c r="AL63" i="25" s="1"/>
  <c r="W63" i="19" s="1"/>
  <c r="AS32" i="25"/>
  <c r="AJ32" i="25" s="1"/>
  <c r="M47" i="42" s="1"/>
  <c r="FR40" i="25"/>
  <c r="GS46" i="25"/>
  <c r="AS36" i="25"/>
  <c r="AJ36" i="25" s="1"/>
  <c r="M51" i="42" s="1"/>
  <c r="FR49" i="25"/>
  <c r="JL58" i="25"/>
  <c r="JQ58" i="25" s="1"/>
  <c r="JL59" i="25"/>
  <c r="JQ59" i="25" s="1"/>
  <c r="RL58" i="25"/>
  <c r="RQ58" i="25" s="1"/>
  <c r="RL60" i="25"/>
  <c r="RQ60" i="25" s="1"/>
  <c r="HL59" i="25"/>
  <c r="HQ59" i="25" s="1"/>
  <c r="IL63" i="25"/>
  <c r="IQ63" i="25" s="1"/>
  <c r="OL63" i="25"/>
  <c r="OQ63" i="25" s="1"/>
  <c r="OL66" i="25"/>
  <c r="OQ66" i="25" s="1"/>
  <c r="ML66" i="25"/>
  <c r="MQ66" i="25" s="1"/>
  <c r="SL64" i="25"/>
  <c r="SQ64" i="25" s="1"/>
  <c r="UL66" i="25"/>
  <c r="UQ66" i="25" s="1"/>
  <c r="BK66" i="25"/>
  <c r="IL68" i="25"/>
  <c r="IQ68" i="25" s="1"/>
  <c r="QL68" i="25"/>
  <c r="QQ68" i="25" s="1"/>
  <c r="TL67" i="25"/>
  <c r="TQ67" i="25" s="1"/>
  <c r="BI67" i="25"/>
  <c r="TL68" i="25"/>
  <c r="TQ68" i="25" s="1"/>
  <c r="BI68" i="25"/>
  <c r="UL63" i="25"/>
  <c r="UQ63" i="25" s="1"/>
  <c r="BK63" i="25"/>
  <c r="GL64" i="25"/>
  <c r="GQ64" i="25" s="1"/>
  <c r="UL64" i="25"/>
  <c r="UQ64" i="25" s="1"/>
  <c r="BK64" i="25"/>
  <c r="KL67" i="25"/>
  <c r="KQ67" i="25" s="1"/>
  <c r="IL67" i="25"/>
  <c r="IQ67" i="25" s="1"/>
  <c r="GL65" i="25"/>
  <c r="GQ65" i="25" s="1"/>
  <c r="AV55" i="25"/>
  <c r="VJ67" i="25"/>
  <c r="VK67" i="25" s="1"/>
  <c r="VL67" i="25" s="1"/>
  <c r="VQ67" i="25" s="1"/>
  <c r="VJ66" i="25"/>
  <c r="VK66" i="25" s="1"/>
  <c r="VL66" i="25" s="1"/>
  <c r="VQ66" i="25" s="1"/>
  <c r="WJ68" i="25"/>
  <c r="WK68" i="25" s="1"/>
  <c r="WL68" i="25" s="1"/>
  <c r="WQ68" i="25" s="1"/>
  <c r="PL59" i="25"/>
  <c r="PQ59" i="25" s="1"/>
  <c r="LL58" i="25"/>
  <c r="LQ58" i="25" s="1"/>
  <c r="NL59" i="25"/>
  <c r="NQ59" i="25" s="1"/>
  <c r="PL60" i="25"/>
  <c r="PQ60" i="25" s="1"/>
  <c r="QL63" i="25"/>
  <c r="QQ63" i="25" s="1"/>
  <c r="KL66" i="25"/>
  <c r="KQ66" i="25" s="1"/>
  <c r="IL66" i="25"/>
  <c r="IQ66" i="25" s="1"/>
  <c r="OL64" i="25"/>
  <c r="OQ64" i="25" s="1"/>
  <c r="KL64" i="25"/>
  <c r="KQ64" i="25" s="1"/>
  <c r="TL66" i="25"/>
  <c r="TQ66" i="25" s="1"/>
  <c r="BI66" i="25"/>
  <c r="SL68" i="25"/>
  <c r="SQ68" i="25" s="1"/>
  <c r="KL68" i="25"/>
  <c r="KQ68" i="25" s="1"/>
  <c r="GL67" i="25"/>
  <c r="GQ67" i="25" s="1"/>
  <c r="TL63" i="25"/>
  <c r="TQ63" i="25" s="1"/>
  <c r="BI63" i="25"/>
  <c r="TL64" i="25"/>
  <c r="TQ64" i="25" s="1"/>
  <c r="BI64" i="25"/>
  <c r="OL67" i="25"/>
  <c r="OQ67" i="25" s="1"/>
  <c r="SL67" i="25"/>
  <c r="SQ67" i="25" s="1"/>
  <c r="SL65" i="25"/>
  <c r="SQ65" i="25" s="1"/>
  <c r="QL65" i="25"/>
  <c r="QQ65" i="25" s="1"/>
  <c r="UL65" i="25"/>
  <c r="UQ65" i="25" s="1"/>
  <c r="BK65" i="25"/>
  <c r="TL65" i="25"/>
  <c r="TQ65" i="25" s="1"/>
  <c r="BI65" i="25"/>
  <c r="WJ67" i="25"/>
  <c r="WK67" i="25" s="1"/>
  <c r="WL67" i="25" s="1"/>
  <c r="WQ67" i="25" s="1"/>
  <c r="WJ66" i="25"/>
  <c r="WK66" i="25" s="1"/>
  <c r="WL66" i="25" s="1"/>
  <c r="WQ66" i="25" s="1"/>
  <c r="VJ68" i="25"/>
  <c r="VK68" i="25" s="1"/>
  <c r="VL68" i="25" s="1"/>
  <c r="VQ68" i="25" s="1"/>
  <c r="HL58" i="25"/>
  <c r="HQ58" i="25" s="1"/>
  <c r="LL60" i="25"/>
  <c r="LQ60" i="25" s="1"/>
  <c r="LL59" i="25"/>
  <c r="LQ59" i="25" s="1"/>
  <c r="NL58" i="25"/>
  <c r="NQ58" i="25" s="1"/>
  <c r="KL63" i="25"/>
  <c r="KQ63" i="25" s="1"/>
  <c r="SL63" i="25"/>
  <c r="SQ63" i="25" s="1"/>
  <c r="SL66" i="25"/>
  <c r="SQ66" i="25" s="1"/>
  <c r="QL64" i="25"/>
  <c r="QQ64" i="25" s="1"/>
  <c r="IL64" i="25"/>
  <c r="IQ64" i="25" s="1"/>
  <c r="UL68" i="25"/>
  <c r="UQ68" i="25" s="1"/>
  <c r="BK68" i="25"/>
  <c r="QL67" i="25"/>
  <c r="QQ67" i="25" s="1"/>
  <c r="ML67" i="25"/>
  <c r="MQ67" i="25" s="1"/>
  <c r="ML65" i="25"/>
  <c r="MQ65" i="25" s="1"/>
  <c r="IL65" i="25"/>
  <c r="IQ65" i="25" s="1"/>
  <c r="WJ64" i="25"/>
  <c r="WK64" i="25" s="1"/>
  <c r="WL64" i="25" s="1"/>
  <c r="WQ64" i="25" s="1"/>
  <c r="WJ63" i="25"/>
  <c r="WK63" i="25" s="1"/>
  <c r="WL63" i="25" s="1"/>
  <c r="WQ63" i="25" s="1"/>
  <c r="VJ65" i="25"/>
  <c r="VK65" i="25" s="1"/>
  <c r="VL65" i="25" s="1"/>
  <c r="VQ65" i="25" s="1"/>
  <c r="NL60" i="25"/>
  <c r="NQ60" i="25" s="1"/>
  <c r="PL58" i="25"/>
  <c r="PQ58" i="25" s="1"/>
  <c r="HL60" i="25"/>
  <c r="HQ60" i="25" s="1"/>
  <c r="RL59" i="25"/>
  <c r="RQ59" i="25" s="1"/>
  <c r="JL60" i="25"/>
  <c r="JQ60" i="25" s="1"/>
  <c r="ML63" i="25"/>
  <c r="MQ63" i="25" s="1"/>
  <c r="QL66" i="25"/>
  <c r="QQ66" i="25" s="1"/>
  <c r="ML64" i="25"/>
  <c r="MQ64" i="25" s="1"/>
  <c r="GL66" i="25"/>
  <c r="GQ66" i="25" s="1"/>
  <c r="OL68" i="25"/>
  <c r="OQ68" i="25" s="1"/>
  <c r="ML68" i="25"/>
  <c r="MQ68" i="25" s="1"/>
  <c r="UL67" i="25"/>
  <c r="UQ67" i="25" s="1"/>
  <c r="BK67" i="25"/>
  <c r="GL68" i="25"/>
  <c r="GQ68" i="25" s="1"/>
  <c r="GL63" i="25"/>
  <c r="GQ63" i="25" s="1"/>
  <c r="OL65" i="25"/>
  <c r="OQ65" i="25" s="1"/>
  <c r="KL65" i="25"/>
  <c r="KQ65" i="25" s="1"/>
  <c r="VJ64" i="25"/>
  <c r="VK64" i="25" s="1"/>
  <c r="VL64" i="25" s="1"/>
  <c r="VQ64" i="25" s="1"/>
  <c r="VJ63" i="25"/>
  <c r="VK63" i="25" s="1"/>
  <c r="VL63" i="25" s="1"/>
  <c r="VQ63" i="25" s="1"/>
  <c r="WJ65" i="25"/>
  <c r="WK65" i="25" s="1"/>
  <c r="WL65" i="25" s="1"/>
  <c r="WQ65" i="25" s="1"/>
  <c r="EV43" i="25"/>
  <c r="IR48" i="25"/>
  <c r="MS48" i="25"/>
  <c r="BX22" i="25"/>
  <c r="BB22" i="25" s="1"/>
  <c r="SP40" i="25"/>
  <c r="SU40" i="25"/>
  <c r="QP45" i="25"/>
  <c r="QU45" i="25"/>
  <c r="QP36" i="25"/>
  <c r="QU36" i="25"/>
  <c r="QP42" i="25"/>
  <c r="QU42" i="25"/>
  <c r="QP43" i="25"/>
  <c r="QU43" i="25"/>
  <c r="SP53" i="25"/>
  <c r="SU53" i="25"/>
  <c r="SP42" i="25"/>
  <c r="SU42" i="25"/>
  <c r="QP53" i="25"/>
  <c r="QU53" i="25"/>
  <c r="SP32" i="25"/>
  <c r="SU32" i="25"/>
  <c r="SP38" i="25"/>
  <c r="SU38" i="25"/>
  <c r="SP51" i="25"/>
  <c r="SU51" i="25"/>
  <c r="EV49" i="25"/>
  <c r="CK48" i="25"/>
  <c r="QP32" i="25"/>
  <c r="QU32" i="25"/>
  <c r="QP35" i="25"/>
  <c r="QU35" i="25"/>
  <c r="QP44" i="25"/>
  <c r="QU44" i="25"/>
  <c r="QP34" i="25"/>
  <c r="QU34" i="25"/>
  <c r="SP36" i="25"/>
  <c r="SU36" i="25"/>
  <c r="QP51" i="25"/>
  <c r="QU51" i="25"/>
  <c r="QP46" i="25"/>
  <c r="QU46" i="25"/>
  <c r="QP40" i="25"/>
  <c r="QU40" i="25"/>
  <c r="QP52" i="25"/>
  <c r="QU52" i="25"/>
  <c r="QP37" i="25"/>
  <c r="QU37" i="25"/>
  <c r="SP52" i="25"/>
  <c r="SU52" i="25"/>
  <c r="SP47" i="25"/>
  <c r="SU47" i="25"/>
  <c r="QP38" i="25"/>
  <c r="QU38" i="25"/>
  <c r="SP46" i="25"/>
  <c r="SU46" i="25"/>
  <c r="SP35" i="25"/>
  <c r="SU35" i="25"/>
  <c r="QP41" i="25"/>
  <c r="QU41" i="25"/>
  <c r="SP49" i="25"/>
  <c r="SU49" i="25"/>
  <c r="QP49" i="25"/>
  <c r="QU49" i="25"/>
  <c r="SP34" i="25"/>
  <c r="SU34" i="25"/>
  <c r="SP37" i="25"/>
  <c r="SU37" i="25"/>
  <c r="SP43" i="25"/>
  <c r="SU43" i="25"/>
  <c r="QP33" i="25"/>
  <c r="QU33" i="25"/>
  <c r="QP39" i="25"/>
  <c r="QU39" i="25"/>
  <c r="SP33" i="25"/>
  <c r="SU33" i="25"/>
  <c r="QP47" i="25"/>
  <c r="QU47" i="25"/>
  <c r="SP41" i="25"/>
  <c r="SU41" i="25"/>
  <c r="SP45" i="25"/>
  <c r="SU45" i="25"/>
  <c r="SP39" i="25"/>
  <c r="SU39" i="25"/>
  <c r="SP44" i="25"/>
  <c r="SU44" i="25"/>
  <c r="SP54" i="25"/>
  <c r="SU54" i="25"/>
  <c r="QP54" i="25"/>
  <c r="QU54" i="25"/>
  <c r="CA48" i="25"/>
  <c r="AL48" i="25" s="1"/>
  <c r="W48" i="19" s="1"/>
  <c r="BY48" i="25"/>
  <c r="AD52" i="19"/>
  <c r="VR47" i="25"/>
  <c r="VS47" i="25"/>
  <c r="WR45" i="25"/>
  <c r="WS45" i="25"/>
  <c r="VR49" i="25"/>
  <c r="VS49" i="25"/>
  <c r="WR50" i="25"/>
  <c r="WS50" i="25"/>
  <c r="VR45" i="25"/>
  <c r="VS45" i="25"/>
  <c r="VS46" i="25"/>
  <c r="VR46" i="25"/>
  <c r="WR49" i="25"/>
  <c r="WS49" i="25"/>
  <c r="I63" i="3"/>
  <c r="I61" i="3"/>
  <c r="AC46" i="19"/>
  <c r="I60" i="3"/>
  <c r="AC45" i="19"/>
  <c r="I64" i="3"/>
  <c r="AC49" i="19"/>
  <c r="I69" i="3"/>
  <c r="AC54" i="19"/>
  <c r="BD54" i="25"/>
  <c r="AV45" i="25"/>
  <c r="AS45" i="25" s="1"/>
  <c r="AJ45" i="25" s="1"/>
  <c r="M60" i="42" s="1"/>
  <c r="I65" i="3"/>
  <c r="AC50" i="19"/>
  <c r="I66" i="3"/>
  <c r="AV53" i="25"/>
  <c r="AS53" i="25" s="1"/>
  <c r="AJ53" i="25" s="1"/>
  <c r="M68" i="42" s="1"/>
  <c r="VR51" i="25"/>
  <c r="VS51" i="25"/>
  <c r="VR48" i="25"/>
  <c r="VS48" i="25"/>
  <c r="I59" i="3"/>
  <c r="AC44" i="19"/>
  <c r="AV50" i="25"/>
  <c r="AS50" i="25" s="1"/>
  <c r="AJ50" i="25" s="1"/>
  <c r="M65" i="42" s="1"/>
  <c r="AV52" i="25"/>
  <c r="AS52" i="25" s="1"/>
  <c r="AJ52" i="25" s="1"/>
  <c r="M67" i="42" s="1"/>
  <c r="AV44" i="25"/>
  <c r="AS44" i="25" s="1"/>
  <c r="AJ44" i="25" s="1"/>
  <c r="M59" i="42" s="1"/>
  <c r="AV54" i="25"/>
  <c r="AS54" i="25" s="1"/>
  <c r="AJ54" i="25" s="1"/>
  <c r="M69" i="42" s="1"/>
  <c r="VR52" i="25"/>
  <c r="VS52" i="25"/>
  <c r="VR44" i="25"/>
  <c r="VS44" i="25"/>
  <c r="WS52" i="25"/>
  <c r="WR52" i="25"/>
  <c r="WS44" i="25"/>
  <c r="WR44" i="25"/>
  <c r="WR46" i="25"/>
  <c r="WS46" i="25"/>
  <c r="WS47" i="25"/>
  <c r="WR47" i="25"/>
  <c r="WS51" i="25"/>
  <c r="WR51" i="25"/>
  <c r="WS48" i="25"/>
  <c r="WR48" i="25"/>
  <c r="VS50" i="25"/>
  <c r="VR50" i="25"/>
  <c r="AV46" i="25"/>
  <c r="AS46" i="25" s="1"/>
  <c r="AJ46" i="25" s="1"/>
  <c r="M61" i="42" s="1"/>
  <c r="AV49" i="25"/>
  <c r="AS49" i="25" s="1"/>
  <c r="AJ49" i="25" s="1"/>
  <c r="M64" i="42" s="1"/>
  <c r="I67" i="3"/>
  <c r="AC52" i="19"/>
  <c r="BD52" i="25"/>
  <c r="I68" i="3"/>
  <c r="AC53" i="19"/>
  <c r="BD53" i="25"/>
  <c r="VR33" i="25"/>
  <c r="VS33" i="25"/>
  <c r="WR39" i="25"/>
  <c r="WS39" i="25"/>
  <c r="VS32" i="25"/>
  <c r="VR32" i="25"/>
  <c r="WS40" i="25"/>
  <c r="WR40" i="25"/>
  <c r="VS39" i="25"/>
  <c r="VR39" i="25"/>
  <c r="VR43" i="25"/>
  <c r="VS43" i="25"/>
  <c r="WS36" i="25"/>
  <c r="WR36" i="25"/>
  <c r="VS35" i="25"/>
  <c r="VR35" i="25"/>
  <c r="WS32" i="25"/>
  <c r="WR32" i="25"/>
  <c r="WR42" i="25"/>
  <c r="WS42" i="25"/>
  <c r="WS37" i="25"/>
  <c r="WR37" i="25"/>
  <c r="VS40" i="25"/>
  <c r="VR40" i="25"/>
  <c r="WS43" i="25"/>
  <c r="WR43" i="25"/>
  <c r="VS42" i="25"/>
  <c r="VR42" i="25"/>
  <c r="WS33" i="25"/>
  <c r="WR33" i="25"/>
  <c r="VS36" i="25"/>
  <c r="VR36" i="25"/>
  <c r="AC34" i="19"/>
  <c r="AC33" i="19"/>
  <c r="AV40" i="25"/>
  <c r="VR38" i="25"/>
  <c r="VS38" i="25"/>
  <c r="VR34" i="25"/>
  <c r="VS34" i="25"/>
  <c r="WR35" i="25"/>
  <c r="WS35" i="25"/>
  <c r="WS38" i="25"/>
  <c r="WR38" i="25"/>
  <c r="WS34" i="25"/>
  <c r="WR34" i="25"/>
  <c r="VR37" i="25"/>
  <c r="VS37" i="25"/>
  <c r="VR41" i="25"/>
  <c r="VS41" i="25"/>
  <c r="AC35" i="19"/>
  <c r="I56" i="3"/>
  <c r="AC41" i="19"/>
  <c r="AV39" i="25"/>
  <c r="AS39" i="25" s="1"/>
  <c r="AJ39" i="25" s="1"/>
  <c r="M54" i="42" s="1"/>
  <c r="AC43" i="19"/>
  <c r="AC32" i="19"/>
  <c r="AC37" i="19"/>
  <c r="AV38" i="25"/>
  <c r="AS38" i="25" s="1"/>
  <c r="AJ38" i="25" s="1"/>
  <c r="M53" i="42" s="1"/>
  <c r="AV43" i="25"/>
  <c r="I53" i="3"/>
  <c r="AC38" i="19"/>
  <c r="AC36" i="19"/>
  <c r="I54" i="3"/>
  <c r="AC39" i="19"/>
  <c r="AV41" i="25"/>
  <c r="AS41" i="25" s="1"/>
  <c r="AJ41" i="25" s="1"/>
  <c r="M56" i="42" s="1"/>
  <c r="WR41" i="25"/>
  <c r="WS41" i="25"/>
  <c r="AS27" i="25"/>
  <c r="AJ27" i="25" s="1"/>
  <c r="M42" i="42" s="1"/>
  <c r="QP22" i="25"/>
  <c r="RQ22" i="25"/>
  <c r="RS22" i="25" s="1"/>
  <c r="PP22" i="25"/>
  <c r="PQ22" i="25" s="1"/>
  <c r="PR22" i="25" s="1"/>
  <c r="BW22" i="25"/>
  <c r="BV22" i="25"/>
  <c r="RP23" i="25"/>
  <c r="RQ23" i="25" s="1"/>
  <c r="RU23" i="25"/>
  <c r="RP29" i="25"/>
  <c r="RU29" i="25"/>
  <c r="PP25" i="25"/>
  <c r="PQ25" i="25" s="1"/>
  <c r="PU25" i="25"/>
  <c r="PP20" i="25"/>
  <c r="PU20" i="25"/>
  <c r="PP21" i="25"/>
  <c r="PQ21" i="25" s="1"/>
  <c r="PU21" i="25"/>
  <c r="PP27" i="25"/>
  <c r="PU27" i="25"/>
  <c r="RP26" i="25"/>
  <c r="RQ26" i="25" s="1"/>
  <c r="RU26" i="25"/>
  <c r="PP31" i="25"/>
  <c r="PU31" i="25"/>
  <c r="PP28" i="25"/>
  <c r="PQ28" i="25" s="1"/>
  <c r="PU28" i="25"/>
  <c r="PP24" i="25"/>
  <c r="PU24" i="25"/>
  <c r="PP29" i="25"/>
  <c r="PQ29" i="25" s="1"/>
  <c r="PU29" i="25"/>
  <c r="RP25" i="25"/>
  <c r="RU25" i="25"/>
  <c r="PP23" i="25"/>
  <c r="PQ23" i="25" s="1"/>
  <c r="PU23" i="25"/>
  <c r="RP30" i="25"/>
  <c r="RU30" i="25"/>
  <c r="RP20" i="25"/>
  <c r="RQ20" i="25" s="1"/>
  <c r="RU20" i="25"/>
  <c r="RP28" i="25"/>
  <c r="RU28" i="25"/>
  <c r="RP24" i="25"/>
  <c r="RQ24" i="25" s="1"/>
  <c r="RU24" i="25"/>
  <c r="PP26" i="25"/>
  <c r="PU26" i="25"/>
  <c r="RP27" i="25"/>
  <c r="RQ27" i="25" s="1"/>
  <c r="RU27" i="25"/>
  <c r="RP21" i="25"/>
  <c r="RU21" i="25"/>
  <c r="RP31" i="25"/>
  <c r="RU31" i="25"/>
  <c r="PP30" i="25"/>
  <c r="PU30" i="25"/>
  <c r="AX22" i="25"/>
  <c r="AS26" i="25"/>
  <c r="AJ26" i="25" s="1"/>
  <c r="M41" i="42" s="1"/>
  <c r="AS24" i="25"/>
  <c r="AJ24" i="25" s="1"/>
  <c r="M39" i="42" s="1"/>
  <c r="SP31" i="25"/>
  <c r="SU31" i="25"/>
  <c r="QP28" i="25"/>
  <c r="QU28" i="25"/>
  <c r="QP31" i="25"/>
  <c r="QU31" i="25"/>
  <c r="SP30" i="25"/>
  <c r="SU30" i="25"/>
  <c r="SP29" i="25"/>
  <c r="SU29" i="25"/>
  <c r="SP28" i="25"/>
  <c r="SU28" i="25"/>
  <c r="QP27" i="25"/>
  <c r="QU27" i="25"/>
  <c r="QP29" i="25"/>
  <c r="QU29" i="25"/>
  <c r="SP27" i="25"/>
  <c r="SU27" i="25"/>
  <c r="QP30" i="25"/>
  <c r="QU30" i="25"/>
  <c r="VS26" i="25"/>
  <c r="VR26" i="25"/>
  <c r="VS28" i="25"/>
  <c r="VR28" i="25"/>
  <c r="AC26" i="19"/>
  <c r="WR30" i="25"/>
  <c r="WS30" i="25"/>
  <c r="VS23" i="25"/>
  <c r="VR23" i="25"/>
  <c r="VS24" i="25"/>
  <c r="VR24" i="25"/>
  <c r="VS22" i="25"/>
  <c r="VR22" i="25"/>
  <c r="AC29" i="19"/>
  <c r="AC21" i="19"/>
  <c r="WR26" i="25"/>
  <c r="WS26" i="25"/>
  <c r="WR25" i="25"/>
  <c r="WS25" i="25"/>
  <c r="AC28" i="19"/>
  <c r="AC24" i="19"/>
  <c r="AC31" i="19"/>
  <c r="WS27" i="25"/>
  <c r="WR27" i="25"/>
  <c r="VS31" i="25"/>
  <c r="VR31" i="25"/>
  <c r="WR22" i="25"/>
  <c r="WS22" i="25"/>
  <c r="WS28" i="25"/>
  <c r="WR28" i="25"/>
  <c r="WS31" i="25"/>
  <c r="WR31" i="25"/>
  <c r="VR21" i="25"/>
  <c r="VS21" i="25"/>
  <c r="WR29" i="25"/>
  <c r="WS29" i="25"/>
  <c r="VR25" i="25"/>
  <c r="VS25" i="25"/>
  <c r="VR29" i="25"/>
  <c r="VS29" i="25"/>
  <c r="VS30" i="25"/>
  <c r="VR30" i="25"/>
  <c r="DV20" i="25"/>
  <c r="WR21" i="25"/>
  <c r="WS21" i="25"/>
  <c r="WS24" i="25"/>
  <c r="WR24" i="25"/>
  <c r="WS23" i="25"/>
  <c r="WR23" i="25"/>
  <c r="VS27" i="25"/>
  <c r="VR27" i="25"/>
  <c r="AC27" i="19"/>
  <c r="WL20" i="25"/>
  <c r="WQ20" i="25" s="1"/>
  <c r="WR20" i="25" s="1"/>
  <c r="BH20" i="25"/>
  <c r="VL20" i="25"/>
  <c r="VQ20" i="25" s="1"/>
  <c r="VR20" i="25" s="1"/>
  <c r="BG20" i="25"/>
  <c r="TS52" i="25"/>
  <c r="TR52" i="25"/>
  <c r="DU52" i="25"/>
  <c r="DV52" i="25"/>
  <c r="US52" i="25"/>
  <c r="UR52" i="25"/>
  <c r="FS39" i="25"/>
  <c r="FR39" i="25"/>
  <c r="FR44" i="25"/>
  <c r="FS44" i="25"/>
  <c r="FR48" i="25"/>
  <c r="FS48" i="25"/>
  <c r="FS43" i="25"/>
  <c r="FR43" i="25"/>
  <c r="FR46" i="25"/>
  <c r="FS46" i="25"/>
  <c r="FR41" i="25"/>
  <c r="FS41" i="25"/>
  <c r="FR50" i="25"/>
  <c r="FS50" i="25"/>
  <c r="DV39" i="25"/>
  <c r="DU39" i="25"/>
  <c r="BF51" i="25"/>
  <c r="J66" i="3" s="1"/>
  <c r="JQ53" i="25"/>
  <c r="BS53" i="25"/>
  <c r="K68" i="3" s="1"/>
  <c r="BW53" i="25"/>
  <c r="O68" i="3" s="1"/>
  <c r="BT55" i="25"/>
  <c r="L70" i="3" s="1"/>
  <c r="HQ54" i="25"/>
  <c r="JQ54" i="25"/>
  <c r="BW55" i="25"/>
  <c r="O70" i="3" s="1"/>
  <c r="BT54" i="25"/>
  <c r="L69" i="3" s="1"/>
  <c r="JQ56" i="25"/>
  <c r="PQ57" i="25"/>
  <c r="RQ56" i="25"/>
  <c r="AU43" i="25"/>
  <c r="I58" i="3"/>
  <c r="NQ53" i="25"/>
  <c r="BV53" i="25"/>
  <c r="N68" i="3" s="1"/>
  <c r="BX53" i="25"/>
  <c r="P68" i="3" s="1"/>
  <c r="BX54" i="25"/>
  <c r="P69" i="3" s="1"/>
  <c r="BV55" i="25"/>
  <c r="N70" i="3" s="1"/>
  <c r="NQ54" i="25"/>
  <c r="BS54" i="25"/>
  <c r="K69" i="3" s="1"/>
  <c r="BW54" i="25"/>
  <c r="O69" i="3" s="1"/>
  <c r="LQ57" i="25"/>
  <c r="LQ56" i="25"/>
  <c r="LQ53" i="25"/>
  <c r="HQ55" i="25"/>
  <c r="JQ55" i="25"/>
  <c r="BU54" i="25"/>
  <c r="M69" i="3" s="1"/>
  <c r="BV54" i="25"/>
  <c r="N69" i="3" s="1"/>
  <c r="LQ55" i="25"/>
  <c r="BX55" i="25"/>
  <c r="P70" i="3" s="1"/>
  <c r="HQ56" i="25"/>
  <c r="NQ57" i="25"/>
  <c r="RQ57" i="25"/>
  <c r="GS53" i="25"/>
  <c r="BU53" i="25"/>
  <c r="M68" i="3" s="1"/>
  <c r="HQ53" i="25"/>
  <c r="BT53" i="25"/>
  <c r="L68" i="3" s="1"/>
  <c r="NQ55" i="25"/>
  <c r="LQ54" i="25"/>
  <c r="BS55" i="25"/>
  <c r="K70" i="3" s="1"/>
  <c r="BU55" i="25"/>
  <c r="M70" i="3" s="1"/>
  <c r="NQ56" i="25"/>
  <c r="HQ57" i="25"/>
  <c r="PQ56" i="25"/>
  <c r="JQ57" i="25"/>
  <c r="RR48" i="25"/>
  <c r="RS48" i="25"/>
  <c r="NS48" i="25"/>
  <c r="NR48" i="25"/>
  <c r="PS48" i="25"/>
  <c r="PR48" i="25"/>
  <c r="JR48" i="25"/>
  <c r="JS48" i="25"/>
  <c r="HR48" i="25"/>
  <c r="HS48" i="25"/>
  <c r="LS48" i="25"/>
  <c r="LR48" i="25"/>
  <c r="HQ40" i="25"/>
  <c r="BW45" i="25"/>
  <c r="O60" i="3" s="1"/>
  <c r="BS52" i="25"/>
  <c r="K67" i="3" s="1"/>
  <c r="NQ47" i="25"/>
  <c r="BU41" i="25"/>
  <c r="BW44" i="25"/>
  <c r="O59" i="3" s="1"/>
  <c r="BS51" i="25"/>
  <c r="BX46" i="25"/>
  <c r="P61" i="3" s="1"/>
  <c r="HQ50" i="25"/>
  <c r="BV49" i="25"/>
  <c r="N64" i="3" s="1"/>
  <c r="JQ52" i="25"/>
  <c r="BS47" i="25"/>
  <c r="BV43" i="25"/>
  <c r="N58" i="3" s="1"/>
  <c r="HQ44" i="25"/>
  <c r="HQ46" i="25"/>
  <c r="BW50" i="25"/>
  <c r="O65" i="3" s="1"/>
  <c r="NQ45" i="25"/>
  <c r="BT49" i="25"/>
  <c r="L64" i="3" s="1"/>
  <c r="BT39" i="25"/>
  <c r="L54" i="3" s="1"/>
  <c r="LQ52" i="25"/>
  <c r="BT47" i="25"/>
  <c r="L62" i="3" s="1"/>
  <c r="BX42" i="25"/>
  <c r="P57" i="3" s="1"/>
  <c r="BX41" i="25"/>
  <c r="P56" i="3" s="1"/>
  <c r="JQ43" i="25"/>
  <c r="BU51" i="25"/>
  <c r="BT50" i="25"/>
  <c r="L65" i="3" s="1"/>
  <c r="LQ40" i="25"/>
  <c r="BX45" i="25"/>
  <c r="P60" i="3" s="1"/>
  <c r="BX39" i="25"/>
  <c r="P54" i="3" s="1"/>
  <c r="NQ52" i="25"/>
  <c r="BX44" i="25"/>
  <c r="P59" i="3" s="1"/>
  <c r="BU46" i="25"/>
  <c r="TL40" i="25"/>
  <c r="TQ40" i="25" s="1"/>
  <c r="BI40" i="25"/>
  <c r="TL41" i="25"/>
  <c r="TQ41" i="25" s="1"/>
  <c r="BI41" i="25"/>
  <c r="TL46" i="25"/>
  <c r="TQ46" i="25" s="1"/>
  <c r="BI46" i="25"/>
  <c r="TL47" i="25"/>
  <c r="TQ47" i="25" s="1"/>
  <c r="BI47" i="25"/>
  <c r="UL43" i="25"/>
  <c r="UQ43" i="25" s="1"/>
  <c r="BK43" i="25"/>
  <c r="UL50" i="25"/>
  <c r="UQ50" i="25" s="1"/>
  <c r="BK50" i="25"/>
  <c r="TL51" i="25"/>
  <c r="TQ51" i="25" s="1"/>
  <c r="BI51" i="25"/>
  <c r="NQ50" i="25"/>
  <c r="BX40" i="25"/>
  <c r="P55" i="3" s="1"/>
  <c r="NQ39" i="25"/>
  <c r="BU52" i="25"/>
  <c r="M67" i="3" s="1"/>
  <c r="HQ47" i="25"/>
  <c r="LQ42" i="25"/>
  <c r="BV41" i="25"/>
  <c r="N56" i="3" s="1"/>
  <c r="NQ43" i="25"/>
  <c r="BV51" i="25"/>
  <c r="N66" i="3" s="1"/>
  <c r="BU50" i="25"/>
  <c r="NQ40" i="25"/>
  <c r="JQ45" i="25"/>
  <c r="BW39" i="25"/>
  <c r="O54" i="3" s="1"/>
  <c r="BT52" i="25"/>
  <c r="L67" i="3" s="1"/>
  <c r="BW42" i="25"/>
  <c r="O57" i="3" s="1"/>
  <c r="BW43" i="25"/>
  <c r="O58" i="3" s="1"/>
  <c r="BV44" i="25"/>
  <c r="N59" i="3" s="1"/>
  <c r="NQ51" i="25"/>
  <c r="BW46" i="25"/>
  <c r="O61" i="3" s="1"/>
  <c r="BV50" i="25"/>
  <c r="N65" i="3" s="1"/>
  <c r="BS45" i="25"/>
  <c r="BU39" i="25"/>
  <c r="BW52" i="25"/>
  <c r="O67" i="3" s="1"/>
  <c r="BV42" i="25"/>
  <c r="N57" i="3" s="1"/>
  <c r="HQ43" i="25"/>
  <c r="JQ44" i="25"/>
  <c r="BV40" i="25"/>
  <c r="N55" i="3" s="1"/>
  <c r="BT45" i="25"/>
  <c r="L60" i="3" s="1"/>
  <c r="JQ49" i="25"/>
  <c r="BV47" i="25"/>
  <c r="N62" i="3" s="1"/>
  <c r="HQ42" i="25"/>
  <c r="BT41" i="25"/>
  <c r="L56" i="3" s="1"/>
  <c r="BX51" i="25"/>
  <c r="P66" i="3" s="1"/>
  <c r="BF42" i="25"/>
  <c r="J57" i="3" s="1"/>
  <c r="TL39" i="25"/>
  <c r="TQ39" i="25" s="1"/>
  <c r="BI39" i="25"/>
  <c r="TL45" i="25"/>
  <c r="TQ45" i="25" s="1"/>
  <c r="BI45" i="25"/>
  <c r="UL46" i="25"/>
  <c r="UQ46" i="25" s="1"/>
  <c r="BK46" i="25"/>
  <c r="M61" i="3" s="1"/>
  <c r="TL48" i="25"/>
  <c r="TQ48" i="25" s="1"/>
  <c r="BI48" i="25"/>
  <c r="AW48" i="25" s="1"/>
  <c r="TL49" i="25"/>
  <c r="TQ49" i="25" s="1"/>
  <c r="BI49" i="25"/>
  <c r="LQ50" i="25"/>
  <c r="HQ45" i="25"/>
  <c r="BU49" i="25"/>
  <c r="JQ39" i="25"/>
  <c r="BU47" i="25"/>
  <c r="BS43" i="25"/>
  <c r="NQ46" i="25"/>
  <c r="BU45" i="25"/>
  <c r="HQ49" i="25"/>
  <c r="BV52" i="25"/>
  <c r="N67" i="3" s="1"/>
  <c r="JQ47" i="25"/>
  <c r="BS41" i="25"/>
  <c r="BT44" i="25"/>
  <c r="L59" i="3" s="1"/>
  <c r="BW51" i="25"/>
  <c r="O66" i="3" s="1"/>
  <c r="BV46" i="25"/>
  <c r="N61" i="3" s="1"/>
  <c r="BS40" i="25"/>
  <c r="BV45" i="25"/>
  <c r="N60" i="3" s="1"/>
  <c r="LQ49" i="25"/>
  <c r="LQ41" i="25"/>
  <c r="BT43" i="25"/>
  <c r="L58" i="3" s="1"/>
  <c r="HQ51" i="25"/>
  <c r="LQ46" i="25"/>
  <c r="BT40" i="25"/>
  <c r="L55" i="3" s="1"/>
  <c r="BS49" i="25"/>
  <c r="HQ39" i="25"/>
  <c r="BX52" i="25"/>
  <c r="P67" i="3" s="1"/>
  <c r="BX47" i="25"/>
  <c r="P62" i="3" s="1"/>
  <c r="BS42" i="25"/>
  <c r="LQ44" i="25"/>
  <c r="BF47" i="25"/>
  <c r="J62" i="3" s="1"/>
  <c r="UL39" i="25"/>
  <c r="UQ39" i="25" s="1"/>
  <c r="BK39" i="25"/>
  <c r="UL41" i="25"/>
  <c r="UQ41" i="25" s="1"/>
  <c r="BK41" i="25"/>
  <c r="M56" i="3" s="1"/>
  <c r="TL44" i="25"/>
  <c r="TQ44" i="25" s="1"/>
  <c r="BI44" i="25"/>
  <c r="UL48" i="25"/>
  <c r="UQ48" i="25" s="1"/>
  <c r="BK48" i="25"/>
  <c r="M63" i="3" s="1"/>
  <c r="UL44" i="25"/>
  <c r="UQ44" i="25" s="1"/>
  <c r="BK44" i="25"/>
  <c r="UL47" i="25"/>
  <c r="UQ47" i="25" s="1"/>
  <c r="BK47" i="25"/>
  <c r="TL50" i="25"/>
  <c r="TQ50" i="25" s="1"/>
  <c r="BI50" i="25"/>
  <c r="BS50" i="25"/>
  <c r="JQ40" i="25"/>
  <c r="LQ45" i="25"/>
  <c r="BS39" i="25"/>
  <c r="HQ52" i="25"/>
  <c r="BU42" i="25"/>
  <c r="HQ41" i="25"/>
  <c r="BU43" i="25"/>
  <c r="BS44" i="25"/>
  <c r="LQ51" i="25"/>
  <c r="BS46" i="25"/>
  <c r="JQ50" i="25"/>
  <c r="BU40" i="25"/>
  <c r="NQ49" i="25"/>
  <c r="LQ39" i="25"/>
  <c r="LQ47" i="25"/>
  <c r="JQ42" i="25"/>
  <c r="BW41" i="25"/>
  <c r="O56" i="3" s="1"/>
  <c r="LQ43" i="25"/>
  <c r="BT51" i="25"/>
  <c r="L66" i="3" s="1"/>
  <c r="BW40" i="25"/>
  <c r="O55" i="3" s="1"/>
  <c r="BX49" i="25"/>
  <c r="P64" i="3" s="1"/>
  <c r="BW47" i="25"/>
  <c r="O62" i="3" s="1"/>
  <c r="NQ42" i="25"/>
  <c r="NQ41" i="25"/>
  <c r="BU44" i="25"/>
  <c r="JQ51" i="25"/>
  <c r="BT46" i="25"/>
  <c r="L61" i="3" s="1"/>
  <c r="BX50" i="25"/>
  <c r="P65" i="3" s="1"/>
  <c r="BW49" i="25"/>
  <c r="O64" i="3" s="1"/>
  <c r="BV39" i="25"/>
  <c r="N54" i="3" s="1"/>
  <c r="BT42" i="25"/>
  <c r="L57" i="3" s="1"/>
  <c r="JQ41" i="25"/>
  <c r="BX43" i="25"/>
  <c r="P58" i="3" s="1"/>
  <c r="NQ44" i="25"/>
  <c r="JQ46" i="25"/>
  <c r="UL40" i="25"/>
  <c r="UQ40" i="25" s="1"/>
  <c r="BK40" i="25"/>
  <c r="TL42" i="25"/>
  <c r="TQ42" i="25" s="1"/>
  <c r="BI42" i="25"/>
  <c r="UL45" i="25"/>
  <c r="UQ45" i="25" s="1"/>
  <c r="BK45" i="25"/>
  <c r="UL42" i="25"/>
  <c r="UQ42" i="25" s="1"/>
  <c r="BK42" i="25"/>
  <c r="TL43" i="25"/>
  <c r="TQ43" i="25" s="1"/>
  <c r="BI43" i="25"/>
  <c r="UL49" i="25"/>
  <c r="UQ49" i="25" s="1"/>
  <c r="BK49" i="25"/>
  <c r="UL51" i="25"/>
  <c r="UQ51" i="25" s="1"/>
  <c r="BK51" i="25"/>
  <c r="M66" i="3" s="1"/>
  <c r="JS22" i="25"/>
  <c r="JR22" i="25"/>
  <c r="NR22" i="25"/>
  <c r="NS22" i="25"/>
  <c r="LR22" i="25"/>
  <c r="LS22" i="25"/>
  <c r="HR22" i="25"/>
  <c r="HS22" i="25"/>
  <c r="BT34" i="25"/>
  <c r="BU33" i="25"/>
  <c r="BT37" i="25"/>
  <c r="L52" i="3" s="1"/>
  <c r="HQ36" i="25"/>
  <c r="BW38" i="25"/>
  <c r="O53" i="3" s="1"/>
  <c r="BU31" i="25"/>
  <c r="BW30" i="25"/>
  <c r="BV34" i="25"/>
  <c r="HQ33" i="25"/>
  <c r="BS37" i="25"/>
  <c r="LQ36" i="25"/>
  <c r="BV38" i="25"/>
  <c r="N53" i="3" s="1"/>
  <c r="BW31" i="25"/>
  <c r="BX30" i="25"/>
  <c r="JQ36" i="25"/>
  <c r="BU38" i="25"/>
  <c r="HQ31" i="25"/>
  <c r="HR31" i="25" s="1"/>
  <c r="JQ30" i="25"/>
  <c r="JS30" i="25" s="1"/>
  <c r="BV33" i="25"/>
  <c r="BV36" i="25"/>
  <c r="BV32" i="25"/>
  <c r="BU35" i="25"/>
  <c r="JQ38" i="25"/>
  <c r="BW33" i="25"/>
  <c r="BV37" i="25"/>
  <c r="N52" i="3" s="1"/>
  <c r="BS36" i="25"/>
  <c r="JQ35" i="25"/>
  <c r="BW34" i="25"/>
  <c r="BS33" i="25"/>
  <c r="BU37" i="25"/>
  <c r="BX36" i="25"/>
  <c r="BW37" i="25"/>
  <c r="O52" i="3" s="1"/>
  <c r="LQ32" i="25"/>
  <c r="HQ35" i="25"/>
  <c r="BS31" i="25"/>
  <c r="NQ30" i="25"/>
  <c r="LQ34" i="25"/>
  <c r="JQ37" i="25"/>
  <c r="JS37" i="25" s="1"/>
  <c r="BX32" i="25"/>
  <c r="BT35" i="25"/>
  <c r="BX38" i="25"/>
  <c r="P53" i="3" s="1"/>
  <c r="NQ31" i="25"/>
  <c r="NR31" i="25" s="1"/>
  <c r="HQ30" i="25"/>
  <c r="BF30" i="25"/>
  <c r="NQ34" i="25"/>
  <c r="BW36" i="25"/>
  <c r="BA36" i="25" s="1"/>
  <c r="HQ32" i="25"/>
  <c r="LQ35" i="25"/>
  <c r="BV30" i="25"/>
  <c r="BT33" i="25"/>
  <c r="BT36" i="25"/>
  <c r="NQ32" i="25"/>
  <c r="NQ35" i="25"/>
  <c r="NQ38" i="25"/>
  <c r="LQ31" i="25"/>
  <c r="LQ30" i="25"/>
  <c r="BU34" i="25"/>
  <c r="LQ33" i="25"/>
  <c r="LS33" i="25" s="1"/>
  <c r="BU36" i="25"/>
  <c r="BS32" i="25"/>
  <c r="BS35" i="25"/>
  <c r="LQ38" i="25"/>
  <c r="JQ34" i="25"/>
  <c r="JQ33" i="25"/>
  <c r="HQ37" i="25"/>
  <c r="BT38" i="25"/>
  <c r="L53" i="3" s="1"/>
  <c r="BX31" i="25"/>
  <c r="BU30" i="25"/>
  <c r="BS34" i="25"/>
  <c r="NQ33" i="25"/>
  <c r="NR33" i="25" s="1"/>
  <c r="NQ37" i="25"/>
  <c r="BW32" i="25"/>
  <c r="BW35" i="25"/>
  <c r="HQ38" i="25"/>
  <c r="BV31" i="25"/>
  <c r="BS30" i="25"/>
  <c r="HQ34" i="25"/>
  <c r="LQ37" i="25"/>
  <c r="LR37" i="25" s="1"/>
  <c r="BT32" i="25"/>
  <c r="BX35" i="25"/>
  <c r="BT31" i="25"/>
  <c r="BT30" i="25"/>
  <c r="AX30" i="25" s="1"/>
  <c r="BX33" i="25"/>
  <c r="BU32" i="25"/>
  <c r="BV35" i="25"/>
  <c r="BS38" i="25"/>
  <c r="JQ31" i="25"/>
  <c r="BX34" i="25"/>
  <c r="BX37" i="25"/>
  <c r="P52" i="3" s="1"/>
  <c r="NQ36" i="25"/>
  <c r="NR36" i="25" s="1"/>
  <c r="JQ32" i="25"/>
  <c r="FQ32" i="25"/>
  <c r="FR32" i="25" s="1"/>
  <c r="FS21" i="25"/>
  <c r="FR21" i="25"/>
  <c r="FS25" i="25"/>
  <c r="FR25" i="25"/>
  <c r="FS27" i="25"/>
  <c r="FR27" i="25"/>
  <c r="FS28" i="25"/>
  <c r="FR28" i="25"/>
  <c r="FS20" i="25"/>
  <c r="FR20" i="25"/>
  <c r="FS29" i="25"/>
  <c r="FR29" i="25"/>
  <c r="FS26" i="25"/>
  <c r="FR26" i="25"/>
  <c r="FS23" i="25"/>
  <c r="FR23" i="25"/>
  <c r="FS24" i="25"/>
  <c r="FR24" i="25"/>
  <c r="BS26" i="25"/>
  <c r="BX23" i="25"/>
  <c r="BS27" i="25"/>
  <c r="BW29" i="25"/>
  <c r="BT20" i="25"/>
  <c r="AX20" i="25" s="1"/>
  <c r="NQ21" i="25"/>
  <c r="NR21" i="25" s="1"/>
  <c r="HQ27" i="25"/>
  <c r="HR27" i="25" s="1"/>
  <c r="NQ26" i="25"/>
  <c r="NR26" i="25" s="1"/>
  <c r="BX29" i="25"/>
  <c r="BV23" i="25"/>
  <c r="LQ20" i="25"/>
  <c r="LS20" i="25" s="1"/>
  <c r="HQ21" i="25"/>
  <c r="HR21" i="25" s="1"/>
  <c r="BU25" i="25"/>
  <c r="BW26" i="25"/>
  <c r="BA26" i="25" s="1"/>
  <c r="JQ29" i="25"/>
  <c r="JS29" i="25" s="1"/>
  <c r="BX28" i="25"/>
  <c r="BV25" i="25"/>
  <c r="BV24" i="25"/>
  <c r="BW27" i="25"/>
  <c r="BK20" i="25"/>
  <c r="UL20" i="25"/>
  <c r="UQ20" i="25" s="1"/>
  <c r="BU26" i="25"/>
  <c r="NQ29" i="25"/>
  <c r="NS29" i="25" s="1"/>
  <c r="NQ20" i="25"/>
  <c r="NR20" i="25" s="1"/>
  <c r="NQ25" i="25"/>
  <c r="JQ27" i="25"/>
  <c r="JS27" i="25" s="1"/>
  <c r="JQ23" i="25"/>
  <c r="JS23" i="25" s="1"/>
  <c r="BS25" i="25"/>
  <c r="BV27" i="25"/>
  <c r="BV26" i="25"/>
  <c r="HQ29" i="25"/>
  <c r="HS29" i="25" s="1"/>
  <c r="BU20" i="25"/>
  <c r="LQ21" i="25"/>
  <c r="LR21" i="25" s="1"/>
  <c r="LQ28" i="25"/>
  <c r="LS28" i="25" s="1"/>
  <c r="JQ25" i="25"/>
  <c r="JS25" i="25" s="1"/>
  <c r="JQ24" i="25"/>
  <c r="BV29" i="25"/>
  <c r="AZ29" i="25" s="1"/>
  <c r="LQ23" i="25"/>
  <c r="LS23" i="25" s="1"/>
  <c r="JQ20" i="25"/>
  <c r="JS20" i="25" s="1"/>
  <c r="BU28" i="25"/>
  <c r="BU24" i="25"/>
  <c r="M39" i="3" s="1"/>
  <c r="BK21" i="25"/>
  <c r="UL21" i="25"/>
  <c r="UQ21" i="25" s="1"/>
  <c r="LQ29" i="25"/>
  <c r="LS29" i="25" s="1"/>
  <c r="BS20" i="25"/>
  <c r="HQ28" i="25"/>
  <c r="HR28" i="25" s="1"/>
  <c r="LQ25" i="25"/>
  <c r="LR25" i="25" s="1"/>
  <c r="LQ24" i="25"/>
  <c r="LR24" i="25" s="1"/>
  <c r="BU27" i="25"/>
  <c r="HQ26" i="25"/>
  <c r="HR26" i="25" s="1"/>
  <c r="BW23" i="25"/>
  <c r="HQ20" i="25"/>
  <c r="HR20" i="25" s="1"/>
  <c r="JQ28" i="25"/>
  <c r="JS28" i="25" s="1"/>
  <c r="BT25" i="25"/>
  <c r="HQ24" i="25"/>
  <c r="HR24" i="25" s="1"/>
  <c r="BX27" i="25"/>
  <c r="BB27" i="25" s="1"/>
  <c r="BU29" i="25"/>
  <c r="BS23" i="25"/>
  <c r="BS28" i="25"/>
  <c r="BW25" i="25"/>
  <c r="BA25" i="25" s="1"/>
  <c r="BS24" i="25"/>
  <c r="K39" i="3" s="1"/>
  <c r="LQ27" i="25"/>
  <c r="LS27" i="25" s="1"/>
  <c r="LQ26" i="25"/>
  <c r="LR26" i="25" s="1"/>
  <c r="BU23" i="25"/>
  <c r="BX20" i="25"/>
  <c r="BW21" i="25"/>
  <c r="BX25" i="25"/>
  <c r="BI21" i="25"/>
  <c r="TL21" i="25"/>
  <c r="HQ23" i="25"/>
  <c r="BV20" i="25"/>
  <c r="AZ20" i="25" s="1"/>
  <c r="BX21" i="25"/>
  <c r="BB21" i="25" s="1"/>
  <c r="BW28" i="25"/>
  <c r="BA28" i="25" s="1"/>
  <c r="BX24" i="25"/>
  <c r="BB24" i="25" s="1"/>
  <c r="BT26" i="25"/>
  <c r="BS29" i="25"/>
  <c r="BW20" i="25"/>
  <c r="BA20" i="25" s="1"/>
  <c r="JQ21" i="25"/>
  <c r="BT28" i="25"/>
  <c r="BW24" i="25"/>
  <c r="BA24" i="25" s="1"/>
  <c r="JQ26" i="25"/>
  <c r="NQ23" i="25"/>
  <c r="BV28" i="25"/>
  <c r="BT24" i="25"/>
  <c r="AX24" i="25" s="1"/>
  <c r="BT27" i="25"/>
  <c r="BX26" i="25"/>
  <c r="BT29" i="25"/>
  <c r="BT23" i="25"/>
  <c r="AX23" i="25" s="1"/>
  <c r="NQ28" i="25"/>
  <c r="HQ25" i="25"/>
  <c r="NQ24" i="25"/>
  <c r="NQ27" i="25"/>
  <c r="BI20" i="25"/>
  <c r="TL20" i="25"/>
  <c r="TQ20" i="25" s="1"/>
  <c r="BF25" i="25"/>
  <c r="EW27" i="25"/>
  <c r="EW26" i="25"/>
  <c r="OF21" i="25"/>
  <c r="OG21" i="25" s="1"/>
  <c r="OU21" i="25" s="1"/>
  <c r="KG21" i="25"/>
  <c r="KU21" i="25" s="1"/>
  <c r="MF21" i="25"/>
  <c r="MG21" i="25" s="1"/>
  <c r="MU21" i="25" s="1"/>
  <c r="EV34" i="25"/>
  <c r="AU28" i="25"/>
  <c r="AS28" i="25" s="1"/>
  <c r="AJ28" i="25" s="1"/>
  <c r="M43" i="42" s="1"/>
  <c r="DU35" i="25"/>
  <c r="FS30" i="25"/>
  <c r="DV29" i="25"/>
  <c r="EW33" i="25"/>
  <c r="EV26" i="25"/>
  <c r="GR33" i="25"/>
  <c r="TQ22" i="25"/>
  <c r="TS22" i="25" s="1"/>
  <c r="BI22" i="25"/>
  <c r="TQ27" i="25"/>
  <c r="TS27" i="25" s="1"/>
  <c r="BI27" i="25"/>
  <c r="TQ25" i="25"/>
  <c r="TS25" i="25" s="1"/>
  <c r="BI25" i="25"/>
  <c r="UQ37" i="25"/>
  <c r="US37" i="25" s="1"/>
  <c r="BK37" i="25"/>
  <c r="UQ34" i="25"/>
  <c r="UR34" i="25" s="1"/>
  <c r="BK34" i="25"/>
  <c r="AY34" i="25" s="1"/>
  <c r="TQ28" i="25"/>
  <c r="TR28" i="25" s="1"/>
  <c r="BI28" i="25"/>
  <c r="TQ35" i="25"/>
  <c r="TR35" i="25" s="1"/>
  <c r="BI35" i="25"/>
  <c r="UQ23" i="25"/>
  <c r="US23" i="25" s="1"/>
  <c r="BK23" i="25"/>
  <c r="UQ26" i="25"/>
  <c r="UR26" i="25" s="1"/>
  <c r="BK26" i="25"/>
  <c r="TQ26" i="25"/>
  <c r="TR26" i="25" s="1"/>
  <c r="BI26" i="25"/>
  <c r="TQ32" i="25"/>
  <c r="TR32" i="25" s="1"/>
  <c r="BI32" i="25"/>
  <c r="UQ30" i="25"/>
  <c r="UR30" i="25" s="1"/>
  <c r="BK30" i="25"/>
  <c r="TQ29" i="25"/>
  <c r="TS29" i="25" s="1"/>
  <c r="BI29" i="25"/>
  <c r="UQ33" i="25"/>
  <c r="BK33" i="25"/>
  <c r="TQ36" i="25"/>
  <c r="TR36" i="25" s="1"/>
  <c r="BI36" i="25"/>
  <c r="UQ32" i="25"/>
  <c r="BK32" i="25"/>
  <c r="UQ25" i="25"/>
  <c r="UR25" i="25" s="1"/>
  <c r="BK25" i="25"/>
  <c r="UQ22" i="25"/>
  <c r="UR22" i="25" s="1"/>
  <c r="BK22" i="25"/>
  <c r="TQ23" i="25"/>
  <c r="TR23" i="25" s="1"/>
  <c r="BI23" i="25"/>
  <c r="TQ33" i="25"/>
  <c r="BI33" i="25"/>
  <c r="AD33" i="19" s="1"/>
  <c r="UQ28" i="25"/>
  <c r="UR28" i="25" s="1"/>
  <c r="BK28" i="25"/>
  <c r="UQ38" i="25"/>
  <c r="BK38" i="25"/>
  <c r="UQ31" i="25"/>
  <c r="UR31" i="25" s="1"/>
  <c r="BK31" i="25"/>
  <c r="TQ30" i="25"/>
  <c r="TR30" i="25" s="1"/>
  <c r="BI30" i="25"/>
  <c r="AD30" i="19" s="1"/>
  <c r="UQ27" i="25"/>
  <c r="US27" i="25" s="1"/>
  <c r="BK27" i="25"/>
  <c r="TQ24" i="25"/>
  <c r="TR24" i="25" s="1"/>
  <c r="BI24" i="25"/>
  <c r="UQ24" i="25"/>
  <c r="US24" i="25" s="1"/>
  <c r="BK24" i="25"/>
  <c r="TQ31" i="25"/>
  <c r="TS31" i="25" s="1"/>
  <c r="BI31" i="25"/>
  <c r="TQ38" i="25"/>
  <c r="TS38" i="25" s="1"/>
  <c r="BI38" i="25"/>
  <c r="UQ36" i="25"/>
  <c r="BK36" i="25"/>
  <c r="UQ35" i="25"/>
  <c r="US35" i="25" s="1"/>
  <c r="BK35" i="25"/>
  <c r="TQ37" i="25"/>
  <c r="TR37" i="25" s="1"/>
  <c r="BI37" i="25"/>
  <c r="AD37" i="19" s="1"/>
  <c r="UQ29" i="25"/>
  <c r="UR29" i="25" s="1"/>
  <c r="BK29" i="25"/>
  <c r="M44" i="3" s="1"/>
  <c r="TQ34" i="25"/>
  <c r="BI34" i="25"/>
  <c r="EU77" i="25"/>
  <c r="GS101" i="25"/>
  <c r="GR101" i="25"/>
  <c r="TJ101" i="25"/>
  <c r="TK101" i="25" s="1"/>
  <c r="TQ101" i="25" s="1"/>
  <c r="EM101" i="25"/>
  <c r="EU101" i="25" s="1"/>
  <c r="HQ63" i="25"/>
  <c r="BS63" i="25"/>
  <c r="NQ63" i="25"/>
  <c r="BV63" i="25"/>
  <c r="HQ76" i="25"/>
  <c r="BS76" i="25"/>
  <c r="MS76" i="25"/>
  <c r="MR76" i="25"/>
  <c r="NQ76" i="25"/>
  <c r="BV76" i="25"/>
  <c r="MS74" i="25"/>
  <c r="MR74" i="25"/>
  <c r="PQ74" i="25"/>
  <c r="BW74" i="25"/>
  <c r="IR74" i="25"/>
  <c r="IS74" i="25"/>
  <c r="JQ69" i="25"/>
  <c r="BT69" i="25"/>
  <c r="TR79" i="25"/>
  <c r="TS79" i="25"/>
  <c r="RQ66" i="25"/>
  <c r="BX66" i="25"/>
  <c r="LQ64" i="25"/>
  <c r="BU64" i="25"/>
  <c r="MR80" i="25"/>
  <c r="MS80" i="25"/>
  <c r="KR80" i="25"/>
  <c r="KS80" i="25"/>
  <c r="LQ80" i="25"/>
  <c r="BU80" i="25"/>
  <c r="AY80" i="25" s="1"/>
  <c r="GR76" i="25"/>
  <c r="GS76" i="25"/>
  <c r="DT94" i="25"/>
  <c r="TR80" i="25"/>
  <c r="TS80" i="25"/>
  <c r="GR80" i="25"/>
  <c r="GS80" i="25"/>
  <c r="QS87" i="25"/>
  <c r="QR87" i="25"/>
  <c r="JQ87" i="25"/>
  <c r="BT87" i="25"/>
  <c r="AX87" i="25" s="1"/>
  <c r="LQ87" i="25"/>
  <c r="BU87" i="25"/>
  <c r="AY87" i="25" s="1"/>
  <c r="PQ68" i="25"/>
  <c r="BW68" i="25"/>
  <c r="US100" i="25"/>
  <c r="UR100" i="25"/>
  <c r="RQ89" i="25"/>
  <c r="BX89" i="25"/>
  <c r="BB89" i="25" s="1"/>
  <c r="QJ89" i="25"/>
  <c r="QK89" i="25" s="1"/>
  <c r="QQ89" i="25" s="1"/>
  <c r="MS89" i="25"/>
  <c r="MR89" i="25"/>
  <c r="TS87" i="25"/>
  <c r="TR87" i="25"/>
  <c r="FQ87" i="25"/>
  <c r="BF87" i="25"/>
  <c r="KS83" i="25"/>
  <c r="KR83" i="25"/>
  <c r="OS83" i="25"/>
  <c r="OR83" i="25"/>
  <c r="MJ83" i="25"/>
  <c r="MK83" i="25" s="1"/>
  <c r="MQ83" i="25" s="1"/>
  <c r="GR102" i="25"/>
  <c r="GS102" i="25"/>
  <c r="EW89" i="25"/>
  <c r="EV89" i="25"/>
  <c r="US73" i="25"/>
  <c r="UR73" i="25"/>
  <c r="TS78" i="25"/>
  <c r="TR78" i="25"/>
  <c r="FQ78" i="25"/>
  <c r="BF78" i="25"/>
  <c r="EV95" i="25"/>
  <c r="EW95" i="25"/>
  <c r="QR97" i="25"/>
  <c r="QS97" i="25"/>
  <c r="SS97" i="25"/>
  <c r="SR97" i="25"/>
  <c r="OS97" i="25"/>
  <c r="OR97" i="25"/>
  <c r="DT74" i="25"/>
  <c r="DT98" i="25"/>
  <c r="FQ98" i="25"/>
  <c r="BF98" i="25"/>
  <c r="JQ86" i="25"/>
  <c r="BT86" i="25"/>
  <c r="AX86" i="25" s="1"/>
  <c r="MR86" i="25"/>
  <c r="MS86" i="25"/>
  <c r="KR86" i="25"/>
  <c r="KS86" i="25"/>
  <c r="TS96" i="25"/>
  <c r="TR96" i="25"/>
  <c r="FQ96" i="25"/>
  <c r="BF96" i="25"/>
  <c r="IS82" i="25"/>
  <c r="IR82" i="25"/>
  <c r="RQ82" i="25"/>
  <c r="BX82" i="25"/>
  <c r="BB82" i="25" s="1"/>
  <c r="JQ82" i="25"/>
  <c r="BT82" i="25"/>
  <c r="AX82" i="25" s="1"/>
  <c r="JQ77" i="25"/>
  <c r="BT77" i="25"/>
  <c r="IR77" i="25"/>
  <c r="IS77" i="25"/>
  <c r="KS77" i="25"/>
  <c r="KR77" i="25"/>
  <c r="RQ71" i="25"/>
  <c r="BX71" i="25"/>
  <c r="JQ73" i="25"/>
  <c r="BT73" i="25"/>
  <c r="SR73" i="25"/>
  <c r="SS73" i="25"/>
  <c r="HQ73" i="25"/>
  <c r="BS73" i="25"/>
  <c r="FQ68" i="25"/>
  <c r="BF68" i="25"/>
  <c r="J83" i="3" s="1"/>
  <c r="NQ78" i="25"/>
  <c r="BV78" i="25"/>
  <c r="AZ78" i="25" s="1"/>
  <c r="QS78" i="25"/>
  <c r="QR78" i="25"/>
  <c r="OR78" i="25"/>
  <c r="OS78" i="25"/>
  <c r="RQ95" i="25"/>
  <c r="BX95" i="25"/>
  <c r="BB95" i="25" s="1"/>
  <c r="NQ95" i="25"/>
  <c r="BV95" i="25"/>
  <c r="AZ95" i="25" s="1"/>
  <c r="JQ95" i="25"/>
  <c r="BT95" i="25"/>
  <c r="AX95" i="25" s="1"/>
  <c r="DT82" i="25"/>
  <c r="TR93" i="25"/>
  <c r="TS93" i="25"/>
  <c r="DT93" i="25"/>
  <c r="TR83" i="25"/>
  <c r="TS83" i="25"/>
  <c r="DT83" i="25"/>
  <c r="UR84" i="25"/>
  <c r="US84" i="25"/>
  <c r="EW84" i="25"/>
  <c r="EV84" i="25"/>
  <c r="FQ84" i="25"/>
  <c r="BF84" i="25"/>
  <c r="EV88" i="25"/>
  <c r="EW88" i="25"/>
  <c r="DT91" i="25"/>
  <c r="PQ90" i="25"/>
  <c r="BW90" i="25"/>
  <c r="BA90" i="25" s="1"/>
  <c r="RQ90" i="25"/>
  <c r="BX90" i="25"/>
  <c r="BB90" i="25" s="1"/>
  <c r="MR90" i="25"/>
  <c r="MS90" i="25"/>
  <c r="NQ70" i="25"/>
  <c r="BV70" i="25"/>
  <c r="HQ70" i="25"/>
  <c r="BS70" i="25"/>
  <c r="JQ70" i="25"/>
  <c r="BT70" i="25"/>
  <c r="MS99" i="25"/>
  <c r="MR99" i="25"/>
  <c r="NQ99" i="25"/>
  <c r="BV99" i="25"/>
  <c r="AZ99" i="25" s="1"/>
  <c r="SS99" i="25"/>
  <c r="SR99" i="25"/>
  <c r="FQ64" i="25"/>
  <c r="BF64" i="25"/>
  <c r="J79" i="3" s="1"/>
  <c r="IS96" i="25"/>
  <c r="IR96" i="25"/>
  <c r="KR96" i="25"/>
  <c r="KS96" i="25"/>
  <c r="OR96" i="25"/>
  <c r="OS96" i="25"/>
  <c r="TR72" i="25"/>
  <c r="TS72" i="25"/>
  <c r="DT72" i="25"/>
  <c r="LQ67" i="25"/>
  <c r="BU67" i="25"/>
  <c r="DT85" i="25"/>
  <c r="FQ99" i="25"/>
  <c r="BF99" i="25"/>
  <c r="BT103" i="25"/>
  <c r="AX103" i="25" s="1"/>
  <c r="JQ103" i="25"/>
  <c r="HJ103" i="25"/>
  <c r="HK103" i="25"/>
  <c r="IJ103" i="25"/>
  <c r="IK103" i="25" s="1"/>
  <c r="IQ103" i="25" s="1"/>
  <c r="PQ92" i="25"/>
  <c r="BW92" i="25"/>
  <c r="BA92" i="25" s="1"/>
  <c r="HQ92" i="25"/>
  <c r="BS92" i="25"/>
  <c r="JQ92" i="25"/>
  <c r="BT92" i="25"/>
  <c r="AX92" i="25" s="1"/>
  <c r="MR93" i="25"/>
  <c r="MS93" i="25"/>
  <c r="IR93" i="25"/>
  <c r="IS93" i="25"/>
  <c r="QS93" i="25"/>
  <c r="QR93" i="25"/>
  <c r="SS84" i="25"/>
  <c r="SR84" i="25"/>
  <c r="QR84" i="25"/>
  <c r="QS84" i="25"/>
  <c r="IR84" i="25"/>
  <c r="IS84" i="25"/>
  <c r="TS86" i="25"/>
  <c r="TR86" i="25"/>
  <c r="DT86" i="25"/>
  <c r="UJ86" i="25"/>
  <c r="UK86" i="25" s="1"/>
  <c r="UQ86" i="25" s="1"/>
  <c r="TJ103" i="25"/>
  <c r="TK103" i="25" s="1"/>
  <c r="TQ103" i="25" s="1"/>
  <c r="EW103" i="25"/>
  <c r="EV103" i="25"/>
  <c r="M118" i="42"/>
  <c r="RQ91" i="25"/>
  <c r="BX91" i="25"/>
  <c r="BB91" i="25" s="1"/>
  <c r="QR91" i="25"/>
  <c r="QS91" i="25"/>
  <c r="NJ91" i="25"/>
  <c r="NK91" i="25" s="1"/>
  <c r="FQ77" i="25"/>
  <c r="BF77" i="25"/>
  <c r="DT71" i="25"/>
  <c r="US92" i="25"/>
  <c r="UR92" i="25"/>
  <c r="DT92" i="25"/>
  <c r="FQ92" i="25"/>
  <c r="BF92" i="25"/>
  <c r="OS98" i="25"/>
  <c r="OR98" i="25"/>
  <c r="NQ98" i="25"/>
  <c r="BV98" i="25"/>
  <c r="AZ98" i="25" s="1"/>
  <c r="QS98" i="25"/>
  <c r="QR98" i="25"/>
  <c r="HQ94" i="25"/>
  <c r="BS94" i="25"/>
  <c r="NQ94" i="25"/>
  <c r="BV94" i="25"/>
  <c r="AZ94" i="25" s="1"/>
  <c r="SR94" i="25"/>
  <c r="SS94" i="25"/>
  <c r="PQ72" i="25"/>
  <c r="BW72" i="25"/>
  <c r="MR72" i="25"/>
  <c r="MS72" i="25"/>
  <c r="KR72" i="25"/>
  <c r="KS72" i="25"/>
  <c r="HQ65" i="25"/>
  <c r="BS65" i="25"/>
  <c r="MS85" i="25"/>
  <c r="MR85" i="25"/>
  <c r="KS85" i="25"/>
  <c r="KR85" i="25"/>
  <c r="PQ85" i="25"/>
  <c r="BW85" i="25"/>
  <c r="BA85" i="25" s="1"/>
  <c r="IS75" i="25"/>
  <c r="IR75" i="25"/>
  <c r="JQ75" i="25"/>
  <c r="BT75" i="25"/>
  <c r="RQ75" i="25"/>
  <c r="BX75" i="25"/>
  <c r="SS100" i="25"/>
  <c r="SR100" i="25"/>
  <c r="KS100" i="25"/>
  <c r="KR100" i="25"/>
  <c r="IS100" i="25"/>
  <c r="IR100" i="25"/>
  <c r="LQ81" i="25"/>
  <c r="BU81" i="25"/>
  <c r="AY81" i="25" s="1"/>
  <c r="QR81" i="25"/>
  <c r="QS81" i="25"/>
  <c r="OR81" i="25"/>
  <c r="OS81" i="25"/>
  <c r="TR90" i="25"/>
  <c r="TS90" i="25"/>
  <c r="UR90" i="25"/>
  <c r="US90" i="25"/>
  <c r="FQ75" i="25"/>
  <c r="BF75" i="25"/>
  <c r="UJ75" i="25"/>
  <c r="UK75" i="25" s="1"/>
  <c r="UQ75" i="25" s="1"/>
  <c r="NJ102" i="25"/>
  <c r="NK102" i="25" s="1"/>
  <c r="BU102" i="25"/>
  <c r="AY102" i="25" s="1"/>
  <c r="LQ102" i="25"/>
  <c r="BW102" i="25"/>
  <c r="BA102" i="25" s="1"/>
  <c r="PQ102" i="25"/>
  <c r="BU101" i="25"/>
  <c r="AY101" i="25" s="1"/>
  <c r="LQ101" i="25"/>
  <c r="QR101" i="25"/>
  <c r="QS101" i="25"/>
  <c r="SR101" i="25"/>
  <c r="SS101" i="25"/>
  <c r="FQ81" i="25"/>
  <c r="BF81" i="25"/>
  <c r="QS79" i="25"/>
  <c r="QR79" i="25"/>
  <c r="MR79" i="25"/>
  <c r="MS79" i="25"/>
  <c r="JQ79" i="25"/>
  <c r="BT79" i="25"/>
  <c r="AX79" i="25" s="1"/>
  <c r="EU102" i="25"/>
  <c r="EU73" i="25"/>
  <c r="EU78" i="25"/>
  <c r="EU97" i="25"/>
  <c r="DM101" i="25"/>
  <c r="DN101" i="25" s="1"/>
  <c r="UJ101" i="25"/>
  <c r="UK101" i="25" s="1"/>
  <c r="UQ101" i="25" s="1"/>
  <c r="LQ63" i="25"/>
  <c r="BU63" i="25"/>
  <c r="SS76" i="25"/>
  <c r="SR76" i="25"/>
  <c r="KS76" i="25"/>
  <c r="KR76" i="25"/>
  <c r="QR76" i="25"/>
  <c r="QS76" i="25"/>
  <c r="KR74" i="25"/>
  <c r="KS74" i="25"/>
  <c r="NQ74" i="25"/>
  <c r="BV74" i="25"/>
  <c r="HQ74" i="25"/>
  <c r="BS74" i="25"/>
  <c r="HQ69" i="25"/>
  <c r="BS69" i="25"/>
  <c r="RQ69" i="25"/>
  <c r="BX69" i="25"/>
  <c r="US79" i="25"/>
  <c r="UR79" i="25"/>
  <c r="LQ66" i="25"/>
  <c r="BU66" i="25"/>
  <c r="NQ66" i="25"/>
  <c r="BV66" i="25"/>
  <c r="RQ64" i="25"/>
  <c r="BX64" i="25"/>
  <c r="IS80" i="25"/>
  <c r="IR80" i="25"/>
  <c r="HQ80" i="25"/>
  <c r="BS80" i="25"/>
  <c r="QR80" i="25"/>
  <c r="QS80" i="25"/>
  <c r="TR76" i="25"/>
  <c r="TS76" i="25"/>
  <c r="DT76" i="25"/>
  <c r="US94" i="25"/>
  <c r="UR94" i="25"/>
  <c r="UR80" i="25"/>
  <c r="US80" i="25"/>
  <c r="OS87" i="25"/>
  <c r="OR87" i="25"/>
  <c r="HQ87" i="25"/>
  <c r="BS87" i="25"/>
  <c r="SS87" i="25"/>
  <c r="SR87" i="25"/>
  <c r="JQ68" i="25"/>
  <c r="BT68" i="25"/>
  <c r="NQ68" i="25"/>
  <c r="BV68" i="25"/>
  <c r="RQ68" i="25"/>
  <c r="BX68" i="25"/>
  <c r="FJ100" i="25"/>
  <c r="FK100" i="25"/>
  <c r="SR89" i="25"/>
  <c r="SS89" i="25"/>
  <c r="KR89" i="25"/>
  <c r="KS89" i="25"/>
  <c r="IR89" i="25"/>
  <c r="IS89" i="25"/>
  <c r="UR87" i="25"/>
  <c r="US87" i="25"/>
  <c r="GS87" i="25"/>
  <c r="GR87" i="25"/>
  <c r="LQ83" i="25"/>
  <c r="BU83" i="25"/>
  <c r="AY83" i="25" s="1"/>
  <c r="NQ83" i="25"/>
  <c r="BV83" i="25"/>
  <c r="AZ83" i="25" s="1"/>
  <c r="HQ83" i="25"/>
  <c r="BS83" i="25"/>
  <c r="TS73" i="25"/>
  <c r="TR73" i="25"/>
  <c r="US78" i="25"/>
  <c r="UR78" i="25"/>
  <c r="GS78" i="25"/>
  <c r="GR78" i="25"/>
  <c r="FQ95" i="25"/>
  <c r="BF95" i="25"/>
  <c r="DU88" i="25"/>
  <c r="DV88" i="25"/>
  <c r="JR88" i="25"/>
  <c r="JS88" i="25"/>
  <c r="NS88" i="25"/>
  <c r="NR88" i="25"/>
  <c r="RQ97" i="25"/>
  <c r="BX97" i="25"/>
  <c r="BB97" i="25" s="1"/>
  <c r="NQ97" i="25"/>
  <c r="BV97" i="25"/>
  <c r="AZ97" i="25" s="1"/>
  <c r="IS97" i="25"/>
  <c r="IR97" i="25"/>
  <c r="US74" i="25"/>
  <c r="UR74" i="25"/>
  <c r="TS98" i="25"/>
  <c r="TR98" i="25"/>
  <c r="IS86" i="25"/>
  <c r="IR86" i="25"/>
  <c r="HQ86" i="25"/>
  <c r="BS86" i="25"/>
  <c r="RQ86" i="25"/>
  <c r="BX86" i="25"/>
  <c r="BB86" i="25" s="1"/>
  <c r="GS96" i="25"/>
  <c r="GR96" i="25"/>
  <c r="DT96" i="25"/>
  <c r="HQ82" i="25"/>
  <c r="BS82" i="25"/>
  <c r="KS82" i="25"/>
  <c r="KR82" i="25"/>
  <c r="MR82" i="25"/>
  <c r="MS82" i="25"/>
  <c r="HQ77" i="25"/>
  <c r="BS77" i="25"/>
  <c r="NQ77" i="25"/>
  <c r="BV77" i="25"/>
  <c r="LQ77" i="25"/>
  <c r="BU77" i="25"/>
  <c r="LQ71" i="25"/>
  <c r="BU71" i="25"/>
  <c r="LQ73" i="25"/>
  <c r="BU73" i="25"/>
  <c r="QS73" i="25"/>
  <c r="QR73" i="25"/>
  <c r="RQ73" i="25"/>
  <c r="BX73" i="25"/>
  <c r="DT68" i="25"/>
  <c r="LQ78" i="25"/>
  <c r="BU78" i="25"/>
  <c r="AY78" i="25" s="1"/>
  <c r="MR78" i="25"/>
  <c r="MS78" i="25"/>
  <c r="PQ78" i="25"/>
  <c r="BW78" i="25"/>
  <c r="BA78" i="25" s="1"/>
  <c r="OS95" i="25"/>
  <c r="OR95" i="25"/>
  <c r="PQ95" i="25"/>
  <c r="BW95" i="25"/>
  <c r="BA95" i="25" s="1"/>
  <c r="QR95" i="25"/>
  <c r="QS95" i="25"/>
  <c r="EV82" i="25"/>
  <c r="EW82" i="25"/>
  <c r="US93" i="25"/>
  <c r="UR93" i="25"/>
  <c r="GS93" i="25"/>
  <c r="GR93" i="25"/>
  <c r="FQ93" i="25"/>
  <c r="BF93" i="25"/>
  <c r="GR83" i="25"/>
  <c r="GS83" i="25"/>
  <c r="DT84" i="25"/>
  <c r="FR88" i="25"/>
  <c r="FS88" i="25"/>
  <c r="UR91" i="25"/>
  <c r="US91" i="25"/>
  <c r="FQ91" i="25"/>
  <c r="BF91" i="25"/>
  <c r="FQ63" i="25"/>
  <c r="BF63" i="25"/>
  <c r="J78" i="3" s="1"/>
  <c r="DT63" i="25"/>
  <c r="DT69" i="25"/>
  <c r="SS90" i="25"/>
  <c r="SR90" i="25"/>
  <c r="KS90" i="25"/>
  <c r="KR90" i="25"/>
  <c r="HQ90" i="25"/>
  <c r="BS90" i="25"/>
  <c r="RQ70" i="25"/>
  <c r="BX70" i="25"/>
  <c r="OS99" i="25"/>
  <c r="OR99" i="25"/>
  <c r="PQ99" i="25"/>
  <c r="BW99" i="25"/>
  <c r="BA99" i="25" s="1"/>
  <c r="LQ99" i="25"/>
  <c r="BU99" i="25"/>
  <c r="AY99" i="25" s="1"/>
  <c r="MS96" i="25"/>
  <c r="MR96" i="25"/>
  <c r="SS96" i="25"/>
  <c r="SR96" i="25"/>
  <c r="QR96" i="25"/>
  <c r="QS96" i="25"/>
  <c r="US72" i="25"/>
  <c r="UR72" i="25"/>
  <c r="FQ72" i="25"/>
  <c r="BF72" i="25"/>
  <c r="GR97" i="25"/>
  <c r="GS97" i="25"/>
  <c r="PQ67" i="25"/>
  <c r="BW67" i="25"/>
  <c r="GR85" i="25"/>
  <c r="GS85" i="25"/>
  <c r="EW85" i="25"/>
  <c r="EV85" i="25"/>
  <c r="TJ99" i="25"/>
  <c r="TK99" i="25" s="1"/>
  <c r="TQ99" i="25" s="1"/>
  <c r="GS99" i="25"/>
  <c r="GR99" i="25"/>
  <c r="OJ103" i="25"/>
  <c r="OK103" i="25" s="1"/>
  <c r="OQ103" i="25" s="1"/>
  <c r="QJ103" i="25"/>
  <c r="QK103" i="25" s="1"/>
  <c r="QQ103" i="25" s="1"/>
  <c r="KS103" i="25"/>
  <c r="KR103" i="25"/>
  <c r="IR92" i="25"/>
  <c r="IS92" i="25"/>
  <c r="NQ92" i="25"/>
  <c r="BV92" i="25"/>
  <c r="AZ92" i="25" s="1"/>
  <c r="OS92" i="25"/>
  <c r="OR92" i="25"/>
  <c r="SR93" i="25"/>
  <c r="SS93" i="25"/>
  <c r="KS93" i="25"/>
  <c r="KR93" i="25"/>
  <c r="JQ93" i="25"/>
  <c r="BT93" i="25"/>
  <c r="AX93" i="25" s="1"/>
  <c r="OS84" i="25"/>
  <c r="OR84" i="25"/>
  <c r="KR84" i="25"/>
  <c r="KS84" i="25"/>
  <c r="RQ84" i="25"/>
  <c r="BX84" i="25"/>
  <c r="BB84" i="25" s="1"/>
  <c r="GS86" i="25"/>
  <c r="GR86" i="25"/>
  <c r="FQ86" i="25"/>
  <c r="BF86" i="25"/>
  <c r="PQ91" i="25"/>
  <c r="BW91" i="25"/>
  <c r="BA91" i="25" s="1"/>
  <c r="JQ91" i="25"/>
  <c r="BT91" i="25"/>
  <c r="AX91" i="25" s="1"/>
  <c r="LQ91" i="25"/>
  <c r="BU91" i="25"/>
  <c r="AY91" i="25" s="1"/>
  <c r="FQ71" i="25"/>
  <c r="BF71" i="25"/>
  <c r="TR92" i="25"/>
  <c r="TS92" i="25"/>
  <c r="GR92" i="25"/>
  <c r="GS92" i="25"/>
  <c r="MR98" i="25"/>
  <c r="MS98" i="25"/>
  <c r="LQ98" i="25"/>
  <c r="BU98" i="25"/>
  <c r="AY98" i="25" s="1"/>
  <c r="JQ98" i="25"/>
  <c r="BT98" i="25"/>
  <c r="AX98" i="25" s="1"/>
  <c r="MR94" i="25"/>
  <c r="MS94" i="25"/>
  <c r="KS94" i="25"/>
  <c r="KR94" i="25"/>
  <c r="OR94" i="25"/>
  <c r="OS94" i="25"/>
  <c r="RQ72" i="25"/>
  <c r="BX72" i="25"/>
  <c r="NQ72" i="25"/>
  <c r="BV72" i="25"/>
  <c r="JQ72" i="25"/>
  <c r="BT72" i="25"/>
  <c r="LQ65" i="25"/>
  <c r="BU65" i="25"/>
  <c r="IR85" i="25"/>
  <c r="IS85" i="25"/>
  <c r="SR85" i="25"/>
  <c r="SS85" i="25"/>
  <c r="QS85" i="25"/>
  <c r="QR85" i="25"/>
  <c r="OS75" i="25"/>
  <c r="OR75" i="25"/>
  <c r="LQ75" i="25"/>
  <c r="BU75" i="25"/>
  <c r="QS75" i="25"/>
  <c r="QR75" i="25"/>
  <c r="RJ100" i="25"/>
  <c r="RK100" i="25" s="1"/>
  <c r="OR100" i="25"/>
  <c r="OS100" i="25"/>
  <c r="MS100" i="25"/>
  <c r="MR100" i="25"/>
  <c r="DT65" i="25"/>
  <c r="SR81" i="25"/>
  <c r="SS81" i="25"/>
  <c r="KS81" i="25"/>
  <c r="KR81" i="25"/>
  <c r="IR81" i="25"/>
  <c r="IS81" i="25"/>
  <c r="GS90" i="25"/>
  <c r="GR90" i="25"/>
  <c r="DT75" i="25"/>
  <c r="MJ102" i="25"/>
  <c r="MK102" i="25" s="1"/>
  <c r="MQ102" i="25" s="1"/>
  <c r="SR102" i="25"/>
  <c r="SS102" i="25"/>
  <c r="KK102" i="25"/>
  <c r="KQ102" i="25" s="1"/>
  <c r="KJ102" i="25"/>
  <c r="PK101" i="25"/>
  <c r="PJ101" i="25"/>
  <c r="BX101" i="25"/>
  <c r="BB101" i="25" s="1"/>
  <c r="RQ101" i="25"/>
  <c r="MR101" i="25"/>
  <c r="MS101" i="25"/>
  <c r="HQ79" i="25"/>
  <c r="BS79" i="25"/>
  <c r="NQ79" i="25"/>
  <c r="BV79" i="25"/>
  <c r="AZ79" i="25" s="1"/>
  <c r="KR79" i="25"/>
  <c r="KS79" i="25"/>
  <c r="EU79" i="25"/>
  <c r="EU92" i="25"/>
  <c r="FK101" i="25"/>
  <c r="FJ101" i="25"/>
  <c r="JQ63" i="25"/>
  <c r="BT63" i="25"/>
  <c r="PQ63" i="25"/>
  <c r="BW63" i="25"/>
  <c r="IR76" i="25"/>
  <c r="IS76" i="25"/>
  <c r="LQ76" i="25"/>
  <c r="BU76" i="25"/>
  <c r="RQ76" i="25"/>
  <c r="BX76" i="25"/>
  <c r="SS74" i="25"/>
  <c r="SR74" i="25"/>
  <c r="LQ74" i="25"/>
  <c r="BU74" i="25"/>
  <c r="OS74" i="25"/>
  <c r="OR74" i="25"/>
  <c r="LQ69" i="25"/>
  <c r="BU69" i="25"/>
  <c r="GS79" i="25"/>
  <c r="GR79" i="25"/>
  <c r="DT79" i="25"/>
  <c r="HQ66" i="25"/>
  <c r="BS66" i="25"/>
  <c r="JQ66" i="25"/>
  <c r="BT66" i="25"/>
  <c r="NQ64" i="25"/>
  <c r="BV64" i="25"/>
  <c r="HQ64" i="25"/>
  <c r="BS64" i="25"/>
  <c r="PS88" i="25"/>
  <c r="PR88" i="25"/>
  <c r="PQ80" i="25"/>
  <c r="BW80" i="25"/>
  <c r="BA80" i="25" s="1"/>
  <c r="OS80" i="25"/>
  <c r="OR80" i="25"/>
  <c r="RQ80" i="25"/>
  <c r="BX80" i="25"/>
  <c r="BB80" i="25" s="1"/>
  <c r="DT66" i="25"/>
  <c r="TR94" i="25"/>
  <c r="TS94" i="25"/>
  <c r="GS94" i="25"/>
  <c r="GR94" i="25"/>
  <c r="EV80" i="25"/>
  <c r="EW80" i="25"/>
  <c r="PQ87" i="25"/>
  <c r="BW87" i="25"/>
  <c r="BA87" i="25" s="1"/>
  <c r="NQ87" i="25"/>
  <c r="BV87" i="25"/>
  <c r="AZ87" i="25" s="1"/>
  <c r="MR87" i="25"/>
  <c r="MS87" i="25"/>
  <c r="LQ68" i="25"/>
  <c r="BU68" i="25"/>
  <c r="DM100" i="25"/>
  <c r="DN100" i="25"/>
  <c r="TJ100" i="25"/>
  <c r="TK100" i="25" s="1"/>
  <c r="TQ100" i="25" s="1"/>
  <c r="NQ89" i="25"/>
  <c r="BV89" i="25"/>
  <c r="AZ89" i="25" s="1"/>
  <c r="OR89" i="25"/>
  <c r="OS89" i="25"/>
  <c r="PQ89" i="25"/>
  <c r="BW89" i="25"/>
  <c r="BA89" i="25" s="1"/>
  <c r="DT67" i="25"/>
  <c r="EW87" i="25"/>
  <c r="EV87" i="25"/>
  <c r="JQ83" i="25"/>
  <c r="BT83" i="25"/>
  <c r="AX83" i="25" s="1"/>
  <c r="PQ83" i="25"/>
  <c r="BW83" i="25"/>
  <c r="BA83" i="25" s="1"/>
  <c r="RQ83" i="25"/>
  <c r="BX83" i="25"/>
  <c r="BB83" i="25" s="1"/>
  <c r="US102" i="25"/>
  <c r="UR102" i="25"/>
  <c r="FQ89" i="25"/>
  <c r="BF89" i="25"/>
  <c r="UR89" i="25"/>
  <c r="US89" i="25"/>
  <c r="GR73" i="25"/>
  <c r="GS73" i="25"/>
  <c r="DT73" i="25"/>
  <c r="FQ73" i="25"/>
  <c r="BF73" i="25"/>
  <c r="GR95" i="25"/>
  <c r="GS95" i="25"/>
  <c r="AU88" i="25"/>
  <c r="S103" i="42" s="1"/>
  <c r="MR97" i="25"/>
  <c r="MS97" i="25"/>
  <c r="PQ97" i="25"/>
  <c r="BW97" i="25"/>
  <c r="BA97" i="25" s="1"/>
  <c r="JQ97" i="25"/>
  <c r="BT97" i="25"/>
  <c r="AX97" i="25" s="1"/>
  <c r="TR74" i="25"/>
  <c r="TS74" i="25"/>
  <c r="EW74" i="25"/>
  <c r="EV74" i="25"/>
  <c r="EV98" i="25"/>
  <c r="EW98" i="25"/>
  <c r="NQ86" i="25"/>
  <c r="BV86" i="25"/>
  <c r="AZ86" i="25" s="1"/>
  <c r="QR86" i="25"/>
  <c r="QS86" i="25"/>
  <c r="SR86" i="25"/>
  <c r="SS86" i="25"/>
  <c r="EV96" i="25"/>
  <c r="EW96" i="25"/>
  <c r="US96" i="25"/>
  <c r="UR96" i="25"/>
  <c r="SS82" i="25"/>
  <c r="SR82" i="25"/>
  <c r="LQ82" i="25"/>
  <c r="BU82" i="25"/>
  <c r="AY82" i="25" s="1"/>
  <c r="OS82" i="25"/>
  <c r="OR82" i="25"/>
  <c r="RQ77" i="25"/>
  <c r="BX77" i="25"/>
  <c r="PQ77" i="25"/>
  <c r="BW77" i="25"/>
  <c r="QR77" i="25"/>
  <c r="QS77" i="25"/>
  <c r="JQ71" i="25"/>
  <c r="BT71" i="25"/>
  <c r="IS73" i="25"/>
  <c r="IR73" i="25"/>
  <c r="NQ73" i="25"/>
  <c r="BV73" i="25"/>
  <c r="PQ73" i="25"/>
  <c r="BW73" i="25"/>
  <c r="RQ78" i="25"/>
  <c r="BX78" i="25"/>
  <c r="BB78" i="25" s="1"/>
  <c r="IS78" i="25"/>
  <c r="IR78" i="25"/>
  <c r="SR78" i="25"/>
  <c r="SS78" i="25"/>
  <c r="SS95" i="25"/>
  <c r="SR95" i="25"/>
  <c r="IR95" i="25"/>
  <c r="IS95" i="25"/>
  <c r="KS95" i="25"/>
  <c r="KR95" i="25"/>
  <c r="TS82" i="25"/>
  <c r="TR82" i="25"/>
  <c r="GS82" i="25"/>
  <c r="GR82" i="25"/>
  <c r="FQ82" i="25"/>
  <c r="BF82" i="25"/>
  <c r="EW93" i="25"/>
  <c r="EV93" i="25"/>
  <c r="EV83" i="25"/>
  <c r="EW83" i="25"/>
  <c r="GS84" i="25"/>
  <c r="GR84" i="25"/>
  <c r="GS91" i="25"/>
  <c r="GR91" i="25"/>
  <c r="TJ91" i="25"/>
  <c r="TK91" i="25" s="1"/>
  <c r="TQ91" i="25" s="1"/>
  <c r="RR88" i="25"/>
  <c r="RS88" i="25"/>
  <c r="HS88" i="25"/>
  <c r="HR88" i="25"/>
  <c r="IR90" i="25"/>
  <c r="IS90" i="25"/>
  <c r="QS90" i="25"/>
  <c r="QR90" i="25"/>
  <c r="OS90" i="25"/>
  <c r="OR90" i="25"/>
  <c r="PQ70" i="25"/>
  <c r="BW70" i="25"/>
  <c r="KR99" i="25"/>
  <c r="KS99" i="25"/>
  <c r="RQ99" i="25"/>
  <c r="BX99" i="25"/>
  <c r="BB99" i="25" s="1"/>
  <c r="JQ99" i="25"/>
  <c r="BT99" i="25"/>
  <c r="AX99" i="25" s="1"/>
  <c r="RQ96" i="25"/>
  <c r="BX96" i="25"/>
  <c r="BB96" i="25" s="1"/>
  <c r="NQ96" i="25"/>
  <c r="BV96" i="25"/>
  <c r="AZ96" i="25" s="1"/>
  <c r="PQ96" i="25"/>
  <c r="BW96" i="25"/>
  <c r="BA96" i="25" s="1"/>
  <c r="GR72" i="25"/>
  <c r="GS72" i="25"/>
  <c r="UR97" i="25"/>
  <c r="US97" i="25"/>
  <c r="FJ97" i="25"/>
  <c r="FK97" i="25"/>
  <c r="TR97" i="25"/>
  <c r="TS97" i="25"/>
  <c r="RQ67" i="25"/>
  <c r="BX67" i="25"/>
  <c r="JQ67" i="25"/>
  <c r="BT67" i="25"/>
  <c r="NQ67" i="25"/>
  <c r="BV67" i="25"/>
  <c r="FQ85" i="25"/>
  <c r="BF85" i="25"/>
  <c r="UJ85" i="25"/>
  <c r="UK85" i="25"/>
  <c r="UQ85" i="25" s="1"/>
  <c r="UR99" i="25"/>
  <c r="US99" i="25"/>
  <c r="SR103" i="25"/>
  <c r="SS103" i="25"/>
  <c r="NQ103" i="25"/>
  <c r="BV103" i="25"/>
  <c r="AZ103" i="25" s="1"/>
  <c r="LJ103" i="25"/>
  <c r="LK103" i="25" s="1"/>
  <c r="LQ92" i="25"/>
  <c r="BU92" i="25"/>
  <c r="AY92" i="25" s="1"/>
  <c r="QR92" i="25"/>
  <c r="QS92" i="25"/>
  <c r="RQ92" i="25"/>
  <c r="BX92" i="25"/>
  <c r="BB92" i="25" s="1"/>
  <c r="HQ93" i="25"/>
  <c r="BS93" i="25"/>
  <c r="LQ93" i="25"/>
  <c r="BU93" i="25"/>
  <c r="AY93" i="25" s="1"/>
  <c r="NJ93" i="25"/>
  <c r="NK93" i="25" s="1"/>
  <c r="LQ84" i="25"/>
  <c r="BU84" i="25"/>
  <c r="AY84" i="25" s="1"/>
  <c r="NQ84" i="25"/>
  <c r="BV84" i="25"/>
  <c r="AZ84" i="25" s="1"/>
  <c r="MR84" i="25"/>
  <c r="MS84" i="25"/>
  <c r="GR103" i="25"/>
  <c r="GS103" i="25"/>
  <c r="IS91" i="25"/>
  <c r="IR91" i="25"/>
  <c r="KR91" i="25"/>
  <c r="KS91" i="25"/>
  <c r="HQ91" i="25"/>
  <c r="BS91" i="25"/>
  <c r="US77" i="25"/>
  <c r="UR77" i="25"/>
  <c r="DT77" i="25"/>
  <c r="SS98" i="25"/>
  <c r="SR98" i="25"/>
  <c r="PQ98" i="25"/>
  <c r="BW98" i="25"/>
  <c r="BA98" i="25" s="1"/>
  <c r="KS98" i="25"/>
  <c r="KR98" i="25"/>
  <c r="LS88" i="25"/>
  <c r="LR88" i="25"/>
  <c r="LQ94" i="25"/>
  <c r="BU94" i="25"/>
  <c r="AY94" i="25" s="1"/>
  <c r="IK94" i="25"/>
  <c r="IQ94" i="25" s="1"/>
  <c r="IJ94" i="25"/>
  <c r="RQ94" i="25"/>
  <c r="BX94" i="25"/>
  <c r="BB94" i="25" s="1"/>
  <c r="OR72" i="25"/>
  <c r="OS72" i="25"/>
  <c r="QS72" i="25"/>
  <c r="QR72" i="25"/>
  <c r="HQ72" i="25"/>
  <c r="BS72" i="25"/>
  <c r="PQ65" i="25"/>
  <c r="BW65" i="25"/>
  <c r="OS85" i="25"/>
  <c r="OR85" i="25"/>
  <c r="JQ85" i="25"/>
  <c r="BT85" i="25"/>
  <c r="AX85" i="25" s="1"/>
  <c r="LQ85" i="25"/>
  <c r="BU85" i="25"/>
  <c r="AY85" i="25" s="1"/>
  <c r="MR75" i="25"/>
  <c r="MS75" i="25"/>
  <c r="SR75" i="25"/>
  <c r="SS75" i="25"/>
  <c r="NQ75" i="25"/>
  <c r="BV75" i="25"/>
  <c r="QR100" i="25"/>
  <c r="QS100" i="25"/>
  <c r="BW100" i="25"/>
  <c r="BA100" i="25" s="1"/>
  <c r="PQ100" i="25"/>
  <c r="NK100" i="25"/>
  <c r="NJ100" i="25"/>
  <c r="FQ65" i="25"/>
  <c r="BF65" i="25"/>
  <c r="J80" i="3" s="1"/>
  <c r="MS81" i="25"/>
  <c r="MR81" i="25"/>
  <c r="HQ81" i="25"/>
  <c r="BS81" i="25"/>
  <c r="NQ81" i="25"/>
  <c r="BV81" i="25"/>
  <c r="AZ81" i="25" s="1"/>
  <c r="EW90" i="25"/>
  <c r="EV90" i="25"/>
  <c r="TR75" i="25"/>
  <c r="TS75" i="25"/>
  <c r="JJ102" i="25"/>
  <c r="JK102" i="25" s="1"/>
  <c r="OR102" i="25"/>
  <c r="OS102" i="25"/>
  <c r="IJ102" i="25"/>
  <c r="IK102" i="25" s="1"/>
  <c r="IQ102" i="25" s="1"/>
  <c r="IS101" i="25"/>
  <c r="IR101" i="25"/>
  <c r="HJ101" i="25"/>
  <c r="HK101" i="25"/>
  <c r="KR101" i="25"/>
  <c r="KS101" i="25"/>
  <c r="US81" i="25"/>
  <c r="UR81" i="25"/>
  <c r="GS81" i="25"/>
  <c r="GR81" i="25"/>
  <c r="DT81" i="25"/>
  <c r="LQ79" i="25"/>
  <c r="BU79" i="25"/>
  <c r="AY79" i="25" s="1"/>
  <c r="RQ79" i="25"/>
  <c r="BX79" i="25"/>
  <c r="BB79" i="25" s="1"/>
  <c r="IR79" i="25"/>
  <c r="IS79" i="25"/>
  <c r="EU99" i="25"/>
  <c r="EU75" i="25"/>
  <c r="RQ63" i="25"/>
  <c r="BX63" i="25"/>
  <c r="JQ76" i="25"/>
  <c r="BT76" i="25"/>
  <c r="PQ76" i="25"/>
  <c r="BW76" i="25"/>
  <c r="OS76" i="25"/>
  <c r="OR76" i="25"/>
  <c r="JQ74" i="25"/>
  <c r="BT74" i="25"/>
  <c r="QS74" i="25"/>
  <c r="QR74" i="25"/>
  <c r="RQ74" i="25"/>
  <c r="BX74" i="25"/>
  <c r="PQ69" i="25"/>
  <c r="BW69" i="25"/>
  <c r="NQ69" i="25"/>
  <c r="BV69" i="25"/>
  <c r="FQ79" i="25"/>
  <c r="BF79" i="25"/>
  <c r="PQ66" i="25"/>
  <c r="BW66" i="25"/>
  <c r="JQ64" i="25"/>
  <c r="BT64" i="25"/>
  <c r="PQ64" i="25"/>
  <c r="BW64" i="25"/>
  <c r="SS80" i="25"/>
  <c r="SR80" i="25"/>
  <c r="JQ80" i="25"/>
  <c r="BT80" i="25"/>
  <c r="AX80" i="25" s="1"/>
  <c r="NQ80" i="25"/>
  <c r="BV80" i="25"/>
  <c r="AZ80" i="25" s="1"/>
  <c r="FQ76" i="25"/>
  <c r="BF76" i="25"/>
  <c r="US76" i="25"/>
  <c r="UR76" i="25"/>
  <c r="FQ66" i="25"/>
  <c r="BF66" i="25"/>
  <c r="J81" i="3" s="1"/>
  <c r="EW94" i="25"/>
  <c r="EV94" i="25"/>
  <c r="FQ94" i="25"/>
  <c r="BF94" i="25"/>
  <c r="DT80" i="25"/>
  <c r="FQ80" i="25"/>
  <c r="BF80" i="25"/>
  <c r="RQ87" i="25"/>
  <c r="BX87" i="25"/>
  <c r="BB87" i="25" s="1"/>
  <c r="IS87" i="25"/>
  <c r="IR87" i="25"/>
  <c r="KS87" i="25"/>
  <c r="KR87" i="25"/>
  <c r="HQ68" i="25"/>
  <c r="BS68" i="25"/>
  <c r="FQ70" i="25"/>
  <c r="BF70" i="25"/>
  <c r="DT70" i="25"/>
  <c r="GS100" i="25"/>
  <c r="GR100" i="25"/>
  <c r="JQ89" i="25"/>
  <c r="BT89" i="25"/>
  <c r="AX89" i="25" s="1"/>
  <c r="HQ89" i="25"/>
  <c r="BS89" i="25"/>
  <c r="LK89" i="25"/>
  <c r="LJ89" i="25"/>
  <c r="FQ67" i="25"/>
  <c r="BF67" i="25"/>
  <c r="J82" i="3" s="1"/>
  <c r="DT87" i="25"/>
  <c r="IR83" i="25"/>
  <c r="IS83" i="25"/>
  <c r="SR83" i="25"/>
  <c r="SS83" i="25"/>
  <c r="QS83" i="25"/>
  <c r="QR83" i="25"/>
  <c r="TS102" i="25"/>
  <c r="TR102" i="25"/>
  <c r="BF102" i="25"/>
  <c r="FQ102" i="25"/>
  <c r="DT102" i="25"/>
  <c r="DT89" i="25"/>
  <c r="TR89" i="25"/>
  <c r="TS89" i="25"/>
  <c r="GS89" i="25"/>
  <c r="GR89" i="25"/>
  <c r="DT78" i="25"/>
  <c r="DT95" i="25"/>
  <c r="TS95" i="25"/>
  <c r="TR95" i="25"/>
  <c r="UR95" i="25"/>
  <c r="US95" i="25"/>
  <c r="LQ97" i="25"/>
  <c r="BU97" i="25"/>
  <c r="AY97" i="25" s="1"/>
  <c r="KS97" i="25"/>
  <c r="KR97" i="25"/>
  <c r="HQ97" i="25"/>
  <c r="BS97" i="25"/>
  <c r="GS74" i="25"/>
  <c r="GR74" i="25"/>
  <c r="FQ74" i="25"/>
  <c r="BF74" i="25"/>
  <c r="US98" i="25"/>
  <c r="UR98" i="25"/>
  <c r="GS98" i="25"/>
  <c r="GR98" i="25"/>
  <c r="PQ86" i="25"/>
  <c r="BW86" i="25"/>
  <c r="BA86" i="25" s="1"/>
  <c r="OR86" i="25"/>
  <c r="OS86" i="25"/>
  <c r="LQ86" i="25"/>
  <c r="BU86" i="25"/>
  <c r="AY86" i="25" s="1"/>
  <c r="PQ82" i="25"/>
  <c r="BW82" i="25"/>
  <c r="BA82" i="25" s="1"/>
  <c r="QR82" i="25"/>
  <c r="QS82" i="25"/>
  <c r="NQ82" i="25"/>
  <c r="BV82" i="25"/>
  <c r="AZ82" i="25" s="1"/>
  <c r="MR77" i="25"/>
  <c r="MS77" i="25"/>
  <c r="OR77" i="25"/>
  <c r="OS77" i="25"/>
  <c r="SS77" i="25"/>
  <c r="SR77" i="25"/>
  <c r="NQ71" i="25"/>
  <c r="BV71" i="25"/>
  <c r="PQ71" i="25"/>
  <c r="BW71" i="25"/>
  <c r="HQ71" i="25"/>
  <c r="BS71" i="25"/>
  <c r="OR73" i="25"/>
  <c r="OS73" i="25"/>
  <c r="MR73" i="25"/>
  <c r="MS73" i="25"/>
  <c r="KS73" i="25"/>
  <c r="KR73" i="25"/>
  <c r="JQ78" i="25"/>
  <c r="BT78" i="25"/>
  <c r="AX78" i="25" s="1"/>
  <c r="KR78" i="25"/>
  <c r="KS78" i="25"/>
  <c r="HQ78" i="25"/>
  <c r="BS78" i="25"/>
  <c r="HQ95" i="25"/>
  <c r="BS95" i="25"/>
  <c r="LQ95" i="25"/>
  <c r="BU95" i="25"/>
  <c r="AY95" i="25" s="1"/>
  <c r="MR95" i="25"/>
  <c r="MS95" i="25"/>
  <c r="US82" i="25"/>
  <c r="UR82" i="25"/>
  <c r="US83" i="25"/>
  <c r="UR83" i="25"/>
  <c r="FQ83" i="25"/>
  <c r="BF83" i="25"/>
  <c r="TR84" i="25"/>
  <c r="TS84" i="25"/>
  <c r="BP88" i="25"/>
  <c r="AE88" i="19" s="1"/>
  <c r="AW88" i="25"/>
  <c r="U103" i="42" s="1"/>
  <c r="FQ69" i="25"/>
  <c r="BF69" i="25"/>
  <c r="LQ90" i="25"/>
  <c r="BU90" i="25"/>
  <c r="AY90" i="25" s="1"/>
  <c r="JQ90" i="25"/>
  <c r="BT90" i="25"/>
  <c r="AX90" i="25" s="1"/>
  <c r="NQ90" i="25"/>
  <c r="BV90" i="25"/>
  <c r="AZ90" i="25" s="1"/>
  <c r="LQ70" i="25"/>
  <c r="BU70" i="25"/>
  <c r="IR99" i="25"/>
  <c r="IS99" i="25"/>
  <c r="QS99" i="25"/>
  <c r="QR99" i="25"/>
  <c r="HQ99" i="25"/>
  <c r="BS99" i="25"/>
  <c r="DT64" i="25"/>
  <c r="JQ96" i="25"/>
  <c r="BT96" i="25"/>
  <c r="AX96" i="25" s="1"/>
  <c r="LQ96" i="25"/>
  <c r="BU96" i="25"/>
  <c r="AY96" i="25" s="1"/>
  <c r="HQ96" i="25"/>
  <c r="BS96" i="25"/>
  <c r="DT97" i="25"/>
  <c r="HQ67" i="25"/>
  <c r="BS67" i="25"/>
  <c r="TR85" i="25"/>
  <c r="TS85" i="25"/>
  <c r="DT99" i="25"/>
  <c r="PJ103" i="25"/>
  <c r="PK103" i="25" s="1"/>
  <c r="MS103" i="25"/>
  <c r="MR103" i="25"/>
  <c r="RJ103" i="25"/>
  <c r="RK103" i="25" s="1"/>
  <c r="SS92" i="25"/>
  <c r="SR92" i="25"/>
  <c r="KS92" i="25"/>
  <c r="KR92" i="25"/>
  <c r="MS92" i="25"/>
  <c r="MR92" i="25"/>
  <c r="PQ93" i="25"/>
  <c r="BW93" i="25"/>
  <c r="BA93" i="25" s="1"/>
  <c r="OR93" i="25"/>
  <c r="OS93" i="25"/>
  <c r="RQ93" i="25"/>
  <c r="BX93" i="25"/>
  <c r="BB93" i="25" s="1"/>
  <c r="PQ84" i="25"/>
  <c r="BW84" i="25"/>
  <c r="BA84" i="25" s="1"/>
  <c r="HQ84" i="25"/>
  <c r="BS84" i="25"/>
  <c r="JQ84" i="25"/>
  <c r="BT84" i="25"/>
  <c r="AX84" i="25" s="1"/>
  <c r="DM103" i="25"/>
  <c r="DN103" i="25" s="1"/>
  <c r="FQ103" i="25"/>
  <c r="BF103" i="25"/>
  <c r="US103" i="25"/>
  <c r="UR103" i="25"/>
  <c r="MR91" i="25"/>
  <c r="MS91" i="25"/>
  <c r="SS91" i="25"/>
  <c r="SR91" i="25"/>
  <c r="OS91" i="25"/>
  <c r="OR91" i="25"/>
  <c r="TR77" i="25"/>
  <c r="TS77" i="25"/>
  <c r="EV77" i="25"/>
  <c r="EW77" i="25"/>
  <c r="GS77" i="25"/>
  <c r="GR77" i="25"/>
  <c r="RQ98" i="25"/>
  <c r="BX98" i="25"/>
  <c r="BB98" i="25" s="1"/>
  <c r="HQ98" i="25"/>
  <c r="BS98" i="25"/>
  <c r="IS98" i="25"/>
  <c r="IR98" i="25"/>
  <c r="PQ94" i="25"/>
  <c r="BW94" i="25"/>
  <c r="BA94" i="25" s="1"/>
  <c r="QS94" i="25"/>
  <c r="QR94" i="25"/>
  <c r="JQ94" i="25"/>
  <c r="BT94" i="25"/>
  <c r="AX94" i="25" s="1"/>
  <c r="LQ72" i="25"/>
  <c r="BU72" i="25"/>
  <c r="IR72" i="25"/>
  <c r="IS72" i="25"/>
  <c r="SR72" i="25"/>
  <c r="SS72" i="25"/>
  <c r="JQ65" i="25"/>
  <c r="BT65" i="25"/>
  <c r="NQ65" i="25"/>
  <c r="BV65" i="25"/>
  <c r="RQ65" i="25"/>
  <c r="BX65" i="25"/>
  <c r="HQ85" i="25"/>
  <c r="BS85" i="25"/>
  <c r="RQ85" i="25"/>
  <c r="BX85" i="25"/>
  <c r="BB85" i="25" s="1"/>
  <c r="NQ85" i="25"/>
  <c r="BV85" i="25"/>
  <c r="AZ85" i="25" s="1"/>
  <c r="HQ75" i="25"/>
  <c r="BS75" i="25"/>
  <c r="KS75" i="25"/>
  <c r="KR75" i="25"/>
  <c r="PQ75" i="25"/>
  <c r="BW75" i="25"/>
  <c r="JJ100" i="25"/>
  <c r="JK100" i="25" s="1"/>
  <c r="BU100" i="25"/>
  <c r="AY100" i="25" s="1"/>
  <c r="LQ100" i="25"/>
  <c r="HJ100" i="25"/>
  <c r="HK100" i="25" s="1"/>
  <c r="RQ81" i="25"/>
  <c r="BX81" i="25"/>
  <c r="BB81" i="25" s="1"/>
  <c r="JQ81" i="25"/>
  <c r="BT81" i="25"/>
  <c r="AX81" i="25" s="1"/>
  <c r="PQ81" i="25"/>
  <c r="BW81" i="25"/>
  <c r="BA81" i="25" s="1"/>
  <c r="FQ90" i="25"/>
  <c r="BF90" i="25"/>
  <c r="DT90" i="25"/>
  <c r="GS75" i="25"/>
  <c r="GR75" i="25"/>
  <c r="BS102" i="25"/>
  <c r="HQ102" i="25"/>
  <c r="QS102" i="25"/>
  <c r="QR102" i="25"/>
  <c r="RJ102" i="25"/>
  <c r="RK102" i="25" s="1"/>
  <c r="OR101" i="25"/>
  <c r="OS101" i="25"/>
  <c r="BT101" i="25"/>
  <c r="AX101" i="25" s="1"/>
  <c r="JQ101" i="25"/>
  <c r="BV101" i="25"/>
  <c r="AZ101" i="25" s="1"/>
  <c r="NQ101" i="25"/>
  <c r="TS81" i="25"/>
  <c r="TR81" i="25"/>
  <c r="SR79" i="25"/>
  <c r="SS79" i="25"/>
  <c r="PQ79" i="25"/>
  <c r="BW79" i="25"/>
  <c r="BA79" i="25" s="1"/>
  <c r="OS79" i="25"/>
  <c r="OR79" i="25"/>
  <c r="EU76" i="25"/>
  <c r="EU100" i="25"/>
  <c r="EU91" i="25"/>
  <c r="EU72" i="25"/>
  <c r="EU86" i="25"/>
  <c r="EU81" i="25"/>
  <c r="BB48" i="25"/>
  <c r="AY48" i="25"/>
  <c r="BP41" i="25"/>
  <c r="BO41" i="25" s="1"/>
  <c r="BA48" i="25"/>
  <c r="AX48" i="25"/>
  <c r="DV45" i="25"/>
  <c r="EV38" i="25"/>
  <c r="GR52" i="25"/>
  <c r="EV27" i="25"/>
  <c r="BP34" i="25"/>
  <c r="BO34" i="25" s="1"/>
  <c r="GS32" i="25"/>
  <c r="DU46" i="25"/>
  <c r="DU43" i="25"/>
  <c r="IQ58" i="25"/>
  <c r="BS58" i="25"/>
  <c r="IQ57" i="25"/>
  <c r="IR57" i="25" s="1"/>
  <c r="BS57" i="25"/>
  <c r="K72" i="3" s="1"/>
  <c r="IQ60" i="25"/>
  <c r="BS60" i="25"/>
  <c r="IQ59" i="25"/>
  <c r="IR59" i="25" s="1"/>
  <c r="BS59" i="25"/>
  <c r="K74" i="3" s="1"/>
  <c r="IQ56" i="25"/>
  <c r="IR56" i="25" s="1"/>
  <c r="BS56" i="25"/>
  <c r="KQ59" i="25"/>
  <c r="KR59" i="25" s="1"/>
  <c r="BT59" i="25"/>
  <c r="L74" i="3" s="1"/>
  <c r="KQ60" i="25"/>
  <c r="KR60" i="25" s="1"/>
  <c r="BT60" i="25"/>
  <c r="KQ56" i="25"/>
  <c r="KR56" i="25" s="1"/>
  <c r="BT56" i="25"/>
  <c r="KQ57" i="25"/>
  <c r="KR57" i="25" s="1"/>
  <c r="BT57" i="25"/>
  <c r="KQ58" i="25"/>
  <c r="KS58" i="25" s="1"/>
  <c r="BT58" i="25"/>
  <c r="L73" i="3" s="1"/>
  <c r="MQ60" i="25"/>
  <c r="BU60" i="25"/>
  <c r="MQ58" i="25"/>
  <c r="MS58" i="25" s="1"/>
  <c r="BU58" i="25"/>
  <c r="M73" i="3" s="1"/>
  <c r="MQ57" i="25"/>
  <c r="BU57" i="25"/>
  <c r="MQ59" i="25"/>
  <c r="MR59" i="25" s="1"/>
  <c r="BU59" i="25"/>
  <c r="MQ56" i="25"/>
  <c r="BU56" i="25"/>
  <c r="QQ57" i="25"/>
  <c r="QS57" i="25" s="1"/>
  <c r="BW57" i="25"/>
  <c r="O72" i="3" s="1"/>
  <c r="QQ60" i="25"/>
  <c r="QS60" i="25" s="1"/>
  <c r="BW60" i="25"/>
  <c r="BP44" i="25"/>
  <c r="BO44" i="25" s="1"/>
  <c r="QQ58" i="25"/>
  <c r="QS58" i="25" s="1"/>
  <c r="BW58" i="25"/>
  <c r="O73" i="3" s="1"/>
  <c r="QQ56" i="25"/>
  <c r="QS56" i="25" s="1"/>
  <c r="BW56" i="25"/>
  <c r="QQ59" i="25"/>
  <c r="QR59" i="25" s="1"/>
  <c r="BW59" i="25"/>
  <c r="O74" i="3" s="1"/>
  <c r="SQ57" i="25"/>
  <c r="SR57" i="25" s="1"/>
  <c r="BX57" i="25"/>
  <c r="SQ56" i="25"/>
  <c r="SR56" i="25" s="1"/>
  <c r="BX56" i="25"/>
  <c r="P71" i="3" s="1"/>
  <c r="SQ59" i="25"/>
  <c r="SR59" i="25" s="1"/>
  <c r="BX59" i="25"/>
  <c r="BP45" i="25"/>
  <c r="BO45" i="25" s="1"/>
  <c r="BP33" i="25"/>
  <c r="BO33" i="25" s="1"/>
  <c r="SQ60" i="25"/>
  <c r="SS60" i="25" s="1"/>
  <c r="BX60" i="25"/>
  <c r="SQ58" i="25"/>
  <c r="SS58" i="25" s="1"/>
  <c r="BX58" i="25"/>
  <c r="P73" i="3" s="1"/>
  <c r="OQ56" i="25"/>
  <c r="OR56" i="25" s="1"/>
  <c r="BV56" i="25"/>
  <c r="N71" i="3" s="1"/>
  <c r="OQ59" i="25"/>
  <c r="OS59" i="25" s="1"/>
  <c r="BV59" i="25"/>
  <c r="AZ48" i="25"/>
  <c r="BP48" i="25"/>
  <c r="BO48" i="25" s="1"/>
  <c r="OS48" i="25"/>
  <c r="OQ57" i="25"/>
  <c r="OS57" i="25" s="1"/>
  <c r="BV57" i="25"/>
  <c r="OQ60" i="25"/>
  <c r="OS60" i="25" s="1"/>
  <c r="BV60" i="25"/>
  <c r="OQ58" i="25"/>
  <c r="OS58" i="25" s="1"/>
  <c r="BV58" i="25"/>
  <c r="GR44" i="25"/>
  <c r="AU48" i="25"/>
  <c r="AS48" i="25" s="1"/>
  <c r="AJ48" i="25" s="1"/>
  <c r="M63" i="42" s="1"/>
  <c r="EW53" i="25"/>
  <c r="DU48" i="25"/>
  <c r="EW54" i="25"/>
  <c r="UR36" i="25"/>
  <c r="US36" i="25"/>
  <c r="TS30" i="25"/>
  <c r="TR34" i="25"/>
  <c r="TS34" i="25"/>
  <c r="US30" i="25"/>
  <c r="TS37" i="25"/>
  <c r="TS35" i="25"/>
  <c r="TR33" i="25"/>
  <c r="TS33" i="25"/>
  <c r="UR38" i="25"/>
  <c r="US38" i="25"/>
  <c r="EV36" i="25"/>
  <c r="EW39" i="25"/>
  <c r="TR31" i="25"/>
  <c r="TR38" i="25"/>
  <c r="GR28" i="25"/>
  <c r="GR34" i="25"/>
  <c r="EW37" i="25"/>
  <c r="US33" i="25"/>
  <c r="UR33" i="25"/>
  <c r="UR32" i="25"/>
  <c r="US32" i="25"/>
  <c r="TR27" i="25"/>
  <c r="US26" i="25"/>
  <c r="TQ21" i="25"/>
  <c r="MS56" i="25"/>
  <c r="MR56" i="25"/>
  <c r="KS60" i="25"/>
  <c r="EV53" i="25"/>
  <c r="IS56" i="25"/>
  <c r="KS57" i="25"/>
  <c r="IS58" i="25"/>
  <c r="IR58" i="25"/>
  <c r="MR60" i="25"/>
  <c r="MS60" i="25"/>
  <c r="IS60" i="25"/>
  <c r="IR60" i="25"/>
  <c r="MS57" i="25"/>
  <c r="MR57" i="25"/>
  <c r="DV51" i="25"/>
  <c r="DU38" i="25"/>
  <c r="GS26" i="25"/>
  <c r="DU25" i="25"/>
  <c r="DV25" i="25"/>
  <c r="EV24" i="25"/>
  <c r="DU44" i="25"/>
  <c r="DV49" i="25"/>
  <c r="DU49" i="25"/>
  <c r="DV34" i="25"/>
  <c r="DU34" i="25"/>
  <c r="DU36" i="25"/>
  <c r="DV36" i="25"/>
  <c r="DV32" i="25"/>
  <c r="DU32" i="25"/>
  <c r="DU41" i="25"/>
  <c r="DV41" i="25"/>
  <c r="DU50" i="25"/>
  <c r="DV50" i="25"/>
  <c r="FS32" i="25"/>
  <c r="DU33" i="25"/>
  <c r="DV33" i="25"/>
  <c r="DU28" i="25"/>
  <c r="DV28" i="25"/>
  <c r="EV39" i="25"/>
  <c r="DV27" i="25"/>
  <c r="DU27" i="25"/>
  <c r="DU31" i="25"/>
  <c r="DV31" i="25"/>
  <c r="DV37" i="25"/>
  <c r="DU37" i="25"/>
  <c r="GR27" i="25"/>
  <c r="GR35" i="25"/>
  <c r="GR29" i="25"/>
  <c r="GR24" i="25"/>
  <c r="DV26" i="25"/>
  <c r="DU26" i="25"/>
  <c r="DU24" i="25"/>
  <c r="DV24" i="25"/>
  <c r="DV21" i="25"/>
  <c r="DU21" i="25"/>
  <c r="GS23" i="25"/>
  <c r="GR20" i="25"/>
  <c r="DU22" i="25"/>
  <c r="GS41" i="25"/>
  <c r="GS39" i="25"/>
  <c r="EV54" i="25"/>
  <c r="GS31" i="25"/>
  <c r="DU40" i="25"/>
  <c r="GS43" i="25"/>
  <c r="DU47" i="25"/>
  <c r="EW36" i="25"/>
  <c r="GR50" i="25"/>
  <c r="GR45" i="25"/>
  <c r="FQ51" i="25"/>
  <c r="FR51" i="25" s="1"/>
  <c r="FQ42" i="25"/>
  <c r="FS42" i="25" s="1"/>
  <c r="FQ47" i="25"/>
  <c r="FS47" i="25" s="1"/>
  <c r="DT42" i="25"/>
  <c r="DU42" i="25" s="1"/>
  <c r="DT30" i="25"/>
  <c r="DU30" i="25" s="1"/>
  <c r="FQ22" i="25"/>
  <c r="FS22" i="25" s="1"/>
  <c r="GR38" i="25"/>
  <c r="GS38" i="25"/>
  <c r="GS37" i="25"/>
  <c r="GR37" i="25"/>
  <c r="GR55" i="25"/>
  <c r="GS55" i="25"/>
  <c r="GS54" i="25"/>
  <c r="GR54" i="25"/>
  <c r="RQ55" i="25"/>
  <c r="KQ54" i="25"/>
  <c r="AX54" i="25"/>
  <c r="BB54" i="25"/>
  <c r="MQ54" i="25"/>
  <c r="IQ54" i="25"/>
  <c r="KQ55" i="25"/>
  <c r="AX55" i="25"/>
  <c r="OQ55" i="25"/>
  <c r="IQ55" i="25"/>
  <c r="BA54" i="25"/>
  <c r="RQ54" i="25"/>
  <c r="MQ55" i="25"/>
  <c r="AY55" i="25"/>
  <c r="PQ54" i="25"/>
  <c r="PQ55" i="25"/>
  <c r="OQ54" i="25"/>
  <c r="AZ54" i="25"/>
  <c r="BA55" i="25"/>
  <c r="GQ42" i="25"/>
  <c r="EU25" i="25"/>
  <c r="GQ25" i="25"/>
  <c r="EU40" i="25"/>
  <c r="AU42" i="25"/>
  <c r="GQ47" i="25"/>
  <c r="GS40" i="25"/>
  <c r="GR40" i="25"/>
  <c r="GS22" i="25"/>
  <c r="GR22" i="25"/>
  <c r="EW42" i="25"/>
  <c r="EV42" i="25"/>
  <c r="GS51" i="25"/>
  <c r="GR51" i="25"/>
  <c r="AU51" i="25"/>
  <c r="GQ30" i="25"/>
  <c r="EV51" i="25"/>
  <c r="EW51" i="25"/>
  <c r="MQ26" i="25"/>
  <c r="MQ33" i="25"/>
  <c r="OQ37" i="25"/>
  <c r="AZ37" i="25"/>
  <c r="IQ44" i="25"/>
  <c r="IQ30" i="25"/>
  <c r="PQ40" i="25"/>
  <c r="BB36" i="25"/>
  <c r="BA31" i="25"/>
  <c r="BA43" i="25"/>
  <c r="RQ53" i="25"/>
  <c r="OQ45" i="25"/>
  <c r="AZ45" i="25"/>
  <c r="OQ23" i="25"/>
  <c r="KQ49" i="25"/>
  <c r="AX49" i="25"/>
  <c r="RQ34" i="25"/>
  <c r="BA37" i="25"/>
  <c r="RQ36" i="25"/>
  <c r="KQ47" i="25"/>
  <c r="OQ42" i="25"/>
  <c r="AZ42" i="25"/>
  <c r="IQ35" i="25"/>
  <c r="IQ38" i="25"/>
  <c r="IQ24" i="25"/>
  <c r="RR22" i="25"/>
  <c r="RQ30" i="25"/>
  <c r="KQ45" i="25"/>
  <c r="AX45" i="25"/>
  <c r="QP21" i="25"/>
  <c r="PQ36" i="25"/>
  <c r="OQ47" i="25"/>
  <c r="AZ47" i="25"/>
  <c r="IQ42" i="25"/>
  <c r="KQ35" i="25"/>
  <c r="AX35" i="25"/>
  <c r="OQ25" i="25"/>
  <c r="AZ25" i="25"/>
  <c r="BB43" i="25"/>
  <c r="BB51" i="25"/>
  <c r="IQ50" i="25"/>
  <c r="IQ20" i="25"/>
  <c r="KQ34" i="25"/>
  <c r="AX34" i="25"/>
  <c r="BA33" i="25"/>
  <c r="OQ51" i="25"/>
  <c r="AZ51" i="25"/>
  <c r="BA30" i="25"/>
  <c r="MQ40" i="25"/>
  <c r="AY40" i="25"/>
  <c r="MQ45" i="25"/>
  <c r="AY45" i="25"/>
  <c r="KQ52" i="25"/>
  <c r="HR34" i="25"/>
  <c r="HS34" i="25"/>
  <c r="RQ42" i="25"/>
  <c r="BB35" i="25"/>
  <c r="LR30" i="25"/>
  <c r="LS30" i="25"/>
  <c r="OQ46" i="25"/>
  <c r="AZ46" i="25"/>
  <c r="IQ53" i="25"/>
  <c r="RQ40" i="25"/>
  <c r="PQ52" i="25"/>
  <c r="PQ33" i="25"/>
  <c r="MQ36" i="25"/>
  <c r="AY36" i="25"/>
  <c r="PQ47" i="25"/>
  <c r="MQ38" i="25"/>
  <c r="AY38" i="25"/>
  <c r="QP25" i="25"/>
  <c r="KQ24" i="25"/>
  <c r="JR31" i="25"/>
  <c r="JS31" i="25"/>
  <c r="LR27" i="25"/>
  <c r="IQ49" i="25"/>
  <c r="OQ39" i="25"/>
  <c r="OQ32" i="25"/>
  <c r="AZ32" i="25"/>
  <c r="KQ42" i="25"/>
  <c r="AX42" i="25"/>
  <c r="SP25" i="25"/>
  <c r="RQ43" i="25"/>
  <c r="NS34" i="25"/>
  <c r="NR34" i="25"/>
  <c r="BA35" i="25"/>
  <c r="MQ41" i="25"/>
  <c r="AY41" i="25"/>
  <c r="OQ31" i="25"/>
  <c r="AZ31" i="25"/>
  <c r="MQ50" i="25"/>
  <c r="AY50" i="25"/>
  <c r="RQ29" i="25"/>
  <c r="KQ20" i="25"/>
  <c r="OQ52" i="25"/>
  <c r="OQ34" i="25"/>
  <c r="AZ34" i="25"/>
  <c r="KQ32" i="25"/>
  <c r="AX32" i="25"/>
  <c r="IQ47" i="25"/>
  <c r="BA42" i="25"/>
  <c r="RQ35" i="25"/>
  <c r="QP24" i="25"/>
  <c r="OQ44" i="25"/>
  <c r="AZ44" i="25"/>
  <c r="BA51" i="25"/>
  <c r="KQ30" i="25"/>
  <c r="OQ50" i="25"/>
  <c r="AZ50" i="25"/>
  <c r="BB53" i="25"/>
  <c r="IQ40" i="25"/>
  <c r="KQ39" i="25"/>
  <c r="AX39" i="25"/>
  <c r="LR33" i="25"/>
  <c r="PQ37" i="25"/>
  <c r="RQ44" i="25"/>
  <c r="KQ46" i="25"/>
  <c r="AX46" i="25"/>
  <c r="PQ50" i="25"/>
  <c r="QP26" i="25"/>
  <c r="BA49" i="25"/>
  <c r="OQ36" i="25"/>
  <c r="AZ36" i="25"/>
  <c r="PQ35" i="25"/>
  <c r="RQ51" i="25"/>
  <c r="PQ30" i="25"/>
  <c r="PQ27" i="25"/>
  <c r="PQ46" i="25"/>
  <c r="PQ53" i="25"/>
  <c r="IQ26" i="25"/>
  <c r="MQ47" i="25"/>
  <c r="AY47" i="25"/>
  <c r="MQ42" i="25"/>
  <c r="AY42" i="25"/>
  <c r="RQ28" i="25"/>
  <c r="JR35" i="25"/>
  <c r="JS35" i="25"/>
  <c r="RQ38" i="25"/>
  <c r="OQ41" i="25"/>
  <c r="AZ41" i="25"/>
  <c r="MQ31" i="25"/>
  <c r="OQ30" i="25"/>
  <c r="IQ29" i="25"/>
  <c r="BA34" i="25"/>
  <c r="LS37" i="25"/>
  <c r="LS36" i="25"/>
  <c r="LR36" i="25"/>
  <c r="RQ32" i="25"/>
  <c r="PQ24" i="25"/>
  <c r="KQ31" i="25"/>
  <c r="AX31" i="25"/>
  <c r="KQ51" i="25"/>
  <c r="AX51" i="25"/>
  <c r="OQ27" i="25"/>
  <c r="AZ27" i="25"/>
  <c r="BA40" i="25"/>
  <c r="MQ29" i="25"/>
  <c r="IQ45" i="25"/>
  <c r="MQ39" i="25"/>
  <c r="AY39" i="25"/>
  <c r="BB33" i="25"/>
  <c r="RQ37" i="25"/>
  <c r="IQ32" i="25"/>
  <c r="OQ28" i="25"/>
  <c r="MQ44" i="25"/>
  <c r="AY44" i="25"/>
  <c r="MQ51" i="25"/>
  <c r="NR30" i="25"/>
  <c r="NS30" i="25"/>
  <c r="BB45" i="25"/>
  <c r="BB34" i="25"/>
  <c r="JR37" i="25"/>
  <c r="MQ35" i="25"/>
  <c r="BB38" i="25"/>
  <c r="PQ51" i="25"/>
  <c r="HS30" i="25"/>
  <c r="HR30" i="25"/>
  <c r="BB40" i="25"/>
  <c r="SP23" i="25"/>
  <c r="PQ49" i="25"/>
  <c r="IQ39" i="25"/>
  <c r="MQ52" i="25"/>
  <c r="AY52" i="25"/>
  <c r="IQ34" i="25"/>
  <c r="KQ37" i="25"/>
  <c r="AX37" i="25"/>
  <c r="HS36" i="25"/>
  <c r="HR36" i="25"/>
  <c r="HS32" i="25"/>
  <c r="HR32" i="25"/>
  <c r="PQ42" i="25"/>
  <c r="LS35" i="25"/>
  <c r="LR35" i="25"/>
  <c r="BA38" i="25"/>
  <c r="NS25" i="25"/>
  <c r="NR25" i="25"/>
  <c r="SP24" i="25"/>
  <c r="PQ31" i="25"/>
  <c r="IQ43" i="25"/>
  <c r="BA44" i="25"/>
  <c r="PQ44" i="25"/>
  <c r="IQ51" i="25"/>
  <c r="BB46" i="25"/>
  <c r="OQ53" i="25"/>
  <c r="AZ53" i="25"/>
  <c r="KQ26" i="25"/>
  <c r="PQ26" i="25"/>
  <c r="RQ45" i="25"/>
  <c r="OQ49" i="25"/>
  <c r="AZ49" i="25"/>
  <c r="PQ39" i="25"/>
  <c r="MS22" i="25"/>
  <c r="MR22" i="25"/>
  <c r="QP20" i="25"/>
  <c r="KQ33" i="25"/>
  <c r="AX33" i="25"/>
  <c r="HR33" i="25"/>
  <c r="HS33" i="25"/>
  <c r="IQ37" i="25"/>
  <c r="KQ36" i="25"/>
  <c r="AX36" i="25"/>
  <c r="CI22" i="25"/>
  <c r="CS22" i="25"/>
  <c r="NR32" i="25"/>
  <c r="NS32" i="25"/>
  <c r="KQ28" i="25"/>
  <c r="NS35" i="25"/>
  <c r="NR35" i="25"/>
  <c r="OQ38" i="25"/>
  <c r="AZ38" i="25"/>
  <c r="IQ25" i="25"/>
  <c r="IQ41" i="25"/>
  <c r="LR31" i="25"/>
  <c r="LS31" i="25"/>
  <c r="OQ43" i="25"/>
  <c r="AZ43" i="25"/>
  <c r="KQ44" i="25"/>
  <c r="AX44" i="25"/>
  <c r="RQ50" i="25"/>
  <c r="IQ23" i="25"/>
  <c r="RQ39" i="25"/>
  <c r="MQ20" i="25"/>
  <c r="PQ20" i="25"/>
  <c r="MQ34" i="25"/>
  <c r="MQ32" i="25"/>
  <c r="AY32" i="25"/>
  <c r="LS32" i="25"/>
  <c r="LR32" i="25"/>
  <c r="BA47" i="25"/>
  <c r="IQ28" i="25"/>
  <c r="OQ35" i="25"/>
  <c r="AZ35" i="25"/>
  <c r="HS35" i="25"/>
  <c r="HR35" i="25"/>
  <c r="MQ25" i="25"/>
  <c r="KS22" i="25"/>
  <c r="KR22" i="25"/>
  <c r="IS22" i="25"/>
  <c r="IR22" i="25"/>
  <c r="CR22" i="25"/>
  <c r="CH22" i="25"/>
  <c r="OS22" i="25"/>
  <c r="OR22" i="25"/>
  <c r="IQ31" i="25"/>
  <c r="RQ46" i="25"/>
  <c r="BB50" i="25"/>
  <c r="BA53" i="25"/>
  <c r="OQ40" i="25"/>
  <c r="AZ40" i="25"/>
  <c r="PQ45" i="25"/>
  <c r="MQ23" i="25"/>
  <c r="SP20" i="25"/>
  <c r="RQ52" i="25"/>
  <c r="LS34" i="25"/>
  <c r="LR34" i="25"/>
  <c r="RQ33" i="25"/>
  <c r="BB37" i="25"/>
  <c r="BB32" i="25"/>
  <c r="JS32" i="25"/>
  <c r="JR32" i="25"/>
  <c r="BB28" i="25"/>
  <c r="OQ24" i="25"/>
  <c r="KQ41" i="25"/>
  <c r="AX41" i="25"/>
  <c r="MQ53" i="25"/>
  <c r="BA45" i="25"/>
  <c r="MQ49" i="25"/>
  <c r="AY49" i="25"/>
  <c r="RQ49" i="25"/>
  <c r="OQ20" i="25"/>
  <c r="IQ52" i="25"/>
  <c r="SP21" i="25"/>
  <c r="NR37" i="25"/>
  <c r="NS37" i="25"/>
  <c r="IQ36" i="25"/>
  <c r="BA32" i="25"/>
  <c r="PQ32" i="25"/>
  <c r="RQ25" i="25"/>
  <c r="MQ43" i="25"/>
  <c r="AY43" i="25"/>
  <c r="MQ27" i="25"/>
  <c r="IQ27" i="25"/>
  <c r="IQ46" i="25"/>
  <c r="BA29" i="25"/>
  <c r="QP23" i="25"/>
  <c r="BA39" i="25"/>
  <c r="IQ33" i="25"/>
  <c r="MQ37" i="25"/>
  <c r="AY37" i="25"/>
  <c r="JR28" i="25"/>
  <c r="PQ38" i="25"/>
  <c r="KQ25" i="25"/>
  <c r="BA41" i="25"/>
  <c r="RQ41" i="25"/>
  <c r="BA46" i="25"/>
  <c r="OQ26" i="25"/>
  <c r="AZ26" i="25"/>
  <c r="PQ34" i="25"/>
  <c r="JS36" i="25"/>
  <c r="JR36" i="25"/>
  <c r="BB42" i="25"/>
  <c r="JS24" i="25"/>
  <c r="JR24" i="25"/>
  <c r="BB41" i="25"/>
  <c r="HS31" i="25"/>
  <c r="KQ43" i="25"/>
  <c r="AX43" i="25"/>
  <c r="JR43" i="25"/>
  <c r="JS43" i="25"/>
  <c r="JR30" i="25"/>
  <c r="KQ27" i="25"/>
  <c r="AX27" i="25"/>
  <c r="KQ50" i="25"/>
  <c r="AX50" i="25"/>
  <c r="KQ53" i="25"/>
  <c r="AX53" i="25"/>
  <c r="KQ40" i="25"/>
  <c r="AX40" i="25"/>
  <c r="LS40" i="25"/>
  <c r="LR40" i="25"/>
  <c r="SP26" i="25"/>
  <c r="OQ29" i="25"/>
  <c r="KQ29" i="25"/>
  <c r="KQ23" i="25"/>
  <c r="LR23" i="25"/>
  <c r="BB39" i="25"/>
  <c r="JS34" i="25"/>
  <c r="JR34" i="25"/>
  <c r="OQ33" i="25"/>
  <c r="AZ33" i="25"/>
  <c r="JS33" i="25"/>
  <c r="JR33" i="25"/>
  <c r="RQ21" i="25"/>
  <c r="HS37" i="25"/>
  <c r="HR37" i="25"/>
  <c r="RQ47" i="25"/>
  <c r="MQ28" i="25"/>
  <c r="KQ38" i="25"/>
  <c r="AX38" i="25"/>
  <c r="MQ24" i="25"/>
  <c r="PQ41" i="25"/>
  <c r="BB31" i="25"/>
  <c r="RQ31" i="25"/>
  <c r="PQ43" i="25"/>
  <c r="BB44" i="25"/>
  <c r="MQ30" i="25"/>
  <c r="AY30" i="25"/>
  <c r="MQ46" i="25"/>
  <c r="AY46" i="25"/>
  <c r="K73" i="3"/>
  <c r="K75" i="3"/>
  <c r="K71" i="3"/>
  <c r="L75" i="3"/>
  <c r="L72" i="3"/>
  <c r="M75" i="3"/>
  <c r="P72" i="3"/>
  <c r="P74" i="3"/>
  <c r="M74" i="3"/>
  <c r="O75" i="3"/>
  <c r="P75" i="3"/>
  <c r="N74" i="3"/>
  <c r="N75" i="3"/>
  <c r="L71" i="3"/>
  <c r="M72" i="3"/>
  <c r="M71" i="3"/>
  <c r="O71" i="3"/>
  <c r="N72" i="3"/>
  <c r="N73" i="3"/>
  <c r="M52" i="3"/>
  <c r="O45" i="3"/>
  <c r="N48" i="3"/>
  <c r="P51" i="3"/>
  <c r="P47" i="3"/>
  <c r="L51" i="3"/>
  <c r="P46" i="3"/>
  <c r="L45" i="3"/>
  <c r="O44" i="3"/>
  <c r="P43" i="3"/>
  <c r="P42" i="3"/>
  <c r="O40" i="3"/>
  <c r="L39" i="3"/>
  <c r="L38" i="3"/>
  <c r="M47" i="3"/>
  <c r="O41" i="3"/>
  <c r="K41" i="3"/>
  <c r="M51" i="3"/>
  <c r="O39" i="3"/>
  <c r="K46" i="3"/>
  <c r="P45" i="3"/>
  <c r="O51" i="3"/>
  <c r="L48" i="3"/>
  <c r="O50" i="3"/>
  <c r="L46" i="3"/>
  <c r="N50" i="3"/>
  <c r="O42" i="3"/>
  <c r="L41" i="3"/>
  <c r="L43" i="3"/>
  <c r="N43" i="3"/>
  <c r="L44" i="3"/>
  <c r="M48" i="3"/>
  <c r="I45" i="3"/>
  <c r="M38" i="3"/>
  <c r="I43" i="3"/>
  <c r="L49" i="3"/>
  <c r="O46" i="3"/>
  <c r="N47" i="3"/>
  <c r="N45" i="3"/>
  <c r="O47" i="3"/>
  <c r="K45" i="3"/>
  <c r="P50" i="3"/>
  <c r="P49" i="3"/>
  <c r="P38" i="3"/>
  <c r="N38" i="3"/>
  <c r="N39" i="3"/>
  <c r="N41" i="3"/>
  <c r="L40" i="3"/>
  <c r="P41" i="3"/>
  <c r="K50" i="3"/>
  <c r="M40" i="3"/>
  <c r="M42" i="3"/>
  <c r="M50" i="3"/>
  <c r="M45" i="3"/>
  <c r="K40" i="3"/>
  <c r="N49" i="3"/>
  <c r="N51" i="3"/>
  <c r="O48" i="3"/>
  <c r="O49" i="3"/>
  <c r="L50" i="3"/>
  <c r="N46" i="3"/>
  <c r="L47" i="3"/>
  <c r="P48" i="3"/>
  <c r="P44" i="3"/>
  <c r="N40" i="3"/>
  <c r="N42" i="3"/>
  <c r="N44" i="3"/>
  <c r="O43" i="3"/>
  <c r="L42" i="3"/>
  <c r="O37" i="3"/>
  <c r="P36" i="3"/>
  <c r="L35" i="3"/>
  <c r="P37" i="3"/>
  <c r="P35" i="3"/>
  <c r="O36" i="3"/>
  <c r="J36" i="3"/>
  <c r="I37" i="3"/>
  <c r="O35" i="3"/>
  <c r="J37" i="3"/>
  <c r="LS21" i="25" l="1"/>
  <c r="WS20" i="25"/>
  <c r="LR20" i="25"/>
  <c r="HS20" i="25"/>
  <c r="PS22" i="25"/>
  <c r="AW22" i="25"/>
  <c r="AU22" i="25"/>
  <c r="AS22" i="25" s="1"/>
  <c r="AJ22" i="25" s="1"/>
  <c r="M37" i="42" s="1"/>
  <c r="K44" i="3"/>
  <c r="QS59" i="25"/>
  <c r="EW28" i="25"/>
  <c r="AZ39" i="25"/>
  <c r="AD63" i="19"/>
  <c r="J74" i="3"/>
  <c r="AV59" i="25"/>
  <c r="J71" i="3"/>
  <c r="AV56" i="25"/>
  <c r="J77" i="3"/>
  <c r="AV62" i="25"/>
  <c r="AV57" i="25"/>
  <c r="J72" i="3"/>
  <c r="Q72" i="3" s="1"/>
  <c r="R72" i="3" s="1"/>
  <c r="J76" i="3"/>
  <c r="AV61" i="25"/>
  <c r="J75" i="3"/>
  <c r="AV60" i="25"/>
  <c r="J73" i="3"/>
  <c r="Q73" i="3" s="1"/>
  <c r="R73" i="3" s="1"/>
  <c r="AV58" i="25"/>
  <c r="QR58" i="25"/>
  <c r="OR59" i="25"/>
  <c r="US28" i="25"/>
  <c r="BP52" i="25"/>
  <c r="BO52" i="25" s="1"/>
  <c r="HR29" i="25"/>
  <c r="BA52" i="25"/>
  <c r="AS29" i="25"/>
  <c r="AJ29" i="25" s="1"/>
  <c r="M44" i="42" s="1"/>
  <c r="LR28" i="25"/>
  <c r="BP37" i="25"/>
  <c r="BO37" i="25" s="1"/>
  <c r="HS28" i="25"/>
  <c r="UR37" i="25"/>
  <c r="EV29" i="25"/>
  <c r="QR70" i="25"/>
  <c r="QS70" i="25"/>
  <c r="BP38" i="25"/>
  <c r="BO38" i="25" s="1"/>
  <c r="BP39" i="25"/>
  <c r="BO39" i="25" s="1"/>
  <c r="AD57" i="19"/>
  <c r="DV60" i="25"/>
  <c r="DV54" i="25"/>
  <c r="EV41" i="25"/>
  <c r="M77" i="3"/>
  <c r="EV44" i="25"/>
  <c r="GS70" i="25"/>
  <c r="GR70" i="25"/>
  <c r="AD55" i="19"/>
  <c r="OS71" i="25"/>
  <c r="OR71" i="25"/>
  <c r="UR69" i="25"/>
  <c r="US69" i="25"/>
  <c r="IR71" i="25"/>
  <c r="IS71" i="25"/>
  <c r="I76" i="3"/>
  <c r="AC61" i="19"/>
  <c r="AU61" i="25"/>
  <c r="AS61" i="25" s="1"/>
  <c r="EP70" i="25"/>
  <c r="EU70" i="25" s="1"/>
  <c r="BE70" i="25"/>
  <c r="I85" i="3" s="1"/>
  <c r="EP62" i="25"/>
  <c r="EU62" i="25" s="1"/>
  <c r="EV62" i="25" s="1"/>
  <c r="BE62" i="25"/>
  <c r="MR70" i="25"/>
  <c r="MS70" i="25"/>
  <c r="KS71" i="25"/>
  <c r="KR71" i="25"/>
  <c r="KS69" i="25"/>
  <c r="KR69" i="25"/>
  <c r="IR69" i="25"/>
  <c r="IS69" i="25"/>
  <c r="US71" i="25"/>
  <c r="UR71" i="25"/>
  <c r="MS71" i="25"/>
  <c r="MR71" i="25"/>
  <c r="MR69" i="25"/>
  <c r="MS69" i="25"/>
  <c r="UR70" i="25"/>
  <c r="US70" i="25"/>
  <c r="OR70" i="25"/>
  <c r="OS70" i="25"/>
  <c r="QR71" i="25"/>
  <c r="QS71" i="25"/>
  <c r="IR70" i="25"/>
  <c r="IS70" i="25"/>
  <c r="SS70" i="25"/>
  <c r="SR70" i="25"/>
  <c r="GR69" i="25"/>
  <c r="GS69" i="25"/>
  <c r="WS71" i="25"/>
  <c r="WR71" i="25"/>
  <c r="KS70" i="25"/>
  <c r="KR70" i="25"/>
  <c r="VS69" i="25"/>
  <c r="VR69" i="25"/>
  <c r="QR69" i="25"/>
  <c r="QS69" i="25"/>
  <c r="WS70" i="25"/>
  <c r="WR70" i="25"/>
  <c r="TS69" i="25"/>
  <c r="TR69" i="25"/>
  <c r="GS71" i="25"/>
  <c r="GR71" i="25"/>
  <c r="SS69" i="25"/>
  <c r="SR69" i="25"/>
  <c r="TS70" i="25"/>
  <c r="TR70" i="25"/>
  <c r="SR71" i="25"/>
  <c r="SS71" i="25"/>
  <c r="TR71" i="25"/>
  <c r="TS71" i="25"/>
  <c r="OS69" i="25"/>
  <c r="OR69" i="25"/>
  <c r="AV30" i="25"/>
  <c r="J45" i="3"/>
  <c r="Q45" i="3" s="1"/>
  <c r="R45" i="3" s="1"/>
  <c r="EP71" i="25"/>
  <c r="EU71" i="25" s="1"/>
  <c r="EP68" i="25"/>
  <c r="EU68" i="25" s="1"/>
  <c r="EP67" i="25"/>
  <c r="EU67" i="25" s="1"/>
  <c r="AV25" i="25"/>
  <c r="J40" i="3"/>
  <c r="AU34" i="25"/>
  <c r="AS34" i="25" s="1"/>
  <c r="AJ34" i="25" s="1"/>
  <c r="M49" i="42" s="1"/>
  <c r="I49" i="3"/>
  <c r="Y62" i="19"/>
  <c r="Y61" i="19"/>
  <c r="AJ61" i="25"/>
  <c r="M76" i="42" s="1"/>
  <c r="VR70" i="25"/>
  <c r="VS70" i="25"/>
  <c r="AD54" i="19"/>
  <c r="AD53" i="19"/>
  <c r="EP63" i="25"/>
  <c r="EU63" i="25" s="1"/>
  <c r="EP61" i="25"/>
  <c r="EU61" i="25" s="1"/>
  <c r="BP36" i="25"/>
  <c r="BO36" i="25" s="1"/>
  <c r="BP35" i="25"/>
  <c r="BO35" i="25" s="1"/>
  <c r="AY33" i="25"/>
  <c r="BP42" i="25"/>
  <c r="BO42" i="25" s="1"/>
  <c r="BP40" i="25"/>
  <c r="BO40" i="25" s="1"/>
  <c r="M76" i="3"/>
  <c r="EP65" i="25"/>
  <c r="EU65" i="25" s="1"/>
  <c r="EP64" i="25"/>
  <c r="EU64" i="25" s="1"/>
  <c r="AD69" i="19"/>
  <c r="EP69" i="25"/>
  <c r="EU69" i="25" s="1"/>
  <c r="AD71" i="19"/>
  <c r="AV69" i="25"/>
  <c r="J84" i="3"/>
  <c r="BD69" i="25"/>
  <c r="AC69" i="19"/>
  <c r="AV70" i="25"/>
  <c r="J85" i="3"/>
  <c r="AV71" i="25"/>
  <c r="J86" i="3"/>
  <c r="BD71" i="25"/>
  <c r="AC71" i="19"/>
  <c r="WS69" i="25"/>
  <c r="WR69" i="25"/>
  <c r="VS71" i="25"/>
  <c r="VR71" i="25"/>
  <c r="EP66" i="25"/>
  <c r="EU66" i="25" s="1"/>
  <c r="EP20" i="25"/>
  <c r="EU20" i="25" s="1"/>
  <c r="EV20" i="25" s="1"/>
  <c r="BE20" i="25"/>
  <c r="AC20" i="19" s="1"/>
  <c r="AY23" i="25"/>
  <c r="KS59" i="25"/>
  <c r="MS59" i="25"/>
  <c r="IS59" i="25"/>
  <c r="KR58" i="25"/>
  <c r="MR58" i="25"/>
  <c r="SS57" i="25"/>
  <c r="SR60" i="25"/>
  <c r="SS59" i="25"/>
  <c r="AY53" i="25"/>
  <c r="BP50" i="25"/>
  <c r="BO50" i="25" s="1"/>
  <c r="AZ52" i="25"/>
  <c r="AX52" i="25"/>
  <c r="AZ55" i="25"/>
  <c r="BB55" i="25"/>
  <c r="EW52" i="25"/>
  <c r="BP53" i="25"/>
  <c r="BO53" i="25" s="1"/>
  <c r="BA50" i="25"/>
  <c r="M64" i="3"/>
  <c r="DV55" i="25"/>
  <c r="BB52" i="25"/>
  <c r="BB49" i="25"/>
  <c r="AY51" i="25"/>
  <c r="QR60" i="25"/>
  <c r="UR54" i="25"/>
  <c r="US54" i="25"/>
  <c r="UR53" i="25"/>
  <c r="US53" i="25"/>
  <c r="BP49" i="25"/>
  <c r="BO49" i="25" s="1"/>
  <c r="TR54" i="25"/>
  <c r="TS54" i="25"/>
  <c r="TR53" i="25"/>
  <c r="TS53" i="25"/>
  <c r="HS21" i="25"/>
  <c r="NS26" i="25"/>
  <c r="NS33" i="25"/>
  <c r="LR29" i="25"/>
  <c r="LS24" i="25"/>
  <c r="TR22" i="25"/>
  <c r="TR29" i="25"/>
  <c r="US31" i="25"/>
  <c r="BP51" i="25"/>
  <c r="BO51" i="25" s="1"/>
  <c r="EV45" i="25"/>
  <c r="NS36" i="25"/>
  <c r="NS20" i="25"/>
  <c r="UR27" i="25"/>
  <c r="TS36" i="25"/>
  <c r="US34" i="25"/>
  <c r="TS32" i="25"/>
  <c r="AD43" i="19"/>
  <c r="M60" i="3"/>
  <c r="EP21" i="25"/>
  <c r="EU21" i="25" s="1"/>
  <c r="TS23" i="25"/>
  <c r="AU57" i="25"/>
  <c r="AS57" i="25" s="1"/>
  <c r="S72" i="42" s="1"/>
  <c r="AC57" i="19"/>
  <c r="AU58" i="25"/>
  <c r="AS58" i="25" s="1"/>
  <c r="S73" i="42" s="1"/>
  <c r="AC58" i="19"/>
  <c r="EV50" i="25"/>
  <c r="EW50" i="25"/>
  <c r="EP55" i="25"/>
  <c r="EU55" i="25" s="1"/>
  <c r="EW55" i="25" s="1"/>
  <c r="BE55" i="25"/>
  <c r="I70" i="3" s="1"/>
  <c r="Q70" i="3" s="1"/>
  <c r="R70" i="3" s="1"/>
  <c r="AC59" i="19"/>
  <c r="AU59" i="25"/>
  <c r="AS59" i="25" s="1"/>
  <c r="S74" i="42" s="1"/>
  <c r="EP56" i="25"/>
  <c r="EU56" i="25" s="1"/>
  <c r="BE56" i="25"/>
  <c r="I71" i="3" s="1"/>
  <c r="EP60" i="25"/>
  <c r="EU60" i="25" s="1"/>
  <c r="EW60" i="25" s="1"/>
  <c r="BE60" i="25"/>
  <c r="I75" i="3" s="1"/>
  <c r="AJ58" i="25"/>
  <c r="M73" i="42" s="1"/>
  <c r="EW48" i="25"/>
  <c r="EV48" i="25"/>
  <c r="EV60" i="25"/>
  <c r="EP59" i="25"/>
  <c r="EU59" i="25" s="1"/>
  <c r="EW59" i="25" s="1"/>
  <c r="Y60" i="19"/>
  <c r="Y59" i="19"/>
  <c r="EP58" i="25"/>
  <c r="EU58" i="25" s="1"/>
  <c r="EW58" i="25" s="1"/>
  <c r="Y58" i="19"/>
  <c r="SR58" i="25"/>
  <c r="EV55" i="25"/>
  <c r="BC53" i="25"/>
  <c r="IS57" i="25"/>
  <c r="KS56" i="25"/>
  <c r="AJ57" i="25"/>
  <c r="M72" i="42" s="1"/>
  <c r="BC52" i="25"/>
  <c r="QR57" i="25"/>
  <c r="QR56" i="25"/>
  <c r="BC54" i="25"/>
  <c r="AD50" i="19"/>
  <c r="EP57" i="25"/>
  <c r="EU57" i="25" s="1"/>
  <c r="W56" i="19"/>
  <c r="BE25" i="25"/>
  <c r="EW20" i="25"/>
  <c r="M55" i="3"/>
  <c r="M62" i="3"/>
  <c r="EW32" i="25"/>
  <c r="AC23" i="19"/>
  <c r="AU23" i="25"/>
  <c r="AS23" i="25" s="1"/>
  <c r="AJ23" i="25" s="1"/>
  <c r="M38" i="42" s="1"/>
  <c r="EP30" i="25"/>
  <c r="EU30" i="25" s="1"/>
  <c r="EW30" i="25" s="1"/>
  <c r="AN30" i="25"/>
  <c r="Y30" i="19" s="1"/>
  <c r="EP47" i="25"/>
  <c r="EU47" i="25" s="1"/>
  <c r="AN47" i="25"/>
  <c r="Y47" i="19" s="1"/>
  <c r="EW46" i="25"/>
  <c r="BE40" i="25"/>
  <c r="AU40" i="25" s="1"/>
  <c r="AS40" i="25" s="1"/>
  <c r="AJ40" i="25" s="1"/>
  <c r="M55" i="42" s="1"/>
  <c r="EP22" i="25"/>
  <c r="EU22" i="25" s="1"/>
  <c r="EV31" i="25"/>
  <c r="EW31" i="25"/>
  <c r="EW35" i="25"/>
  <c r="EV35" i="25"/>
  <c r="EP23" i="25"/>
  <c r="EU23" i="25" s="1"/>
  <c r="BD38" i="25"/>
  <c r="US29" i="25"/>
  <c r="UR35" i="25"/>
  <c r="W57" i="19"/>
  <c r="M53" i="3"/>
  <c r="GS21" i="25"/>
  <c r="AV21" i="25"/>
  <c r="AU21" i="25"/>
  <c r="AX47" i="25"/>
  <c r="BP47" i="25"/>
  <c r="BO47" i="25" s="1"/>
  <c r="BB47" i="25"/>
  <c r="BD32" i="25"/>
  <c r="AD56" i="19"/>
  <c r="GR66" i="25"/>
  <c r="GS66" i="25"/>
  <c r="SS67" i="25"/>
  <c r="SR67" i="25"/>
  <c r="AD64" i="19"/>
  <c r="BD56" i="25"/>
  <c r="BD57" i="25"/>
  <c r="VS58" i="25"/>
  <c r="VR58" i="25"/>
  <c r="KR67" i="25"/>
  <c r="KS67" i="25"/>
  <c r="IS61" i="25"/>
  <c r="IR61" i="25"/>
  <c r="IR62" i="25"/>
  <c r="IS62" i="25"/>
  <c r="W61" i="19"/>
  <c r="S76" i="42"/>
  <c r="P76" i="3"/>
  <c r="BB61" i="25"/>
  <c r="UR59" i="25"/>
  <c r="US59" i="25"/>
  <c r="TS55" i="25"/>
  <c r="TR55" i="25"/>
  <c r="L77" i="3"/>
  <c r="AX62" i="25"/>
  <c r="AD62" i="19"/>
  <c r="AY62" i="25"/>
  <c r="QR61" i="25"/>
  <c r="QS61" i="25"/>
  <c r="DV62" i="25"/>
  <c r="DU62" i="25"/>
  <c r="KS61" i="25"/>
  <c r="KR61" i="25"/>
  <c r="VR56" i="25"/>
  <c r="VS56" i="25"/>
  <c r="K76" i="3"/>
  <c r="BP61" i="25"/>
  <c r="UR57" i="25"/>
  <c r="US57" i="25"/>
  <c r="K77" i="3"/>
  <c r="BP62" i="25"/>
  <c r="OR61" i="25"/>
  <c r="OS61" i="25"/>
  <c r="US56" i="25"/>
  <c r="UR56" i="25"/>
  <c r="MS62" i="25"/>
  <c r="MR62" i="25"/>
  <c r="O76" i="3"/>
  <c r="BA61" i="25"/>
  <c r="US55" i="25"/>
  <c r="UR55" i="25"/>
  <c r="WR56" i="25"/>
  <c r="WS56" i="25"/>
  <c r="DV58" i="25"/>
  <c r="DU58" i="25"/>
  <c r="L76" i="3"/>
  <c r="AX61" i="25"/>
  <c r="TS57" i="25"/>
  <c r="TR57" i="25"/>
  <c r="DU56" i="25"/>
  <c r="DV56" i="25"/>
  <c r="SR62" i="25"/>
  <c r="SS62" i="25"/>
  <c r="BD62" i="25"/>
  <c r="AW62" i="25"/>
  <c r="N76" i="3"/>
  <c r="AZ61" i="25"/>
  <c r="VS55" i="25"/>
  <c r="VR55" i="25"/>
  <c r="VR62" i="25"/>
  <c r="VS62" i="25"/>
  <c r="DU57" i="25"/>
  <c r="DV57" i="25"/>
  <c r="TS58" i="25"/>
  <c r="TR58" i="25"/>
  <c r="TS59" i="25"/>
  <c r="TR59" i="25"/>
  <c r="OS62" i="25"/>
  <c r="OR62" i="25"/>
  <c r="MS61" i="25"/>
  <c r="MR61" i="25"/>
  <c r="AD61" i="19"/>
  <c r="BD61" i="25"/>
  <c r="AW61" i="25"/>
  <c r="QR62" i="25"/>
  <c r="QS62" i="25"/>
  <c r="OS56" i="25"/>
  <c r="AY61" i="25"/>
  <c r="AD60" i="19"/>
  <c r="US58" i="25"/>
  <c r="UR58" i="25"/>
  <c r="P77" i="3"/>
  <c r="BB62" i="25"/>
  <c r="TS62" i="25"/>
  <c r="TR62" i="25"/>
  <c r="DU61" i="25"/>
  <c r="DV61" i="25"/>
  <c r="SR61" i="25"/>
  <c r="SS61" i="25"/>
  <c r="KR62" i="25"/>
  <c r="KS62" i="25"/>
  <c r="UR62" i="25"/>
  <c r="US62" i="25"/>
  <c r="AD58" i="19"/>
  <c r="BD58" i="25"/>
  <c r="AD59" i="19"/>
  <c r="BD59" i="25"/>
  <c r="W62" i="19"/>
  <c r="N77" i="3"/>
  <c r="AZ62" i="25"/>
  <c r="TS60" i="25"/>
  <c r="TR60" i="25"/>
  <c r="US61" i="25"/>
  <c r="UR61" i="25"/>
  <c r="TS61" i="25"/>
  <c r="TR61" i="25"/>
  <c r="TS56" i="25"/>
  <c r="TR56" i="25"/>
  <c r="O77" i="3"/>
  <c r="BA62" i="25"/>
  <c r="UR60" i="25"/>
  <c r="US60" i="25"/>
  <c r="GR65" i="25"/>
  <c r="GS65" i="25"/>
  <c r="EV68" i="25"/>
  <c r="EW68" i="25"/>
  <c r="OR60" i="25"/>
  <c r="AD66" i="19"/>
  <c r="OR58" i="25"/>
  <c r="SS56" i="25"/>
  <c r="M54" i="3"/>
  <c r="BP22" i="25"/>
  <c r="BO22" i="25" s="1"/>
  <c r="BD36" i="25"/>
  <c r="BP32" i="25"/>
  <c r="BO32" i="25" s="1"/>
  <c r="BP43" i="25"/>
  <c r="BO43" i="25" s="1"/>
  <c r="US25" i="25"/>
  <c r="QR67" i="25"/>
  <c r="QS67" i="25"/>
  <c r="US67" i="25"/>
  <c r="UR67" i="25"/>
  <c r="QS65" i="25"/>
  <c r="QR65" i="25"/>
  <c r="BP55" i="25"/>
  <c r="BO55" i="25" s="1"/>
  <c r="IR68" i="25"/>
  <c r="IS68" i="25"/>
  <c r="OS68" i="25"/>
  <c r="OR68" i="25"/>
  <c r="MS68" i="25"/>
  <c r="MR68" i="25"/>
  <c r="SR68" i="25"/>
  <c r="SS68" i="25"/>
  <c r="MR64" i="25"/>
  <c r="MS64" i="25"/>
  <c r="RR59" i="25"/>
  <c r="RS59" i="25"/>
  <c r="JR60" i="25"/>
  <c r="JS60" i="25"/>
  <c r="NR60" i="25"/>
  <c r="NS60" i="25"/>
  <c r="SR65" i="25"/>
  <c r="SS65" i="25"/>
  <c r="MR63" i="25"/>
  <c r="MS63" i="25"/>
  <c r="PS58" i="25"/>
  <c r="PR58" i="25"/>
  <c r="TS63" i="25"/>
  <c r="TR63" i="25"/>
  <c r="QR66" i="25"/>
  <c r="QS66" i="25"/>
  <c r="HS60" i="25"/>
  <c r="HR60" i="25"/>
  <c r="GR67" i="25"/>
  <c r="GS67" i="25"/>
  <c r="MS67" i="25"/>
  <c r="MR67" i="25"/>
  <c r="OR67" i="25"/>
  <c r="OS67" i="25"/>
  <c r="MS65" i="25"/>
  <c r="MR65" i="25"/>
  <c r="IS65" i="25"/>
  <c r="IR65" i="25"/>
  <c r="KS68" i="25"/>
  <c r="KR68" i="25"/>
  <c r="UR65" i="25"/>
  <c r="US65" i="25"/>
  <c r="UR63" i="25"/>
  <c r="US63" i="25"/>
  <c r="TS67" i="25"/>
  <c r="TR67" i="25"/>
  <c r="WS65" i="25"/>
  <c r="WR65" i="25"/>
  <c r="KR65" i="25"/>
  <c r="KS65" i="25"/>
  <c r="IS64" i="25"/>
  <c r="IR64" i="25"/>
  <c r="KR63" i="25"/>
  <c r="KS63" i="25"/>
  <c r="HS58" i="25"/>
  <c r="HR58" i="25"/>
  <c r="TS66" i="25"/>
  <c r="TR66" i="25"/>
  <c r="KR66" i="25"/>
  <c r="KS66" i="25"/>
  <c r="LR58" i="25"/>
  <c r="LS58" i="25"/>
  <c r="IS67" i="25"/>
  <c r="IR67" i="25"/>
  <c r="US64" i="25"/>
  <c r="UR64" i="25"/>
  <c r="MS66" i="25"/>
  <c r="MR66" i="25"/>
  <c r="HS59" i="25"/>
  <c r="HR59" i="25"/>
  <c r="JS58" i="25"/>
  <c r="JR58" i="25"/>
  <c r="GS68" i="25"/>
  <c r="GR68" i="25"/>
  <c r="UR68" i="25"/>
  <c r="US68" i="25"/>
  <c r="SS63" i="25"/>
  <c r="SR63" i="25"/>
  <c r="LS60" i="25"/>
  <c r="LR60" i="25"/>
  <c r="TS64" i="25"/>
  <c r="TR64" i="25"/>
  <c r="IS66" i="25"/>
  <c r="IR66" i="25"/>
  <c r="NS59" i="25"/>
  <c r="NR59" i="25"/>
  <c r="SR64" i="25"/>
  <c r="SS64" i="25"/>
  <c r="IS63" i="25"/>
  <c r="IR63" i="25"/>
  <c r="JR59" i="25"/>
  <c r="JS59" i="25"/>
  <c r="GR63" i="25"/>
  <c r="GS63" i="25"/>
  <c r="SR66" i="25"/>
  <c r="SS66" i="25"/>
  <c r="LR59" i="25"/>
  <c r="LS59" i="25"/>
  <c r="TS65" i="25"/>
  <c r="TR65" i="25"/>
  <c r="OS64" i="25"/>
  <c r="OR64" i="25"/>
  <c r="PS60" i="25"/>
  <c r="PR60" i="25"/>
  <c r="TR68" i="25"/>
  <c r="TS68" i="25"/>
  <c r="QR68" i="25"/>
  <c r="QS68" i="25"/>
  <c r="UR66" i="25"/>
  <c r="US66" i="25"/>
  <c r="OR63" i="25"/>
  <c r="OS63" i="25"/>
  <c r="RR58" i="25"/>
  <c r="RS58" i="25"/>
  <c r="VR63" i="25"/>
  <c r="VS63" i="25"/>
  <c r="OR65" i="25"/>
  <c r="OS65" i="25"/>
  <c r="VS65" i="25"/>
  <c r="VR65" i="25"/>
  <c r="QR64" i="25"/>
  <c r="QS64" i="25"/>
  <c r="NR58" i="25"/>
  <c r="NS58" i="25"/>
  <c r="WS67" i="25"/>
  <c r="WR67" i="25"/>
  <c r="KS64" i="25"/>
  <c r="KR64" i="25"/>
  <c r="QS63" i="25"/>
  <c r="QR63" i="25"/>
  <c r="PS59" i="25"/>
  <c r="PR59" i="25"/>
  <c r="VS66" i="25"/>
  <c r="VR66" i="25"/>
  <c r="GS64" i="25"/>
  <c r="GR64" i="25"/>
  <c r="OS66" i="25"/>
  <c r="OR66" i="25"/>
  <c r="RR60" i="25"/>
  <c r="RS60" i="25"/>
  <c r="AC63" i="19"/>
  <c r="BD63" i="25"/>
  <c r="I78" i="3"/>
  <c r="AC68" i="19"/>
  <c r="BD68" i="25"/>
  <c r="I83" i="3"/>
  <c r="AD65" i="19"/>
  <c r="AD68" i="19"/>
  <c r="AV66" i="25"/>
  <c r="AV65" i="25"/>
  <c r="AV64" i="25"/>
  <c r="AV68" i="25"/>
  <c r="WS63" i="25"/>
  <c r="WR63" i="25"/>
  <c r="VR68" i="25"/>
  <c r="VS68" i="25"/>
  <c r="WR68" i="25"/>
  <c r="WS68" i="25"/>
  <c r="VR67" i="25"/>
  <c r="VS67" i="25"/>
  <c r="AD67" i="19"/>
  <c r="AC67" i="19"/>
  <c r="BD67" i="25"/>
  <c r="I82" i="3"/>
  <c r="AC65" i="19"/>
  <c r="BD65" i="25"/>
  <c r="I80" i="3"/>
  <c r="AV63" i="25"/>
  <c r="AC64" i="19"/>
  <c r="BD64" i="25"/>
  <c r="I79" i="3"/>
  <c r="AV67" i="25"/>
  <c r="AC66" i="19"/>
  <c r="BD66" i="25"/>
  <c r="I81" i="3"/>
  <c r="VR64" i="25"/>
  <c r="VS64" i="25"/>
  <c r="WR64" i="25"/>
  <c r="WS64" i="25"/>
  <c r="WR66" i="25"/>
  <c r="WS66" i="25"/>
  <c r="BA22" i="25"/>
  <c r="BB26" i="25"/>
  <c r="BP46" i="25"/>
  <c r="BO46" i="25" s="1"/>
  <c r="BD39" i="25"/>
  <c r="AS43" i="25"/>
  <c r="AJ43" i="25" s="1"/>
  <c r="M58" i="42" s="1"/>
  <c r="BD51" i="25"/>
  <c r="Q69" i="3"/>
  <c r="R69" i="3" s="1"/>
  <c r="BD49" i="25"/>
  <c r="BD46" i="25"/>
  <c r="BD35" i="25"/>
  <c r="BD44" i="25"/>
  <c r="BD48" i="25"/>
  <c r="BD45" i="25"/>
  <c r="BD41" i="25"/>
  <c r="AY54" i="25"/>
  <c r="BP54" i="25"/>
  <c r="BO54" i="25" s="1"/>
  <c r="BD34" i="25"/>
  <c r="Q67" i="3"/>
  <c r="R67" i="3" s="1"/>
  <c r="Q68" i="3"/>
  <c r="R68" i="3" s="1"/>
  <c r="BD33" i="25"/>
  <c r="BD37" i="25"/>
  <c r="BD43" i="25"/>
  <c r="BD50" i="25"/>
  <c r="AD32" i="19"/>
  <c r="AD34" i="19"/>
  <c r="AV47" i="25"/>
  <c r="AV51" i="25"/>
  <c r="AS51" i="25" s="1"/>
  <c r="AJ51" i="25" s="1"/>
  <c r="M66" i="42" s="1"/>
  <c r="K64" i="3"/>
  <c r="Q64" i="3" s="1"/>
  <c r="R64" i="3" s="1"/>
  <c r="AD49" i="19"/>
  <c r="K66" i="3"/>
  <c r="AD51" i="19"/>
  <c r="K61" i="3"/>
  <c r="Q61" i="3" s="1"/>
  <c r="R61" i="3" s="1"/>
  <c r="AD46" i="19"/>
  <c r="K59" i="3"/>
  <c r="AD44" i="19"/>
  <c r="AT48" i="25"/>
  <c r="AK48" i="25" s="1"/>
  <c r="O63" i="42" s="1"/>
  <c r="M59" i="3"/>
  <c r="I62" i="3"/>
  <c r="AC47" i="19"/>
  <c r="BD47" i="25"/>
  <c r="K63" i="3"/>
  <c r="Q63" i="3" s="1"/>
  <c r="R63" i="3" s="1"/>
  <c r="AD48" i="19"/>
  <c r="K60" i="3"/>
  <c r="AD45" i="19"/>
  <c r="K62" i="3"/>
  <c r="AD47" i="19"/>
  <c r="M65" i="3"/>
  <c r="AC51" i="19"/>
  <c r="K53" i="3"/>
  <c r="AD38" i="19"/>
  <c r="AD36" i="19"/>
  <c r="AD35" i="19"/>
  <c r="K57" i="3"/>
  <c r="AD42" i="19"/>
  <c r="I55" i="3"/>
  <c r="AC40" i="19"/>
  <c r="AV42" i="25"/>
  <c r="AS42" i="25" s="1"/>
  <c r="AJ42" i="25" s="1"/>
  <c r="M57" i="42" s="1"/>
  <c r="K56" i="3"/>
  <c r="Q56" i="3" s="1"/>
  <c r="R56" i="3" s="1"/>
  <c r="AD41" i="19"/>
  <c r="M57" i="3"/>
  <c r="K54" i="3"/>
  <c r="AD39" i="19"/>
  <c r="K55" i="3"/>
  <c r="AD40" i="19"/>
  <c r="I57" i="3"/>
  <c r="AC42" i="19"/>
  <c r="BD42" i="25"/>
  <c r="M58" i="3"/>
  <c r="AZ22" i="25"/>
  <c r="AY28" i="25"/>
  <c r="BP23" i="25"/>
  <c r="BO23" i="25" s="1"/>
  <c r="HS27" i="25"/>
  <c r="JR20" i="25"/>
  <c r="US22" i="25"/>
  <c r="LS26" i="25"/>
  <c r="HS24" i="25"/>
  <c r="AX28" i="25"/>
  <c r="JR23" i="25"/>
  <c r="NS31" i="25"/>
  <c r="JR29" i="25"/>
  <c r="BA27" i="25"/>
  <c r="JR25" i="25"/>
  <c r="TS28" i="25"/>
  <c r="AX29" i="25"/>
  <c r="NR29" i="25"/>
  <c r="AX26" i="25"/>
  <c r="AZ28" i="25"/>
  <c r="BP31" i="25"/>
  <c r="BO31" i="25" s="1"/>
  <c r="JR27" i="25"/>
  <c r="HS26" i="25"/>
  <c r="AX25" i="25"/>
  <c r="BB23" i="25"/>
  <c r="AZ30" i="25"/>
  <c r="BA21" i="25"/>
  <c r="BD20" i="25"/>
  <c r="BP28" i="25"/>
  <c r="BO28" i="25" s="1"/>
  <c r="BP27" i="25"/>
  <c r="BO27" i="25" s="1"/>
  <c r="NS21" i="25"/>
  <c r="BP24" i="25"/>
  <c r="BO24" i="25" s="1"/>
  <c r="AZ24" i="25"/>
  <c r="AZ23" i="25"/>
  <c r="BB30" i="25"/>
  <c r="BP30" i="25"/>
  <c r="BO30" i="25" s="1"/>
  <c r="BP26" i="25"/>
  <c r="BO26" i="25" s="1"/>
  <c r="BB29" i="25"/>
  <c r="BP29" i="25"/>
  <c r="BO29" i="25" s="1"/>
  <c r="BB20" i="25"/>
  <c r="AD31" i="19"/>
  <c r="AD24" i="19"/>
  <c r="AD26" i="19"/>
  <c r="IG21" i="25"/>
  <c r="IU21" i="25" s="1"/>
  <c r="CN21" i="25" s="1"/>
  <c r="AD28" i="19"/>
  <c r="AD27" i="19"/>
  <c r="BD22" i="25"/>
  <c r="BB25" i="25"/>
  <c r="BA23" i="25"/>
  <c r="AD20" i="19"/>
  <c r="AD23" i="19"/>
  <c r="AD29" i="19"/>
  <c r="AD25" i="19"/>
  <c r="AD22" i="19"/>
  <c r="AD21" i="19"/>
  <c r="BD31" i="25"/>
  <c r="BD28" i="25"/>
  <c r="BD21" i="25"/>
  <c r="BD26" i="25"/>
  <c r="BD27" i="25"/>
  <c r="AC30" i="19"/>
  <c r="BD30" i="25"/>
  <c r="BD24" i="25"/>
  <c r="BD23" i="25"/>
  <c r="BD29" i="25"/>
  <c r="AV20" i="25"/>
  <c r="VS20" i="25"/>
  <c r="BP20" i="25"/>
  <c r="BO20" i="25" s="1"/>
  <c r="LS25" i="25"/>
  <c r="BP25" i="25"/>
  <c r="UR24" i="25"/>
  <c r="TR25" i="25"/>
  <c r="RS57" i="25"/>
  <c r="RR57" i="25"/>
  <c r="LS53" i="25"/>
  <c r="LR53" i="25"/>
  <c r="NR53" i="25"/>
  <c r="NS53" i="25"/>
  <c r="PS57" i="25"/>
  <c r="PR57" i="25"/>
  <c r="HS55" i="25"/>
  <c r="HR55" i="25"/>
  <c r="NR54" i="25"/>
  <c r="NS54" i="25"/>
  <c r="RS56" i="25"/>
  <c r="RR56" i="25"/>
  <c r="HR54" i="25"/>
  <c r="HS54" i="25"/>
  <c r="HR56" i="25"/>
  <c r="HS56" i="25"/>
  <c r="JS55" i="25"/>
  <c r="JR55" i="25"/>
  <c r="LR57" i="25"/>
  <c r="LS57" i="25"/>
  <c r="JS54" i="25"/>
  <c r="JR54" i="25"/>
  <c r="NR57" i="25"/>
  <c r="NS57" i="25"/>
  <c r="LR55" i="25"/>
  <c r="LS55" i="25"/>
  <c r="LS56" i="25"/>
  <c r="LR56" i="25"/>
  <c r="JS56" i="25"/>
  <c r="JR56" i="25"/>
  <c r="NR44" i="25"/>
  <c r="NS44" i="25"/>
  <c r="US46" i="25"/>
  <c r="UR46" i="25"/>
  <c r="HR57" i="25"/>
  <c r="HS57" i="25"/>
  <c r="JS53" i="25"/>
  <c r="JR53" i="25"/>
  <c r="JR41" i="25"/>
  <c r="JS41" i="25"/>
  <c r="HS44" i="25"/>
  <c r="HR44" i="25"/>
  <c r="PS56" i="25"/>
  <c r="PR56" i="25"/>
  <c r="NR55" i="25"/>
  <c r="NS55" i="25"/>
  <c r="JR57" i="25"/>
  <c r="JS57" i="25"/>
  <c r="LR54" i="25"/>
  <c r="LS54" i="25"/>
  <c r="HS53" i="25"/>
  <c r="HR53" i="25"/>
  <c r="NR56" i="25"/>
  <c r="NS56" i="25"/>
  <c r="K58" i="3"/>
  <c r="K65" i="3"/>
  <c r="HR41" i="25"/>
  <c r="HS41" i="25"/>
  <c r="TR50" i="25"/>
  <c r="TS50" i="25"/>
  <c r="TS44" i="25"/>
  <c r="TR44" i="25"/>
  <c r="UR39" i="25"/>
  <c r="US39" i="25"/>
  <c r="NR45" i="25"/>
  <c r="NS45" i="25"/>
  <c r="HR52" i="25"/>
  <c r="HS52" i="25"/>
  <c r="JS40" i="25"/>
  <c r="JR40" i="25"/>
  <c r="TS40" i="25"/>
  <c r="TR40" i="25"/>
  <c r="TR43" i="25"/>
  <c r="TS43" i="25"/>
  <c r="US40" i="25"/>
  <c r="UR40" i="25"/>
  <c r="JS46" i="25"/>
  <c r="JR46" i="25"/>
  <c r="NS41" i="25"/>
  <c r="NR41" i="25"/>
  <c r="NR52" i="25"/>
  <c r="NS52" i="25"/>
  <c r="LR52" i="25"/>
  <c r="LS52" i="25"/>
  <c r="JS52" i="25"/>
  <c r="JR52" i="25"/>
  <c r="LS41" i="25"/>
  <c r="LR41" i="25"/>
  <c r="LR45" i="25"/>
  <c r="LS45" i="25"/>
  <c r="HS46" i="25"/>
  <c r="HR46" i="25"/>
  <c r="HS50" i="25"/>
  <c r="HR50" i="25"/>
  <c r="LR44" i="25"/>
  <c r="LS44" i="25"/>
  <c r="LR43" i="25"/>
  <c r="LS43" i="25"/>
  <c r="US43" i="25"/>
  <c r="UR43" i="25"/>
  <c r="NS42" i="25"/>
  <c r="NR42" i="25"/>
  <c r="JS42" i="25"/>
  <c r="JR42" i="25"/>
  <c r="JS51" i="25"/>
  <c r="JR51" i="25"/>
  <c r="UR44" i="25"/>
  <c r="US44" i="25"/>
  <c r="LS39" i="25"/>
  <c r="LR39" i="25"/>
  <c r="TR39" i="25"/>
  <c r="TS39" i="25"/>
  <c r="HR39" i="25"/>
  <c r="HS39" i="25"/>
  <c r="UR45" i="25"/>
  <c r="US45" i="25"/>
  <c r="LR47" i="25"/>
  <c r="LS47" i="25"/>
  <c r="JR47" i="25"/>
  <c r="JS47" i="25"/>
  <c r="TR45" i="25"/>
  <c r="TS45" i="25"/>
  <c r="NS47" i="25"/>
  <c r="NR47" i="25"/>
  <c r="UR51" i="25"/>
  <c r="US51" i="25"/>
  <c r="NR49" i="25"/>
  <c r="NS49" i="25"/>
  <c r="LR49" i="25"/>
  <c r="LS49" i="25"/>
  <c r="HS49" i="25"/>
  <c r="HR49" i="25"/>
  <c r="LR50" i="25"/>
  <c r="LS50" i="25"/>
  <c r="JR50" i="25"/>
  <c r="JS50" i="25"/>
  <c r="HS51" i="25"/>
  <c r="HR51" i="25"/>
  <c r="NS46" i="25"/>
  <c r="NR46" i="25"/>
  <c r="TR46" i="25"/>
  <c r="TS46" i="25"/>
  <c r="LR51" i="25"/>
  <c r="LS51" i="25"/>
  <c r="LR46" i="25"/>
  <c r="LS46" i="25"/>
  <c r="TR51" i="25"/>
  <c r="TS51" i="25"/>
  <c r="HR38" i="25"/>
  <c r="HS38" i="25"/>
  <c r="NS38" i="25"/>
  <c r="NR38" i="25"/>
  <c r="US49" i="25"/>
  <c r="UR49" i="25"/>
  <c r="HR45" i="25"/>
  <c r="HS45" i="25"/>
  <c r="TR49" i="25"/>
  <c r="TS49" i="25"/>
  <c r="NS51" i="25"/>
  <c r="NR51" i="25"/>
  <c r="NR40" i="25"/>
  <c r="NS40" i="25"/>
  <c r="LR42" i="25"/>
  <c r="LS42" i="25"/>
  <c r="NS39" i="25"/>
  <c r="NR39" i="25"/>
  <c r="UR50" i="25"/>
  <c r="US50" i="25"/>
  <c r="HS40" i="25"/>
  <c r="HR40" i="25"/>
  <c r="US41" i="25"/>
  <c r="UR41" i="25"/>
  <c r="HS43" i="25"/>
  <c r="HR43" i="25"/>
  <c r="JS45" i="25"/>
  <c r="JR45" i="25"/>
  <c r="NS50" i="25"/>
  <c r="NR50" i="25"/>
  <c r="TS42" i="25"/>
  <c r="TR42" i="25"/>
  <c r="US48" i="25"/>
  <c r="UR48" i="25"/>
  <c r="TS48" i="25"/>
  <c r="TR48" i="25"/>
  <c r="HR42" i="25"/>
  <c r="HS42" i="25"/>
  <c r="JR44" i="25"/>
  <c r="JS44" i="25"/>
  <c r="TS41" i="25"/>
  <c r="TR41" i="25"/>
  <c r="LR38" i="25"/>
  <c r="LS38" i="25"/>
  <c r="JR38" i="25"/>
  <c r="JS38" i="25"/>
  <c r="US42" i="25"/>
  <c r="UR42" i="25"/>
  <c r="US47" i="25"/>
  <c r="UR47" i="25"/>
  <c r="JR39" i="25"/>
  <c r="JS39" i="25"/>
  <c r="JR49" i="25"/>
  <c r="JS49" i="25"/>
  <c r="NR43" i="25"/>
  <c r="NS43" i="25"/>
  <c r="HS47" i="25"/>
  <c r="HR47" i="25"/>
  <c r="TR47" i="25"/>
  <c r="TS47" i="25"/>
  <c r="AE48" i="19"/>
  <c r="S63" i="42"/>
  <c r="U63" i="42"/>
  <c r="Q50" i="3"/>
  <c r="R50" i="3" s="1"/>
  <c r="AY24" i="25"/>
  <c r="AY27" i="25"/>
  <c r="AY35" i="25"/>
  <c r="AY29" i="25"/>
  <c r="AY31" i="25"/>
  <c r="HS25" i="25"/>
  <c r="HR25" i="25"/>
  <c r="JS21" i="25"/>
  <c r="JR21" i="25"/>
  <c r="NS24" i="25"/>
  <c r="NR24" i="25"/>
  <c r="JR26" i="25"/>
  <c r="JS26" i="25"/>
  <c r="HR23" i="25"/>
  <c r="HS23" i="25"/>
  <c r="NS27" i="25"/>
  <c r="NR27" i="25"/>
  <c r="NR23" i="25"/>
  <c r="NS23" i="25"/>
  <c r="NR28" i="25"/>
  <c r="NS28" i="25"/>
  <c r="AE53" i="19"/>
  <c r="Q44" i="3"/>
  <c r="R44" i="3" s="1"/>
  <c r="AE44" i="19"/>
  <c r="AE33" i="19"/>
  <c r="AE42" i="19"/>
  <c r="AE41" i="19"/>
  <c r="AE45" i="19"/>
  <c r="AE34" i="19"/>
  <c r="CQ21" i="25"/>
  <c r="DA21" i="25"/>
  <c r="OH21" i="25"/>
  <c r="OJ21" i="25" s="1"/>
  <c r="OK21" i="25" s="1"/>
  <c r="OL21" i="25" s="1"/>
  <c r="CO21" i="25"/>
  <c r="CY21" i="25"/>
  <c r="KH21" i="25"/>
  <c r="KJ21" i="25" s="1"/>
  <c r="KK21" i="25" s="1"/>
  <c r="KL21" i="25" s="1"/>
  <c r="CP21" i="25"/>
  <c r="CZ21" i="25"/>
  <c r="MH21" i="25"/>
  <c r="MJ21" i="25" s="1"/>
  <c r="MK21" i="25" s="1"/>
  <c r="ML21" i="25" s="1"/>
  <c r="AY26" i="25"/>
  <c r="AY25" i="25"/>
  <c r="UR23" i="25"/>
  <c r="TS24" i="25"/>
  <c r="TS26" i="25"/>
  <c r="AY22" i="25"/>
  <c r="BT100" i="25"/>
  <c r="AX100" i="25" s="1"/>
  <c r="JQ100" i="25"/>
  <c r="BW103" i="25"/>
  <c r="BA103" i="25" s="1"/>
  <c r="PQ103" i="25"/>
  <c r="IS102" i="25"/>
  <c r="IR102" i="25"/>
  <c r="NQ93" i="25"/>
  <c r="BV93" i="25"/>
  <c r="AZ93" i="25" s="1"/>
  <c r="TR100" i="25"/>
  <c r="TS100" i="25"/>
  <c r="QR103" i="25"/>
  <c r="QS103" i="25"/>
  <c r="UR101" i="25"/>
  <c r="US101" i="25"/>
  <c r="EV101" i="25"/>
  <c r="EW101" i="25"/>
  <c r="BT102" i="25"/>
  <c r="AX102" i="25" s="1"/>
  <c r="JQ102" i="25"/>
  <c r="BU103" i="25"/>
  <c r="AY103" i="25" s="1"/>
  <c r="LQ103" i="25"/>
  <c r="US75" i="25"/>
  <c r="UR75" i="25"/>
  <c r="BX102" i="25"/>
  <c r="BB102" i="25" s="1"/>
  <c r="RQ102" i="25"/>
  <c r="DT103" i="25"/>
  <c r="MS102" i="25"/>
  <c r="MR102" i="25"/>
  <c r="US86" i="25"/>
  <c r="UR86" i="25"/>
  <c r="MR83" i="25"/>
  <c r="MS83" i="25"/>
  <c r="BS100" i="25"/>
  <c r="HQ100" i="25"/>
  <c r="BX103" i="25"/>
  <c r="BB103" i="25" s="1"/>
  <c r="RQ103" i="25"/>
  <c r="BX100" i="25"/>
  <c r="BB100" i="25" s="1"/>
  <c r="RQ100" i="25"/>
  <c r="TR99" i="25"/>
  <c r="TS99" i="25"/>
  <c r="TR103" i="25"/>
  <c r="TS103" i="25"/>
  <c r="IR103" i="25"/>
  <c r="IS103" i="25"/>
  <c r="QR89" i="25"/>
  <c r="QS89" i="25"/>
  <c r="EW86" i="25"/>
  <c r="EV86" i="25"/>
  <c r="EV63" i="25"/>
  <c r="EW63" i="25"/>
  <c r="EW76" i="25"/>
  <c r="EV76" i="25"/>
  <c r="PR79" i="25"/>
  <c r="PS79" i="25"/>
  <c r="AW102" i="25"/>
  <c r="DU90" i="25"/>
  <c r="DV90" i="25"/>
  <c r="PS81" i="25"/>
  <c r="PR81" i="25"/>
  <c r="RS81" i="25"/>
  <c r="RR81" i="25"/>
  <c r="NR85" i="25"/>
  <c r="NS85" i="25"/>
  <c r="HR85" i="25"/>
  <c r="HS85" i="25"/>
  <c r="NS65" i="25"/>
  <c r="NR65" i="25"/>
  <c r="LR72" i="25"/>
  <c r="LS72" i="25"/>
  <c r="RR98" i="25"/>
  <c r="RS98" i="25"/>
  <c r="AU99" i="25"/>
  <c r="S114" i="42" s="1"/>
  <c r="AW67" i="25"/>
  <c r="K82" i="3"/>
  <c r="BP67" i="25"/>
  <c r="BP96" i="25"/>
  <c r="AE96" i="19" s="1"/>
  <c r="AW96" i="25"/>
  <c r="U111" i="42" s="1"/>
  <c r="AU64" i="25"/>
  <c r="BP78" i="25"/>
  <c r="AE78" i="19" s="1"/>
  <c r="AW78" i="25"/>
  <c r="U93" i="42" s="1"/>
  <c r="BA71" i="25"/>
  <c r="O86" i="3"/>
  <c r="AU95" i="25"/>
  <c r="S110" i="42" s="1"/>
  <c r="AU89" i="25"/>
  <c r="S104" i="42" s="1"/>
  <c r="FS102" i="25"/>
  <c r="FR102" i="25"/>
  <c r="BP89" i="25"/>
  <c r="AE89" i="19" s="1"/>
  <c r="AW89" i="25"/>
  <c r="U104" i="42" s="1"/>
  <c r="AU80" i="25"/>
  <c r="S95" i="42" s="1"/>
  <c r="FR66" i="25"/>
  <c r="FS66" i="25"/>
  <c r="NS80" i="25"/>
  <c r="NR80" i="25"/>
  <c r="PS69" i="25"/>
  <c r="PR69" i="25"/>
  <c r="JR76" i="25"/>
  <c r="JS76" i="25"/>
  <c r="EV99" i="25"/>
  <c r="EW99" i="25"/>
  <c r="RR79" i="25"/>
  <c r="RS79" i="25"/>
  <c r="DU81" i="25"/>
  <c r="DV81" i="25"/>
  <c r="BP81" i="25"/>
  <c r="AE81" i="19" s="1"/>
  <c r="AW81" i="25"/>
  <c r="U96" i="42" s="1"/>
  <c r="AW72" i="25"/>
  <c r="U87" i="42" s="1"/>
  <c r="BP72" i="25"/>
  <c r="AE72" i="19" s="1"/>
  <c r="K87" i="3"/>
  <c r="Q87" i="3" s="1"/>
  <c r="R87" i="3" s="1"/>
  <c r="DU77" i="25"/>
  <c r="DV77" i="25"/>
  <c r="HS91" i="25"/>
  <c r="HR91" i="25"/>
  <c r="LR84" i="25"/>
  <c r="LS84" i="25"/>
  <c r="LR93" i="25"/>
  <c r="LS93" i="25"/>
  <c r="RS92" i="25"/>
  <c r="RR92" i="25"/>
  <c r="LS92" i="25"/>
  <c r="LR92" i="25"/>
  <c r="NS103" i="25"/>
  <c r="NR103" i="25"/>
  <c r="FS85" i="25"/>
  <c r="FR85" i="25"/>
  <c r="JR67" i="25"/>
  <c r="JS67" i="25"/>
  <c r="PR96" i="25"/>
  <c r="PS96" i="25"/>
  <c r="RR96" i="25"/>
  <c r="RS96" i="25"/>
  <c r="RS99" i="25"/>
  <c r="RR99" i="25"/>
  <c r="PS70" i="25"/>
  <c r="PR70" i="25"/>
  <c r="NR73" i="25"/>
  <c r="NS73" i="25"/>
  <c r="PR77" i="25"/>
  <c r="PS77" i="25"/>
  <c r="AU73" i="25"/>
  <c r="DU67" i="25"/>
  <c r="DV67" i="25"/>
  <c r="PR87" i="25"/>
  <c r="PS87" i="25"/>
  <c r="AU66" i="25"/>
  <c r="K79" i="3"/>
  <c r="AW64" i="25"/>
  <c r="BP64" i="25"/>
  <c r="AZ64" i="25"/>
  <c r="N79" i="3"/>
  <c r="AW66" i="25"/>
  <c r="K81" i="3"/>
  <c r="BP66" i="25"/>
  <c r="AU79" i="25"/>
  <c r="S94" i="42" s="1"/>
  <c r="AY69" i="25"/>
  <c r="M84" i="3"/>
  <c r="AY74" i="25"/>
  <c r="M89" i="3"/>
  <c r="BB76" i="25"/>
  <c r="P91" i="3"/>
  <c r="BA63" i="25"/>
  <c r="O78" i="3"/>
  <c r="EV67" i="25"/>
  <c r="EW67" i="25"/>
  <c r="AU75" i="25"/>
  <c r="AY65" i="25"/>
  <c r="M80" i="3"/>
  <c r="AZ72" i="25"/>
  <c r="N87" i="3"/>
  <c r="FR72" i="25"/>
  <c r="FS72" i="25"/>
  <c r="PR99" i="25"/>
  <c r="PS99" i="25"/>
  <c r="DV69" i="25"/>
  <c r="DU69" i="25"/>
  <c r="FR63" i="25"/>
  <c r="FS63" i="25"/>
  <c r="FR91" i="25"/>
  <c r="FS91" i="25"/>
  <c r="RS73" i="25"/>
  <c r="RR73" i="25"/>
  <c r="LR73" i="25"/>
  <c r="LS73" i="25"/>
  <c r="LR77" i="25"/>
  <c r="LS77" i="25"/>
  <c r="HR77" i="25"/>
  <c r="HS77" i="25"/>
  <c r="DV96" i="25"/>
  <c r="DU96" i="25"/>
  <c r="RS86" i="25"/>
  <c r="RR86" i="25"/>
  <c r="NS97" i="25"/>
  <c r="NR97" i="25"/>
  <c r="NR83" i="25"/>
  <c r="NS83" i="25"/>
  <c r="RR68" i="25"/>
  <c r="RS68" i="25"/>
  <c r="JS68" i="25"/>
  <c r="JR68" i="25"/>
  <c r="HR87" i="25"/>
  <c r="HS87" i="25"/>
  <c r="AU76" i="25"/>
  <c r="AZ66" i="25"/>
  <c r="N81" i="3"/>
  <c r="BB69" i="25"/>
  <c r="P84" i="3"/>
  <c r="AZ74" i="25"/>
  <c r="N89" i="3"/>
  <c r="EV97" i="25"/>
  <c r="EW97" i="25"/>
  <c r="LS101" i="25"/>
  <c r="LR101" i="25"/>
  <c r="LR102" i="25"/>
  <c r="LS102" i="25"/>
  <c r="BB75" i="25"/>
  <c r="P90" i="3"/>
  <c r="BP65" i="25"/>
  <c r="AW65" i="25"/>
  <c r="K80" i="3"/>
  <c r="BP94" i="25"/>
  <c r="AE94" i="19" s="1"/>
  <c r="AW94" i="25"/>
  <c r="U109" i="42" s="1"/>
  <c r="DU86" i="25"/>
  <c r="DV86" i="25"/>
  <c r="JR92" i="25"/>
  <c r="JS92" i="25"/>
  <c r="PR92" i="25"/>
  <c r="PS92" i="25"/>
  <c r="FS99" i="25"/>
  <c r="FR99" i="25"/>
  <c r="LR67" i="25"/>
  <c r="LS67" i="25"/>
  <c r="FR64" i="25"/>
  <c r="FS64" i="25"/>
  <c r="NR99" i="25"/>
  <c r="NS99" i="25"/>
  <c r="JS70" i="25"/>
  <c r="JR70" i="25"/>
  <c r="NS70" i="25"/>
  <c r="NR70" i="25"/>
  <c r="RR90" i="25"/>
  <c r="RS90" i="25"/>
  <c r="JS95" i="25"/>
  <c r="JR95" i="25"/>
  <c r="RS95" i="25"/>
  <c r="RR95" i="25"/>
  <c r="HR73" i="25"/>
  <c r="HS73" i="25"/>
  <c r="JR73" i="25"/>
  <c r="JS73" i="25"/>
  <c r="JR77" i="25"/>
  <c r="JS77" i="25"/>
  <c r="RS82" i="25"/>
  <c r="RR82" i="25"/>
  <c r="FR96" i="25"/>
  <c r="FS96" i="25"/>
  <c r="JR86" i="25"/>
  <c r="JS86" i="25"/>
  <c r="DV98" i="25"/>
  <c r="DU98" i="25"/>
  <c r="PR68" i="25"/>
  <c r="PS68" i="25"/>
  <c r="JS87" i="25"/>
  <c r="JR87" i="25"/>
  <c r="DV94" i="25"/>
  <c r="DU94" i="25"/>
  <c r="LS80" i="25"/>
  <c r="LR80" i="25"/>
  <c r="RR66" i="25"/>
  <c r="RS66" i="25"/>
  <c r="JS69" i="25"/>
  <c r="JR69" i="25"/>
  <c r="PR74" i="25"/>
  <c r="PS74" i="25"/>
  <c r="NS76" i="25"/>
  <c r="NR76" i="25"/>
  <c r="HR76" i="25"/>
  <c r="HS76" i="25"/>
  <c r="EV81" i="25"/>
  <c r="EW81" i="25"/>
  <c r="EW69" i="25"/>
  <c r="EV69" i="25"/>
  <c r="EV70" i="25"/>
  <c r="EW70" i="25"/>
  <c r="JS101" i="25"/>
  <c r="JR101" i="25"/>
  <c r="HR102" i="25"/>
  <c r="HS102" i="25"/>
  <c r="AU90" i="25"/>
  <c r="BP85" i="25"/>
  <c r="AE85" i="19" s="1"/>
  <c r="AW85" i="25"/>
  <c r="U100" i="42" s="1"/>
  <c r="AZ65" i="25"/>
  <c r="N80" i="3"/>
  <c r="AY72" i="25"/>
  <c r="M87" i="3"/>
  <c r="HR84" i="25"/>
  <c r="HS84" i="25"/>
  <c r="RR93" i="25"/>
  <c r="RS93" i="25"/>
  <c r="PS93" i="25"/>
  <c r="PR93" i="25"/>
  <c r="DV97" i="25"/>
  <c r="DU97" i="25"/>
  <c r="LS96" i="25"/>
  <c r="LR96" i="25"/>
  <c r="HS99" i="25"/>
  <c r="HR99" i="25"/>
  <c r="LS70" i="25"/>
  <c r="LR70" i="25"/>
  <c r="NR90" i="25"/>
  <c r="NS90" i="25"/>
  <c r="LS90" i="25"/>
  <c r="LR90" i="25"/>
  <c r="HS95" i="25"/>
  <c r="HR95" i="25"/>
  <c r="HS71" i="25"/>
  <c r="HR71" i="25"/>
  <c r="NS71" i="25"/>
  <c r="NR71" i="25"/>
  <c r="NR82" i="25"/>
  <c r="NS82" i="25"/>
  <c r="PR82" i="25"/>
  <c r="PS82" i="25"/>
  <c r="FR74" i="25"/>
  <c r="FS74" i="25"/>
  <c r="HS97" i="25"/>
  <c r="HR97" i="25"/>
  <c r="LS97" i="25"/>
  <c r="LR97" i="25"/>
  <c r="DU78" i="25"/>
  <c r="DV78" i="25"/>
  <c r="AU102" i="25"/>
  <c r="S117" i="42" s="1"/>
  <c r="DV87" i="25"/>
  <c r="DU87" i="25"/>
  <c r="LQ89" i="25"/>
  <c r="BU89" i="25"/>
  <c r="AY89" i="25" s="1"/>
  <c r="JS89" i="25"/>
  <c r="JR89" i="25"/>
  <c r="DV70" i="25"/>
  <c r="DU70" i="25"/>
  <c r="HR68" i="25"/>
  <c r="HS68" i="25"/>
  <c r="FR80" i="25"/>
  <c r="FS80" i="25"/>
  <c r="FS94" i="25"/>
  <c r="FR94" i="25"/>
  <c r="BA69" i="25"/>
  <c r="O84" i="3"/>
  <c r="AX76" i="25"/>
  <c r="L91" i="3"/>
  <c r="EV75" i="25"/>
  <c r="EW75" i="25"/>
  <c r="AU81" i="25"/>
  <c r="S96" i="42" s="1"/>
  <c r="BS101" i="25"/>
  <c r="HQ101" i="25"/>
  <c r="NS81" i="25"/>
  <c r="NR81" i="25"/>
  <c r="FR65" i="25"/>
  <c r="FS65" i="25"/>
  <c r="NR75" i="25"/>
  <c r="NS75" i="25"/>
  <c r="JR85" i="25"/>
  <c r="JS85" i="25"/>
  <c r="PR65" i="25"/>
  <c r="PS65" i="25"/>
  <c r="RS94" i="25"/>
  <c r="RR94" i="25"/>
  <c r="LS94" i="25"/>
  <c r="LR94" i="25"/>
  <c r="AU77" i="25"/>
  <c r="S92" i="42" s="1"/>
  <c r="BP91" i="25"/>
  <c r="AE91" i="19" s="1"/>
  <c r="AW91" i="25"/>
  <c r="U106" i="42" s="1"/>
  <c r="AX67" i="25"/>
  <c r="L82" i="3"/>
  <c r="BA70" i="25"/>
  <c r="O85" i="3"/>
  <c r="AZ73" i="25"/>
  <c r="N88" i="3"/>
  <c r="BA77" i="25"/>
  <c r="O92" i="3"/>
  <c r="NS86" i="25"/>
  <c r="NR86" i="25"/>
  <c r="PR97" i="25"/>
  <c r="PS97" i="25"/>
  <c r="FR73" i="25"/>
  <c r="FS73" i="25"/>
  <c r="FS89" i="25"/>
  <c r="FR89" i="25"/>
  <c r="RS83" i="25"/>
  <c r="RR83" i="25"/>
  <c r="JS83" i="25"/>
  <c r="JR83" i="25"/>
  <c r="AU67" i="25"/>
  <c r="JS66" i="25"/>
  <c r="JR66" i="25"/>
  <c r="LR76" i="25"/>
  <c r="LS76" i="25"/>
  <c r="JR63" i="25"/>
  <c r="JS63" i="25"/>
  <c r="EV92" i="25"/>
  <c r="EW92" i="25"/>
  <c r="HS79" i="25"/>
  <c r="HR79" i="25"/>
  <c r="KR102" i="25"/>
  <c r="KS102" i="25"/>
  <c r="DU65" i="25"/>
  <c r="DV65" i="25"/>
  <c r="LR75" i="25"/>
  <c r="LS75" i="25"/>
  <c r="JS72" i="25"/>
  <c r="JR72" i="25"/>
  <c r="RS72" i="25"/>
  <c r="RR72" i="25"/>
  <c r="JS98" i="25"/>
  <c r="JR98" i="25"/>
  <c r="FR71" i="25"/>
  <c r="FS71" i="25"/>
  <c r="JS91" i="25"/>
  <c r="JR91" i="25"/>
  <c r="FS86" i="25"/>
  <c r="FR86" i="25"/>
  <c r="RS84" i="25"/>
  <c r="RR84" i="25"/>
  <c r="AU69" i="25"/>
  <c r="DU68" i="25"/>
  <c r="DV68" i="25"/>
  <c r="BB73" i="25"/>
  <c r="P88" i="3"/>
  <c r="AY73" i="25"/>
  <c r="M88" i="3"/>
  <c r="AY77" i="25"/>
  <c r="M92" i="3"/>
  <c r="BP77" i="25"/>
  <c r="AE77" i="19" s="1"/>
  <c r="K92" i="3"/>
  <c r="Q92" i="3" s="1"/>
  <c r="R92" i="3" s="1"/>
  <c r="AW77" i="25"/>
  <c r="U92" i="42" s="1"/>
  <c r="AU96" i="25"/>
  <c r="S111" i="42" s="1"/>
  <c r="FQ100" i="25"/>
  <c r="BF100" i="25"/>
  <c r="BB68" i="25"/>
  <c r="P83" i="3"/>
  <c r="AX68" i="25"/>
  <c r="L83" i="3"/>
  <c r="BP87" i="25"/>
  <c r="AE87" i="19" s="1"/>
  <c r="AW87" i="25"/>
  <c r="U102" i="42" s="1"/>
  <c r="HS80" i="25"/>
  <c r="HR80" i="25"/>
  <c r="RS64" i="25"/>
  <c r="RR64" i="25"/>
  <c r="LS66" i="25"/>
  <c r="LR66" i="25"/>
  <c r="HS69" i="25"/>
  <c r="HR69" i="25"/>
  <c r="HR74" i="25"/>
  <c r="HS74" i="25"/>
  <c r="LS63" i="25"/>
  <c r="LR63" i="25"/>
  <c r="DT101" i="25"/>
  <c r="EV102" i="25"/>
  <c r="EW102" i="25"/>
  <c r="FS81" i="25"/>
  <c r="FR81" i="25"/>
  <c r="BV102" i="25"/>
  <c r="AZ102" i="25" s="1"/>
  <c r="NQ102" i="25"/>
  <c r="FR75" i="25"/>
  <c r="FS75" i="25"/>
  <c r="JR75" i="25"/>
  <c r="JS75" i="25"/>
  <c r="PR85" i="25"/>
  <c r="PS85" i="25"/>
  <c r="PR72" i="25"/>
  <c r="PS72" i="25"/>
  <c r="NR94" i="25"/>
  <c r="NS94" i="25"/>
  <c r="DU92" i="25"/>
  <c r="DV92" i="25"/>
  <c r="DV71" i="25"/>
  <c r="DU71" i="25"/>
  <c r="NQ91" i="25"/>
  <c r="BV91" i="25"/>
  <c r="AZ91" i="25" s="1"/>
  <c r="RR91" i="25"/>
  <c r="RS91" i="25"/>
  <c r="AU86" i="25"/>
  <c r="S101" i="42" s="1"/>
  <c r="BS103" i="25"/>
  <c r="HQ103" i="25"/>
  <c r="M82" i="3"/>
  <c r="AY67" i="25"/>
  <c r="AX70" i="25"/>
  <c r="L85" i="3"/>
  <c r="AZ70" i="25"/>
  <c r="N85" i="3"/>
  <c r="FS84" i="25"/>
  <c r="FR84" i="25"/>
  <c r="K88" i="3"/>
  <c r="Q88" i="3" s="1"/>
  <c r="R88" i="3" s="1"/>
  <c r="AW73" i="25"/>
  <c r="U88" i="42" s="1"/>
  <c r="BP73" i="25"/>
  <c r="AE73" i="19" s="1"/>
  <c r="AX73" i="25"/>
  <c r="L88" i="3"/>
  <c r="AX77" i="25"/>
  <c r="L92" i="3"/>
  <c r="AU98" i="25"/>
  <c r="S113" i="42" s="1"/>
  <c r="BA68" i="25"/>
  <c r="O83" i="3"/>
  <c r="AU94" i="25"/>
  <c r="S109" i="42" s="1"/>
  <c r="BB66" i="25"/>
  <c r="P81" i="3"/>
  <c r="AX69" i="25"/>
  <c r="L84" i="3"/>
  <c r="BA74" i="25"/>
  <c r="O89" i="3"/>
  <c r="AZ76" i="25"/>
  <c r="N91" i="3"/>
  <c r="AW76" i="25"/>
  <c r="U91" i="42" s="1"/>
  <c r="BP76" i="25"/>
  <c r="AE76" i="19" s="1"/>
  <c r="K91" i="3"/>
  <c r="Q91" i="3" s="1"/>
  <c r="R91" i="3" s="1"/>
  <c r="EV64" i="25"/>
  <c r="EW64" i="25"/>
  <c r="EW100" i="25"/>
  <c r="EV100" i="25"/>
  <c r="FR90" i="25"/>
  <c r="FS90" i="25"/>
  <c r="JR81" i="25"/>
  <c r="JS81" i="25"/>
  <c r="PR75" i="25"/>
  <c r="PS75" i="25"/>
  <c r="HR75" i="25"/>
  <c r="HS75" i="25"/>
  <c r="RS85" i="25"/>
  <c r="RR85" i="25"/>
  <c r="RR65" i="25"/>
  <c r="RS65" i="25"/>
  <c r="JR65" i="25"/>
  <c r="JS65" i="25"/>
  <c r="JS94" i="25"/>
  <c r="JR94" i="25"/>
  <c r="PS94" i="25"/>
  <c r="PR94" i="25"/>
  <c r="HS98" i="25"/>
  <c r="HR98" i="25"/>
  <c r="BP84" i="25"/>
  <c r="AE84" i="19" s="1"/>
  <c r="AW84" i="25"/>
  <c r="U99" i="42" s="1"/>
  <c r="AU97" i="25"/>
  <c r="AW99" i="25"/>
  <c r="U114" i="42" s="1"/>
  <c r="BP99" i="25"/>
  <c r="AE99" i="19" s="1"/>
  <c r="AY70" i="25"/>
  <c r="M85" i="3"/>
  <c r="BP95" i="25"/>
  <c r="AE95" i="19" s="1"/>
  <c r="AW95" i="25"/>
  <c r="U110" i="42" s="1"/>
  <c r="AW71" i="25"/>
  <c r="K86" i="3"/>
  <c r="BP71" i="25"/>
  <c r="AZ71" i="25"/>
  <c r="N86" i="3"/>
  <c r="BP97" i="25"/>
  <c r="AE97" i="19" s="1"/>
  <c r="AW97" i="25"/>
  <c r="U112" i="42" s="1"/>
  <c r="AU78" i="25"/>
  <c r="S93" i="42" s="1"/>
  <c r="DU102" i="25"/>
  <c r="DV102" i="25"/>
  <c r="AU87" i="25"/>
  <c r="S102" i="42" s="1"/>
  <c r="AU70" i="25"/>
  <c r="AW68" i="25"/>
  <c r="BP68" i="25"/>
  <c r="K83" i="3"/>
  <c r="FR76" i="25"/>
  <c r="FS76" i="25"/>
  <c r="JR80" i="25"/>
  <c r="JS80" i="25"/>
  <c r="PS64" i="25"/>
  <c r="PR64" i="25"/>
  <c r="JS64" i="25"/>
  <c r="JR64" i="25"/>
  <c r="PS66" i="25"/>
  <c r="PR66" i="25"/>
  <c r="FS79" i="25"/>
  <c r="FR79" i="25"/>
  <c r="NS69" i="25"/>
  <c r="NR69" i="25"/>
  <c r="RR74" i="25"/>
  <c r="RS74" i="25"/>
  <c r="JS74" i="25"/>
  <c r="JR74" i="25"/>
  <c r="PS76" i="25"/>
  <c r="PR76" i="25"/>
  <c r="RS63" i="25"/>
  <c r="RR63" i="25"/>
  <c r="LR79" i="25"/>
  <c r="LS79" i="25"/>
  <c r="PS100" i="25"/>
  <c r="PR100" i="25"/>
  <c r="AZ75" i="25"/>
  <c r="N90" i="3"/>
  <c r="BA65" i="25"/>
  <c r="O80" i="3"/>
  <c r="NS84" i="25"/>
  <c r="NR84" i="25"/>
  <c r="HS93" i="25"/>
  <c r="HR93" i="25"/>
  <c r="NR67" i="25"/>
  <c r="NS67" i="25"/>
  <c r="RS67" i="25"/>
  <c r="RR67" i="25"/>
  <c r="NR96" i="25"/>
  <c r="NS96" i="25"/>
  <c r="JS99" i="25"/>
  <c r="JR99" i="25"/>
  <c r="FS82" i="25"/>
  <c r="FR82" i="25"/>
  <c r="RS78" i="25"/>
  <c r="RR78" i="25"/>
  <c r="PR73" i="25"/>
  <c r="PS73" i="25"/>
  <c r="JR71" i="25"/>
  <c r="JS71" i="25"/>
  <c r="RR77" i="25"/>
  <c r="RS77" i="25"/>
  <c r="LS82" i="25"/>
  <c r="LR82" i="25"/>
  <c r="X88" i="19"/>
  <c r="AR88" i="25"/>
  <c r="PR89" i="25"/>
  <c r="PS89" i="25"/>
  <c r="NS89" i="25"/>
  <c r="NR89" i="25"/>
  <c r="LR68" i="25"/>
  <c r="LS68" i="25"/>
  <c r="NS87" i="25"/>
  <c r="NR87" i="25"/>
  <c r="AX66" i="25"/>
  <c r="L81" i="3"/>
  <c r="AY76" i="25"/>
  <c r="M91" i="3"/>
  <c r="AX63" i="25"/>
  <c r="L78" i="3"/>
  <c r="EW65" i="25"/>
  <c r="EV65" i="25"/>
  <c r="AW79" i="25"/>
  <c r="U94" i="42" s="1"/>
  <c r="BP79" i="25"/>
  <c r="AE79" i="19" s="1"/>
  <c r="RS101" i="25"/>
  <c r="RR101" i="25"/>
  <c r="AU65" i="25"/>
  <c r="M90" i="3"/>
  <c r="AY75" i="25"/>
  <c r="AX72" i="25"/>
  <c r="L87" i="3"/>
  <c r="BB72" i="25"/>
  <c r="P87" i="3"/>
  <c r="PS67" i="25"/>
  <c r="PR67" i="25"/>
  <c r="LS99" i="25"/>
  <c r="LR99" i="25"/>
  <c r="RR70" i="25"/>
  <c r="RS70" i="25"/>
  <c r="HR90" i="25"/>
  <c r="HS90" i="25"/>
  <c r="DV63" i="25"/>
  <c r="DU63" i="25"/>
  <c r="DU84" i="25"/>
  <c r="DV84" i="25"/>
  <c r="FR93" i="25"/>
  <c r="FS93" i="25"/>
  <c r="AU68" i="25"/>
  <c r="LS71" i="25"/>
  <c r="LR71" i="25"/>
  <c r="NR77" i="25"/>
  <c r="NS77" i="25"/>
  <c r="HS82" i="25"/>
  <c r="HR82" i="25"/>
  <c r="HR86" i="25"/>
  <c r="HS86" i="25"/>
  <c r="RS97" i="25"/>
  <c r="RR97" i="25"/>
  <c r="FS95" i="25"/>
  <c r="FR95" i="25"/>
  <c r="HR83" i="25"/>
  <c r="HS83" i="25"/>
  <c r="LS83" i="25"/>
  <c r="LR83" i="25"/>
  <c r="NS68" i="25"/>
  <c r="NR68" i="25"/>
  <c r="AW80" i="25"/>
  <c r="U95" i="42" s="1"/>
  <c r="BP80" i="25"/>
  <c r="AE80" i="19" s="1"/>
  <c r="BB64" i="25"/>
  <c r="P79" i="3"/>
  <c r="AY66" i="25"/>
  <c r="M81" i="3"/>
  <c r="BP69" i="25"/>
  <c r="AW69" i="25"/>
  <c r="K84" i="3"/>
  <c r="AW74" i="25"/>
  <c r="U89" i="42" s="1"/>
  <c r="BP74" i="25"/>
  <c r="AE74" i="19" s="1"/>
  <c r="K89" i="3"/>
  <c r="Q89" i="3" s="1"/>
  <c r="R89" i="3" s="1"/>
  <c r="AY63" i="25"/>
  <c r="M78" i="3"/>
  <c r="EV73" i="25"/>
  <c r="EW73" i="25"/>
  <c r="PR102" i="25"/>
  <c r="PS102" i="25"/>
  <c r="L90" i="3"/>
  <c r="AX75" i="25"/>
  <c r="BA72" i="25"/>
  <c r="O87" i="3"/>
  <c r="AU92" i="25"/>
  <c r="S107" i="42" s="1"/>
  <c r="AU71" i="25"/>
  <c r="HS92" i="25"/>
  <c r="HR92" i="25"/>
  <c r="DU85" i="25"/>
  <c r="DV85" i="25"/>
  <c r="DU72" i="25"/>
  <c r="DV72" i="25"/>
  <c r="HR70" i="25"/>
  <c r="HS70" i="25"/>
  <c r="PS90" i="25"/>
  <c r="PR90" i="25"/>
  <c r="DV91" i="25"/>
  <c r="DU91" i="25"/>
  <c r="DU83" i="25"/>
  <c r="DV83" i="25"/>
  <c r="DU93" i="25"/>
  <c r="DV93" i="25"/>
  <c r="DV82" i="25"/>
  <c r="DU82" i="25"/>
  <c r="NR95" i="25"/>
  <c r="NS95" i="25"/>
  <c r="NS78" i="25"/>
  <c r="NR78" i="25"/>
  <c r="FR68" i="25"/>
  <c r="FS68" i="25"/>
  <c r="RS71" i="25"/>
  <c r="RR71" i="25"/>
  <c r="JS82" i="25"/>
  <c r="JR82" i="25"/>
  <c r="FR98" i="25"/>
  <c r="FS98" i="25"/>
  <c r="DV74" i="25"/>
  <c r="DU74" i="25"/>
  <c r="FS87" i="25"/>
  <c r="FR87" i="25"/>
  <c r="RR89" i="25"/>
  <c r="RS89" i="25"/>
  <c r="LR87" i="25"/>
  <c r="LS87" i="25"/>
  <c r="LR64" i="25"/>
  <c r="LS64" i="25"/>
  <c r="NS63" i="25"/>
  <c r="NR63" i="25"/>
  <c r="HR63" i="25"/>
  <c r="HS63" i="25"/>
  <c r="TR101" i="25"/>
  <c r="TS101" i="25"/>
  <c r="S88" i="42"/>
  <c r="S90" i="42"/>
  <c r="EV72" i="25"/>
  <c r="EW72" i="25"/>
  <c r="EW91" i="25"/>
  <c r="EV91" i="25"/>
  <c r="NS101" i="25"/>
  <c r="NR101" i="25"/>
  <c r="LR100" i="25"/>
  <c r="LS100" i="25"/>
  <c r="BA75" i="25"/>
  <c r="O90" i="3"/>
  <c r="AW75" i="25"/>
  <c r="U90" i="42" s="1"/>
  <c r="K90" i="3"/>
  <c r="Q90" i="3" s="1"/>
  <c r="R90" i="3" s="1"/>
  <c r="BP75" i="25"/>
  <c r="AE75" i="19" s="1"/>
  <c r="BB65" i="25"/>
  <c r="P80" i="3"/>
  <c r="L80" i="3"/>
  <c r="AX65" i="25"/>
  <c r="BP98" i="25"/>
  <c r="AE98" i="19" s="1"/>
  <c r="AW98" i="25"/>
  <c r="U113" i="42" s="1"/>
  <c r="FS103" i="25"/>
  <c r="FR103" i="25"/>
  <c r="JR84" i="25"/>
  <c r="JS84" i="25"/>
  <c r="PR84" i="25"/>
  <c r="PS84" i="25"/>
  <c r="DU99" i="25"/>
  <c r="DV99" i="25"/>
  <c r="HR67" i="25"/>
  <c r="HS67" i="25"/>
  <c r="HS96" i="25"/>
  <c r="HR96" i="25"/>
  <c r="JR96" i="25"/>
  <c r="JS96" i="25"/>
  <c r="DV64" i="25"/>
  <c r="DU64" i="25"/>
  <c r="JR90" i="25"/>
  <c r="JS90" i="25"/>
  <c r="FS69" i="25"/>
  <c r="FR69" i="25"/>
  <c r="FS83" i="25"/>
  <c r="FR83" i="25"/>
  <c r="LS95" i="25"/>
  <c r="LR95" i="25"/>
  <c r="HS78" i="25"/>
  <c r="HR78" i="25"/>
  <c r="JS78" i="25"/>
  <c r="JR78" i="25"/>
  <c r="PR71" i="25"/>
  <c r="PS71" i="25"/>
  <c r="LS86" i="25"/>
  <c r="LR86" i="25"/>
  <c r="PS86" i="25"/>
  <c r="PR86" i="25"/>
  <c r="DV95" i="25"/>
  <c r="DU95" i="25"/>
  <c r="DV89" i="25"/>
  <c r="DU89" i="25"/>
  <c r="FR67" i="25"/>
  <c r="FS67" i="25"/>
  <c r="HS89" i="25"/>
  <c r="HR89" i="25"/>
  <c r="FR70" i="25"/>
  <c r="FS70" i="25"/>
  <c r="RR87" i="25"/>
  <c r="RS87" i="25"/>
  <c r="DU80" i="25"/>
  <c r="DV80" i="25"/>
  <c r="BA64" i="25"/>
  <c r="O79" i="3"/>
  <c r="AX64" i="25"/>
  <c r="L79" i="3"/>
  <c r="BA66" i="25"/>
  <c r="O81" i="3"/>
  <c r="AZ69" i="25"/>
  <c r="N84" i="3"/>
  <c r="BB74" i="25"/>
  <c r="P89" i="3"/>
  <c r="AX74" i="25"/>
  <c r="L89" i="3"/>
  <c r="BA76" i="25"/>
  <c r="O91" i="3"/>
  <c r="BB63" i="25"/>
  <c r="P78" i="3"/>
  <c r="HR81" i="25"/>
  <c r="HS81" i="25"/>
  <c r="BV100" i="25"/>
  <c r="AZ100" i="25" s="1"/>
  <c r="NQ100" i="25"/>
  <c r="LS85" i="25"/>
  <c r="LR85" i="25"/>
  <c r="HS72" i="25"/>
  <c r="HR72" i="25"/>
  <c r="IR94" i="25"/>
  <c r="IS94" i="25"/>
  <c r="PS98" i="25"/>
  <c r="PR98" i="25"/>
  <c r="BP93" i="25"/>
  <c r="AE93" i="19" s="1"/>
  <c r="AW93" i="25"/>
  <c r="U108" i="42" s="1"/>
  <c r="UR85" i="25"/>
  <c r="US85" i="25"/>
  <c r="AZ67" i="25"/>
  <c r="N82" i="3"/>
  <c r="BB67" i="25"/>
  <c r="P82" i="3"/>
  <c r="FQ97" i="25"/>
  <c r="BF97" i="25"/>
  <c r="TS91" i="25"/>
  <c r="TR91" i="25"/>
  <c r="BA73" i="25"/>
  <c r="O88" i="3"/>
  <c r="AX71" i="25"/>
  <c r="L86" i="3"/>
  <c r="BB77" i="25"/>
  <c r="P92" i="3"/>
  <c r="JS97" i="25"/>
  <c r="JR97" i="25"/>
  <c r="DU73" i="25"/>
  <c r="DV73" i="25"/>
  <c r="PS83" i="25"/>
  <c r="PR83" i="25"/>
  <c r="DT100" i="25"/>
  <c r="AY68" i="25"/>
  <c r="M83" i="3"/>
  <c r="DU66" i="25"/>
  <c r="DV66" i="25"/>
  <c r="RS80" i="25"/>
  <c r="RR80" i="25"/>
  <c r="PR80" i="25"/>
  <c r="PS80" i="25"/>
  <c r="HR64" i="25"/>
  <c r="HS64" i="25"/>
  <c r="NR64" i="25"/>
  <c r="NS64" i="25"/>
  <c r="HR66" i="25"/>
  <c r="HS66" i="25"/>
  <c r="DU79" i="25"/>
  <c r="DV79" i="25"/>
  <c r="LR69" i="25"/>
  <c r="LS69" i="25"/>
  <c r="LS74" i="25"/>
  <c r="LR74" i="25"/>
  <c r="RR76" i="25"/>
  <c r="RS76" i="25"/>
  <c r="PR63" i="25"/>
  <c r="PS63" i="25"/>
  <c r="FQ101" i="25"/>
  <c r="BF101" i="25"/>
  <c r="EW79" i="25"/>
  <c r="EV79" i="25"/>
  <c r="NR79" i="25"/>
  <c r="NS79" i="25"/>
  <c r="BW101" i="25"/>
  <c r="BA101" i="25" s="1"/>
  <c r="PQ101" i="25"/>
  <c r="DV75" i="25"/>
  <c r="DU75" i="25"/>
  <c r="LS65" i="25"/>
  <c r="LR65" i="25"/>
  <c r="NR72" i="25"/>
  <c r="NS72" i="25"/>
  <c r="LS98" i="25"/>
  <c r="LR98" i="25"/>
  <c r="LS91" i="25"/>
  <c r="LR91" i="25"/>
  <c r="PS91" i="25"/>
  <c r="PR91" i="25"/>
  <c r="JS93" i="25"/>
  <c r="JR93" i="25"/>
  <c r="NS92" i="25"/>
  <c r="NR92" i="25"/>
  <c r="OR103" i="25"/>
  <c r="OS103" i="25"/>
  <c r="BA67" i="25"/>
  <c r="O82" i="3"/>
  <c r="BB70" i="25"/>
  <c r="P85" i="3"/>
  <c r="BP90" i="25"/>
  <c r="AE90" i="19" s="1"/>
  <c r="AW90" i="25"/>
  <c r="U105" i="42" s="1"/>
  <c r="AU63" i="25"/>
  <c r="AU84" i="25"/>
  <c r="S99" i="42" s="1"/>
  <c r="PS95" i="25"/>
  <c r="PR95" i="25"/>
  <c r="PS78" i="25"/>
  <c r="PR78" i="25"/>
  <c r="LS78" i="25"/>
  <c r="LR78" i="25"/>
  <c r="AY71" i="25"/>
  <c r="M86" i="3"/>
  <c r="AZ77" i="25"/>
  <c r="N92" i="3"/>
  <c r="BP82" i="25"/>
  <c r="AE82" i="19" s="1"/>
  <c r="AW82" i="25"/>
  <c r="U97" i="42" s="1"/>
  <c r="AW86" i="25"/>
  <c r="U101" i="42" s="1"/>
  <c r="BP86" i="25"/>
  <c r="AE86" i="19" s="1"/>
  <c r="BP83" i="25"/>
  <c r="AE83" i="19" s="1"/>
  <c r="AW83" i="25"/>
  <c r="U98" i="42" s="1"/>
  <c r="AZ68" i="25"/>
  <c r="N83" i="3"/>
  <c r="DU76" i="25"/>
  <c r="DV76" i="25"/>
  <c r="NS66" i="25"/>
  <c r="NR66" i="25"/>
  <c r="RS69" i="25"/>
  <c r="RR69" i="25"/>
  <c r="NS74" i="25"/>
  <c r="NR74" i="25"/>
  <c r="EW78" i="25"/>
  <c r="EV78" i="25"/>
  <c r="JS79" i="25"/>
  <c r="JR79" i="25"/>
  <c r="LR81" i="25"/>
  <c r="LS81" i="25"/>
  <c r="RR75" i="25"/>
  <c r="RS75" i="25"/>
  <c r="HS65" i="25"/>
  <c r="HR65" i="25"/>
  <c r="HS94" i="25"/>
  <c r="HR94" i="25"/>
  <c r="NR98" i="25"/>
  <c r="NS98" i="25"/>
  <c r="FR92" i="25"/>
  <c r="FS92" i="25"/>
  <c r="FR77" i="25"/>
  <c r="FS77" i="25"/>
  <c r="AW92" i="25"/>
  <c r="U107" i="42" s="1"/>
  <c r="BP92" i="25"/>
  <c r="AE92" i="19" s="1"/>
  <c r="JS103" i="25"/>
  <c r="JR103" i="25"/>
  <c r="AU85" i="25"/>
  <c r="S100" i="42" s="1"/>
  <c r="AU72" i="25"/>
  <c r="S87" i="42" s="1"/>
  <c r="AW70" i="25"/>
  <c r="BP70" i="25"/>
  <c r="K85" i="3"/>
  <c r="AU91" i="25"/>
  <c r="S106" i="42" s="1"/>
  <c r="AU83" i="25"/>
  <c r="S98" i="42" s="1"/>
  <c r="AU93" i="25"/>
  <c r="S108" i="42" s="1"/>
  <c r="AU82" i="25"/>
  <c r="S97" i="42" s="1"/>
  <c r="BB71" i="25"/>
  <c r="P86" i="3"/>
  <c r="AU74" i="25"/>
  <c r="S89" i="42" s="1"/>
  <c r="FR78" i="25"/>
  <c r="FS78" i="25"/>
  <c r="AY64" i="25"/>
  <c r="M79" i="3"/>
  <c r="AZ63" i="25"/>
  <c r="N78" i="3"/>
  <c r="BP63" i="25"/>
  <c r="K78" i="3"/>
  <c r="AW63" i="25"/>
  <c r="S105" i="42"/>
  <c r="S91" i="42"/>
  <c r="Q74" i="3"/>
  <c r="R74" i="3" s="1"/>
  <c r="BB58" i="25"/>
  <c r="BA56" i="25"/>
  <c r="BA57" i="25"/>
  <c r="AY56" i="25"/>
  <c r="AY57" i="25"/>
  <c r="BB56" i="25"/>
  <c r="AY58" i="25"/>
  <c r="AX58" i="25"/>
  <c r="AX56" i="25"/>
  <c r="AX59" i="25"/>
  <c r="AW59" i="25"/>
  <c r="AW57" i="25"/>
  <c r="BB60" i="25"/>
  <c r="BA58" i="25"/>
  <c r="BA60" i="25"/>
  <c r="AY59" i="25"/>
  <c r="BB59" i="25"/>
  <c r="BB57" i="25"/>
  <c r="BA59" i="25"/>
  <c r="AY60" i="25"/>
  <c r="AX57" i="25"/>
  <c r="AX60" i="25"/>
  <c r="AW56" i="25"/>
  <c r="AW60" i="25"/>
  <c r="AW58" i="25"/>
  <c r="AZ58" i="25"/>
  <c r="BP58" i="25"/>
  <c r="AZ57" i="25"/>
  <c r="BP57" i="25"/>
  <c r="BO57" i="25" s="1"/>
  <c r="AZ56" i="25"/>
  <c r="BP56" i="25"/>
  <c r="BO56" i="25" s="1"/>
  <c r="OR57" i="25"/>
  <c r="AZ60" i="25"/>
  <c r="BP60" i="25"/>
  <c r="BP59" i="25"/>
  <c r="AZ59" i="25"/>
  <c r="AR48" i="25"/>
  <c r="AM48" i="25" s="1"/>
  <c r="X48" i="19" s="1"/>
  <c r="AY20" i="25"/>
  <c r="TS20" i="25"/>
  <c r="TR20" i="25"/>
  <c r="US21" i="25"/>
  <c r="UR21" i="25"/>
  <c r="UR20" i="25"/>
  <c r="US20" i="25"/>
  <c r="TS21" i="25"/>
  <c r="TR21" i="25"/>
  <c r="FS51" i="25"/>
  <c r="BY22" i="25"/>
  <c r="CA22" i="25"/>
  <c r="DV42" i="25"/>
  <c r="FR47" i="25"/>
  <c r="DV30" i="25"/>
  <c r="FR42" i="25"/>
  <c r="FR22" i="25"/>
  <c r="PS55" i="25"/>
  <c r="PR55" i="25"/>
  <c r="RS54" i="25"/>
  <c r="RR54" i="25"/>
  <c r="OS54" i="25"/>
  <c r="OR54" i="25"/>
  <c r="MS55" i="25"/>
  <c r="MR55" i="25"/>
  <c r="IS55" i="25"/>
  <c r="IR55" i="25"/>
  <c r="KR55" i="25"/>
  <c r="KS55" i="25"/>
  <c r="IS54" i="25"/>
  <c r="IR54" i="25"/>
  <c r="MS54" i="25"/>
  <c r="MR54" i="25"/>
  <c r="KS54" i="25"/>
  <c r="KR54" i="25"/>
  <c r="RR55" i="25"/>
  <c r="RS55" i="25"/>
  <c r="CR55" i="25"/>
  <c r="CH55" i="25"/>
  <c r="PS54" i="25"/>
  <c r="PR54" i="25"/>
  <c r="AW55" i="25"/>
  <c r="AT55" i="25" s="1"/>
  <c r="AW54" i="25"/>
  <c r="CH54" i="25"/>
  <c r="CR54" i="25"/>
  <c r="OS55" i="25"/>
  <c r="OR55" i="25"/>
  <c r="CS55" i="25"/>
  <c r="CI55" i="25"/>
  <c r="CI54" i="25"/>
  <c r="CS54" i="25"/>
  <c r="CK22" i="25"/>
  <c r="AU30" i="25"/>
  <c r="AS30" i="25" s="1"/>
  <c r="AJ30" i="25" s="1"/>
  <c r="M45" i="42" s="1"/>
  <c r="EW47" i="25"/>
  <c r="EV47" i="25"/>
  <c r="QQ22" i="25"/>
  <c r="QS22" i="25" s="1"/>
  <c r="GS47" i="25"/>
  <c r="GR47" i="25"/>
  <c r="GS42" i="25"/>
  <c r="GR42" i="25"/>
  <c r="AU47" i="25"/>
  <c r="AS47" i="25" s="1"/>
  <c r="EV25" i="25"/>
  <c r="EW25" i="25"/>
  <c r="GR30" i="25"/>
  <c r="GS30" i="25"/>
  <c r="EW40" i="25"/>
  <c r="EV40" i="25"/>
  <c r="GS25" i="25"/>
  <c r="GR25" i="25"/>
  <c r="RS33" i="25"/>
  <c r="RR33" i="25"/>
  <c r="RS52" i="25"/>
  <c r="RR52" i="25"/>
  <c r="PS20" i="25"/>
  <c r="PR20" i="25"/>
  <c r="PR44" i="25"/>
  <c r="PS44" i="25"/>
  <c r="RS24" i="25"/>
  <c r="RR24" i="25"/>
  <c r="PR42" i="25"/>
  <c r="PS42" i="25"/>
  <c r="PS35" i="25"/>
  <c r="PR35" i="25"/>
  <c r="PS29" i="25"/>
  <c r="PR29" i="25"/>
  <c r="RS36" i="25"/>
  <c r="RR36" i="25"/>
  <c r="PR40" i="25"/>
  <c r="PS40" i="25"/>
  <c r="PS43" i="25"/>
  <c r="PR43" i="25"/>
  <c r="PS34" i="25"/>
  <c r="PR34" i="25"/>
  <c r="RR46" i="25"/>
  <c r="RS46" i="25"/>
  <c r="PR51" i="25"/>
  <c r="PS51" i="25"/>
  <c r="RR32" i="25"/>
  <c r="RS32" i="25"/>
  <c r="RR38" i="25"/>
  <c r="RS38" i="25"/>
  <c r="RS28" i="25"/>
  <c r="RR28" i="25"/>
  <c r="PR53" i="25"/>
  <c r="PS53" i="25"/>
  <c r="PR30" i="25"/>
  <c r="PS30" i="25"/>
  <c r="RS44" i="25"/>
  <c r="RR44" i="25"/>
  <c r="PS33" i="25"/>
  <c r="PR33" i="25"/>
  <c r="PR41" i="25"/>
  <c r="PS41" i="25"/>
  <c r="RR27" i="25"/>
  <c r="RS27" i="25"/>
  <c r="PS39" i="25"/>
  <c r="PR39" i="25"/>
  <c r="PS31" i="25"/>
  <c r="PR31" i="25"/>
  <c r="PR46" i="25"/>
  <c r="PS46" i="25"/>
  <c r="RS35" i="25"/>
  <c r="RR35" i="25"/>
  <c r="RR42" i="25"/>
  <c r="RS42" i="25"/>
  <c r="PS23" i="25"/>
  <c r="PR23" i="25"/>
  <c r="RS25" i="25"/>
  <c r="RR25" i="25"/>
  <c r="PS45" i="25"/>
  <c r="PR45" i="25"/>
  <c r="RR50" i="25"/>
  <c r="RS50" i="25"/>
  <c r="RR23" i="25"/>
  <c r="RS23" i="25"/>
  <c r="PS25" i="25"/>
  <c r="PR25" i="25"/>
  <c r="PR52" i="25"/>
  <c r="PS52" i="25"/>
  <c r="KS38" i="25"/>
  <c r="KR38" i="25"/>
  <c r="MS28" i="25"/>
  <c r="MR28" i="25"/>
  <c r="OR33" i="25"/>
  <c r="OS33" i="25"/>
  <c r="KS29" i="25"/>
  <c r="KR29" i="25"/>
  <c r="CI26" i="25"/>
  <c r="CS26" i="25"/>
  <c r="KS40" i="25"/>
  <c r="KR40" i="25"/>
  <c r="KS50" i="25"/>
  <c r="KR50" i="25"/>
  <c r="CR41" i="25"/>
  <c r="CH41" i="25"/>
  <c r="KS25" i="25"/>
  <c r="KR25" i="25"/>
  <c r="AW33" i="25"/>
  <c r="AT33" i="25" s="1"/>
  <c r="CR29" i="25"/>
  <c r="CH29" i="25"/>
  <c r="IS27" i="25"/>
  <c r="IR27" i="25"/>
  <c r="MR43" i="25"/>
  <c r="MS43" i="25"/>
  <c r="IR36" i="25"/>
  <c r="IS36" i="25"/>
  <c r="CI21" i="25"/>
  <c r="CS21" i="25"/>
  <c r="IR52" i="25"/>
  <c r="IS52" i="25"/>
  <c r="OS24" i="25"/>
  <c r="OR24" i="25"/>
  <c r="CI37" i="25"/>
  <c r="CS37" i="25"/>
  <c r="RS20" i="25"/>
  <c r="RR20" i="25"/>
  <c r="OS40" i="25"/>
  <c r="OR40" i="25"/>
  <c r="CI50" i="25"/>
  <c r="CS50" i="25"/>
  <c r="MR25" i="25"/>
  <c r="MS25" i="25"/>
  <c r="OS35" i="25"/>
  <c r="OR35" i="25"/>
  <c r="CI49" i="25"/>
  <c r="CS49" i="25"/>
  <c r="AW41" i="25"/>
  <c r="AT41" i="25" s="1"/>
  <c r="PR28" i="25"/>
  <c r="PS28" i="25"/>
  <c r="AW37" i="25"/>
  <c r="AT37" i="25" s="1"/>
  <c r="KR26" i="25"/>
  <c r="KS26" i="25"/>
  <c r="OS53" i="25"/>
  <c r="OR53" i="25"/>
  <c r="AW43" i="25"/>
  <c r="AT43" i="25" s="1"/>
  <c r="CR36" i="25"/>
  <c r="CH36" i="25"/>
  <c r="IR34" i="25"/>
  <c r="IS34" i="25"/>
  <c r="MS52" i="25"/>
  <c r="MR52" i="25"/>
  <c r="IR39" i="25"/>
  <c r="IS39" i="25"/>
  <c r="CI23" i="25"/>
  <c r="CS23" i="25"/>
  <c r="AW32" i="25"/>
  <c r="AT32" i="25" s="1"/>
  <c r="CI33" i="25"/>
  <c r="CS33" i="25"/>
  <c r="MR39" i="25"/>
  <c r="MS39" i="25"/>
  <c r="IS45" i="25"/>
  <c r="IR45" i="25"/>
  <c r="CH40" i="25"/>
  <c r="CR40" i="25"/>
  <c r="KR51" i="25"/>
  <c r="KS51" i="25"/>
  <c r="PS24" i="25"/>
  <c r="PR24" i="25"/>
  <c r="AW29" i="25"/>
  <c r="OR36" i="25"/>
  <c r="OS36" i="25"/>
  <c r="CR26" i="25"/>
  <c r="CH26" i="25"/>
  <c r="CI53" i="25"/>
  <c r="CS53" i="25"/>
  <c r="CR51" i="25"/>
  <c r="CH51" i="25"/>
  <c r="CH24" i="25"/>
  <c r="CR24" i="25"/>
  <c r="MR41" i="25"/>
  <c r="MS41" i="25"/>
  <c r="CH35" i="25"/>
  <c r="CR35" i="25"/>
  <c r="OS39" i="25"/>
  <c r="OR39" i="25"/>
  <c r="KS24" i="25"/>
  <c r="KR24" i="25"/>
  <c r="MS38" i="25"/>
  <c r="MR38" i="25"/>
  <c r="IS53" i="25"/>
  <c r="IR53" i="25"/>
  <c r="OR46" i="25"/>
  <c r="OS46" i="25"/>
  <c r="CS35" i="25"/>
  <c r="CI35" i="25"/>
  <c r="AW20" i="25"/>
  <c r="CI51" i="25"/>
  <c r="CS51" i="25"/>
  <c r="OR25" i="25"/>
  <c r="OS25" i="25"/>
  <c r="IR42" i="25"/>
  <c r="IS42" i="25"/>
  <c r="IS35" i="25"/>
  <c r="IR35" i="25"/>
  <c r="KS47" i="25"/>
  <c r="KR47" i="25"/>
  <c r="KS49" i="25"/>
  <c r="KR49" i="25"/>
  <c r="OS45" i="25"/>
  <c r="OR45" i="25"/>
  <c r="IR30" i="25"/>
  <c r="IS30" i="25"/>
  <c r="OS37" i="25"/>
  <c r="OR37" i="25"/>
  <c r="MR33" i="25"/>
  <c r="MS33" i="25"/>
  <c r="CI31" i="25"/>
  <c r="CS31" i="25"/>
  <c r="RS47" i="25"/>
  <c r="RR47" i="25"/>
  <c r="CR46" i="25"/>
  <c r="CH46" i="25"/>
  <c r="PR38" i="25"/>
  <c r="PS38" i="25"/>
  <c r="MR37" i="25"/>
  <c r="MS37" i="25"/>
  <c r="CH39" i="25"/>
  <c r="CR39" i="25"/>
  <c r="AW27" i="25"/>
  <c r="PR32" i="25"/>
  <c r="PS32" i="25"/>
  <c r="AW36" i="25"/>
  <c r="AT36" i="25" s="1"/>
  <c r="AW52" i="25"/>
  <c r="AT52" i="25" s="1"/>
  <c r="MR49" i="25"/>
  <c r="MS49" i="25"/>
  <c r="MS53" i="25"/>
  <c r="MR53" i="25"/>
  <c r="CS20" i="25"/>
  <c r="CI20" i="25"/>
  <c r="IR31" i="25"/>
  <c r="IS31" i="25"/>
  <c r="MS20" i="25"/>
  <c r="MR20" i="25"/>
  <c r="CS30" i="25"/>
  <c r="CI30" i="25"/>
  <c r="KS44" i="25"/>
  <c r="KR44" i="25"/>
  <c r="IS25" i="25"/>
  <c r="IR25" i="25"/>
  <c r="OR38" i="25"/>
  <c r="OS38" i="25"/>
  <c r="KS36" i="25"/>
  <c r="KR36" i="25"/>
  <c r="KS33" i="25"/>
  <c r="KR33" i="25"/>
  <c r="RS45" i="25"/>
  <c r="RR45" i="25"/>
  <c r="CH44" i="25"/>
  <c r="CR44" i="25"/>
  <c r="AW34" i="25"/>
  <c r="AT34" i="25" s="1"/>
  <c r="AW39" i="25"/>
  <c r="PS49" i="25"/>
  <c r="PR49" i="25"/>
  <c r="MR35" i="25"/>
  <c r="MS35" i="25"/>
  <c r="CS45" i="25"/>
  <c r="CI45" i="25"/>
  <c r="MS44" i="25"/>
  <c r="MR44" i="25"/>
  <c r="OR28" i="25"/>
  <c r="OS28" i="25"/>
  <c r="RS37" i="25"/>
  <c r="RR37" i="25"/>
  <c r="AW45" i="25"/>
  <c r="AT45" i="25" s="1"/>
  <c r="OR30" i="25"/>
  <c r="OS30" i="25"/>
  <c r="MR31" i="25"/>
  <c r="MS31" i="25"/>
  <c r="MR42" i="25"/>
  <c r="MS42" i="25"/>
  <c r="IS26" i="25"/>
  <c r="IR26" i="25"/>
  <c r="RS51" i="25"/>
  <c r="RR51" i="25"/>
  <c r="PR50" i="25"/>
  <c r="PS50" i="25"/>
  <c r="IR47" i="25"/>
  <c r="IS47" i="25"/>
  <c r="OR52" i="25"/>
  <c r="OS52" i="25"/>
  <c r="RR29" i="25"/>
  <c r="RS29" i="25"/>
  <c r="RS43" i="25"/>
  <c r="RR43" i="25"/>
  <c r="KS42" i="25"/>
  <c r="KR42" i="25"/>
  <c r="PS47" i="25"/>
  <c r="PR47" i="25"/>
  <c r="CI29" i="25"/>
  <c r="CS29" i="25"/>
  <c r="AW53" i="25"/>
  <c r="AT53" i="25" s="1"/>
  <c r="MS40" i="25"/>
  <c r="MR40" i="25"/>
  <c r="OS51" i="25"/>
  <c r="OR51" i="25"/>
  <c r="KR34" i="25"/>
  <c r="KS34" i="25"/>
  <c r="AW42" i="25"/>
  <c r="AT42" i="25" s="1"/>
  <c r="CR21" i="25"/>
  <c r="CH21" i="25"/>
  <c r="KS45" i="25"/>
  <c r="KR45" i="25"/>
  <c r="AW35" i="25"/>
  <c r="AT35" i="25" s="1"/>
  <c r="CS27" i="25"/>
  <c r="CI27" i="25"/>
  <c r="CR31" i="25"/>
  <c r="CH31" i="25"/>
  <c r="CS36" i="25"/>
  <c r="CI36" i="25"/>
  <c r="AW30" i="25"/>
  <c r="CS44" i="25"/>
  <c r="CI44" i="25"/>
  <c r="MS24" i="25"/>
  <c r="MR24" i="25"/>
  <c r="CS52" i="25"/>
  <c r="CI52" i="25"/>
  <c r="CI39" i="25"/>
  <c r="CS39" i="25"/>
  <c r="KR23" i="25"/>
  <c r="KS23" i="25"/>
  <c r="OS29" i="25"/>
  <c r="OR29" i="25"/>
  <c r="KS53" i="25"/>
  <c r="KR53" i="25"/>
  <c r="CH23" i="25"/>
  <c r="CR23" i="25"/>
  <c r="IS46" i="25"/>
  <c r="IR46" i="25"/>
  <c r="MR27" i="25"/>
  <c r="MS27" i="25"/>
  <c r="CR32" i="25"/>
  <c r="CH32" i="25"/>
  <c r="OR20" i="25"/>
  <c r="OS20" i="25"/>
  <c r="KS41" i="25"/>
  <c r="KR41" i="25"/>
  <c r="CS28" i="25"/>
  <c r="CI28" i="25"/>
  <c r="CS32" i="25"/>
  <c r="CI32" i="25"/>
  <c r="CR53" i="25"/>
  <c r="CH53" i="25"/>
  <c r="AW31" i="25"/>
  <c r="IR28" i="25"/>
  <c r="IS28" i="25"/>
  <c r="CH47" i="25"/>
  <c r="CR47" i="25"/>
  <c r="MS32" i="25"/>
  <c r="MR32" i="25"/>
  <c r="MS34" i="25"/>
  <c r="MR34" i="25"/>
  <c r="IS23" i="25"/>
  <c r="IR23" i="25"/>
  <c r="AW25" i="25"/>
  <c r="KS28" i="25"/>
  <c r="KR28" i="25"/>
  <c r="OS49" i="25"/>
  <c r="OR49" i="25"/>
  <c r="CS46" i="25"/>
  <c r="CI46" i="25"/>
  <c r="IS51" i="25"/>
  <c r="IR51" i="25"/>
  <c r="KS37" i="25"/>
  <c r="KR37" i="25"/>
  <c r="CI40" i="25"/>
  <c r="CS40" i="25"/>
  <c r="CH52" i="25"/>
  <c r="CR52" i="25"/>
  <c r="MR29" i="25"/>
  <c r="MS29" i="25"/>
  <c r="OS27" i="25"/>
  <c r="OR27" i="25"/>
  <c r="KS31" i="25"/>
  <c r="KR31" i="25"/>
  <c r="AW26" i="25"/>
  <c r="CH49" i="25"/>
  <c r="CR49" i="25"/>
  <c r="KS39" i="25"/>
  <c r="KR39" i="25"/>
  <c r="IR40" i="25"/>
  <c r="IS40" i="25"/>
  <c r="OR50" i="25"/>
  <c r="OS50" i="25"/>
  <c r="KR30" i="25"/>
  <c r="KS30" i="25"/>
  <c r="OR44" i="25"/>
  <c r="OS44" i="25"/>
  <c r="AW47" i="25"/>
  <c r="MR50" i="25"/>
  <c r="MS50" i="25"/>
  <c r="OS31" i="25"/>
  <c r="OR31" i="25"/>
  <c r="CH27" i="25"/>
  <c r="CR27" i="25"/>
  <c r="IS49" i="25"/>
  <c r="IR49" i="25"/>
  <c r="CR25" i="25"/>
  <c r="CH25" i="25"/>
  <c r="CH50" i="25"/>
  <c r="CR50" i="25"/>
  <c r="IR50" i="25"/>
  <c r="IS50" i="25"/>
  <c r="CS43" i="25"/>
  <c r="CI43" i="25"/>
  <c r="KR35" i="25"/>
  <c r="KS35" i="25"/>
  <c r="OS47" i="25"/>
  <c r="OR47" i="25"/>
  <c r="IS24" i="25"/>
  <c r="IR24" i="25"/>
  <c r="IR38" i="25"/>
  <c r="IS38" i="25"/>
  <c r="OR42" i="25"/>
  <c r="OS42" i="25"/>
  <c r="RS34" i="25"/>
  <c r="RR34" i="25"/>
  <c r="OS23" i="25"/>
  <c r="OR23" i="25"/>
  <c r="IS44" i="25"/>
  <c r="IR44" i="25"/>
  <c r="MS26" i="25"/>
  <c r="MR26" i="25"/>
  <c r="MS46" i="25"/>
  <c r="MR46" i="25"/>
  <c r="MS30" i="25"/>
  <c r="MR30" i="25"/>
  <c r="RR31" i="25"/>
  <c r="RS31" i="25"/>
  <c r="CI47" i="25"/>
  <c r="CS47" i="25"/>
  <c r="RS21" i="25"/>
  <c r="RR21" i="25"/>
  <c r="KR27" i="25"/>
  <c r="KS27" i="25"/>
  <c r="KR43" i="25"/>
  <c r="KS43" i="25"/>
  <c r="CI41" i="25"/>
  <c r="CS41" i="25"/>
  <c r="CI42" i="25"/>
  <c r="CS42" i="25"/>
  <c r="PS21" i="25"/>
  <c r="PR21" i="25"/>
  <c r="OS26" i="25"/>
  <c r="OR26" i="25"/>
  <c r="RS41" i="25"/>
  <c r="RR41" i="25"/>
  <c r="IS33" i="25"/>
  <c r="IR33" i="25"/>
  <c r="AW46" i="25"/>
  <c r="AT46" i="25" s="1"/>
  <c r="RS49" i="25"/>
  <c r="RR49" i="25"/>
  <c r="CR45" i="25"/>
  <c r="CK45" i="25" s="1"/>
  <c r="CH45" i="25"/>
  <c r="MR23" i="25"/>
  <c r="MS23" i="25"/>
  <c r="AW28" i="25"/>
  <c r="RS39" i="25"/>
  <c r="RR39" i="25"/>
  <c r="AW23" i="25"/>
  <c r="OS43" i="25"/>
  <c r="OR43" i="25"/>
  <c r="IS41" i="25"/>
  <c r="IR41" i="25"/>
  <c r="IS37" i="25"/>
  <c r="IR37" i="25"/>
  <c r="CR20" i="25"/>
  <c r="CH20" i="25"/>
  <c r="PR26" i="25"/>
  <c r="PS26" i="25"/>
  <c r="AW51" i="25"/>
  <c r="AT51" i="25" s="1"/>
  <c r="IS43" i="25"/>
  <c r="IR43" i="25"/>
  <c r="CI24" i="25"/>
  <c r="CS24" i="25"/>
  <c r="CH38" i="25"/>
  <c r="CR38" i="25"/>
  <c r="CH28" i="25"/>
  <c r="CR28" i="25"/>
  <c r="CS38" i="25"/>
  <c r="CI38" i="25"/>
  <c r="CI34" i="25"/>
  <c r="CS34" i="25"/>
  <c r="MR51" i="25"/>
  <c r="MS51" i="25"/>
  <c r="IR32" i="25"/>
  <c r="IS32" i="25"/>
  <c r="CH34" i="25"/>
  <c r="CR34" i="25"/>
  <c r="IS29" i="25"/>
  <c r="IR29" i="25"/>
  <c r="OS41" i="25"/>
  <c r="OR41" i="25"/>
  <c r="MR47" i="25"/>
  <c r="MS47" i="25"/>
  <c r="RR26" i="25"/>
  <c r="RS26" i="25"/>
  <c r="PS27" i="25"/>
  <c r="PR27" i="25"/>
  <c r="KS46" i="25"/>
  <c r="KR46" i="25"/>
  <c r="PR37" i="25"/>
  <c r="PS37" i="25"/>
  <c r="AW40" i="25"/>
  <c r="AT40" i="25" s="1"/>
  <c r="CR42" i="25"/>
  <c r="CH42" i="25"/>
  <c r="KS32" i="25"/>
  <c r="KR32" i="25"/>
  <c r="OS34" i="25"/>
  <c r="OR34" i="25"/>
  <c r="KS20" i="25"/>
  <c r="KR20" i="25"/>
  <c r="CI25" i="25"/>
  <c r="CS25" i="25"/>
  <c r="OS32" i="25"/>
  <c r="OR32" i="25"/>
  <c r="AW49" i="25"/>
  <c r="AT49" i="25" s="1"/>
  <c r="MS36" i="25"/>
  <c r="MR36" i="25"/>
  <c r="RR40" i="25"/>
  <c r="RS40" i="25"/>
  <c r="KS52" i="25"/>
  <c r="KR52" i="25"/>
  <c r="MS45" i="25"/>
  <c r="MR45" i="25"/>
  <c r="CH30" i="25"/>
  <c r="CR30" i="25"/>
  <c r="CH33" i="25"/>
  <c r="CR33" i="25"/>
  <c r="IR20" i="25"/>
  <c r="IS20" i="25"/>
  <c r="AW50" i="25"/>
  <c r="AT50" i="25" s="1"/>
  <c r="PR36" i="25"/>
  <c r="PS36" i="25"/>
  <c r="RS30" i="25"/>
  <c r="RR30" i="25"/>
  <c r="AW24" i="25"/>
  <c r="AW38" i="25"/>
  <c r="AT38" i="25" s="1"/>
  <c r="CH37" i="25"/>
  <c r="CR37" i="25"/>
  <c r="RS53" i="25"/>
  <c r="RR53" i="25"/>
  <c r="CH43" i="25"/>
  <c r="CR43" i="25"/>
  <c r="AW44" i="25"/>
  <c r="AT44" i="25" s="1"/>
  <c r="SQ22" i="25"/>
  <c r="K52" i="3"/>
  <c r="K38" i="3"/>
  <c r="K51" i="3"/>
  <c r="M46" i="3"/>
  <c r="K43" i="3"/>
  <c r="P40" i="3"/>
  <c r="K49" i="3"/>
  <c r="M49" i="3"/>
  <c r="P39" i="3"/>
  <c r="K42" i="3"/>
  <c r="M43" i="3"/>
  <c r="M41" i="3"/>
  <c r="K47" i="3"/>
  <c r="O38" i="3"/>
  <c r="K48" i="3"/>
  <c r="J35" i="3"/>
  <c r="I36" i="3"/>
  <c r="N35" i="3"/>
  <c r="K37" i="3"/>
  <c r="M37" i="3"/>
  <c r="K35" i="3"/>
  <c r="M35" i="3"/>
  <c r="N37" i="3"/>
  <c r="I35" i="3"/>
  <c r="AE49" i="19" l="1"/>
  <c r="AE40" i="19"/>
  <c r="AE36" i="19"/>
  <c r="AE38" i="19"/>
  <c r="AE52" i="19"/>
  <c r="AE39" i="19"/>
  <c r="AE22" i="19"/>
  <c r="AE35" i="19"/>
  <c r="AE37" i="19"/>
  <c r="AE50" i="19"/>
  <c r="AC70" i="19"/>
  <c r="BD70" i="25"/>
  <c r="AT39" i="25"/>
  <c r="Q71" i="3"/>
  <c r="R71" i="3" s="1"/>
  <c r="Q75" i="3"/>
  <c r="R75" i="3" s="1"/>
  <c r="Q60" i="3"/>
  <c r="R60" i="3" s="1"/>
  <c r="EW62" i="25"/>
  <c r="Q85" i="3"/>
  <c r="R85" i="3" s="1"/>
  <c r="AC62" i="19"/>
  <c r="AU62" i="25"/>
  <c r="AS62" i="25" s="1"/>
  <c r="I77" i="3"/>
  <c r="Q77" i="3" s="1"/>
  <c r="R77" i="3" s="1"/>
  <c r="AT70" i="25"/>
  <c r="AK70" i="25" s="1"/>
  <c r="O85" i="42" s="1"/>
  <c r="AS70" i="25"/>
  <c r="AJ70" i="25" s="1"/>
  <c r="M85" i="42" s="1"/>
  <c r="BC68" i="25"/>
  <c r="BC71" i="25"/>
  <c r="BC69" i="25"/>
  <c r="Q84" i="3"/>
  <c r="R84" i="3" s="1"/>
  <c r="AE70" i="19"/>
  <c r="BO70" i="25"/>
  <c r="AT71" i="25"/>
  <c r="AK71" i="25" s="1"/>
  <c r="O86" i="42" s="1"/>
  <c r="AS69" i="25"/>
  <c r="AJ69" i="25" s="1"/>
  <c r="M84" i="42" s="1"/>
  <c r="BC66" i="25"/>
  <c r="BC64" i="25"/>
  <c r="BC65" i="25"/>
  <c r="BC63" i="25"/>
  <c r="AE69" i="19"/>
  <c r="BO69" i="25"/>
  <c r="BC67" i="25"/>
  <c r="EW66" i="25"/>
  <c r="EV66" i="25"/>
  <c r="EV61" i="25"/>
  <c r="EW61" i="25"/>
  <c r="EW71" i="25"/>
  <c r="EV71" i="25"/>
  <c r="Q86" i="3"/>
  <c r="R86" i="3" s="1"/>
  <c r="AT61" i="25"/>
  <c r="AK61" i="25" s="1"/>
  <c r="O76" i="42" s="1"/>
  <c r="Q76" i="3"/>
  <c r="R76" i="3" s="1"/>
  <c r="AS71" i="25"/>
  <c r="AJ71" i="25" s="1"/>
  <c r="M86" i="42" s="1"/>
  <c r="AT69" i="25"/>
  <c r="AK69" i="25" s="1"/>
  <c r="O84" i="42" s="1"/>
  <c r="AE71" i="19"/>
  <c r="BO71" i="25"/>
  <c r="BC70" i="25"/>
  <c r="AT62" i="25"/>
  <c r="AK62" i="25" s="1"/>
  <c r="O77" i="42" s="1"/>
  <c r="AU20" i="25"/>
  <c r="AS20" i="25" s="1"/>
  <c r="AJ20" i="25" s="1"/>
  <c r="M35" i="42" s="1"/>
  <c r="AU25" i="25"/>
  <c r="AS25" i="25" s="1"/>
  <c r="AJ25" i="25" s="1"/>
  <c r="M40" i="42" s="1"/>
  <c r="I40" i="3"/>
  <c r="AE51" i="19"/>
  <c r="AE32" i="19"/>
  <c r="AJ59" i="25"/>
  <c r="M74" i="42" s="1"/>
  <c r="EV21" i="25"/>
  <c r="EW21" i="25"/>
  <c r="EV59" i="25"/>
  <c r="AC60" i="19"/>
  <c r="AU60" i="25"/>
  <c r="AS60" i="25" s="1"/>
  <c r="EV56" i="25"/>
  <c r="EW56" i="25"/>
  <c r="AT60" i="25"/>
  <c r="AK60" i="25" s="1"/>
  <c r="O75" i="42" s="1"/>
  <c r="BD60" i="25"/>
  <c r="BC60" i="25" s="1"/>
  <c r="AC56" i="19"/>
  <c r="AU56" i="25"/>
  <c r="AS56" i="25" s="1"/>
  <c r="AU55" i="25"/>
  <c r="AS55" i="25" s="1"/>
  <c r="AJ55" i="25" s="1"/>
  <c r="M70" i="42" s="1"/>
  <c r="BD55" i="25"/>
  <c r="BC55" i="25" s="1"/>
  <c r="AC55" i="19"/>
  <c r="BC59" i="25"/>
  <c r="EV58" i="25"/>
  <c r="BC58" i="25"/>
  <c r="BC50" i="25"/>
  <c r="BC57" i="25"/>
  <c r="EW57" i="25"/>
  <c r="EV57" i="25"/>
  <c r="BC48" i="25"/>
  <c r="BC49" i="25"/>
  <c r="BC51" i="25"/>
  <c r="BC56" i="25"/>
  <c r="AJ47" i="25"/>
  <c r="M62" i="42" s="1"/>
  <c r="AE27" i="19"/>
  <c r="AT30" i="25"/>
  <c r="AT22" i="25"/>
  <c r="AK22" i="25" s="1"/>
  <c r="AE47" i="19"/>
  <c r="AC25" i="19"/>
  <c r="AT24" i="25"/>
  <c r="AT28" i="25"/>
  <c r="EV30" i="25"/>
  <c r="AE55" i="19"/>
  <c r="BD25" i="25"/>
  <c r="BC25" i="25" s="1"/>
  <c r="AT26" i="25"/>
  <c r="BD40" i="25"/>
  <c r="AR40" i="25" s="1"/>
  <c r="AM40" i="25" s="1"/>
  <c r="X40" i="19" s="1"/>
  <c r="BC29" i="25"/>
  <c r="BC28" i="25"/>
  <c r="BC42" i="25"/>
  <c r="BC40" i="25"/>
  <c r="BC44" i="25"/>
  <c r="BC32" i="25"/>
  <c r="BC30" i="25"/>
  <c r="BC33" i="25"/>
  <c r="BC39" i="25"/>
  <c r="BC24" i="25"/>
  <c r="BC26" i="25"/>
  <c r="BC37" i="25"/>
  <c r="BC34" i="25"/>
  <c r="BC45" i="25"/>
  <c r="BC46" i="25"/>
  <c r="BC38" i="25"/>
  <c r="BC27" i="25"/>
  <c r="BC31" i="25"/>
  <c r="BC47" i="25"/>
  <c r="BC43" i="25"/>
  <c r="BC41" i="25"/>
  <c r="BC35" i="25"/>
  <c r="BC36" i="25"/>
  <c r="BC23" i="25"/>
  <c r="BC22" i="25"/>
  <c r="BC20" i="25"/>
  <c r="EW22" i="25"/>
  <c r="EV22" i="25"/>
  <c r="BC21" i="25"/>
  <c r="EV23" i="25"/>
  <c r="EW23" i="25"/>
  <c r="Q53" i="3"/>
  <c r="R53" i="3" s="1"/>
  <c r="AS21" i="25"/>
  <c r="AJ21" i="25" s="1"/>
  <c r="M36" i="42" s="1"/>
  <c r="CX21" i="25"/>
  <c r="CU21" i="25" s="1"/>
  <c r="AT47" i="25"/>
  <c r="Q54" i="3"/>
  <c r="R54" i="3" s="1"/>
  <c r="AE46" i="19"/>
  <c r="AE23" i="19"/>
  <c r="AE54" i="19"/>
  <c r="AE43" i="19"/>
  <c r="BC61" i="25"/>
  <c r="AR61" i="25"/>
  <c r="AM61" i="25" s="1"/>
  <c r="U76" i="42"/>
  <c r="BC62" i="25"/>
  <c r="AR62" i="25"/>
  <c r="AM62" i="25" s="1"/>
  <c r="AE62" i="19"/>
  <c r="BO62" i="25"/>
  <c r="BO61" i="25"/>
  <c r="AE61" i="19"/>
  <c r="Q47" i="3"/>
  <c r="R47" i="3" s="1"/>
  <c r="Q41" i="3"/>
  <c r="Q42" i="3"/>
  <c r="R42" i="3" s="1"/>
  <c r="Q39" i="3"/>
  <c r="R39" i="3" s="1"/>
  <c r="Q40" i="3"/>
  <c r="R40" i="3" s="1"/>
  <c r="Q46" i="3"/>
  <c r="R46" i="3" s="1"/>
  <c r="Q51" i="3"/>
  <c r="R51" i="3" s="1"/>
  <c r="Q78" i="3"/>
  <c r="R78" i="3" s="1"/>
  <c r="AE59" i="19"/>
  <c r="BO59" i="25"/>
  <c r="AE58" i="19"/>
  <c r="BO58" i="25"/>
  <c r="AE63" i="19"/>
  <c r="BO63" i="25"/>
  <c r="AS63" i="25"/>
  <c r="AJ63" i="25" s="1"/>
  <c r="M78" i="42" s="1"/>
  <c r="AS68" i="25"/>
  <c r="AJ68" i="25" s="1"/>
  <c r="M83" i="42" s="1"/>
  <c r="AT68" i="25"/>
  <c r="AK68" i="25" s="1"/>
  <c r="O83" i="42" s="1"/>
  <c r="AT65" i="25"/>
  <c r="AK65" i="25" s="1"/>
  <c r="O80" i="42" s="1"/>
  <c r="AS64" i="25"/>
  <c r="AJ64" i="25" s="1"/>
  <c r="M79" i="42" s="1"/>
  <c r="AT56" i="25"/>
  <c r="AK56" i="25" s="1"/>
  <c r="O71" i="42" s="1"/>
  <c r="AT59" i="25"/>
  <c r="AK59" i="25" s="1"/>
  <c r="O74" i="42" s="1"/>
  <c r="Q79" i="3"/>
  <c r="R79" i="3" s="1"/>
  <c r="Q82" i="3"/>
  <c r="R82" i="3" s="1"/>
  <c r="AE68" i="19"/>
  <c r="BO68" i="25"/>
  <c r="AT66" i="25"/>
  <c r="AK66" i="25" s="1"/>
  <c r="O81" i="42" s="1"/>
  <c r="AT64" i="25"/>
  <c r="AK64" i="25" s="1"/>
  <c r="O79" i="42" s="1"/>
  <c r="AE67" i="19"/>
  <c r="BO67" i="25"/>
  <c r="AT57" i="25"/>
  <c r="AK57" i="25" s="1"/>
  <c r="O72" i="42" s="1"/>
  <c r="Q80" i="3"/>
  <c r="R80" i="3" s="1"/>
  <c r="AT63" i="25"/>
  <c r="AK63" i="25" s="1"/>
  <c r="O78" i="42" s="1"/>
  <c r="AS67" i="25"/>
  <c r="AJ67" i="25" s="1"/>
  <c r="M82" i="42" s="1"/>
  <c r="AE64" i="19"/>
  <c r="BO64" i="25"/>
  <c r="U75" i="42"/>
  <c r="AT58" i="25"/>
  <c r="AK58" i="25" s="1"/>
  <c r="O73" i="42" s="1"/>
  <c r="Q83" i="3"/>
  <c r="R83" i="3" s="1"/>
  <c r="Q81" i="3"/>
  <c r="R81" i="3" s="1"/>
  <c r="AE60" i="19"/>
  <c r="BO60" i="25"/>
  <c r="AS65" i="25"/>
  <c r="AJ65" i="25" s="1"/>
  <c r="M80" i="42" s="1"/>
  <c r="AE65" i="19"/>
  <c r="BO65" i="25"/>
  <c r="AE66" i="19"/>
  <c r="BO66" i="25"/>
  <c r="AS66" i="25"/>
  <c r="AJ66" i="25" s="1"/>
  <c r="M81" i="42" s="1"/>
  <c r="AT67" i="25"/>
  <c r="AK67" i="25" s="1"/>
  <c r="O82" i="42" s="1"/>
  <c r="Q38" i="3"/>
  <c r="R38" i="3" s="1"/>
  <c r="Q65" i="3"/>
  <c r="R65" i="3" s="1"/>
  <c r="Q59" i="3"/>
  <c r="R59" i="3" s="1"/>
  <c r="Q55" i="3"/>
  <c r="R55" i="3" s="1"/>
  <c r="AT54" i="25"/>
  <c r="Q62" i="3"/>
  <c r="R62" i="3" s="1"/>
  <c r="Q58" i="3"/>
  <c r="R58" i="3" s="1"/>
  <c r="Q57" i="3"/>
  <c r="R57" i="3" s="1"/>
  <c r="Q66" i="3"/>
  <c r="R66" i="3" s="1"/>
  <c r="AT31" i="25"/>
  <c r="AT27" i="25"/>
  <c r="AE26" i="19"/>
  <c r="AT25" i="25"/>
  <c r="AE31" i="19"/>
  <c r="AT20" i="25"/>
  <c r="IH21" i="25"/>
  <c r="IJ21" i="25" s="1"/>
  <c r="IK21" i="25" s="1"/>
  <c r="IL21" i="25" s="1"/>
  <c r="IQ21" i="25" s="1"/>
  <c r="AE24" i="19"/>
  <c r="AT23" i="25"/>
  <c r="AE28" i="19"/>
  <c r="AE30" i="19"/>
  <c r="AE20" i="19"/>
  <c r="AE29" i="19"/>
  <c r="AT29" i="25"/>
  <c r="AE25" i="19"/>
  <c r="BO25" i="25"/>
  <c r="U71" i="42"/>
  <c r="AE56" i="19"/>
  <c r="U72" i="42"/>
  <c r="AE57" i="19"/>
  <c r="Q37" i="3"/>
  <c r="Q43" i="3"/>
  <c r="R43" i="3" s="1"/>
  <c r="Q49" i="3"/>
  <c r="R49" i="3" s="1"/>
  <c r="Q52" i="3"/>
  <c r="R52" i="3" s="1"/>
  <c r="Q48" i="3"/>
  <c r="R48" i="3" s="1"/>
  <c r="CK33" i="25"/>
  <c r="AR22" i="25"/>
  <c r="AM22" i="25" s="1"/>
  <c r="X22" i="19" s="1"/>
  <c r="BU21" i="25"/>
  <c r="MQ21" i="25"/>
  <c r="BT21" i="25"/>
  <c r="KQ21" i="25"/>
  <c r="BV21" i="25"/>
  <c r="OQ21" i="25"/>
  <c r="S112" i="42"/>
  <c r="AR85" i="25"/>
  <c r="X85" i="19"/>
  <c r="X84" i="19"/>
  <c r="AR84" i="25"/>
  <c r="DU100" i="25"/>
  <c r="DV100" i="25"/>
  <c r="AR87" i="25"/>
  <c r="X87" i="19"/>
  <c r="X94" i="19"/>
  <c r="AR94" i="25"/>
  <c r="X98" i="19"/>
  <c r="AR98" i="25"/>
  <c r="HS103" i="25"/>
  <c r="HR103" i="25"/>
  <c r="AR96" i="25"/>
  <c r="X96" i="19"/>
  <c r="AR69" i="25"/>
  <c r="AM69" i="25" s="1"/>
  <c r="X69" i="19" s="1"/>
  <c r="AR66" i="25"/>
  <c r="AM66" i="25" s="1"/>
  <c r="X66" i="19" s="1"/>
  <c r="X89" i="19"/>
  <c r="AR89" i="25"/>
  <c r="AR64" i="25"/>
  <c r="AM64" i="25" s="1"/>
  <c r="X64" i="19" s="1"/>
  <c r="X99" i="19"/>
  <c r="AR99" i="25"/>
  <c r="RR103" i="25"/>
  <c r="RS103" i="25"/>
  <c r="RR102" i="25"/>
  <c r="RS102" i="25"/>
  <c r="LR103" i="25"/>
  <c r="LS103" i="25"/>
  <c r="X74" i="19"/>
  <c r="AR74" i="25"/>
  <c r="AR82" i="25"/>
  <c r="X82" i="19"/>
  <c r="X83" i="19"/>
  <c r="AR83" i="25"/>
  <c r="PR101" i="25"/>
  <c r="PS101" i="25"/>
  <c r="FR101" i="25"/>
  <c r="FS101" i="25"/>
  <c r="X92" i="19"/>
  <c r="AR92" i="25"/>
  <c r="AR78" i="25"/>
  <c r="X78" i="19"/>
  <c r="NR91" i="25"/>
  <c r="NS91" i="25"/>
  <c r="X81" i="19"/>
  <c r="AR81" i="25"/>
  <c r="LS89" i="25"/>
  <c r="LR89" i="25"/>
  <c r="AR76" i="25"/>
  <c r="X76" i="19"/>
  <c r="X80" i="19"/>
  <c r="AR80" i="25"/>
  <c r="X95" i="19"/>
  <c r="AR95" i="25"/>
  <c r="AW100" i="25"/>
  <c r="U115" i="42" s="1"/>
  <c r="BP100" i="25"/>
  <c r="AE100" i="19" s="1"/>
  <c r="DV103" i="25"/>
  <c r="DU103" i="25"/>
  <c r="JR100" i="25"/>
  <c r="JS100" i="25"/>
  <c r="X93" i="19"/>
  <c r="AR93" i="25"/>
  <c r="X72" i="19"/>
  <c r="AR72" i="25"/>
  <c r="NR100" i="25"/>
  <c r="NS100" i="25"/>
  <c r="AR68" i="25"/>
  <c r="AM68" i="25" s="1"/>
  <c r="X68" i="19" s="1"/>
  <c r="X86" i="19"/>
  <c r="AR86" i="25"/>
  <c r="NR102" i="25"/>
  <c r="NS102" i="25"/>
  <c r="DU101" i="25"/>
  <c r="DV101" i="25"/>
  <c r="FR100" i="25"/>
  <c r="FS100" i="25"/>
  <c r="X77" i="19"/>
  <c r="AR77" i="25"/>
  <c r="AW101" i="25"/>
  <c r="U116" i="42" s="1"/>
  <c r="BP101" i="25"/>
  <c r="AE101" i="19" s="1"/>
  <c r="AR90" i="25"/>
  <c r="X90" i="19"/>
  <c r="X79" i="19"/>
  <c r="AR79" i="25"/>
  <c r="AR73" i="25"/>
  <c r="X73" i="19"/>
  <c r="RS100" i="25"/>
  <c r="RR100" i="25"/>
  <c r="HS100" i="25"/>
  <c r="HR100" i="25"/>
  <c r="AU103" i="25"/>
  <c r="S118" i="42" s="1"/>
  <c r="JR102" i="25"/>
  <c r="JS102" i="25"/>
  <c r="NS93" i="25"/>
  <c r="NR93" i="25"/>
  <c r="U117" i="42"/>
  <c r="AR91" i="25"/>
  <c r="X91" i="19"/>
  <c r="AR63" i="25"/>
  <c r="AM63" i="25" s="1"/>
  <c r="X63" i="19" s="1"/>
  <c r="AU100" i="25"/>
  <c r="S115" i="42" s="1"/>
  <c r="FS97" i="25"/>
  <c r="FR97" i="25"/>
  <c r="AR71" i="25"/>
  <c r="AM71" i="25" s="1"/>
  <c r="X71" i="19" s="1"/>
  <c r="AR65" i="25"/>
  <c r="AM65" i="25" s="1"/>
  <c r="X65" i="19" s="1"/>
  <c r="AO88" i="25"/>
  <c r="Z88" i="19" s="1"/>
  <c r="AR70" i="25"/>
  <c r="AM70" i="25" s="1"/>
  <c r="X70" i="19" s="1"/>
  <c r="BP103" i="25"/>
  <c r="AE103" i="19" s="1"/>
  <c r="AW103" i="25"/>
  <c r="U118" i="42" s="1"/>
  <c r="AU101" i="25"/>
  <c r="S116" i="42" s="1"/>
  <c r="AR67" i="25"/>
  <c r="AM67" i="25" s="1"/>
  <c r="X67" i="19" s="1"/>
  <c r="HS101" i="25"/>
  <c r="HR101" i="25"/>
  <c r="X75" i="19"/>
  <c r="AR75" i="25"/>
  <c r="PR103" i="25"/>
  <c r="PS103" i="25"/>
  <c r="BP102" i="25"/>
  <c r="AE102" i="19" s="1"/>
  <c r="CK43" i="25"/>
  <c r="CK28" i="25"/>
  <c r="CK30" i="25"/>
  <c r="AR58" i="25"/>
  <c r="AM58" i="25" s="1"/>
  <c r="X58" i="19" s="1"/>
  <c r="AR60" i="25"/>
  <c r="AM60" i="25" s="1"/>
  <c r="AR59" i="25"/>
  <c r="AM59" i="25" s="1"/>
  <c r="AR56" i="25"/>
  <c r="AM56" i="25" s="1"/>
  <c r="X56" i="19" s="1"/>
  <c r="AR57" i="25"/>
  <c r="AM57" i="25" s="1"/>
  <c r="X57" i="19" s="1"/>
  <c r="AO48" i="25"/>
  <c r="Z48" i="19" s="1"/>
  <c r="CK53" i="25"/>
  <c r="CK37" i="25"/>
  <c r="Q35" i="3"/>
  <c r="CA54" i="25"/>
  <c r="AL54" i="25" s="1"/>
  <c r="BY54" i="25"/>
  <c r="CA55" i="25"/>
  <c r="AL55" i="25" s="1"/>
  <c r="BY55" i="25"/>
  <c r="BY53" i="25"/>
  <c r="CA53" i="25"/>
  <c r="AL53" i="25" s="1"/>
  <c r="CA43" i="25"/>
  <c r="BY43" i="25"/>
  <c r="BY45" i="25"/>
  <c r="CA45" i="25"/>
  <c r="CA31" i="25"/>
  <c r="BY31" i="25"/>
  <c r="BY21" i="25"/>
  <c r="CA21" i="25"/>
  <c r="BY41" i="25"/>
  <c r="CA41" i="25"/>
  <c r="AL22" i="25"/>
  <c r="CA37" i="25"/>
  <c r="BY37" i="25"/>
  <c r="CA28" i="25"/>
  <c r="BY28" i="25"/>
  <c r="CA27" i="25"/>
  <c r="BY27" i="25"/>
  <c r="CA52" i="25"/>
  <c r="AL52" i="25" s="1"/>
  <c r="BY52" i="25"/>
  <c r="CA42" i="25"/>
  <c r="BY42" i="25"/>
  <c r="CA20" i="25"/>
  <c r="BY20" i="25"/>
  <c r="BY25" i="25"/>
  <c r="CA25" i="25"/>
  <c r="BY32" i="25"/>
  <c r="CA32" i="25"/>
  <c r="BY46" i="25"/>
  <c r="CA46" i="25"/>
  <c r="BY51" i="25"/>
  <c r="CA51" i="25"/>
  <c r="AL51" i="25" s="1"/>
  <c r="BY26" i="25"/>
  <c r="CA26" i="25"/>
  <c r="AK26" i="25" s="1"/>
  <c r="BY36" i="25"/>
  <c r="CA36" i="25"/>
  <c r="CA29" i="25"/>
  <c r="BY29" i="25"/>
  <c r="BY33" i="25"/>
  <c r="CA33" i="25"/>
  <c r="BY30" i="25"/>
  <c r="CA30" i="25"/>
  <c r="AK30" i="25" s="1"/>
  <c r="O45" i="42" s="1"/>
  <c r="CA34" i="25"/>
  <c r="BY34" i="25"/>
  <c r="CA38" i="25"/>
  <c r="BY38" i="25"/>
  <c r="BY50" i="25"/>
  <c r="CA50" i="25"/>
  <c r="AK50" i="25" s="1"/>
  <c r="O65" i="42" s="1"/>
  <c r="BY49" i="25"/>
  <c r="CA49" i="25"/>
  <c r="AK49" i="25" s="1"/>
  <c r="O64" i="42" s="1"/>
  <c r="CA47" i="25"/>
  <c r="BY47" i="25"/>
  <c r="BY23" i="25"/>
  <c r="CA23" i="25"/>
  <c r="BY44" i="25"/>
  <c r="CA44" i="25"/>
  <c r="BY39" i="25"/>
  <c r="CA39" i="25"/>
  <c r="BY35" i="25"/>
  <c r="CA35" i="25"/>
  <c r="BY24" i="25"/>
  <c r="CA24" i="25"/>
  <c r="CA40" i="25"/>
  <c r="BY40" i="25"/>
  <c r="CK20" i="25"/>
  <c r="CK23" i="25"/>
  <c r="CK27" i="25"/>
  <c r="CK31" i="25"/>
  <c r="QQ55" i="25"/>
  <c r="QR55" i="25" s="1"/>
  <c r="SQ55" i="25"/>
  <c r="SS55" i="25" s="1"/>
  <c r="AR54" i="25"/>
  <c r="AM54" i="25" s="1"/>
  <c r="X54" i="19" s="1"/>
  <c r="CK52" i="25"/>
  <c r="CK54" i="25"/>
  <c r="CK55" i="25"/>
  <c r="AR55" i="25"/>
  <c r="AM55" i="25" s="1"/>
  <c r="X55" i="19" s="1"/>
  <c r="CK42" i="25"/>
  <c r="SQ54" i="25"/>
  <c r="QQ54" i="25"/>
  <c r="SQ35" i="25"/>
  <c r="SS35" i="25" s="1"/>
  <c r="CK50" i="25"/>
  <c r="CK49" i="25"/>
  <c r="QQ52" i="25"/>
  <c r="QR52" i="25" s="1"/>
  <c r="CK26" i="25"/>
  <c r="QR22" i="25"/>
  <c r="CK21" i="25"/>
  <c r="SQ53" i="25"/>
  <c r="SS53" i="25" s="1"/>
  <c r="SQ27" i="25"/>
  <c r="SR27" i="25" s="1"/>
  <c r="SQ46" i="25"/>
  <c r="SS46" i="25" s="1"/>
  <c r="QQ51" i="25"/>
  <c r="QS51" i="25" s="1"/>
  <c r="QQ32" i="25"/>
  <c r="QS32" i="25" s="1"/>
  <c r="SQ30" i="25"/>
  <c r="SS30" i="25" s="1"/>
  <c r="QQ30" i="25"/>
  <c r="QS30" i="25" s="1"/>
  <c r="QQ42" i="25"/>
  <c r="QR42" i="25" s="1"/>
  <c r="SQ38" i="25"/>
  <c r="SR38" i="25" s="1"/>
  <c r="SQ39" i="25"/>
  <c r="SR39" i="25" s="1"/>
  <c r="QQ44" i="25"/>
  <c r="QS44" i="25" s="1"/>
  <c r="QQ39" i="25"/>
  <c r="QR39" i="25" s="1"/>
  <c r="SQ51" i="25"/>
  <c r="SR51" i="25" s="1"/>
  <c r="QQ43" i="25"/>
  <c r="QR43" i="25" s="1"/>
  <c r="SQ25" i="25"/>
  <c r="SR25" i="25" s="1"/>
  <c r="QQ34" i="25"/>
  <c r="QS34" i="25" s="1"/>
  <c r="QQ28" i="25"/>
  <c r="QR28" i="25" s="1"/>
  <c r="SQ41" i="25"/>
  <c r="SR41" i="25" s="1"/>
  <c r="SQ43" i="25"/>
  <c r="SR43" i="25" s="1"/>
  <c r="SQ44" i="25"/>
  <c r="SR44" i="25" s="1"/>
  <c r="SQ29" i="25"/>
  <c r="SS29" i="25" s="1"/>
  <c r="QQ38" i="25"/>
  <c r="QS38" i="25" s="1"/>
  <c r="QQ25" i="25"/>
  <c r="QR25" i="25" s="1"/>
  <c r="QQ27" i="25"/>
  <c r="QS27" i="25" s="1"/>
  <c r="QQ49" i="25"/>
  <c r="QS49" i="25" s="1"/>
  <c r="SQ40" i="25"/>
  <c r="SR40" i="25" s="1"/>
  <c r="CK47" i="25"/>
  <c r="SQ50" i="25"/>
  <c r="SR50" i="25" s="1"/>
  <c r="QQ46" i="25"/>
  <c r="QS46" i="25" s="1"/>
  <c r="AR38" i="25"/>
  <c r="AM38" i="25" s="1"/>
  <c r="X38" i="19" s="1"/>
  <c r="AR35" i="25"/>
  <c r="AM35" i="25" s="1"/>
  <c r="X35" i="19" s="1"/>
  <c r="AR53" i="25"/>
  <c r="AM53" i="25" s="1"/>
  <c r="X53" i="19" s="1"/>
  <c r="AR45" i="25"/>
  <c r="AM45" i="25" s="1"/>
  <c r="X45" i="19" s="1"/>
  <c r="AR43" i="25"/>
  <c r="AM43" i="25" s="1"/>
  <c r="X43" i="19" s="1"/>
  <c r="AR33" i="25"/>
  <c r="AM33" i="25" s="1"/>
  <c r="X33" i="19" s="1"/>
  <c r="CK25" i="25"/>
  <c r="CK46" i="25"/>
  <c r="QQ35" i="25"/>
  <c r="CK24" i="25"/>
  <c r="CK51" i="25"/>
  <c r="CK40" i="25"/>
  <c r="CK41" i="25"/>
  <c r="SQ26" i="25"/>
  <c r="SR22" i="25"/>
  <c r="SS22" i="25"/>
  <c r="AR47" i="25"/>
  <c r="AM47" i="25" s="1"/>
  <c r="X47" i="19" s="1"/>
  <c r="AR26" i="25"/>
  <c r="AM26" i="25" s="1"/>
  <c r="X26" i="19" s="1"/>
  <c r="AR30" i="25"/>
  <c r="AM30" i="25" s="1"/>
  <c r="X30" i="19" s="1"/>
  <c r="AR42" i="25"/>
  <c r="AM42" i="25" s="1"/>
  <c r="X42" i="19" s="1"/>
  <c r="AR39" i="25"/>
  <c r="AM39" i="25" s="1"/>
  <c r="X39" i="19" s="1"/>
  <c r="AR36" i="25"/>
  <c r="AM36" i="25" s="1"/>
  <c r="X36" i="19" s="1"/>
  <c r="AR27" i="25"/>
  <c r="AM27" i="25" s="1"/>
  <c r="X27" i="19" s="1"/>
  <c r="AR20" i="25"/>
  <c r="AM20" i="25" s="1"/>
  <c r="X20" i="19" s="1"/>
  <c r="AR29" i="25"/>
  <c r="AM29" i="25" s="1"/>
  <c r="X29" i="19" s="1"/>
  <c r="QQ33" i="25"/>
  <c r="QQ20" i="25"/>
  <c r="QQ47" i="25"/>
  <c r="SQ32" i="25"/>
  <c r="CK32" i="25"/>
  <c r="QQ23" i="25"/>
  <c r="SQ52" i="25"/>
  <c r="SQ36" i="25"/>
  <c r="CK44" i="25"/>
  <c r="SQ20" i="25"/>
  <c r="CK35" i="25"/>
  <c r="QQ26" i="25"/>
  <c r="QQ36" i="25"/>
  <c r="AR24" i="25"/>
  <c r="AM24" i="25" s="1"/>
  <c r="X24" i="19" s="1"/>
  <c r="AR51" i="25"/>
  <c r="AM51" i="25" s="1"/>
  <c r="X51" i="19" s="1"/>
  <c r="AR46" i="25"/>
  <c r="AM46" i="25" s="1"/>
  <c r="X46" i="19" s="1"/>
  <c r="AR25" i="25"/>
  <c r="AM25" i="25" s="1"/>
  <c r="X25" i="19" s="1"/>
  <c r="AR31" i="25"/>
  <c r="AM31" i="25" s="1"/>
  <c r="X31" i="19" s="1"/>
  <c r="AR34" i="25"/>
  <c r="AM34" i="25" s="1"/>
  <c r="X34" i="19" s="1"/>
  <c r="AR52" i="25"/>
  <c r="AM52" i="25" s="1"/>
  <c r="X52" i="19" s="1"/>
  <c r="AR32" i="25"/>
  <c r="AM32" i="25" s="1"/>
  <c r="X32" i="19" s="1"/>
  <c r="AR37" i="25"/>
  <c r="AM37" i="25" s="1"/>
  <c r="X37" i="19" s="1"/>
  <c r="AR41" i="25"/>
  <c r="AM41" i="25" s="1"/>
  <c r="X41" i="19" s="1"/>
  <c r="QQ37" i="25"/>
  <c r="SQ34" i="25"/>
  <c r="SQ24" i="25"/>
  <c r="QQ45" i="25"/>
  <c r="QQ50" i="25"/>
  <c r="QQ53" i="25"/>
  <c r="SQ28" i="25"/>
  <c r="QQ31" i="25"/>
  <c r="QQ21" i="25"/>
  <c r="SQ45" i="25"/>
  <c r="SQ31" i="25"/>
  <c r="QQ24" i="25"/>
  <c r="QQ40" i="25"/>
  <c r="SQ23" i="25"/>
  <c r="CK36" i="25"/>
  <c r="SQ49" i="25"/>
  <c r="SQ37" i="25"/>
  <c r="QQ29" i="25"/>
  <c r="AR44" i="25"/>
  <c r="AM44" i="25" s="1"/>
  <c r="X44" i="19" s="1"/>
  <c r="AR50" i="25"/>
  <c r="AM50" i="25" s="1"/>
  <c r="X50" i="19" s="1"/>
  <c r="AR49" i="25"/>
  <c r="AM49" i="25" s="1"/>
  <c r="X49" i="19" s="1"/>
  <c r="AR23" i="25"/>
  <c r="AM23" i="25" s="1"/>
  <c r="X23" i="19" s="1"/>
  <c r="AR28" i="25"/>
  <c r="AM28" i="25" s="1"/>
  <c r="X28" i="19" s="1"/>
  <c r="QR49" i="25"/>
  <c r="QR51" i="25"/>
  <c r="CK34" i="25"/>
  <c r="CK38" i="25"/>
  <c r="SQ42" i="25"/>
  <c r="SQ47" i="25"/>
  <c r="CK39" i="25"/>
  <c r="SQ33" i="25"/>
  <c r="SQ21" i="25"/>
  <c r="CK29" i="25"/>
  <c r="QQ41" i="25"/>
  <c r="R41" i="3"/>
  <c r="R37" i="3"/>
  <c r="R35" i="3"/>
  <c r="AK24" i="25" l="1"/>
  <c r="S84" i="42"/>
  <c r="AK28" i="25"/>
  <c r="O43" i="42" s="1"/>
  <c r="AJ62" i="25"/>
  <c r="M77" i="42" s="1"/>
  <c r="S77" i="42"/>
  <c r="S86" i="42"/>
  <c r="U86" i="42"/>
  <c r="U84" i="42"/>
  <c r="U77" i="42"/>
  <c r="U85" i="42"/>
  <c r="S85" i="42"/>
  <c r="S75" i="42"/>
  <c r="AJ60" i="25"/>
  <c r="M75" i="42" s="1"/>
  <c r="AJ56" i="25"/>
  <c r="M71" i="42" s="1"/>
  <c r="S71" i="42"/>
  <c r="AK53" i="25"/>
  <c r="O68" i="42" s="1"/>
  <c r="AK51" i="25"/>
  <c r="O66" i="42" s="1"/>
  <c r="AI48" i="25"/>
  <c r="V48" i="19" s="1"/>
  <c r="AK52" i="25"/>
  <c r="O67" i="42" s="1"/>
  <c r="AK55" i="25"/>
  <c r="O70" i="42" s="1"/>
  <c r="AK54" i="25"/>
  <c r="O69" i="42" s="1"/>
  <c r="AK29" i="25"/>
  <c r="O44" i="42" s="1"/>
  <c r="AK20" i="25"/>
  <c r="AK27" i="25"/>
  <c r="O42" i="42" s="1"/>
  <c r="AK47" i="25"/>
  <c r="O62" i="42" s="1"/>
  <c r="AK41" i="25"/>
  <c r="O56" i="42" s="1"/>
  <c r="AK32" i="25"/>
  <c r="O47" i="42" s="1"/>
  <c r="AK45" i="25"/>
  <c r="O60" i="42" s="1"/>
  <c r="AK35" i="25"/>
  <c r="O50" i="42" s="1"/>
  <c r="AK37" i="25"/>
  <c r="O52" i="42" s="1"/>
  <c r="AK42" i="25"/>
  <c r="O57" i="42" s="1"/>
  <c r="AK25" i="25"/>
  <c r="AK38" i="25"/>
  <c r="O53" i="42" s="1"/>
  <c r="AK44" i="25"/>
  <c r="O59" i="42" s="1"/>
  <c r="AK39" i="25"/>
  <c r="O54" i="42" s="1"/>
  <c r="AK33" i="25"/>
  <c r="O48" i="42" s="1"/>
  <c r="AK34" i="25"/>
  <c r="O49" i="42" s="1"/>
  <c r="AK23" i="25"/>
  <c r="AK31" i="25"/>
  <c r="O46" i="42" s="1"/>
  <c r="AK46" i="25"/>
  <c r="O61" i="42" s="1"/>
  <c r="AK43" i="25"/>
  <c r="O58" i="42" s="1"/>
  <c r="AK40" i="25"/>
  <c r="O55" i="42" s="1"/>
  <c r="AK36" i="25"/>
  <c r="O51" i="42" s="1"/>
  <c r="BS21" i="25"/>
  <c r="X61" i="19"/>
  <c r="AO61" i="25"/>
  <c r="AI61" i="25" s="1"/>
  <c r="X62" i="19"/>
  <c r="AO62" i="25"/>
  <c r="AI62" i="25" s="1"/>
  <c r="U74" i="42"/>
  <c r="U81" i="42"/>
  <c r="U79" i="42"/>
  <c r="U82" i="42"/>
  <c r="S80" i="42"/>
  <c r="U78" i="42"/>
  <c r="U80" i="42"/>
  <c r="S83" i="42"/>
  <c r="U73" i="42"/>
  <c r="S81" i="42"/>
  <c r="S82" i="42"/>
  <c r="S79" i="42"/>
  <c r="U83" i="42"/>
  <c r="S78" i="42"/>
  <c r="QS52" i="25"/>
  <c r="W22" i="19"/>
  <c r="AX21" i="25"/>
  <c r="AZ21" i="25"/>
  <c r="AY21" i="25"/>
  <c r="S70" i="42"/>
  <c r="W55" i="19"/>
  <c r="S67" i="42"/>
  <c r="W52" i="19"/>
  <c r="X97" i="19"/>
  <c r="S66" i="42"/>
  <c r="W51" i="19"/>
  <c r="S69" i="42"/>
  <c r="W54" i="19"/>
  <c r="AO60" i="25"/>
  <c r="AI60" i="25" s="1"/>
  <c r="X60" i="19"/>
  <c r="S68" i="42"/>
  <c r="W53" i="19"/>
  <c r="AO59" i="25"/>
  <c r="AI59" i="25" s="1"/>
  <c r="X59" i="19"/>
  <c r="OR21" i="25"/>
  <c r="OS21" i="25"/>
  <c r="MS21" i="25"/>
  <c r="MR21" i="25"/>
  <c r="IR21" i="25"/>
  <c r="IS21" i="25"/>
  <c r="KS21" i="25"/>
  <c r="KR21" i="25"/>
  <c r="AR97" i="25"/>
  <c r="AO70" i="25"/>
  <c r="AO71" i="25"/>
  <c r="AO63" i="25"/>
  <c r="AR103" i="25"/>
  <c r="X103" i="19"/>
  <c r="AO73" i="25"/>
  <c r="Z73" i="19" s="1"/>
  <c r="AO76" i="25"/>
  <c r="Z76" i="19" s="1"/>
  <c r="AO99" i="25"/>
  <c r="Z99" i="19" s="1"/>
  <c r="AO98" i="25"/>
  <c r="Z98" i="19" s="1"/>
  <c r="AR102" i="25"/>
  <c r="AO65" i="25"/>
  <c r="AO77" i="25"/>
  <c r="Z77" i="19" s="1"/>
  <c r="AO83" i="25"/>
  <c r="Z83" i="19" s="1"/>
  <c r="AO82" i="25"/>
  <c r="Z82" i="19" s="1"/>
  <c r="AO89" i="25"/>
  <c r="Z89" i="19" s="1"/>
  <c r="AO87" i="25"/>
  <c r="Z87" i="19" s="1"/>
  <c r="AO84" i="25"/>
  <c r="Z84" i="19" s="1"/>
  <c r="X102" i="19"/>
  <c r="AO91" i="25"/>
  <c r="Z91" i="19" s="1"/>
  <c r="AO79" i="25"/>
  <c r="Z79" i="19" s="1"/>
  <c r="AO90" i="25"/>
  <c r="Z90" i="19" s="1"/>
  <c r="AO86" i="25"/>
  <c r="Z86" i="19" s="1"/>
  <c r="AO97" i="25"/>
  <c r="Z97" i="19" s="1"/>
  <c r="AO93" i="25"/>
  <c r="Z93" i="19" s="1"/>
  <c r="AO80" i="25"/>
  <c r="Z80" i="19" s="1"/>
  <c r="AO81" i="25"/>
  <c r="Z81" i="19" s="1"/>
  <c r="AO78" i="25"/>
  <c r="Z78" i="19" s="1"/>
  <c r="AO92" i="25"/>
  <c r="Z92" i="19" s="1"/>
  <c r="AO66" i="25"/>
  <c r="AO96" i="25"/>
  <c r="Z96" i="19" s="1"/>
  <c r="AO75" i="25"/>
  <c r="Z75" i="19" s="1"/>
  <c r="AO67" i="25"/>
  <c r="X101" i="19"/>
  <c r="AR101" i="25"/>
  <c r="V88" i="19"/>
  <c r="X100" i="19"/>
  <c r="AR100" i="25"/>
  <c r="AO68" i="25"/>
  <c r="AO72" i="25"/>
  <c r="Z72" i="19" s="1"/>
  <c r="AO95" i="25"/>
  <c r="Z95" i="19" s="1"/>
  <c r="AO74" i="25"/>
  <c r="Z74" i="19" s="1"/>
  <c r="AO64" i="25"/>
  <c r="AO69" i="25"/>
  <c r="AO94" i="25"/>
  <c r="Z94" i="19" s="1"/>
  <c r="AO85" i="25"/>
  <c r="Z85" i="19" s="1"/>
  <c r="QS39" i="25"/>
  <c r="AO56" i="25"/>
  <c r="AO58" i="25"/>
  <c r="AO57" i="25"/>
  <c r="U66" i="42"/>
  <c r="U68" i="42"/>
  <c r="U67" i="42"/>
  <c r="U69" i="42"/>
  <c r="U70" i="42"/>
  <c r="QS25" i="25"/>
  <c r="U37" i="42"/>
  <c r="S37" i="42"/>
  <c r="AO22" i="25"/>
  <c r="AI22" i="25" s="1"/>
  <c r="AL24" i="25"/>
  <c r="AL39" i="25"/>
  <c r="AL23" i="25"/>
  <c r="AL49" i="25"/>
  <c r="AL30" i="25"/>
  <c r="AL20" i="25"/>
  <c r="AL28" i="25"/>
  <c r="AL31" i="25"/>
  <c r="AL43" i="25"/>
  <c r="AL40" i="25"/>
  <c r="AL47" i="25"/>
  <c r="AL34" i="25"/>
  <c r="AL36" i="25"/>
  <c r="AL32" i="25"/>
  <c r="AL35" i="25"/>
  <c r="AL44" i="25"/>
  <c r="AL50" i="25"/>
  <c r="AL33" i="25"/>
  <c r="AL29" i="25"/>
  <c r="AL42" i="25"/>
  <c r="AL27" i="25"/>
  <c r="AL37" i="25"/>
  <c r="AL38" i="25"/>
  <c r="AL26" i="25"/>
  <c r="AL46" i="25"/>
  <c r="AL25" i="25"/>
  <c r="AL41" i="25"/>
  <c r="AL21" i="25"/>
  <c r="AL45" i="25"/>
  <c r="SS40" i="25"/>
  <c r="SS38" i="25"/>
  <c r="SR29" i="25"/>
  <c r="SS27" i="25"/>
  <c r="SS43" i="25"/>
  <c r="QR38" i="25"/>
  <c r="SS51" i="25"/>
  <c r="QR27" i="25"/>
  <c r="QS42" i="25"/>
  <c r="QR34" i="25"/>
  <c r="QR32" i="25"/>
  <c r="SS39" i="25"/>
  <c r="SR35" i="25"/>
  <c r="QS28" i="25"/>
  <c r="SS25" i="25"/>
  <c r="QR30" i="25"/>
  <c r="QR44" i="25"/>
  <c r="QR46" i="25"/>
  <c r="SS44" i="25"/>
  <c r="QS43" i="25"/>
  <c r="SS50" i="25"/>
  <c r="SR30" i="25"/>
  <c r="SR46" i="25"/>
  <c r="SS41" i="25"/>
  <c r="QS55" i="25"/>
  <c r="SR55" i="25"/>
  <c r="QS54" i="25"/>
  <c r="QR54" i="25"/>
  <c r="AO55" i="25"/>
  <c r="AI55" i="25" s="1"/>
  <c r="AO54" i="25"/>
  <c r="AI54" i="25" s="1"/>
  <c r="SS54" i="25"/>
  <c r="SR54" i="25"/>
  <c r="SR53" i="25"/>
  <c r="SS31" i="25"/>
  <c r="SR31" i="25"/>
  <c r="QR21" i="25"/>
  <c r="QS21" i="25"/>
  <c r="QR53" i="25"/>
  <c r="QS53" i="25"/>
  <c r="SR24" i="25"/>
  <c r="SS24" i="25"/>
  <c r="AO51" i="25"/>
  <c r="AI51" i="25" s="1"/>
  <c r="QR33" i="25"/>
  <c r="QS33" i="25"/>
  <c r="QS41" i="25"/>
  <c r="QR41" i="25"/>
  <c r="SS33" i="25"/>
  <c r="SR33" i="25"/>
  <c r="SS49" i="25"/>
  <c r="SR49" i="25"/>
  <c r="QS24" i="25"/>
  <c r="QR24" i="25"/>
  <c r="SS45" i="25"/>
  <c r="SR45" i="25"/>
  <c r="SS28" i="25"/>
  <c r="SR28" i="25"/>
  <c r="QR45" i="25"/>
  <c r="QS45" i="25"/>
  <c r="QR26" i="25"/>
  <c r="QS26" i="25"/>
  <c r="SS20" i="25"/>
  <c r="SR20" i="25"/>
  <c r="QR23" i="25"/>
  <c r="QS23" i="25"/>
  <c r="AO52" i="25"/>
  <c r="AI52" i="25" s="1"/>
  <c r="QR35" i="25"/>
  <c r="QS35" i="25"/>
  <c r="AO53" i="25"/>
  <c r="AI53" i="25" s="1"/>
  <c r="SS42" i="25"/>
  <c r="SR42" i="25"/>
  <c r="SS37" i="25"/>
  <c r="SR37" i="25"/>
  <c r="QR40" i="25"/>
  <c r="QS40" i="25"/>
  <c r="QS50" i="25"/>
  <c r="QR50" i="25"/>
  <c r="SR34" i="25"/>
  <c r="SS34" i="25"/>
  <c r="QR37" i="25"/>
  <c r="QS37" i="25"/>
  <c r="QR36" i="25"/>
  <c r="QS36" i="25"/>
  <c r="SS52" i="25"/>
  <c r="SR52" i="25"/>
  <c r="QS47" i="25"/>
  <c r="QR47" i="25"/>
  <c r="SS21" i="25"/>
  <c r="SR21" i="25"/>
  <c r="SR47" i="25"/>
  <c r="SS47" i="25"/>
  <c r="QR29" i="25"/>
  <c r="QS29" i="25"/>
  <c r="SS23" i="25"/>
  <c r="SR23" i="25"/>
  <c r="QS31" i="25"/>
  <c r="QR31" i="25"/>
  <c r="SR36" i="25"/>
  <c r="SS36" i="25"/>
  <c r="SR32" i="25"/>
  <c r="SS32" i="25"/>
  <c r="QS20" i="25"/>
  <c r="QR20" i="25"/>
  <c r="SR26" i="25"/>
  <c r="SS26" i="25"/>
  <c r="M36" i="3"/>
  <c r="N36" i="3"/>
  <c r="L36" i="3"/>
  <c r="K36" i="3"/>
  <c r="Z64" i="19" l="1"/>
  <c r="AI64" i="25"/>
  <c r="Z68" i="19"/>
  <c r="AI68" i="25"/>
  <c r="V68" i="19" s="1"/>
  <c r="Z71" i="19"/>
  <c r="AI71" i="25"/>
  <c r="V71" i="19" s="1"/>
  <c r="Z69" i="19"/>
  <c r="AI69" i="25"/>
  <c r="V69" i="19" s="1"/>
  <c r="Z65" i="19"/>
  <c r="AI65" i="25"/>
  <c r="V65" i="19" s="1"/>
  <c r="Z63" i="19"/>
  <c r="AI63" i="25"/>
  <c r="V63" i="19" s="1"/>
  <c r="Z67" i="19"/>
  <c r="AI67" i="25"/>
  <c r="Z66" i="19"/>
  <c r="AI66" i="25"/>
  <c r="V66" i="19" s="1"/>
  <c r="Z70" i="19"/>
  <c r="AI70" i="25"/>
  <c r="V70" i="19" s="1"/>
  <c r="AW21" i="25"/>
  <c r="Z58" i="19"/>
  <c r="AI58" i="25"/>
  <c r="V58" i="19" s="1"/>
  <c r="Z57" i="19"/>
  <c r="AI57" i="25"/>
  <c r="Z56" i="19"/>
  <c r="AI56" i="25"/>
  <c r="V56" i="19" s="1"/>
  <c r="BP21" i="25"/>
  <c r="BO21" i="25" s="1"/>
  <c r="W45" i="19"/>
  <c r="W37" i="19"/>
  <c r="W39" i="19"/>
  <c r="W41" i="19"/>
  <c r="W35" i="19"/>
  <c r="Z61" i="19"/>
  <c r="V61" i="19"/>
  <c r="Z62" i="19"/>
  <c r="V62" i="19"/>
  <c r="W21" i="19"/>
  <c r="W26" i="19"/>
  <c r="W27" i="19"/>
  <c r="AT21" i="25"/>
  <c r="AK21" i="25" s="1"/>
  <c r="Q36" i="3"/>
  <c r="W20" i="19"/>
  <c r="AE21" i="19"/>
  <c r="V52" i="19"/>
  <c r="Z52" i="19"/>
  <c r="U40" i="42"/>
  <c r="W25" i="19"/>
  <c r="AO33" i="25"/>
  <c r="AI33" i="25" s="1"/>
  <c r="W33" i="19"/>
  <c r="S55" i="42"/>
  <c r="W40" i="19"/>
  <c r="V51" i="19"/>
  <c r="Z51" i="19"/>
  <c r="AO38" i="25"/>
  <c r="W38" i="19"/>
  <c r="AO28" i="25"/>
  <c r="AI28" i="25" s="1"/>
  <c r="W28" i="19"/>
  <c r="AO42" i="25"/>
  <c r="W42" i="19"/>
  <c r="AO44" i="25"/>
  <c r="AI44" i="25" s="1"/>
  <c r="W44" i="19"/>
  <c r="AO34" i="25"/>
  <c r="W34" i="19"/>
  <c r="AO31" i="25"/>
  <c r="AI31" i="25" s="1"/>
  <c r="W31" i="19"/>
  <c r="AO49" i="25"/>
  <c r="AI49" i="25" s="1"/>
  <c r="W49" i="19"/>
  <c r="V22" i="19"/>
  <c r="Z22" i="19"/>
  <c r="V59" i="19"/>
  <c r="Z59" i="19"/>
  <c r="V60" i="19"/>
  <c r="Z60" i="19"/>
  <c r="V55" i="19"/>
  <c r="Z55" i="19"/>
  <c r="AO32" i="25"/>
  <c r="AI32" i="25" s="1"/>
  <c r="W32" i="19"/>
  <c r="V54" i="19"/>
  <c r="Z54" i="19"/>
  <c r="AO29" i="25"/>
  <c r="AI29" i="25" s="1"/>
  <c r="W29" i="19"/>
  <c r="S62" i="42"/>
  <c r="W47" i="19"/>
  <c r="AO23" i="25"/>
  <c r="AI23" i="25" s="1"/>
  <c r="W23" i="19"/>
  <c r="V53" i="19"/>
  <c r="Z53" i="19"/>
  <c r="AO46" i="25"/>
  <c r="W46" i="19"/>
  <c r="AO50" i="25"/>
  <c r="AI50" i="25" s="1"/>
  <c r="W50" i="19"/>
  <c r="AO36" i="25"/>
  <c r="AI36" i="25" s="1"/>
  <c r="W36" i="19"/>
  <c r="AO43" i="25"/>
  <c r="AI43" i="25" s="1"/>
  <c r="W43" i="19"/>
  <c r="U45" i="42"/>
  <c r="W30" i="19"/>
  <c r="AO24" i="25"/>
  <c r="W24" i="19"/>
  <c r="V94" i="19"/>
  <c r="V64" i="19"/>
  <c r="V95" i="19"/>
  <c r="V72" i="19"/>
  <c r="AO101" i="25"/>
  <c r="Z101" i="19" s="1"/>
  <c r="V67" i="19"/>
  <c r="AO102" i="25"/>
  <c r="Z102" i="19" s="1"/>
  <c r="V87" i="19"/>
  <c r="V82" i="19"/>
  <c r="V77" i="19"/>
  <c r="V78" i="19"/>
  <c r="V80" i="19"/>
  <c r="V97" i="19"/>
  <c r="V90" i="19"/>
  <c r="V91" i="19"/>
  <c r="V98" i="19"/>
  <c r="V76" i="19"/>
  <c r="AO103" i="25"/>
  <c r="Z103" i="19" s="1"/>
  <c r="V85" i="19"/>
  <c r="V74" i="19"/>
  <c r="V75" i="19"/>
  <c r="V84" i="19"/>
  <c r="V89" i="19"/>
  <c r="V83" i="19"/>
  <c r="AO100" i="25"/>
  <c r="Z100" i="19" s="1"/>
  <c r="V96" i="19"/>
  <c r="V92" i="19"/>
  <c r="V81" i="19"/>
  <c r="V93" i="19"/>
  <c r="V86" i="19"/>
  <c r="V79" i="19"/>
  <c r="V99" i="19"/>
  <c r="V73" i="19"/>
  <c r="AO47" i="25"/>
  <c r="AI47" i="25" s="1"/>
  <c r="AO39" i="25"/>
  <c r="AI39" i="25" s="1"/>
  <c r="AO40" i="25"/>
  <c r="AI40" i="25" s="1"/>
  <c r="V57" i="19"/>
  <c r="S65" i="42"/>
  <c r="U65" i="42"/>
  <c r="S64" i="42"/>
  <c r="U64" i="42"/>
  <c r="S57" i="42"/>
  <c r="U57" i="42"/>
  <c r="S59" i="42"/>
  <c r="U59" i="42"/>
  <c r="S61" i="42"/>
  <c r="U61" i="42"/>
  <c r="S58" i="42"/>
  <c r="U58" i="42"/>
  <c r="S60" i="42"/>
  <c r="U60" i="42"/>
  <c r="U62" i="42"/>
  <c r="S52" i="42"/>
  <c r="U52" i="42"/>
  <c r="S44" i="42"/>
  <c r="U44" i="42"/>
  <c r="S49" i="42"/>
  <c r="U49" i="42"/>
  <c r="S46" i="42"/>
  <c r="U46" i="42"/>
  <c r="S45" i="42"/>
  <c r="S56" i="42"/>
  <c r="U56" i="42"/>
  <c r="S53" i="42"/>
  <c r="U53" i="42"/>
  <c r="S51" i="42"/>
  <c r="U51" i="42"/>
  <c r="S47" i="42"/>
  <c r="U47" i="42"/>
  <c r="U55" i="42"/>
  <c r="S54" i="42"/>
  <c r="U54" i="42"/>
  <c r="AO41" i="25"/>
  <c r="AI41" i="25" s="1"/>
  <c r="AO30" i="25"/>
  <c r="AI30" i="25" s="1"/>
  <c r="S48" i="42"/>
  <c r="U48" i="42"/>
  <c r="AO35" i="25"/>
  <c r="AI35" i="25" s="1"/>
  <c r="S50" i="42"/>
  <c r="U50" i="42"/>
  <c r="S43" i="42"/>
  <c r="U43" i="42"/>
  <c r="AO25" i="25"/>
  <c r="AI25" i="25" s="1"/>
  <c r="S42" i="42"/>
  <c r="U42" i="42"/>
  <c r="S38" i="42"/>
  <c r="U38" i="42"/>
  <c r="S41" i="42"/>
  <c r="U41" i="42"/>
  <c r="S40" i="42"/>
  <c r="S39" i="42"/>
  <c r="U39" i="42"/>
  <c r="AO26" i="25"/>
  <c r="AI26" i="25" s="1"/>
  <c r="AO27" i="25"/>
  <c r="AI27" i="25" s="1"/>
  <c r="S36" i="42"/>
  <c r="S35" i="42"/>
  <c r="U35" i="42"/>
  <c r="AO20" i="25"/>
  <c r="AO45" i="25"/>
  <c r="AO37" i="25"/>
  <c r="AI37" i="25" s="1"/>
  <c r="R36" i="3"/>
  <c r="U36" i="42" l="1"/>
  <c r="AR21" i="25"/>
  <c r="AM21" i="25" s="1"/>
  <c r="X21" i="19" s="1"/>
  <c r="Z24" i="19"/>
  <c r="AI24" i="25"/>
  <c r="V24" i="19" s="1"/>
  <c r="Z34" i="19"/>
  <c r="AI34" i="25"/>
  <c r="V34" i="19" s="1"/>
  <c r="Z42" i="19"/>
  <c r="AI42" i="25"/>
  <c r="V42" i="19" s="1"/>
  <c r="Z38" i="19"/>
  <c r="AI38" i="25"/>
  <c r="V38" i="19" s="1"/>
  <c r="Z45" i="19"/>
  <c r="AI45" i="25"/>
  <c r="V45" i="19" s="1"/>
  <c r="Z46" i="19"/>
  <c r="AI46" i="25"/>
  <c r="V46" i="19" s="1"/>
  <c r="Z20" i="19"/>
  <c r="AI20" i="25"/>
  <c r="V20" i="19" s="1"/>
  <c r="V41" i="19"/>
  <c r="Z41" i="19"/>
  <c r="V36" i="19"/>
  <c r="Z36" i="19"/>
  <c r="V23" i="19"/>
  <c r="Z23" i="19"/>
  <c r="V31" i="19"/>
  <c r="Z31" i="19"/>
  <c r="V25" i="19"/>
  <c r="Z25" i="19"/>
  <c r="V40" i="19"/>
  <c r="Z40" i="19"/>
  <c r="V43" i="19"/>
  <c r="Z43" i="19"/>
  <c r="V50" i="19"/>
  <c r="Z50" i="19"/>
  <c r="V49" i="19"/>
  <c r="Z49" i="19"/>
  <c r="V27" i="19"/>
  <c r="Z27" i="19"/>
  <c r="V35" i="19"/>
  <c r="Z35" i="19"/>
  <c r="V39" i="19"/>
  <c r="Z39" i="19"/>
  <c r="V29" i="19"/>
  <c r="Z29" i="19"/>
  <c r="V32" i="19"/>
  <c r="Z32" i="19"/>
  <c r="V44" i="19"/>
  <c r="Z44" i="19"/>
  <c r="V28" i="19"/>
  <c r="Z28" i="19"/>
  <c r="V33" i="19"/>
  <c r="Z33" i="19"/>
  <c r="V30" i="19"/>
  <c r="Z30" i="19"/>
  <c r="V37" i="19"/>
  <c r="Z37" i="19"/>
  <c r="V26" i="19"/>
  <c r="Z26" i="19"/>
  <c r="V47" i="19"/>
  <c r="Z47" i="19"/>
  <c r="V102" i="19"/>
  <c r="V101" i="19"/>
  <c r="V100" i="19"/>
  <c r="V103" i="19"/>
  <c r="AO21" i="25" l="1"/>
  <c r="AI21" i="25" s="1"/>
  <c r="V21" i="19" s="1"/>
  <c r="F52" i="10"/>
  <c r="F38" i="10"/>
  <c r="Z21" i="19" l="1"/>
  <c r="U15" i="19"/>
  <c r="Q15" i="19"/>
  <c r="H15" i="19"/>
  <c r="I15" i="19"/>
  <c r="K15" i="25" s="1"/>
  <c r="G15" i="19"/>
  <c r="B15" i="19" s="1"/>
  <c r="AF15" i="19"/>
  <c r="P15" i="19"/>
  <c r="CK15" i="19"/>
  <c r="BY15" i="19"/>
  <c r="B30" i="3" l="1"/>
  <c r="SB15" i="25"/>
  <c r="SC15" i="25" s="1"/>
  <c r="BN15" i="25" s="1"/>
  <c r="TB15" i="25"/>
  <c r="UE15" i="25"/>
  <c r="OB15" i="25"/>
  <c r="KB15" i="25"/>
  <c r="GB15" i="25"/>
  <c r="GG15" i="25" s="1"/>
  <c r="NB15" i="25"/>
  <c r="NC15" i="25" s="1"/>
  <c r="JB15" i="25"/>
  <c r="JT15" i="25" s="1"/>
  <c r="FB15" i="25"/>
  <c r="FC15" i="25" s="1"/>
  <c r="RB15" i="25"/>
  <c r="RC15" i="25" s="1"/>
  <c r="LB15" i="25"/>
  <c r="HB15" i="25"/>
  <c r="HD15" i="25" s="1"/>
  <c r="DE15" i="25"/>
  <c r="PB15" i="25"/>
  <c r="PT15" i="25" s="1"/>
  <c r="MB15" i="25"/>
  <c r="MT15" i="25" s="1"/>
  <c r="IB15" i="25"/>
  <c r="EB15" i="25"/>
  <c r="AP15" i="25" s="1"/>
  <c r="QB15" i="25"/>
  <c r="QC15" i="25" s="1"/>
  <c r="UN15" i="25"/>
  <c r="UO15" i="25"/>
  <c r="UI15" i="25"/>
  <c r="UD15" i="25"/>
  <c r="UM15" i="25"/>
  <c r="UP15" i="25" s="1"/>
  <c r="TO15" i="25"/>
  <c r="TM15" i="25"/>
  <c r="TN15" i="25"/>
  <c r="TI15" i="25"/>
  <c r="IA15" i="25"/>
  <c r="TD15" i="25"/>
  <c r="TA15" i="25"/>
  <c r="OA15" i="25"/>
  <c r="PO15" i="25"/>
  <c r="IO15" i="25"/>
  <c r="HA15" i="25"/>
  <c r="SI15" i="25"/>
  <c r="OM15" i="25"/>
  <c r="OP15" i="25" s="1"/>
  <c r="JI15" i="25"/>
  <c r="SM15" i="25"/>
  <c r="DP15" i="25"/>
  <c r="QO15" i="25"/>
  <c r="LA15" i="25"/>
  <c r="EA15" i="25"/>
  <c r="DD15" i="25"/>
  <c r="KO15" i="25"/>
  <c r="FI15" i="25"/>
  <c r="LN15" i="25"/>
  <c r="RM15" i="25"/>
  <c r="JO15" i="25"/>
  <c r="HM15" i="25"/>
  <c r="HP15" i="25" s="1"/>
  <c r="KI15" i="25"/>
  <c r="B30" i="42"/>
  <c r="SN15" i="25"/>
  <c r="LM15" i="25"/>
  <c r="LP15" i="25" s="1"/>
  <c r="OO15" i="25"/>
  <c r="QM15" i="25"/>
  <c r="KA15" i="25"/>
  <c r="RN15" i="25"/>
  <c r="II15" i="25"/>
  <c r="OI15" i="25"/>
  <c r="MO15" i="25"/>
  <c r="GI15" i="25"/>
  <c r="IM15" i="25"/>
  <c r="IP15" i="25" s="1"/>
  <c r="LI15" i="25"/>
  <c r="NO15" i="25"/>
  <c r="MI15" i="25"/>
  <c r="ES15" i="25"/>
  <c r="GO15" i="25"/>
  <c r="ON15" i="25"/>
  <c r="RO15" i="25"/>
  <c r="HN15" i="25"/>
  <c r="HI15" i="25"/>
  <c r="EQ15" i="25"/>
  <c r="KN15" i="25"/>
  <c r="GA15" i="25"/>
  <c r="QN15" i="25"/>
  <c r="PM15" i="25"/>
  <c r="NA15" i="25"/>
  <c r="GM15" i="25"/>
  <c r="GP15" i="25" s="1"/>
  <c r="Q15" i="25"/>
  <c r="JN15" i="25"/>
  <c r="EL15" i="25"/>
  <c r="JA15" i="25"/>
  <c r="IN15" i="25"/>
  <c r="FM15" i="25"/>
  <c r="FP15" i="25" s="1"/>
  <c r="FO15" i="25"/>
  <c r="PI15" i="25"/>
  <c r="NI15" i="25"/>
  <c r="MA15" i="25"/>
  <c r="ER15" i="25"/>
  <c r="QI15" i="25"/>
  <c r="DR15" i="25"/>
  <c r="DQ15" i="25"/>
  <c r="MM15" i="25"/>
  <c r="MP15" i="25" s="1"/>
  <c r="FN15" i="25"/>
  <c r="FA15" i="25"/>
  <c r="MN15" i="25"/>
  <c r="SO15" i="25"/>
  <c r="PN15" i="25"/>
  <c r="LO15" i="25"/>
  <c r="SA15" i="25"/>
  <c r="QA15" i="25"/>
  <c r="RA15" i="25"/>
  <c r="PA15" i="25"/>
  <c r="KM15" i="25"/>
  <c r="KP15" i="25" s="1"/>
  <c r="NN15" i="25"/>
  <c r="GD15" i="25"/>
  <c r="JM15" i="25"/>
  <c r="JP15" i="25" s="1"/>
  <c r="HO15" i="25"/>
  <c r="NM15" i="25"/>
  <c r="NP15" i="25" s="1"/>
  <c r="RI15" i="25"/>
  <c r="GN15" i="25"/>
  <c r="I15" i="25"/>
  <c r="R15" i="25"/>
  <c r="J15" i="25"/>
  <c r="M15" i="25"/>
  <c r="EG15" i="25" l="1"/>
  <c r="EI15" i="25"/>
  <c r="EH15" i="25"/>
  <c r="EO15" i="25" s="1"/>
  <c r="IT15" i="25"/>
  <c r="IB4" i="25"/>
  <c r="DJ15" i="25"/>
  <c r="DX15" i="25" s="1"/>
  <c r="DF15" i="25"/>
  <c r="EX15" i="25"/>
  <c r="AH15" i="25" s="1"/>
  <c r="EC15" i="25"/>
  <c r="JE15" i="25"/>
  <c r="JC15" i="25"/>
  <c r="GU15" i="25"/>
  <c r="C30" i="42"/>
  <c r="J30" i="42"/>
  <c r="NT15" i="25"/>
  <c r="AC15" i="25"/>
  <c r="S15" i="25"/>
  <c r="F30" i="3"/>
  <c r="FT15" i="25"/>
  <c r="FD15" i="25"/>
  <c r="C30" i="3"/>
  <c r="D30" i="3"/>
  <c r="G30" i="3"/>
  <c r="E30" i="3"/>
  <c r="G30" i="42"/>
  <c r="L30" i="42"/>
  <c r="AJ30" i="42"/>
  <c r="TT15" i="25"/>
  <c r="TE15" i="25"/>
  <c r="PE15" i="25"/>
  <c r="PD15" i="25"/>
  <c r="PC15" i="25"/>
  <c r="BM15" i="25" s="1"/>
  <c r="ND15" i="25"/>
  <c r="UT15" i="25"/>
  <c r="QE15" i="25"/>
  <c r="ED15" i="25"/>
  <c r="UC15" i="25"/>
  <c r="JD15" i="25"/>
  <c r="KE15" i="25"/>
  <c r="TC15" i="25"/>
  <c r="MC15" i="25"/>
  <c r="LE15" i="25"/>
  <c r="D30" i="42"/>
  <c r="T30" i="42"/>
  <c r="OE15" i="25"/>
  <c r="IE15" i="25"/>
  <c r="N30" i="42"/>
  <c r="ME15" i="25"/>
  <c r="DW15" i="25"/>
  <c r="IC15" i="25"/>
  <c r="NE15" i="25"/>
  <c r="E30" i="42"/>
  <c r="RT15" i="25"/>
  <c r="FG15" i="25"/>
  <c r="FU15" i="25" s="1"/>
  <c r="DG15" i="25"/>
  <c r="LC15" i="25"/>
  <c r="LD15" i="25"/>
  <c r="LT15" i="25"/>
  <c r="HT15" i="25"/>
  <c r="HC15" i="25"/>
  <c r="RD15" i="25"/>
  <c r="RE15" i="25"/>
  <c r="ST15" i="25"/>
  <c r="SE15" i="25"/>
  <c r="QT15" i="25"/>
  <c r="HE15" i="25"/>
  <c r="OT15" i="25"/>
  <c r="OC15" i="25"/>
  <c r="GT15" i="25"/>
  <c r="GC15" i="25"/>
  <c r="KC15" i="25"/>
  <c r="BJ15" i="25" s="1"/>
  <c r="KT15" i="25"/>
  <c r="S30" i="3"/>
  <c r="W15" i="25" l="1"/>
  <c r="U15" i="25"/>
  <c r="V15" i="25" s="1"/>
  <c r="R30" i="42"/>
  <c r="EY15" i="25"/>
  <c r="CL15" i="25" s="1"/>
  <c r="K30" i="42"/>
  <c r="I30" i="42"/>
  <c r="CF15" i="25"/>
  <c r="AI30" i="42"/>
  <c r="CD15" i="25"/>
  <c r="CV15" i="25"/>
  <c r="CC15" i="25"/>
  <c r="BL15" i="25"/>
  <c r="CG15" i="25"/>
  <c r="CW15" i="25"/>
  <c r="CM15" i="25"/>
  <c r="CE15" i="25"/>
  <c r="T15" i="25" l="1"/>
  <c r="X15" i="25" s="1"/>
  <c r="Z15" i="25" s="1"/>
  <c r="AA15" i="25" l="1"/>
  <c r="Y15" i="25"/>
  <c r="AG15" i="25"/>
  <c r="Q30" i="42" s="1"/>
  <c r="R15" i="19"/>
  <c r="P15" i="20" s="1"/>
  <c r="H30" i="42"/>
  <c r="TP15" i="25"/>
  <c r="IF15" i="25" l="1"/>
  <c r="IG15" i="25" s="1"/>
  <c r="IU15" i="25" s="1"/>
  <c r="SF15" i="25"/>
  <c r="SG15" i="25" s="1"/>
  <c r="QF15" i="25"/>
  <c r="QG15" i="25" s="1"/>
  <c r="S15" i="19"/>
  <c r="PF15" i="25"/>
  <c r="PG15" i="25" s="1"/>
  <c r="OF15" i="25"/>
  <c r="OG15" i="25" s="1"/>
  <c r="OU15" i="25" s="1"/>
  <c r="UF15" i="25"/>
  <c r="UG15" i="25" s="1"/>
  <c r="UU15" i="25" s="1"/>
  <c r="LF15" i="25"/>
  <c r="LG15" i="25" s="1"/>
  <c r="LU15" i="25" s="1"/>
  <c r="RF15" i="25"/>
  <c r="RG15" i="25" s="1"/>
  <c r="KF15" i="25"/>
  <c r="KG15" i="25" s="1"/>
  <c r="KU15" i="25" s="1"/>
  <c r="NF15" i="25"/>
  <c r="NG15" i="25" s="1"/>
  <c r="NU15" i="25" s="1"/>
  <c r="AD15" i="25"/>
  <c r="TF15" i="25"/>
  <c r="TG15" i="25" s="1"/>
  <c r="TU15" i="25" s="1"/>
  <c r="MF15" i="25"/>
  <c r="MG15" i="25" s="1"/>
  <c r="MU15" i="25" s="1"/>
  <c r="AE15" i="25"/>
  <c r="HF15" i="25"/>
  <c r="HG15" i="25" s="1"/>
  <c r="HU15" i="25" s="1"/>
  <c r="JF15" i="25"/>
  <c r="JG15" i="25" s="1"/>
  <c r="JU15" i="25" s="1"/>
  <c r="T15" i="19"/>
  <c r="RH15" i="25" l="1"/>
  <c r="RJ15" i="25" s="1"/>
  <c r="RK15" i="25" s="1"/>
  <c r="RL15" i="25" s="1"/>
  <c r="RP15" i="25" s="1"/>
  <c r="PH15" i="25"/>
  <c r="PJ15" i="25" s="1"/>
  <c r="PK15" i="25" s="1"/>
  <c r="PL15" i="25" s="1"/>
  <c r="PP15" i="25" s="1"/>
  <c r="LH15" i="25"/>
  <c r="LJ15" i="25" s="1"/>
  <c r="LK15" i="25" s="1"/>
  <c r="LL15" i="25" s="1"/>
  <c r="NH15" i="25"/>
  <c r="HH15" i="25"/>
  <c r="HJ15" i="25" s="1"/>
  <c r="HK15" i="25" s="1"/>
  <c r="HL15" i="25" s="1"/>
  <c r="JH15" i="25"/>
  <c r="AF15" i="25"/>
  <c r="IH15" i="25"/>
  <c r="CN15" i="25"/>
  <c r="CX15" i="25"/>
  <c r="SH15" i="25"/>
  <c r="SJ15" i="25" s="1"/>
  <c r="SK15" i="25" s="1"/>
  <c r="SL15" i="25" s="1"/>
  <c r="SU15" i="25" s="1"/>
  <c r="DC15" i="25"/>
  <c r="DA15" i="25"/>
  <c r="OH15" i="25"/>
  <c r="OJ15" i="25" s="1"/>
  <c r="OK15" i="25" s="1"/>
  <c r="OL15" i="25" s="1"/>
  <c r="CQ15" i="25"/>
  <c r="DB15" i="25"/>
  <c r="QH15" i="25"/>
  <c r="QJ15" i="25" s="1"/>
  <c r="QK15" i="25" s="1"/>
  <c r="QL15" i="25" s="1"/>
  <c r="QU15" i="25" s="1"/>
  <c r="CO15" i="25"/>
  <c r="KH15" i="25"/>
  <c r="CY15" i="25"/>
  <c r="CP15" i="25"/>
  <c r="MH15" i="25"/>
  <c r="MJ15" i="25" s="1"/>
  <c r="MK15" i="25" s="1"/>
  <c r="ML15" i="25" s="1"/>
  <c r="CZ15" i="25"/>
  <c r="PU15" i="25" l="1"/>
  <c r="RU15" i="25"/>
  <c r="LQ15" i="25"/>
  <c r="HQ15" i="25"/>
  <c r="NJ15" i="25"/>
  <c r="NK15" i="25" s="1"/>
  <c r="NL15" i="25" s="1"/>
  <c r="BX15" i="25"/>
  <c r="KJ15" i="25"/>
  <c r="KK15" i="25" s="1"/>
  <c r="KL15" i="25" s="1"/>
  <c r="IJ15" i="25"/>
  <c r="IK15" i="25" s="1"/>
  <c r="IL15" i="25" s="1"/>
  <c r="JJ15" i="25"/>
  <c r="JK15" i="25" s="1"/>
  <c r="JL15" i="25" s="1"/>
  <c r="BW15" i="25"/>
  <c r="BU15" i="25"/>
  <c r="MQ15" i="25"/>
  <c r="BV15" i="25"/>
  <c r="OQ15" i="25"/>
  <c r="CU15" i="25"/>
  <c r="P30" i="3"/>
  <c r="BA15" i="25" l="1"/>
  <c r="AZ15" i="25"/>
  <c r="HR15" i="25"/>
  <c r="HS15" i="25"/>
  <c r="LS15" i="25"/>
  <c r="LR15" i="25"/>
  <c r="NQ15" i="25"/>
  <c r="JQ15" i="25"/>
  <c r="BS15" i="25"/>
  <c r="IQ15" i="25"/>
  <c r="MS15" i="25"/>
  <c r="MR15" i="25"/>
  <c r="BT15" i="25"/>
  <c r="KQ15" i="25"/>
  <c r="BB15" i="25"/>
  <c r="OS15" i="25"/>
  <c r="OR15" i="25"/>
  <c r="QP15" i="25"/>
  <c r="CH15" i="25" s="1"/>
  <c r="CR15" i="25"/>
  <c r="SP15" i="25"/>
  <c r="CI15" i="25" s="1"/>
  <c r="CS15" i="25"/>
  <c r="DR16" i="19"/>
  <c r="CT16" i="19"/>
  <c r="EC16" i="19"/>
  <c r="DF16" i="19"/>
  <c r="BV16" i="19"/>
  <c r="CH16" i="19"/>
  <c r="AX16" i="19"/>
  <c r="BJ16" i="19"/>
  <c r="AO16" i="19"/>
  <c r="Q16" i="19"/>
  <c r="AF16" i="19"/>
  <c r="U16" i="19"/>
  <c r="K16" i="25"/>
  <c r="P16" i="19"/>
  <c r="O30" i="3"/>
  <c r="N30" i="3"/>
  <c r="AX15" i="25" l="1"/>
  <c r="NS15" i="25"/>
  <c r="NR15" i="25"/>
  <c r="JS15" i="25"/>
  <c r="JR15" i="25"/>
  <c r="B16" i="19"/>
  <c r="B31" i="42"/>
  <c r="C31" i="42" s="1"/>
  <c r="SQ15" i="25"/>
  <c r="SR15" i="25" s="1"/>
  <c r="IS15" i="25"/>
  <c r="IR15" i="25"/>
  <c r="CK15" i="25"/>
  <c r="QQ15" i="25"/>
  <c r="BY15" i="25"/>
  <c r="CA15" i="25"/>
  <c r="KS15" i="25"/>
  <c r="KR15" i="25"/>
  <c r="DF17" i="19"/>
  <c r="BJ17" i="19"/>
  <c r="DR17" i="19"/>
  <c r="BV17" i="19"/>
  <c r="CH17" i="19"/>
  <c r="AX17" i="19"/>
  <c r="CT17" i="19"/>
  <c r="EC17" i="19"/>
  <c r="AO17" i="19"/>
  <c r="EC19" i="19"/>
  <c r="CH19" i="19"/>
  <c r="AO19" i="19"/>
  <c r="CT19" i="19"/>
  <c r="AX19" i="19"/>
  <c r="DF19" i="19"/>
  <c r="BV19" i="19"/>
  <c r="DR19" i="19"/>
  <c r="BJ19" i="19"/>
  <c r="DR18" i="19"/>
  <c r="BV18" i="19"/>
  <c r="EC18" i="19"/>
  <c r="CH18" i="19"/>
  <c r="AO18" i="19"/>
  <c r="CT18" i="19"/>
  <c r="AX18" i="19"/>
  <c r="DF18" i="19"/>
  <c r="BJ18" i="19"/>
  <c r="TB16" i="25"/>
  <c r="TC16" i="25" s="1"/>
  <c r="UB16" i="25"/>
  <c r="UC16" i="25" s="1"/>
  <c r="MB16" i="25"/>
  <c r="MT16" i="25" s="1"/>
  <c r="QB16" i="25"/>
  <c r="QC16" i="25" s="1"/>
  <c r="OB16" i="25"/>
  <c r="OC16" i="25" s="1"/>
  <c r="SB16" i="25"/>
  <c r="ST16" i="25" s="1"/>
  <c r="IB16" i="25"/>
  <c r="IC16" i="25" s="1"/>
  <c r="KB16" i="25"/>
  <c r="GB16" i="25"/>
  <c r="GC16" i="25" s="1"/>
  <c r="EB16" i="25"/>
  <c r="AP16" i="25" s="1"/>
  <c r="PB16" i="25"/>
  <c r="PC16" i="25" s="1"/>
  <c r="RB16" i="25"/>
  <c r="RT16" i="25" s="1"/>
  <c r="LB16" i="25"/>
  <c r="LT16" i="25" s="1"/>
  <c r="NB16" i="25"/>
  <c r="NT16" i="25" s="1"/>
  <c r="HB16" i="25"/>
  <c r="HC16" i="25" s="1"/>
  <c r="JB16" i="25"/>
  <c r="FB16" i="25"/>
  <c r="FC16" i="25" s="1"/>
  <c r="DE16" i="25"/>
  <c r="DJ16" i="25" s="1"/>
  <c r="Q19" i="19"/>
  <c r="Q17" i="19"/>
  <c r="Q18" i="19"/>
  <c r="UO16" i="25"/>
  <c r="UA16" i="25"/>
  <c r="UN16" i="25"/>
  <c r="UI16" i="25"/>
  <c r="UD16" i="25"/>
  <c r="UM16" i="25"/>
  <c r="UP16" i="25" s="1"/>
  <c r="TO16" i="25"/>
  <c r="TN16" i="25"/>
  <c r="TM16" i="25"/>
  <c r="TI16" i="25"/>
  <c r="TD16" i="25"/>
  <c r="TA16" i="25"/>
  <c r="AF17" i="19"/>
  <c r="AF18" i="19"/>
  <c r="Q16" i="25"/>
  <c r="AF19" i="19"/>
  <c r="B31" i="3"/>
  <c r="U17" i="19"/>
  <c r="U18" i="19"/>
  <c r="U19" i="19"/>
  <c r="K17" i="25"/>
  <c r="K19" i="25"/>
  <c r="K18" i="25"/>
  <c r="P19" i="19"/>
  <c r="P17" i="19"/>
  <c r="P18" i="19"/>
  <c r="R16" i="25"/>
  <c r="J16" i="25"/>
  <c r="I16" i="25"/>
  <c r="PA16" i="25"/>
  <c r="QA16" i="25"/>
  <c r="RA16" i="25"/>
  <c r="SA16" i="25"/>
  <c r="M16" i="25"/>
  <c r="NN16" i="25"/>
  <c r="QM16" i="25"/>
  <c r="ER16" i="25"/>
  <c r="JO16" i="25"/>
  <c r="MO16" i="25"/>
  <c r="KA16" i="25"/>
  <c r="LI16" i="25"/>
  <c r="FI16" i="25"/>
  <c r="SO16" i="25"/>
  <c r="ON16" i="25"/>
  <c r="JM16" i="25"/>
  <c r="JP16" i="25" s="1"/>
  <c r="KM16" i="25"/>
  <c r="KP16" i="25" s="1"/>
  <c r="EL16" i="25"/>
  <c r="GI16" i="25"/>
  <c r="RI16" i="25"/>
  <c r="KO16" i="25"/>
  <c r="QO16" i="25"/>
  <c r="FN16" i="25"/>
  <c r="OO16" i="25"/>
  <c r="QI16" i="25"/>
  <c r="SI16" i="25"/>
  <c r="NI16" i="25"/>
  <c r="JA16" i="25"/>
  <c r="OA16" i="25"/>
  <c r="NO16" i="25"/>
  <c r="IA16" i="25"/>
  <c r="DR16" i="25"/>
  <c r="MM16" i="25"/>
  <c r="MP16" i="25" s="1"/>
  <c r="DL16" i="25"/>
  <c r="II16" i="25"/>
  <c r="RM16" i="25"/>
  <c r="GO16" i="25"/>
  <c r="NA16" i="25"/>
  <c r="DQ16" i="25"/>
  <c r="ES16" i="25"/>
  <c r="HI16" i="25"/>
  <c r="MA16" i="25"/>
  <c r="PI16" i="25"/>
  <c r="GN16" i="25"/>
  <c r="HM16" i="25"/>
  <c r="HP16" i="25" s="1"/>
  <c r="KN16" i="25"/>
  <c r="OM16" i="25"/>
  <c r="OP16" i="25" s="1"/>
  <c r="LM16" i="25"/>
  <c r="LP16" i="25" s="1"/>
  <c r="HA16" i="25"/>
  <c r="OI16" i="25"/>
  <c r="LA16" i="25"/>
  <c r="NM16" i="25"/>
  <c r="NP16" i="25" s="1"/>
  <c r="DP16" i="25"/>
  <c r="MN16" i="25"/>
  <c r="EQ16" i="25"/>
  <c r="FO16" i="25"/>
  <c r="GA16" i="25"/>
  <c r="JI16" i="25"/>
  <c r="IO16" i="25"/>
  <c r="EA16" i="25"/>
  <c r="GM16" i="25"/>
  <c r="GP16" i="25" s="1"/>
  <c r="FA16" i="25"/>
  <c r="LO16" i="25"/>
  <c r="FM16" i="25"/>
  <c r="FP16" i="25" s="1"/>
  <c r="PO16" i="25"/>
  <c r="QN16" i="25"/>
  <c r="RO16" i="25"/>
  <c r="HO16" i="25"/>
  <c r="MI16" i="25"/>
  <c r="SN16" i="25"/>
  <c r="KI16" i="25"/>
  <c r="PM16" i="25"/>
  <c r="IM16" i="25"/>
  <c r="IP16" i="25" s="1"/>
  <c r="IN16" i="25"/>
  <c r="LN16" i="25"/>
  <c r="HN16" i="25"/>
  <c r="RN16" i="25"/>
  <c r="JN16" i="25"/>
  <c r="SM16" i="25"/>
  <c r="PN16" i="25"/>
  <c r="GD16" i="25"/>
  <c r="L30" i="3"/>
  <c r="ME16" i="25" l="1"/>
  <c r="EG16" i="25"/>
  <c r="EH16" i="25"/>
  <c r="EO16" i="25" s="1"/>
  <c r="EI16" i="25"/>
  <c r="N15" i="19"/>
  <c r="G32" i="12"/>
  <c r="IE16" i="25"/>
  <c r="G30" i="12"/>
  <c r="G31" i="12"/>
  <c r="DX16" i="25"/>
  <c r="E31" i="3"/>
  <c r="S16" i="25"/>
  <c r="AC16" i="25"/>
  <c r="B17" i="19"/>
  <c r="B32" i="42"/>
  <c r="B18" i="19"/>
  <c r="B33" i="42"/>
  <c r="C33" i="42" s="1"/>
  <c r="B19" i="19"/>
  <c r="N19" i="19" s="1"/>
  <c r="B34" i="42"/>
  <c r="C34" i="42" s="1"/>
  <c r="SS15" i="25"/>
  <c r="Q11" i="19"/>
  <c r="QR15" i="25"/>
  <c r="QS15" i="25"/>
  <c r="W30" i="42"/>
  <c r="TE16" i="25"/>
  <c r="UB19" i="25"/>
  <c r="UC19" i="25" s="1"/>
  <c r="TB19" i="25"/>
  <c r="TE19" i="25" s="1"/>
  <c r="TB18" i="25"/>
  <c r="TE18" i="25" s="1"/>
  <c r="UB18" i="25"/>
  <c r="UC18" i="25" s="1"/>
  <c r="TB17" i="25"/>
  <c r="TE17" i="25" s="1"/>
  <c r="UB17" i="25"/>
  <c r="UT17" i="25" s="1"/>
  <c r="QB19" i="25"/>
  <c r="QT19" i="25" s="1"/>
  <c r="MB19" i="25"/>
  <c r="MT19" i="25" s="1"/>
  <c r="IB19" i="25"/>
  <c r="IC19" i="25" s="1"/>
  <c r="EB19" i="25"/>
  <c r="AP19" i="25" s="1"/>
  <c r="NB19" i="25"/>
  <c r="ND19" i="25" s="1"/>
  <c r="PB19" i="25"/>
  <c r="SB19" i="25"/>
  <c r="OB19" i="25"/>
  <c r="KB19" i="25"/>
  <c r="GB19" i="25"/>
  <c r="RB19" i="25"/>
  <c r="RD19" i="25" s="1"/>
  <c r="JB19" i="25"/>
  <c r="JC19" i="25" s="1"/>
  <c r="FB19" i="25"/>
  <c r="FT19" i="25" s="1"/>
  <c r="LB19" i="25"/>
  <c r="HB19" i="25"/>
  <c r="HC19" i="25" s="1"/>
  <c r="DE19" i="25"/>
  <c r="DF19" i="25" s="1"/>
  <c r="EB18" i="25"/>
  <c r="PB18" i="25"/>
  <c r="OB18" i="25"/>
  <c r="GB18" i="25"/>
  <c r="GG18" i="25" s="1"/>
  <c r="RB18" i="25"/>
  <c r="RC18" i="25" s="1"/>
  <c r="JB18" i="25"/>
  <c r="JC18" i="25" s="1"/>
  <c r="FB18" i="25"/>
  <c r="FC18" i="25" s="1"/>
  <c r="DE18" i="25"/>
  <c r="DG18" i="25" s="1"/>
  <c r="SB18" i="25"/>
  <c r="SC18" i="25" s="1"/>
  <c r="BN18" i="25" s="1"/>
  <c r="MB18" i="25"/>
  <c r="IB18" i="25"/>
  <c r="IT18" i="25" s="1"/>
  <c r="NB18" i="25"/>
  <c r="NT18" i="25" s="1"/>
  <c r="QB18" i="25"/>
  <c r="QT18" i="25" s="1"/>
  <c r="LB18" i="25"/>
  <c r="LC18" i="25" s="1"/>
  <c r="KB18" i="25"/>
  <c r="HB18" i="25"/>
  <c r="HT18" i="25" s="1"/>
  <c r="OB17" i="25"/>
  <c r="OC17" i="25" s="1"/>
  <c r="KB17" i="25"/>
  <c r="GB17" i="25"/>
  <c r="GC17" i="25" s="1"/>
  <c r="RB17" i="25"/>
  <c r="RC17" i="25" s="1"/>
  <c r="JB17" i="25"/>
  <c r="JD17" i="25" s="1"/>
  <c r="HB17" i="25"/>
  <c r="FB17" i="25"/>
  <c r="DE17" i="25"/>
  <c r="DG17" i="25" s="1"/>
  <c r="QB17" i="25"/>
  <c r="QT17" i="25" s="1"/>
  <c r="EB17" i="25"/>
  <c r="AP17" i="25" s="1"/>
  <c r="PB17" i="25"/>
  <c r="SB17" i="25"/>
  <c r="MB17" i="25"/>
  <c r="MT17" i="25" s="1"/>
  <c r="IB17" i="25"/>
  <c r="NB17" i="25"/>
  <c r="NT17" i="25" s="1"/>
  <c r="LB17" i="25"/>
  <c r="EC16" i="25"/>
  <c r="ED16" i="25"/>
  <c r="UT16" i="25"/>
  <c r="UE16" i="25"/>
  <c r="G31" i="3"/>
  <c r="UI18" i="25"/>
  <c r="UD18" i="25"/>
  <c r="UA18" i="25"/>
  <c r="UO18" i="25"/>
  <c r="UN18" i="25"/>
  <c r="UM18" i="25"/>
  <c r="UP18" i="25" s="1"/>
  <c r="UO17" i="25"/>
  <c r="UN17" i="25"/>
  <c r="UI17" i="25"/>
  <c r="UD17" i="25"/>
  <c r="UM17" i="25"/>
  <c r="UP17" i="25" s="1"/>
  <c r="UA17" i="25"/>
  <c r="UO19" i="25"/>
  <c r="UD19" i="25"/>
  <c r="UN19" i="25"/>
  <c r="UI19" i="25"/>
  <c r="UM19" i="25"/>
  <c r="UP19" i="25" s="1"/>
  <c r="UA19" i="25"/>
  <c r="TN19" i="25"/>
  <c r="TM19" i="25"/>
  <c r="TP19" i="25" s="1"/>
  <c r="TO19" i="25"/>
  <c r="TT16" i="25"/>
  <c r="TM18" i="25"/>
  <c r="TO18" i="25"/>
  <c r="TN18" i="25"/>
  <c r="TO17" i="25"/>
  <c r="TN17" i="25"/>
  <c r="TM17" i="25"/>
  <c r="KT16" i="25"/>
  <c r="TI18" i="25"/>
  <c r="TD18" i="25"/>
  <c r="TA18" i="25"/>
  <c r="TI17" i="25"/>
  <c r="TD17" i="25"/>
  <c r="TA17" i="25"/>
  <c r="TG16" i="25"/>
  <c r="TU16" i="25" s="1"/>
  <c r="TI19" i="25"/>
  <c r="TD19" i="25"/>
  <c r="TA19" i="25"/>
  <c r="Q19" i="25"/>
  <c r="Q17" i="25"/>
  <c r="Q18" i="25"/>
  <c r="D31" i="42"/>
  <c r="N31" i="42"/>
  <c r="AI31" i="42" s="1"/>
  <c r="AJ31" i="42" s="1"/>
  <c r="T31" i="42"/>
  <c r="E31" i="42"/>
  <c r="B32" i="3"/>
  <c r="C31" i="3"/>
  <c r="F31" i="3"/>
  <c r="D31" i="3"/>
  <c r="G31" i="42"/>
  <c r="L31" i="42"/>
  <c r="J31" i="42"/>
  <c r="B33" i="3"/>
  <c r="B34" i="3"/>
  <c r="MC16" i="25"/>
  <c r="IT16" i="25"/>
  <c r="EX16" i="25"/>
  <c r="AH16" i="25" s="1"/>
  <c r="R19" i="25"/>
  <c r="R18" i="25"/>
  <c r="R17" i="25"/>
  <c r="SE16" i="25"/>
  <c r="J19" i="25"/>
  <c r="I19" i="25"/>
  <c r="J17" i="25"/>
  <c r="J18" i="25"/>
  <c r="I17" i="25"/>
  <c r="I18" i="25"/>
  <c r="SC16" i="25"/>
  <c r="CD16" i="25"/>
  <c r="RE16" i="25"/>
  <c r="DW16" i="25"/>
  <c r="PE16" i="25"/>
  <c r="BM16" i="25"/>
  <c r="SA19" i="25"/>
  <c r="PA19" i="25"/>
  <c r="QA19" i="25"/>
  <c r="RA19" i="25"/>
  <c r="RA18" i="25"/>
  <c r="SA18" i="25"/>
  <c r="PA18" i="25"/>
  <c r="QA18" i="25"/>
  <c r="QA17" i="25"/>
  <c r="RA17" i="25"/>
  <c r="SA17" i="25"/>
  <c r="PA17" i="25"/>
  <c r="OE16" i="25"/>
  <c r="PT16" i="25"/>
  <c r="LE16" i="25"/>
  <c r="PD16" i="25"/>
  <c r="QE16" i="25"/>
  <c r="QT16" i="25"/>
  <c r="JE16" i="25"/>
  <c r="KE16" i="25"/>
  <c r="KC16" i="25"/>
  <c r="CC16" i="25"/>
  <c r="HD16" i="25"/>
  <c r="NE16" i="25"/>
  <c r="HT16" i="25"/>
  <c r="ND16" i="25"/>
  <c r="NC16" i="25"/>
  <c r="CG16" i="25" s="1"/>
  <c r="JD16" i="25"/>
  <c r="RQ15" i="25"/>
  <c r="PQ15" i="25"/>
  <c r="LD16" i="25"/>
  <c r="FD16" i="25"/>
  <c r="DG16" i="25"/>
  <c r="GT16" i="25"/>
  <c r="DF16" i="25"/>
  <c r="OT16" i="25"/>
  <c r="FT16" i="25"/>
  <c r="RC16" i="25"/>
  <c r="HE16" i="25"/>
  <c r="GG16" i="25"/>
  <c r="GU16" i="25" s="1"/>
  <c r="JT16" i="25"/>
  <c r="JC16" i="25"/>
  <c r="FG16" i="25"/>
  <c r="FU16" i="25" s="1"/>
  <c r="RD16" i="25"/>
  <c r="LC16" i="25"/>
  <c r="KM18" i="25"/>
  <c r="KP18" i="25" s="1"/>
  <c r="SN18" i="25"/>
  <c r="LI18" i="25"/>
  <c r="SI18" i="25"/>
  <c r="JA18" i="25"/>
  <c r="HI18" i="25"/>
  <c r="JI18" i="25"/>
  <c r="LM18" i="25"/>
  <c r="LP18" i="25" s="1"/>
  <c r="FI18" i="25"/>
  <c r="FA18" i="25"/>
  <c r="NI18" i="25"/>
  <c r="LN18" i="25"/>
  <c r="MA18" i="25"/>
  <c r="QN18" i="25"/>
  <c r="NA18" i="25"/>
  <c r="ER18" i="25"/>
  <c r="FM18" i="25"/>
  <c r="FP18" i="25" s="1"/>
  <c r="GA18" i="25"/>
  <c r="LA18" i="25"/>
  <c r="ES18" i="25"/>
  <c r="NO18" i="25"/>
  <c r="FN18" i="25"/>
  <c r="KI18" i="25"/>
  <c r="RN18" i="25"/>
  <c r="EA18" i="25"/>
  <c r="RI18" i="25"/>
  <c r="PC18" i="25"/>
  <c r="DL18" i="25"/>
  <c r="NN18" i="25"/>
  <c r="KO18" i="25"/>
  <c r="GI18" i="25"/>
  <c r="GO18" i="25"/>
  <c r="MO18" i="25"/>
  <c r="JO18" i="25"/>
  <c r="HM18" i="25"/>
  <c r="MI18" i="25"/>
  <c r="JN18" i="25"/>
  <c r="IN18" i="25"/>
  <c r="MM18" i="25"/>
  <c r="MP18" i="25" s="1"/>
  <c r="SM18" i="25"/>
  <c r="GM18" i="25"/>
  <c r="GP18" i="25" s="1"/>
  <c r="OI18" i="25"/>
  <c r="EQ18" i="25"/>
  <c r="JM18" i="25"/>
  <c r="JP18" i="25" s="1"/>
  <c r="OO18" i="25"/>
  <c r="QI18" i="25"/>
  <c r="PO18" i="25"/>
  <c r="PI18" i="25"/>
  <c r="IO18" i="25"/>
  <c r="RM18" i="25"/>
  <c r="OA18" i="25"/>
  <c r="FO18" i="25"/>
  <c r="RO18" i="25"/>
  <c r="KN18" i="25"/>
  <c r="GN18" i="25"/>
  <c r="KA18" i="25"/>
  <c r="II18" i="25"/>
  <c r="HO18" i="25"/>
  <c r="PM18" i="25"/>
  <c r="QM18" i="25"/>
  <c r="HN18" i="25"/>
  <c r="NM18" i="25"/>
  <c r="NP18" i="25" s="1"/>
  <c r="GD18" i="25"/>
  <c r="DP18" i="25"/>
  <c r="OM18" i="25"/>
  <c r="OP18" i="25" s="1"/>
  <c r="QO18" i="25"/>
  <c r="EL18" i="25"/>
  <c r="MN18" i="25"/>
  <c r="LO18" i="25"/>
  <c r="ON18" i="25"/>
  <c r="DQ18" i="25"/>
  <c r="PN18" i="25"/>
  <c r="IA18" i="25"/>
  <c r="IM18" i="25"/>
  <c r="IP18" i="25" s="1"/>
  <c r="HA18" i="25"/>
  <c r="DR18" i="25"/>
  <c r="SO18" i="25"/>
  <c r="M18" i="25"/>
  <c r="M19" i="25"/>
  <c r="M17" i="25"/>
  <c r="PN19" i="25"/>
  <c r="KM19" i="25"/>
  <c r="KP19" i="25" s="1"/>
  <c r="HA19" i="25"/>
  <c r="NM19" i="25"/>
  <c r="NP19" i="25" s="1"/>
  <c r="IA19" i="25"/>
  <c r="GN19" i="25"/>
  <c r="LO19" i="25"/>
  <c r="RO19" i="25"/>
  <c r="SI19" i="25"/>
  <c r="OI19" i="25"/>
  <c r="QM19" i="25"/>
  <c r="HI19" i="25"/>
  <c r="GO19" i="25"/>
  <c r="JM19" i="25"/>
  <c r="JP19" i="25" s="1"/>
  <c r="NI19" i="25"/>
  <c r="FO19" i="25"/>
  <c r="KA19" i="25"/>
  <c r="IM19" i="25"/>
  <c r="IP19" i="25" s="1"/>
  <c r="LN19" i="25"/>
  <c r="LA19" i="25"/>
  <c r="IN19" i="25"/>
  <c r="NO19" i="25"/>
  <c r="OM19" i="25"/>
  <c r="OP19" i="25" s="1"/>
  <c r="EL19" i="25"/>
  <c r="DQ19" i="25"/>
  <c r="SO19" i="25"/>
  <c r="MA19" i="25"/>
  <c r="RM19" i="25"/>
  <c r="EA19" i="25"/>
  <c r="DP19" i="25"/>
  <c r="JA19" i="25"/>
  <c r="NN19" i="25"/>
  <c r="SM19" i="25"/>
  <c r="PC19" i="25"/>
  <c r="IO19" i="25"/>
  <c r="ES19" i="25"/>
  <c r="QN19" i="25"/>
  <c r="LT19" i="25"/>
  <c r="JO19" i="25"/>
  <c r="DL19" i="25"/>
  <c r="RN19" i="25"/>
  <c r="ON19" i="25"/>
  <c r="JI19" i="25"/>
  <c r="ER19" i="25"/>
  <c r="FN19" i="25"/>
  <c r="KO19" i="25"/>
  <c r="GD19" i="25"/>
  <c r="SN19" i="25"/>
  <c r="KI19" i="25"/>
  <c r="MM19" i="25"/>
  <c r="MP19" i="25" s="1"/>
  <c r="MI19" i="25"/>
  <c r="JN19" i="25"/>
  <c r="GM19" i="25"/>
  <c r="GP19" i="25" s="1"/>
  <c r="GI19" i="25"/>
  <c r="LM19" i="25"/>
  <c r="LP19" i="25" s="1"/>
  <c r="NA19" i="25"/>
  <c r="FM19" i="25"/>
  <c r="FP19" i="25" s="1"/>
  <c r="GA19" i="25"/>
  <c r="FA19" i="25"/>
  <c r="PM19" i="25"/>
  <c r="HM19" i="25"/>
  <c r="OA19" i="25"/>
  <c r="EQ19" i="25"/>
  <c r="FI19" i="25"/>
  <c r="MN19" i="25"/>
  <c r="QI19" i="25"/>
  <c r="LI19" i="25"/>
  <c r="QO19" i="25"/>
  <c r="DR19" i="25"/>
  <c r="OO19" i="25"/>
  <c r="GT19" i="25"/>
  <c r="MO19" i="25"/>
  <c r="PO19" i="25"/>
  <c r="RI19" i="25"/>
  <c r="KN19" i="25"/>
  <c r="HN19" i="25"/>
  <c r="II19" i="25"/>
  <c r="HO19" i="25"/>
  <c r="PI19" i="25"/>
  <c r="GN17" i="25"/>
  <c r="JI17" i="25"/>
  <c r="JO17" i="25"/>
  <c r="MA17" i="25"/>
  <c r="NN17" i="25"/>
  <c r="NM17" i="25"/>
  <c r="NP17" i="25" s="1"/>
  <c r="OM17" i="25"/>
  <c r="OP17" i="25" s="1"/>
  <c r="OI17" i="25"/>
  <c r="FG17" i="25"/>
  <c r="LO17" i="25"/>
  <c r="QO17" i="25"/>
  <c r="MI17" i="25"/>
  <c r="MO17" i="25"/>
  <c r="ER17" i="25"/>
  <c r="MN17" i="25"/>
  <c r="HI17" i="25"/>
  <c r="PO17" i="25"/>
  <c r="LM17" i="25"/>
  <c r="LP17" i="25" s="1"/>
  <c r="RI17" i="25"/>
  <c r="DP17" i="25"/>
  <c r="PI17" i="25"/>
  <c r="GO17" i="25"/>
  <c r="KN17" i="25"/>
  <c r="KA17" i="25"/>
  <c r="SM17" i="25"/>
  <c r="JN17" i="25"/>
  <c r="SO17" i="25"/>
  <c r="GI17" i="25"/>
  <c r="EL17" i="25"/>
  <c r="RN17" i="25"/>
  <c r="HM17" i="25"/>
  <c r="FO17" i="25"/>
  <c r="GM17" i="25"/>
  <c r="GP17" i="25" s="1"/>
  <c r="SN17" i="25"/>
  <c r="JM17" i="25"/>
  <c r="JP17" i="25" s="1"/>
  <c r="DR17" i="25"/>
  <c r="IO17" i="25"/>
  <c r="IA17" i="25"/>
  <c r="GA17" i="25"/>
  <c r="MM17" i="25"/>
  <c r="MP17" i="25" s="1"/>
  <c r="QM17" i="25"/>
  <c r="NI17" i="25"/>
  <c r="IM17" i="25"/>
  <c r="IP17" i="25" s="1"/>
  <c r="EA17" i="25"/>
  <c r="EQ17" i="25"/>
  <c r="KO17" i="25"/>
  <c r="JA17" i="25"/>
  <c r="KI17" i="25"/>
  <c r="NO17" i="25"/>
  <c r="GD17" i="25"/>
  <c r="PN17" i="25"/>
  <c r="LN17" i="25"/>
  <c r="OO17" i="25"/>
  <c r="ES17" i="25"/>
  <c r="RM17" i="25"/>
  <c r="SI17" i="25"/>
  <c r="FA17" i="25"/>
  <c r="QN17" i="25"/>
  <c r="HA17" i="25"/>
  <c r="ON17" i="25"/>
  <c r="RO17" i="25"/>
  <c r="PM17" i="25"/>
  <c r="QI17" i="25"/>
  <c r="DQ17" i="25"/>
  <c r="OA17" i="25"/>
  <c r="NA17" i="25"/>
  <c r="FI17" i="25"/>
  <c r="HO17" i="25"/>
  <c r="II17" i="25"/>
  <c r="LA17" i="25"/>
  <c r="DL17" i="25"/>
  <c r="FM17" i="25"/>
  <c r="FP17" i="25" s="1"/>
  <c r="KM17" i="25"/>
  <c r="KP17" i="25" s="1"/>
  <c r="IN17" i="25"/>
  <c r="LI17" i="25"/>
  <c r="HN17" i="25"/>
  <c r="FN17" i="25"/>
  <c r="P11" i="19"/>
  <c r="S31" i="3"/>
  <c r="N17" i="19" l="1"/>
  <c r="EX18" i="25"/>
  <c r="AH18" i="25" s="1"/>
  <c r="AP18" i="25"/>
  <c r="N18" i="19"/>
  <c r="N16" i="19"/>
  <c r="SE19" i="25"/>
  <c r="U16" i="25"/>
  <c r="W16" i="25"/>
  <c r="W18" i="25"/>
  <c r="U18" i="25"/>
  <c r="R31" i="42"/>
  <c r="EG17" i="25"/>
  <c r="EI17" i="25"/>
  <c r="EH17" i="25"/>
  <c r="EO17" i="25" s="1"/>
  <c r="EY16" i="25"/>
  <c r="EX19" i="25"/>
  <c r="AH19" i="25" s="1"/>
  <c r="EI19" i="25"/>
  <c r="EH19" i="25"/>
  <c r="EO19" i="25" s="1"/>
  <c r="EH18" i="25"/>
  <c r="EO18" i="25" s="1"/>
  <c r="EI18" i="25"/>
  <c r="D81" i="12"/>
  <c r="L96" i="12" s="1"/>
  <c r="B39" i="18"/>
  <c r="D56" i="12"/>
  <c r="L72" i="12" s="1"/>
  <c r="B38" i="18"/>
  <c r="D38" i="18" s="1"/>
  <c r="D34" i="42"/>
  <c r="J124" i="12"/>
  <c r="M124" i="12" s="1"/>
  <c r="J123" i="12"/>
  <c r="M123" i="12" s="1"/>
  <c r="J122" i="12"/>
  <c r="M122" i="12" s="1"/>
  <c r="J121" i="12"/>
  <c r="M121" i="12" s="1"/>
  <c r="E27" i="42"/>
  <c r="G29" i="12"/>
  <c r="D42" i="12" s="1"/>
  <c r="L15" i="25"/>
  <c r="ET15" i="25" s="1"/>
  <c r="BN16" i="25"/>
  <c r="BL16" i="25"/>
  <c r="CV16" i="25"/>
  <c r="C32" i="42"/>
  <c r="FU17" i="25"/>
  <c r="GU18" i="25"/>
  <c r="E33" i="3"/>
  <c r="E32" i="3"/>
  <c r="E34" i="3"/>
  <c r="S17" i="25"/>
  <c r="AC17" i="25"/>
  <c r="S18" i="25"/>
  <c r="AC18" i="25"/>
  <c r="K31" i="42"/>
  <c r="S19" i="25"/>
  <c r="AC19" i="25"/>
  <c r="AC10" i="25" s="1"/>
  <c r="TC17" i="25"/>
  <c r="TC19" i="25"/>
  <c r="CL16" i="25"/>
  <c r="I31" i="42"/>
  <c r="CW16" i="25"/>
  <c r="ED19" i="25"/>
  <c r="ED18" i="25"/>
  <c r="ED17" i="25"/>
  <c r="CF16" i="25"/>
  <c r="D33" i="42"/>
  <c r="UG17" i="25"/>
  <c r="UU17" i="25" s="1"/>
  <c r="UE18" i="25"/>
  <c r="BJ16" i="25"/>
  <c r="UE17" i="25"/>
  <c r="UC17" i="25"/>
  <c r="UT18" i="25"/>
  <c r="G33" i="3"/>
  <c r="G34" i="3"/>
  <c r="G32" i="3"/>
  <c r="E32" i="42"/>
  <c r="TG19" i="25"/>
  <c r="TU19" i="25" s="1"/>
  <c r="TT19" i="25"/>
  <c r="UE19" i="25"/>
  <c r="UT19" i="25"/>
  <c r="UG19" i="25"/>
  <c r="UU19" i="25" s="1"/>
  <c r="TT17" i="25"/>
  <c r="TT18" i="25"/>
  <c r="L32" i="42"/>
  <c r="TC18" i="25"/>
  <c r="D32" i="42"/>
  <c r="G32" i="42"/>
  <c r="KT19" i="25"/>
  <c r="TG17" i="25"/>
  <c r="TU17" i="25" s="1"/>
  <c r="TG18" i="25"/>
  <c r="TU18" i="25" s="1"/>
  <c r="G34" i="42"/>
  <c r="E33" i="42"/>
  <c r="L33" i="42"/>
  <c r="L34" i="42"/>
  <c r="E34" i="42"/>
  <c r="G33" i="42"/>
  <c r="N34" i="42"/>
  <c r="T34" i="42"/>
  <c r="T32" i="42"/>
  <c r="N32" i="42"/>
  <c r="N33" i="42"/>
  <c r="T33" i="42"/>
  <c r="J33" i="42"/>
  <c r="J34" i="42"/>
  <c r="C34" i="3"/>
  <c r="D34" i="3"/>
  <c r="F34" i="3"/>
  <c r="C32" i="3"/>
  <c r="D32" i="3"/>
  <c r="F32" i="3"/>
  <c r="J32" i="42"/>
  <c r="C33" i="3"/>
  <c r="D33" i="3"/>
  <c r="F33" i="3"/>
  <c r="EG18" i="25"/>
  <c r="HP19" i="25"/>
  <c r="HP17" i="25"/>
  <c r="HP18" i="25"/>
  <c r="HC18" i="25"/>
  <c r="ME18" i="25"/>
  <c r="H30" i="3"/>
  <c r="JD19" i="25"/>
  <c r="H34" i="3"/>
  <c r="F30" i="42"/>
  <c r="RE18" i="25"/>
  <c r="PT19" i="25"/>
  <c r="PE19" i="25"/>
  <c r="JT19" i="25"/>
  <c r="OC18" i="25"/>
  <c r="HD18" i="25"/>
  <c r="OE19" i="25"/>
  <c r="AF31" i="42"/>
  <c r="PD19" i="25"/>
  <c r="JE18" i="25"/>
  <c r="RT18" i="25"/>
  <c r="GC18" i="25"/>
  <c r="CC18" i="25" s="1"/>
  <c r="GT18" i="25"/>
  <c r="RD18" i="25"/>
  <c r="QE17" i="25"/>
  <c r="PE18" i="25"/>
  <c r="EC18" i="25"/>
  <c r="DF18" i="25"/>
  <c r="QE18" i="25"/>
  <c r="IC18" i="25"/>
  <c r="QC18" i="25"/>
  <c r="NE19" i="25"/>
  <c r="NT19" i="25"/>
  <c r="OE18" i="25"/>
  <c r="IE18" i="25"/>
  <c r="KT18" i="25"/>
  <c r="JT18" i="25"/>
  <c r="AA16" i="19"/>
  <c r="CE16" i="25"/>
  <c r="GP11" i="25"/>
  <c r="GP12" i="25" s="1"/>
  <c r="GP13" i="25" s="1"/>
  <c r="KP11" i="25"/>
  <c r="KP12" i="25" s="1"/>
  <c r="KP13" i="25" s="1"/>
  <c r="JP11" i="25"/>
  <c r="JP12" i="25" s="1"/>
  <c r="JP13" i="25" s="1"/>
  <c r="BO8" i="19" s="1"/>
  <c r="LP11" i="25"/>
  <c r="LP12" i="25" s="1"/>
  <c r="LP13" i="25" s="1"/>
  <c r="CA8" i="19" s="1"/>
  <c r="MP11" i="25"/>
  <c r="MP12" i="25" s="1"/>
  <c r="MP13" i="25" s="1"/>
  <c r="EC17" i="25"/>
  <c r="EX17" i="25"/>
  <c r="AH17" i="25" s="1"/>
  <c r="FT17" i="25"/>
  <c r="FC17" i="25"/>
  <c r="RT19" i="25"/>
  <c r="EG19" i="25"/>
  <c r="NC19" i="25"/>
  <c r="ME19" i="25"/>
  <c r="IE19" i="25"/>
  <c r="EC19" i="25"/>
  <c r="HE19" i="25"/>
  <c r="LC19" i="25"/>
  <c r="LD19" i="25"/>
  <c r="KE17" i="25"/>
  <c r="QE19" i="25"/>
  <c r="ST17" i="25"/>
  <c r="JE17" i="25"/>
  <c r="KC17" i="25"/>
  <c r="SC17" i="25"/>
  <c r="OE17" i="25"/>
  <c r="JT17" i="25"/>
  <c r="RE17" i="25"/>
  <c r="IT19" i="25"/>
  <c r="JE19" i="25"/>
  <c r="OT19" i="25"/>
  <c r="KE18" i="25"/>
  <c r="NE18" i="25"/>
  <c r="OC19" i="25"/>
  <c r="CG19" i="25" s="1"/>
  <c r="GG19" i="25"/>
  <c r="GU19" i="25" s="1"/>
  <c r="FD17" i="25"/>
  <c r="RD17" i="25"/>
  <c r="QC17" i="25"/>
  <c r="OT17" i="25"/>
  <c r="ME17" i="25"/>
  <c r="QC19" i="25"/>
  <c r="FD19" i="25"/>
  <c r="GC19" i="25"/>
  <c r="HT19" i="25"/>
  <c r="K34" i="42" s="1"/>
  <c r="NC18" i="25"/>
  <c r="ND18" i="25"/>
  <c r="OT18" i="25"/>
  <c r="JD18" i="25"/>
  <c r="CD19" i="25"/>
  <c r="LE17" i="25"/>
  <c r="LD17" i="25"/>
  <c r="LT17" i="25"/>
  <c r="CC17" i="25"/>
  <c r="LC17" i="25"/>
  <c r="IP11" i="25"/>
  <c r="IP12" i="25" s="1"/>
  <c r="IP13" i="25" s="1"/>
  <c r="IE17" i="25"/>
  <c r="IT17" i="25"/>
  <c r="IC17" i="25"/>
  <c r="DW17" i="25"/>
  <c r="DJ17" i="25"/>
  <c r="DX17" i="25" s="1"/>
  <c r="DF17" i="25"/>
  <c r="PE17" i="25"/>
  <c r="PC17" i="25"/>
  <c r="PD17" i="25"/>
  <c r="HE17" i="25"/>
  <c r="HT17" i="25"/>
  <c r="HD17" i="25"/>
  <c r="HC17" i="25"/>
  <c r="PT17" i="25"/>
  <c r="JC17" i="25"/>
  <c r="MC17" i="25"/>
  <c r="SE17" i="25"/>
  <c r="NP11" i="25"/>
  <c r="NP12" i="25" s="1"/>
  <c r="NP13" i="25" s="1"/>
  <c r="CM8" i="19" s="1"/>
  <c r="RT17" i="25"/>
  <c r="GT17" i="25"/>
  <c r="KT17" i="25"/>
  <c r="GG17" i="25"/>
  <c r="GU17" i="25" s="1"/>
  <c r="NE17" i="25"/>
  <c r="ND17" i="25"/>
  <c r="KC19" i="25"/>
  <c r="BJ19" i="25" s="1"/>
  <c r="KE19" i="25"/>
  <c r="DJ19" i="25"/>
  <c r="DX19" i="25" s="1"/>
  <c r="RE19" i="25"/>
  <c r="LE19" i="25"/>
  <c r="DG19" i="25"/>
  <c r="FC19" i="25"/>
  <c r="HD19" i="25"/>
  <c r="DW19" i="25"/>
  <c r="HE18" i="25"/>
  <c r="LT18" i="25"/>
  <c r="SE18" i="25"/>
  <c r="LD18" i="25"/>
  <c r="LE18" i="25"/>
  <c r="FT18" i="25"/>
  <c r="PT18" i="25"/>
  <c r="KC18" i="25"/>
  <c r="BJ18" i="25" s="1"/>
  <c r="MC18" i="25"/>
  <c r="DW18" i="25"/>
  <c r="K33" i="42" s="1"/>
  <c r="ST18" i="25"/>
  <c r="FG18" i="25"/>
  <c r="FU18" i="25" s="1"/>
  <c r="FD18" i="25"/>
  <c r="SC19" i="25"/>
  <c r="OP11" i="25"/>
  <c r="OP12" i="25" s="1"/>
  <c r="OP13" i="25" s="1"/>
  <c r="NC17" i="25"/>
  <c r="CG17" i="25" s="1"/>
  <c r="RC19" i="25"/>
  <c r="FG19" i="25"/>
  <c r="FU19" i="25" s="1"/>
  <c r="ST19" i="25"/>
  <c r="MC19" i="25"/>
  <c r="MT18" i="25"/>
  <c r="PD18" i="25"/>
  <c r="FP11" i="25"/>
  <c r="FP12" i="25" s="1"/>
  <c r="FP13" i="25" s="1"/>
  <c r="DJ18" i="25"/>
  <c r="DX18" i="25" s="1"/>
  <c r="RR15" i="25"/>
  <c r="RS15" i="25"/>
  <c r="PR15" i="25"/>
  <c r="PS15" i="25"/>
  <c r="AA15" i="19"/>
  <c r="S32" i="3"/>
  <c r="S33" i="3"/>
  <c r="S34" i="3"/>
  <c r="L95" i="12" l="1"/>
  <c r="GH15" i="25"/>
  <c r="GJ15" i="25" s="1"/>
  <c r="GK15" i="25" s="1"/>
  <c r="GL15" i="25" s="1"/>
  <c r="GQ15" i="25" s="1"/>
  <c r="GS15" i="25" s="1"/>
  <c r="EK15" i="25"/>
  <c r="EJ15" i="25"/>
  <c r="EM15" i="25" s="1"/>
  <c r="U17" i="25"/>
  <c r="W17" i="25"/>
  <c r="U19" i="25"/>
  <c r="W19" i="25"/>
  <c r="R33" i="42"/>
  <c r="R32" i="42"/>
  <c r="R34" i="42"/>
  <c r="F32" i="12"/>
  <c r="EY17" i="25"/>
  <c r="CL17" i="25" s="1"/>
  <c r="EY18" i="25"/>
  <c r="EY19" i="25"/>
  <c r="CL19" i="25" s="1"/>
  <c r="H31" i="3"/>
  <c r="DS15" i="25"/>
  <c r="B36" i="18"/>
  <c r="D36" i="18" s="1"/>
  <c r="L98" i="12"/>
  <c r="L97" i="12"/>
  <c r="L71" i="12"/>
  <c r="L69" i="12"/>
  <c r="L70" i="12"/>
  <c r="N123" i="12"/>
  <c r="N122" i="12"/>
  <c r="N124" i="12"/>
  <c r="N121" i="12"/>
  <c r="F30" i="12"/>
  <c r="D57" i="12" s="1"/>
  <c r="AQ15" i="25"/>
  <c r="AB15" i="19" s="1"/>
  <c r="UH15" i="25"/>
  <c r="UJ15" i="25" s="1"/>
  <c r="UK15" i="25" s="1"/>
  <c r="UL15" i="25" s="1"/>
  <c r="UQ15" i="25" s="1"/>
  <c r="US15" i="25" s="1"/>
  <c r="AF32" i="42"/>
  <c r="DK15" i="25"/>
  <c r="DM15" i="25" s="1"/>
  <c r="DN15" i="25" s="1"/>
  <c r="DO15" i="25" s="1"/>
  <c r="TH15" i="25"/>
  <c r="TJ15" i="25" s="1"/>
  <c r="TK15" i="25" s="1"/>
  <c r="TL15" i="25" s="1"/>
  <c r="TQ15" i="25" s="1"/>
  <c r="CB15" i="25"/>
  <c r="BZ15" i="25" s="1"/>
  <c r="FH15" i="25"/>
  <c r="FJ15" i="25" s="1"/>
  <c r="FK15" i="25" s="1"/>
  <c r="FL15" i="25" s="1"/>
  <c r="VH15" i="25"/>
  <c r="VJ15" i="25" s="1"/>
  <c r="VK15" i="25" s="1"/>
  <c r="WH15" i="25"/>
  <c r="WJ15" i="25" s="1"/>
  <c r="F31" i="12"/>
  <c r="D82" i="12" s="1"/>
  <c r="H32" i="3"/>
  <c r="BL18" i="25"/>
  <c r="BL17" i="25"/>
  <c r="BF15" i="25"/>
  <c r="DX11" i="25"/>
  <c r="V16" i="25"/>
  <c r="T16" i="25"/>
  <c r="T18" i="25"/>
  <c r="V18" i="25"/>
  <c r="K32" i="42"/>
  <c r="BR15" i="25"/>
  <c r="AF33" i="42"/>
  <c r="AP10" i="25"/>
  <c r="I34" i="42"/>
  <c r="I33" i="42"/>
  <c r="I32" i="42"/>
  <c r="CD18" i="25"/>
  <c r="CE17" i="25"/>
  <c r="BJ17" i="25"/>
  <c r="TG11" i="25"/>
  <c r="TG12" i="25" s="1"/>
  <c r="TG13" i="25" s="1"/>
  <c r="CG18" i="25"/>
  <c r="CG10" i="25" s="1"/>
  <c r="F33" i="42"/>
  <c r="H33" i="3"/>
  <c r="L19" i="25"/>
  <c r="DK19" i="25" s="1"/>
  <c r="F34" i="42"/>
  <c r="F31" i="42"/>
  <c r="L17" i="25"/>
  <c r="EJ17" i="25" s="1"/>
  <c r="F32" i="42"/>
  <c r="HP11" i="25"/>
  <c r="L18" i="25"/>
  <c r="EK18" i="25" s="1"/>
  <c r="L16" i="25"/>
  <c r="N11" i="19"/>
  <c r="F29" i="12" s="1"/>
  <c r="D43" i="12" s="1"/>
  <c r="CM18" i="25"/>
  <c r="CW18" i="25"/>
  <c r="CL18" i="25"/>
  <c r="AI32" i="42"/>
  <c r="AJ32" i="42" s="1"/>
  <c r="CM19" i="25"/>
  <c r="CV17" i="25"/>
  <c r="CV18" i="25"/>
  <c r="AI34" i="42"/>
  <c r="AJ34" i="42" s="1"/>
  <c r="AF34" i="42"/>
  <c r="AI33" i="42"/>
  <c r="AJ33" i="42" s="1"/>
  <c r="AA17" i="19"/>
  <c r="AA19" i="19"/>
  <c r="AA18" i="19"/>
  <c r="CW19" i="25"/>
  <c r="CC19" i="25"/>
  <c r="CC10" i="25" s="1"/>
  <c r="CV19" i="25"/>
  <c r="BN19" i="25"/>
  <c r="BM19" i="25"/>
  <c r="BM18" i="25"/>
  <c r="BM17" i="25"/>
  <c r="BL19" i="25"/>
  <c r="BN17" i="25"/>
  <c r="FG11" i="25"/>
  <c r="FG12" i="25" s="1"/>
  <c r="FG13" i="25" s="1"/>
  <c r="CF18" i="25"/>
  <c r="GG11" i="25"/>
  <c r="GG12" i="25" s="1"/>
  <c r="GG13" i="25" s="1"/>
  <c r="CM17" i="25"/>
  <c r="CE19" i="25"/>
  <c r="CF19" i="25"/>
  <c r="CF17" i="25"/>
  <c r="CD17" i="25"/>
  <c r="CE18" i="25"/>
  <c r="CW17" i="25"/>
  <c r="CM16" i="25"/>
  <c r="DK18" i="25" l="1"/>
  <c r="DT15" i="25"/>
  <c r="DV15" i="25" s="1"/>
  <c r="EY11" i="25"/>
  <c r="EY13" i="25" s="1"/>
  <c r="EJ18" i="25"/>
  <c r="EM18" i="25" s="1"/>
  <c r="AN18" i="25" s="1"/>
  <c r="Y18" i="19" s="1"/>
  <c r="EK17" i="25"/>
  <c r="EJ19" i="25"/>
  <c r="EM19" i="25" s="1"/>
  <c r="EK19" i="25"/>
  <c r="EJ16" i="25"/>
  <c r="EK16" i="25"/>
  <c r="AN15" i="25"/>
  <c r="Y15" i="19" s="1"/>
  <c r="EN15" i="25"/>
  <c r="BE15" i="25" s="1"/>
  <c r="AC15" i="19" s="1"/>
  <c r="AL15" i="25"/>
  <c r="W15" i="19" s="1"/>
  <c r="L87" i="12"/>
  <c r="M87" i="12"/>
  <c r="M62" i="12"/>
  <c r="M63" i="12"/>
  <c r="N31" i="12"/>
  <c r="L62" i="12"/>
  <c r="L63" i="12"/>
  <c r="M125" i="12"/>
  <c r="N125" i="12"/>
  <c r="C77" i="11" s="1"/>
  <c r="B37" i="18"/>
  <c r="D37" i="18" s="1"/>
  <c r="FH19" i="25"/>
  <c r="FJ19" i="25" s="1"/>
  <c r="FK19" i="25" s="1"/>
  <c r="FL19" i="25" s="1"/>
  <c r="M49" i="12"/>
  <c r="L45" i="12"/>
  <c r="L49" i="12"/>
  <c r="L88" i="12"/>
  <c r="M88" i="12"/>
  <c r="BK15" i="25"/>
  <c r="BI15" i="25"/>
  <c r="M45" i="12"/>
  <c r="GH18" i="25"/>
  <c r="GJ18" i="25" s="1"/>
  <c r="GK18" i="25" s="1"/>
  <c r="WH18" i="25"/>
  <c r="VH18" i="25"/>
  <c r="DK17" i="25"/>
  <c r="DM17" i="25" s="1"/>
  <c r="DN17" i="25" s="1"/>
  <c r="DO17" i="25" s="1"/>
  <c r="VH17" i="25"/>
  <c r="WH17" i="25"/>
  <c r="WH19" i="25"/>
  <c r="VH19" i="25"/>
  <c r="X16" i="25"/>
  <c r="BG15" i="25"/>
  <c r="VL15" i="25"/>
  <c r="WK15" i="25"/>
  <c r="BH15" i="25" s="1"/>
  <c r="GH16" i="25"/>
  <c r="GJ16" i="25" s="1"/>
  <c r="VH16" i="25"/>
  <c r="WH16" i="25"/>
  <c r="X18" i="25"/>
  <c r="V17" i="25"/>
  <c r="T17" i="25"/>
  <c r="FH18" i="25"/>
  <c r="FJ18" i="25" s="1"/>
  <c r="FK18" i="25" s="1"/>
  <c r="FL18" i="25" s="1"/>
  <c r="V19" i="25"/>
  <c r="T19" i="25"/>
  <c r="UR15" i="25"/>
  <c r="GH17" i="25"/>
  <c r="GJ17" i="25" s="1"/>
  <c r="DS17" i="25"/>
  <c r="TH19" i="25"/>
  <c r="TJ19" i="25" s="1"/>
  <c r="TK19" i="25" s="1"/>
  <c r="DS19" i="25"/>
  <c r="GH19" i="25"/>
  <c r="GJ19" i="25" s="1"/>
  <c r="GK19" i="25" s="1"/>
  <c r="TR15" i="25"/>
  <c r="TS15" i="25"/>
  <c r="TH17" i="25"/>
  <c r="TJ17" i="25" s="1"/>
  <c r="TK17" i="25" s="1"/>
  <c r="UH17" i="25"/>
  <c r="TH16" i="25"/>
  <c r="TJ16" i="25" s="1"/>
  <c r="TK16" i="25" s="1"/>
  <c r="UH19" i="25"/>
  <c r="AQ18" i="25"/>
  <c r="AB18" i="19" s="1"/>
  <c r="TH18" i="25"/>
  <c r="AQ17" i="25"/>
  <c r="AB17" i="19" s="1"/>
  <c r="ET17" i="25"/>
  <c r="ET16" i="25"/>
  <c r="AQ16" i="25"/>
  <c r="AQ19" i="25"/>
  <c r="AB19" i="19" s="1"/>
  <c r="BJ10" i="25"/>
  <c r="GR15" i="25"/>
  <c r="CW10" i="25"/>
  <c r="ET19" i="25"/>
  <c r="CB19" i="25" s="1"/>
  <c r="BZ19" i="25" s="1"/>
  <c r="EM17" i="25"/>
  <c r="AN17" i="25" s="1"/>
  <c r="Y17" i="19" s="1"/>
  <c r="FH17" i="25"/>
  <c r="FJ17" i="25" s="1"/>
  <c r="FK17" i="25" s="1"/>
  <c r="FL17" i="25" s="1"/>
  <c r="CD10" i="25"/>
  <c r="HP12" i="25"/>
  <c r="HP13" i="25" s="1"/>
  <c r="BC8" i="19" s="1"/>
  <c r="ET18" i="25"/>
  <c r="F27" i="42"/>
  <c r="DS18" i="25"/>
  <c r="AE3" i="19"/>
  <c r="BL10" i="25"/>
  <c r="DK16" i="25"/>
  <c r="DS16" i="25"/>
  <c r="FH16" i="25"/>
  <c r="FJ16" i="25" s="1"/>
  <c r="FK16" i="25" s="1"/>
  <c r="FL16" i="25" s="1"/>
  <c r="CV10" i="25"/>
  <c r="BN10" i="25"/>
  <c r="GU11" i="25"/>
  <c r="GU13" i="25" s="1"/>
  <c r="FU11" i="25"/>
  <c r="FU13" i="25" s="1"/>
  <c r="CF10" i="25"/>
  <c r="CL10" i="25"/>
  <c r="DM18" i="25"/>
  <c r="DN18" i="25" s="1"/>
  <c r="DO18" i="25" s="1"/>
  <c r="CE10" i="25"/>
  <c r="DX13" i="25"/>
  <c r="BM10" i="25"/>
  <c r="DM19" i="25"/>
  <c r="DN19" i="25" s="1"/>
  <c r="DO19" i="25" s="1"/>
  <c r="CM10" i="25"/>
  <c r="FQ15" i="25"/>
  <c r="DU15" i="25" l="1"/>
  <c r="AN19" i="25"/>
  <c r="Y19" i="19" s="1"/>
  <c r="AG18" i="25"/>
  <c r="T18" i="19" s="1"/>
  <c r="R18" i="19"/>
  <c r="P18" i="20" s="1"/>
  <c r="AA16" i="25"/>
  <c r="R16" i="19"/>
  <c r="EN18" i="25"/>
  <c r="EN17" i="25"/>
  <c r="EN19" i="25"/>
  <c r="EP15" i="25"/>
  <c r="EU15" i="25" s="1"/>
  <c r="EW15" i="25" s="1"/>
  <c r="BQ15" i="25"/>
  <c r="AU15" i="25" s="1"/>
  <c r="GL19" i="25"/>
  <c r="GQ19" i="25" s="1"/>
  <c r="BR19" i="25"/>
  <c r="GL18" i="25"/>
  <c r="BR18" i="25"/>
  <c r="BQ18" i="25"/>
  <c r="BQ19" i="25"/>
  <c r="AW15" i="25"/>
  <c r="AY15" i="25"/>
  <c r="N63" i="12"/>
  <c r="L64" i="12"/>
  <c r="N62" i="12"/>
  <c r="N88" i="12"/>
  <c r="N87" i="12"/>
  <c r="L115" i="12"/>
  <c r="N115" i="12"/>
  <c r="C72" i="11" s="1"/>
  <c r="M115" i="12"/>
  <c r="B23" i="12"/>
  <c r="M64" i="12"/>
  <c r="AA18" i="25"/>
  <c r="SF18" i="25" s="1"/>
  <c r="SG18" i="25" s="1"/>
  <c r="L89" i="12"/>
  <c r="M89" i="12"/>
  <c r="AD15" i="19"/>
  <c r="N45" i="12"/>
  <c r="N46" i="12" s="1"/>
  <c r="M46" i="12"/>
  <c r="Z18" i="25"/>
  <c r="Y18" i="25"/>
  <c r="CB17" i="25"/>
  <c r="BZ17" i="25" s="1"/>
  <c r="CB16" i="25"/>
  <c r="BZ16" i="25" s="1"/>
  <c r="BD15" i="25"/>
  <c r="AV15" i="25"/>
  <c r="VJ17" i="25"/>
  <c r="VK17" i="25" s="1"/>
  <c r="WJ17" i="25"/>
  <c r="WK17" i="25" s="1"/>
  <c r="WJ18" i="25"/>
  <c r="WK18" i="25" s="1"/>
  <c r="WJ19" i="25"/>
  <c r="WK19" i="25" s="1"/>
  <c r="VJ18" i="25"/>
  <c r="VK18" i="25" s="1"/>
  <c r="VJ19" i="25"/>
  <c r="VK19" i="25" s="1"/>
  <c r="H33" i="42"/>
  <c r="AG16" i="25"/>
  <c r="T16" i="19" s="1"/>
  <c r="Y16" i="25"/>
  <c r="Z16" i="25"/>
  <c r="VJ16" i="25"/>
  <c r="VH11" i="25"/>
  <c r="VH12" i="25" s="1"/>
  <c r="VH13" i="25" s="1"/>
  <c r="VQ15" i="25"/>
  <c r="WJ16" i="25"/>
  <c r="WH11" i="25"/>
  <c r="WH12" i="25" s="1"/>
  <c r="WH13" i="25" s="1"/>
  <c r="WL15" i="25"/>
  <c r="DS11" i="25"/>
  <c r="DS12" i="25" s="1"/>
  <c r="DS13" i="25" s="1"/>
  <c r="DM16" i="25"/>
  <c r="DK11" i="25"/>
  <c r="DK12" i="25" s="1"/>
  <c r="DK13" i="25" s="1"/>
  <c r="X17" i="25"/>
  <c r="X19" i="25"/>
  <c r="FQ17" i="25"/>
  <c r="BI16" i="25"/>
  <c r="TL16" i="25"/>
  <c r="BI19" i="25"/>
  <c r="TL19" i="25"/>
  <c r="TQ19" i="25" s="1"/>
  <c r="FQ18" i="25"/>
  <c r="BI17" i="25"/>
  <c r="TL17" i="25"/>
  <c r="FQ19" i="25"/>
  <c r="DT19" i="25"/>
  <c r="DV19" i="25" s="1"/>
  <c r="V10" i="25"/>
  <c r="P16" i="20"/>
  <c r="H31" i="42"/>
  <c r="MF18" i="25"/>
  <c r="MG18" i="25" s="1"/>
  <c r="MU18" i="25" s="1"/>
  <c r="OF18" i="25"/>
  <c r="OG18" i="25" s="1"/>
  <c r="OU18" i="25" s="1"/>
  <c r="JF18" i="25"/>
  <c r="JG18" i="25" s="1"/>
  <c r="JU18" i="25" s="1"/>
  <c r="NF18" i="25"/>
  <c r="NG18" i="25" s="1"/>
  <c r="NU18" i="25" s="1"/>
  <c r="LF18" i="25"/>
  <c r="LG18" i="25" s="1"/>
  <c r="LU18" i="25" s="1"/>
  <c r="HF18" i="25"/>
  <c r="HG18" i="25" s="1"/>
  <c r="HU18" i="25" s="1"/>
  <c r="T10" i="25"/>
  <c r="W33" i="42"/>
  <c r="Q33" i="42"/>
  <c r="UJ17" i="25"/>
  <c r="UK17" i="25" s="1"/>
  <c r="UJ19" i="25"/>
  <c r="UK19" i="25" s="1"/>
  <c r="UP11" i="25"/>
  <c r="TP17" i="25"/>
  <c r="TJ18" i="25"/>
  <c r="TK18" i="25" s="1"/>
  <c r="TH11" i="25"/>
  <c r="GQ18" i="25"/>
  <c r="BF18" i="25"/>
  <c r="BF19" i="25"/>
  <c r="GJ11" i="25"/>
  <c r="GJ12" i="25" s="1"/>
  <c r="GJ13" i="25" s="1"/>
  <c r="EJ11" i="25"/>
  <c r="EJ12" i="25" s="1"/>
  <c r="EJ13" i="25" s="1"/>
  <c r="CB18" i="25"/>
  <c r="ET11" i="25"/>
  <c r="ET12" i="25" s="1"/>
  <c r="ET13" i="25" s="1"/>
  <c r="GK16" i="25"/>
  <c r="DT18" i="25"/>
  <c r="DV18" i="25" s="1"/>
  <c r="O29" i="10"/>
  <c r="GH11" i="25"/>
  <c r="GH12" i="25" s="1"/>
  <c r="GH13" i="25" s="1"/>
  <c r="FH11" i="25"/>
  <c r="FH12" i="25" s="1"/>
  <c r="FH13" i="25" s="1"/>
  <c r="EM16" i="25"/>
  <c r="AB16" i="19"/>
  <c r="AB11" i="19" s="1"/>
  <c r="AQ10" i="25"/>
  <c r="BM9" i="25"/>
  <c r="BM8" i="25" s="1"/>
  <c r="GK17" i="25"/>
  <c r="FJ11" i="25"/>
  <c r="FJ12" i="25" s="1"/>
  <c r="FJ13" i="25" s="1"/>
  <c r="FR15" i="25"/>
  <c r="FS15" i="25"/>
  <c r="FK11" i="25"/>
  <c r="FK12" i="25" s="1"/>
  <c r="FK13" i="25" s="1"/>
  <c r="M30" i="3"/>
  <c r="J30" i="3"/>
  <c r="K30" i="3"/>
  <c r="EP18" i="25" l="1"/>
  <c r="EU18" i="25" s="1"/>
  <c r="EV18" i="25" s="1"/>
  <c r="BE18" i="25"/>
  <c r="EP17" i="25"/>
  <c r="EU17" i="25" s="1"/>
  <c r="BE17" i="25"/>
  <c r="EP19" i="25"/>
  <c r="EU19" i="25" s="1"/>
  <c r="EV19" i="25" s="1"/>
  <c r="BE19" i="25"/>
  <c r="S18" i="19"/>
  <c r="IF18" i="25"/>
  <c r="IG18" i="25" s="1"/>
  <c r="IU18" i="25" s="1"/>
  <c r="CN18" i="25" s="1"/>
  <c r="KF18" i="25"/>
  <c r="KG18" i="25" s="1"/>
  <c r="KU18" i="25" s="1"/>
  <c r="CO18" i="25" s="1"/>
  <c r="IF16" i="25"/>
  <c r="KF16" i="25"/>
  <c r="Z19" i="25"/>
  <c r="R19" i="19"/>
  <c r="P19" i="20" s="1"/>
  <c r="Z17" i="25"/>
  <c r="R17" i="19"/>
  <c r="AE16" i="25"/>
  <c r="AF16" i="25" s="1"/>
  <c r="S16" i="19"/>
  <c r="AS15" i="25"/>
  <c r="AT15" i="25"/>
  <c r="AK15" i="25" s="1"/>
  <c r="BQ17" i="25"/>
  <c r="EV15" i="25"/>
  <c r="AN16" i="25"/>
  <c r="EN16" i="25"/>
  <c r="BE16" i="25" s="1"/>
  <c r="BC15" i="25"/>
  <c r="BP15" i="25"/>
  <c r="AR15" i="25" s="1"/>
  <c r="GL16" i="25"/>
  <c r="BR16" i="25"/>
  <c r="GL17" i="25"/>
  <c r="GQ17" i="25" s="1"/>
  <c r="GR17" i="25" s="1"/>
  <c r="BR17" i="25"/>
  <c r="RF18" i="25"/>
  <c r="RG18" i="25" s="1"/>
  <c r="RH18" i="25" s="1"/>
  <c r="RJ18" i="25" s="1"/>
  <c r="RK18" i="25" s="1"/>
  <c r="RL18" i="25" s="1"/>
  <c r="RP18" i="25" s="1"/>
  <c r="AD18" i="25"/>
  <c r="N64" i="12"/>
  <c r="N65" i="12" s="1"/>
  <c r="M27" i="12"/>
  <c r="PF18" i="25"/>
  <c r="PG18" i="25" s="1"/>
  <c r="PH18" i="25" s="1"/>
  <c r="PJ18" i="25" s="1"/>
  <c r="PK18" i="25" s="1"/>
  <c r="PL18" i="25" s="1"/>
  <c r="PP18" i="25" s="1"/>
  <c r="UF18" i="25"/>
  <c r="UG18" i="25" s="1"/>
  <c r="UU18" i="25" s="1"/>
  <c r="TF18" i="25"/>
  <c r="AE18" i="25"/>
  <c r="AF18" i="25" s="1"/>
  <c r="QF18" i="25"/>
  <c r="QG18" i="25" s="1"/>
  <c r="N89" i="12"/>
  <c r="C71" i="11" s="1"/>
  <c r="AD16" i="25"/>
  <c r="N49" i="12"/>
  <c r="N50" i="12" s="1"/>
  <c r="N28" i="12" s="1"/>
  <c r="M50" i="12"/>
  <c r="M28" i="12" s="1"/>
  <c r="C73" i="11"/>
  <c r="AA19" i="25"/>
  <c r="QF19" i="25" s="1"/>
  <c r="QG19" i="25" s="1"/>
  <c r="H34" i="42"/>
  <c r="AG19" i="25"/>
  <c r="T19" i="19" s="1"/>
  <c r="Y19" i="25"/>
  <c r="NF19" i="25" s="1"/>
  <c r="NG19" i="25" s="1"/>
  <c r="NU19" i="25" s="1"/>
  <c r="WL18" i="25"/>
  <c r="WQ18" i="25" s="1"/>
  <c r="WS18" i="25" s="1"/>
  <c r="BH18" i="25"/>
  <c r="WL19" i="25"/>
  <c r="WQ19" i="25" s="1"/>
  <c r="WR19" i="25" s="1"/>
  <c r="BH19" i="25"/>
  <c r="WL17" i="25"/>
  <c r="WQ17" i="25" s="1"/>
  <c r="WS17" i="25" s="1"/>
  <c r="BH17" i="25"/>
  <c r="VL17" i="25"/>
  <c r="VQ17" i="25" s="1"/>
  <c r="VR17" i="25" s="1"/>
  <c r="BG17" i="25"/>
  <c r="VL18" i="25"/>
  <c r="VQ18" i="25" s="1"/>
  <c r="VR18" i="25" s="1"/>
  <c r="BG18" i="25"/>
  <c r="VL19" i="25"/>
  <c r="VQ19" i="25" s="1"/>
  <c r="VS19" i="25" s="1"/>
  <c r="BG19" i="25"/>
  <c r="VS18" i="25"/>
  <c r="H32" i="42"/>
  <c r="WK16" i="25"/>
  <c r="BH16" i="25" s="1"/>
  <c r="WJ11" i="25"/>
  <c r="WJ12" i="25" s="1"/>
  <c r="WJ13" i="25" s="1"/>
  <c r="VK16" i="25"/>
  <c r="BG16" i="25" s="1"/>
  <c r="VJ11" i="25"/>
  <c r="WQ15" i="25"/>
  <c r="VR15" i="25"/>
  <c r="VS15" i="25"/>
  <c r="P17" i="20"/>
  <c r="X10" i="25"/>
  <c r="DN16" i="25"/>
  <c r="DM11" i="25"/>
  <c r="DM12" i="25" s="1"/>
  <c r="DM13" i="25" s="1"/>
  <c r="Y17" i="25"/>
  <c r="UF17" i="25" s="1"/>
  <c r="AG17" i="25"/>
  <c r="AA17" i="25"/>
  <c r="FR19" i="25"/>
  <c r="FS19" i="25"/>
  <c r="FS18" i="25"/>
  <c r="FR18" i="25"/>
  <c r="FS17" i="25"/>
  <c r="FR17" i="25"/>
  <c r="BK19" i="25"/>
  <c r="UL19" i="25"/>
  <c r="UQ19" i="25" s="1"/>
  <c r="BK17" i="25"/>
  <c r="UL17" i="25"/>
  <c r="UQ17" i="25" s="1"/>
  <c r="BI18" i="25"/>
  <c r="BI10" i="25" s="1"/>
  <c r="TL18" i="25"/>
  <c r="BF17" i="25"/>
  <c r="BF16" i="25"/>
  <c r="NH18" i="25"/>
  <c r="NJ18" i="25" s="1"/>
  <c r="NK18" i="25" s="1"/>
  <c r="NL18" i="25" s="1"/>
  <c r="JH18" i="25"/>
  <c r="JJ18" i="25" s="1"/>
  <c r="JK18" i="25" s="1"/>
  <c r="JL18" i="25" s="1"/>
  <c r="LH18" i="25"/>
  <c r="LJ18" i="25" s="1"/>
  <c r="LK18" i="25" s="1"/>
  <c r="LL18" i="25" s="1"/>
  <c r="HH18" i="25"/>
  <c r="HJ18" i="25" s="1"/>
  <c r="DU19" i="25"/>
  <c r="TQ17" i="25"/>
  <c r="TR17" i="25" s="1"/>
  <c r="OH18" i="25"/>
  <c r="OJ18" i="25" s="1"/>
  <c r="OK18" i="25" s="1"/>
  <c r="OL18" i="25" s="1"/>
  <c r="CQ18" i="25"/>
  <c r="DA18" i="25"/>
  <c r="QF16" i="25"/>
  <c r="QG16" i="25" s="1"/>
  <c r="SF16" i="25"/>
  <c r="SG16" i="25" s="1"/>
  <c r="SH18" i="25"/>
  <c r="SJ18" i="25" s="1"/>
  <c r="SK18" i="25" s="1"/>
  <c r="SL18" i="25" s="1"/>
  <c r="SU18" i="25" s="1"/>
  <c r="DC18" i="25"/>
  <c r="CP18" i="25"/>
  <c r="CZ18" i="25"/>
  <c r="MH18" i="25"/>
  <c r="MJ18" i="25" s="1"/>
  <c r="MK18" i="25" s="1"/>
  <c r="ML18" i="25" s="1"/>
  <c r="Q31" i="42"/>
  <c r="W31" i="42"/>
  <c r="PF16" i="25"/>
  <c r="PG16" i="25" s="1"/>
  <c r="MF16" i="25"/>
  <c r="MG16" i="25" s="1"/>
  <c r="MU16" i="25" s="1"/>
  <c r="NF16" i="25"/>
  <c r="NG16" i="25" s="1"/>
  <c r="NU16" i="25" s="1"/>
  <c r="OF16" i="25"/>
  <c r="OG16" i="25" s="1"/>
  <c r="OU16" i="25" s="1"/>
  <c r="HF16" i="25"/>
  <c r="HG16" i="25" s="1"/>
  <c r="HU16" i="25" s="1"/>
  <c r="LF16" i="25"/>
  <c r="LG16" i="25" s="1"/>
  <c r="LU16" i="25" s="1"/>
  <c r="RF16" i="25"/>
  <c r="RG16" i="25" s="1"/>
  <c r="TF16" i="25"/>
  <c r="UF16" i="25"/>
  <c r="UG16" i="25" s="1"/>
  <c r="UU16" i="25" s="1"/>
  <c r="KG16" i="25"/>
  <c r="KU16" i="25" s="1"/>
  <c r="JF16" i="25"/>
  <c r="JG16" i="25" s="1"/>
  <c r="JU16" i="25" s="1"/>
  <c r="HF19" i="25"/>
  <c r="HG19" i="25" s="1"/>
  <c r="HU19" i="25" s="1"/>
  <c r="NF17" i="25"/>
  <c r="NG17" i="25" s="1"/>
  <c r="NU17" i="25" s="1"/>
  <c r="AB12" i="19"/>
  <c r="O35" i="10" s="1"/>
  <c r="M15" i="35"/>
  <c r="TS19" i="25"/>
  <c r="TR19" i="25"/>
  <c r="UP12" i="25"/>
  <c r="UP13" i="25" s="1"/>
  <c r="TP16" i="25"/>
  <c r="TQ16" i="25" s="1"/>
  <c r="TK11" i="25"/>
  <c r="TK12" i="25" s="1"/>
  <c r="TK13" i="25" s="1"/>
  <c r="TJ11" i="25"/>
  <c r="TH12" i="25"/>
  <c r="TH13" i="25" s="1"/>
  <c r="GR18" i="25"/>
  <c r="GS18" i="25"/>
  <c r="GS19" i="25"/>
  <c r="GR19" i="25"/>
  <c r="EW17" i="25"/>
  <c r="EV17" i="25"/>
  <c r="CB10" i="25"/>
  <c r="BZ18" i="25"/>
  <c r="GQ16" i="25"/>
  <c r="DU18" i="25"/>
  <c r="EM11" i="25"/>
  <c r="EM12" i="25" s="1"/>
  <c r="EM13" i="25" s="1"/>
  <c r="N35" i="10"/>
  <c r="GK11" i="25"/>
  <c r="GK12" i="25" s="1"/>
  <c r="GK13" i="25" s="1"/>
  <c r="DT17" i="25"/>
  <c r="FQ16" i="25"/>
  <c r="FL11" i="25"/>
  <c r="FL12" i="25" s="1"/>
  <c r="FL13" i="25" s="1"/>
  <c r="J33" i="3"/>
  <c r="I33" i="3"/>
  <c r="I34" i="3"/>
  <c r="I30" i="3"/>
  <c r="J34" i="3"/>
  <c r="I32" i="3"/>
  <c r="AU17" i="25" l="1"/>
  <c r="CY18" i="25"/>
  <c r="KH18" i="25"/>
  <c r="KJ18" i="25" s="1"/>
  <c r="KK18" i="25" s="1"/>
  <c r="KL18" i="25" s="1"/>
  <c r="U30" i="42"/>
  <c r="Q30" i="3"/>
  <c r="JF17" i="25"/>
  <c r="JG17" i="25" s="1"/>
  <c r="JU17" i="25" s="1"/>
  <c r="LF19" i="25"/>
  <c r="LG19" i="25" s="1"/>
  <c r="LU19" i="25" s="1"/>
  <c r="UF19" i="25"/>
  <c r="TF19" i="25"/>
  <c r="UH18" i="25"/>
  <c r="UJ18" i="25" s="1"/>
  <c r="UK18" i="25" s="1"/>
  <c r="JF19" i="25"/>
  <c r="JG19" i="25" s="1"/>
  <c r="JU19" i="25" s="1"/>
  <c r="AU18" i="25"/>
  <c r="Q34" i="42"/>
  <c r="AU19" i="25"/>
  <c r="AC19" i="19"/>
  <c r="AC18" i="19"/>
  <c r="AC17" i="19"/>
  <c r="EW18" i="25"/>
  <c r="EW19" i="25"/>
  <c r="MF17" i="25"/>
  <c r="MG17" i="25" s="1"/>
  <c r="MU17" i="25" s="1"/>
  <c r="CP17" i="25" s="1"/>
  <c r="LF17" i="25"/>
  <c r="LG17" i="25" s="1"/>
  <c r="LU17" i="25" s="1"/>
  <c r="HF17" i="25"/>
  <c r="HG17" i="25" s="1"/>
  <c r="HU17" i="25" s="1"/>
  <c r="OF17" i="25"/>
  <c r="OG17" i="25" s="1"/>
  <c r="OU17" i="25" s="1"/>
  <c r="CQ17" i="25" s="1"/>
  <c r="KF17" i="25"/>
  <c r="KG17" i="25" s="1"/>
  <c r="KU17" i="25" s="1"/>
  <c r="CO17" i="25" s="1"/>
  <c r="IF17" i="25"/>
  <c r="IG17" i="25" s="1"/>
  <c r="IU17" i="25" s="1"/>
  <c r="CN17" i="25" s="1"/>
  <c r="IF19" i="25"/>
  <c r="KF19" i="25"/>
  <c r="AD17" i="25"/>
  <c r="AD10" i="25" s="1"/>
  <c r="S17" i="19"/>
  <c r="PF19" i="25"/>
  <c r="PG19" i="25" s="1"/>
  <c r="PH19" i="25" s="1"/>
  <c r="PJ19" i="25" s="1"/>
  <c r="PK19" i="25" s="1"/>
  <c r="PL19" i="25" s="1"/>
  <c r="PP19" i="25" s="1"/>
  <c r="S19" i="19"/>
  <c r="K30" i="12"/>
  <c r="E76" i="12" s="1"/>
  <c r="T17" i="19"/>
  <c r="T11" i="19" s="1"/>
  <c r="AD19" i="25"/>
  <c r="AJ15" i="25"/>
  <c r="M30" i="42" s="1"/>
  <c r="RF19" i="25"/>
  <c r="RG19" i="25" s="1"/>
  <c r="RH19" i="25" s="1"/>
  <c r="RJ19" i="25" s="1"/>
  <c r="RK19" i="25" s="1"/>
  <c r="RL19" i="25" s="1"/>
  <c r="RP19" i="25" s="1"/>
  <c r="J32" i="12"/>
  <c r="AE19" i="25"/>
  <c r="AF19" i="25" s="1"/>
  <c r="EP16" i="25"/>
  <c r="AN10" i="25"/>
  <c r="Y16" i="19"/>
  <c r="Y11" i="19" s="1"/>
  <c r="N38" i="10" s="1"/>
  <c r="BO15" i="25"/>
  <c r="AE15" i="19"/>
  <c r="AM15" i="25"/>
  <c r="X15" i="19" s="1"/>
  <c r="BR10" i="25"/>
  <c r="K32" i="12"/>
  <c r="BQ16" i="25"/>
  <c r="BQ10" i="25" s="1"/>
  <c r="C70" i="11"/>
  <c r="K31" i="12"/>
  <c r="SF17" i="25"/>
  <c r="SG17" i="25" s="1"/>
  <c r="DC17" i="25" s="1"/>
  <c r="J31" i="12"/>
  <c r="H95" i="12" s="1"/>
  <c r="TF17" i="25"/>
  <c r="N27" i="12"/>
  <c r="PU18" i="25"/>
  <c r="RU18" i="25"/>
  <c r="HK18" i="25"/>
  <c r="HL18" i="25" s="1"/>
  <c r="W34" i="42"/>
  <c r="WS19" i="25"/>
  <c r="CX18" i="25"/>
  <c r="AD19" i="19"/>
  <c r="DB18" i="25"/>
  <c r="IH18" i="25"/>
  <c r="IJ18" i="25" s="1"/>
  <c r="IK18" i="25" s="1"/>
  <c r="IL18" i="25" s="1"/>
  <c r="IQ18" i="25" s="1"/>
  <c r="QH18" i="25"/>
  <c r="QJ18" i="25" s="1"/>
  <c r="QK18" i="25" s="1"/>
  <c r="QL18" i="25" s="1"/>
  <c r="QU18" i="25" s="1"/>
  <c r="AD17" i="19"/>
  <c r="SF19" i="25"/>
  <c r="SG19" i="25" s="1"/>
  <c r="J30" i="12"/>
  <c r="C74" i="11"/>
  <c r="Q32" i="42"/>
  <c r="W32" i="42"/>
  <c r="W27" i="42" s="1"/>
  <c r="AG10" i="25"/>
  <c r="TS17" i="25"/>
  <c r="PF17" i="25"/>
  <c r="PG17" i="25" s="1"/>
  <c r="Y10" i="25"/>
  <c r="QF17" i="25"/>
  <c r="QG17" i="25" s="1"/>
  <c r="AA10" i="25"/>
  <c r="J29" i="12" s="1"/>
  <c r="BD19" i="25"/>
  <c r="AV17" i="25"/>
  <c r="AS17" i="25" s="1"/>
  <c r="AJ17" i="25" s="1"/>
  <c r="M32" i="42" s="1"/>
  <c r="R11" i="19"/>
  <c r="RF17" i="25"/>
  <c r="RG17" i="25" s="1"/>
  <c r="VS17" i="25"/>
  <c r="BG10" i="25"/>
  <c r="VR19" i="25"/>
  <c r="BH10" i="25"/>
  <c r="AV19" i="25"/>
  <c r="AS19" i="25" s="1"/>
  <c r="AJ19" i="25" s="1"/>
  <c r="M34" i="42" s="1"/>
  <c r="AV18" i="25"/>
  <c r="WR18" i="25"/>
  <c r="WR17" i="25"/>
  <c r="BD17" i="25"/>
  <c r="S30" i="42"/>
  <c r="IG16" i="25"/>
  <c r="IU16" i="25" s="1"/>
  <c r="AV16" i="25"/>
  <c r="WL16" i="25"/>
  <c r="WK11" i="25"/>
  <c r="WK12" i="25" s="1"/>
  <c r="WK13" i="25" s="1"/>
  <c r="WS15" i="25"/>
  <c r="WR15" i="25"/>
  <c r="VL16" i="25"/>
  <c r="VK11" i="25"/>
  <c r="VK12" i="25" s="1"/>
  <c r="VK13" i="25" s="1"/>
  <c r="VJ12" i="25"/>
  <c r="VJ13" i="25" s="1"/>
  <c r="P11" i="20"/>
  <c r="DN11" i="25"/>
  <c r="DN12" i="25" s="1"/>
  <c r="DN13" i="25" s="1"/>
  <c r="DO16" i="25"/>
  <c r="AE17" i="25"/>
  <c r="AF17" i="25" s="1"/>
  <c r="AF10" i="25" s="1"/>
  <c r="BF10" i="25"/>
  <c r="PQ18" i="25"/>
  <c r="BK18" i="25"/>
  <c r="BD18" i="25" s="1"/>
  <c r="UL18" i="25"/>
  <c r="UQ18" i="25" s="1"/>
  <c r="UR18" i="25" s="1"/>
  <c r="RQ18" i="25"/>
  <c r="NQ18" i="25"/>
  <c r="LQ18" i="25"/>
  <c r="JQ18" i="25"/>
  <c r="JH19" i="25"/>
  <c r="JJ19" i="25" s="1"/>
  <c r="JK19" i="25" s="1"/>
  <c r="JL19" i="25" s="1"/>
  <c r="PH16" i="25"/>
  <c r="JH17" i="25"/>
  <c r="NH17" i="25"/>
  <c r="LH19" i="25"/>
  <c r="LJ19" i="25" s="1"/>
  <c r="LK19" i="25" s="1"/>
  <c r="LL19" i="25" s="1"/>
  <c r="HH16" i="25"/>
  <c r="LH16" i="25"/>
  <c r="JU11" i="25"/>
  <c r="JU13" i="25" s="1"/>
  <c r="JH16" i="25"/>
  <c r="RH16" i="25"/>
  <c r="NH16" i="25"/>
  <c r="HH19" i="25"/>
  <c r="CP16" i="25"/>
  <c r="CZ16" i="25"/>
  <c r="MH16" i="25"/>
  <c r="SH16" i="25"/>
  <c r="SJ16" i="25" s="1"/>
  <c r="DC16" i="25"/>
  <c r="BV18" i="25"/>
  <c r="OQ18" i="25"/>
  <c r="NH19" i="25"/>
  <c r="NG11" i="25"/>
  <c r="NG12" i="25" s="1"/>
  <c r="NG13" i="25" s="1"/>
  <c r="UH16" i="25"/>
  <c r="UJ16" i="25" s="1"/>
  <c r="UK16" i="25" s="1"/>
  <c r="UL16" i="25" s="1"/>
  <c r="KH16" i="25"/>
  <c r="CY16" i="25"/>
  <c r="BX18" i="25"/>
  <c r="QH19" i="25"/>
  <c r="QJ19" i="25" s="1"/>
  <c r="QK19" i="25" s="1"/>
  <c r="QL19" i="25" s="1"/>
  <c r="QU19" i="25" s="1"/>
  <c r="DB19" i="25"/>
  <c r="DA16" i="25"/>
  <c r="OH16" i="25"/>
  <c r="BU18" i="25"/>
  <c r="MQ18" i="25"/>
  <c r="KQ18" i="25"/>
  <c r="BT18" i="25"/>
  <c r="DB16" i="25"/>
  <c r="QH16" i="25"/>
  <c r="X74" i="42"/>
  <c r="UR17" i="25"/>
  <c r="US17" i="25"/>
  <c r="US19" i="25"/>
  <c r="UR19" i="25"/>
  <c r="TL11" i="25"/>
  <c r="TL12" i="25" s="1"/>
  <c r="TL13" i="25" s="1"/>
  <c r="TP18" i="25"/>
  <c r="TQ18" i="25" s="1"/>
  <c r="TU11" i="25"/>
  <c r="TU13" i="25" s="1"/>
  <c r="TS16" i="25"/>
  <c r="TR16" i="25"/>
  <c r="TJ12" i="25"/>
  <c r="TJ13" i="25" s="1"/>
  <c r="GL11" i="25"/>
  <c r="GL12" i="25" s="1"/>
  <c r="GL13" i="25" s="1"/>
  <c r="GS17" i="25"/>
  <c r="E22" i="3"/>
  <c r="EN11" i="25"/>
  <c r="EN12" i="25" s="1"/>
  <c r="EN13" i="25" s="1"/>
  <c r="DV17" i="25"/>
  <c r="DU17" i="25"/>
  <c r="FR16" i="25"/>
  <c r="FR11" i="25" s="1"/>
  <c r="FR13" i="25" s="1"/>
  <c r="FS16" i="25"/>
  <c r="FS11" i="25" s="1"/>
  <c r="FS13" i="25" s="1"/>
  <c r="FQ11" i="25"/>
  <c r="FQ12" i="25" s="1"/>
  <c r="FQ13" i="25" s="1"/>
  <c r="GR16" i="25"/>
  <c r="GR11" i="25" s="1"/>
  <c r="GR13" i="25" s="1"/>
  <c r="GS16" i="25"/>
  <c r="GQ11" i="25"/>
  <c r="GQ12" i="25" s="1"/>
  <c r="GQ13" i="25" s="1"/>
  <c r="R30" i="3"/>
  <c r="L33" i="3"/>
  <c r="P33" i="3"/>
  <c r="J31" i="3"/>
  <c r="J32" i="3"/>
  <c r="N33" i="3"/>
  <c r="AS18" i="25" l="1"/>
  <c r="AJ18" i="25" s="1"/>
  <c r="M33" i="42" s="1"/>
  <c r="OH17" i="25"/>
  <c r="OJ17" i="25" s="1"/>
  <c r="OK17" i="25" s="1"/>
  <c r="OL17" i="25" s="1"/>
  <c r="DA17" i="25"/>
  <c r="CY17" i="25"/>
  <c r="KH17" i="25"/>
  <c r="KJ17" i="25" s="1"/>
  <c r="KK17" i="25" s="1"/>
  <c r="KL17" i="25" s="1"/>
  <c r="KQ17" i="25" s="1"/>
  <c r="RG11" i="25"/>
  <c r="RG12" i="25" s="1"/>
  <c r="RG13" i="25" s="1"/>
  <c r="E75" i="12"/>
  <c r="Q27" i="42"/>
  <c r="J27" i="3"/>
  <c r="JG11" i="25"/>
  <c r="JG12" i="25" s="1"/>
  <c r="JG13" i="25" s="1"/>
  <c r="LG11" i="25"/>
  <c r="LG12" i="25" s="1"/>
  <c r="LG13" i="25" s="1"/>
  <c r="MH17" i="25"/>
  <c r="MJ17" i="25" s="1"/>
  <c r="MK17" i="25" s="1"/>
  <c r="ML17" i="25" s="1"/>
  <c r="MQ17" i="25" s="1"/>
  <c r="CZ17" i="25"/>
  <c r="LH17" i="25"/>
  <c r="LJ17" i="25" s="1"/>
  <c r="LK17" i="25" s="1"/>
  <c r="LL17" i="25" s="1"/>
  <c r="LQ17" i="25" s="1"/>
  <c r="H70" i="12"/>
  <c r="H72" i="12"/>
  <c r="H71" i="12"/>
  <c r="H69" i="12"/>
  <c r="HG11" i="25"/>
  <c r="HG12" i="25" s="1"/>
  <c r="HG13" i="25" s="1"/>
  <c r="HH17" i="25"/>
  <c r="HJ17" i="25" s="1"/>
  <c r="HK17" i="25" s="1"/>
  <c r="HL17" i="25" s="1"/>
  <c r="HQ17" i="25" s="1"/>
  <c r="BW18" i="25"/>
  <c r="AO15" i="25"/>
  <c r="AI15" i="25" s="1"/>
  <c r="V15" i="19" s="1"/>
  <c r="BC18" i="25"/>
  <c r="BC19" i="25"/>
  <c r="BC17" i="25"/>
  <c r="BQ9" i="25"/>
  <c r="BQ8" i="25" s="1"/>
  <c r="E127" i="12"/>
  <c r="H127" i="12" s="1"/>
  <c r="J127" i="12" s="1"/>
  <c r="M127" i="12" s="1"/>
  <c r="E128" i="12"/>
  <c r="H128" i="12" s="1"/>
  <c r="J128" i="12" s="1"/>
  <c r="M128" i="12" s="1"/>
  <c r="N128" i="12" s="1"/>
  <c r="E101" i="12"/>
  <c r="H101" i="12" s="1"/>
  <c r="J101" i="12" s="1"/>
  <c r="M101" i="12" s="1"/>
  <c r="N101" i="12" s="1"/>
  <c r="E102" i="12"/>
  <c r="H102" i="12" s="1"/>
  <c r="J102" i="12" s="1"/>
  <c r="M102" i="12" s="1"/>
  <c r="J95" i="12"/>
  <c r="M95" i="12" s="1"/>
  <c r="H97" i="12"/>
  <c r="J97" i="12" s="1"/>
  <c r="M97" i="12" s="1"/>
  <c r="J54" i="22"/>
  <c r="H98" i="12"/>
  <c r="J98" i="12" s="1"/>
  <c r="M98" i="12" s="1"/>
  <c r="H96" i="12"/>
  <c r="J96" i="12" s="1"/>
  <c r="M96" i="12" s="1"/>
  <c r="SH17" i="25"/>
  <c r="SJ17" i="25" s="1"/>
  <c r="SK17" i="25" s="1"/>
  <c r="SL17" i="25" s="1"/>
  <c r="SU17" i="25" s="1"/>
  <c r="BS18" i="25"/>
  <c r="AL27" i="42"/>
  <c r="PU19" i="25"/>
  <c r="RU19" i="25"/>
  <c r="CU18" i="25"/>
  <c r="CX17" i="25"/>
  <c r="SH19" i="25"/>
  <c r="SJ19" i="25" s="1"/>
  <c r="SK19" i="25" s="1"/>
  <c r="SL19" i="25" s="1"/>
  <c r="SU19" i="25" s="1"/>
  <c r="IH16" i="25"/>
  <c r="IJ16" i="25" s="1"/>
  <c r="CX16" i="25"/>
  <c r="CU16" i="25" s="1"/>
  <c r="AY18" i="25"/>
  <c r="IH17" i="25"/>
  <c r="IJ17" i="25" s="1"/>
  <c r="IK17" i="25" s="1"/>
  <c r="IL17" i="25" s="1"/>
  <c r="SG11" i="25"/>
  <c r="SG12" i="25" s="1"/>
  <c r="SG13" i="25" s="1"/>
  <c r="DC19" i="25"/>
  <c r="DC10" i="25" s="1"/>
  <c r="AD18" i="19"/>
  <c r="BE10" i="25"/>
  <c r="BE9" i="25" s="1"/>
  <c r="BE8" i="25" s="1"/>
  <c r="AC16" i="19"/>
  <c r="DB17" i="25"/>
  <c r="DB10" i="25" s="1"/>
  <c r="PG11" i="25"/>
  <c r="PG12" i="25" s="1"/>
  <c r="PG13" i="25" s="1"/>
  <c r="AE10" i="25"/>
  <c r="PH17" i="25"/>
  <c r="PJ17" i="25" s="1"/>
  <c r="S11" i="19"/>
  <c r="RH17" i="25"/>
  <c r="RJ17" i="25" s="1"/>
  <c r="RK17" i="25" s="1"/>
  <c r="RL17" i="25" s="1"/>
  <c r="QG11" i="25"/>
  <c r="QG12" i="25" s="1"/>
  <c r="QG13" i="25" s="1"/>
  <c r="QH17" i="25"/>
  <c r="QJ17" i="25" s="1"/>
  <c r="US18" i="25"/>
  <c r="AX18" i="25"/>
  <c r="AZ18" i="25"/>
  <c r="BG9" i="25"/>
  <c r="BG8" i="25" s="1"/>
  <c r="AV10" i="25"/>
  <c r="AU16" i="25"/>
  <c r="AS16" i="25" s="1"/>
  <c r="AJ16" i="25" s="1"/>
  <c r="WQ16" i="25"/>
  <c r="WL11" i="25"/>
  <c r="VQ16" i="25"/>
  <c r="VL11" i="25"/>
  <c r="DO11" i="25"/>
  <c r="DO12" i="25" s="1"/>
  <c r="DO13" i="25" s="1"/>
  <c r="DT16" i="25"/>
  <c r="JS18" i="25"/>
  <c r="JR18" i="25"/>
  <c r="NR18" i="25"/>
  <c r="NS18" i="25"/>
  <c r="PS18" i="25"/>
  <c r="PR18" i="25"/>
  <c r="LS18" i="25"/>
  <c r="LR18" i="25"/>
  <c r="RR18" i="25"/>
  <c r="RS18" i="25"/>
  <c r="JQ19" i="25"/>
  <c r="RQ19" i="25"/>
  <c r="LQ19" i="25"/>
  <c r="PQ19" i="25"/>
  <c r="HU11" i="25"/>
  <c r="HU13" i="25" s="1"/>
  <c r="HJ16" i="25"/>
  <c r="HK16" i="25" s="1"/>
  <c r="HL16" i="25" s="1"/>
  <c r="NJ16" i="25"/>
  <c r="NK16" i="25" s="1"/>
  <c r="NL16" i="25" s="1"/>
  <c r="RJ16" i="25"/>
  <c r="NJ17" i="25"/>
  <c r="NK17" i="25" s="1"/>
  <c r="NL17" i="25" s="1"/>
  <c r="NU11" i="25"/>
  <c r="NU13" i="25" s="1"/>
  <c r="LU11" i="25"/>
  <c r="LU13" i="25" s="1"/>
  <c r="JJ17" i="25"/>
  <c r="JK17" i="25" s="1"/>
  <c r="JL17" i="25" s="1"/>
  <c r="PJ16" i="25"/>
  <c r="PK16" i="25" s="1"/>
  <c r="PL16" i="25" s="1"/>
  <c r="JJ16" i="25"/>
  <c r="JH11" i="25"/>
  <c r="JH12" i="25" s="1"/>
  <c r="JH13" i="25" s="1"/>
  <c r="LJ16" i="25"/>
  <c r="HJ19" i="25"/>
  <c r="BV17" i="25"/>
  <c r="OQ17" i="25"/>
  <c r="MR18" i="25"/>
  <c r="MS18" i="25"/>
  <c r="IR18" i="25"/>
  <c r="IS18" i="25"/>
  <c r="BK16" i="25"/>
  <c r="UQ16" i="25"/>
  <c r="NJ19" i="25"/>
  <c r="NH11" i="25"/>
  <c r="NH12" i="25" s="1"/>
  <c r="NH13" i="25" s="1"/>
  <c r="OJ16" i="25"/>
  <c r="OK16" i="25" s="1"/>
  <c r="OL16" i="25" s="1"/>
  <c r="BW19" i="25"/>
  <c r="SP18" i="25"/>
  <c r="CI18" i="25" s="1"/>
  <c r="CS18" i="25"/>
  <c r="KJ16" i="25"/>
  <c r="KK16" i="25" s="1"/>
  <c r="KL16" i="25" s="1"/>
  <c r="CR18" i="25"/>
  <c r="QP18" i="25"/>
  <c r="CH18" i="25" s="1"/>
  <c r="KR18" i="25"/>
  <c r="KS18" i="25"/>
  <c r="CN16" i="25"/>
  <c r="BB18" i="25"/>
  <c r="CO16" i="25"/>
  <c r="OR18" i="25"/>
  <c r="OS18" i="25"/>
  <c r="SK16" i="25"/>
  <c r="SL16" i="25" s="1"/>
  <c r="SU16" i="25" s="1"/>
  <c r="MJ16" i="25"/>
  <c r="H27" i="42"/>
  <c r="AE2" i="19"/>
  <c r="QJ16" i="25"/>
  <c r="QK16" i="25" s="1"/>
  <c r="QL16" i="25" s="1"/>
  <c r="QU16" i="25" s="1"/>
  <c r="CQ16" i="25"/>
  <c r="GS11" i="25"/>
  <c r="GS13" i="25" s="1"/>
  <c r="X118" i="42"/>
  <c r="X115" i="42"/>
  <c r="X117" i="42"/>
  <c r="X116" i="42"/>
  <c r="X114" i="42"/>
  <c r="X113" i="42"/>
  <c r="X89" i="42"/>
  <c r="X100" i="42"/>
  <c r="X110" i="42"/>
  <c r="X80" i="42"/>
  <c r="X96" i="42"/>
  <c r="X87" i="42"/>
  <c r="X111" i="42"/>
  <c r="X106" i="42"/>
  <c r="X83" i="42"/>
  <c r="X86" i="42"/>
  <c r="X98" i="42"/>
  <c r="X104" i="42"/>
  <c r="X79" i="42"/>
  <c r="X92" i="42"/>
  <c r="X90" i="42"/>
  <c r="X102" i="42"/>
  <c r="X93" i="42"/>
  <c r="X88" i="42"/>
  <c r="X85" i="42"/>
  <c r="X97" i="42"/>
  <c r="X109" i="42"/>
  <c r="X99" i="42"/>
  <c r="X105" i="42"/>
  <c r="X101" i="42"/>
  <c r="X82" i="42"/>
  <c r="X112" i="42"/>
  <c r="X81" i="42"/>
  <c r="X94" i="42"/>
  <c r="X95" i="42"/>
  <c r="X108" i="42"/>
  <c r="X91" i="42"/>
  <c r="X103" i="42"/>
  <c r="X84" i="42"/>
  <c r="X107" i="42"/>
  <c r="X77" i="42"/>
  <c r="X78" i="42"/>
  <c r="X73" i="42"/>
  <c r="X76" i="42"/>
  <c r="X75" i="42"/>
  <c r="TR18" i="25"/>
  <c r="TR11" i="25" s="1"/>
  <c r="TR13" i="25" s="1"/>
  <c r="TS18" i="25"/>
  <c r="TS11" i="25" s="1"/>
  <c r="TS13" i="25" s="1"/>
  <c r="TQ11" i="25"/>
  <c r="TP11" i="25"/>
  <c r="TP12" i="25" s="1"/>
  <c r="TP13" i="25" s="1"/>
  <c r="EU16" i="25"/>
  <c r="EP11" i="25"/>
  <c r="EP12" i="25" s="1"/>
  <c r="EP13" i="25" s="1"/>
  <c r="HQ18" i="25"/>
  <c r="K33" i="3"/>
  <c r="O33" i="3"/>
  <c r="I31" i="3"/>
  <c r="N32" i="3"/>
  <c r="O34" i="3"/>
  <c r="M33" i="3"/>
  <c r="BU17" i="25" l="1"/>
  <c r="HH11" i="25"/>
  <c r="HH12" i="25" s="1"/>
  <c r="HH13" i="25" s="1"/>
  <c r="BT17" i="25"/>
  <c r="LJ11" i="25"/>
  <c r="LJ12" i="25" s="1"/>
  <c r="LJ13" i="25" s="1"/>
  <c r="LH11" i="25"/>
  <c r="LH12" i="25" s="1"/>
  <c r="LH13" i="25" s="1"/>
  <c r="BA18" i="25"/>
  <c r="AJ10" i="25"/>
  <c r="M31" i="42"/>
  <c r="Z15" i="19"/>
  <c r="M129" i="12"/>
  <c r="N127" i="12"/>
  <c r="N129" i="12" s="1"/>
  <c r="C80" i="11" s="1"/>
  <c r="K54" i="22"/>
  <c r="N102" i="12"/>
  <c r="N103" i="12" s="1"/>
  <c r="N98" i="12"/>
  <c r="N96" i="12"/>
  <c r="N97" i="12"/>
  <c r="SH11" i="25"/>
  <c r="SH12" i="25" s="1"/>
  <c r="SH13" i="25" s="1"/>
  <c r="N95" i="12"/>
  <c r="BP18" i="25"/>
  <c r="AW18" i="25"/>
  <c r="Q33" i="3"/>
  <c r="PK17" i="25"/>
  <c r="PL17" i="25" s="1"/>
  <c r="PU17" i="25" s="1"/>
  <c r="RP17" i="25"/>
  <c r="RQ17" i="25" s="1"/>
  <c r="RU17" i="25"/>
  <c r="PP16" i="25"/>
  <c r="PU16" i="25"/>
  <c r="CW5" i="19"/>
  <c r="BA5" i="19"/>
  <c r="PH11" i="25"/>
  <c r="PH12" i="25" s="1"/>
  <c r="PH13" i="25" s="1"/>
  <c r="CU17" i="25"/>
  <c r="J70" i="12"/>
  <c r="BD16" i="25"/>
  <c r="AD16" i="19"/>
  <c r="AD11" i="19" s="1"/>
  <c r="J69" i="12"/>
  <c r="M69" i="12" s="1"/>
  <c r="J72" i="12"/>
  <c r="J71" i="12"/>
  <c r="QH11" i="25"/>
  <c r="QH12" i="25" s="1"/>
  <c r="QH13" i="25" s="1"/>
  <c r="AU10" i="25"/>
  <c r="AU9" i="25" s="1"/>
  <c r="AU8" i="25" s="1"/>
  <c r="AE1" i="19"/>
  <c r="RJ11" i="25"/>
  <c r="RJ12" i="25" s="1"/>
  <c r="RJ13" i="25" s="1"/>
  <c r="RH11" i="25"/>
  <c r="RH12" i="25" s="1"/>
  <c r="RH13" i="25" s="1"/>
  <c r="AY17" i="25"/>
  <c r="BA19" i="25"/>
  <c r="AX17" i="25"/>
  <c r="AZ17" i="25"/>
  <c r="I27" i="3"/>
  <c r="VS16" i="25"/>
  <c r="VS11" i="25" s="1"/>
  <c r="VS13" i="25" s="1"/>
  <c r="VR16" i="25"/>
  <c r="VR11" i="25" s="1"/>
  <c r="VR13" i="25" s="1"/>
  <c r="VQ11" i="25"/>
  <c r="VQ12" i="25" s="1"/>
  <c r="VQ13" i="25" s="1"/>
  <c r="WS16" i="25"/>
  <c r="WS11" i="25" s="1"/>
  <c r="WS13" i="25" s="1"/>
  <c r="WR16" i="25"/>
  <c r="WR11" i="25" s="1"/>
  <c r="WR13" i="25" s="1"/>
  <c r="WQ11" i="25"/>
  <c r="WQ12" i="25" s="1"/>
  <c r="WQ13" i="25" s="1"/>
  <c r="VL12" i="25"/>
  <c r="VL13" i="25" s="1"/>
  <c r="WL12" i="25"/>
  <c r="WL13" i="25" s="1"/>
  <c r="DU16" i="25"/>
  <c r="DU11" i="25" s="1"/>
  <c r="DU13" i="25" s="1"/>
  <c r="DV16" i="25"/>
  <c r="DV11" i="25" s="1"/>
  <c r="DV13" i="25" s="1"/>
  <c r="DT11" i="25"/>
  <c r="DT12" i="25" s="1"/>
  <c r="DT13" i="25" s="1"/>
  <c r="HS17" i="25"/>
  <c r="HR17" i="25"/>
  <c r="LR17" i="25"/>
  <c r="LS17" i="25"/>
  <c r="LS19" i="25"/>
  <c r="LR19" i="25"/>
  <c r="JR19" i="25"/>
  <c r="JS19" i="25"/>
  <c r="PR19" i="25"/>
  <c r="PS19" i="25"/>
  <c r="RS19" i="25"/>
  <c r="RR19" i="25"/>
  <c r="JQ17" i="25"/>
  <c r="NQ17" i="25"/>
  <c r="NQ16" i="25"/>
  <c r="HQ16" i="25"/>
  <c r="LK16" i="25"/>
  <c r="LL16" i="25" s="1"/>
  <c r="JK16" i="25"/>
  <c r="JL16" i="25" s="1"/>
  <c r="JJ11" i="25"/>
  <c r="JJ12" i="25" s="1"/>
  <c r="JJ13" i="25" s="1"/>
  <c r="PJ11" i="25"/>
  <c r="PJ12" i="25" s="1"/>
  <c r="PJ13" i="25" s="1"/>
  <c r="RK16" i="25"/>
  <c r="RL16" i="25" s="1"/>
  <c r="HK19" i="25"/>
  <c r="HL19" i="25" s="1"/>
  <c r="HJ11" i="25"/>
  <c r="HJ12" i="25" s="1"/>
  <c r="HJ13" i="25" s="1"/>
  <c r="SJ11" i="25"/>
  <c r="SJ12" i="25" s="1"/>
  <c r="SJ13" i="25" s="1"/>
  <c r="QQ18" i="25"/>
  <c r="QS18" i="25" s="1"/>
  <c r="IK16" i="25"/>
  <c r="IL16" i="25" s="1"/>
  <c r="MK16" i="25"/>
  <c r="ML16" i="25" s="1"/>
  <c r="BT16" i="25"/>
  <c r="QP19" i="25"/>
  <c r="CH19" i="25" s="1"/>
  <c r="CR19" i="25"/>
  <c r="BV16" i="25"/>
  <c r="BX17" i="25"/>
  <c r="UR16" i="25"/>
  <c r="US16" i="25"/>
  <c r="BY7" i="19"/>
  <c r="DI5" i="19"/>
  <c r="CW7" i="19"/>
  <c r="BM5" i="19"/>
  <c r="BM7" i="19"/>
  <c r="BA7" i="19"/>
  <c r="L19" i="3" s="1"/>
  <c r="DI7" i="19"/>
  <c r="DK8" i="19" s="1"/>
  <c r="BY5" i="19"/>
  <c r="CK5" i="19"/>
  <c r="CK7" i="19"/>
  <c r="BX19" i="25"/>
  <c r="NK19" i="25"/>
  <c r="NL19" i="25" s="1"/>
  <c r="NJ11" i="25"/>
  <c r="NJ12" i="25" s="1"/>
  <c r="NJ13" i="25" s="1"/>
  <c r="CK18" i="25"/>
  <c r="QJ11" i="25"/>
  <c r="QJ12" i="25" s="1"/>
  <c r="QJ13" i="25" s="1"/>
  <c r="BX16" i="25"/>
  <c r="SK11" i="25"/>
  <c r="SK12" i="25" s="1"/>
  <c r="SK13" i="25" s="1"/>
  <c r="CA18" i="25"/>
  <c r="AL18" i="25" s="1"/>
  <c r="BY18" i="25"/>
  <c r="KS17" i="25"/>
  <c r="KR17" i="25"/>
  <c r="OR17" i="25"/>
  <c r="OS17" i="25"/>
  <c r="SQ18" i="25"/>
  <c r="QK17" i="25"/>
  <c r="QL17" i="25" s="1"/>
  <c r="QU17" i="25" s="1"/>
  <c r="BW16" i="25"/>
  <c r="MS17" i="25"/>
  <c r="MR17" i="25"/>
  <c r="IQ17" i="25"/>
  <c r="BS17" i="25"/>
  <c r="BK10" i="25"/>
  <c r="BI9" i="25" s="1"/>
  <c r="UQ11" i="25"/>
  <c r="TQ12" i="25"/>
  <c r="TQ13" i="25" s="1"/>
  <c r="EU11" i="25"/>
  <c r="EU12" i="25" s="1"/>
  <c r="EU13" i="25" s="1"/>
  <c r="EW16" i="25"/>
  <c r="EW11" i="25" s="1"/>
  <c r="EW13" i="25" s="1"/>
  <c r="EV16" i="25"/>
  <c r="EV11" i="25" s="1"/>
  <c r="EV13" i="25" s="1"/>
  <c r="HR18" i="25"/>
  <c r="HS18" i="25"/>
  <c r="M32" i="3"/>
  <c r="L32" i="3"/>
  <c r="N31" i="3"/>
  <c r="P31" i="3"/>
  <c r="R33" i="3"/>
  <c r="L31" i="3"/>
  <c r="P32" i="3"/>
  <c r="O31" i="3"/>
  <c r="K32" i="3"/>
  <c r="D16" i="3"/>
  <c r="P34" i="3"/>
  <c r="AT18" i="25" l="1"/>
  <c r="AK18" i="25" s="1"/>
  <c r="BO18" i="25"/>
  <c r="BC16" i="25"/>
  <c r="M71" i="12"/>
  <c r="N71" i="12" s="1"/>
  <c r="M72" i="12"/>
  <c r="N72" i="12" s="1"/>
  <c r="M70" i="12"/>
  <c r="N70" i="12" s="1"/>
  <c r="M103" i="12"/>
  <c r="M99" i="12"/>
  <c r="N99" i="12"/>
  <c r="AR18" i="25"/>
  <c r="AM18" i="25" s="1"/>
  <c r="X18" i="19" s="1"/>
  <c r="J25" i="22"/>
  <c r="H75" i="12"/>
  <c r="K25" i="22"/>
  <c r="H76" i="12"/>
  <c r="J76" i="12" s="1"/>
  <c r="AE18" i="19"/>
  <c r="PP17" i="25"/>
  <c r="PQ17" i="25" s="1"/>
  <c r="PS17" i="25" s="1"/>
  <c r="PU11" i="25"/>
  <c r="PU13" i="25" s="1"/>
  <c r="PK11" i="25"/>
  <c r="PK12" i="25" s="1"/>
  <c r="PK13" i="25" s="1"/>
  <c r="RS17" i="25"/>
  <c r="RR17" i="25"/>
  <c r="RP16" i="25"/>
  <c r="RP11" i="25" s="1"/>
  <c r="RP12" i="25" s="1"/>
  <c r="RP13" i="25" s="1"/>
  <c r="RU16" i="25"/>
  <c r="RU11" i="25" s="1"/>
  <c r="RU13" i="25" s="1"/>
  <c r="CY7" i="19"/>
  <c r="CY8" i="19"/>
  <c r="W13" i="19" s="1"/>
  <c r="O37" i="10" s="1"/>
  <c r="QR18" i="25"/>
  <c r="N69" i="12"/>
  <c r="S75" i="12"/>
  <c r="S76" i="12"/>
  <c r="BO7" i="19"/>
  <c r="L20" i="3"/>
  <c r="E16" i="3"/>
  <c r="P27" i="3"/>
  <c r="DK7" i="19"/>
  <c r="L24" i="3"/>
  <c r="L23" i="3"/>
  <c r="CA7" i="19"/>
  <c r="L21" i="3"/>
  <c r="BC7" i="19"/>
  <c r="JS17" i="25"/>
  <c r="JR17" i="25"/>
  <c r="NR17" i="25"/>
  <c r="NS17" i="25"/>
  <c r="NS16" i="25"/>
  <c r="NR16" i="25"/>
  <c r="HS16" i="25"/>
  <c r="HR16" i="25"/>
  <c r="QK11" i="25"/>
  <c r="QK12" i="25" s="1"/>
  <c r="QK13" i="25" s="1"/>
  <c r="LK11" i="25"/>
  <c r="LK12" i="25" s="1"/>
  <c r="LK13" i="25" s="1"/>
  <c r="LL11" i="25"/>
  <c r="LL12" i="25" s="1"/>
  <c r="LL13" i="25" s="1"/>
  <c r="F22" i="42"/>
  <c r="CM7" i="19"/>
  <c r="F19" i="42"/>
  <c r="RK11" i="25"/>
  <c r="RK12" i="25" s="1"/>
  <c r="RK13" i="25" s="1"/>
  <c r="PQ16" i="25"/>
  <c r="PL11" i="25"/>
  <c r="PL12" i="25" s="1"/>
  <c r="PL13" i="25" s="1"/>
  <c r="JK11" i="25"/>
  <c r="JK12" i="25" s="1"/>
  <c r="JK13" i="25" s="1"/>
  <c r="LQ16" i="25"/>
  <c r="F23" i="42"/>
  <c r="F24" i="42"/>
  <c r="F21" i="42"/>
  <c r="F20" i="42"/>
  <c r="HK11" i="25"/>
  <c r="HK12" i="25" s="1"/>
  <c r="HK13" i="25" s="1"/>
  <c r="IR17" i="25"/>
  <c r="IS17" i="25"/>
  <c r="BW17" i="25"/>
  <c r="BB16" i="25"/>
  <c r="BX10" i="25"/>
  <c r="SP17" i="25"/>
  <c r="CS17" i="25"/>
  <c r="AZ16" i="25"/>
  <c r="BU16" i="25"/>
  <c r="BI8" i="25"/>
  <c r="AW17" i="25"/>
  <c r="BA16" i="25"/>
  <c r="BB19" i="25"/>
  <c r="BC10" i="25"/>
  <c r="BD10" i="25"/>
  <c r="G15" i="35" s="1"/>
  <c r="AC11" i="19"/>
  <c r="QP16" i="25"/>
  <c r="SR18" i="25"/>
  <c r="SS18" i="25"/>
  <c r="W18" i="19"/>
  <c r="S33" i="42"/>
  <c r="CS19" i="25"/>
  <c r="SP19" i="25"/>
  <c r="CI19" i="25" s="1"/>
  <c r="CA19" i="25" s="1"/>
  <c r="AL19" i="25" s="1"/>
  <c r="OQ16" i="25"/>
  <c r="KQ16" i="25"/>
  <c r="BS16" i="25"/>
  <c r="IK4" i="25"/>
  <c r="BD9" i="25"/>
  <c r="BD8" i="25" s="1"/>
  <c r="QQ19" i="25"/>
  <c r="SP16" i="25"/>
  <c r="SL11" i="25"/>
  <c r="SL12" i="25" s="1"/>
  <c r="SL13" i="25" s="1"/>
  <c r="NK11" i="25"/>
  <c r="NK12" i="25" s="1"/>
  <c r="NK13" i="25" s="1"/>
  <c r="L22" i="3"/>
  <c r="BB17" i="25"/>
  <c r="AX16" i="25"/>
  <c r="UQ12" i="25"/>
  <c r="UQ13" i="25" s="1"/>
  <c r="UG11" i="25"/>
  <c r="UU11" i="25"/>
  <c r="UU13" i="25" s="1"/>
  <c r="O32" i="3"/>
  <c r="M31" i="3"/>
  <c r="K31" i="3"/>
  <c r="J75" i="12" l="1"/>
  <c r="M75" i="12" s="1"/>
  <c r="N75" i="12" s="1"/>
  <c r="U33" i="42"/>
  <c r="AO18" i="25"/>
  <c r="Z18" i="19" s="1"/>
  <c r="PP11" i="25"/>
  <c r="PP12" i="25" s="1"/>
  <c r="PP13" i="25" s="1"/>
  <c r="PR17" i="25"/>
  <c r="CT9" i="19"/>
  <c r="C76" i="11"/>
  <c r="N73" i="12"/>
  <c r="M73" i="12"/>
  <c r="M29" i="12" s="1"/>
  <c r="M76" i="12"/>
  <c r="N76" i="12" s="1"/>
  <c r="C79" i="11"/>
  <c r="O27" i="3"/>
  <c r="Q32" i="3"/>
  <c r="BA17" i="25"/>
  <c r="AT17" i="25" s="1"/>
  <c r="AE13" i="19"/>
  <c r="Q31" i="3"/>
  <c r="BB10" i="25"/>
  <c r="DK5" i="19" s="1"/>
  <c r="JQ16" i="25"/>
  <c r="JL11" i="25"/>
  <c r="JL12" i="25" s="1"/>
  <c r="JL13" i="25" s="1"/>
  <c r="RQ16" i="25"/>
  <c r="RL11" i="25"/>
  <c r="RL12" i="25" s="1"/>
  <c r="RL13" i="25" s="1"/>
  <c r="LS16" i="25"/>
  <c r="LS11" i="25" s="1"/>
  <c r="LS13" i="25" s="1"/>
  <c r="LQ11" i="25"/>
  <c r="LQ12" i="25" s="1"/>
  <c r="LQ13" i="25" s="1"/>
  <c r="LR16" i="25"/>
  <c r="LR11" i="25" s="1"/>
  <c r="LR13" i="25" s="1"/>
  <c r="PS16" i="25"/>
  <c r="PS11" i="25" s="1"/>
  <c r="PS13" i="25" s="1"/>
  <c r="PR16" i="25"/>
  <c r="PQ11" i="25"/>
  <c r="PQ12" i="25" s="1"/>
  <c r="PQ13" i="25" s="1"/>
  <c r="HQ19" i="25"/>
  <c r="HL11" i="25"/>
  <c r="HL12" i="25" s="1"/>
  <c r="HL13" i="25" s="1"/>
  <c r="N29" i="10"/>
  <c r="BP17" i="25"/>
  <c r="BW10" i="25"/>
  <c r="BW9" i="25" s="1"/>
  <c r="BW8" i="25" s="1"/>
  <c r="NQ19" i="25"/>
  <c r="NL11" i="25"/>
  <c r="NL12" i="25" s="1"/>
  <c r="NL13" i="25" s="1"/>
  <c r="QS19" i="25"/>
  <c r="QR19" i="25"/>
  <c r="IQ16" i="25"/>
  <c r="OS16" i="25"/>
  <c r="OR16" i="25"/>
  <c r="BY19" i="25"/>
  <c r="CS16" i="25"/>
  <c r="CS10" i="25" s="1"/>
  <c r="SU11" i="25"/>
  <c r="SU13" i="25" s="1"/>
  <c r="KR16" i="25"/>
  <c r="KS16" i="25"/>
  <c r="W19" i="19"/>
  <c r="S34" i="42"/>
  <c r="AY16" i="25"/>
  <c r="SQ17" i="25"/>
  <c r="CI17" i="25"/>
  <c r="QL11" i="25"/>
  <c r="QL12" i="25" s="1"/>
  <c r="QL13" i="25" s="1"/>
  <c r="CR17" i="25"/>
  <c r="CK17" i="25" s="1"/>
  <c r="QP17" i="25"/>
  <c r="CH17" i="25" s="1"/>
  <c r="SQ16" i="25"/>
  <c r="CI16" i="25"/>
  <c r="SP11" i="25"/>
  <c r="SP12" i="25" s="1"/>
  <c r="SP13" i="25" s="1"/>
  <c r="CR16" i="25"/>
  <c r="KG19" i="25"/>
  <c r="KU19" i="25" s="1"/>
  <c r="OF19" i="25"/>
  <c r="OG19" i="25" s="1"/>
  <c r="OU19" i="25" s="1"/>
  <c r="MF19" i="25"/>
  <c r="MG19" i="25" s="1"/>
  <c r="MU19" i="25" s="1"/>
  <c r="MQ16" i="25"/>
  <c r="SQ19" i="25"/>
  <c r="BP16" i="25"/>
  <c r="AW16" i="25"/>
  <c r="QQ16" i="25"/>
  <c r="CH16" i="25"/>
  <c r="Z10" i="25"/>
  <c r="UH11" i="25"/>
  <c r="UG12" i="25"/>
  <c r="UG13" i="25" s="1"/>
  <c r="R32" i="3"/>
  <c r="R31" i="3"/>
  <c r="BA10" i="25" l="1"/>
  <c r="CY5" i="19" s="1"/>
  <c r="X13" i="19"/>
  <c r="AI18" i="25"/>
  <c r="V18" i="19" s="1"/>
  <c r="BO16" i="25"/>
  <c r="BO17" i="25"/>
  <c r="C75" i="11"/>
  <c r="N29" i="12"/>
  <c r="PR11" i="25"/>
  <c r="PR13" i="25" s="1"/>
  <c r="N77" i="12"/>
  <c r="M77" i="12"/>
  <c r="M30" i="12" s="1"/>
  <c r="M32" i="12" s="1"/>
  <c r="Z4" i="19"/>
  <c r="IG19" i="25"/>
  <c r="IU19" i="25" s="1"/>
  <c r="AT16" i="25"/>
  <c r="AE17" i="19"/>
  <c r="JR16" i="25"/>
  <c r="JR11" i="25" s="1"/>
  <c r="JR13" i="25" s="1"/>
  <c r="JS16" i="25"/>
  <c r="JS11" i="25" s="1"/>
  <c r="JS13" i="25" s="1"/>
  <c r="JQ11" i="25"/>
  <c r="JQ12" i="25" s="1"/>
  <c r="JQ13" i="25" s="1"/>
  <c r="RR16" i="25"/>
  <c r="RR11" i="25" s="1"/>
  <c r="RR13" i="25" s="1"/>
  <c r="RS16" i="25"/>
  <c r="RS11" i="25" s="1"/>
  <c r="RS13" i="25" s="1"/>
  <c r="RQ11" i="25"/>
  <c r="RQ12" i="25" s="1"/>
  <c r="RQ13" i="25" s="1"/>
  <c r="HS19" i="25"/>
  <c r="HS11" i="25" s="1"/>
  <c r="HS13" i="25" s="1"/>
  <c r="HR19" i="25"/>
  <c r="HR11" i="25" s="1"/>
  <c r="HR13" i="25" s="1"/>
  <c r="HQ11" i="25"/>
  <c r="HQ12" i="25" s="1"/>
  <c r="HQ13" i="25" s="1"/>
  <c r="AR17" i="25"/>
  <c r="AM17" i="25" s="1"/>
  <c r="X17" i="19" s="1"/>
  <c r="QP11" i="25"/>
  <c r="QP12" i="25" s="1"/>
  <c r="QP13" i="25" s="1"/>
  <c r="QQ17" i="25"/>
  <c r="QQ11" i="25" s="1"/>
  <c r="QQ12" i="25" s="1"/>
  <c r="QQ13" i="25" s="1"/>
  <c r="QU11" i="25"/>
  <c r="QU13" i="25" s="1"/>
  <c r="CI10" i="25"/>
  <c r="J17" i="35"/>
  <c r="Z3" i="19"/>
  <c r="Z6" i="19" s="1"/>
  <c r="O30" i="10"/>
  <c r="SQ11" i="25"/>
  <c r="SQ12" i="25" s="1"/>
  <c r="SQ13" i="25" s="1"/>
  <c r="SS19" i="25"/>
  <c r="SR19" i="25"/>
  <c r="QR16" i="25"/>
  <c r="QS16" i="25"/>
  <c r="SS16" i="25"/>
  <c r="SR16" i="25"/>
  <c r="IR16" i="25"/>
  <c r="IS16" i="25"/>
  <c r="NS19" i="25"/>
  <c r="NS11" i="25" s="1"/>
  <c r="NS13" i="25" s="1"/>
  <c r="NR19" i="25"/>
  <c r="NR11" i="25" s="1"/>
  <c r="NR13" i="25" s="1"/>
  <c r="NQ11" i="25"/>
  <c r="NQ12" i="25" s="1"/>
  <c r="NQ13" i="25" s="1"/>
  <c r="BY16" i="25"/>
  <c r="CH10" i="25"/>
  <c r="CA16" i="25"/>
  <c r="AE16" i="19"/>
  <c r="AR16" i="25"/>
  <c r="AM16" i="25" s="1"/>
  <c r="MS16" i="25"/>
  <c r="MR16" i="25"/>
  <c r="CY19" i="25"/>
  <c r="CY10" i="25" s="1"/>
  <c r="KH19" i="25"/>
  <c r="KG11" i="25"/>
  <c r="KG12" i="25" s="1"/>
  <c r="KG13" i="25" s="1"/>
  <c r="DA19" i="25"/>
  <c r="DA10" i="25" s="1"/>
  <c r="OH19" i="25"/>
  <c r="OG11" i="25"/>
  <c r="OG12" i="25" s="1"/>
  <c r="OG13" i="25" s="1"/>
  <c r="CA17" i="25"/>
  <c r="AL17" i="25" s="1"/>
  <c r="BY17" i="25"/>
  <c r="SS17" i="25"/>
  <c r="SR17" i="25"/>
  <c r="MH19" i="25"/>
  <c r="CZ19" i="25"/>
  <c r="CZ10" i="25" s="1"/>
  <c r="MG11" i="25"/>
  <c r="MG12" i="25" s="1"/>
  <c r="MG13" i="25" s="1"/>
  <c r="CR10" i="25"/>
  <c r="CK16" i="25"/>
  <c r="QR17" i="25"/>
  <c r="UJ11" i="25"/>
  <c r="UH12" i="25"/>
  <c r="UH13" i="25" s="1"/>
  <c r="BA9" i="25" l="1"/>
  <c r="BA8" i="25" s="1"/>
  <c r="O41" i="42"/>
  <c r="O39" i="42"/>
  <c r="O37" i="42"/>
  <c r="O40" i="42"/>
  <c r="O35" i="42"/>
  <c r="O38" i="42"/>
  <c r="O36" i="42"/>
  <c r="O30" i="42"/>
  <c r="O33" i="42"/>
  <c r="AK17" i="25"/>
  <c r="O32" i="42" s="1"/>
  <c r="AK16" i="25"/>
  <c r="O31" i="42" s="1"/>
  <c r="C78" i="11"/>
  <c r="N30" i="12"/>
  <c r="N32" i="12" s="1"/>
  <c r="U32" i="42"/>
  <c r="CX19" i="25"/>
  <c r="CU19" i="25" s="1"/>
  <c r="CU10" i="25" s="1"/>
  <c r="IH19" i="25"/>
  <c r="IH11" i="25" s="1"/>
  <c r="IH12" i="25" s="1"/>
  <c r="IH13" i="25" s="1"/>
  <c r="IG11" i="25"/>
  <c r="IG12" i="25" s="1"/>
  <c r="IG13" i="25" s="1"/>
  <c r="X72" i="42"/>
  <c r="X71" i="42"/>
  <c r="QR11" i="25"/>
  <c r="QR13" i="25" s="1"/>
  <c r="QS17" i="25"/>
  <c r="QS11" i="25" s="1"/>
  <c r="QS13" i="25" s="1"/>
  <c r="AL16" i="25"/>
  <c r="CA10" i="25"/>
  <c r="MJ19" i="25"/>
  <c r="MJ11" i="25" s="1"/>
  <c r="MJ12" i="25" s="1"/>
  <c r="MJ13" i="25" s="1"/>
  <c r="MH11" i="25"/>
  <c r="MH12" i="25" s="1"/>
  <c r="MH13" i="25" s="1"/>
  <c r="CQ19" i="25"/>
  <c r="CQ10" i="25" s="1"/>
  <c r="OU11" i="25"/>
  <c r="OU13" i="25" s="1"/>
  <c r="MU11" i="25"/>
  <c r="MU13" i="25" s="1"/>
  <c r="CP19" i="25"/>
  <c r="CP10" i="25" s="1"/>
  <c r="OJ19" i="25"/>
  <c r="OH11" i="25"/>
  <c r="OH12" i="25" s="1"/>
  <c r="OH13" i="25" s="1"/>
  <c r="CO19" i="25"/>
  <c r="CO10" i="25" s="1"/>
  <c r="KU11" i="25"/>
  <c r="KU13" i="25" s="1"/>
  <c r="X16" i="19"/>
  <c r="CN19" i="25"/>
  <c r="IU11" i="25"/>
  <c r="IU13" i="25" s="1"/>
  <c r="O36" i="10"/>
  <c r="Z13" i="19"/>
  <c r="BY10" i="25"/>
  <c r="SS11" i="25"/>
  <c r="SS13" i="25" s="1"/>
  <c r="S32" i="42"/>
  <c r="AO17" i="25"/>
  <c r="AI17" i="25" s="1"/>
  <c r="W17" i="19"/>
  <c r="KJ19" i="25"/>
  <c r="KJ11" i="25" s="1"/>
  <c r="KJ12" i="25" s="1"/>
  <c r="KJ13" i="25" s="1"/>
  <c r="KH11" i="25"/>
  <c r="KH12" i="25" s="1"/>
  <c r="KH13" i="25" s="1"/>
  <c r="SR11" i="25"/>
  <c r="SR13" i="25" s="1"/>
  <c r="UK11" i="25"/>
  <c r="UJ12" i="25"/>
  <c r="UJ13" i="25" s="1"/>
  <c r="V13" i="19" l="1"/>
  <c r="U31" i="42"/>
  <c r="M27" i="42"/>
  <c r="IJ19" i="25"/>
  <c r="IK19" i="25" s="1"/>
  <c r="IL19" i="25" s="1"/>
  <c r="CX10" i="25"/>
  <c r="AL32" i="42"/>
  <c r="AL68" i="42"/>
  <c r="X68" i="42"/>
  <c r="AL70" i="42"/>
  <c r="X70" i="42"/>
  <c r="X69" i="42"/>
  <c r="AL69" i="42"/>
  <c r="AL62" i="42"/>
  <c r="X62" i="42"/>
  <c r="AL56" i="42"/>
  <c r="X56" i="42"/>
  <c r="X66" i="42"/>
  <c r="AL66" i="42"/>
  <c r="AL58" i="42"/>
  <c r="X58" i="42"/>
  <c r="AL65" i="42"/>
  <c r="X65" i="42"/>
  <c r="AL64" i="42"/>
  <c r="X64" i="42"/>
  <c r="AL61" i="42"/>
  <c r="X61" i="42"/>
  <c r="X63" i="42"/>
  <c r="AL63" i="42"/>
  <c r="AL67" i="42"/>
  <c r="X67" i="42"/>
  <c r="AL55" i="42"/>
  <c r="X55" i="42"/>
  <c r="AL60" i="42"/>
  <c r="X60" i="42"/>
  <c r="AL57" i="42"/>
  <c r="X57" i="42"/>
  <c r="AL54" i="42"/>
  <c r="X54" i="42"/>
  <c r="AL59" i="42"/>
  <c r="X59" i="42"/>
  <c r="AL46" i="42"/>
  <c r="X46" i="42"/>
  <c r="AL50" i="42"/>
  <c r="X50" i="42"/>
  <c r="AL51" i="42"/>
  <c r="X51" i="42"/>
  <c r="AL53" i="42"/>
  <c r="X53" i="42"/>
  <c r="AL45" i="42"/>
  <c r="X45" i="42"/>
  <c r="AL49" i="42"/>
  <c r="X49" i="42"/>
  <c r="X48" i="42"/>
  <c r="AL48" i="42"/>
  <c r="AL47" i="42"/>
  <c r="X47" i="42"/>
  <c r="AL52" i="42"/>
  <c r="X52" i="42"/>
  <c r="X43" i="42"/>
  <c r="AL43" i="42"/>
  <c r="AL38" i="42"/>
  <c r="X38" i="42"/>
  <c r="AL37" i="42"/>
  <c r="X37" i="42"/>
  <c r="X36" i="42"/>
  <c r="AL36" i="42"/>
  <c r="AL44" i="42"/>
  <c r="X44" i="42"/>
  <c r="AL40" i="42"/>
  <c r="X40" i="42"/>
  <c r="AL30" i="42"/>
  <c r="X30" i="42"/>
  <c r="X35" i="42"/>
  <c r="AL35" i="42"/>
  <c r="X41" i="42"/>
  <c r="AL41" i="42"/>
  <c r="X33" i="42"/>
  <c r="AL33" i="42"/>
  <c r="AL39" i="42"/>
  <c r="X39" i="42"/>
  <c r="AL42" i="42"/>
  <c r="X42" i="42"/>
  <c r="N17" i="35"/>
  <c r="O39" i="10"/>
  <c r="KK19" i="25"/>
  <c r="KL19" i="25" s="1"/>
  <c r="MK19" i="25"/>
  <c r="ML19" i="25" s="1"/>
  <c r="X32" i="42"/>
  <c r="V17" i="19"/>
  <c r="Z17" i="19"/>
  <c r="CK19" i="25"/>
  <c r="CK10" i="25" s="1"/>
  <c r="CN10" i="25"/>
  <c r="OK19" i="25"/>
  <c r="OL19" i="25" s="1"/>
  <c r="OJ11" i="25"/>
  <c r="OJ12" i="25" s="1"/>
  <c r="OJ13" i="25" s="1"/>
  <c r="S31" i="42"/>
  <c r="S27" i="42" s="1"/>
  <c r="AL10" i="25"/>
  <c r="AE4" i="19" s="1"/>
  <c r="AE6" i="19" s="1"/>
  <c r="W16" i="19"/>
  <c r="AO16" i="25"/>
  <c r="AI16" i="25" s="1"/>
  <c r="UL11" i="25"/>
  <c r="UK12" i="25"/>
  <c r="UK13" i="25" s="1"/>
  <c r="CY10" i="19" l="1"/>
  <c r="IJ11" i="25"/>
  <c r="IJ12" i="25" s="1"/>
  <c r="IJ13" i="25" s="1"/>
  <c r="W11" i="19"/>
  <c r="W12" i="19" s="1"/>
  <c r="AL31" i="42"/>
  <c r="Z16" i="19"/>
  <c r="BS19" i="25"/>
  <c r="IK11" i="25"/>
  <c r="IK12" i="25" s="1"/>
  <c r="IK13" i="25" s="1"/>
  <c r="BU19" i="25"/>
  <c r="MK11" i="25"/>
  <c r="MK12" i="25" s="1"/>
  <c r="MK13" i="25" s="1"/>
  <c r="BV19" i="25"/>
  <c r="OK11" i="25"/>
  <c r="OK12" i="25" s="1"/>
  <c r="OK13" i="25" s="1"/>
  <c r="O41" i="10"/>
  <c r="P17" i="35"/>
  <c r="AA27" i="42"/>
  <c r="BT19" i="25"/>
  <c r="KK11" i="25"/>
  <c r="KK12" i="25" s="1"/>
  <c r="KK13" i="25" s="1"/>
  <c r="X31" i="42"/>
  <c r="US11" i="25"/>
  <c r="US13" i="25" s="1"/>
  <c r="UR11" i="25"/>
  <c r="UR13" i="25" s="1"/>
  <c r="UL12" i="25"/>
  <c r="UL13" i="25" s="1"/>
  <c r="K34" i="3"/>
  <c r="N34" i="3"/>
  <c r="L34" i="3"/>
  <c r="M34" i="3"/>
  <c r="N37" i="10" l="1"/>
  <c r="N27" i="3"/>
  <c r="M27" i="3"/>
  <c r="L27" i="3"/>
  <c r="Q34" i="3"/>
  <c r="K27" i="3"/>
  <c r="AZ19" i="25"/>
  <c r="AZ10" i="25" s="1"/>
  <c r="CM5" i="19" s="1"/>
  <c r="BV10" i="25"/>
  <c r="IQ19" i="25"/>
  <c r="IL11" i="25"/>
  <c r="IL12" i="25" s="1"/>
  <c r="IL13" i="25" s="1"/>
  <c r="V16" i="19"/>
  <c r="OQ19" i="25"/>
  <c r="OL11" i="25"/>
  <c r="OL12" i="25" s="1"/>
  <c r="OL13" i="25" s="1"/>
  <c r="KQ19" i="25"/>
  <c r="KL11" i="25"/>
  <c r="KL12" i="25" s="1"/>
  <c r="KL13" i="25" s="1"/>
  <c r="AY19" i="25"/>
  <c r="AY10" i="25" s="1"/>
  <c r="CA5" i="19" s="1"/>
  <c r="BU10" i="25"/>
  <c r="AX19" i="25"/>
  <c r="AX10" i="25" s="1"/>
  <c r="BO5" i="19" s="1"/>
  <c r="BT10" i="25"/>
  <c r="MQ19" i="25"/>
  <c r="ML11" i="25"/>
  <c r="ML12" i="25" s="1"/>
  <c r="ML13" i="25" s="1"/>
  <c r="AW19" i="25"/>
  <c r="BP19" i="25"/>
  <c r="BS10" i="25"/>
  <c r="R34" i="3"/>
  <c r="BO19" i="25" l="1"/>
  <c r="BO10" i="25" s="1"/>
  <c r="R27" i="3"/>
  <c r="Q27" i="3"/>
  <c r="AT19" i="25"/>
  <c r="BS9" i="25"/>
  <c r="BS8" i="25" s="1"/>
  <c r="MS19" i="25"/>
  <c r="MS11" i="25" s="1"/>
  <c r="MS13" i="25" s="1"/>
  <c r="MR19" i="25"/>
  <c r="MR11" i="25" s="1"/>
  <c r="MR13" i="25" s="1"/>
  <c r="MQ11" i="25"/>
  <c r="MQ12" i="25" s="1"/>
  <c r="MQ13" i="25" s="1"/>
  <c r="AW10" i="25"/>
  <c r="KR19" i="25"/>
  <c r="KR11" i="25" s="1"/>
  <c r="KR13" i="25" s="1"/>
  <c r="KS19" i="25"/>
  <c r="KS11" i="25" s="1"/>
  <c r="KS13" i="25" s="1"/>
  <c r="KQ11" i="25"/>
  <c r="KQ12" i="25" s="1"/>
  <c r="KQ13" i="25" s="1"/>
  <c r="AE19" i="19"/>
  <c r="AE11" i="19" s="1"/>
  <c r="AR19" i="25"/>
  <c r="BP10" i="25"/>
  <c r="J15" i="35" s="1"/>
  <c r="OS19" i="25"/>
  <c r="OS11" i="25" s="1"/>
  <c r="OS13" i="25" s="1"/>
  <c r="OR19" i="25"/>
  <c r="OR11" i="25" s="1"/>
  <c r="OR13" i="25" s="1"/>
  <c r="OQ11" i="25"/>
  <c r="OQ12" i="25" s="1"/>
  <c r="OQ13" i="25" s="1"/>
  <c r="IR19" i="25"/>
  <c r="IR11" i="25" s="1"/>
  <c r="IR13" i="25" s="1"/>
  <c r="IS19" i="25"/>
  <c r="IS11" i="25" s="1"/>
  <c r="IS13" i="25" s="1"/>
  <c r="IQ11" i="25"/>
  <c r="IQ12" i="25" s="1"/>
  <c r="IQ13" i="25" s="1"/>
  <c r="D15" i="3"/>
  <c r="AK19" i="25" l="1"/>
  <c r="AW9" i="25"/>
  <c r="AW8" i="25" s="1"/>
  <c r="BC5" i="19"/>
  <c r="AR10" i="25"/>
  <c r="AM19" i="25"/>
  <c r="AO19" i="25" s="1"/>
  <c r="AI19" i="25" s="1"/>
  <c r="BP9" i="25"/>
  <c r="BP8" i="25" s="1"/>
  <c r="AE12" i="19"/>
  <c r="N30" i="10"/>
  <c r="U34" i="42"/>
  <c r="U27" i="42" s="1"/>
  <c r="AK10" i="25" l="1"/>
  <c r="O34" i="42"/>
  <c r="O27" i="42" s="1"/>
  <c r="D21" i="3"/>
  <c r="E15" i="3"/>
  <c r="E21" i="3" s="1"/>
  <c r="AM10" i="25"/>
  <c r="X19" i="19"/>
  <c r="Z19" i="19"/>
  <c r="Z11" i="19" s="1"/>
  <c r="AO10" i="25"/>
  <c r="AL34" i="42" l="1"/>
  <c r="X34" i="42"/>
  <c r="X27" i="42" s="1"/>
  <c r="X11" i="19"/>
  <c r="X12" i="19" s="1"/>
  <c r="V19" i="19"/>
  <c r="AI10" i="25"/>
  <c r="N39" i="10"/>
  <c r="Z12" i="19"/>
  <c r="N15" i="35"/>
  <c r="N36" i="10" l="1"/>
  <c r="V11" i="19"/>
  <c r="P15" i="35" s="1"/>
  <c r="B2" i="45"/>
  <c r="AA25" i="42" l="1"/>
  <c r="N41" i="10"/>
  <c r="P29" i="12"/>
  <c r="G136" i="45"/>
  <c r="G69" i="45"/>
  <c r="G82" i="45"/>
  <c r="G96" i="45"/>
  <c r="G122" i="45"/>
  <c r="G202" i="45"/>
  <c r="G42" i="45"/>
  <c r="C1" i="11"/>
  <c r="G162" i="45"/>
  <c r="G189" i="45"/>
  <c r="G149" i="45"/>
  <c r="G56" i="45"/>
  <c r="G29" i="45"/>
  <c r="G176" i="45"/>
  <c r="G109" i="45"/>
  <c r="E8" i="10"/>
  <c r="B9" i="3"/>
  <c r="B11" i="3" l="1"/>
  <c r="B10" i="3"/>
  <c r="B12" i="3"/>
  <c r="C11" i="3"/>
</calcChain>
</file>

<file path=xl/sharedStrings.xml><?xml version="1.0" encoding="utf-8"?>
<sst xmlns="http://schemas.openxmlformats.org/spreadsheetml/2006/main" count="14957" uniqueCount="2999">
  <si>
    <t>Total HT</t>
  </si>
  <si>
    <t>WCA</t>
  </si>
  <si>
    <t>Tax and fees</t>
  </si>
  <si>
    <t>Healthcare Plan</t>
  </si>
  <si>
    <t>AIG Luxembourg</t>
  </si>
  <si>
    <t>Assistance and Repatriation</t>
  </si>
  <si>
    <t>Death Accident</t>
  </si>
  <si>
    <t>Anker Verzekeringen n.v.</t>
  </si>
  <si>
    <t>Death Illness</t>
  </si>
  <si>
    <t>Permanent Disability Accident</t>
  </si>
  <si>
    <t>Permanent Disability Illness</t>
  </si>
  <si>
    <t>Informations</t>
  </si>
  <si>
    <t>Annual</t>
  </si>
  <si>
    <t>Period</t>
  </si>
  <si>
    <t>Certificate</t>
  </si>
  <si>
    <t>Wycc ID</t>
  </si>
  <si>
    <t>Gender</t>
  </si>
  <si>
    <t>Name</t>
  </si>
  <si>
    <t>First name</t>
  </si>
  <si>
    <t>Date of birth</t>
  </si>
  <si>
    <t>Formula</t>
  </si>
  <si>
    <t>Policy number</t>
  </si>
  <si>
    <t>Total amount insured</t>
  </si>
  <si>
    <t>Discount</t>
  </si>
  <si>
    <t>Tax</t>
  </si>
  <si>
    <t>Contribution</t>
  </si>
  <si>
    <t>M</t>
  </si>
  <si>
    <t>HT</t>
  </si>
  <si>
    <t>On behalf of</t>
  </si>
  <si>
    <t>Broker</t>
  </si>
  <si>
    <t>YACHTING</t>
  </si>
  <si>
    <t>Subscriber</t>
  </si>
  <si>
    <t>Co-subscriber</t>
  </si>
  <si>
    <t>EUR</t>
  </si>
  <si>
    <t>Currency</t>
  </si>
  <si>
    <t>Effective date</t>
  </si>
  <si>
    <t>Last name</t>
  </si>
  <si>
    <t>ID Wycc</t>
  </si>
  <si>
    <t>Days</t>
  </si>
  <si>
    <t>Months</t>
  </si>
  <si>
    <t>Premium HT</t>
  </si>
  <si>
    <t>Temporary Disability Accident</t>
  </si>
  <si>
    <t>Temporary Disability Illness</t>
  </si>
  <si>
    <t>Premium TC</t>
  </si>
  <si>
    <t>The details of the insured members' movements (with benefits, IN/OUT, structures…) are available in the joined document.</t>
  </si>
  <si>
    <t>Guarantees</t>
  </si>
  <si>
    <t>Worked Period</t>
  </si>
  <si>
    <t>End</t>
  </si>
  <si>
    <t>Last amendment</t>
  </si>
  <si>
    <t>Concerned period</t>
  </si>
  <si>
    <t>Number</t>
  </si>
  <si>
    <t>Start</t>
  </si>
  <si>
    <t>Malta</t>
  </si>
  <si>
    <t>Cannes</t>
  </si>
  <si>
    <t>France</t>
  </si>
  <si>
    <t>ID Certificate</t>
  </si>
  <si>
    <t>Start Period</t>
  </si>
  <si>
    <t>End Period</t>
  </si>
  <si>
    <t>TC</t>
  </si>
  <si>
    <t>Amount to pay</t>
  </si>
  <si>
    <t>Total</t>
  </si>
  <si>
    <t>Date</t>
  </si>
  <si>
    <t>The present bill is forwarded without bearing on previous premiums or amounts that remain to be settled.</t>
  </si>
  <si>
    <t>The Wycc direction</t>
  </si>
  <si>
    <t>ICS SA - WYCC DEPARTMENT</t>
  </si>
  <si>
    <t>Centre Mercure - 41, avenue de la gare</t>
  </si>
  <si>
    <t>L-1611 Luxembourg (LU)</t>
  </si>
  <si>
    <t>PLEASE PAY INVOICES BY BANK TRANSFER CREDITED TO</t>
  </si>
  <si>
    <t>Bank</t>
  </si>
  <si>
    <t>69, route d'Esch</t>
  </si>
  <si>
    <t>L-2953 Luxembourg (LU)</t>
  </si>
  <si>
    <t>Banque Internationale Luxembourg</t>
  </si>
  <si>
    <t>IBAN</t>
  </si>
  <si>
    <t>SWIFT/BIC</t>
  </si>
  <si>
    <t>BILLLULL</t>
  </si>
  <si>
    <t>Amount</t>
  </si>
  <si>
    <t>Net premium to pay :</t>
  </si>
  <si>
    <t>Policy</t>
  </si>
  <si>
    <t>Contributions</t>
  </si>
  <si>
    <t>Comment</t>
  </si>
  <si>
    <t>HT Policy</t>
  </si>
  <si>
    <t>ID Insurance Company</t>
  </si>
  <si>
    <t>ID Formula</t>
  </si>
  <si>
    <t>Brokerage</t>
  </si>
  <si>
    <t>Policy Number</t>
  </si>
  <si>
    <t>Commission Policy</t>
  </si>
  <si>
    <t>TC Policy</t>
  </si>
  <si>
    <t>OK</t>
  </si>
  <si>
    <t>PRESTIGE</t>
  </si>
  <si>
    <t>USD</t>
  </si>
  <si>
    <t>Formula 3</t>
  </si>
  <si>
    <t>Formula POEA MIXTE</t>
  </si>
  <si>
    <t>Formula 1A accident</t>
  </si>
  <si>
    <t>Sylvie</t>
  </si>
  <si>
    <t>Céline</t>
  </si>
  <si>
    <t>Laurence</t>
  </si>
  <si>
    <t>Colombes</t>
  </si>
  <si>
    <t>Position</t>
  </si>
  <si>
    <t>Employer</t>
  </si>
  <si>
    <t>Manager</t>
  </si>
  <si>
    <t>Commission</t>
  </si>
  <si>
    <t xml:space="preserve">Certificate N°:   </t>
  </si>
  <si>
    <t>Listes à valider</t>
  </si>
  <si>
    <t>Date:</t>
  </si>
  <si>
    <t>AIG Europe, AIG EU AH TRAVEL EXPT WORLD CREW COVER LUX EN 20121203</t>
  </si>
  <si>
    <t xml:space="preserve">Shipowner </t>
  </si>
  <si>
    <t>Anker Verzekeringen n.v., TC-ACI-EUR-EN JAN-2014</t>
  </si>
  <si>
    <t>Address (shipowner)</t>
  </si>
  <si>
    <t>Postal code (shipowner)</t>
  </si>
  <si>
    <t>Place (shipowner)</t>
  </si>
  <si>
    <t>Country (shipowner)</t>
  </si>
  <si>
    <t>Co-insured</t>
  </si>
  <si>
    <t>Address (Co-insured)</t>
  </si>
  <si>
    <t>Postal Code (Co-insured)</t>
  </si>
  <si>
    <t>Place (Co-insured)</t>
  </si>
  <si>
    <t>Country (Co-insured)</t>
  </si>
  <si>
    <t xml:space="preserve">Manager:       </t>
  </si>
  <si>
    <t>Address (Manager)</t>
  </si>
  <si>
    <t>Postal Code (Manager)</t>
  </si>
  <si>
    <t>Place (Manager)</t>
  </si>
  <si>
    <t>Country (Manager)</t>
  </si>
  <si>
    <t>Address (Insurance Broker)</t>
  </si>
  <si>
    <t>Postal Code (Insurance Broker)</t>
  </si>
  <si>
    <t>Place (Insurance Broker)</t>
  </si>
  <si>
    <t>Country (Insurance Broker)</t>
  </si>
  <si>
    <t>Vessel(s):</t>
  </si>
  <si>
    <t>Policy effective/change date</t>
  </si>
  <si>
    <t>Date of change</t>
  </si>
  <si>
    <t>Renewal date:</t>
  </si>
  <si>
    <t>Policy Currency:</t>
  </si>
  <si>
    <t>MEDICAL EXPENSES - ASSISTANCE AND REPATRIATION</t>
  </si>
  <si>
    <t>POLICY N° (MED)</t>
  </si>
  <si>
    <t>Insured (MED)</t>
  </si>
  <si>
    <t>PERMANENT PARTIAL/TOTAL DISABILITY</t>
  </si>
  <si>
    <t>POLICY N° (PTD)</t>
  </si>
  <si>
    <t>Insured (PTD)</t>
  </si>
  <si>
    <t>Due to accident (name PTD-1)</t>
  </si>
  <si>
    <t>POEA</t>
  </si>
  <si>
    <t>A saisir</t>
  </si>
  <si>
    <t>Due to accident (name PTD-2)</t>
  </si>
  <si>
    <t>ANNUAL &amp; SEASONAL</t>
  </si>
  <si>
    <t>Due to accident (name PTD-3)</t>
  </si>
  <si>
    <t>DAY WORKER</t>
  </si>
  <si>
    <t>Due to accident (amount PTD-1)</t>
  </si>
  <si>
    <t>51000+7000 each child (max4)</t>
  </si>
  <si>
    <t>300% Annual salary</t>
  </si>
  <si>
    <t>Due to accident (amount PTD-2)</t>
  </si>
  <si>
    <t>Due to accident (amount PTD-3)</t>
  </si>
  <si>
    <t>Due to Illness (amount PTD-1)</t>
  </si>
  <si>
    <t>Due to Illness (amount PTD-2)</t>
  </si>
  <si>
    <t>Due to Illness (amount PTD-3)</t>
  </si>
  <si>
    <t>/</t>
  </si>
  <si>
    <t>CLAUSES (PTD)</t>
  </si>
  <si>
    <t>06-01-EN-24 HOUR COVER</t>
  </si>
  <si>
    <t>LOSS OF LIFE</t>
  </si>
  <si>
    <t>POLICY N° (LOL)</t>
  </si>
  <si>
    <t>Insured (LOL)</t>
  </si>
  <si>
    <t>Due to accident (name LOL-1)</t>
  </si>
  <si>
    <t>Due to accident (name LOL-2)</t>
  </si>
  <si>
    <t>Due to accident (name LOL-3)</t>
  </si>
  <si>
    <t>Due to accident (amount LOL-1)</t>
  </si>
  <si>
    <t>Due to accident (amount LOL-2)</t>
  </si>
  <si>
    <t>Due to accident (amount LOL-3)</t>
  </si>
  <si>
    <t>Due to Illness (amount LOL-1)</t>
  </si>
  <si>
    <t>Due to Illness (amount LOL-2)</t>
  </si>
  <si>
    <t>Due to Illness (amount LOL-3)</t>
  </si>
  <si>
    <t>CLAUSES (LOL)</t>
  </si>
  <si>
    <t>PAS TOUCHER SVP</t>
  </si>
  <si>
    <t>TEMPORARY TOTAL DISABILITY</t>
  </si>
  <si>
    <t>POLICY N° (TTD)</t>
  </si>
  <si>
    <t>Insured (TTD)</t>
  </si>
  <si>
    <t>Due to accident (name TTD-1)</t>
  </si>
  <si>
    <t>Due to accident (name TTD-2)</t>
  </si>
  <si>
    <t>Due to accident (name TTD-3)</t>
  </si>
  <si>
    <t>100% Annual salary</t>
  </si>
  <si>
    <t>Due to accident and illness (amount TTD-1)</t>
  </si>
  <si>
    <t>Due to accident and illness (amount TTD-2)</t>
  </si>
  <si>
    <t>Due to accident and illness (amount TTD-3)</t>
  </si>
  <si>
    <t>CLAUSES (TTD)</t>
  </si>
  <si>
    <t>affiliation date WCA</t>
  </si>
  <si>
    <t>F-92700</t>
  </si>
  <si>
    <t>Dénomination actuelle</t>
  </si>
  <si>
    <t>Vessel / Navire:</t>
  </si>
  <si>
    <t>choix de l'interface</t>
  </si>
  <si>
    <t>Type</t>
  </si>
  <si>
    <t>Renewal / Echéance</t>
  </si>
  <si>
    <t>Résiliation</t>
  </si>
  <si>
    <t>infos de facturation</t>
  </si>
  <si>
    <t>Dénomination ancienne</t>
  </si>
  <si>
    <t>Shipowner / Armateur:</t>
  </si>
  <si>
    <t>Employer/Co-insured</t>
  </si>
  <si>
    <t>Luxembourg</t>
  </si>
  <si>
    <t>Insurance Broker / Courtier:</t>
  </si>
  <si>
    <t>crew manager</t>
  </si>
  <si>
    <t xml:space="preserve">Certificate N°: </t>
  </si>
  <si>
    <t>Formule</t>
  </si>
  <si>
    <t>Officers/Ratings</t>
  </si>
  <si>
    <t>LOL</t>
  </si>
  <si>
    <t>PTD</t>
  </si>
  <si>
    <t>TTD</t>
  </si>
  <si>
    <t>Medical</t>
  </si>
  <si>
    <t>AIG</t>
  </si>
  <si>
    <t>ANKER</t>
  </si>
  <si>
    <t>FACTURATION</t>
  </si>
  <si>
    <t>Periode</t>
  </si>
  <si>
    <t>Seasonal</t>
  </si>
  <si>
    <t>Philipino</t>
  </si>
  <si>
    <t>WCA CONTRIBUTIONS</t>
  </si>
  <si>
    <t>TAXES AND FEES</t>
  </si>
  <si>
    <t>DISCOUNT</t>
  </si>
  <si>
    <t>TOTAL TTC</t>
  </si>
  <si>
    <t>NET AMOUNT DC/IP</t>
  </si>
  <si>
    <t>Day worker</t>
  </si>
  <si>
    <t>APPORTEUR</t>
  </si>
  <si>
    <t>ADRESSE</t>
  </si>
  <si>
    <t>CP</t>
  </si>
  <si>
    <t>LIEU</t>
  </si>
  <si>
    <t>PAYS</t>
  </si>
  <si>
    <t>TEL</t>
  </si>
  <si>
    <t>FAX</t>
  </si>
  <si>
    <t>Taux EUR</t>
  </si>
  <si>
    <t>Taux USD</t>
  </si>
  <si>
    <t>Taux Mobility</t>
  </si>
  <si>
    <t>Taux PJ</t>
  </si>
  <si>
    <t xml:space="preserve">IBAN </t>
  </si>
  <si>
    <t>B2050</t>
  </si>
  <si>
    <t>Insurance Broker</t>
  </si>
  <si>
    <t xml:space="preserve">39 boulevard Ney </t>
  </si>
  <si>
    <t>F-54706</t>
  </si>
  <si>
    <t>PONT A MOUSSON</t>
  </si>
  <si>
    <t>FRANCE</t>
  </si>
  <si>
    <t>(0033)383878610</t>
  </si>
  <si>
    <t>(0033) 383 84 04 66</t>
  </si>
  <si>
    <t xml:space="preserve">fr76 1470 7000 2802 8210 6712 782 </t>
  </si>
  <si>
    <t>B2089</t>
  </si>
  <si>
    <t>AFMA</t>
  </si>
  <si>
    <t>22, bd Moulay Youssef</t>
  </si>
  <si>
    <t>CASABLANCA</t>
  </si>
  <si>
    <t>MOROCCO</t>
  </si>
  <si>
    <t xml:space="preserve">(0021) 25 22 42 80 76 </t>
  </si>
  <si>
    <t>(00212) 5 22 42 80 21</t>
  </si>
  <si>
    <t>B2054</t>
  </si>
  <si>
    <t>F-13001</t>
  </si>
  <si>
    <t>MARSEILLE</t>
  </si>
  <si>
    <t>(0033) 496 17 61 76</t>
  </si>
  <si>
    <t>(0033) 491 54 36 56</t>
  </si>
  <si>
    <t>Port Pierre Canto</t>
  </si>
  <si>
    <t>F-06400</t>
  </si>
  <si>
    <t>(0033) (0)4 93 39 33 15</t>
  </si>
  <si>
    <t xml:space="preserve">B2065 </t>
  </si>
  <si>
    <t>B2061</t>
  </si>
  <si>
    <t>April Yacht</t>
  </si>
  <si>
    <t>I-18038</t>
  </si>
  <si>
    <t>(0039) 0184 59 02 59</t>
  </si>
  <si>
    <t>(0039) 184 54 01 75</t>
  </si>
  <si>
    <t>B2057</t>
  </si>
  <si>
    <t>AquaMarine</t>
  </si>
  <si>
    <t>Port de Plaisance</t>
  </si>
  <si>
    <t xml:space="preserve">F-06230 </t>
  </si>
  <si>
    <t>Saint Jean Cap Ferrat</t>
  </si>
  <si>
    <t>(0033) 493 76 17 17</t>
  </si>
  <si>
    <t>(0033) 630 24 22 31</t>
  </si>
  <si>
    <t xml:space="preserve">fr76 1560 7000 6560 1211 4565 422 </t>
  </si>
  <si>
    <t>B2065</t>
  </si>
  <si>
    <t>ASCOMA MARITIME FRANCE</t>
  </si>
  <si>
    <t>26 Boulevard Risso</t>
  </si>
  <si>
    <t>F-06300</t>
  </si>
  <si>
    <t>NICE</t>
  </si>
  <si>
    <t>(0033) 492 12 32 92</t>
  </si>
  <si>
    <t>(0033) 492 04 18 83</t>
  </si>
  <si>
    <t>B2051</t>
  </si>
  <si>
    <t>ASCOMA MARITIME MONACO</t>
  </si>
  <si>
    <t>24, Boulevard Princesse Charlotte</t>
  </si>
  <si>
    <t>MC-98000</t>
  </si>
  <si>
    <t>MONACO</t>
  </si>
  <si>
    <t>(00377) 97 97 44 20</t>
  </si>
  <si>
    <t>(00377) 97 97 44 24</t>
  </si>
  <si>
    <t xml:space="preserve">lu34 1720 1103 9000 1978 </t>
  </si>
  <si>
    <t>B2082</t>
  </si>
  <si>
    <t>Cureglia</t>
  </si>
  <si>
    <t>SWITZERLAND</t>
  </si>
  <si>
    <t>(0041) 91 967 49 22</t>
  </si>
  <si>
    <t>(0041) 91 967 25 92</t>
  </si>
  <si>
    <t xml:space="preserve">B2088 </t>
  </si>
  <si>
    <t xml:space="preserve">AXA Agences Dumesnil </t>
  </si>
  <si>
    <t xml:space="preserve">28 avenue Maizieres </t>
  </si>
  <si>
    <t xml:space="preserve">ANTIBES </t>
  </si>
  <si>
    <t>(0033)493 343 832</t>
  </si>
  <si>
    <t>M3059</t>
  </si>
  <si>
    <t>AXA Insurance Gulf BSC</t>
  </si>
  <si>
    <t>Qatar Financial Centre, Office 604, 6th floor</t>
  </si>
  <si>
    <t>PO BOX 15319</t>
  </si>
  <si>
    <t>DOHA</t>
  </si>
  <si>
    <t>QATAR</t>
  </si>
  <si>
    <t>AXA Yachting Solutions</t>
  </si>
  <si>
    <t>2-4, rue Jules Lefebvre</t>
  </si>
  <si>
    <t>F-75426</t>
  </si>
  <si>
    <t>Paris</t>
  </si>
  <si>
    <t>(0033) 1 56 92 92 32</t>
  </si>
  <si>
    <t>(0033) 1 56 92 81 62</t>
  </si>
  <si>
    <t>M3057</t>
  </si>
  <si>
    <t xml:space="preserve">BOATTRUST </t>
  </si>
  <si>
    <t>MC 98000</t>
  </si>
  <si>
    <t>(00377) 97 77 81 77</t>
  </si>
  <si>
    <t>B2067</t>
  </si>
  <si>
    <t>Burgess</t>
  </si>
  <si>
    <t>57 rue Grimaldi Le Panorama</t>
  </si>
  <si>
    <t>(00377) 97 97 81 21</t>
  </si>
  <si>
    <t>B2090</t>
  </si>
  <si>
    <t xml:space="preserve">CLOVER BROKERS </t>
  </si>
  <si>
    <t>Dedeyan Center 8th floor, Dora Main Highway</t>
  </si>
  <si>
    <t>PO BOX 90-1325</t>
  </si>
  <si>
    <t>Bauchrieh</t>
  </si>
  <si>
    <t>LEBANON</t>
  </si>
  <si>
    <t>(00961) 1259050</t>
  </si>
  <si>
    <t>(00961) 1259226</t>
  </si>
  <si>
    <t>B2060</t>
  </si>
  <si>
    <t>CMC Assurance</t>
  </si>
  <si>
    <t>1 rue de la Buffa</t>
  </si>
  <si>
    <t>F-06000</t>
  </si>
  <si>
    <t>(0033) 4 97 03.27.07</t>
  </si>
  <si>
    <t>(0033) 4.93.82.27.67</t>
  </si>
  <si>
    <t>fr53 4097 8000 1203 8802 0V00 152</t>
  </si>
  <si>
    <t>B2081</t>
  </si>
  <si>
    <t>D&amp;B SERVICES -Cayman Islands</t>
  </si>
  <si>
    <t>Cayman Buisness park A7</t>
  </si>
  <si>
    <t>KY1-1003</t>
  </si>
  <si>
    <t>George Town</t>
  </si>
  <si>
    <t>Cayman Islands</t>
  </si>
  <si>
    <t>(0033) 493 34 09 67</t>
  </si>
  <si>
    <t>(0033) 493 34 12 37</t>
  </si>
  <si>
    <t>B2056</t>
  </si>
  <si>
    <t>D&amp;B SERVICES -France</t>
  </si>
  <si>
    <t>3 Boulevard d'Aguillon</t>
  </si>
  <si>
    <t>F-06600</t>
  </si>
  <si>
    <t>ANTIBES</t>
  </si>
  <si>
    <t>fr76 3000 3004 8100 0202 7108 046</t>
  </si>
  <si>
    <t>Darkpelican</t>
  </si>
  <si>
    <t xml:space="preserve">6, Quai Amiral Courbet-Port de la Santé </t>
  </si>
  <si>
    <t>(0033) 493 01 76 54</t>
  </si>
  <si>
    <t>B2073</t>
  </si>
  <si>
    <t>DIOT MONTAGNE</t>
  </si>
  <si>
    <t>88 Avenue d’AIX-LES-BAINS</t>
  </si>
  <si>
    <t>F-74600</t>
  </si>
  <si>
    <t>SEYNOD</t>
  </si>
  <si>
    <t>(0033) 450 279 744</t>
  </si>
  <si>
    <t>EQUISEA Monaco</t>
  </si>
  <si>
    <t>11 bd Albert 1er</t>
  </si>
  <si>
    <t>(00377) 979 82 898</t>
  </si>
  <si>
    <t>(00377) 97 98 28 97</t>
  </si>
  <si>
    <t>B2070</t>
  </si>
  <si>
    <t>(0033) 144 82 10 66</t>
  </si>
  <si>
    <t xml:space="preserve">(0033) 155 80 74 93 </t>
  </si>
  <si>
    <t>fr76 3005 6000 6700 6726 5217 012</t>
  </si>
  <si>
    <t>B2063</t>
  </si>
  <si>
    <t>Favier Casanova et Associés Toulon</t>
  </si>
  <si>
    <t>17 rue Mirabeau - BP 5064</t>
  </si>
  <si>
    <t>F-83000</t>
  </si>
  <si>
    <t>TOULON</t>
  </si>
  <si>
    <t>(0033) 494 09 79 79</t>
  </si>
  <si>
    <t>(0033) 494 09 79 80</t>
  </si>
  <si>
    <t xml:space="preserve">fr76 1009 6185 7400 0481 0440 237 </t>
  </si>
  <si>
    <t>Fenchurch Faris Ltd</t>
  </si>
  <si>
    <t xml:space="preserve">11, Nirvana Street </t>
  </si>
  <si>
    <t xml:space="preserve">GR-166 73 </t>
  </si>
  <si>
    <t xml:space="preserve">Voula </t>
  </si>
  <si>
    <t>GREECE</t>
  </si>
  <si>
    <t>(0030) 210 894 7587</t>
  </si>
  <si>
    <t>(0030) 210 894 2549</t>
  </si>
  <si>
    <t>B2059</t>
  </si>
  <si>
    <t>FILHET ALLARD Maritime</t>
  </si>
  <si>
    <t>Hull and P&amp;I Department Rue Cervantès. Mérignac</t>
  </si>
  <si>
    <t>F-33735</t>
  </si>
  <si>
    <t>Bordeaux</t>
  </si>
  <si>
    <t>(0033) 5 57 53 20 00</t>
  </si>
  <si>
    <t>M3054</t>
  </si>
  <si>
    <t>GASPARD Yachts</t>
  </si>
  <si>
    <t>(0033) 491 93 09 39</t>
  </si>
  <si>
    <t>fr76 3000 4017 3800 0100 1987 573</t>
  </si>
  <si>
    <t>B2074</t>
  </si>
  <si>
    <t>Gecar</t>
  </si>
  <si>
    <t>Palais du Soleil 5 av de Lyon</t>
  </si>
  <si>
    <t>CANNES</t>
  </si>
  <si>
    <t>(0033) 493 99 56 66</t>
  </si>
  <si>
    <t>fr76 3005 6002 1502 1520 1511 315</t>
  </si>
  <si>
    <t>B2087</t>
  </si>
  <si>
    <t xml:space="preserve">Gras Savoye Turkey </t>
  </si>
  <si>
    <t>Ahi Evran Cd. No:21 Polaris Plaza K:10</t>
  </si>
  <si>
    <t>TR-34398</t>
  </si>
  <si>
    <t>MASLAK-ISTANBUL</t>
  </si>
  <si>
    <t xml:space="preserve">TURKEY </t>
  </si>
  <si>
    <t xml:space="preserve">(0090)212 329 29 58 </t>
  </si>
  <si>
    <t>(0090) 212 346 03 00</t>
  </si>
  <si>
    <t>Groupe OTHELA</t>
  </si>
  <si>
    <t>16/18 Rue des Suisses</t>
  </si>
  <si>
    <t>(0033) 493 99  98 01</t>
  </si>
  <si>
    <t>(0033) 493 99 98 34</t>
  </si>
  <si>
    <t>B2075</t>
  </si>
  <si>
    <t>Hudson Sky Company SA</t>
  </si>
  <si>
    <t>Oberalpstrasse 16</t>
  </si>
  <si>
    <t>CH-7000</t>
  </si>
  <si>
    <t>CHUR</t>
  </si>
  <si>
    <t>(0041) 81 28 67 777</t>
  </si>
  <si>
    <t>(0041) 81 28 67 779</t>
  </si>
  <si>
    <t>ICS</t>
  </si>
  <si>
    <t>Centre Mercure -Avenue de la Gare, 41</t>
  </si>
  <si>
    <t>L-1611</t>
  </si>
  <si>
    <t>LUXEMBOURG</t>
  </si>
  <si>
    <t>(00352) 27 44 54</t>
  </si>
  <si>
    <t>(00352) 45 75 54</t>
  </si>
  <si>
    <t>C4001</t>
  </si>
  <si>
    <t>B2076</t>
  </si>
  <si>
    <t>INP Marine</t>
  </si>
  <si>
    <t>4, Sentier des Borgognes (Port du Basset)</t>
  </si>
  <si>
    <t xml:space="preserve">CH-1815 </t>
  </si>
  <si>
    <t>Clarens-Montreux</t>
  </si>
  <si>
    <t>(0041) 21 981 22 44</t>
  </si>
  <si>
    <t>B2083</t>
  </si>
  <si>
    <t>Inter Caraïbes Assurances</t>
  </si>
  <si>
    <t>Bd Allègre, Marina Du Marin</t>
  </si>
  <si>
    <t>MQ-97229</t>
  </si>
  <si>
    <t>LE MARIN</t>
  </si>
  <si>
    <t>MARTINIQUE</t>
  </si>
  <si>
    <t>(00596) 59 67 499 31</t>
  </si>
  <si>
    <t>(00596) 59 67 48 31</t>
  </si>
  <si>
    <t>B2068</t>
  </si>
  <si>
    <t>ISAIA, AXA Assurances Antibes</t>
  </si>
  <si>
    <t>8 Boulevard Albert 1er</t>
  </si>
  <si>
    <t>(0033) 493 34 45 26</t>
  </si>
  <si>
    <t>(0033) 493 34 78 69</t>
  </si>
  <si>
    <t>B2084</t>
  </si>
  <si>
    <t xml:space="preserve">ISIS GLOBAL SOLUTIONS </t>
  </si>
  <si>
    <t xml:space="preserve">CA Grand Var - Bat A </t>
  </si>
  <si>
    <t xml:space="preserve">F-83130 </t>
  </si>
  <si>
    <t>La Garde</t>
  </si>
  <si>
    <t>(0033) 498 08 00 12</t>
  </si>
  <si>
    <t>(0033) 4 94 23 40 72</t>
  </si>
  <si>
    <t>B2069</t>
  </si>
  <si>
    <t>JOURDAN GASSIN Nice</t>
  </si>
  <si>
    <t>17 Rue Alexandre Mari</t>
  </si>
  <si>
    <t>(0033) 492 17 36 07</t>
  </si>
  <si>
    <t>fr76 3000 4000 3800 0101 7328 985</t>
  </si>
  <si>
    <t>B2080</t>
  </si>
  <si>
    <t>LALANDRE ASSURANCES</t>
  </si>
  <si>
    <t>57 Boulevard d'Alsace</t>
  </si>
  <si>
    <t>(0033) 497 06 36 36</t>
  </si>
  <si>
    <t>(0033) 497 06 36 37</t>
  </si>
  <si>
    <t>M3053</t>
  </si>
  <si>
    <t>(00352) 42 31 18 44</t>
  </si>
  <si>
    <t>Luxembourg Marine Services S.A.</t>
  </si>
  <si>
    <t>(00352) 42 31 18 27</t>
  </si>
  <si>
    <t>(00352) 42 16 80</t>
  </si>
  <si>
    <t>CAPELLEN</t>
  </si>
  <si>
    <t>(00352) 26 30 40 01</t>
  </si>
  <si>
    <t>(00352) 26 30 40 40</t>
  </si>
  <si>
    <t>lu78 0019 3455 6831 4000</t>
  </si>
  <si>
    <t xml:space="preserve">P0009 </t>
  </si>
  <si>
    <t>MAILLOT Florent</t>
  </si>
  <si>
    <t xml:space="preserve">85 avenue du maréchal juin </t>
  </si>
  <si>
    <t>F6400</t>
  </si>
  <si>
    <t xml:space="preserve">CANNES </t>
  </si>
  <si>
    <t>M3058</t>
  </si>
  <si>
    <t xml:space="preserve">MARINESSANCE </t>
  </si>
  <si>
    <t>B2071</t>
  </si>
  <si>
    <t>MER &amp; YACHT ASSURANCE</t>
  </si>
  <si>
    <t>27 rue de Mimont</t>
  </si>
  <si>
    <t>(0033) 6 95 30 31 13</t>
  </si>
  <si>
    <t>B2064</t>
  </si>
  <si>
    <t xml:space="preserve">MERS &amp; RIVIERES </t>
  </si>
  <si>
    <t>16, avenue de l'Agent Sarre</t>
  </si>
  <si>
    <t>(0033) 1 80 46 70 30</t>
  </si>
  <si>
    <t>P0001</t>
  </si>
  <si>
    <t>Miremont Patrick</t>
  </si>
  <si>
    <t>F-06220</t>
  </si>
  <si>
    <t>Golfe-Juan</t>
  </si>
  <si>
    <t>(0033) 611 80 90 69</t>
  </si>
  <si>
    <t>Monaco Equipage</t>
  </si>
  <si>
    <t>Port de Fontvieille-  30, quai J-C Rey</t>
  </si>
  <si>
    <t>B2058</t>
  </si>
  <si>
    <t>MTAIC Cannes</t>
  </si>
  <si>
    <t>33 rue Jean Jaures</t>
  </si>
  <si>
    <t>(0033) 493 39 11 31</t>
  </si>
  <si>
    <t>(0033) 493 39 67 73</t>
  </si>
  <si>
    <t xml:space="preserve">fr76 3005 6002 2202 2224 1842 117 </t>
  </si>
  <si>
    <t>B2077</t>
  </si>
  <si>
    <t>Monaco</t>
  </si>
  <si>
    <t xml:space="preserve">(00377)97 97 13 58 </t>
  </si>
  <si>
    <t xml:space="preserve">(00377)97 97 13 59 </t>
  </si>
  <si>
    <t>MC58 1654 8003 4300 0202 5160 349</t>
  </si>
  <si>
    <t>B2079</t>
  </si>
  <si>
    <t>171 rue de Buzenval</t>
  </si>
  <si>
    <t>F-92380</t>
  </si>
  <si>
    <t>GARCHES</t>
  </si>
  <si>
    <t>(0033) 147 95 97 89</t>
  </si>
  <si>
    <t>M3055</t>
  </si>
  <si>
    <t>(00352) 22 94 96</t>
  </si>
  <si>
    <t>B2078</t>
  </si>
  <si>
    <t>ONLYYACHT Antibes</t>
  </si>
  <si>
    <t>8 bis rue de Verdun</t>
  </si>
  <si>
    <t>(0033) 492 94 97 70</t>
  </si>
  <si>
    <t>(0033) 492 94 97 74</t>
  </si>
  <si>
    <t>B2062</t>
  </si>
  <si>
    <t>ONLYYACHT MONACO</t>
  </si>
  <si>
    <t>12 Quai Antoine 1er</t>
  </si>
  <si>
    <t xml:space="preserve">(00377) 97 97 23 10 </t>
  </si>
  <si>
    <t xml:space="preserve">(00377) 97 97 23 11 </t>
  </si>
  <si>
    <t xml:space="preserve">lu20 0030 2075 9145 0000 </t>
  </si>
  <si>
    <t>P0002</t>
  </si>
  <si>
    <t>PERNOT Jean-Pierre</t>
  </si>
  <si>
    <t>(0033) 60 75 11 311</t>
  </si>
  <si>
    <t>(0033) 456 80 93 94</t>
  </si>
  <si>
    <t>B2055</t>
  </si>
  <si>
    <t>10 Square Cantini Le Méditerranée</t>
  </si>
  <si>
    <t>F-13006</t>
  </si>
  <si>
    <t xml:space="preserve">MARSEILLE </t>
  </si>
  <si>
    <t>(0033) 4 96 20 28 20</t>
  </si>
  <si>
    <t>fr21 1336 9000 0100 3504 6731 x07</t>
  </si>
  <si>
    <t>B2053</t>
  </si>
  <si>
    <t>POGGIO Monaco</t>
  </si>
  <si>
    <t>4 Bd Des Moulins BP 152</t>
  </si>
  <si>
    <t>MC-98003</t>
  </si>
  <si>
    <t>(00377) 97 97 34 54</t>
  </si>
  <si>
    <t>(00377) 97 97 34 57</t>
  </si>
  <si>
    <t>mc19 1273 9000 7101 0696 6000 y36</t>
  </si>
  <si>
    <t>PREMIUM BROKING HOUSE</t>
  </si>
  <si>
    <t>Civil Defence Road, El Hajj Bldg. 2nd floor, Sin El Fil - Dekwaneh</t>
  </si>
  <si>
    <t>P.O. Box: 55-659</t>
  </si>
  <si>
    <t>Sin El Fil</t>
  </si>
  <si>
    <t>(00961) 1 489555 ext 33</t>
  </si>
  <si>
    <t>B2072</t>
  </si>
  <si>
    <t>Passage du port, Quai du Bailli de Suffren</t>
  </si>
  <si>
    <t>St TROPEZ</t>
  </si>
  <si>
    <t>(0033) 4 89 78 99 84</t>
  </si>
  <si>
    <t>(0033) 4 94 81 77 37</t>
  </si>
  <si>
    <t>fr76 3000 3023 0600 0500 0673 483</t>
  </si>
  <si>
    <t>B2085</t>
  </si>
  <si>
    <t>SALVO ASSURANCES</t>
  </si>
  <si>
    <t>2, Rue Moustier  BP90061</t>
  </si>
  <si>
    <t>F-13484</t>
  </si>
  <si>
    <t>Marseille Cedex 20</t>
  </si>
  <si>
    <t>(0033) 4 96 11 26 60</t>
  </si>
  <si>
    <t>(0033) 4 96 11 26 61</t>
  </si>
  <si>
    <t>B2052</t>
  </si>
  <si>
    <t>(0033) 493 39 92 30</t>
  </si>
  <si>
    <t>(0033)493 39 15 81</t>
  </si>
  <si>
    <t>fr76 3000 4006 4300 0101 3340 291</t>
  </si>
  <si>
    <t>SUD EUROCOURTAGE</t>
  </si>
  <si>
    <t>8 Bis avenue Ambroise Thomas</t>
  </si>
  <si>
    <t>F-83400</t>
  </si>
  <si>
    <t xml:space="preserve">Hyères </t>
  </si>
  <si>
    <t>(0033) 494 65 08 28</t>
  </si>
  <si>
    <t>(0033) 494 35 70 18</t>
  </si>
  <si>
    <t>B2066</t>
  </si>
  <si>
    <t>SUISSCOURTAGE Cannes</t>
  </si>
  <si>
    <t>Palais Milton, 74 Bd Carnot</t>
  </si>
  <si>
    <t>(0033) 493 38 08 10</t>
  </si>
  <si>
    <t>(0033) 493 38 09 10</t>
  </si>
  <si>
    <t>B2086</t>
  </si>
  <si>
    <t>SUISSCOURTAGE Monaco</t>
  </si>
  <si>
    <t>12 quai Antoine 1er - BP 227</t>
  </si>
  <si>
    <t>(00377) 93 30 42 43</t>
  </si>
  <si>
    <t>(00377) 93 30 12 23</t>
  </si>
  <si>
    <t>MC58 3007 6023 7020 3801 0020 066</t>
  </si>
  <si>
    <t>M3056</t>
  </si>
  <si>
    <t>Port de Nice, Quai Amiral Infernet</t>
  </si>
  <si>
    <t>(0033) 4 92 00 42 84</t>
  </si>
  <si>
    <t>(0033) 4 92 00 43 71</t>
  </si>
  <si>
    <t>VERPEKA Yacht Brokerage</t>
  </si>
  <si>
    <t>Le Ruscino, 14 Quai Antoine 1er</t>
  </si>
  <si>
    <t>(0033) 6 48 33 88 88</t>
  </si>
  <si>
    <t>LK Courtage</t>
  </si>
  <si>
    <t>15 RUE LOUIS BLANC</t>
  </si>
  <si>
    <t>(0033) 04 93 38 52 52</t>
  </si>
  <si>
    <t>(0033) 04 93 99 04 19</t>
  </si>
  <si>
    <t>John L. Wortham &amp; Son, L.P.</t>
  </si>
  <si>
    <t>2727 Allen Parkway</t>
  </si>
  <si>
    <t>TX-77019</t>
  </si>
  <si>
    <t>HOUSTON</t>
  </si>
  <si>
    <t>USA</t>
  </si>
  <si>
    <t>(001) 713 526 33 66</t>
  </si>
  <si>
    <t>GES MARITIME</t>
  </si>
  <si>
    <t>17, rue beaumont</t>
  </si>
  <si>
    <t>L-1219</t>
  </si>
  <si>
    <t>(00352) 40 49 45</t>
  </si>
  <si>
    <t>Antibes</t>
  </si>
  <si>
    <t>Email</t>
  </si>
  <si>
    <t>En plateforme?</t>
  </si>
  <si>
    <t>Fonction</t>
  </si>
  <si>
    <t>ABDO</t>
  </si>
  <si>
    <t>Charbel</t>
  </si>
  <si>
    <t>cabdo@clover-brokers.com</t>
  </si>
  <si>
    <t>charbel</t>
  </si>
  <si>
    <t>MASTER</t>
  </si>
  <si>
    <t>961 1 259050</t>
  </si>
  <si>
    <t>ABI MRAD</t>
  </si>
  <si>
    <t>Jihad</t>
  </si>
  <si>
    <t>jihad@premiumbroking.com</t>
  </si>
  <si>
    <t>Plateforme</t>
  </si>
  <si>
    <t>(00961) 78 888670</t>
  </si>
  <si>
    <t xml:space="preserve">ABOUMRAD </t>
  </si>
  <si>
    <t>jihad.aboumrad@nkfrance.com</t>
  </si>
  <si>
    <t>aboumrad</t>
  </si>
  <si>
    <t xml:space="preserve">ALBIN </t>
  </si>
  <si>
    <t>Elodie</t>
  </si>
  <si>
    <t>ealbin@suisscourtage.com</t>
  </si>
  <si>
    <t>elodie</t>
  </si>
  <si>
    <t xml:space="preserve">Ascoma </t>
  </si>
  <si>
    <t>maritime</t>
  </si>
  <si>
    <t>maritime@ascoma.com</t>
  </si>
  <si>
    <t>ascoma</t>
  </si>
  <si>
    <t>Nyon</t>
  </si>
  <si>
    <t>Suisse</t>
  </si>
  <si>
    <t>AUERBACH</t>
  </si>
  <si>
    <t>Marta</t>
  </si>
  <si>
    <t>marta.auerbach@bourbon-online.com</t>
  </si>
  <si>
    <t>marta_bourbon</t>
  </si>
  <si>
    <t>EYSSAUTIER</t>
  </si>
  <si>
    <t xml:space="preserve">BARAKAT </t>
  </si>
  <si>
    <t>Darine</t>
  </si>
  <si>
    <t>d.barakat@g-eyssautier.com</t>
  </si>
  <si>
    <t>darine</t>
  </si>
  <si>
    <t>BARBERO</t>
  </si>
  <si>
    <t>Vanessa</t>
  </si>
  <si>
    <t>mougins@agence.generali.fr</t>
  </si>
  <si>
    <t>NON</t>
  </si>
  <si>
    <t>Agences de Cannes &amp; Mougins</t>
  </si>
  <si>
    <t>(0033) 493 06 09 09</t>
  </si>
  <si>
    <t>(0033) 493 06 09 00</t>
  </si>
  <si>
    <t>April Marine</t>
  </si>
  <si>
    <t>BAYLE</t>
  </si>
  <si>
    <t>Jacqueline</t>
  </si>
  <si>
    <t>Jacqueline.BAYLE@april.com</t>
  </si>
  <si>
    <t xml:space="preserve">(0033) (0)4 93 38 72 76 </t>
  </si>
  <si>
    <t>(0033) (0)6 80 22 72 61</t>
  </si>
  <si>
    <t>BOURBON GROUP</t>
  </si>
  <si>
    <t>BEAU</t>
  </si>
  <si>
    <t>Muriel</t>
  </si>
  <si>
    <t>muriel.beau@bourbon-online.com</t>
  </si>
  <si>
    <t>murielbeau</t>
  </si>
  <si>
    <t>(0033) (0)4 91 13 65 72</t>
  </si>
  <si>
    <t xml:space="preserve">BECKER </t>
  </si>
  <si>
    <t>Olivier</t>
  </si>
  <si>
    <t>inp.marine@yahoo.fr</t>
  </si>
  <si>
    <t>olivier</t>
  </si>
  <si>
    <t>(0041) 76 463 93 16  or (0033) 621 33 25 51</t>
  </si>
  <si>
    <t>UVEA MARINE SERVICE</t>
  </si>
  <si>
    <t>BROTTO</t>
  </si>
  <si>
    <t>Jeremy</t>
  </si>
  <si>
    <t>jbrotto@ponant.com</t>
  </si>
  <si>
    <t>wyccponant3</t>
  </si>
  <si>
    <t xml:space="preserve">CAMPION </t>
  </si>
  <si>
    <t>Solange</t>
  </si>
  <si>
    <t>solange.campion@jgm.fr</t>
  </si>
  <si>
    <t>solange</t>
  </si>
  <si>
    <t>CLUIS</t>
  </si>
  <si>
    <t>Michael</t>
  </si>
  <si>
    <t>m.cluis@salvo-assurances.com</t>
  </si>
  <si>
    <t>michael</t>
  </si>
  <si>
    <t>0033 496 11 26 60</t>
  </si>
  <si>
    <t>CONZALES</t>
  </si>
  <si>
    <t>Jacques</t>
  </si>
  <si>
    <t>jconzales@boat-fleet.com</t>
  </si>
  <si>
    <t>cjacques</t>
  </si>
  <si>
    <t>(0033) 609532647</t>
  </si>
  <si>
    <t>17 rue Mirabeau</t>
  </si>
  <si>
    <t xml:space="preserve">F-83000 </t>
  </si>
  <si>
    <t>Toulon</t>
  </si>
  <si>
    <t>CORDRAY</t>
  </si>
  <si>
    <t>Marie-Laure</t>
  </si>
  <si>
    <t>mlcordray@agence.generali.fr</t>
  </si>
  <si>
    <t>(0033) 494 09 79 84</t>
  </si>
  <si>
    <t>Maritime Albatros</t>
  </si>
  <si>
    <t>COTINEAU</t>
  </si>
  <si>
    <t>Valérie</t>
  </si>
  <si>
    <t>valerie@leschevrefeuilles.com</t>
  </si>
  <si>
    <t>cotineau_wycc*</t>
  </si>
  <si>
    <t>COUËSSUREL</t>
  </si>
  <si>
    <t>Yann</t>
  </si>
  <si>
    <t>ycouessurel@ponant.com</t>
  </si>
  <si>
    <t>wyccponant2</t>
  </si>
  <si>
    <t>CROQUET</t>
  </si>
  <si>
    <t>Patricia</t>
  </si>
  <si>
    <t>patricia.croquet@mtaic.com</t>
  </si>
  <si>
    <t>(0033) 492 18 79 87</t>
  </si>
  <si>
    <t>(0033) 492 18 79 85</t>
  </si>
  <si>
    <t xml:space="preserve">148 rue sainte </t>
  </si>
  <si>
    <t>F-13007</t>
  </si>
  <si>
    <t>DARUS</t>
  </si>
  <si>
    <t>Anne</t>
  </si>
  <si>
    <t>anne.darus@bourbon-online.com</t>
  </si>
  <si>
    <t>annedarus</t>
  </si>
  <si>
    <t xml:space="preserve">DE CAMPOU </t>
  </si>
  <si>
    <t>Thomas</t>
  </si>
  <si>
    <t>t.decampou@harrel-courtes.fr</t>
  </si>
  <si>
    <t>t.decampou</t>
  </si>
  <si>
    <t>(0033) 4 96 176 178</t>
  </si>
  <si>
    <t>(0033) 6 86 86 57 49</t>
  </si>
  <si>
    <t xml:space="preserve">De Zerbi </t>
  </si>
  <si>
    <t>Charlene</t>
  </si>
  <si>
    <t>cdezerbi@onlyyacht.com</t>
  </si>
  <si>
    <t>charlene</t>
  </si>
  <si>
    <t>+377 (97) 97 23 10</t>
  </si>
  <si>
    <t>+377 (97) 97 23 11</t>
  </si>
  <si>
    <t>GECAR</t>
  </si>
  <si>
    <t xml:space="preserve">DELATTRE </t>
  </si>
  <si>
    <t>Maryline</t>
  </si>
  <si>
    <t>m.delattre@gecarcannes.com</t>
  </si>
  <si>
    <t>maryline</t>
  </si>
  <si>
    <t>(0033) 493995666</t>
  </si>
  <si>
    <t xml:space="preserve">DEMAREST </t>
  </si>
  <si>
    <t>Stéphanie</t>
  </si>
  <si>
    <t>sdemarest@suisscourtage.mc</t>
  </si>
  <si>
    <t>stephanie</t>
  </si>
  <si>
    <t>DİNÇER</t>
  </si>
  <si>
    <t>Kemal</t>
  </si>
  <si>
    <t>kemal.dincer@grassavoye.com.tr</t>
  </si>
  <si>
    <t>grassavoye</t>
  </si>
  <si>
    <t>(0090) 212 329 29 58</t>
  </si>
  <si>
    <t>(0090) 532 405 78 78</t>
  </si>
  <si>
    <t>DOLLING</t>
  </si>
  <si>
    <t>Rob</t>
  </si>
  <si>
    <t>r.dolling@verpeka.com</t>
  </si>
  <si>
    <t>DUMAS</t>
  </si>
  <si>
    <t>Aurélie</t>
  </si>
  <si>
    <t>adumas@agence.generali.fr</t>
  </si>
  <si>
    <t>aurélie</t>
  </si>
  <si>
    <t>(0033) 494.65.08.28</t>
  </si>
  <si>
    <t>(0033) 4.94.35.70.18</t>
  </si>
  <si>
    <t>(0033) 6.25.33.68.17</t>
  </si>
  <si>
    <t>Dumesnil</t>
  </si>
  <si>
    <t>François</t>
  </si>
  <si>
    <t>agence.dumesnil@axa.fr</t>
  </si>
  <si>
    <t>wycc_dumesnil</t>
  </si>
  <si>
    <t xml:space="preserve">EL HAMMAL </t>
  </si>
  <si>
    <t>Hanadi</t>
  </si>
  <si>
    <t>hanadi.elhammal@nkfrance.com</t>
  </si>
  <si>
    <t>hanadi</t>
  </si>
  <si>
    <t>(0033) 1 47 95 97 00</t>
  </si>
  <si>
    <t xml:space="preserve">(0033) 1 47 41 48 89 </t>
  </si>
  <si>
    <t>(0033) 1 47 95 97 55</t>
  </si>
  <si>
    <t>EL HOSS</t>
  </si>
  <si>
    <t>Bilal</t>
  </si>
  <si>
    <t>Bilal.elhoss@nkfrance.com</t>
  </si>
  <si>
    <t>bilalelhoss</t>
  </si>
  <si>
    <t>(0033) 147959789</t>
  </si>
  <si>
    <t>(0033) 613028977</t>
  </si>
  <si>
    <t>ESPINOZA</t>
  </si>
  <si>
    <t>Matteo</t>
  </si>
  <si>
    <t>mespinoza@onlyyacht.com</t>
  </si>
  <si>
    <t>matteo</t>
  </si>
  <si>
    <t xml:space="preserve">ESPINOZA </t>
  </si>
  <si>
    <t>M1 Management</t>
  </si>
  <si>
    <t>FADDA</t>
  </si>
  <si>
    <t>Lydie</t>
  </si>
  <si>
    <t>lfadda@m1group.com</t>
  </si>
  <si>
    <t>FARIS</t>
  </si>
  <si>
    <t>Rafat B.</t>
  </si>
  <si>
    <t>rafat.faris@fenfar.gr</t>
  </si>
  <si>
    <t xml:space="preserve">(0030) 210 894 5632 </t>
  </si>
  <si>
    <t>Bourbon Offshore Greenmar</t>
  </si>
  <si>
    <t>5 Chemin du Canal</t>
  </si>
  <si>
    <t>NYON</t>
  </si>
  <si>
    <t>FARRAS</t>
  </si>
  <si>
    <t>Marc</t>
  </si>
  <si>
    <t>marc.farras@bourbon-online.com</t>
  </si>
  <si>
    <t>farass</t>
  </si>
  <si>
    <t>CMC Assurances</t>
  </si>
  <si>
    <t>FLEURIET</t>
  </si>
  <si>
    <t>Michel</t>
  </si>
  <si>
    <t>m.fleuriet@cmcourtage.com</t>
  </si>
  <si>
    <t>fleuriet2806</t>
  </si>
  <si>
    <t>(0049) 7032707</t>
  </si>
  <si>
    <t>FORFERT</t>
  </si>
  <si>
    <t>Celine</t>
  </si>
  <si>
    <t>celine.forfert@bourbon-online.com</t>
  </si>
  <si>
    <t>celineforfert</t>
  </si>
  <si>
    <t>FOURNIER</t>
  </si>
  <si>
    <t>Jean David</t>
  </si>
  <si>
    <t>dfournier@aprilmarine.fr</t>
  </si>
  <si>
    <t>jeandavid</t>
  </si>
  <si>
    <t xml:space="preserve">FOURNIER </t>
  </si>
  <si>
    <t>David</t>
  </si>
  <si>
    <t>david.fournier@mer-yacht.com</t>
  </si>
  <si>
    <t>fournier</t>
  </si>
  <si>
    <t xml:space="preserve">37-39, rue de la Bienfaisance </t>
  </si>
  <si>
    <t xml:space="preserve">F-75008 </t>
  </si>
  <si>
    <t xml:space="preserve">PARIS </t>
  </si>
  <si>
    <t>GALIBERT</t>
  </si>
  <si>
    <t>Philippe</t>
  </si>
  <si>
    <t>ph.galibert@g-eyssautier.com</t>
  </si>
  <si>
    <t>PHILIPPE</t>
  </si>
  <si>
    <t xml:space="preserve">(0033) 1 44 82 10 82  </t>
  </si>
  <si>
    <t>(0033) 607 43 03 88</t>
  </si>
  <si>
    <t>(0033) 1 55 80 74 82</t>
  </si>
  <si>
    <t>GARD</t>
  </si>
  <si>
    <t>Clarisse</t>
  </si>
  <si>
    <t>c.gard@luxinsure.com</t>
  </si>
  <si>
    <t>clarisse</t>
  </si>
  <si>
    <t>(0033) (0)970 444 165</t>
  </si>
  <si>
    <t>(0033) (0)494 357 018</t>
  </si>
  <si>
    <t>GEAGEA</t>
  </si>
  <si>
    <t>mgeagea@clover-brokers.com</t>
  </si>
  <si>
    <t>GAN EUROCOURTAGE</t>
  </si>
  <si>
    <t>9 boulevard Malesherbes</t>
  </si>
  <si>
    <t>GERVAIS</t>
  </si>
  <si>
    <t>Thierry</t>
  </si>
  <si>
    <t>tgervais@groupama-transport.com  </t>
  </si>
  <si>
    <t>Directeur Marché Plaisance / Yacht Activities Manager</t>
  </si>
  <si>
    <t>(0033) 1 56 69 74 16</t>
  </si>
  <si>
    <t>(0033) 676 92 51 88</t>
  </si>
  <si>
    <t>GIRAUD</t>
  </si>
  <si>
    <t>Samuel</t>
  </si>
  <si>
    <t>Samuel.GIRAUD@bourbon-online.com</t>
  </si>
  <si>
    <t>samuel</t>
  </si>
  <si>
    <t xml:space="preserve">GROS </t>
  </si>
  <si>
    <t>Cedric</t>
  </si>
  <si>
    <t>cgros@francepandi.com</t>
  </si>
  <si>
    <t>cedric</t>
  </si>
  <si>
    <t>(0033) 1 80 46 70 39</t>
  </si>
  <si>
    <t>GUIDICI</t>
  </si>
  <si>
    <t>sylvie.guidici@jgm.com</t>
  </si>
  <si>
    <t>sylvie</t>
  </si>
  <si>
    <t>GRAS SAVOYE ASC</t>
  </si>
  <si>
    <t xml:space="preserve">PORT DE PLAISANCE </t>
  </si>
  <si>
    <t xml:space="preserve">F-44380 </t>
  </si>
  <si>
    <t>PORNICHET</t>
  </si>
  <si>
    <t>GUILLET</t>
  </si>
  <si>
    <t>Pascal</t>
  </si>
  <si>
    <t>pascal.guillet@grassavoye-asc.com</t>
  </si>
  <si>
    <t>SERVICE COMMERCIAL</t>
  </si>
  <si>
    <t>(0033) 228 55 01 03</t>
  </si>
  <si>
    <t>(0033) 228 55 01 09</t>
  </si>
  <si>
    <t xml:space="preserve">GUILLY </t>
  </si>
  <si>
    <t>Emilie</t>
  </si>
  <si>
    <t>eguilly@suisscourtage.com</t>
  </si>
  <si>
    <t>emilie</t>
  </si>
  <si>
    <t>(00377) 93304243</t>
  </si>
  <si>
    <t>HENRY</t>
  </si>
  <si>
    <t>Martine</t>
  </si>
  <si>
    <t>mamathjade</t>
  </si>
  <si>
    <t>(00352) 27 44 54-13</t>
  </si>
  <si>
    <t xml:space="preserve">HENRY </t>
  </si>
  <si>
    <t>Christian</t>
  </si>
  <si>
    <t>christian</t>
  </si>
  <si>
    <t>(0033) 383878610</t>
  </si>
  <si>
    <t>(0033) 673671993</t>
  </si>
  <si>
    <t>Lucas</t>
  </si>
  <si>
    <t>(0033) 673385739</t>
  </si>
  <si>
    <t xml:space="preserve">HUDECK </t>
  </si>
  <si>
    <t>(0033) 691812079</t>
  </si>
  <si>
    <t>Aviation Insurance Brokers</t>
  </si>
  <si>
    <t>CH 7000</t>
  </si>
  <si>
    <t>Hudson Sky Company SA</t>
  </si>
  <si>
    <t>general@meriv.fr</t>
  </si>
  <si>
    <t>cedricg</t>
  </si>
  <si>
    <t>(0041) 81 286 77 77</t>
  </si>
  <si>
    <t>HUENS DE BROUWER</t>
  </si>
  <si>
    <t>Vincent</t>
  </si>
  <si>
    <t>vhuensdebrouwer@onlyyacht.com</t>
  </si>
  <si>
    <t>(0033) 640 614 601</t>
  </si>
  <si>
    <t>SOMECASSUR</t>
  </si>
  <si>
    <t xml:space="preserve">IFERGAN </t>
  </si>
  <si>
    <t>Christine</t>
  </si>
  <si>
    <t>c.ifergan@somecassur.fr</t>
  </si>
  <si>
    <t xml:space="preserve">ISAIA </t>
  </si>
  <si>
    <t>Mathieu</t>
  </si>
  <si>
    <t>agence.isaia@axa.fr</t>
  </si>
  <si>
    <t>mathieu</t>
  </si>
  <si>
    <t>JABRE</t>
  </si>
  <si>
    <t>Elias</t>
  </si>
  <si>
    <t>ejabre@clover-brokers.com</t>
  </si>
  <si>
    <t>eliasjabre</t>
  </si>
  <si>
    <t>MY INSURANCE BROKERS</t>
  </si>
  <si>
    <t>11 bd Albert Iier</t>
  </si>
  <si>
    <t>JEANTET</t>
  </si>
  <si>
    <t>o.jeantet@myinsurancebrokersmonaco.com</t>
  </si>
  <si>
    <t>(00377) 97 97 13 58</t>
  </si>
  <si>
    <t>(0033)663 688 926</t>
  </si>
  <si>
    <t>JOURDAN</t>
  </si>
  <si>
    <t>Pierre</t>
  </si>
  <si>
    <t>gregory.vanmeenin@jgm.fr&gt;</t>
  </si>
  <si>
    <t xml:space="preserve">(0033) 492 17 36 00 </t>
  </si>
  <si>
    <t>(0033) 4 93 92 21 93</t>
  </si>
  <si>
    <t xml:space="preserve">KARANOUH </t>
  </si>
  <si>
    <t>Omar</t>
  </si>
  <si>
    <t>omar.karanouh@nkfrance.com</t>
  </si>
  <si>
    <t>karanouh</t>
  </si>
  <si>
    <t>KHADIRI</t>
  </si>
  <si>
    <t>Bouchaib</t>
  </si>
  <si>
    <t>bouchaib.khadiri@afmagroup.ma</t>
  </si>
  <si>
    <t>(+212) 5 22 42 80 21</t>
  </si>
  <si>
    <t>BELGIBO NV</t>
  </si>
  <si>
    <t xml:space="preserve">De Gerlachekaai 20_x000D_
_x000D_
</t>
  </si>
  <si>
    <t>B-2000</t>
  </si>
  <si>
    <t>ANTWERPEN</t>
  </si>
  <si>
    <t>Belgium</t>
  </si>
  <si>
    <t xml:space="preserve">KOENRAAD </t>
  </si>
  <si>
    <t>Maes</t>
  </si>
  <si>
    <t>Koenraad.Maes@belgibo.be</t>
  </si>
  <si>
    <t>koenraad</t>
  </si>
  <si>
    <t>KUIKKA</t>
  </si>
  <si>
    <t>akuikka@onlyyacht.com</t>
  </si>
  <si>
    <t>annekuikka</t>
  </si>
  <si>
    <t xml:space="preserve">LABAZ </t>
  </si>
  <si>
    <t>Leila</t>
  </si>
  <si>
    <t>leila.labaz@mtaic.com</t>
  </si>
  <si>
    <t>leilalabaz</t>
  </si>
  <si>
    <t>(0033) 492187986</t>
  </si>
  <si>
    <t>(0033) 492187985</t>
  </si>
  <si>
    <t>Bourbon OffShore Greenmar</t>
  </si>
  <si>
    <t>CH-1260</t>
  </si>
  <si>
    <t>LAGADIC</t>
  </si>
  <si>
    <t>Yves André</t>
  </si>
  <si>
    <t>yves-andre.lagadic@bourbon-online.com</t>
  </si>
  <si>
    <t>lagadic</t>
  </si>
  <si>
    <t xml:space="preserve">LALANDRE </t>
  </si>
  <si>
    <t>mougins</t>
  </si>
  <si>
    <t>(0033) 493060909</t>
  </si>
  <si>
    <t>(0033) 493060900</t>
  </si>
  <si>
    <t>AXA LE VACON Michel et  KERMALI Dalida</t>
  </si>
  <si>
    <t xml:space="preserve">F-06400 </t>
  </si>
  <si>
    <t>LE VACON</t>
  </si>
  <si>
    <t>agence.levaconkermali@axa.fr</t>
  </si>
  <si>
    <t>levacon</t>
  </si>
  <si>
    <t>(0033) 4 93 38 52 52</t>
  </si>
  <si>
    <t>(0033) 4 93 99 04 19</t>
  </si>
  <si>
    <t>PISANO Agence AXA</t>
  </si>
  <si>
    <t>LEDUC</t>
  </si>
  <si>
    <t>Colette</t>
  </si>
  <si>
    <t>service.gestion@pisanoassur.fr</t>
  </si>
  <si>
    <t>colette</t>
  </si>
  <si>
    <t>Pisano assurances conseils</t>
  </si>
  <si>
    <t>+334 96 20 28 20</t>
  </si>
  <si>
    <t>+334 96 20 28 28</t>
  </si>
  <si>
    <t>LEONARDI</t>
  </si>
  <si>
    <t>Véronique</t>
  </si>
  <si>
    <t xml:space="preserve">v.leonardi@g-eyssautier.com </t>
  </si>
  <si>
    <t>(0033) 144 82 10 90</t>
  </si>
  <si>
    <t>LINHARDT</t>
  </si>
  <si>
    <t>tlinhardt@ponant.com</t>
  </si>
  <si>
    <t>wyccponant4</t>
  </si>
  <si>
    <t>LIVERSET</t>
  </si>
  <si>
    <t>Hugues</t>
  </si>
  <si>
    <t>hliverset@diot.fr</t>
  </si>
  <si>
    <t>hugues</t>
  </si>
  <si>
    <t>Chargé de Clientèle</t>
  </si>
  <si>
    <r>
      <rPr>
        <sz val="10"/>
        <rFont val="Arial Narrow"/>
        <family val="2"/>
      </rPr>
      <t>(0033) 450 27 97 44</t>
    </r>
    <r>
      <rPr>
        <sz val="10"/>
        <color theme="1"/>
        <rFont val="Arial Narrow"/>
        <family val="2"/>
      </rPr>
      <t xml:space="preserve"> </t>
    </r>
  </si>
  <si>
    <t>(0033) 6 88 07 66 86</t>
  </si>
  <si>
    <t>LOCQUET</t>
  </si>
  <si>
    <t>locquetp@wanadoo.fr</t>
  </si>
  <si>
    <t>philippe</t>
  </si>
  <si>
    <t>(00596) (0) 596 74 9</t>
  </si>
  <si>
    <t>MAILLET</t>
  </si>
  <si>
    <t>Clémence</t>
  </si>
  <si>
    <t>c.maillet@somecassur.fr</t>
  </si>
  <si>
    <t>maillet</t>
  </si>
  <si>
    <t>Marie Louise</t>
  </si>
  <si>
    <t>ums.wallis@mail.wf</t>
  </si>
  <si>
    <t>wyccuvea1</t>
  </si>
  <si>
    <t>ISIS GLOBAL SOLUTIONS</t>
  </si>
  <si>
    <t>MARTIN</t>
  </si>
  <si>
    <t>production@isisglobalsolutions.com</t>
  </si>
  <si>
    <t>laurence</t>
  </si>
  <si>
    <t>(0033) 4 98 08 00 12</t>
  </si>
  <si>
    <t xml:space="preserve">MATHE </t>
  </si>
  <si>
    <t>Corinne</t>
  </si>
  <si>
    <t>c.mathe@somecassur.fr</t>
  </si>
  <si>
    <t>corinne</t>
  </si>
  <si>
    <t>(0033) 493399230</t>
  </si>
  <si>
    <t>(0033) 493391581</t>
  </si>
  <si>
    <t>MICHAUT </t>
  </si>
  <si>
    <t>Elsy</t>
  </si>
  <si>
    <t>emichaut@suisscourtage.mc</t>
  </si>
  <si>
    <t>(00377) 93 30 46 31</t>
  </si>
  <si>
    <t>(00377) 93.30.12.23</t>
  </si>
  <si>
    <t>Suisscourtage Antibes</t>
  </si>
  <si>
    <t>Avenue de Verdun,8bis</t>
  </si>
  <si>
    <t xml:space="preserve">MICHOTTE </t>
  </si>
  <si>
    <t>Stéphane</t>
  </si>
  <si>
    <t>smichotte@suisscourtage.com</t>
  </si>
  <si>
    <t>stephane</t>
  </si>
  <si>
    <t>(0033) 612035265</t>
  </si>
  <si>
    <t xml:space="preserve">MILLET </t>
  </si>
  <si>
    <t>Barbara</t>
  </si>
  <si>
    <t>bmillet@suisscourtage.mc</t>
  </si>
  <si>
    <t>barbara</t>
  </si>
  <si>
    <t xml:space="preserve">MIOR </t>
  </si>
  <si>
    <t>Nicolas</t>
  </si>
  <si>
    <t>nicolas.mior@ascoma.com</t>
  </si>
  <si>
    <t>nicolas</t>
  </si>
  <si>
    <t>(+33) 6 89 99 32 71</t>
  </si>
  <si>
    <t xml:space="preserve">MONCEL </t>
  </si>
  <si>
    <t>Etienne</t>
  </si>
  <si>
    <t>etienne.moncel@jgm.fr</t>
  </si>
  <si>
    <t>etienne</t>
  </si>
  <si>
    <t xml:space="preserve">MONNIER </t>
  </si>
  <si>
    <t>nmonnier@agence.generali.fr</t>
  </si>
  <si>
    <t>(0033) 494097979</t>
  </si>
  <si>
    <t>(0033) 494097980</t>
  </si>
  <si>
    <t xml:space="preserve">MUSSO </t>
  </si>
  <si>
    <t>Romain</t>
  </si>
  <si>
    <t>rmusso@suisscourtage.mc</t>
  </si>
  <si>
    <t>romain</t>
  </si>
  <si>
    <t>Neieta</t>
  </si>
  <si>
    <t>ums3.wallis@mail.wf</t>
  </si>
  <si>
    <t>wyccuvea3</t>
  </si>
  <si>
    <t>NOUAMRIA</t>
  </si>
  <si>
    <t>Caroline</t>
  </si>
  <si>
    <t>caroline.nouamria@mtaic.com</t>
  </si>
  <si>
    <t xml:space="preserve">Assicurazioni Pagnamenta Insurance Broker SA </t>
  </si>
  <si>
    <t xml:space="preserve">CP 54_x000D_
_x000D_
</t>
  </si>
  <si>
    <t>PAGNAMENTA</t>
  </si>
  <si>
    <t>Ilaria</t>
  </si>
  <si>
    <t>ilaria.pagnamenta@a-pagna.ch</t>
  </si>
  <si>
    <t>ilaria</t>
  </si>
  <si>
    <t>0041 91 967 49 22</t>
  </si>
  <si>
    <t>Luca</t>
  </si>
  <si>
    <t>luca.pagnamenta@a-pagna.ch</t>
  </si>
  <si>
    <t>lucapagnamenta</t>
  </si>
  <si>
    <t>(0041) 91 967 49 22</t>
  </si>
  <si>
    <t>(0041) 91 967 25 92</t>
  </si>
  <si>
    <t>PENEDO</t>
  </si>
  <si>
    <t>Pilar</t>
  </si>
  <si>
    <t>ppenedo@ponant.com</t>
  </si>
  <si>
    <t>wyccponant5</t>
  </si>
  <si>
    <t>PEYLET</t>
  </si>
  <si>
    <t>Marie-Christine</t>
  </si>
  <si>
    <t>mariechristine.peylet@axa-cs.com</t>
  </si>
  <si>
    <t>ABC Maritime</t>
  </si>
  <si>
    <t>Rue Perdtemps 1</t>
  </si>
  <si>
    <t>PITAOULIS</t>
  </si>
  <si>
    <t>Georges</t>
  </si>
  <si>
    <t>gp@abcmaritime.ch</t>
  </si>
  <si>
    <t>WYCC_ABC*</t>
  </si>
  <si>
    <t>(0041) 22 365 71 84</t>
  </si>
  <si>
    <t>POGGIO</t>
  </si>
  <si>
    <t xml:space="preserve">dominique </t>
  </si>
  <si>
    <t>contact@poggio-assurinvest.com</t>
  </si>
  <si>
    <t>dominique</t>
  </si>
  <si>
    <t>Daniele</t>
  </si>
  <si>
    <t>poggio</t>
  </si>
  <si>
    <t>(00377) 97973454</t>
  </si>
  <si>
    <t>(0033) 686182194</t>
  </si>
  <si>
    <t>Compagnie du Ponant</t>
  </si>
  <si>
    <t>POSSO</t>
  </si>
  <si>
    <t>Sylvain</t>
  </si>
  <si>
    <t>sposso@ponant.com</t>
  </si>
  <si>
    <t>wyccponant6</t>
  </si>
  <si>
    <t>SETAF SAGET</t>
  </si>
  <si>
    <t xml:space="preserve">33 Quai GALLIENI_x000D_
</t>
  </si>
  <si>
    <t>F-92150</t>
  </si>
  <si>
    <t>SURESNES</t>
  </si>
  <si>
    <t xml:space="preserve">PRONO </t>
  </si>
  <si>
    <t>Marie-Guenole</t>
  </si>
  <si>
    <t>mgp@setaf-saget.fr</t>
  </si>
  <si>
    <t xml:space="preserve">RACO </t>
  </si>
  <si>
    <t>Fabienne</t>
  </si>
  <si>
    <t>fraco@onlyyacht.com</t>
  </si>
  <si>
    <t>fabienne</t>
  </si>
  <si>
    <t>Remo Marine Services SA</t>
  </si>
  <si>
    <t>Switzerland</t>
  </si>
  <si>
    <t>REMONDIERE</t>
  </si>
  <si>
    <t>+41 22 363 92 74</t>
  </si>
  <si>
    <t>RY Assurances, Reynier Yachting</t>
  </si>
  <si>
    <t xml:space="preserve">F-83990 </t>
  </si>
  <si>
    <t>REYNIER</t>
  </si>
  <si>
    <t>Bernard</t>
  </si>
  <si>
    <t>breynier@sfr.fr</t>
  </si>
  <si>
    <t>bernard</t>
  </si>
  <si>
    <t>+33 (0)4 89 78 99 84</t>
  </si>
  <si>
    <t>SALLOUM</t>
  </si>
  <si>
    <t>Ghassan</t>
  </si>
  <si>
    <t>gsalloum@clover-brokers.com</t>
  </si>
  <si>
    <t>ghassan</t>
  </si>
  <si>
    <t>SAPORITA</t>
  </si>
  <si>
    <t>Manuel</t>
  </si>
  <si>
    <t>Manuel.Saporita@ascoma.com</t>
  </si>
  <si>
    <t>Yacht Insurance Broker </t>
  </si>
  <si>
    <t>(00377) 97 97 44 25</t>
  </si>
  <si>
    <t>SOYER</t>
  </si>
  <si>
    <t>Maxence</t>
  </si>
  <si>
    <t>maxence.soyer@nkfrance.com</t>
  </si>
  <si>
    <t>maxence</t>
  </si>
  <si>
    <t xml:space="preserve">(0033) 1 47 95 97 34 </t>
  </si>
  <si>
    <t>(0033) 1 47 41 48 89</t>
  </si>
  <si>
    <t>STEIN</t>
  </si>
  <si>
    <t>nicolas.stein@bourbon-online.com</t>
  </si>
  <si>
    <t>(0033) (0)4 91 133 6</t>
  </si>
  <si>
    <t>THOMAJ</t>
  </si>
  <si>
    <t xml:space="preserve">Edita </t>
  </si>
  <si>
    <t>editat@fenfar.gr</t>
  </si>
  <si>
    <t>TIREL</t>
  </si>
  <si>
    <t>Matthieu</t>
  </si>
  <si>
    <t>m.tirel@g-eyssautier.com</t>
  </si>
  <si>
    <t>matthieu</t>
  </si>
  <si>
    <t>Groupe Suisscourtage</t>
  </si>
  <si>
    <t xml:space="preserve">F-06600 </t>
  </si>
  <si>
    <t>TOUATI</t>
  </si>
  <si>
    <t>Arthur</t>
  </si>
  <si>
    <t>atouati@suisscourtage.com</t>
  </si>
  <si>
    <t>(0033)  492 94 97 74</t>
  </si>
  <si>
    <t>TOULZE</t>
  </si>
  <si>
    <t>Pascale</t>
  </si>
  <si>
    <t>pascale.toulze@ascoma.com</t>
  </si>
  <si>
    <t>pascale</t>
  </si>
  <si>
    <t>(00377) (97) 97 44 24</t>
  </si>
  <si>
    <t>(00377) (97) 97 44 22</t>
  </si>
  <si>
    <t>URSINI</t>
  </si>
  <si>
    <t>Marion</t>
  </si>
  <si>
    <t>info@sudeurocourtage.com</t>
  </si>
  <si>
    <t>VAN MEENIN</t>
  </si>
  <si>
    <t xml:space="preserve">Grégory </t>
  </si>
  <si>
    <t xml:space="preserve">(0033) 492 17 36 03 </t>
  </si>
  <si>
    <t>VIDEAU</t>
  </si>
  <si>
    <t>pvideau@maritimealbatros.com</t>
  </si>
  <si>
    <t>videau_wycc*</t>
  </si>
  <si>
    <t>VIELFAURE</t>
  </si>
  <si>
    <t>fvielfaure@ponant.com</t>
  </si>
  <si>
    <t>wyccponant1</t>
  </si>
  <si>
    <t>Zambon</t>
  </si>
  <si>
    <t>Sandra</t>
  </si>
  <si>
    <t>hull-div@filhet-allard-marit.com</t>
  </si>
  <si>
    <t>Hull and P&amp;I Department</t>
  </si>
  <si>
    <t>(0033) 557 53 20 15</t>
  </si>
  <si>
    <t>(0033) 5 57 53 20 18</t>
  </si>
  <si>
    <t>ZIANE</t>
  </si>
  <si>
    <t>Myriam</t>
  </si>
  <si>
    <t>mziane@suisscourtage.com</t>
  </si>
  <si>
    <t>SANREMO</t>
  </si>
  <si>
    <t>Italy</t>
  </si>
  <si>
    <t>ZUNINO</t>
  </si>
  <si>
    <t>szunino@aprilyacht.com</t>
  </si>
  <si>
    <t>(0039) 0184.59.02.59</t>
  </si>
  <si>
    <t>(0039) 0184.54.01.75</t>
  </si>
  <si>
    <t>TOUZET</t>
  </si>
  <si>
    <t>Sandrine</t>
  </si>
  <si>
    <t>(0033) 04 93 38 38 29</t>
  </si>
  <si>
    <t>FLOURNOY</t>
  </si>
  <si>
    <t>Charles</t>
  </si>
  <si>
    <t>charles.flournoy@worthaminsurance.com</t>
  </si>
  <si>
    <t>(001) (713) 346-1339</t>
  </si>
  <si>
    <t>(001) (713) 521-8339</t>
  </si>
  <si>
    <t>(001) (713) 857-6639</t>
  </si>
  <si>
    <t>JARAMILLO</t>
  </si>
  <si>
    <t>Jaramillo@gesmaritime.com</t>
  </si>
  <si>
    <t>GRUNBERG</t>
  </si>
  <si>
    <t>Guillaume</t>
  </si>
  <si>
    <t>guillaume.grunberg@yachting-insurance.com</t>
  </si>
  <si>
    <t>ID sco</t>
  </si>
  <si>
    <t>Codeaccess</t>
  </si>
  <si>
    <t>PASSWORD</t>
  </si>
  <si>
    <t>Website</t>
  </si>
  <si>
    <t>GSM</t>
  </si>
  <si>
    <t>%</t>
  </si>
  <si>
    <t xml:space="preserve">Villefranche sur Mer </t>
  </si>
  <si>
    <t>ALLAS</t>
  </si>
  <si>
    <t>Salla</t>
  </si>
  <si>
    <t>darkpelican@wanadoo.fr</t>
  </si>
  <si>
    <t>sallaallas</t>
  </si>
  <si>
    <t>CREW</t>
  </si>
  <si>
    <t>(0033) 493.01.76.54</t>
  </si>
  <si>
    <t>(0033) 685.61.88.54</t>
  </si>
  <si>
    <t>Fraseryachts</t>
  </si>
  <si>
    <t>ANGUSTI</t>
  </si>
  <si>
    <t>Francesca</t>
  </si>
  <si>
    <t>francesca.angusti@fraseryachts.com</t>
  </si>
  <si>
    <t>francesca.angusti</t>
  </si>
  <si>
    <t>ARBEZ</t>
  </si>
  <si>
    <t>Elise</t>
  </si>
  <si>
    <t>elise.arbez@bourbon-online.com</t>
  </si>
  <si>
    <t>elisea</t>
  </si>
  <si>
    <t>CAPTAIN</t>
  </si>
  <si>
    <t>Fax +41 22 363 91 33</t>
  </si>
  <si>
    <t>(0041) 22 363 91 66</t>
  </si>
  <si>
    <t>ASTOLFI</t>
  </si>
  <si>
    <t>castolfi@gaspardyachts.com</t>
  </si>
  <si>
    <t>CHRISTINE</t>
  </si>
  <si>
    <t xml:space="preserve"> </t>
  </si>
  <si>
    <t>Aquamarine</t>
  </si>
  <si>
    <t>BAILLIE</t>
  </si>
  <si>
    <t>Claire</t>
  </si>
  <si>
    <t>clairebaillie@aquamarine.fr</t>
  </si>
  <si>
    <t>claire123</t>
  </si>
  <si>
    <t>(0033) 4 93 76 17 17</t>
  </si>
  <si>
    <t>06 30 24 22 31</t>
  </si>
  <si>
    <t>Camper &amp; Nicholson</t>
  </si>
  <si>
    <t>12 Avenue de la Liberation</t>
  </si>
  <si>
    <t>BELLINI</t>
  </si>
  <si>
    <t>Evelyne</t>
  </si>
  <si>
    <t>eb@ant.cnyachts.com</t>
  </si>
  <si>
    <t>evelyne</t>
  </si>
  <si>
    <t>(0033) 4 97 04 10 50</t>
  </si>
  <si>
    <t>BERTHET</t>
  </si>
  <si>
    <t>Mélanie</t>
  </si>
  <si>
    <t>melanie.berthet@bourbon-online.com</t>
  </si>
  <si>
    <t>melanie</t>
  </si>
  <si>
    <t>MAGELLAN</t>
  </si>
  <si>
    <t>L-8308</t>
  </si>
  <si>
    <t>BEZZINA-PERSONENI</t>
  </si>
  <si>
    <t>Cynthia</t>
  </si>
  <si>
    <t>cp@mmc.lu</t>
  </si>
  <si>
    <t>cynthia</t>
  </si>
  <si>
    <t>YXT LIMITED</t>
  </si>
  <si>
    <t>BORG</t>
  </si>
  <si>
    <t>Karm</t>
  </si>
  <si>
    <t>kborg@beender.net</t>
  </si>
  <si>
    <t>YXTLIMITED</t>
  </si>
  <si>
    <t>Franctema</t>
  </si>
  <si>
    <t>BOUILLE</t>
  </si>
  <si>
    <t>gwenael</t>
  </si>
  <si>
    <t>bouillegwenael@yahoo.fr</t>
  </si>
  <si>
    <t>bouillegwenael</t>
  </si>
  <si>
    <t>BROOKE</t>
  </si>
  <si>
    <t>Alan</t>
  </si>
  <si>
    <t>Alan.BROOKE@bourbon-online.com</t>
  </si>
  <si>
    <t>alanbro</t>
  </si>
  <si>
    <t>BLUEWIN</t>
  </si>
  <si>
    <t>CAFFO</t>
  </si>
  <si>
    <t>Fabien</t>
  </si>
  <si>
    <t>yachtblueice@gmail.com</t>
  </si>
  <si>
    <t>fabien</t>
  </si>
  <si>
    <t>Y.CO</t>
  </si>
  <si>
    <t>1 - 3 Place du Revely</t>
  </si>
  <si>
    <t>Captain</t>
  </si>
  <si>
    <t>Constellation</t>
  </si>
  <si>
    <t>captain@yacht-constellation.com</t>
  </si>
  <si>
    <t>cZ34tf</t>
  </si>
  <si>
    <t>Balhimbar</t>
  </si>
  <si>
    <t>captain@yacht-balhimbar.com</t>
  </si>
  <si>
    <t>balhimbar749*</t>
  </si>
  <si>
    <t>Helaitan</t>
  </si>
  <si>
    <t>captain@yacht-helaitan.com</t>
  </si>
  <si>
    <t>yH78vv</t>
  </si>
  <si>
    <t>Maracunda</t>
  </si>
  <si>
    <t>captain@yacht-maracunda.com</t>
  </si>
  <si>
    <t>maracunda102*</t>
  </si>
  <si>
    <t>Sahm</t>
  </si>
  <si>
    <t>captain@yacht-sahm.com</t>
  </si>
  <si>
    <t>sahm986*</t>
  </si>
  <si>
    <t>Zikrit</t>
  </si>
  <si>
    <t>captain@yacht-zikrit.com</t>
  </si>
  <si>
    <t>zikrit068*</t>
  </si>
  <si>
    <t>Al Adaid</t>
  </si>
  <si>
    <t>captain@yacht-aladaid.com</t>
  </si>
  <si>
    <t>Ngq34Y</t>
  </si>
  <si>
    <t>Al Duhail</t>
  </si>
  <si>
    <t>captain@yacht-alduhail.com</t>
  </si>
  <si>
    <t>alduhail453*</t>
  </si>
  <si>
    <t>Al Mirqab II</t>
  </si>
  <si>
    <t>captain@yacht-almirqabII.com</t>
  </si>
  <si>
    <t>almirqabII913*</t>
  </si>
  <si>
    <t>Al Shoua</t>
  </si>
  <si>
    <t>captain@yacht-alshoua.com</t>
  </si>
  <si>
    <t>zB34cf</t>
  </si>
  <si>
    <t>Katara</t>
  </si>
  <si>
    <t>captain@yacht-katara.com</t>
  </si>
  <si>
    <t>katara672*</t>
  </si>
  <si>
    <t>Katara II</t>
  </si>
  <si>
    <t>captain@yacht-kataraII.com</t>
  </si>
  <si>
    <t>kataraII912*</t>
  </si>
  <si>
    <t>Katara III</t>
  </si>
  <si>
    <t>captain@yacht-kataraIII.com</t>
  </si>
  <si>
    <t>dfgQR4</t>
  </si>
  <si>
    <t>Katara IV</t>
  </si>
  <si>
    <t>captain@yacht-kataraIV.com</t>
  </si>
  <si>
    <t>kataraIV746*</t>
  </si>
  <si>
    <t>Paul Gauguin Cruises</t>
  </si>
  <si>
    <t xml:space="preserve">11100 Main Street, Suite 300 Bellevue, </t>
  </si>
  <si>
    <t>WA 98004</t>
  </si>
  <si>
    <t>CARRIOU</t>
  </si>
  <si>
    <t>Stephane</t>
  </si>
  <si>
    <t>Food &amp; Beverage Manager</t>
  </si>
  <si>
    <t xml:space="preserve">(001) 425 440-6171  </t>
  </si>
  <si>
    <t>(001) 425 440-6186</t>
  </si>
  <si>
    <t>CATOT</t>
  </si>
  <si>
    <t>Aferdita</t>
  </si>
  <si>
    <t>aferdita.catot@bourbon-online.com</t>
  </si>
  <si>
    <t>aferca</t>
  </si>
  <si>
    <t>CHITO</t>
  </si>
  <si>
    <t>Christiane</t>
  </si>
  <si>
    <t>compta@mmc.lu</t>
  </si>
  <si>
    <t>Comptabilité</t>
  </si>
  <si>
    <t>Mediterranean Yacht Services</t>
  </si>
  <si>
    <t>Le Mercator - Etape 11_x000D_
7 Rue de l'industrie</t>
  </si>
  <si>
    <t>CITE</t>
  </si>
  <si>
    <t>Charline</t>
  </si>
  <si>
    <t>charline@mys-monaco.com</t>
  </si>
  <si>
    <t>charline</t>
  </si>
  <si>
    <t>(00377) 93 25 83 02</t>
  </si>
  <si>
    <t>+33 (0) 637 165 799</t>
  </si>
  <si>
    <t>COATES</t>
  </si>
  <si>
    <t>Anne-Laure</t>
  </si>
  <si>
    <t>alcoates@bluewin.ch</t>
  </si>
  <si>
    <t>anne-laure</t>
  </si>
  <si>
    <t>SEASIDE</t>
  </si>
  <si>
    <t>COHEN</t>
  </si>
  <si>
    <t>valerie@seaside.fr</t>
  </si>
  <si>
    <t>valeriesea</t>
  </si>
  <si>
    <t xml:space="preserve"> Port de Fontvieille_x000D_
30, quai J-C Rey_x000D_
       </t>
  </si>
  <si>
    <t>CORPORANDY</t>
  </si>
  <si>
    <t>Gilles</t>
  </si>
  <si>
    <t>gilles@monacoequipage.com</t>
  </si>
  <si>
    <t>00377 97 77 81 77</t>
  </si>
  <si>
    <t>WAAZII</t>
  </si>
  <si>
    <t>Kevin</t>
  </si>
  <si>
    <t>ANP</t>
  </si>
  <si>
    <t>COSSERAT</t>
  </si>
  <si>
    <t>CHRISTIAN</t>
  </si>
  <si>
    <t>c.cosserat@harrel-courtes.fr</t>
  </si>
  <si>
    <t>cc2012</t>
  </si>
  <si>
    <t>COSSON</t>
  </si>
  <si>
    <t>Léonie</t>
  </si>
  <si>
    <t>leonie.cosson@bourbon-online.com</t>
  </si>
  <si>
    <t>leonie</t>
  </si>
  <si>
    <t>Long River Corporate</t>
  </si>
  <si>
    <t>CREACH</t>
  </si>
  <si>
    <t>Mickaël</t>
  </si>
  <si>
    <t>creach.mick@wanadoo.fr</t>
  </si>
  <si>
    <t>mickael</t>
  </si>
  <si>
    <t>(0034) 671967540</t>
  </si>
  <si>
    <t>CREMER</t>
  </si>
  <si>
    <t>Martin</t>
  </si>
  <si>
    <t>mc@mmc.lu</t>
  </si>
  <si>
    <t>martin</t>
  </si>
  <si>
    <t>accountant</t>
  </si>
  <si>
    <t>DE RAIGNIAC</t>
  </si>
  <si>
    <t>Foulques</t>
  </si>
  <si>
    <t>foulques@gaspardyachts.com</t>
  </si>
  <si>
    <t>foulques</t>
  </si>
  <si>
    <t>De Wolf</t>
  </si>
  <si>
    <t>Jean-Pierre</t>
  </si>
  <si>
    <t>jpdewolf@lms.lu</t>
  </si>
  <si>
    <t>(00352) 621 295 398</t>
  </si>
  <si>
    <t>DRZEWIECKI</t>
  </si>
  <si>
    <t>Wojciech</t>
  </si>
  <si>
    <t>wojciech.drzewiecki@bourbon-online.com</t>
  </si>
  <si>
    <t>wojciech</t>
  </si>
  <si>
    <t>DUREPAIRE</t>
  </si>
  <si>
    <t>Damien</t>
  </si>
  <si>
    <t>durepaire.damien@mwafritec.com</t>
  </si>
  <si>
    <t>DAMIEN</t>
  </si>
  <si>
    <t>Seazen II Loisirs</t>
  </si>
  <si>
    <t>EHRARDT</t>
  </si>
  <si>
    <t>Jéremy</t>
  </si>
  <si>
    <t>seazentwo@gmail.com</t>
  </si>
  <si>
    <t>4d4djS</t>
  </si>
  <si>
    <t>Bluepin Ltd-A and A</t>
  </si>
  <si>
    <t>FARMER</t>
  </si>
  <si>
    <t>James</t>
  </si>
  <si>
    <t>captain@myaanda.net</t>
  </si>
  <si>
    <t>eyssautier</t>
  </si>
  <si>
    <t>FERRERO</t>
  </si>
  <si>
    <t>Isabelle</t>
  </si>
  <si>
    <t>isabelle.ferrero@remo-sa.com</t>
  </si>
  <si>
    <t>isabelle</t>
  </si>
  <si>
    <t>C314 Management</t>
  </si>
  <si>
    <t>CHEZ ANP_x000D_
15 RUE BEAUVAU</t>
  </si>
  <si>
    <t>FILIPPI</t>
  </si>
  <si>
    <t>CHRISTOPHE</t>
  </si>
  <si>
    <t>projetfb01@gmail.com</t>
  </si>
  <si>
    <t>c314admin</t>
  </si>
  <si>
    <t>THIERRY VOISIN</t>
  </si>
  <si>
    <t>GEHIN</t>
  </si>
  <si>
    <t>Brigitte</t>
  </si>
  <si>
    <t>brigitteg@thierryvoisin.com</t>
  </si>
  <si>
    <t>tchacou4</t>
  </si>
  <si>
    <t>(0033) 492.00.42.84</t>
  </si>
  <si>
    <t>(0033) 492.00.43.71</t>
  </si>
  <si>
    <t>GIRARDOT</t>
  </si>
  <si>
    <t>myaxioma@ymail.com</t>
  </si>
  <si>
    <t>myaxioma</t>
  </si>
  <si>
    <t>GILHARD</t>
  </si>
  <si>
    <t>caroline</t>
  </si>
  <si>
    <t>cgilhard@burgessyachts.com</t>
  </si>
  <si>
    <t>(00377) 97978121</t>
  </si>
  <si>
    <t>guillaume.grunberg@wycc-insurance.com</t>
  </si>
  <si>
    <t>Commercial</t>
  </si>
  <si>
    <t>(0033) (0) 6 22 43 01 27</t>
  </si>
  <si>
    <t xml:space="preserve">UNIQUE YACHTING MONACO  </t>
  </si>
  <si>
    <t>"Park Palace" 27 avenue de la Costa</t>
  </si>
  <si>
    <t>GUENEBEAUD</t>
  </si>
  <si>
    <t>Cédric</t>
  </si>
  <si>
    <t>direction@unique-yachting-monaco.com</t>
  </si>
  <si>
    <t>vH1yk1</t>
  </si>
  <si>
    <t>Sarnia Yachts Limited</t>
  </si>
  <si>
    <t xml:space="preserve">PO Box 657 La Plaiderie House </t>
  </si>
  <si>
    <t xml:space="preserve">GY1 3PR </t>
  </si>
  <si>
    <t>St Peter Port Guernsey</t>
  </si>
  <si>
    <t>Guernsey</t>
  </si>
  <si>
    <t>HAMILTON</t>
  </si>
  <si>
    <t>Kim</t>
  </si>
  <si>
    <t>kim.hamilton@sarniayachts.com</t>
  </si>
  <si>
    <t>Client Services Officer</t>
  </si>
  <si>
    <t>(0044) 1481 754850</t>
  </si>
  <si>
    <t>(0044) 1481 723335</t>
  </si>
  <si>
    <t>(0044) 1481 754864</t>
  </si>
  <si>
    <t xml:space="preserve">15, rue Beauvau </t>
  </si>
  <si>
    <t>HARREL COURTES</t>
  </si>
  <si>
    <t>g.harrel-courtes@harrel-courtes.fr</t>
  </si>
  <si>
    <t>jules2012</t>
  </si>
  <si>
    <t>HUSSON</t>
  </si>
  <si>
    <t>crew@lngroup.lu</t>
  </si>
  <si>
    <t>kDCU21</t>
  </si>
  <si>
    <t>Vendome Luxury Boats</t>
  </si>
  <si>
    <t>Capitainerie du Port Vauban_x000D_
Bateau Winning Streak</t>
  </si>
  <si>
    <t>JACQUART</t>
  </si>
  <si>
    <t>winningstreak06@yahoo.fr</t>
  </si>
  <si>
    <t>wycc_jacquart*</t>
  </si>
  <si>
    <t>JOUSEAU</t>
  </si>
  <si>
    <t>Estelle</t>
  </si>
  <si>
    <t>estelle.jouseau@bourbon-online.com</t>
  </si>
  <si>
    <t>estelle</t>
  </si>
  <si>
    <t>SUNREEF YACHTS CHARTER</t>
  </si>
  <si>
    <t xml:space="preserve">Gdansk, Poland_x000D_
</t>
  </si>
  <si>
    <t>KOZAK</t>
  </si>
  <si>
    <t>Joanna</t>
  </si>
  <si>
    <t>joanna@sunreef-charter.com</t>
  </si>
  <si>
    <t>joanna</t>
  </si>
  <si>
    <t>00 48 58 776 23 16</t>
  </si>
  <si>
    <t>Captain-OVER THE RAINBOW OF LONDON</t>
  </si>
  <si>
    <t>LEGROS</t>
  </si>
  <si>
    <t>Jean Louis</t>
  </si>
  <si>
    <t>disealand@aol.com</t>
  </si>
  <si>
    <t>legros</t>
  </si>
  <si>
    <t>LORDT</t>
  </si>
  <si>
    <t>Julia</t>
  </si>
  <si>
    <t>julia@equisea.mc</t>
  </si>
  <si>
    <t>Julial</t>
  </si>
  <si>
    <t>(00377) 97982898</t>
  </si>
  <si>
    <t>(00377) 97982897</t>
  </si>
  <si>
    <t>IPHARRA</t>
  </si>
  <si>
    <t>MAERTENS</t>
  </si>
  <si>
    <t>Lieven</t>
  </si>
  <si>
    <t>lieven_maertens@hotmail.com</t>
  </si>
  <si>
    <t>lieven</t>
  </si>
  <si>
    <t>HELIAD II</t>
  </si>
  <si>
    <t>MAILLOT</t>
  </si>
  <si>
    <t>Florent</t>
  </si>
  <si>
    <t>florent.maillot@orange.fr</t>
  </si>
  <si>
    <t>florent</t>
  </si>
  <si>
    <t>Navilux SA</t>
  </si>
  <si>
    <t>MANANCOURT</t>
  </si>
  <si>
    <t>Hana</t>
  </si>
  <si>
    <t>HMANANCOURT@navilux.net</t>
  </si>
  <si>
    <t>Garuda Yachts Charter Unipessoal LDA</t>
  </si>
  <si>
    <t>Rua Nova do Pina, n. 4-B</t>
  </si>
  <si>
    <t>9050-067</t>
  </si>
  <si>
    <t>FUNCHAL, MADEIRA</t>
  </si>
  <si>
    <t>Denis</t>
  </si>
  <si>
    <t>denismartin@mail.ru</t>
  </si>
  <si>
    <t>MARTINEZ</t>
  </si>
  <si>
    <t>Lisa</t>
  </si>
  <si>
    <t>lmartinez@camperandnicholsons.com</t>
  </si>
  <si>
    <t>martinez</t>
  </si>
  <si>
    <t>ODM YACHTS SA</t>
  </si>
  <si>
    <t>28 Avenue du Mail</t>
  </si>
  <si>
    <t xml:space="preserve">CH-1205 </t>
  </si>
  <si>
    <t>Genève</t>
  </si>
  <si>
    <t>MENGE</t>
  </si>
  <si>
    <t>Dominique</t>
  </si>
  <si>
    <t>do.menge@oceandrivemarine.com</t>
  </si>
  <si>
    <t>MD Management Corp.</t>
  </si>
  <si>
    <t>MESSERI</t>
  </si>
  <si>
    <t>anne.messeri@mdmancorp.com</t>
  </si>
  <si>
    <t>mess_wycc45*</t>
  </si>
  <si>
    <t>Fastnet LTD - The Snapper</t>
  </si>
  <si>
    <t>MIREMONT</t>
  </si>
  <si>
    <t>Patrick</t>
  </si>
  <si>
    <t>the.snapper@wanadoo.fr</t>
  </si>
  <si>
    <t>R7j672</t>
  </si>
  <si>
    <t>MOROZOVA</t>
  </si>
  <si>
    <t>Olga</t>
  </si>
  <si>
    <t>olga@unique-yachting-monaco.com</t>
  </si>
  <si>
    <t>b2C8fe</t>
  </si>
  <si>
    <t>Captain-007</t>
  </si>
  <si>
    <t>MOSTACCI</t>
  </si>
  <si>
    <t>Teddy</t>
  </si>
  <si>
    <t>teddy.mostacci@hotmail.fr</t>
  </si>
  <si>
    <t>jamesbond</t>
  </si>
  <si>
    <t>Yachting Concept</t>
  </si>
  <si>
    <t>MOURY</t>
  </si>
  <si>
    <t>laurence@yachtingconcept.com</t>
  </si>
  <si>
    <t>NAFFOUTI</t>
  </si>
  <si>
    <t>fnaffouti@navilux.net</t>
  </si>
  <si>
    <t>naffouti</t>
  </si>
  <si>
    <t xml:space="preserve">(00352) 22 94 97 </t>
  </si>
  <si>
    <t>NOYER</t>
  </si>
  <si>
    <t>info@aquilayachting.com</t>
  </si>
  <si>
    <t>céline</t>
  </si>
  <si>
    <t>(0033) 4 93 63 41 64</t>
  </si>
  <si>
    <t>(0033) 6 11 66 41 64</t>
  </si>
  <si>
    <t>OLLIVRY</t>
  </si>
  <si>
    <t>capitaine007@outlook.com</t>
  </si>
  <si>
    <t>ollivry</t>
  </si>
  <si>
    <t>ORIO</t>
  </si>
  <si>
    <t>Iltud</t>
  </si>
  <si>
    <t>commandant@enigmaxk.com</t>
  </si>
  <si>
    <t>enigmaxk</t>
  </si>
  <si>
    <t>ORTIZ</t>
  </si>
  <si>
    <t>Marie</t>
  </si>
  <si>
    <t>mo@mmc.lu</t>
  </si>
  <si>
    <t>MARIEORTIZ</t>
  </si>
  <si>
    <t>Mann Made Corporate Services Limited</t>
  </si>
  <si>
    <t xml:space="preserve">19/21 Circular Road_x000D_
_x000D_
_x000D_
</t>
  </si>
  <si>
    <t>Douglas</t>
  </si>
  <si>
    <t>IM1 1AF</t>
  </si>
  <si>
    <t>Isle of Man</t>
  </si>
  <si>
    <t>OTIENO</t>
  </si>
  <si>
    <t>christine.otieno@mannmade.eu</t>
  </si>
  <si>
    <t>christine</t>
  </si>
  <si>
    <t>(0044) 1624 682131</t>
  </si>
  <si>
    <t>(0044) 7624 202096</t>
  </si>
  <si>
    <t>Rua Nova do Pina, n.º 4-B</t>
  </si>
  <si>
    <t>PEREIRA</t>
  </si>
  <si>
    <t>José Carlos</t>
  </si>
  <si>
    <t>boatrust@netmadeira.com</t>
  </si>
  <si>
    <t>qsa35P</t>
  </si>
  <si>
    <t>(00351) 291 098295</t>
  </si>
  <si>
    <t>(00351) 916415186</t>
  </si>
  <si>
    <t>PERREL</t>
  </si>
  <si>
    <t>management@unique-yachting-monaco.com</t>
  </si>
  <si>
    <t>7cMMH3</t>
  </si>
  <si>
    <t>Alliance Yacht Management Ltd</t>
  </si>
  <si>
    <t>93-95 Borough High Street</t>
  </si>
  <si>
    <t>SE1 1NL</t>
  </si>
  <si>
    <t>LONDON</t>
  </si>
  <si>
    <t>United Kingdom</t>
  </si>
  <si>
    <t>PETITJEAN</t>
  </si>
  <si>
    <t>Eric</t>
  </si>
  <si>
    <t>captain.petitjean@gmail.com</t>
  </si>
  <si>
    <t>kE5ayt</t>
  </si>
  <si>
    <t>(0044) 7841 503974</t>
  </si>
  <si>
    <t>(0033) 623 90 47 76</t>
  </si>
  <si>
    <t>IDOL YACHTING LIMITED</t>
  </si>
  <si>
    <t>Ghar id-Dud</t>
  </si>
  <si>
    <t>SLM-1573</t>
  </si>
  <si>
    <t>Sielma</t>
  </si>
  <si>
    <t xml:space="preserve">PIALLES </t>
  </si>
  <si>
    <t>(0033) 672159857</t>
  </si>
  <si>
    <t>Ryo Charter Limitada</t>
  </si>
  <si>
    <t>Av, Arriaga, N°30-1 andar, letra A</t>
  </si>
  <si>
    <t>P-9000-064</t>
  </si>
  <si>
    <t>FUNCHAL</t>
  </si>
  <si>
    <t>Portugal</t>
  </si>
  <si>
    <t>PIARDI</t>
  </si>
  <si>
    <t>dvdsail@gmail.com</t>
  </si>
  <si>
    <t>A5a444</t>
  </si>
  <si>
    <t>PICARD</t>
  </si>
  <si>
    <t>management@navilux.net</t>
  </si>
  <si>
    <t>LENGERS YACHTS</t>
  </si>
  <si>
    <t>10 chemin de Frayere || France</t>
  </si>
  <si>
    <t>F-06650</t>
  </si>
  <si>
    <t xml:space="preserve">Le Rouret </t>
  </si>
  <si>
    <t>POCACHARD</t>
  </si>
  <si>
    <t>Christel</t>
  </si>
  <si>
    <t>christel@lengersyachts.nl</t>
  </si>
  <si>
    <t>christel</t>
  </si>
  <si>
    <t xml:space="preserve">Sales and Service Coordinator France </t>
  </si>
  <si>
    <t>(0031) 294 256 156</t>
  </si>
  <si>
    <t>(0033) 6 18 945 432</t>
  </si>
  <si>
    <t>Bachmann Marine</t>
  </si>
  <si>
    <t xml:space="preserve">Bachmann Yachts - 5 avenue Paul Arene </t>
  </si>
  <si>
    <t>Antibes - France</t>
  </si>
  <si>
    <t>POUWELS</t>
  </si>
  <si>
    <t>Karine</t>
  </si>
  <si>
    <t xml:space="preserve">Business Development Manager </t>
  </si>
  <si>
    <t>(0033) 778 146 266</t>
  </si>
  <si>
    <t>Trust Compagny complex ajeltake toad</t>
  </si>
  <si>
    <t>MH96960</t>
  </si>
  <si>
    <t>MAJURO (AJELTALE ISLAND)</t>
  </si>
  <si>
    <t>PRADINES</t>
  </si>
  <si>
    <t>Lionel</t>
  </si>
  <si>
    <t>pradines.lionel@mwafritec.com</t>
  </si>
  <si>
    <t>wycc2014</t>
  </si>
  <si>
    <t>Amiri fleet</t>
  </si>
  <si>
    <t>Purser</t>
  </si>
  <si>
    <t>purser@yacht-constellation.com</t>
  </si>
  <si>
    <t>purserconstellation</t>
  </si>
  <si>
    <t>o.devarreux@me.com</t>
  </si>
  <si>
    <t>SLj4D1</t>
  </si>
  <si>
    <t>chiefstewardess@yacht-maracunda.com</t>
  </si>
  <si>
    <t>w1Tbgu</t>
  </si>
  <si>
    <t>(00974) 4443 0823</t>
  </si>
  <si>
    <t xml:space="preserve">(00974) 6607 7262 </t>
  </si>
  <si>
    <t>krystle.m@hotmail.com</t>
  </si>
  <si>
    <t>cfrt4d</t>
  </si>
  <si>
    <t>Purser Austral</t>
  </si>
  <si>
    <t>purser.austral@ponant-ships.com</t>
  </si>
  <si>
    <t>wyccaustral*</t>
  </si>
  <si>
    <t>Purser Boreal</t>
  </si>
  <si>
    <t>purser.boreal@ponant-ships.com</t>
  </si>
  <si>
    <t>wyccboreal*</t>
  </si>
  <si>
    <t>Purser Ponant</t>
  </si>
  <si>
    <t>staffcaptain.ponant@ponant-ships.com</t>
  </si>
  <si>
    <t>wyccponant*</t>
  </si>
  <si>
    <t>Purser Soleal</t>
  </si>
  <si>
    <t>purser.soleal@ponant-ships.com</t>
  </si>
  <si>
    <t>wyccsoleal*</t>
  </si>
  <si>
    <t>MAX RÄZ</t>
  </si>
  <si>
    <t>S-6362</t>
  </si>
  <si>
    <t>STANSSTAD</t>
  </si>
  <si>
    <t>Sweden</t>
  </si>
  <si>
    <t>RÄZ</t>
  </si>
  <si>
    <t>Max</t>
  </si>
  <si>
    <t>maxraez@raez.com</t>
  </si>
  <si>
    <t>maxraez</t>
  </si>
  <si>
    <t>Blush Yachting Ltd</t>
  </si>
  <si>
    <t>READ</t>
  </si>
  <si>
    <t>Sean</t>
  </si>
  <si>
    <t>captain@my-blush.com</t>
  </si>
  <si>
    <t>SeanRead</t>
  </si>
  <si>
    <t>Yvette</t>
  </si>
  <si>
    <t>yvette.remondiere@bourbon-online.com</t>
  </si>
  <si>
    <t>yvette</t>
  </si>
  <si>
    <t>Marc.REMONDIERE@remo-sa.com</t>
  </si>
  <si>
    <t>marcremo</t>
  </si>
  <si>
    <t>Yachting Partner International</t>
  </si>
  <si>
    <t>RENAR</t>
  </si>
  <si>
    <t>patrick.renar@ypigroup.com</t>
  </si>
  <si>
    <t>patrick.renar</t>
  </si>
  <si>
    <t>RENSHAW</t>
  </si>
  <si>
    <t>krenshaw@burgessyacht.com</t>
  </si>
  <si>
    <t>kevinr</t>
  </si>
  <si>
    <t>(00377) 97978318</t>
  </si>
  <si>
    <t>RIBEIRO</t>
  </si>
  <si>
    <t>Louisa</t>
  </si>
  <si>
    <t>lribeiro@navilux.net</t>
  </si>
  <si>
    <t>louisa</t>
  </si>
  <si>
    <t>RIOU</t>
  </si>
  <si>
    <t>Hervé</t>
  </si>
  <si>
    <t>secondcapitaine@enigmaxk.com</t>
  </si>
  <si>
    <t>A7rent</t>
  </si>
  <si>
    <t>a7rent@pt.lu</t>
  </si>
  <si>
    <t>tatiana</t>
  </si>
  <si>
    <t>BLACK DIAMOND LTD</t>
  </si>
  <si>
    <t>SADOUET</t>
  </si>
  <si>
    <t xml:space="preserve">pascalsadouet@gmail.com </t>
  </si>
  <si>
    <t>SANDRONI</t>
  </si>
  <si>
    <t>VALERIE</t>
  </si>
  <si>
    <t>valeries@thierryvoisin.com</t>
  </si>
  <si>
    <t>valeriethierry</t>
  </si>
  <si>
    <t>Yacht Manager </t>
  </si>
  <si>
    <t>(0033) 492 00 42 40</t>
  </si>
  <si>
    <t xml:space="preserve">(0033) 613 16 70 28 </t>
  </si>
  <si>
    <t>(0033) 492 00 43 71</t>
  </si>
  <si>
    <t>South East Asia Exotic Cruise</t>
  </si>
  <si>
    <t>Jalan Thamrin n9</t>
  </si>
  <si>
    <t>IN-10350</t>
  </si>
  <si>
    <t>Jakarta</t>
  </si>
  <si>
    <t>SATJANU</t>
  </si>
  <si>
    <t>Hari Adi</t>
  </si>
  <si>
    <t>satjanu1957@yahoo.com</t>
  </si>
  <si>
    <t>J2N69e</t>
  </si>
  <si>
    <t>(0061) 439586963</t>
  </si>
  <si>
    <t>F-070310</t>
  </si>
  <si>
    <t>Beaulieu sur Mer</t>
  </si>
  <si>
    <t>(0033) 493011486</t>
  </si>
  <si>
    <t>Globe Skipper</t>
  </si>
  <si>
    <t>STECKAR</t>
  </si>
  <si>
    <t>office@globe-skipper.com</t>
  </si>
  <si>
    <t>steckar_wycc159</t>
  </si>
  <si>
    <t>(0033) 678737206</t>
  </si>
  <si>
    <t>THOUANT</t>
  </si>
  <si>
    <t>stéphanie@monacoequipage.com</t>
  </si>
  <si>
    <t>MW AFRITEC</t>
  </si>
  <si>
    <t>TSHIBANGU</t>
  </si>
  <si>
    <t>Franck Kanyinda</t>
  </si>
  <si>
    <t>fktshibangu@gmail.com</t>
  </si>
  <si>
    <t>N5hbdi</t>
  </si>
  <si>
    <t xml:space="preserve">(00243) 820019988 </t>
  </si>
  <si>
    <t xml:space="preserve">(00243) 844133333 </t>
  </si>
  <si>
    <t>Aquila Yachting</t>
  </si>
  <si>
    <t>29 Port Camille Rayon</t>
  </si>
  <si>
    <t xml:space="preserve">F-06220 </t>
  </si>
  <si>
    <t>GOLFE JUAN</t>
  </si>
  <si>
    <t>VALERA</t>
  </si>
  <si>
    <t>Elisa</t>
  </si>
  <si>
    <t>valera</t>
  </si>
  <si>
    <t>(0033) 493634164</t>
  </si>
  <si>
    <t>(0033) 493631141</t>
  </si>
  <si>
    <t>VALLOT</t>
  </si>
  <si>
    <t>vallot.b@wanadoo.fr</t>
  </si>
  <si>
    <t>Capitaine Luisa May</t>
  </si>
  <si>
    <t>VAN HOUTTE</t>
  </si>
  <si>
    <t>evom@live.fr</t>
  </si>
  <si>
    <t>ericvanhoutte</t>
  </si>
  <si>
    <t>(0033) 642209473</t>
  </si>
  <si>
    <t>VIGNEUX</t>
  </si>
  <si>
    <t>Françoise</t>
  </si>
  <si>
    <t>francoise.vigneux@bourbon-online.com</t>
  </si>
  <si>
    <t>françoise</t>
  </si>
  <si>
    <t xml:space="preserve">(0041) 22 363 92 91 </t>
  </si>
  <si>
    <t>(0033) 665461952</t>
  </si>
  <si>
    <t>VOGELE</t>
  </si>
  <si>
    <t>kolaha-captain@wanadoo.fr</t>
  </si>
  <si>
    <t>Kolaha</t>
  </si>
  <si>
    <t>WAN</t>
  </si>
  <si>
    <t>André</t>
  </si>
  <si>
    <t>wan.andre@mwafritec.com</t>
  </si>
  <si>
    <t>WENDT</t>
  </si>
  <si>
    <t>Frédérique</t>
  </si>
  <si>
    <t>dandb.services@wanadoo.fr</t>
  </si>
  <si>
    <t>frederique</t>
  </si>
  <si>
    <t>(0033) 493340967</t>
  </si>
  <si>
    <t>(0033) 493341237</t>
  </si>
  <si>
    <t xml:space="preserve">Sabrina </t>
  </si>
  <si>
    <t>Groupe ADDOHA</t>
  </si>
  <si>
    <t>Km 7, Route de Rabat (Ain Sebaa)</t>
  </si>
  <si>
    <t>Casablanca</t>
  </si>
  <si>
    <t>MARISSI</t>
  </si>
  <si>
    <t>Saida</t>
  </si>
  <si>
    <t>s.marissi@groupeaddoha.com</t>
  </si>
  <si>
    <t>(00212) 5 22 67 99 00</t>
  </si>
  <si>
    <t>(00212) 5 22 35 17 63</t>
  </si>
  <si>
    <t>Marine Construction Management LLC</t>
  </si>
  <si>
    <t>555 Thames Street</t>
  </si>
  <si>
    <t>RI-02840</t>
  </si>
  <si>
    <t>Newport</t>
  </si>
  <si>
    <t>MAYOU</t>
  </si>
  <si>
    <t>Abigail</t>
  </si>
  <si>
    <t>amayou@mcmnewport.com</t>
  </si>
  <si>
    <t>(001) 401 849 3387 -120</t>
  </si>
  <si>
    <t>(001) 401 849 7728</t>
  </si>
  <si>
    <t>(001)  401 835 8086</t>
  </si>
  <si>
    <t>(00377) 99 99 48 62</t>
  </si>
  <si>
    <t>Adros Shipping Limited</t>
  </si>
  <si>
    <t>F-06230</t>
  </si>
  <si>
    <t>British Virgin Islands</t>
  </si>
  <si>
    <t xml:space="preserve">P-9000 - 068 </t>
  </si>
  <si>
    <t>Centralease SAS</t>
  </si>
  <si>
    <t>Avenue de la grande armée, 80</t>
  </si>
  <si>
    <t>F-75017</t>
  </si>
  <si>
    <t>Fraser Yachts Florida Inc</t>
  </si>
  <si>
    <t>1800 SE 10th Avenue, Suite 400</t>
  </si>
  <si>
    <t>FL-33316</t>
  </si>
  <si>
    <t>Fort Lauderdale, Florida</t>
  </si>
  <si>
    <t>18, Quai St Pierre</t>
  </si>
  <si>
    <t>Grenadines Transportes Maritimos Lda</t>
  </si>
  <si>
    <t>MONACO EQUIPAGE</t>
  </si>
  <si>
    <t>Moonlight Shipping Ltd</t>
  </si>
  <si>
    <t>Marshall islands</t>
  </si>
  <si>
    <t>Neymar investments LTD</t>
  </si>
  <si>
    <t>Indonesia</t>
  </si>
  <si>
    <t>29 rue Georges Clémenceau</t>
  </si>
  <si>
    <t>English</t>
  </si>
  <si>
    <t>Français</t>
  </si>
  <si>
    <t>Deutsch</t>
  </si>
  <si>
    <t>Italien</t>
  </si>
  <si>
    <t>po polsku</t>
  </si>
  <si>
    <t>Rank</t>
  </si>
  <si>
    <t>Grado</t>
  </si>
  <si>
    <t>Pozycja</t>
  </si>
  <si>
    <t>Given Name</t>
  </si>
  <si>
    <t>Nom</t>
  </si>
  <si>
    <t>Nome Di Battesimo</t>
  </si>
  <si>
    <t>Nazwisko Rodowe</t>
  </si>
  <si>
    <t>period           months</t>
  </si>
  <si>
    <t>période     mois</t>
  </si>
  <si>
    <t>Dauer  Monate</t>
  </si>
  <si>
    <t>periodo (mesi)</t>
  </si>
  <si>
    <t>okres miesięcy</t>
  </si>
  <si>
    <t>Annual Salaries</t>
  </si>
  <si>
    <t>Salaires annuels</t>
  </si>
  <si>
    <t>Jährliches Gehalt</t>
  </si>
  <si>
    <t>salario annuo</t>
  </si>
  <si>
    <t>roczne Wynagrodzenie</t>
  </si>
  <si>
    <t>Médicale</t>
  </si>
  <si>
    <t>medico</t>
  </si>
  <si>
    <t>medyczny</t>
  </si>
  <si>
    <t>Formula 1A</t>
  </si>
  <si>
    <t>Formule 1A</t>
  </si>
  <si>
    <t>Formel 1A</t>
  </si>
  <si>
    <t>formula 1A</t>
  </si>
  <si>
    <t>formuła 1A</t>
  </si>
  <si>
    <t>Formula 1B</t>
  </si>
  <si>
    <t>Formule 1B</t>
  </si>
  <si>
    <t>Formel 1B</t>
  </si>
  <si>
    <t>formula 1B</t>
  </si>
  <si>
    <t>formuła 1B</t>
  </si>
  <si>
    <t>Formula 1C</t>
  </si>
  <si>
    <t>Formule 1C</t>
  </si>
  <si>
    <t>Formel 1C</t>
  </si>
  <si>
    <t>formula 1C</t>
  </si>
  <si>
    <t>formuła 1C</t>
  </si>
  <si>
    <t>Formula 2</t>
  </si>
  <si>
    <t>Formule 2</t>
  </si>
  <si>
    <t>Formel 2</t>
  </si>
  <si>
    <t>formula 2</t>
  </si>
  <si>
    <t>formuła 2</t>
  </si>
  <si>
    <t>Formule 3</t>
  </si>
  <si>
    <t>Formel 3</t>
  </si>
  <si>
    <t>formula 3</t>
  </si>
  <si>
    <t>formuła 3</t>
  </si>
  <si>
    <t>TOTAL Annual provisional premium</t>
  </si>
  <si>
    <t>TOTAL prime annuelle prévisionnelle</t>
  </si>
  <si>
    <t>Summe der erwarteten jährlichen Prämien</t>
  </si>
  <si>
    <t>TOTALE premio annuale di previsione</t>
  </si>
  <si>
    <t>Roczna Premia tymczasowa TOTAL</t>
  </si>
  <si>
    <t>TOTAL compared to the annual payroll (%)</t>
  </si>
  <si>
    <t xml:space="preserve">TOTAL comparé à la masse salariale (%) </t>
  </si>
  <si>
    <t>TOTAL im Vergleich zum Lohn (%)</t>
  </si>
  <si>
    <t>TOTAL rispetto al libro paga annuale (%)</t>
  </si>
  <si>
    <t>TOTAL w porównaniu do rocznego liście płac (%)</t>
  </si>
  <si>
    <t>Chosen formula</t>
  </si>
  <si>
    <t>Formule choisie</t>
  </si>
  <si>
    <t>gewählte Formel</t>
  </si>
  <si>
    <t>formula scelta</t>
  </si>
  <si>
    <t>Wybrana formuła</t>
  </si>
  <si>
    <t>Premium</t>
  </si>
  <si>
    <t>Prime</t>
  </si>
  <si>
    <t>Prämie</t>
  </si>
  <si>
    <t>premio</t>
  </si>
  <si>
    <t>premia</t>
  </si>
  <si>
    <t>Monthly Salary</t>
  </si>
  <si>
    <t>salaire mensuel</t>
  </si>
  <si>
    <t>Monatsgehalt</t>
  </si>
  <si>
    <t>Salario mensile</t>
  </si>
  <si>
    <t>Miesięczne wynagrodzenie</t>
  </si>
  <si>
    <t>EUR-RATE 2012</t>
  </si>
  <si>
    <t>EUR-TAUX 2012</t>
  </si>
  <si>
    <t>EUR-KURS 2012</t>
  </si>
  <si>
    <t>EUR-TARIFFA 2012</t>
  </si>
  <si>
    <t>EUR-OCENA 2012</t>
  </si>
  <si>
    <t>USD-RATE 2012</t>
  </si>
  <si>
    <t>USD-TAUX 2012</t>
  </si>
  <si>
    <t>USD-KURS 2012</t>
  </si>
  <si>
    <t>USD-TARIFFA 2012</t>
  </si>
  <si>
    <t>USD-OCENA 2012</t>
  </si>
  <si>
    <t>EUR-RATE 2013-365 days</t>
  </si>
  <si>
    <t>EUR-TAUX 2013-365 jours</t>
  </si>
  <si>
    <t>EUR-KURS 2013-365 Tage</t>
  </si>
  <si>
    <t>EUR-TARIFFA 2013-365 giorni</t>
  </si>
  <si>
    <t>EUR-OCENA 2013-365 days</t>
  </si>
  <si>
    <t>EUR-RATE 2013-120 days</t>
  </si>
  <si>
    <t>EUR-TAUX 2013-120 jours</t>
  </si>
  <si>
    <t>EUR-KURS 2013-120 Tage</t>
  </si>
  <si>
    <t>EUR-TARIFFA 2013-120 giorni</t>
  </si>
  <si>
    <t>EUR-OCENA 2013-120 days</t>
  </si>
  <si>
    <t>USD-RATE 2013-365 days</t>
  </si>
  <si>
    <t>USD-TAUX 2013-365 jours</t>
  </si>
  <si>
    <t>USD-KURS 2013-365 Tage</t>
  </si>
  <si>
    <t>USD-TARIFFA 2013-365 giorni</t>
  </si>
  <si>
    <t>USD-OCENA 2013-365 days</t>
  </si>
  <si>
    <t>USD-RATE 2013-120 days</t>
  </si>
  <si>
    <t>USD-TAUX 2013-120 jours</t>
  </si>
  <si>
    <t>USD-KURS 2013-120 Tage</t>
  </si>
  <si>
    <t>USD-TARIFFA 2013-120 giorni</t>
  </si>
  <si>
    <t>USD-OCENA 2013-120 days</t>
  </si>
  <si>
    <t>USD-RATE 2013-130 days</t>
  </si>
  <si>
    <t>USD-TAUX 2013-130 jours</t>
  </si>
  <si>
    <t>USD-KURS 2013-130 Tage</t>
  </si>
  <si>
    <t>USD-TARIFFA 2013-130 giorni</t>
  </si>
  <si>
    <t>USD-OCENA 2013-130 days</t>
  </si>
  <si>
    <t>EUR-REDUCED RATE ACE-2013-120 days</t>
  </si>
  <si>
    <t>EUR-TAUX REDUIT ACE-2013-120 jours</t>
  </si>
  <si>
    <t>EUR-ERMAßIGTER KURS-2013-120 Tage</t>
  </si>
  <si>
    <t>EUR-TARIFFA RIDOTTO -2013-120 giorni</t>
  </si>
  <si>
    <t>EUR-obniżona OCENA-2013-120 days</t>
  </si>
  <si>
    <t>EUR-REDUCED RATE ACE--2013-365 days</t>
  </si>
  <si>
    <t>EUR-TAUX REDUIT ACE-2013-365 jours</t>
  </si>
  <si>
    <t>EUR-ERMAßIGTER KURS-2013-365 Tage</t>
  </si>
  <si>
    <t>EUR-TARIFFA RIDOTTO -2013-365 giorni</t>
  </si>
  <si>
    <t>EUR-obniżona OCENA-2013-365 days</t>
  </si>
  <si>
    <t>EUR-RATE 2015-365 days</t>
  </si>
  <si>
    <t>EUR-TAUX 2015-365 jours</t>
  </si>
  <si>
    <t>EUR-KURS 2015-365 Tage</t>
  </si>
  <si>
    <t>EUR-TARIFFA 2015-365 giorni</t>
  </si>
  <si>
    <t>EUR-OCENA 2015-365 days</t>
  </si>
  <si>
    <t>EUR-RATE 2015-120 days</t>
  </si>
  <si>
    <t>EUR-TAUX 2015-120 jours</t>
  </si>
  <si>
    <t>EUR-KURS 2015-120 Tage</t>
  </si>
  <si>
    <t>EUR-TARIFFA 2015-120 giorni</t>
  </si>
  <si>
    <t>EUR-OCENA 2015-120 days</t>
  </si>
  <si>
    <t>USD-RATE 2015-365 days</t>
  </si>
  <si>
    <t>USD-TAUX 2015-365 jours</t>
  </si>
  <si>
    <t>USD-KURS 2015-365 Tage</t>
  </si>
  <si>
    <t>USD-TARIFFA 2015-365 giorni</t>
  </si>
  <si>
    <t>USD-OCENA 2015-365 days</t>
  </si>
  <si>
    <t>USD-RATE 2015-120 days</t>
  </si>
  <si>
    <t>USD-TAUX 2015-120 jours</t>
  </si>
  <si>
    <t>USD-KURS 2015-120 Tage</t>
  </si>
  <si>
    <t>USD-TARIFFA 2015-120 giorni</t>
  </si>
  <si>
    <t>USD-OCENA 2015-120 days</t>
  </si>
  <si>
    <t>EUR-REDUCED RATE ACE-2015-120 days</t>
  </si>
  <si>
    <t>EUR-TAUX REDUIT ACE-2015-120 jours</t>
  </si>
  <si>
    <t>EUR-ERMAßIGTER KURS-2015-120 Tage</t>
  </si>
  <si>
    <t>EUR-TARIFFA RIDOTTO -2015-120 giorni</t>
  </si>
  <si>
    <t>EUR-obniżona OCENA-2015-120 days</t>
  </si>
  <si>
    <t>EUR-REDUCED RATE ACE--2015-365 days</t>
  </si>
  <si>
    <t>EUR-TAUX REDUIT ACE-2015-365 jours</t>
  </si>
  <si>
    <t>EUR-ERMAßIGTER KURS-2015-365 Tage</t>
  </si>
  <si>
    <t>EUR-TARIFFA RIDOTTO -2015-365 giorni</t>
  </si>
  <si>
    <t>EUR-obniżona OCENA-2015-365 days</t>
  </si>
  <si>
    <t>DAILY CALCULATION</t>
  </si>
  <si>
    <t>CALCUL PAR JOUR</t>
  </si>
  <si>
    <t>tägliche Berechnung</t>
  </si>
  <si>
    <t>CALCOLO GIORNALIERO</t>
  </si>
  <si>
    <t>CODZIENNA KALKULACJA</t>
  </si>
  <si>
    <t>MONTHLY CALCULATION</t>
  </si>
  <si>
    <t>CALCUL PAR MOIS</t>
  </si>
  <si>
    <t>monatliche Berechnung</t>
  </si>
  <si>
    <t>CALCOLO MENSILE</t>
  </si>
  <si>
    <t>MIESIĘCZNA KALKULACJA</t>
  </si>
  <si>
    <t>proportional salary based</t>
  </si>
  <si>
    <t>calcul proportionnel au salaire</t>
  </si>
  <si>
    <t>proportionale Gehaltsberechnung</t>
  </si>
  <si>
    <t>basato salario proporzionale</t>
  </si>
  <si>
    <t>na podstawie proporcjonalnego wynagrodzenia</t>
  </si>
  <si>
    <t>based on</t>
  </si>
  <si>
    <t>Calcul sur base d'un montant fixe de</t>
  </si>
  <si>
    <t>Berechnung basierend auf</t>
  </si>
  <si>
    <t>basato su</t>
  </si>
  <si>
    <t>oparte na</t>
  </si>
  <si>
    <t>Maklergebühren</t>
  </si>
  <si>
    <t>mediazione</t>
  </si>
  <si>
    <t>Prowizje maklerskie</t>
  </si>
  <si>
    <t xml:space="preserve">Net Premium to be paid: </t>
  </si>
  <si>
    <t>Prime nette à verser</t>
  </si>
  <si>
    <t>Nettoprämie zu entrichten</t>
  </si>
  <si>
    <t>Premio netto da pagare:</t>
  </si>
  <si>
    <t>netto premia do zapłacenia:</t>
  </si>
  <si>
    <t>Duration: 365 days Waiting period: 7 days</t>
  </si>
  <si>
    <t xml:space="preserve">Durée: 365 jours Période d'attente: 7 jours
</t>
  </si>
  <si>
    <t>Laufzeit: 365 Tage Wartezeit: 7 Tage</t>
  </si>
  <si>
    <t>Durata: 365 giorni Periodo di carenza: 7 giorni</t>
  </si>
  <si>
    <t>Czas trwania: 365 dni Okres oczekiwania: 7 dni</t>
  </si>
  <si>
    <t>Duration: 120 days Waiting period: 7 days</t>
  </si>
  <si>
    <t>Durée: 120 jours Période d'attente: 7 jours</t>
  </si>
  <si>
    <t>Laufzeit: 120 Tage Wartezeit: 7 Tage</t>
  </si>
  <si>
    <t>Durata: 120 giorni Periodo di carenza: 7 giorni</t>
  </si>
  <si>
    <t>Czas trwania: 120 dni Okres oczekiwania: 7 dni</t>
  </si>
  <si>
    <t>Duration: 130 days Waiting period: 7 days</t>
  </si>
  <si>
    <t>Durée: 130 jours Période d'attente: 7 jours</t>
  </si>
  <si>
    <t>Laufzeit: 130 Tage Wartezeit: 7 Tage</t>
  </si>
  <si>
    <t>Durata: 130 giorni Periodo di carenza: 7 giorni</t>
  </si>
  <si>
    <t>Czas trwania: 130 dni Okres oczekiwania: 7 dni</t>
  </si>
  <si>
    <t>ALLTHESAME</t>
  </si>
  <si>
    <t>Tout le monde de la même façon</t>
  </si>
  <si>
    <t>CALCMOIS</t>
  </si>
  <si>
    <t>calcul par mois</t>
  </si>
  <si>
    <t>FEESALL</t>
  </si>
  <si>
    <t>frais special tout le monde</t>
  </si>
  <si>
    <t xml:space="preserve">frais special </t>
  </si>
  <si>
    <t>REDUCAIG</t>
  </si>
  <si>
    <t>Réduction de commission sur AIG</t>
  </si>
  <si>
    <t>REDUCANK</t>
  </si>
  <si>
    <t>Réduction de commission sur Anker</t>
  </si>
  <si>
    <t>FIXEAM</t>
  </si>
  <si>
    <t>Montant fixe à assurer</t>
  </si>
  <si>
    <t>YACHTNAME</t>
  </si>
  <si>
    <t>Yachtname</t>
  </si>
  <si>
    <t>Année effective</t>
  </si>
  <si>
    <t>Date de crew list</t>
  </si>
  <si>
    <t>Date effective du certificat</t>
  </si>
  <si>
    <t>DATERENOUV</t>
  </si>
  <si>
    <t>Date de renouvellement</t>
  </si>
  <si>
    <t>DATERENOUVMOINS365</t>
  </si>
  <si>
    <t>DATECANCEL</t>
  </si>
  <si>
    <t>Date de résiliation</t>
  </si>
  <si>
    <t>ANRENOUV</t>
  </si>
  <si>
    <t>Année de renouvellement</t>
  </si>
  <si>
    <t>ANRENOUVMOINSUN</t>
  </si>
  <si>
    <t>Année de renouvellement moins UN</t>
  </si>
  <si>
    <t>ANRENOUVMOINSDEUX</t>
  </si>
  <si>
    <t>Année de renouvellement moins DEUX</t>
  </si>
  <si>
    <t>détermine les années de renouvellements</t>
  </si>
  <si>
    <t>date de renouvellement demande AIG</t>
  </si>
  <si>
    <t>date de renouvellement demande ANKER</t>
  </si>
  <si>
    <t>Date Crew List:</t>
  </si>
  <si>
    <t xml:space="preserve">Effective </t>
  </si>
  <si>
    <t>FR</t>
  </si>
  <si>
    <t>Renewal / Échéance</t>
  </si>
  <si>
    <t>Address/Adresse</t>
  </si>
  <si>
    <t>AIG N°:</t>
  </si>
  <si>
    <t>Flexible</t>
  </si>
  <si>
    <t>2015-2016</t>
  </si>
  <si>
    <t>Annu</t>
  </si>
  <si>
    <t>Seas</t>
  </si>
  <si>
    <t>Anker N°</t>
  </si>
  <si>
    <t>DW</t>
  </si>
  <si>
    <t>Please fill in the Crew list hereafter for all subscriptions or turn over</t>
  </si>
  <si>
    <t>annual</t>
  </si>
  <si>
    <t>Prestige</t>
  </si>
  <si>
    <t>Merci de compléter la liste de l'équipage pour toute souscription ou modification d'effectifs</t>
  </si>
  <si>
    <t>seasonal</t>
  </si>
  <si>
    <t>ComfortMLC</t>
  </si>
  <si>
    <r>
      <t xml:space="preserve">Boat                              </t>
    </r>
    <r>
      <rPr>
        <i/>
        <sz val="10"/>
        <color indexed="63"/>
        <rFont val="Arial Narrow"/>
        <family val="2"/>
      </rPr>
      <t>bateau</t>
    </r>
  </si>
  <si>
    <t>ID WYCC</t>
  </si>
  <si>
    <r>
      <t xml:space="preserve">Rank                               </t>
    </r>
    <r>
      <rPr>
        <b/>
        <sz val="8"/>
        <color indexed="63"/>
        <rFont val="Arial Narrow"/>
        <family val="2"/>
      </rPr>
      <t>Position</t>
    </r>
  </si>
  <si>
    <r>
      <t xml:space="preserve">Name                                           </t>
    </r>
    <r>
      <rPr>
        <b/>
        <sz val="8"/>
        <color indexed="63"/>
        <rFont val="Arial Narrow"/>
        <family val="2"/>
      </rPr>
      <t>Nom</t>
    </r>
  </si>
  <si>
    <r>
      <t xml:space="preserve">First Name                              </t>
    </r>
    <r>
      <rPr>
        <b/>
        <sz val="8"/>
        <color indexed="63"/>
        <rFont val="Arial Narrow"/>
        <family val="2"/>
      </rPr>
      <t>Prénom</t>
    </r>
  </si>
  <si>
    <r>
      <t>Nationality</t>
    </r>
    <r>
      <rPr>
        <b/>
        <sz val="9"/>
        <color indexed="63"/>
        <rFont val="Arial Narrow"/>
        <family val="2"/>
      </rPr>
      <t xml:space="preserve">   </t>
    </r>
    <r>
      <rPr>
        <sz val="8"/>
        <color indexed="63"/>
        <rFont val="Arial Narrow"/>
        <family val="2"/>
      </rPr>
      <t>nationalité</t>
    </r>
  </si>
  <si>
    <r>
      <t xml:space="preserve">Country </t>
    </r>
    <r>
      <rPr>
        <sz val="8"/>
        <color indexed="63"/>
        <rFont val="Arial Narrow"/>
        <family val="2"/>
      </rPr>
      <t>Pays</t>
    </r>
  </si>
  <si>
    <r>
      <t xml:space="preserve">Gender (M/F) </t>
    </r>
    <r>
      <rPr>
        <sz val="8"/>
        <color indexed="63"/>
        <rFont val="Arial Narrow"/>
        <family val="2"/>
      </rPr>
      <t>Sex</t>
    </r>
  </si>
  <si>
    <r>
      <t xml:space="preserve">D.O.B    </t>
    </r>
    <r>
      <rPr>
        <b/>
        <sz val="8"/>
        <color indexed="63"/>
        <rFont val="Arial Narrow"/>
        <family val="2"/>
      </rPr>
      <t>date de naissance</t>
    </r>
  </si>
  <si>
    <r>
      <t xml:space="preserve">Currency </t>
    </r>
    <r>
      <rPr>
        <b/>
        <sz val="8"/>
        <color indexed="63"/>
        <rFont val="Arial Narrow"/>
        <family val="2"/>
      </rPr>
      <t>Monnaie</t>
    </r>
    <r>
      <rPr>
        <sz val="8"/>
        <color indexed="63"/>
        <rFont val="Arial Narrow"/>
        <family val="2"/>
      </rPr>
      <t xml:space="preserve"> (EUR/USD)</t>
    </r>
  </si>
  <si>
    <r>
      <t xml:space="preserve">Monthly Salary        </t>
    </r>
    <r>
      <rPr>
        <i/>
        <sz val="8"/>
        <color indexed="63"/>
        <rFont val="Arial Narrow"/>
        <family val="2"/>
      </rPr>
      <t>Salaire mensuel</t>
    </r>
  </si>
  <si>
    <t>Insured monthly salary</t>
  </si>
  <si>
    <r>
      <t xml:space="preserve">Children </t>
    </r>
    <r>
      <rPr>
        <i/>
        <sz val="10"/>
        <color indexed="63"/>
        <rFont val="Arial Narrow"/>
        <family val="2"/>
      </rPr>
      <t>enfants</t>
    </r>
  </si>
  <si>
    <r>
      <t xml:space="preserve">Working Period              </t>
    </r>
    <r>
      <rPr>
        <sz val="8"/>
        <color indexed="63"/>
        <rFont val="Arial Narrow"/>
        <family val="2"/>
      </rPr>
      <t>Nb months &amp; days</t>
    </r>
  </si>
  <si>
    <t>in</t>
  </si>
  <si>
    <t>out</t>
  </si>
  <si>
    <t>Time period</t>
  </si>
  <si>
    <r>
      <t xml:space="preserve">WYCC  Invoices                                       </t>
    </r>
    <r>
      <rPr>
        <i/>
        <sz val="9"/>
        <color indexed="63"/>
        <rFont val="Arial Narrow"/>
        <family val="2"/>
      </rPr>
      <t xml:space="preserve">                                                                          factures WYCC</t>
    </r>
  </si>
  <si>
    <r>
      <t xml:space="preserve">Comments                                        </t>
    </r>
    <r>
      <rPr>
        <i/>
        <sz val="9"/>
        <color indexed="63"/>
        <rFont val="Arial Narrow"/>
        <family val="2"/>
      </rPr>
      <t>Commentaires</t>
    </r>
  </si>
  <si>
    <r>
      <t xml:space="preserve">Renewal </t>
    </r>
    <r>
      <rPr>
        <i/>
        <sz val="9"/>
        <color indexed="63"/>
        <rFont val="Arial Narrow"/>
        <family val="2"/>
      </rPr>
      <t>Renouvell</t>
    </r>
  </si>
  <si>
    <t>MED</t>
  </si>
  <si>
    <t>Good</t>
  </si>
  <si>
    <t>DATECERTIF</t>
  </si>
  <si>
    <t>DATECREWLIST</t>
  </si>
  <si>
    <t>ANCERTIF</t>
  </si>
  <si>
    <t>ANRENOUVSHORT</t>
  </si>
  <si>
    <t>Choix Quotation</t>
  </si>
  <si>
    <t>Nouvelle affaire</t>
  </si>
  <si>
    <t>Renouvellement d'affaire</t>
  </si>
  <si>
    <t>Annulation d'affaire</t>
  </si>
  <si>
    <t>Ajout de saisonniers</t>
  </si>
  <si>
    <t>Ajout d'annuels</t>
  </si>
  <si>
    <t>Ajout de capitaine</t>
  </si>
  <si>
    <t>Ajout de day worker</t>
  </si>
  <si>
    <t>Remplacement d'un annuel</t>
  </si>
  <si>
    <t>Remplacement d'un saisonnier</t>
  </si>
  <si>
    <t>Ristourne</t>
  </si>
  <si>
    <t>Regularisation</t>
  </si>
  <si>
    <t>Changement de l'armateur</t>
  </si>
  <si>
    <t>Choix facturation</t>
  </si>
  <si>
    <t>attachment invoice (première facture)</t>
  </si>
  <si>
    <t>Attachment invoice</t>
  </si>
  <si>
    <t>AIG EUROPE &amp; ANKER</t>
  </si>
  <si>
    <t>renewal invoice (facture de renouvellement)</t>
  </si>
  <si>
    <t>Renewal invoice</t>
  </si>
  <si>
    <t>additional invoice (facture additionnelle)</t>
  </si>
  <si>
    <t>Additional invoice</t>
  </si>
  <si>
    <t>regularization invoice (facture de régularisation)</t>
  </si>
  <si>
    <t>Regularization invoice</t>
  </si>
  <si>
    <t>credit note (note de crédit)</t>
  </si>
  <si>
    <t>Credit note</t>
  </si>
  <si>
    <t>invoice Day Work (facture day worker)</t>
  </si>
  <si>
    <t xml:space="preserve">invoice Day Work </t>
  </si>
  <si>
    <t>invoice Vitale (facture vitale)</t>
  </si>
  <si>
    <t>invoice Vitale</t>
  </si>
  <si>
    <t>AIG EUROPE</t>
  </si>
  <si>
    <t>Choix de la langue</t>
  </si>
  <si>
    <t>Italiano</t>
  </si>
  <si>
    <t>Polish</t>
  </si>
  <si>
    <t>lié</t>
  </si>
  <si>
    <t>GBP</t>
  </si>
  <si>
    <t>Choix de devise sur  Facture</t>
  </si>
  <si>
    <t>Choix de devise sur Anker Request</t>
  </si>
  <si>
    <t>Choix de devise sur AIG Request</t>
  </si>
  <si>
    <t>Exemple</t>
  </si>
  <si>
    <t>Demande Chartis</t>
  </si>
  <si>
    <t>REQUEST FOR NEW CONTRACT YACHTING</t>
  </si>
  <si>
    <t>Please confirm this Policy Number :</t>
  </si>
  <si>
    <t xml:space="preserve">RENEWAL OF CONTRACT YACHTING </t>
  </si>
  <si>
    <t>Please renew this Policy Number :</t>
  </si>
  <si>
    <t>CANCELLATION OF CONTRACT</t>
  </si>
  <si>
    <t>Please cancel this Policy Number :</t>
  </si>
  <si>
    <t>MODIFICATION OF YACHT NAME AND OF SHIPOWNER'S NAME</t>
  </si>
  <si>
    <t>POLICY AMANDMENT YACHTING</t>
  </si>
  <si>
    <t>CREW LIST MODIFICATION</t>
  </si>
  <si>
    <t>Please add crew to this Policy Number :</t>
  </si>
  <si>
    <t>MODIFICATION OF SHIPOWNER'S NAME AND/OR ADDRESS</t>
  </si>
  <si>
    <t>MODIFICATION OF BROKER'S NAME AND/OR ADDRESS</t>
  </si>
  <si>
    <t>REGULARIZATION/CREDIT NOTE BEFORE RENEWAL</t>
  </si>
  <si>
    <t>Choix des Entetes pour demandes</t>
  </si>
  <si>
    <t>Time Factor</t>
  </si>
  <si>
    <t>Time Basis Values</t>
  </si>
  <si>
    <r>
      <t xml:space="preserve">NONE </t>
    </r>
    <r>
      <rPr>
        <i/>
        <sz val="9"/>
        <color theme="1"/>
        <rFont val="Arial"/>
        <family val="2"/>
      </rPr>
      <t>(Neant)</t>
    </r>
  </si>
  <si>
    <t>All Crew members, except day workers</t>
  </si>
  <si>
    <t>Semi-Annual</t>
  </si>
  <si>
    <t>Officers only</t>
  </si>
  <si>
    <t>Quarterly</t>
  </si>
  <si>
    <t>Ratings only</t>
  </si>
  <si>
    <t>Prestige S</t>
  </si>
  <si>
    <t>Monthly</t>
  </si>
  <si>
    <t>Annuals only</t>
  </si>
  <si>
    <t>Weekly</t>
  </si>
  <si>
    <t>Seasonals only</t>
  </si>
  <si>
    <t>Medical expenses excellent</t>
  </si>
  <si>
    <t>Daily</t>
  </si>
  <si>
    <t>Day Workers</t>
  </si>
  <si>
    <t>Vitale</t>
  </si>
  <si>
    <t>Captain only</t>
  </si>
  <si>
    <t>Filipinos only</t>
  </si>
  <si>
    <t>Prestige Plus</t>
  </si>
  <si>
    <t>All others on board</t>
  </si>
  <si>
    <t>Privilege 100 Single</t>
  </si>
  <si>
    <t>Masters and chief engineers</t>
  </si>
  <si>
    <t>Privilege 100 Family</t>
  </si>
  <si>
    <t>Crescendo I</t>
  </si>
  <si>
    <t>All crew members, except Filipinos and day workers</t>
  </si>
  <si>
    <t>Crescendo II</t>
  </si>
  <si>
    <t>Executives (captain, 1st mate, chief engineer)</t>
  </si>
  <si>
    <t>Guests</t>
  </si>
  <si>
    <t>not covered</t>
  </si>
  <si>
    <t>Accident</t>
  </si>
  <si>
    <t>Formula 1A Acc</t>
  </si>
  <si>
    <t>after accident</t>
  </si>
  <si>
    <t>any causes</t>
  </si>
  <si>
    <t>Formula 1B any causes</t>
  </si>
  <si>
    <t xml:space="preserve">after any Causes </t>
  </si>
  <si>
    <t>Formula 1C AIG</t>
  </si>
  <si>
    <t xml:space="preserve">after accident </t>
  </si>
  <si>
    <t>Formula Day Worker</t>
  </si>
  <si>
    <t>Formula Filipinos</t>
  </si>
  <si>
    <t>Formula Filipinos with TTD</t>
  </si>
  <si>
    <t>Formula Vitale</t>
  </si>
  <si>
    <t>Mister X and Mister Y</t>
  </si>
  <si>
    <t>POLICY NUMBERS</t>
  </si>
  <si>
    <t>FORMULA=NOT COVERED</t>
  </si>
  <si>
    <t>FORMULA=ANKER</t>
  </si>
  <si>
    <t xml:space="preserve">MEDICAL </t>
  </si>
  <si>
    <t>Duration</t>
  </si>
  <si>
    <t>Names</t>
  </si>
  <si>
    <t>names</t>
  </si>
  <si>
    <t>DEVISEANKER</t>
  </si>
  <si>
    <t>List to lookup</t>
  </si>
  <si>
    <t>Others</t>
  </si>
  <si>
    <t>Currencies</t>
  </si>
  <si>
    <t>n/A</t>
  </si>
  <si>
    <t>Death illness</t>
  </si>
  <si>
    <t>Permanent Disability illness</t>
  </si>
  <si>
    <t>Comfort</t>
  </si>
  <si>
    <t>Comfort S</t>
  </si>
  <si>
    <t>Comfort MLC S</t>
  </si>
  <si>
    <t>Allianz</t>
  </si>
  <si>
    <t>Privilege 100</t>
  </si>
  <si>
    <t>Medical Excellent and Homeland</t>
  </si>
  <si>
    <t>Working period</t>
  </si>
  <si>
    <t>Frais sur IJ</t>
  </si>
  <si>
    <t xml:space="preserve">       (nb months)</t>
  </si>
  <si>
    <t>nb jours</t>
  </si>
  <si>
    <t>Frais supplémentaires</t>
  </si>
  <si>
    <t>Frais</t>
  </si>
  <si>
    <t>Anker</t>
  </si>
  <si>
    <t>check ID</t>
  </si>
  <si>
    <t>Jours réel</t>
  </si>
  <si>
    <t>Jours minimum</t>
  </si>
  <si>
    <t>Salaire annuel</t>
  </si>
  <si>
    <t>masse salariale</t>
  </si>
  <si>
    <t>Tax and Fees</t>
  </si>
  <si>
    <t>"=IF(V15="";0;IF(V15&lt;&gt;"";IF(W15="";365;IF(T15&lt;28;DAY(DATE(YEAR(V15);MONTH(V15)+1;1)-1);DATEDIF(V15;W15;"D")+1))))</t>
  </si>
  <si>
    <t>TTC</t>
  </si>
  <si>
    <t>DC/IP</t>
  </si>
  <si>
    <t>FIXE</t>
  </si>
  <si>
    <t>SINGLE</t>
  </si>
  <si>
    <t>PROP</t>
  </si>
  <si>
    <t>frais de chargement</t>
  </si>
  <si>
    <t>B</t>
  </si>
  <si>
    <t>A</t>
  </si>
  <si>
    <t>TRI</t>
  </si>
  <si>
    <t>C</t>
  </si>
  <si>
    <t>LOL ILLNESS</t>
  </si>
  <si>
    <t>PTD Accident</t>
  </si>
  <si>
    <t>PTD ILLNESS</t>
  </si>
  <si>
    <t>TTD ACCIDENT</t>
  </si>
  <si>
    <t>TTD ILLNESS</t>
  </si>
  <si>
    <t>REMISE</t>
  </si>
  <si>
    <t>FRAIS</t>
  </si>
  <si>
    <t>Total HT non limité</t>
  </si>
  <si>
    <t>TAXE</t>
  </si>
  <si>
    <t>Taxes d'assurances luxembourgeoise</t>
  </si>
  <si>
    <t>Assistance</t>
  </si>
  <si>
    <t>Taux HT</t>
  </si>
  <si>
    <t>Tout le monde</t>
  </si>
  <si>
    <t>liste déroulante ALLTHESAME</t>
  </si>
  <si>
    <t>LISTALLTHESAME</t>
  </si>
  <si>
    <t>LOL ACCIDENT</t>
  </si>
  <si>
    <t>Assureur</t>
  </si>
  <si>
    <t>TOTAUX</t>
  </si>
  <si>
    <t>Année</t>
  </si>
  <si>
    <t>Remise</t>
  </si>
  <si>
    <t>TOTAL</t>
  </si>
  <si>
    <t>Du</t>
  </si>
  <si>
    <t>Au</t>
  </si>
  <si>
    <t>Année à saisir</t>
  </si>
  <si>
    <t>ASSISTANCE</t>
  </si>
  <si>
    <t>HEALTHCARE</t>
  </si>
  <si>
    <t>YES</t>
  </si>
  <si>
    <t>NO</t>
  </si>
  <si>
    <t>FALSE</t>
  </si>
  <si>
    <t>Accounting export Wycc</t>
  </si>
  <si>
    <t>Export start period</t>
  </si>
  <si>
    <t>Export end period</t>
  </si>
  <si>
    <t>Modules</t>
  </si>
  <si>
    <t>Structure name</t>
  </si>
  <si>
    <t>Certificate start</t>
  </si>
  <si>
    <t>Certificate renewal</t>
  </si>
  <si>
    <t>Certificate cancellation</t>
  </si>
  <si>
    <t>Amendment start</t>
  </si>
  <si>
    <t>Amendment end</t>
  </si>
  <si>
    <t>Claims manager ID</t>
  </si>
  <si>
    <t>Position type</t>
  </si>
  <si>
    <t>Monthly salary</t>
  </si>
  <si>
    <t>Salary currency</t>
  </si>
  <si>
    <t>Day(s)</t>
  </si>
  <si>
    <t>Month(s)</t>
  </si>
  <si>
    <t>Family covered</t>
  </si>
  <si>
    <t>Retirement plan</t>
  </si>
  <si>
    <t>Start movement</t>
  </si>
  <si>
    <t>End movement</t>
  </si>
  <si>
    <t>Child(ren)</t>
  </si>
  <si>
    <t>Country</t>
  </si>
  <si>
    <t>Nationality</t>
  </si>
  <si>
    <t>Company</t>
  </si>
  <si>
    <t>Excess</t>
  </si>
  <si>
    <t>Cie HT Basis</t>
  </si>
  <si>
    <t>Taxe</t>
  </si>
  <si>
    <t>HORS TAXES</t>
  </si>
  <si>
    <t>HT Remise 20%</t>
  </si>
  <si>
    <t>Calcul de X mois</t>
  </si>
  <si>
    <t>Facturé de trop?</t>
  </si>
  <si>
    <t>Regule aujourdh'hui</t>
  </si>
  <si>
    <t>Normal</t>
  </si>
  <si>
    <t>with discount</t>
  </si>
  <si>
    <t>special discount</t>
  </si>
  <si>
    <t>Anker HT</t>
  </si>
  <si>
    <t>Tarif dependants AIG</t>
  </si>
  <si>
    <t>ASS</t>
  </si>
  <si>
    <t>PRE</t>
  </si>
  <si>
    <t>AIG HT</t>
  </si>
  <si>
    <t>AIG taxe</t>
  </si>
  <si>
    <t>Frais et taxes</t>
  </si>
  <si>
    <t>S/F</t>
  </si>
  <si>
    <t>Single</t>
  </si>
  <si>
    <t>Family</t>
  </si>
  <si>
    <t>Hide All</t>
  </si>
  <si>
    <t>LOLaccident</t>
  </si>
  <si>
    <t>périodicité</t>
  </si>
  <si>
    <t>nb mois</t>
  </si>
  <si>
    <t>le mois</t>
  </si>
  <si>
    <t>Total HT limité</t>
  </si>
  <si>
    <t>TAXES</t>
  </si>
  <si>
    <t>Net HT CIE/Rate</t>
  </si>
  <si>
    <t>HT Client/ Rate</t>
  </si>
  <si>
    <t>N/A</t>
  </si>
  <si>
    <t>Taxes</t>
  </si>
  <si>
    <t>Product</t>
  </si>
  <si>
    <t>deductible</t>
  </si>
  <si>
    <t>Year</t>
  </si>
  <si>
    <t>TC/RATE without Discount</t>
  </si>
  <si>
    <t>D/M</t>
  </si>
  <si>
    <t/>
  </si>
  <si>
    <t>PrivilegeSingle</t>
  </si>
  <si>
    <t>PrivilegeFamily</t>
  </si>
  <si>
    <t>D</t>
  </si>
  <si>
    <t>Temporary Disability Accident (100%/7/120D)</t>
  </si>
  <si>
    <t>Temporary Disability Accident (100%/7/365D)</t>
  </si>
  <si>
    <t>Temporary Disability Accident (100%/28/365D)</t>
  </si>
  <si>
    <t>Temporary Disability Accident (100%/42/365D)</t>
  </si>
  <si>
    <t>Temporary Disability Accident (70%/7/365D)</t>
  </si>
  <si>
    <t>Temporary Disability illness (100%/7/120D)</t>
  </si>
  <si>
    <t>Temporary Disability illness (100%/7/365D)</t>
  </si>
  <si>
    <t>Temporary Disability illness (100%/28/365D)</t>
  </si>
  <si>
    <t>Temporary Disability illness (100%/42/365D)</t>
  </si>
  <si>
    <t>Temporary Disability illness (70%/7/365D)</t>
  </si>
  <si>
    <t>somme assurée</t>
  </si>
  <si>
    <t>Healthcare</t>
  </si>
  <si>
    <t>LOL Accident</t>
  </si>
  <si>
    <t>LOL illness</t>
  </si>
  <si>
    <t>PTD illness</t>
  </si>
  <si>
    <t>TTD Accident</t>
  </si>
  <si>
    <t>TTD illness</t>
  </si>
  <si>
    <t>LIMIT AGGREGATE</t>
  </si>
  <si>
    <t>Frais de gestion par an</t>
  </si>
  <si>
    <t>newRates</t>
  </si>
  <si>
    <t>oldRates</t>
  </si>
  <si>
    <t>LOL accident</t>
  </si>
  <si>
    <t>Employeur</t>
  </si>
  <si>
    <t>employé</t>
  </si>
  <si>
    <t>calculer ou mettre à vide</t>
  </si>
  <si>
    <t>calculer oui</t>
  </si>
  <si>
    <t>ligne oui</t>
  </si>
  <si>
    <t>IN oui</t>
  </si>
  <si>
    <t>OUI/NON</t>
  </si>
  <si>
    <t>Sum insured</t>
  </si>
  <si>
    <t>monthly</t>
  </si>
  <si>
    <t>daily</t>
  </si>
  <si>
    <t>COMFORTMLC</t>
  </si>
  <si>
    <t>DETAIL</t>
  </si>
  <si>
    <t>Au choix pour tout le monde</t>
  </si>
  <si>
    <t>Au choix personne par personne</t>
  </si>
  <si>
    <t xml:space="preserve">limite ou masse salariale fois la prop </t>
  </si>
  <si>
    <t>HT annuel</t>
  </si>
  <si>
    <t>HT pro rata</t>
  </si>
  <si>
    <t>Mode</t>
  </si>
  <si>
    <t>Somme assurée</t>
  </si>
  <si>
    <t>Formule de la plateforme</t>
  </si>
  <si>
    <t>Choix pour tout le monde</t>
  </si>
  <si>
    <t>Individuel au choix</t>
  </si>
  <si>
    <t>remise %</t>
  </si>
  <si>
    <t>remise pro rata</t>
  </si>
  <si>
    <t>frais annuel</t>
  </si>
  <si>
    <t>Frais pro rata</t>
  </si>
  <si>
    <t>REMISES</t>
  </si>
  <si>
    <t>REPARTITION</t>
  </si>
  <si>
    <t>INDIVIDUEL</t>
  </si>
  <si>
    <t>BASE</t>
  </si>
  <si>
    <t>Choix de l'affichage</t>
  </si>
  <si>
    <t>Tout</t>
  </si>
  <si>
    <t>Totaux</t>
  </si>
  <si>
    <t>Healthcare-Tout le monde</t>
  </si>
  <si>
    <t>Reste</t>
  </si>
  <si>
    <t>Healthcare-Par ligne</t>
  </si>
  <si>
    <t>Assistance-Tout le monde</t>
  </si>
  <si>
    <t>Assistance-Par ligne</t>
  </si>
  <si>
    <t>LOLaccident-Tout le monde</t>
  </si>
  <si>
    <t>LOLaccident-Par ligne</t>
  </si>
  <si>
    <t>LOLillness-Tout le monde</t>
  </si>
  <si>
    <t>LOLillness-Par ligne</t>
  </si>
  <si>
    <t>PTDaccident-Tout le monde</t>
  </si>
  <si>
    <t>PTDaccident-Par ligne</t>
  </si>
  <si>
    <t>PTDillness-Tout le monde</t>
  </si>
  <si>
    <t>PTDillness-Par ligne</t>
  </si>
  <si>
    <t>TTDaccident-Tout le monde</t>
  </si>
  <si>
    <t>TTDaccident-Par ligne</t>
  </si>
  <si>
    <t>TTDillness-Tout le monde</t>
  </si>
  <si>
    <t>TTDillness-Par ligne</t>
  </si>
  <si>
    <t>Additional</t>
  </si>
  <si>
    <t>Details</t>
  </si>
  <si>
    <t>Results</t>
  </si>
  <si>
    <t>LOLillness</t>
  </si>
  <si>
    <t>PTDaccident</t>
  </si>
  <si>
    <t>PTDillness</t>
  </si>
  <si>
    <t>TTDaccident</t>
  </si>
  <si>
    <t>TTDillness</t>
  </si>
  <si>
    <t>PTD ACCIDENT</t>
  </si>
  <si>
    <t>HT confondu</t>
  </si>
  <si>
    <t>ANKER VERZEKERINGEN N.V., TC-ACI-EUR-EN JAN-2016</t>
  </si>
  <si>
    <t>2014-2015!</t>
  </si>
  <si>
    <t>2014-2014!</t>
  </si>
  <si>
    <t>2015-2015!</t>
  </si>
  <si>
    <t>2015-2016!</t>
  </si>
  <si>
    <t>2016-2016!</t>
  </si>
  <si>
    <t>2016-2017!</t>
  </si>
  <si>
    <t>periodicité</t>
  </si>
  <si>
    <t>INSURANCE OFFER</t>
  </si>
  <si>
    <t>REF</t>
  </si>
  <si>
    <t>Insurer</t>
  </si>
  <si>
    <t>PHname</t>
  </si>
  <si>
    <t>PHaddress</t>
  </si>
  <si>
    <t>PHpostalcode</t>
  </si>
  <si>
    <t>PHcity</t>
  </si>
  <si>
    <t>PHcountry</t>
  </si>
  <si>
    <t>EMname</t>
  </si>
  <si>
    <t>EMaddress</t>
  </si>
  <si>
    <t>EMpostalcode</t>
  </si>
  <si>
    <t>EMcity</t>
  </si>
  <si>
    <t>Emcountry</t>
  </si>
  <si>
    <t>Choix du payeur de la prime</t>
  </si>
  <si>
    <t>Shipowner</t>
  </si>
  <si>
    <t>MAname</t>
  </si>
  <si>
    <t>BRname</t>
  </si>
  <si>
    <t xml:space="preserve">addressé à </t>
  </si>
  <si>
    <t>payé par</t>
  </si>
  <si>
    <t>Choix du destinataire de la facture</t>
  </si>
  <si>
    <t>fix Fees pro rata day</t>
  </si>
  <si>
    <t>fix Fees pro rata month</t>
  </si>
  <si>
    <t>prop Fees pro rata day</t>
  </si>
  <si>
    <t>prop Fees pro rata month</t>
  </si>
  <si>
    <t>FEES</t>
  </si>
  <si>
    <t>FIX</t>
  </si>
  <si>
    <t>HT ANNUEL</t>
  </si>
  <si>
    <t>HT total</t>
  </si>
  <si>
    <t>TTC annuel</t>
  </si>
  <si>
    <t>TTC ANNUEL</t>
  </si>
  <si>
    <t>TTC pro rata</t>
  </si>
  <si>
    <t>commission</t>
  </si>
  <si>
    <t>TC+WCA</t>
  </si>
  <si>
    <t>ID Henner</t>
  </si>
  <si>
    <t>Fees</t>
  </si>
  <si>
    <t>Adulte AIG expat 100% excluding USA/Canada</t>
  </si>
  <si>
    <t>Adulte AIG expat 100% including USA/Canada</t>
  </si>
  <si>
    <t>Adulte AIG expat 80% excluding USA/Canada</t>
  </si>
  <si>
    <t>Adulte AIG expat 80% including USA/Canada</t>
  </si>
  <si>
    <t>Adulte AIG expat 90% excluding USA/Canada</t>
  </si>
  <si>
    <t>Adulte AIG expat 90% including USA/Canada</t>
  </si>
  <si>
    <t>Child AIG expat 100% excluding USA/Canada</t>
  </si>
  <si>
    <t>Child AIG expat 100% including USA/Canada</t>
  </si>
  <si>
    <t>Child AIG expat 80% excluding USA/Canada</t>
  </si>
  <si>
    <t>Child AIG expat 80% including USA/Canada</t>
  </si>
  <si>
    <t>Child AIG expat 90% excluding USA/Canada</t>
  </si>
  <si>
    <t>Child AIG expat 90% including USA/Canada</t>
  </si>
  <si>
    <t>ou</t>
  </si>
  <si>
    <t>MAaddress</t>
  </si>
  <si>
    <t>MApostalcode</t>
  </si>
  <si>
    <t>MAcity</t>
  </si>
  <si>
    <t>MAcountry</t>
  </si>
  <si>
    <t>BRaddress</t>
  </si>
  <si>
    <t>BRpostalcode</t>
  </si>
  <si>
    <t>BRcity</t>
  </si>
  <si>
    <t>BRcountry</t>
  </si>
  <si>
    <t>from</t>
  </si>
  <si>
    <t>to</t>
  </si>
  <si>
    <t>FAMILY MEMBERS</t>
  </si>
  <si>
    <t>Family members</t>
  </si>
  <si>
    <t>Expartcare 100% excluding USA/Canada</t>
  </si>
  <si>
    <t>CREWLIST</t>
  </si>
  <si>
    <t>crewlist OUI/detail plateforme NON</t>
  </si>
  <si>
    <t>2016-2017</t>
  </si>
  <si>
    <t>version 3</t>
  </si>
  <si>
    <t>Vessel</t>
  </si>
  <si>
    <t>certif</t>
  </si>
  <si>
    <t>SCHEDULE OF BENEFITS</t>
  </si>
  <si>
    <t>Totaux maquette Excel</t>
  </si>
  <si>
    <t>Totaux plateforme</t>
  </si>
  <si>
    <t>PTD accident</t>
  </si>
  <si>
    <t>benefits</t>
  </si>
  <si>
    <t>Rules</t>
  </si>
  <si>
    <t>TTD accident</t>
  </si>
  <si>
    <t>Limit aggregate</t>
  </si>
  <si>
    <t>somme assuré réelle non limitée</t>
  </si>
  <si>
    <t>PTD Illness</t>
  </si>
  <si>
    <t>PTD Ilness</t>
  </si>
  <si>
    <t>Single/Family</t>
  </si>
  <si>
    <t>Fixe/Prop</t>
  </si>
  <si>
    <t>Vrai/Faux</t>
  </si>
  <si>
    <t>TTD Illness</t>
  </si>
  <si>
    <t>TTD Ilness</t>
  </si>
  <si>
    <t>LOL Illness</t>
  </si>
  <si>
    <t>LOL Ilness</t>
  </si>
  <si>
    <t>SCHEDULE OF PREMIUMS</t>
  </si>
  <si>
    <t>COMMISSION A METTRE</t>
  </si>
  <si>
    <t>ANNUAL</t>
  </si>
  <si>
    <t>SEASONAL</t>
  </si>
  <si>
    <t>EMPLOYER'S CONTRIBUTIONS</t>
  </si>
  <si>
    <t>EMPLOYEE'S CONTRIBUTIONS</t>
  </si>
  <si>
    <t>first name</t>
  </si>
  <si>
    <t>last name</t>
  </si>
  <si>
    <t>monthly salary</t>
  </si>
  <si>
    <t>Healtcare plan, assistance and repatriaion</t>
  </si>
  <si>
    <t>Personal accident and sickwages</t>
  </si>
  <si>
    <t>Pension</t>
  </si>
  <si>
    <t>ComfortMLC S</t>
  </si>
  <si>
    <t>REDUIT</t>
  </si>
  <si>
    <t>Code WYCC</t>
  </si>
  <si>
    <t>Broker list</t>
  </si>
  <si>
    <t>Manager list</t>
  </si>
  <si>
    <t>Type plateforme</t>
  </si>
  <si>
    <t>Function</t>
  </si>
  <si>
    <t>Affiché ou caché</t>
  </si>
  <si>
    <t>A2C</t>
  </si>
  <si>
    <t>Affiché</t>
  </si>
  <si>
    <t>(0033) 4 93 38 72 76</t>
  </si>
  <si>
    <t>Agence Sanremo_x000D_, Via del Castillo, 8_x000D_</t>
  </si>
  <si>
    <t xml:space="preserve">CH-6944 </t>
  </si>
  <si>
    <t>AXA Agences Mm Maestracci Et Tauleigne</t>
  </si>
  <si>
    <t>14 Avenue Jean Jaurès</t>
  </si>
  <si>
    <t>F-26200</t>
  </si>
  <si>
    <t>Montélimar</t>
  </si>
  <si>
    <t>(0033) 4 75 01 83 93</t>
  </si>
  <si>
    <t>BDJ</t>
  </si>
  <si>
    <t>11, Rue de Louvain</t>
  </si>
  <si>
    <t>F-92400</t>
  </si>
  <si>
    <t>Courbevoie</t>
  </si>
  <si>
    <t>(0033) 156 37 09 44</t>
  </si>
  <si>
    <t>Junge Verzekeringsmakelaars NV</t>
  </si>
  <si>
    <t>Suikerrui 5</t>
  </si>
  <si>
    <t>Antwerpen</t>
  </si>
  <si>
    <t>(0032) 3 401 00 32</t>
  </si>
  <si>
    <t>(0032) 3 213 15 88</t>
  </si>
  <si>
    <t>Nasco France</t>
  </si>
  <si>
    <t>SLCA SA</t>
  </si>
  <si>
    <t>17, avenue Guillaume</t>
  </si>
  <si>
    <t>L-1651</t>
  </si>
  <si>
    <t>(00352) 27 99 50 50</t>
  </si>
  <si>
    <t>Smith Enterprises</t>
  </si>
  <si>
    <t>"Le Panorama", 57 rue Grimaldi</t>
  </si>
  <si>
    <t>Le Gray d’Albion, 17 Boulevard de la Croisette</t>
  </si>
  <si>
    <t>WILSON EUROPE</t>
  </si>
  <si>
    <t>2nd Floor, Dukes House, 32-38 Dukes Place,</t>
  </si>
  <si>
    <t>EC3A 7LP</t>
  </si>
  <si>
    <t>London</t>
  </si>
  <si>
    <t>(0044) (0)20 7626 9888</t>
  </si>
  <si>
    <t>Caché</t>
  </si>
  <si>
    <t>Trident Chambers- PO Box 146</t>
  </si>
  <si>
    <t>Road Town, Tortola</t>
  </si>
  <si>
    <t>408 Avenue du Prado</t>
  </si>
  <si>
    <t>F-13008</t>
  </si>
  <si>
    <t>20, avenue Pasteur</t>
  </si>
  <si>
    <t>L-2310</t>
  </si>
  <si>
    <t>7 rue du Gabian (Bureau 906, Gildo Pastor Centre)</t>
  </si>
  <si>
    <t>89A parc d'activ. Capellen</t>
  </si>
  <si>
    <t>Malta Nautic Management</t>
  </si>
  <si>
    <t>C 3006 Balluta terrace St Julian's ramp</t>
  </si>
  <si>
    <t>STJ1062</t>
  </si>
  <si>
    <t>St Julian's</t>
  </si>
  <si>
    <t>NATUR’ALLY YACHTING</t>
  </si>
  <si>
    <t>10 chemin de Frayere</t>
  </si>
  <si>
    <t>Port de Plaisance_x000D_</t>
  </si>
  <si>
    <t>TOP CHARTER</t>
  </si>
  <si>
    <t>1 Rue des Voiliers</t>
  </si>
  <si>
    <t>F-83310</t>
  </si>
  <si>
    <t>Port-Grimaud</t>
  </si>
  <si>
    <t>(0033) 04 94 56 35 39</t>
  </si>
  <si>
    <t>(0033)  04 94 56 42 37</t>
  </si>
  <si>
    <t>Tri</t>
  </si>
  <si>
    <t>Société</t>
  </si>
  <si>
    <t>(00377) 97 97 44 22</t>
  </si>
  <si>
    <t>MAESTRACCI</t>
  </si>
  <si>
    <t>Jean-Luc</t>
  </si>
  <si>
    <t>agence.maestracci@axa.fr</t>
  </si>
  <si>
    <t>(0033) 4 93 93 09 39</t>
  </si>
  <si>
    <t>LE MAUT</t>
  </si>
  <si>
    <t>Soazic</t>
  </si>
  <si>
    <t>soazic@gecarcannes.com</t>
  </si>
  <si>
    <t>(0033) 4 92 17 36 00</t>
  </si>
  <si>
    <t>VAN BETS</t>
  </si>
  <si>
    <t>Laurie</t>
  </si>
  <si>
    <t>laurie.van.bets@junge-antwerp.be</t>
  </si>
  <si>
    <t>(00352) 26 30 401</t>
  </si>
  <si>
    <t>CARNIMOLLA</t>
  </si>
  <si>
    <t>maltanauticmanagement@gmail.com</t>
  </si>
  <si>
    <t>christel@naturallyyachting.com</t>
  </si>
  <si>
    <t>(0033) 6 18 94 54 32</t>
  </si>
  <si>
    <t>RAMBALDELLI-FERREIRA</t>
  </si>
  <si>
    <t>TETU</t>
  </si>
  <si>
    <t>Edith</t>
  </si>
  <si>
    <t>SMITH</t>
  </si>
  <si>
    <t>Seamus</t>
  </si>
  <si>
    <t>s@smithents.com</t>
  </si>
  <si>
    <t>6tjXPh</t>
  </si>
  <si>
    <t>ORIGET</t>
  </si>
  <si>
    <t>contact@top-charter.com</t>
  </si>
  <si>
    <t>(0044) 04 94 56 35 39</t>
  </si>
  <si>
    <t>GRAY</t>
  </si>
  <si>
    <t>Colin</t>
  </si>
  <si>
    <t>colin@wilsoneurope.com</t>
  </si>
  <si>
    <t>(0044) (0)207 626 9888</t>
  </si>
  <si>
    <t>(0044) (0)7590 775 558</t>
  </si>
  <si>
    <t>Global configuration</t>
  </si>
  <si>
    <t>CAUTION : Please adjust the columns named "Value" (in green) only!</t>
  </si>
  <si>
    <t>Onglet Source</t>
  </si>
  <si>
    <t>Onglet Company</t>
  </si>
  <si>
    <t>Label</t>
  </si>
  <si>
    <t>Default</t>
  </si>
  <si>
    <t>Value</t>
  </si>
  <si>
    <t>Maximum number of columns dedicated to the modules</t>
  </si>
  <si>
    <t>Limit aggregate defined</t>
  </si>
  <si>
    <t>No</t>
  </si>
  <si>
    <t>Export Date</t>
  </si>
  <si>
    <t>Sending Date</t>
  </si>
  <si>
    <t>Invoice Type</t>
  </si>
  <si>
    <t>Commission Paid</t>
  </si>
  <si>
    <t>Accounting Year</t>
  </si>
  <si>
    <t>Error</t>
  </si>
  <si>
    <t>Insured</t>
  </si>
  <si>
    <t>ID Invoices</t>
  </si>
  <si>
    <t>Commission Wycc</t>
  </si>
  <si>
    <t>NET AMOUNT PRESTIGE</t>
  </si>
  <si>
    <t>WCA/PRE</t>
  </si>
  <si>
    <t>Cotisation</t>
  </si>
  <si>
    <t>cotisations</t>
  </si>
  <si>
    <t>Health formula</t>
  </si>
  <si>
    <t>PA formula</t>
  </si>
  <si>
    <t>LOL/PTD</t>
  </si>
  <si>
    <t>limite aggregate</t>
  </si>
  <si>
    <t>accident/illness</t>
  </si>
  <si>
    <t>after any Causes</t>
  </si>
  <si>
    <t>select members</t>
  </si>
  <si>
    <t>Formula Day Worker: 50000 EUR LOL , 50000 % PTD  after accident  for Day Workers in case of accident</t>
  </si>
  <si>
    <t>DATERENOUVMOINS730</t>
  </si>
  <si>
    <t>M.Y.</t>
  </si>
  <si>
    <t>Totaux limite aggregate</t>
  </si>
  <si>
    <t>totaux Healthcare</t>
  </si>
  <si>
    <t xml:space="preserve">frais </t>
  </si>
  <si>
    <t>based on real staff</t>
  </si>
  <si>
    <t>based on provisional staff</t>
  </si>
  <si>
    <t>Please invoice provisional amount, when known</t>
  </si>
  <si>
    <t>Poe-ma Thai Insurance Brokers Co., Ltd</t>
  </si>
  <si>
    <t>48/11 Sunrise Rd. Moo 9 T Chalong, A Muesang</t>
  </si>
  <si>
    <t>Phuket</t>
  </si>
  <si>
    <t>Thaïlande</t>
  </si>
  <si>
    <t>TH-83130</t>
  </si>
  <si>
    <t>NAMAK</t>
  </si>
  <si>
    <t>Arawan</t>
  </si>
  <si>
    <t>arawan.n@poe-ma.com</t>
  </si>
  <si>
    <t>REGULE</t>
  </si>
  <si>
    <t>taxes&amp;fees</t>
  </si>
  <si>
    <t>discount</t>
  </si>
  <si>
    <t>PLATEFORME</t>
  </si>
  <si>
    <t>Cotation</t>
  </si>
  <si>
    <t>period</t>
  </si>
  <si>
    <t>TTC/jour Anker limité</t>
  </si>
  <si>
    <t>mois</t>
  </si>
  <si>
    <t>Allianz Franck LEBLANC</t>
  </si>
  <si>
    <t>5 rue Vauban</t>
  </si>
  <si>
    <t>(0033) 4 93 34 59 01</t>
  </si>
  <si>
    <t>(0033) 4 93 34 44 85</t>
  </si>
  <si>
    <t>affiché</t>
  </si>
  <si>
    <t>LEBLANC</t>
  </si>
  <si>
    <t>Franck</t>
  </si>
  <si>
    <t>Allianz - Franck LEBLANC</t>
  </si>
  <si>
    <t>franck.leblanc@agents.allianz.fr</t>
  </si>
  <si>
    <t>LOLACCIDENT</t>
  </si>
  <si>
    <t>Excel</t>
  </si>
  <si>
    <t>Limit</t>
  </si>
  <si>
    <t xml:space="preserve">Formula Day Worker: LOL 50000 EUR , PTD 50000 EUR  after accident  for Day Workers in case of accident </t>
  </si>
  <si>
    <t>Vitale-12months</t>
  </si>
  <si>
    <t>Vitale-6months</t>
  </si>
  <si>
    <t>payroll</t>
  </si>
  <si>
    <t>Vessels</t>
  </si>
  <si>
    <t>christian.henry@wycc-insurance.com</t>
  </si>
  <si>
    <t>FROLSON</t>
  </si>
  <si>
    <t>lucas.henry@wycc-insurance.com</t>
  </si>
  <si>
    <t>martine.henry@wycc-insurance.com</t>
  </si>
  <si>
    <t>christian.hudeck@wycc-insurance.com</t>
  </si>
  <si>
    <t>Anker Verzekeringen n,v,</t>
  </si>
  <si>
    <t>Salaire annuel théorique</t>
  </si>
  <si>
    <t>Salaire annuel min</t>
  </si>
  <si>
    <t>CATEGORIES</t>
  </si>
  <si>
    <t>Salaires forfaitaires applicables depuis le 1er avril 2014.</t>
  </si>
  <si>
    <t>(aucun changement en avril 2015 et avril 2016)</t>
  </si>
  <si>
    <t>2014-2016</t>
  </si>
  <si>
    <t>PAR AN</t>
  </si>
  <si>
    <t>PAR JOUR</t>
  </si>
  <si>
    <t>PAR MOIS</t>
  </si>
  <si>
    <t>ENIM Category</t>
  </si>
  <si>
    <t>salaire catégories ENIM</t>
  </si>
  <si>
    <t>différence Salaire réel / ENIM</t>
  </si>
  <si>
    <t>Couverture Annuelle différence Salaire réel / ENIM + 1/3 salaire ENIM</t>
  </si>
  <si>
    <t>Couverture Mensuelle
différence Salaire réel / ENIM + 1/3 salaire ENIM</t>
  </si>
  <si>
    <t>Catégorie ENIM</t>
  </si>
  <si>
    <t>INTRAMAR® insurances</t>
  </si>
  <si>
    <t>P.O. Box 891</t>
  </si>
  <si>
    <t>1780 AW</t>
  </si>
  <si>
    <t>Den Helder</t>
  </si>
  <si>
    <t>The Netherlands</t>
  </si>
  <si>
    <t>(0031) 223 61 22 22</t>
  </si>
  <si>
    <t>(0031) 223 61 55 22</t>
  </si>
  <si>
    <t>Account N°</t>
  </si>
  <si>
    <t>4-122/5988/935</t>
  </si>
  <si>
    <t>KENTER</t>
  </si>
  <si>
    <t>Erik</t>
  </si>
  <si>
    <t>(0031) 6 31 667 287</t>
  </si>
  <si>
    <t>ekenter@intramar.nl</t>
  </si>
  <si>
    <t>Standard</t>
  </si>
  <si>
    <t>StandardMLC</t>
  </si>
  <si>
    <t>Perfect</t>
  </si>
  <si>
    <t>Standard S</t>
  </si>
  <si>
    <t>StandardMLC S</t>
  </si>
  <si>
    <t>Perfect S</t>
  </si>
  <si>
    <t>Perfect Plus</t>
  </si>
  <si>
    <t>PERFECT</t>
  </si>
  <si>
    <t>PERFECT Plus</t>
  </si>
  <si>
    <t>PERFECT S</t>
  </si>
  <si>
    <t>NET AMOUNT COMFORTMLC</t>
  </si>
  <si>
    <t>NET AMOUNT ANKER F3</t>
  </si>
  <si>
    <t>NET AMOUNT ANKER F2</t>
  </si>
  <si>
    <t>NET AMOUNT ANKER F1</t>
  </si>
  <si>
    <t>F3</t>
  </si>
  <si>
    <t>F2</t>
  </si>
  <si>
    <t>F1</t>
  </si>
  <si>
    <t>COTATION</t>
  </si>
  <si>
    <t>LIMITED EXCEL</t>
  </si>
  <si>
    <t>frais calculés</t>
  </si>
  <si>
    <t>frais saisies</t>
  </si>
  <si>
    <t>taxes calculées</t>
  </si>
  <si>
    <t>TOTAUX saisis</t>
  </si>
  <si>
    <t>A SAISIR</t>
  </si>
  <si>
    <t>RESULTAT</t>
  </si>
  <si>
    <t>Crewlist</t>
  </si>
  <si>
    <t>Plateforme automatique</t>
  </si>
  <si>
    <t>Plateforme manuelle</t>
  </si>
  <si>
    <t>Salaire annuel max</t>
  </si>
  <si>
    <t>F-06906</t>
  </si>
  <si>
    <t>Sophia Antipolis</t>
  </si>
  <si>
    <t>400 avenue Roumanille, BP309</t>
  </si>
  <si>
    <t>Sum insured and Rules</t>
  </si>
  <si>
    <t>policy currency</t>
  </si>
  <si>
    <t>Les salaires</t>
  </si>
  <si>
    <t>DEVISEAIG</t>
  </si>
  <si>
    <t>Currency converter</t>
  </si>
  <si>
    <t>check ID WYCC</t>
  </si>
  <si>
    <t>salaire mensuel crewlist</t>
  </si>
  <si>
    <t>currency</t>
  </si>
  <si>
    <t>salaire mensuel plateforme</t>
  </si>
  <si>
    <t>currency test</t>
  </si>
  <si>
    <t>LES DATES</t>
  </si>
  <si>
    <t>months</t>
  </si>
  <si>
    <t>sous-totaux HT</t>
  </si>
  <si>
    <t>sous-totaux TC</t>
  </si>
  <si>
    <t>Dates-Salaires</t>
  </si>
  <si>
    <t>DAYS</t>
  </si>
  <si>
    <t>BOAT'in France</t>
  </si>
  <si>
    <t>13, avenue Gabriel</t>
  </si>
  <si>
    <t>F-78170</t>
  </si>
  <si>
    <t>La celle-Saint-Cloud</t>
  </si>
  <si>
    <t>(0033) 678 73 72 06</t>
  </si>
  <si>
    <t>dsteckar@boatinfrance.com</t>
  </si>
  <si>
    <t>(0033) 6 78 73 72 06</t>
  </si>
  <si>
    <t>Legal Assistance</t>
  </si>
  <si>
    <t>Third party liability</t>
  </si>
  <si>
    <t>Third Party liability</t>
  </si>
  <si>
    <t>Legal assistance</t>
  </si>
  <si>
    <t>Legal</t>
  </si>
  <si>
    <t>RC</t>
  </si>
  <si>
    <t>Assistance /Options</t>
  </si>
  <si>
    <t>Legal Ass</t>
  </si>
  <si>
    <t>Personal liability</t>
  </si>
  <si>
    <t>pour qui</t>
  </si>
  <si>
    <t>Produit</t>
  </si>
  <si>
    <t>numéro de police MED/ASS</t>
  </si>
  <si>
    <t>numéro de police option1</t>
  </si>
  <si>
    <t>numéro de police option2</t>
  </si>
  <si>
    <t>numéro de police prévoyance</t>
  </si>
  <si>
    <t>certificateNB</t>
  </si>
  <si>
    <t>numéro de certificat</t>
  </si>
  <si>
    <t>City</t>
  </si>
  <si>
    <t>special note</t>
  </si>
  <si>
    <t>LES AVENANTS</t>
  </si>
  <si>
    <t>Numéro de police</t>
  </si>
  <si>
    <t>fees</t>
  </si>
  <si>
    <t>Basis HT</t>
  </si>
  <si>
    <t>Total
Days</t>
  </si>
  <si>
    <t>Total Months</t>
  </si>
  <si>
    <t>N° Project</t>
  </si>
  <si>
    <t>Limite</t>
  </si>
  <si>
    <t>Paramétrage</t>
  </si>
  <si>
    <t>HT Remisé</t>
  </si>
  <si>
    <t>AU</t>
  </si>
  <si>
    <t>Calcul par</t>
  </si>
  <si>
    <t>Calcul par année complète (365 jours)</t>
  </si>
  <si>
    <t>Calcul par période à déterminer</t>
  </si>
  <si>
    <t>WCA Luxembourg</t>
  </si>
  <si>
    <t>WCA Holland</t>
  </si>
  <si>
    <t>Previnter</t>
  </si>
  <si>
    <t>fees pro rata</t>
  </si>
  <si>
    <t>insured persons</t>
  </si>
  <si>
    <t>Fixe/prop</t>
  </si>
  <si>
    <t>somme prop</t>
  </si>
  <si>
    <t>somme fixe</t>
  </si>
  <si>
    <t>Corporates</t>
  </si>
  <si>
    <t>Address</t>
  </si>
  <si>
    <t>LA COUVERTURE ACTUELLE</t>
  </si>
  <si>
    <t>Mois</t>
  </si>
  <si>
    <t>Jours</t>
  </si>
  <si>
    <t>maximal days</t>
  </si>
  <si>
    <t>maximal months</t>
  </si>
  <si>
    <t>MAXDAYS</t>
  </si>
  <si>
    <t>MAXMONTHS</t>
  </si>
  <si>
    <t>REALDAYS</t>
  </si>
  <si>
    <t>REALMONTHS</t>
  </si>
  <si>
    <t>nb de jours réels</t>
  </si>
  <si>
    <t>nb de mois réels</t>
  </si>
  <si>
    <t>Healtcare plan, assistance and repatriaion, options</t>
  </si>
  <si>
    <t>Third Party Liability</t>
  </si>
  <si>
    <r>
      <t>Insurance Broker</t>
    </r>
    <r>
      <rPr>
        <b/>
        <sz val="12"/>
        <rFont val="Arial Narrow"/>
        <family val="2"/>
      </rPr>
      <t xml:space="preserve">:    </t>
    </r>
  </si>
  <si>
    <t>Premium (MED/ASS-ligne1)</t>
  </si>
  <si>
    <t>Premium (MED/ASS-ligne2)</t>
  </si>
  <si>
    <t>Premium (MED/ASS-ligne3)</t>
  </si>
  <si>
    <t>Premium (PJ)</t>
  </si>
  <si>
    <t>Premium (RC)</t>
  </si>
  <si>
    <t>Premium (LOL/PTD-ligne1)</t>
  </si>
  <si>
    <t>Premium (LOL/PTD-ligne2)</t>
  </si>
  <si>
    <t>Premium (LOL/PTD-ligne3)</t>
  </si>
  <si>
    <t>Premium (TTD-ligne1)</t>
  </si>
  <si>
    <t>Premium (TTD-ligne2)</t>
  </si>
  <si>
    <t>Premium (TTD-ligne3)</t>
  </si>
  <si>
    <t>AIG Europe, AIG EU AH TRAVEL EXPT WORLD CREW COVER LUX-EN-2016</t>
  </si>
  <si>
    <t>Projet numéro</t>
  </si>
  <si>
    <t>Total des mois et jours</t>
  </si>
  <si>
    <t xml:space="preserve">Totaux </t>
  </si>
  <si>
    <t>Quotation</t>
  </si>
  <si>
    <t>Max Mois</t>
  </si>
  <si>
    <t>Max Jours</t>
  </si>
  <si>
    <t>annual insured salary</t>
  </si>
  <si>
    <t>AIG HT (options &amp; DC/IP)</t>
  </si>
  <si>
    <t>AIG HT (MED&amp;ASS)</t>
  </si>
  <si>
    <t>(MED, ASS, LOL, PTD, TTD)</t>
  </si>
  <si>
    <t>(LEGAL ASSISTANCE, THIRD PARTY LIABILITY)</t>
  </si>
  <si>
    <t>Choix2</t>
  </si>
  <si>
    <t>LOSS OF LIFE, PERMANENT TOTAL/PARTIAL DISABILITY, TEMPORARY TOTAL DISABILITY  (LOL, PTD, TTD)</t>
  </si>
  <si>
    <t>LOL, PTD</t>
  </si>
  <si>
    <t>MED, ASS</t>
  </si>
  <si>
    <t>Choix3</t>
  </si>
  <si>
    <t>Module</t>
  </si>
  <si>
    <t>ref/calcul</t>
  </si>
  <si>
    <t>Name dedictated</t>
  </si>
  <si>
    <t>LOL acc</t>
  </si>
  <si>
    <t>LOL ill</t>
  </si>
  <si>
    <t>sum insured</t>
  </si>
  <si>
    <t>sum fix</t>
  </si>
  <si>
    <t>sum prop</t>
  </si>
  <si>
    <t>PTD acc</t>
  </si>
  <si>
    <t>PTD ill</t>
  </si>
  <si>
    <t>TTD acc</t>
  </si>
  <si>
    <t>TTD ill</t>
  </si>
  <si>
    <t xml:space="preserve">Mister X </t>
  </si>
  <si>
    <t>Misses Y</t>
  </si>
  <si>
    <t>partieII</t>
  </si>
  <si>
    <t>check</t>
  </si>
  <si>
    <t>FORMULA</t>
  </si>
  <si>
    <t>CHOIX2</t>
  </si>
  <si>
    <t>Privilege</t>
  </si>
  <si>
    <t>Vitale 6 months</t>
  </si>
  <si>
    <t>Vitale 12 months</t>
  </si>
  <si>
    <t>Accident/any causes</t>
  </si>
  <si>
    <t>TTD covered</t>
  </si>
  <si>
    <t>cellule liée</t>
  </si>
  <si>
    <t>Personnes sur les options (legal, etc)</t>
  </si>
  <si>
    <t>Personnes sur le choix1</t>
  </si>
  <si>
    <t>lig1_Persons</t>
  </si>
  <si>
    <t>lig0_Persons</t>
  </si>
  <si>
    <t>lig0_POL_Legal</t>
  </si>
  <si>
    <t>lig0_POL_RC</t>
  </si>
  <si>
    <t>lig1_POL_MED</t>
  </si>
  <si>
    <t>lig1_POL_PREVOY</t>
  </si>
  <si>
    <t>lig1_Formula_MED</t>
  </si>
  <si>
    <t>lig1_Formula_PREVOY</t>
  </si>
  <si>
    <t>Resultat and Named field</t>
  </si>
  <si>
    <t>Choix0</t>
  </si>
  <si>
    <t>Choix1</t>
  </si>
  <si>
    <t>lig2_POL_PREVOY</t>
  </si>
  <si>
    <t>lig2_POL_MED</t>
  </si>
  <si>
    <t>lig2_Persons</t>
  </si>
  <si>
    <t>Policy&amp;Persons</t>
  </si>
  <si>
    <t>CHOIX1</t>
  </si>
  <si>
    <t>CHOIX3</t>
  </si>
  <si>
    <t>lig3_Persons</t>
  </si>
  <si>
    <t>lig3_POL_PREVOY</t>
  </si>
  <si>
    <t>Options</t>
  </si>
  <si>
    <t>CHOIX0</t>
  </si>
  <si>
    <t>Persons</t>
  </si>
  <si>
    <t>lig3_POL_MED</t>
  </si>
  <si>
    <t>lig2_Formula_MED</t>
  </si>
  <si>
    <t>lig2_Formula_PREVOY</t>
  </si>
  <si>
    <t>lig3_Formula_MED</t>
  </si>
  <si>
    <t>lig3_Formula_PREVOY</t>
  </si>
  <si>
    <t>LEGAL</t>
  </si>
  <si>
    <t>N/A or not</t>
  </si>
  <si>
    <t>06-01-EN-24 HOUR COVER, in case of temporary total disability after accident or illness a waiting period of 7 days applies. Duration of indemnity 365 days maximum.</t>
  </si>
  <si>
    <t>lig1_MAXDAYS</t>
  </si>
  <si>
    <t>lig2_MAXDAYS</t>
  </si>
  <si>
    <t>SAGITOVA</t>
  </si>
  <si>
    <t>Katia</t>
  </si>
  <si>
    <t>ksagitova@lms.lu</t>
  </si>
  <si>
    <t>(00352) 42 31 18</t>
  </si>
  <si>
    <t>day worker</t>
  </si>
  <si>
    <t>Taxes %</t>
  </si>
  <si>
    <t>Surcom</t>
  </si>
  <si>
    <t>HT Client+surcom/ Rate</t>
  </si>
  <si>
    <t>HT Annuel+surcom</t>
  </si>
  <si>
    <t>HT+surcom pro rata</t>
  </si>
  <si>
    <t>surcom pro rata</t>
  </si>
  <si>
    <t>TC +surcom</t>
  </si>
  <si>
    <t>surcom</t>
  </si>
  <si>
    <t>EXPORTCLIENT</t>
  </si>
  <si>
    <t>TTC MED</t>
  </si>
  <si>
    <t>TTC prévoy</t>
  </si>
  <si>
    <t>2017-2017!</t>
  </si>
  <si>
    <t>ASN One SA</t>
  </si>
  <si>
    <t>10 Rue du Prince</t>
  </si>
  <si>
    <t>Geneva</t>
  </si>
  <si>
    <t>Business Develoment Manager</t>
  </si>
  <si>
    <t>Spinelli</t>
  </si>
  <si>
    <t>Charles Croce</t>
  </si>
  <si>
    <t>charles.croce-spinelli@asnone.ch</t>
  </si>
  <si>
    <t>(+)41 22 317 78 52</t>
  </si>
  <si>
    <t>(+)41 79 916 43 59</t>
  </si>
  <si>
    <t>2016EURAnker Verzekeringen n.v.-Death Accident</t>
  </si>
  <si>
    <t>2016EURAnker Verzekeringen n.v.-Permanent Disability Accident</t>
  </si>
  <si>
    <t>2016EURAnker Verzekeringen n.v.-Temporary Disability Accident (100%/7/365D)</t>
  </si>
  <si>
    <t>2016EURAnker Verzekeringen n.v.-Temporary Disability illness (100%/7/365D)</t>
  </si>
  <si>
    <t>2016EURAnker Verzekeringen n.v.-Healthcare PlanMedical Excellent and Homeland</t>
  </si>
  <si>
    <t>2016EURAnker Verzekeringen n.v.-Assistance and RepatriationMedical Excellent and Homeland</t>
  </si>
  <si>
    <t>2016EURAnker Verzekeringen n.v.-Death illness</t>
  </si>
  <si>
    <t>2016EURAnker Verzekeringen n.v.-Permanent Disability illness</t>
  </si>
  <si>
    <t>check sum insured</t>
  </si>
  <si>
    <t>check LOL/PTD</t>
  </si>
  <si>
    <t>partieII limit</t>
  </si>
  <si>
    <t>check limit aggregate</t>
  </si>
  <si>
    <t>HUTIANE</t>
  </si>
  <si>
    <t>LA SELLA DEL DIAVOLO</t>
  </si>
  <si>
    <t>HUTIANE( ex: la sella del Diavolo)</t>
  </si>
  <si>
    <t>Male</t>
  </si>
  <si>
    <t>BERTHE</t>
  </si>
  <si>
    <t>Jules</t>
  </si>
  <si>
    <t>RATING</t>
  </si>
  <si>
    <t>Deckhand</t>
  </si>
  <si>
    <t>n/a</t>
  </si>
  <si>
    <t>French</t>
  </si>
  <si>
    <t>L2013479</t>
  </si>
  <si>
    <t>Female</t>
  </si>
  <si>
    <t>MURIEL</t>
  </si>
  <si>
    <t>muriel.hutianeyacht@hotmail.com</t>
  </si>
  <si>
    <t>OFFICIER</t>
  </si>
  <si>
    <t>Chief Steward/ess</t>
  </si>
  <si>
    <t>BONDON</t>
  </si>
  <si>
    <t>Stewardess</t>
  </si>
  <si>
    <t>BRADBURN</t>
  </si>
  <si>
    <t xml:space="preserve">Stuart charles </t>
  </si>
  <si>
    <t>Chief Engineer</t>
  </si>
  <si>
    <t>British</t>
  </si>
  <si>
    <t>DEROO</t>
  </si>
  <si>
    <t>Benjamin philippe rene</t>
  </si>
  <si>
    <t>Steward</t>
  </si>
  <si>
    <t>EVERTS</t>
  </si>
  <si>
    <t>Jason</t>
  </si>
  <si>
    <t>South Africa</t>
  </si>
  <si>
    <t>South African</t>
  </si>
  <si>
    <t>MATTER</t>
  </si>
  <si>
    <t>Arnaud</t>
  </si>
  <si>
    <t>arnaudmatter@hotmail.com</t>
  </si>
  <si>
    <t>Captain/Master</t>
  </si>
  <si>
    <t>MINE</t>
  </si>
  <si>
    <t>Kelly rose</t>
  </si>
  <si>
    <t>Chief cook</t>
  </si>
  <si>
    <t>L2022479</t>
  </si>
  <si>
    <t>Export date</t>
  </si>
  <si>
    <t>Export start</t>
  </si>
  <si>
    <t>Export end</t>
  </si>
  <si>
    <t>Certificate ID</t>
  </si>
  <si>
    <t>Certificate number</t>
  </si>
  <si>
    <t>Certificate type</t>
  </si>
  <si>
    <t>Renewal date</t>
  </si>
  <si>
    <t>Radiation date</t>
  </si>
  <si>
    <t>Invoice type</t>
  </si>
  <si>
    <t>Prices of year</t>
  </si>
  <si>
    <t>Société du développement du tourisme</t>
  </si>
  <si>
    <t>ICS SA</t>
  </si>
  <si>
    <t>21 rue pierre gicquiau</t>
  </si>
  <si>
    <t>41, avenue de la gare</t>
  </si>
  <si>
    <t>F-44800</t>
  </si>
  <si>
    <t>SAINT HERBLAIN</t>
  </si>
  <si>
    <t>Past invoices</t>
  </si>
  <si>
    <t>ID</t>
  </si>
  <si>
    <t>Reference</t>
  </si>
  <si>
    <t>Start date</t>
  </si>
  <si>
    <t>End date</t>
  </si>
  <si>
    <t>Date export</t>
  </si>
  <si>
    <t>Date import</t>
  </si>
  <si>
    <t>Status</t>
  </si>
  <si>
    <t>ID insurance company</t>
  </si>
  <si>
    <t>Insurance company</t>
  </si>
  <si>
    <t>ID formula</t>
  </si>
  <si>
    <t>Wycc commission</t>
  </si>
  <si>
    <t>Limited Fees</t>
  </si>
  <si>
    <t>Limited HT</t>
  </si>
  <si>
    <t>Limited TC</t>
  </si>
  <si>
    <t>Past invoices HT</t>
  </si>
  <si>
    <t>Past invoices TC</t>
  </si>
  <si>
    <t>Total TC</t>
  </si>
  <si>
    <t>Total TC with fees</t>
  </si>
  <si>
    <t>Contribution ID</t>
  </si>
  <si>
    <t>Contribution amount</t>
  </si>
  <si>
    <t>Past invoices contribution amount</t>
  </si>
  <si>
    <t>Total contribution amount</t>
  </si>
  <si>
    <t>Information</t>
  </si>
  <si>
    <t>Internal ID</t>
  </si>
  <si>
    <t>Firstname</t>
  </si>
  <si>
    <t>Worked days</t>
  </si>
  <si>
    <t>Worked months</t>
  </si>
  <si>
    <t>Errors</t>
  </si>
  <si>
    <t>Type of module</t>
  </si>
  <si>
    <t>Number of days</t>
  </si>
  <si>
    <t>Number of months</t>
  </si>
  <si>
    <t>Rate</t>
  </si>
  <si>
    <t>Calculation mode</t>
  </si>
  <si>
    <t>Discount (%)</t>
  </si>
  <si>
    <t>Company commission (%)</t>
  </si>
  <si>
    <t>Broker commission (%)</t>
  </si>
  <si>
    <t>Tax (%)</t>
  </si>
  <si>
    <t>Company HT</t>
  </si>
  <si>
    <t>Company TC</t>
  </si>
  <si>
    <t>Wycc fees</t>
  </si>
  <si>
    <t>Contribution type</t>
  </si>
  <si>
    <t>Client premium</t>
  </si>
  <si>
    <t>F</t>
  </si>
  <si>
    <t>2015EURAIG Luxembourg-Healthcare PlanPRESTIGE</t>
  </si>
  <si>
    <t>2015EURAIG Luxembourg-Assistance and RepatriationPRESTIGE</t>
  </si>
  <si>
    <t>2015EURAnker Verzekeringen n.v.-Death illness</t>
  </si>
  <si>
    <t>2015EURAnker Verzekeringen n.v.-Permanent Disability Accident</t>
  </si>
  <si>
    <t>2015EURAnker Verzekeringen n.v.-Permanent Disability illness</t>
  </si>
  <si>
    <t>2015EURAnker Verzekeringen n.v.-Temporary Disability illness (100%/7/365D)</t>
  </si>
  <si>
    <t>male</t>
  </si>
  <si>
    <t>female</t>
  </si>
  <si>
    <t>Royaume-Uni</t>
  </si>
  <si>
    <t>Afrique du sud</t>
  </si>
  <si>
    <t xml:space="preserve"> kelly rose</t>
  </si>
  <si>
    <t>invoiced on renewal 2015 for 1 year</t>
  </si>
  <si>
    <t>12600.1</t>
  </si>
  <si>
    <t>Renouvellement 2015-2016</t>
  </si>
  <si>
    <t>Prestige for All Crew members, except day workers</t>
  </si>
  <si>
    <t>Formula 3: 300 % LOL and 300 % PTD  any causes,100 % Annual Salary   for All Crew members, except day workers in case of accident and illness Duration: 365 days Waiting period: 7 days 0 EUR limit per week</t>
  </si>
  <si>
    <t>3 annual members (BERTHE, MATTER, BERTHE)</t>
  </si>
  <si>
    <t>Formula Day Worker: 50000 EUR LOL, 50000 EUR PTD 0,  for Day Workers in case of accident</t>
  </si>
  <si>
    <t>regularization invoice</t>
  </si>
  <si>
    <t>2015EURAnker Verzekeringen n.v.-Temporary Disability Accident (100%/7/365D)</t>
  </si>
  <si>
    <t>Regule 2015-2016</t>
  </si>
  <si>
    <t>2016EURAIG Luxembourg-Healthcare PlanPerfect</t>
  </si>
  <si>
    <t>2016EURAIG Luxembourg-Assistance and RepatriationPERFECT</t>
  </si>
  <si>
    <t>Renouvellement 2016-2017</t>
  </si>
  <si>
    <t>invoiced on renewal 2016 for 1 year</t>
  </si>
  <si>
    <t>HUTIANE-TRANSPORTES MARITIMOS, UNIPESSOAL LDA</t>
  </si>
  <si>
    <t>Rua Nova do Pina, N°4B</t>
  </si>
  <si>
    <t>P-9000-067</t>
  </si>
  <si>
    <t>Santa Luzia, Funchal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</si>
</sst>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#,##0.00_ ;[Red]\-#,##0.00\ "/>
    <numFmt numFmtId="165" formatCode="#,##0.00\ &quot;€&quot;"/>
    <numFmt numFmtId="166" formatCode="[$-40C]d\-mmm\-yy;@"/>
    <numFmt numFmtId="167" formatCode="#,##0\ &quot;€&quot;"/>
    <numFmt numFmtId="168" formatCode="0.00000%"/>
    <numFmt numFmtId="169" formatCode="0.0000%"/>
    <numFmt numFmtId="170" formatCode="dd/mm/yy;@"/>
    <numFmt numFmtId="171" formatCode="#,##0_ ;\-#,##0\ "/>
    <numFmt numFmtId="172" formatCode="#,##0.00_ ;\-#,##0.00\ 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#,##0.00\ &quot;€&quot;;[Red]#,##0.00\ &quot;€&quot;"/>
    <numFmt numFmtId="176" formatCode="#,##0.00;[Red]#,##0.00"/>
    <numFmt numFmtId="177" formatCode="#,##0.0000"/>
    <numFmt numFmtId="178" formatCode="#,##0.00&quot; &quot;[$€-40C];[Red]&quot;-&quot;#,##0.00&quot; &quot;[$€-40C]"/>
    <numFmt numFmtId="179" formatCode="0.0000"/>
    <numFmt numFmtId="180" formatCode="[$-409]d/m/yy\ h:mm\ AM/PM;@"/>
    <numFmt numFmtId="181" formatCode="#,##0.000"/>
    <numFmt numFmtId="182" formatCode="0.000"/>
    <numFmt numFmtId="185" formatCode="_-* #,##0.00\ &quot;€&quot;_-;\-* #,##0.00\ &quot;€&quot;_-;_-* &quot;-&quot;??\ &quot;€&quot;_-;_-@_-"/>
    <numFmt numFmtId="186" formatCode="_-* #,##0.00\ _€_-;\-* #,##0.00\ _€_-;_-* &quot;-&quot;??\ _€_-;_-@_-"/>
  </numFmts>
  <fonts count="134">
    <font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80"/>
      <name val="Arial Narrow"/>
      <family val="2"/>
    </font>
    <font>
      <b/>
      <sz val="11"/>
      <color rgb="FFFF0000"/>
      <name val="Arial Narrow"/>
      <family val="2"/>
    </font>
    <font>
      <sz val="10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0"/>
      <name val="Arial Narrow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u/>
      <sz val="11"/>
      <color theme="10"/>
      <name val="Calibri"/>
      <family val="2"/>
    </font>
    <font>
      <u/>
      <sz val="10"/>
      <color indexed="12"/>
      <name val="Arial Narrow"/>
      <family val="2"/>
    </font>
    <font>
      <u/>
      <sz val="10"/>
      <color theme="10"/>
      <name val="Arial Narrow"/>
      <family val="2"/>
    </font>
    <font>
      <sz val="10"/>
      <color indexed="8"/>
      <name val="Arial Narrow"/>
      <family val="2"/>
    </font>
    <font>
      <i/>
      <sz val="10"/>
      <color theme="1"/>
      <name val="Arial Narrow"/>
      <family val="2"/>
    </font>
    <font>
      <sz val="10"/>
      <color rgb="FF555555"/>
      <name val="Arial"/>
      <family val="2"/>
    </font>
    <font>
      <b/>
      <sz val="11"/>
      <name val="Arial Narrow"/>
      <family val="2"/>
    </font>
    <font>
      <i/>
      <sz val="10"/>
      <name val="Arial Narrow"/>
      <family val="2"/>
    </font>
    <font>
      <b/>
      <sz val="9"/>
      <name val="Arial Narrow"/>
      <family val="2"/>
    </font>
    <font>
      <i/>
      <sz val="10"/>
      <color indexed="63"/>
      <name val="Arial Narrow"/>
      <family val="2"/>
    </font>
    <font>
      <b/>
      <sz val="7"/>
      <name val="Arial"/>
      <family val="2"/>
    </font>
    <font>
      <b/>
      <sz val="10"/>
      <color indexed="63"/>
      <name val="Arial Narrow"/>
      <family val="2"/>
    </font>
    <font>
      <b/>
      <sz val="12"/>
      <name val="Arial Narrow"/>
      <family val="2"/>
    </font>
    <font>
      <sz val="8"/>
      <name val="Arial Narrow"/>
      <family val="2"/>
    </font>
    <font>
      <sz val="10"/>
      <color indexed="63"/>
      <name val="Arial Narrow"/>
      <family val="2"/>
    </font>
    <font>
      <sz val="8"/>
      <color indexed="63"/>
      <name val="Arial Narrow"/>
      <family val="2"/>
    </font>
    <font>
      <b/>
      <sz val="18"/>
      <color theme="1"/>
      <name val="Arial Narrow"/>
      <family val="2"/>
    </font>
    <font>
      <b/>
      <sz val="9"/>
      <color indexed="63"/>
      <name val="Arial Narrow"/>
      <family val="2"/>
    </font>
    <font>
      <b/>
      <sz val="8"/>
      <color indexed="63"/>
      <name val="Arial Narrow"/>
      <family val="2"/>
    </font>
    <font>
      <i/>
      <sz val="8"/>
      <color indexed="63"/>
      <name val="Arial Narrow"/>
      <family val="2"/>
    </font>
    <font>
      <i/>
      <sz val="9"/>
      <color indexed="63"/>
      <name val="Arial Narrow"/>
      <family val="2"/>
    </font>
    <font>
      <sz val="9"/>
      <name val="Arial Narrow"/>
      <family val="2"/>
    </font>
    <font>
      <sz val="11"/>
      <color rgb="FFFF0000"/>
      <name val="Calibri"/>
      <family val="2"/>
      <scheme val="minor"/>
    </font>
    <font>
      <i/>
      <sz val="9"/>
      <color theme="1"/>
      <name val="Arial"/>
      <family val="2"/>
    </font>
    <font>
      <sz val="8"/>
      <color rgb="FF000000"/>
      <name val="Tahoma"/>
      <family val="2"/>
    </font>
    <font>
      <b/>
      <i/>
      <sz val="11"/>
      <name val="Arial Narrow"/>
      <family val="2"/>
    </font>
    <font>
      <b/>
      <sz val="9"/>
      <color theme="1"/>
      <name val="Arial Narrow"/>
      <family val="2"/>
    </font>
    <font>
      <sz val="16"/>
      <name val="Arial Narrow"/>
      <family val="2"/>
    </font>
    <font>
      <sz val="9"/>
      <color indexed="63"/>
      <name val="Arial Narrow"/>
      <family val="2"/>
    </font>
    <font>
      <b/>
      <sz val="22"/>
      <name val="Arial Narrow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u/>
      <sz val="11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Liberation Sans"/>
    </font>
    <font>
      <b/>
      <i/>
      <sz val="16"/>
      <color theme="1"/>
      <name val="Liberation Sans"/>
    </font>
    <font>
      <b/>
      <i/>
      <u/>
      <sz val="11"/>
      <color theme="1"/>
      <name val="Liberation Sans"/>
    </font>
    <font>
      <sz val="11"/>
      <color rgb="FF000000"/>
      <name val="Calibri"/>
      <family val="2"/>
      <charset val="1"/>
    </font>
    <font>
      <b/>
      <sz val="10"/>
      <name val="Arial"/>
      <family val="2"/>
      <charset val="1"/>
    </font>
    <font>
      <u/>
      <sz val="11"/>
      <color indexed="12"/>
      <name val="Calibri"/>
      <family val="2"/>
    </font>
    <font>
      <sz val="10"/>
      <color indexed="8"/>
      <name val="Arial"/>
      <family val="2"/>
    </font>
    <font>
      <b/>
      <sz val="16"/>
      <name val="Arial Narrow"/>
      <family val="2"/>
    </font>
    <font>
      <b/>
      <sz val="16"/>
      <color indexed="63"/>
      <name val="Arial Narrow"/>
      <family val="2"/>
    </font>
    <font>
      <b/>
      <sz val="8"/>
      <name val="Arial Narrow"/>
      <family val="2"/>
    </font>
    <font>
      <b/>
      <sz val="10"/>
      <name val="Calibri"/>
      <family val="2"/>
      <scheme val="minor"/>
    </font>
    <font>
      <sz val="10"/>
      <color rgb="FFFF0000"/>
      <name val="Arial Narrow"/>
      <family val="2"/>
    </font>
    <font>
      <b/>
      <sz val="16"/>
      <color theme="1"/>
      <name val="Arial Narrow"/>
      <family val="2"/>
    </font>
    <font>
      <sz val="10"/>
      <color rgb="FF303030"/>
      <name val="Arial Narrow"/>
      <family val="2"/>
    </font>
    <font>
      <sz val="10"/>
      <color rgb="FF222222"/>
      <name val="Arial"/>
      <family val="2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Arial Narrow"/>
      <family val="2"/>
    </font>
    <font>
      <sz val="11"/>
      <color rgb="FF0033CC"/>
      <name val="Calibri"/>
      <family val="2"/>
      <scheme val="minor"/>
    </font>
    <font>
      <sz val="11"/>
      <color rgb="FF0000CC"/>
      <name val="Calibri"/>
      <family val="2"/>
      <scheme val="minor"/>
    </font>
    <font>
      <b/>
      <sz val="9"/>
      <color rgb="FFFF0000"/>
      <name val="Arial Narrow"/>
      <family val="2"/>
    </font>
    <font>
      <sz val="10"/>
      <color rgb="FF000000"/>
      <name val="Times New Roman"/>
      <family val="1"/>
    </font>
    <font>
      <b/>
      <sz val="20"/>
      <color theme="1"/>
      <name val="Arial Narrow"/>
      <family val="2"/>
    </font>
    <font>
      <b/>
      <sz val="11"/>
      <color indexed="63"/>
      <name val="Arial Narrow"/>
      <family val="2"/>
    </font>
    <font>
      <b/>
      <sz val="11"/>
      <color theme="1"/>
      <name val="Arial Narrow"/>
      <family val="2"/>
    </font>
    <font>
      <i/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6"/>
      <name val="Arial"/>
      <family val="2"/>
    </font>
    <font>
      <i/>
      <sz val="11"/>
      <name val="Arial"/>
      <family val="2"/>
    </font>
    <font>
      <b/>
      <i/>
      <sz val="8"/>
      <name val="Arial"/>
      <family val="2"/>
    </font>
    <font>
      <b/>
      <i/>
      <sz val="10"/>
      <name val="Arial"/>
      <family val="2"/>
    </font>
    <font>
      <sz val="8"/>
      <color rgb="FFFF0000"/>
      <name val="Arial"/>
      <family val="2"/>
    </font>
    <font>
      <b/>
      <sz val="10"/>
      <color rgb="FFFF0000"/>
      <name val="Arial Narrow"/>
      <family val="2"/>
    </font>
  </fonts>
  <fills count="8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C0C0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C0C0C0"/>
        <bgColor rgb="FFBFBFBF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</fills>
  <borders count="140">
    <border>
      <left/>
      <right/>
      <top/>
      <bottom/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7998">
    <xf numFmtId="0" fontId="0" fillId="0" borderId="0"/>
    <xf numFmtId="0" fontId="13" fillId="0" borderId="0"/>
    <xf numFmtId="0" fontId="13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3" fillId="0" borderId="14">
      <alignment vertical="top"/>
    </xf>
    <xf numFmtId="0" fontId="13" fillId="0" borderId="0"/>
    <xf numFmtId="43" fontId="13" fillId="0" borderId="0" applyFon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46" applyNumberFormat="0" applyFill="0" applyAlignment="0" applyProtection="0"/>
    <xf numFmtId="0" fontId="67" fillId="0" borderId="47" applyNumberFormat="0" applyFill="0" applyAlignment="0" applyProtection="0"/>
    <xf numFmtId="0" fontId="68" fillId="0" borderId="48" applyNumberFormat="0" applyFill="0" applyAlignment="0" applyProtection="0"/>
    <xf numFmtId="0" fontId="68" fillId="0" borderId="0" applyNumberFormat="0" applyFill="0" applyBorder="0" applyAlignment="0" applyProtection="0"/>
    <xf numFmtId="0" fontId="69" fillId="21" borderId="0" applyNumberFormat="0" applyBorder="0" applyAlignment="0" applyProtection="0"/>
    <xf numFmtId="0" fontId="70" fillId="22" borderId="0" applyNumberFormat="0" applyBorder="0" applyAlignment="0" applyProtection="0"/>
    <xf numFmtId="0" fontId="71" fillId="23" borderId="0" applyNumberFormat="0" applyBorder="0" applyAlignment="0" applyProtection="0"/>
    <xf numFmtId="0" fontId="72" fillId="24" borderId="49" applyNumberFormat="0" applyAlignment="0" applyProtection="0"/>
    <xf numFmtId="0" fontId="73" fillId="25" borderId="50" applyNumberFormat="0" applyAlignment="0" applyProtection="0"/>
    <xf numFmtId="0" fontId="74" fillId="25" borderId="49" applyNumberFormat="0" applyAlignment="0" applyProtection="0"/>
    <xf numFmtId="0" fontId="75" fillId="0" borderId="51" applyNumberFormat="0" applyFill="0" applyAlignment="0" applyProtection="0"/>
    <xf numFmtId="0" fontId="76" fillId="26" borderId="52" applyNumberFormat="0" applyAlignment="0" applyProtection="0"/>
    <xf numFmtId="0" fontId="55" fillId="0" borderId="0" applyNumberFormat="0" applyFill="0" applyBorder="0" applyAlignment="0" applyProtection="0"/>
    <xf numFmtId="0" fontId="64" fillId="27" borderId="53" applyNumberFormat="0" applyFont="0" applyAlignment="0" applyProtection="0"/>
    <xf numFmtId="0" fontId="77" fillId="0" borderId="0" applyNumberFormat="0" applyFill="0" applyBorder="0" applyAlignment="0" applyProtection="0"/>
    <xf numFmtId="0" fontId="10" fillId="0" borderId="54" applyNumberFormat="0" applyFill="0" applyAlignment="0" applyProtection="0"/>
    <xf numFmtId="0" fontId="78" fillId="28" borderId="0" applyNumberFormat="0" applyBorder="0" applyAlignment="0" applyProtection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78" fillId="31" borderId="0" applyNumberFormat="0" applyBorder="0" applyAlignment="0" applyProtection="0"/>
    <xf numFmtId="0" fontId="78" fillId="32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78" fillId="35" borderId="0" applyNumberFormat="0" applyBorder="0" applyAlignment="0" applyProtection="0"/>
    <xf numFmtId="0" fontId="78" fillId="36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78" fillId="39" borderId="0" applyNumberFormat="0" applyBorder="0" applyAlignment="0" applyProtection="0"/>
    <xf numFmtId="0" fontId="78" fillId="40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78" fillId="43" borderId="0" applyNumberFormat="0" applyBorder="0" applyAlignment="0" applyProtection="0"/>
    <xf numFmtId="0" fontId="78" fillId="44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78" fillId="47" borderId="0" applyNumberFormat="0" applyBorder="0" applyAlignment="0" applyProtection="0"/>
    <xf numFmtId="0" fontId="78" fillId="48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78" fillId="51" borderId="0" applyNumberFormat="0" applyBorder="0" applyAlignment="0" applyProtection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64" fillId="0" borderId="0"/>
    <xf numFmtId="0" fontId="13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9" fontId="13" fillId="0" borderId="0" applyFont="0" applyFill="0" applyBorder="0" applyAlignment="0" applyProtection="0"/>
    <xf numFmtId="0" fontId="13" fillId="0" borderId="14">
      <alignment vertical="top"/>
    </xf>
    <xf numFmtId="0" fontId="16" fillId="52" borderId="14">
      <alignment vertical="top"/>
    </xf>
    <xf numFmtId="0" fontId="67" fillId="0" borderId="47" applyNumberFormat="0" applyFill="0" applyAlignment="0" applyProtection="0"/>
    <xf numFmtId="0" fontId="79" fillId="53" borderId="0" applyNumberFormat="0" applyBorder="0" applyAlignment="0" applyProtection="0"/>
    <xf numFmtId="0" fontId="79" fillId="54" borderId="0" applyNumberFormat="0" applyBorder="0" applyAlignment="0" applyProtection="0"/>
    <xf numFmtId="0" fontId="79" fillId="55" borderId="0" applyNumberFormat="0" applyBorder="0" applyAlignment="0" applyProtection="0"/>
    <xf numFmtId="0" fontId="79" fillId="56" borderId="0" applyNumberFormat="0" applyBorder="0" applyAlignment="0" applyProtection="0"/>
    <xf numFmtId="0" fontId="79" fillId="57" borderId="0" applyNumberFormat="0" applyBorder="0" applyAlignment="0" applyProtection="0"/>
    <xf numFmtId="0" fontId="79" fillId="58" borderId="0" applyNumberFormat="0" applyBorder="0" applyAlignment="0" applyProtection="0"/>
    <xf numFmtId="0" fontId="79" fillId="59" borderId="0" applyNumberFormat="0" applyBorder="0" applyAlignment="0" applyProtection="0"/>
    <xf numFmtId="0" fontId="79" fillId="60" borderId="0" applyNumberFormat="0" applyBorder="0" applyAlignment="0" applyProtection="0"/>
    <xf numFmtId="0" fontId="79" fillId="61" borderId="0" applyNumberFormat="0" applyBorder="0" applyAlignment="0" applyProtection="0"/>
    <xf numFmtId="0" fontId="79" fillId="56" borderId="0" applyNumberFormat="0" applyBorder="0" applyAlignment="0" applyProtection="0"/>
    <xf numFmtId="0" fontId="79" fillId="59" borderId="0" applyNumberFormat="0" applyBorder="0" applyAlignment="0" applyProtection="0"/>
    <xf numFmtId="0" fontId="79" fillId="62" borderId="0" applyNumberFormat="0" applyBorder="0" applyAlignment="0" applyProtection="0"/>
    <xf numFmtId="0" fontId="80" fillId="63" borderId="0" applyNumberFormat="0" applyBorder="0" applyAlignment="0" applyProtection="0"/>
    <xf numFmtId="0" fontId="80" fillId="60" borderId="0" applyNumberFormat="0" applyBorder="0" applyAlignment="0" applyProtection="0"/>
    <xf numFmtId="0" fontId="80" fillId="61" borderId="0" applyNumberFormat="0" applyBorder="0" applyAlignment="0" applyProtection="0"/>
    <xf numFmtId="0" fontId="80" fillId="64" borderId="0" applyNumberFormat="0" applyBorder="0" applyAlignment="0" applyProtection="0"/>
    <xf numFmtId="0" fontId="80" fillId="65" borderId="0" applyNumberFormat="0" applyBorder="0" applyAlignment="0" applyProtection="0"/>
    <xf numFmtId="0" fontId="80" fillId="66" borderId="0" applyNumberFormat="0" applyBorder="0" applyAlignment="0" applyProtection="0"/>
    <xf numFmtId="0" fontId="80" fillId="67" borderId="0" applyNumberFormat="0" applyBorder="0" applyAlignment="0" applyProtection="0"/>
    <xf numFmtId="0" fontId="80" fillId="68" borderId="0" applyNumberFormat="0" applyBorder="0" applyAlignment="0" applyProtection="0"/>
    <xf numFmtId="0" fontId="80" fillId="69" borderId="0" applyNumberFormat="0" applyBorder="0" applyAlignment="0" applyProtection="0"/>
    <xf numFmtId="0" fontId="80" fillId="64" borderId="0" applyNumberFormat="0" applyBorder="0" applyAlignment="0" applyProtection="0"/>
    <xf numFmtId="0" fontId="80" fillId="65" borderId="0" applyNumberFormat="0" applyBorder="0" applyAlignment="0" applyProtection="0"/>
    <xf numFmtId="0" fontId="80" fillId="70" borderId="0" applyNumberFormat="0" applyBorder="0" applyAlignment="0" applyProtection="0"/>
    <xf numFmtId="0" fontId="81" fillId="0" borderId="0" applyNumberFormat="0" applyFill="0" applyBorder="0" applyAlignment="0" applyProtection="0"/>
    <xf numFmtId="0" fontId="82" fillId="71" borderId="55" applyNumberFormat="0" applyAlignment="0" applyProtection="0"/>
    <xf numFmtId="0" fontId="83" fillId="0" borderId="56" applyNumberFormat="0" applyFill="0" applyAlignment="0" applyProtection="0"/>
    <xf numFmtId="0" fontId="79" fillId="72" borderId="57" applyNumberFormat="0" applyFont="0" applyAlignment="0" applyProtection="0"/>
    <xf numFmtId="0" fontId="84" fillId="58" borderId="55" applyNumberFormat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85" fillId="54" borderId="0" applyNumberFormat="0" applyBorder="0" applyAlignment="0" applyProtection="0"/>
    <xf numFmtId="0" fontId="86" fillId="73" borderId="0" applyNumberFormat="0" applyBorder="0" applyAlignment="0" applyProtection="0"/>
    <xf numFmtId="0" fontId="87" fillId="55" borderId="0" applyNumberFormat="0" applyBorder="0" applyAlignment="0" applyProtection="0"/>
    <xf numFmtId="0" fontId="88" fillId="71" borderId="58" applyNumberFormat="0" applyAlignment="0" applyProtection="0"/>
    <xf numFmtId="0" fontId="89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1" fillId="0" borderId="59" applyNumberFormat="0" applyFill="0" applyAlignment="0" applyProtection="0"/>
    <xf numFmtId="0" fontId="92" fillId="0" borderId="60" applyNumberFormat="0" applyFill="0" applyAlignment="0" applyProtection="0"/>
    <xf numFmtId="0" fontId="93" fillId="0" borderId="61" applyNumberFormat="0" applyFill="0" applyAlignment="0" applyProtection="0"/>
    <xf numFmtId="0" fontId="93" fillId="0" borderId="0" applyNumberFormat="0" applyFill="0" applyBorder="0" applyAlignment="0" applyProtection="0"/>
    <xf numFmtId="0" fontId="94" fillId="0" borderId="62" applyNumberFormat="0" applyFill="0" applyAlignment="0" applyProtection="0"/>
    <xf numFmtId="0" fontId="95" fillId="74" borderId="63" applyNumberFormat="0" applyAlignment="0" applyProtection="0"/>
    <xf numFmtId="0" fontId="13" fillId="0" borderId="0"/>
    <xf numFmtId="0" fontId="79" fillId="53" borderId="0" applyNumberFormat="0" applyBorder="0" applyAlignment="0" applyProtection="0"/>
    <xf numFmtId="0" fontId="79" fillId="54" borderId="0" applyNumberFormat="0" applyBorder="0" applyAlignment="0" applyProtection="0"/>
    <xf numFmtId="0" fontId="79" fillId="55" borderId="0" applyNumberFormat="0" applyBorder="0" applyAlignment="0" applyProtection="0"/>
    <xf numFmtId="0" fontId="79" fillId="56" borderId="0" applyNumberFormat="0" applyBorder="0" applyAlignment="0" applyProtection="0"/>
    <xf numFmtId="0" fontId="79" fillId="57" borderId="0" applyNumberFormat="0" applyBorder="0" applyAlignment="0" applyProtection="0"/>
    <xf numFmtId="0" fontId="79" fillId="58" borderId="0" applyNumberFormat="0" applyBorder="0" applyAlignment="0" applyProtection="0"/>
    <xf numFmtId="0" fontId="79" fillId="59" borderId="0" applyNumberFormat="0" applyBorder="0" applyAlignment="0" applyProtection="0"/>
    <xf numFmtId="0" fontId="79" fillId="60" borderId="0" applyNumberFormat="0" applyBorder="0" applyAlignment="0" applyProtection="0"/>
    <xf numFmtId="0" fontId="79" fillId="61" borderId="0" applyNumberFormat="0" applyBorder="0" applyAlignment="0" applyProtection="0"/>
    <xf numFmtId="0" fontId="79" fillId="56" borderId="0" applyNumberFormat="0" applyBorder="0" applyAlignment="0" applyProtection="0"/>
    <xf numFmtId="0" fontId="79" fillId="59" borderId="0" applyNumberFormat="0" applyBorder="0" applyAlignment="0" applyProtection="0"/>
    <xf numFmtId="0" fontId="79" fillId="62" borderId="0" applyNumberFormat="0" applyBorder="0" applyAlignment="0" applyProtection="0"/>
    <xf numFmtId="0" fontId="80" fillId="63" borderId="0" applyNumberFormat="0" applyBorder="0" applyAlignment="0" applyProtection="0"/>
    <xf numFmtId="0" fontId="80" fillId="60" borderId="0" applyNumberFormat="0" applyBorder="0" applyAlignment="0" applyProtection="0"/>
    <xf numFmtId="0" fontId="80" fillId="61" borderId="0" applyNumberFormat="0" applyBorder="0" applyAlignment="0" applyProtection="0"/>
    <xf numFmtId="0" fontId="80" fillId="64" borderId="0" applyNumberFormat="0" applyBorder="0" applyAlignment="0" applyProtection="0"/>
    <xf numFmtId="0" fontId="80" fillId="65" borderId="0" applyNumberFormat="0" applyBorder="0" applyAlignment="0" applyProtection="0"/>
    <xf numFmtId="0" fontId="80" fillId="66" borderId="0" applyNumberFormat="0" applyBorder="0" applyAlignment="0" applyProtection="0"/>
    <xf numFmtId="0" fontId="85" fillId="54" borderId="0" applyNumberFormat="0" applyBorder="0" applyAlignment="0" applyProtection="0"/>
    <xf numFmtId="0" fontId="82" fillId="71" borderId="55" applyNumberFormat="0" applyAlignment="0" applyProtection="0"/>
    <xf numFmtId="0" fontId="95" fillId="74" borderId="63" applyNumberFormat="0" applyAlignment="0" applyProtection="0"/>
    <xf numFmtId="0" fontId="89" fillId="0" borderId="0" applyNumberFormat="0" applyFill="0" applyBorder="0" applyAlignment="0" applyProtection="0"/>
    <xf numFmtId="0" fontId="87" fillId="55" borderId="0" applyNumberFormat="0" applyBorder="0" applyAlignment="0" applyProtection="0"/>
    <xf numFmtId="0" fontId="91" fillId="0" borderId="59" applyNumberFormat="0" applyFill="0" applyAlignment="0" applyProtection="0"/>
    <xf numFmtId="0" fontId="92" fillId="0" borderId="60" applyNumberFormat="0" applyFill="0" applyAlignment="0" applyProtection="0"/>
    <xf numFmtId="0" fontId="93" fillId="0" borderId="61" applyNumberFormat="0" applyFill="0" applyAlignment="0" applyProtection="0"/>
    <xf numFmtId="0" fontId="93" fillId="0" borderId="0" applyNumberFormat="0" applyFill="0" applyBorder="0" applyAlignment="0" applyProtection="0"/>
    <xf numFmtId="0" fontId="96" fillId="0" borderId="0" applyNumberFormat="0" applyFill="0" applyBorder="0" applyAlignment="0" applyProtection="0"/>
    <xf numFmtId="0" fontId="84" fillId="58" borderId="55" applyNumberFormat="0" applyAlignment="0" applyProtection="0"/>
    <xf numFmtId="0" fontId="83" fillId="0" borderId="56" applyNumberFormat="0" applyFill="0" applyAlignment="0" applyProtection="0"/>
    <xf numFmtId="0" fontId="86" fillId="73" borderId="0" applyNumberFormat="0" applyBorder="0" applyAlignment="0" applyProtection="0"/>
    <xf numFmtId="0" fontId="13" fillId="0" borderId="0"/>
    <xf numFmtId="0" fontId="64" fillId="0" borderId="0"/>
    <xf numFmtId="0" fontId="64" fillId="0" borderId="0"/>
    <xf numFmtId="0" fontId="13" fillId="0" borderId="0"/>
    <xf numFmtId="0" fontId="13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13" fillId="0" borderId="0"/>
    <xf numFmtId="0" fontId="13" fillId="0" borderId="0"/>
    <xf numFmtId="0" fontId="13" fillId="72" borderId="57" applyNumberFormat="0" applyFont="0" applyAlignment="0" applyProtection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88" fillId="71" borderId="58" applyNumberForma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90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64" fillId="0" borderId="0"/>
    <xf numFmtId="0" fontId="64" fillId="0" borderId="0"/>
    <xf numFmtId="0" fontId="13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13" fillId="0" borderId="0"/>
    <xf numFmtId="0" fontId="64" fillId="0" borderId="0"/>
    <xf numFmtId="0" fontId="13" fillId="0" borderId="0"/>
    <xf numFmtId="0" fontId="64" fillId="0" borderId="0"/>
    <xf numFmtId="0" fontId="13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13" fillId="0" borderId="0"/>
    <xf numFmtId="0" fontId="13" fillId="0" borderId="0"/>
    <xf numFmtId="0" fontId="64" fillId="0" borderId="0"/>
    <xf numFmtId="0" fontId="13" fillId="0" borderId="0"/>
    <xf numFmtId="0" fontId="64" fillId="0" borderId="0"/>
    <xf numFmtId="0" fontId="13" fillId="0" borderId="0"/>
    <xf numFmtId="0" fontId="64" fillId="0" borderId="0"/>
    <xf numFmtId="0" fontId="64" fillId="0" borderId="0"/>
    <xf numFmtId="0" fontId="64" fillId="0" borderId="0"/>
    <xf numFmtId="0" fontId="13" fillId="0" borderId="0"/>
    <xf numFmtId="0" fontId="13" fillId="0" borderId="0"/>
    <xf numFmtId="0" fontId="64" fillId="0" borderId="0"/>
    <xf numFmtId="0" fontId="13" fillId="0" borderId="0"/>
    <xf numFmtId="0" fontId="64" fillId="0" borderId="0"/>
    <xf numFmtId="0" fontId="13" fillId="0" borderId="0"/>
    <xf numFmtId="0" fontId="64" fillId="0" borderId="0"/>
    <xf numFmtId="0" fontId="13" fillId="0" borderId="0"/>
    <xf numFmtId="0" fontId="64" fillId="0" borderId="0"/>
    <xf numFmtId="0" fontId="64" fillId="0" borderId="0"/>
    <xf numFmtId="0" fontId="64" fillId="0" borderId="0"/>
    <xf numFmtId="0" fontId="82" fillId="71" borderId="55" applyNumberFormat="0" applyAlignment="0" applyProtection="0"/>
    <xf numFmtId="0" fontId="93" fillId="0" borderId="61" applyNumberFormat="0" applyFill="0" applyAlignment="0" applyProtection="0"/>
    <xf numFmtId="0" fontId="84" fillId="58" borderId="55" applyNumberFormat="0" applyAlignment="0" applyProtection="0"/>
    <xf numFmtId="0" fontId="64" fillId="0" borderId="0"/>
    <xf numFmtId="0" fontId="13" fillId="0" borderId="0"/>
    <xf numFmtId="0" fontId="13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13" fillId="72" borderId="57" applyNumberFormat="0" applyFont="0" applyAlignment="0" applyProtection="0"/>
    <xf numFmtId="0" fontId="88" fillId="71" borderId="58" applyNumberFormat="0" applyAlignment="0" applyProtection="0"/>
    <xf numFmtId="0" fontId="94" fillId="0" borderId="62" applyNumberFormat="0" applyFill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16" fillId="52" borderId="14">
      <alignment vertical="top"/>
    </xf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82" fillId="71" borderId="55" applyNumberFormat="0" applyAlignment="0" applyProtection="0"/>
    <xf numFmtId="0" fontId="84" fillId="58" borderId="55" applyNumberFormat="0" applyAlignment="0" applyProtection="0"/>
    <xf numFmtId="0" fontId="13" fillId="72" borderId="57" applyNumberFormat="0" applyFont="0" applyAlignment="0" applyProtection="0"/>
    <xf numFmtId="0" fontId="88" fillId="71" borderId="58" applyNumberFormat="0" applyAlignment="0" applyProtection="0"/>
    <xf numFmtId="0" fontId="94" fillId="0" borderId="62" applyNumberFormat="0" applyFill="0" applyAlignment="0" applyProtection="0"/>
    <xf numFmtId="0" fontId="13" fillId="0" borderId="14">
      <alignment vertical="top"/>
    </xf>
    <xf numFmtId="0" fontId="16" fillId="52" borderId="14">
      <alignment vertical="top"/>
    </xf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13" fillId="0" borderId="0"/>
    <xf numFmtId="0" fontId="64" fillId="0" borderId="0"/>
    <xf numFmtId="0" fontId="64" fillId="0" borderId="0"/>
    <xf numFmtId="0" fontId="64" fillId="0" borderId="0"/>
    <xf numFmtId="0" fontId="13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13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0" borderId="0"/>
    <xf numFmtId="0" fontId="64" fillId="0" borderId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0" borderId="0"/>
    <xf numFmtId="0" fontId="64" fillId="0" borderId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0" borderId="0"/>
    <xf numFmtId="0" fontId="64" fillId="0" borderId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0" borderId="0"/>
    <xf numFmtId="0" fontId="64" fillId="0" borderId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0" borderId="0"/>
    <xf numFmtId="0" fontId="64" fillId="0" borderId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13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13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0" borderId="0"/>
    <xf numFmtId="0" fontId="64" fillId="0" borderId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0" borderId="0"/>
    <xf numFmtId="0" fontId="64" fillId="0" borderId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0" borderId="0"/>
    <xf numFmtId="0" fontId="64" fillId="0" borderId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0" borderId="0"/>
    <xf numFmtId="0" fontId="64" fillId="0" borderId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0" borderId="0"/>
    <xf numFmtId="0" fontId="64" fillId="0" borderId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13" fillId="0" borderId="0"/>
    <xf numFmtId="0" fontId="13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0" borderId="0"/>
    <xf numFmtId="0" fontId="64" fillId="0" borderId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0" borderId="0"/>
    <xf numFmtId="0" fontId="64" fillId="0" borderId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0" borderId="0"/>
    <xf numFmtId="0" fontId="64" fillId="0" borderId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0" borderId="0"/>
    <xf numFmtId="0" fontId="64" fillId="0" borderId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0" borderId="0"/>
    <xf numFmtId="0" fontId="64" fillId="0" borderId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0" borderId="0"/>
    <xf numFmtId="0" fontId="64" fillId="0" borderId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0" borderId="0"/>
    <xf numFmtId="0" fontId="64" fillId="0" borderId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0" borderId="0"/>
    <xf numFmtId="0" fontId="64" fillId="0" borderId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0" borderId="0"/>
    <xf numFmtId="0" fontId="64" fillId="0" borderId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0" borderId="0"/>
    <xf numFmtId="0" fontId="64" fillId="0" borderId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0" borderId="0"/>
    <xf numFmtId="0" fontId="64" fillId="0" borderId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0" borderId="0"/>
    <xf numFmtId="0" fontId="64" fillId="0" borderId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0" borderId="0"/>
    <xf numFmtId="0" fontId="64" fillId="0" borderId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0" borderId="0"/>
    <xf numFmtId="0" fontId="64" fillId="0" borderId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0" borderId="0"/>
    <xf numFmtId="0" fontId="64" fillId="0" borderId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0" borderId="0"/>
    <xf numFmtId="0" fontId="64" fillId="0" borderId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0" borderId="0"/>
    <xf numFmtId="0" fontId="64" fillId="0" borderId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0" borderId="0"/>
    <xf numFmtId="0" fontId="64" fillId="0" borderId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0" borderId="0"/>
    <xf numFmtId="0" fontId="64" fillId="0" borderId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0" borderId="0"/>
    <xf numFmtId="0" fontId="64" fillId="0" borderId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9" borderId="0" applyNumberFormat="0" applyBorder="0" applyAlignment="0" applyProtection="0"/>
    <xf numFmtId="0" fontId="64" fillId="30" borderId="0" applyNumberFormat="0" applyBorder="0" applyAlignment="0" applyProtection="0"/>
    <xf numFmtId="0" fontId="64" fillId="33" borderId="0" applyNumberFormat="0" applyBorder="0" applyAlignment="0" applyProtection="0"/>
    <xf numFmtId="0" fontId="64" fillId="34" borderId="0" applyNumberFormat="0" applyBorder="0" applyAlignment="0" applyProtection="0"/>
    <xf numFmtId="0" fontId="64" fillId="37" borderId="0" applyNumberFormat="0" applyBorder="0" applyAlignment="0" applyProtection="0"/>
    <xf numFmtId="0" fontId="64" fillId="38" borderId="0" applyNumberFormat="0" applyBorder="0" applyAlignment="0" applyProtection="0"/>
    <xf numFmtId="0" fontId="64" fillId="41" borderId="0" applyNumberFormat="0" applyBorder="0" applyAlignment="0" applyProtection="0"/>
    <xf numFmtId="0" fontId="64" fillId="42" borderId="0" applyNumberFormat="0" applyBorder="0" applyAlignment="0" applyProtection="0"/>
    <xf numFmtId="0" fontId="64" fillId="45" borderId="0" applyNumberFormat="0" applyBorder="0" applyAlignment="0" applyProtection="0"/>
    <xf numFmtId="0" fontId="64" fillId="46" borderId="0" applyNumberFormat="0" applyBorder="0" applyAlignment="0" applyProtection="0"/>
    <xf numFmtId="0" fontId="64" fillId="49" borderId="0" applyNumberFormat="0" applyBorder="0" applyAlignment="0" applyProtection="0"/>
    <xf numFmtId="0" fontId="64" fillId="50" borderId="0" applyNumberFormat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27" borderId="53" applyNumberFormat="0" applyFont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13" fillId="0" borderId="0"/>
    <xf numFmtId="0" fontId="64" fillId="0" borderId="0"/>
    <xf numFmtId="0" fontId="64" fillId="0" borderId="0"/>
    <xf numFmtId="0" fontId="13" fillId="0" borderId="0"/>
    <xf numFmtId="0" fontId="13" fillId="0" borderId="0"/>
    <xf numFmtId="0" fontId="64" fillId="0" borderId="0"/>
    <xf numFmtId="0" fontId="13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13" fillId="0" borderId="0"/>
    <xf numFmtId="0" fontId="64" fillId="0" borderId="0"/>
    <xf numFmtId="0" fontId="13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64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0" fontId="17" fillId="0" borderId="0" applyNumberFormat="0" applyFill="0" applyBorder="0" applyAlignment="0" applyProtection="0">
      <alignment vertical="top"/>
      <protection locked="0"/>
    </xf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96" fillId="0" borderId="0" applyNumberFormat="0" applyFill="0" applyBorder="0" applyAlignment="0" applyProtection="0"/>
    <xf numFmtId="0" fontId="67" fillId="0" borderId="47" applyNumberFormat="0" applyFill="0" applyAlignment="0" applyProtection="0"/>
    <xf numFmtId="43" fontId="13" fillId="0" borderId="0" applyFont="0" applyFill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100" fillId="0" borderId="0"/>
    <xf numFmtId="0" fontId="101" fillId="0" borderId="0">
      <alignment horizontal="center"/>
    </xf>
    <xf numFmtId="0" fontId="101" fillId="0" borderId="0">
      <alignment horizontal="center" textRotation="90"/>
    </xf>
    <xf numFmtId="0" fontId="102" fillId="0" borderId="0"/>
    <xf numFmtId="178" fontId="102" fillId="0" borderId="0"/>
    <xf numFmtId="0" fontId="67" fillId="0" borderId="47" applyNumberFormat="0" applyFill="0" applyAlignment="0" applyProtection="0"/>
    <xf numFmtId="0" fontId="104" fillId="75" borderId="14">
      <alignment vertical="top"/>
    </xf>
    <xf numFmtId="0" fontId="103" fillId="0" borderId="0"/>
    <xf numFmtId="0" fontId="103" fillId="0" borderId="0"/>
    <xf numFmtId="0" fontId="103" fillId="0" borderId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05" fillId="0" borderId="0" applyNumberFormat="0" applyFill="0" applyBorder="0" applyAlignment="0" applyProtection="0">
      <alignment vertical="top"/>
      <protection locked="0"/>
    </xf>
    <xf numFmtId="0" fontId="106" fillId="0" borderId="0"/>
    <xf numFmtId="0" fontId="96" fillId="0" borderId="0" applyNumberFormat="0" applyFill="0" applyBorder="0" applyAlignment="0" applyProtection="0"/>
    <xf numFmtId="0" fontId="93" fillId="0" borderId="83" applyNumberFormat="0" applyFill="0" applyAlignment="0" applyProtection="0"/>
    <xf numFmtId="173" fontId="13" fillId="0" borderId="0" applyFont="0" applyFill="0" applyBorder="0" applyAlignment="0" applyProtection="0"/>
    <xf numFmtId="0" fontId="13" fillId="0" borderId="0"/>
    <xf numFmtId="0" fontId="122" fillId="0" borderId="0"/>
    <xf numFmtId="0" fontId="64" fillId="0" borderId="0"/>
    <xf numFmtId="9" fontId="13" fillId="0" borderId="0" applyFont="0" applyFill="0" applyBorder="0" applyAlignment="0" applyProtection="0"/>
    <xf numFmtId="173" fontId="21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43" fontId="122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64" fillId="27" borderId="53" applyNumberFormat="0" applyFont="0" applyAlignment="0" applyProtection="0"/>
    <xf numFmtId="0" fontId="93" fillId="0" borderId="84" applyNumberFormat="0" applyFill="0" applyAlignment="0" applyProtection="0"/>
    <xf numFmtId="0" fontId="84" fillId="58" borderId="89" applyNumberFormat="0" applyAlignment="0" applyProtection="0"/>
    <xf numFmtId="0" fontId="93" fillId="0" borderId="84" applyNumberFormat="0" applyFill="0" applyAlignment="0" applyProtection="0"/>
    <xf numFmtId="0" fontId="93" fillId="0" borderId="84" applyNumberFormat="0" applyFill="0" applyAlignment="0" applyProtection="0"/>
    <xf numFmtId="0" fontId="13" fillId="72" borderId="90" applyNumberFormat="0" applyFont="0" applyAlignment="0" applyProtection="0"/>
    <xf numFmtId="0" fontId="13" fillId="72" borderId="90" applyNumberFormat="0" applyFont="0" applyAlignment="0" applyProtection="0"/>
    <xf numFmtId="0" fontId="84" fillId="58" borderId="89" applyNumberFormat="0" applyAlignment="0" applyProtection="0"/>
    <xf numFmtId="0" fontId="82" fillId="71" borderId="89" applyNumberFormat="0" applyAlignment="0" applyProtection="0"/>
    <xf numFmtId="0" fontId="79" fillId="72" borderId="90" applyNumberFormat="0" applyFont="0" applyAlignment="0" applyProtection="0"/>
    <xf numFmtId="0" fontId="88" fillId="71" borderId="91" applyNumberFormat="0" applyAlignment="0" applyProtection="0"/>
    <xf numFmtId="0" fontId="82" fillId="71" borderId="89" applyNumberFormat="0" applyAlignment="0" applyProtection="0"/>
    <xf numFmtId="0" fontId="88" fillId="71" borderId="91" applyNumberFormat="0" applyAlignment="0" applyProtection="0"/>
    <xf numFmtId="0" fontId="88" fillId="71" borderId="91" applyNumberFormat="0" applyAlignment="0" applyProtection="0"/>
    <xf numFmtId="0" fontId="13" fillId="72" borderId="90" applyNumberFormat="0" applyFont="0" applyAlignment="0" applyProtection="0"/>
    <xf numFmtId="0" fontId="94" fillId="0" borderId="92" applyNumberFormat="0" applyFill="0" applyAlignment="0" applyProtection="0"/>
    <xf numFmtId="0" fontId="94" fillId="0" borderId="92" applyNumberFormat="0" applyFill="0" applyAlignment="0" applyProtection="0"/>
    <xf numFmtId="0" fontId="88" fillId="71" borderId="91" applyNumberFormat="0" applyAlignment="0" applyProtection="0"/>
    <xf numFmtId="0" fontId="84" fillId="58" borderId="89" applyNumberFormat="0" applyAlignment="0" applyProtection="0"/>
    <xf numFmtId="0" fontId="82" fillId="71" borderId="89" applyNumberFormat="0" applyAlignment="0" applyProtection="0"/>
    <xf numFmtId="0" fontId="84" fillId="58" borderId="89" applyNumberFormat="0" applyAlignment="0" applyProtection="0"/>
    <xf numFmtId="0" fontId="94" fillId="0" borderId="92" applyNumberFormat="0" applyFill="0" applyAlignment="0" applyProtection="0"/>
    <xf numFmtId="0" fontId="82" fillId="71" borderId="89" applyNumberFormat="0" applyAlignment="0" applyProtection="0"/>
    <xf numFmtId="0" fontId="93" fillId="0" borderId="84" applyNumberFormat="0" applyFill="0" applyAlignment="0" applyProtection="0"/>
    <xf numFmtId="0" fontId="93" fillId="0" borderId="97" applyNumberFormat="0" applyFill="0" applyAlignment="0" applyProtection="0"/>
    <xf numFmtId="0" fontId="93" fillId="0" borderId="97" applyNumberFormat="0" applyFill="0" applyAlignment="0" applyProtection="0"/>
    <xf numFmtId="0" fontId="84" fillId="58" borderId="99" applyNumberFormat="0" applyAlignment="0" applyProtection="0"/>
    <xf numFmtId="0" fontId="13" fillId="72" borderId="100" applyNumberFormat="0" applyFont="0" applyAlignment="0" applyProtection="0"/>
    <xf numFmtId="0" fontId="93" fillId="0" borderId="97" applyNumberFormat="0" applyFill="0" applyAlignment="0" applyProtection="0"/>
    <xf numFmtId="0" fontId="94" fillId="0" borderId="102" applyNumberFormat="0" applyFill="0" applyAlignment="0" applyProtection="0"/>
    <xf numFmtId="0" fontId="13" fillId="72" borderId="100" applyNumberFormat="0" applyFont="0" applyAlignment="0" applyProtection="0"/>
    <xf numFmtId="0" fontId="94" fillId="0" borderId="102" applyNumberFormat="0" applyFill="0" applyAlignment="0" applyProtection="0"/>
    <xf numFmtId="0" fontId="84" fillId="58" borderId="99" applyNumberFormat="0" applyAlignment="0" applyProtection="0"/>
    <xf numFmtId="0" fontId="88" fillId="71" borderId="101" applyNumberFormat="0" applyAlignment="0" applyProtection="0"/>
    <xf numFmtId="0" fontId="82" fillId="71" borderId="99" applyNumberFormat="0" applyAlignment="0" applyProtection="0"/>
    <xf numFmtId="0" fontId="84" fillId="58" borderId="99" applyNumberFormat="0" applyAlignment="0" applyProtection="0"/>
    <xf numFmtId="0" fontId="82" fillId="71" borderId="99" applyNumberFormat="0" applyAlignment="0" applyProtection="0"/>
    <xf numFmtId="0" fontId="88" fillId="71" borderId="101" applyNumberFormat="0" applyAlignment="0" applyProtection="0"/>
    <xf numFmtId="0" fontId="84" fillId="58" borderId="99" applyNumberFormat="0" applyAlignment="0" applyProtection="0"/>
    <xf numFmtId="0" fontId="82" fillId="71" borderId="99" applyNumberFormat="0" applyAlignment="0" applyProtection="0"/>
    <xf numFmtId="0" fontId="79" fillId="72" borderId="100" applyNumberFormat="0" applyFont="0" applyAlignment="0" applyProtection="0"/>
    <xf numFmtId="0" fontId="88" fillId="71" borderId="101" applyNumberFormat="0" applyAlignment="0" applyProtection="0"/>
    <xf numFmtId="0" fontId="13" fillId="72" borderId="100" applyNumberFormat="0" applyFont="0" applyAlignment="0" applyProtection="0"/>
    <xf numFmtId="0" fontId="82" fillId="71" borderId="99" applyNumberFormat="0" applyAlignment="0" applyProtection="0"/>
    <xf numFmtId="0" fontId="94" fillId="0" borderId="102" applyNumberFormat="0" applyFill="0" applyAlignment="0" applyProtection="0"/>
    <xf numFmtId="0" fontId="88" fillId="71" borderId="101" applyNumberFormat="0" applyAlignment="0" applyProtection="0"/>
    <xf numFmtId="0" fontId="93" fillId="0" borderId="97" applyNumberFormat="0" applyFill="0" applyAlignment="0" applyProtection="0"/>
    <xf numFmtId="0" fontId="93" fillId="0" borderId="97" applyNumberFormat="0" applyFill="0" applyAlignment="0" applyProtection="0"/>
    <xf numFmtId="0" fontId="93" fillId="0" borderId="97" applyNumberFormat="0" applyFill="0" applyAlignment="0" applyProtection="0"/>
    <xf numFmtId="0" fontId="13" fillId="0" borderId="103">
      <alignment vertical="top"/>
    </xf>
    <xf numFmtId="0" fontId="16" fillId="52" borderId="103">
      <alignment vertical="top"/>
    </xf>
    <xf numFmtId="0" fontId="84" fillId="58" borderId="114" applyNumberFormat="0" applyAlignment="0" applyProtection="0"/>
    <xf numFmtId="0" fontId="94" fillId="0" borderId="117" applyNumberFormat="0" applyFill="0" applyAlignment="0" applyProtection="0"/>
    <xf numFmtId="0" fontId="79" fillId="72" borderId="115" applyNumberFormat="0" applyFont="0" applyAlignment="0" applyProtection="0"/>
    <xf numFmtId="0" fontId="13" fillId="0" borderId="103">
      <alignment vertical="top"/>
    </xf>
    <xf numFmtId="0" fontId="82" fillId="71" borderId="114" applyNumberFormat="0" applyAlignment="0" applyProtection="0"/>
    <xf numFmtId="0" fontId="88" fillId="71" borderId="116" applyNumberFormat="0" applyAlignment="0" applyProtection="0"/>
    <xf numFmtId="0" fontId="82" fillId="71" borderId="108" applyNumberFormat="0" applyAlignment="0" applyProtection="0"/>
    <xf numFmtId="0" fontId="79" fillId="72" borderId="109" applyNumberFormat="0" applyFont="0" applyAlignment="0" applyProtection="0"/>
    <xf numFmtId="0" fontId="84" fillId="58" borderId="108" applyNumberFormat="0" applyAlignment="0" applyProtection="0"/>
    <xf numFmtId="0" fontId="88" fillId="71" borderId="110" applyNumberFormat="0" applyAlignment="0" applyProtection="0"/>
    <xf numFmtId="0" fontId="94" fillId="0" borderId="111" applyNumberFormat="0" applyFill="0" applyAlignment="0" applyProtection="0"/>
    <xf numFmtId="0" fontId="13" fillId="0" borderId="121">
      <alignment vertical="top"/>
    </xf>
    <xf numFmtId="0" fontId="13" fillId="0" borderId="121">
      <alignment vertical="top"/>
    </xf>
    <xf numFmtId="0" fontId="16" fillId="52" borderId="121">
      <alignment vertical="top"/>
    </xf>
    <xf numFmtId="0" fontId="82" fillId="71" borderId="124" applyNumberFormat="0" applyAlignment="0" applyProtection="0"/>
    <xf numFmtId="0" fontId="79" fillId="72" borderId="125" applyNumberFormat="0" applyFont="0" applyAlignment="0" applyProtection="0"/>
    <xf numFmtId="0" fontId="84" fillId="58" borderId="124" applyNumberFormat="0" applyAlignment="0" applyProtection="0"/>
    <xf numFmtId="0" fontId="88" fillId="71" borderId="126" applyNumberFormat="0" applyAlignment="0" applyProtection="0"/>
    <xf numFmtId="0" fontId="94" fillId="0" borderId="127" applyNumberFormat="0" applyFill="0" applyAlignment="0" applyProtection="0"/>
    <xf numFmtId="0" fontId="82" fillId="71" borderId="124" applyNumberFormat="0" applyAlignment="0" applyProtection="0"/>
    <xf numFmtId="0" fontId="84" fillId="58" borderId="124" applyNumberFormat="0" applyAlignment="0" applyProtection="0"/>
    <xf numFmtId="0" fontId="13" fillId="72" borderId="125" applyNumberFormat="0" applyFont="0" applyAlignment="0" applyProtection="0"/>
    <xf numFmtId="0" fontId="88" fillId="71" borderId="126" applyNumberFormat="0" applyAlignment="0" applyProtection="0"/>
    <xf numFmtId="0" fontId="82" fillId="71" borderId="124" applyNumberFormat="0" applyAlignment="0" applyProtection="0"/>
    <xf numFmtId="0" fontId="84" fillId="58" borderId="124" applyNumberFormat="0" applyAlignment="0" applyProtection="0"/>
    <xf numFmtId="0" fontId="13" fillId="72" borderId="125" applyNumberFormat="0" applyFont="0" applyAlignment="0" applyProtection="0"/>
    <xf numFmtId="0" fontId="88" fillId="71" borderId="126" applyNumberFormat="0" applyAlignment="0" applyProtection="0"/>
    <xf numFmtId="0" fontId="94" fillId="0" borderId="127" applyNumberFormat="0" applyFill="0" applyAlignment="0" applyProtection="0"/>
    <xf numFmtId="0" fontId="16" fillId="52" borderId="121">
      <alignment vertical="top"/>
    </xf>
    <xf numFmtId="0" fontId="82" fillId="71" borderId="124" applyNumberFormat="0" applyAlignment="0" applyProtection="0"/>
    <xf numFmtId="0" fontId="84" fillId="58" borderId="124" applyNumberFormat="0" applyAlignment="0" applyProtection="0"/>
    <xf numFmtId="0" fontId="13" fillId="72" borderId="125" applyNumberFormat="0" applyFont="0" applyAlignment="0" applyProtection="0"/>
    <xf numFmtId="0" fontId="88" fillId="71" borderId="126" applyNumberFormat="0" applyAlignment="0" applyProtection="0"/>
    <xf numFmtId="0" fontId="94" fillId="0" borderId="127" applyNumberFormat="0" applyFill="0" applyAlignment="0" applyProtection="0"/>
    <xf numFmtId="0" fontId="13" fillId="0" borderId="121">
      <alignment vertical="top"/>
    </xf>
    <xf numFmtId="0" fontId="16" fillId="52" borderId="121">
      <alignment vertical="top"/>
    </xf>
    <xf numFmtId="0" fontId="104" fillId="75" borderId="121">
      <alignment vertical="top"/>
    </xf>
    <xf numFmtId="0" fontId="84" fillId="58" borderId="128" applyNumberFormat="0" applyAlignment="0" applyProtection="0"/>
    <xf numFmtId="0" fontId="93" fillId="0" borderId="97" applyNumberFormat="0" applyFill="0" applyAlignment="0" applyProtection="0"/>
    <xf numFmtId="0" fontId="93" fillId="0" borderId="97" applyNumberFormat="0" applyFill="0" applyAlignment="0" applyProtection="0"/>
    <xf numFmtId="0" fontId="13" fillId="72" borderId="129" applyNumberFormat="0" applyFont="0" applyAlignment="0" applyProtection="0"/>
    <xf numFmtId="0" fontId="13" fillId="72" borderId="129" applyNumberFormat="0" applyFont="0" applyAlignment="0" applyProtection="0"/>
    <xf numFmtId="0" fontId="84" fillId="58" borderId="128" applyNumberFormat="0" applyAlignment="0" applyProtection="0"/>
    <xf numFmtId="0" fontId="82" fillId="71" borderId="128" applyNumberFormat="0" applyAlignment="0" applyProtection="0"/>
    <xf numFmtId="0" fontId="79" fillId="72" borderId="129" applyNumberFormat="0" applyFont="0" applyAlignment="0" applyProtection="0"/>
    <xf numFmtId="0" fontId="88" fillId="71" borderId="130" applyNumberFormat="0" applyAlignment="0" applyProtection="0"/>
    <xf numFmtId="0" fontId="82" fillId="71" borderId="128" applyNumberFormat="0" applyAlignment="0" applyProtection="0"/>
    <xf numFmtId="0" fontId="88" fillId="71" borderId="130" applyNumberFormat="0" applyAlignment="0" applyProtection="0"/>
    <xf numFmtId="0" fontId="88" fillId="71" borderId="130" applyNumberFormat="0" applyAlignment="0" applyProtection="0"/>
    <xf numFmtId="0" fontId="13" fillId="72" borderId="129" applyNumberFormat="0" applyFont="0" applyAlignment="0" applyProtection="0"/>
    <xf numFmtId="0" fontId="94" fillId="0" borderId="131" applyNumberFormat="0" applyFill="0" applyAlignment="0" applyProtection="0"/>
    <xf numFmtId="0" fontId="94" fillId="0" borderId="131" applyNumberFormat="0" applyFill="0" applyAlignment="0" applyProtection="0"/>
    <xf numFmtId="0" fontId="88" fillId="71" borderId="130" applyNumberFormat="0" applyAlignment="0" applyProtection="0"/>
    <xf numFmtId="0" fontId="84" fillId="58" borderId="128" applyNumberFormat="0" applyAlignment="0" applyProtection="0"/>
    <xf numFmtId="0" fontId="82" fillId="71" borderId="128" applyNumberFormat="0" applyAlignment="0" applyProtection="0"/>
    <xf numFmtId="0" fontId="84" fillId="58" borderId="128" applyNumberFormat="0" applyAlignment="0" applyProtection="0"/>
    <xf numFmtId="0" fontId="94" fillId="0" borderId="131" applyNumberFormat="0" applyFill="0" applyAlignment="0" applyProtection="0"/>
    <xf numFmtId="0" fontId="82" fillId="71" borderId="128" applyNumberFormat="0" applyAlignment="0" applyProtection="0"/>
    <xf numFmtId="0" fontId="93" fillId="0" borderId="97" applyNumberFormat="0" applyFill="0" applyAlignment="0" applyProtection="0"/>
    <xf numFmtId="0" fontId="82" fillId="71" borderId="136" applyNumberFormat="0" applyAlignment="0" applyProtection="0"/>
    <xf numFmtId="0" fontId="79" fillId="72" borderId="137" applyNumberFormat="0" applyFont="0" applyAlignment="0" applyProtection="0"/>
    <xf numFmtId="0" fontId="84" fillId="58" borderId="136" applyNumberFormat="0" applyAlignment="0" applyProtection="0"/>
    <xf numFmtId="185" fontId="13" fillId="0" borderId="0" applyFont="0" applyFill="0" applyBorder="0" applyAlignment="0" applyProtection="0"/>
    <xf numFmtId="185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186" fontId="13" fillId="0" borderId="0" applyFont="0" applyFill="0" applyBorder="0" applyAlignment="0" applyProtection="0"/>
    <xf numFmtId="0" fontId="88" fillId="71" borderId="138" applyNumberFormat="0" applyAlignment="0" applyProtection="0"/>
    <xf numFmtId="0" fontId="94" fillId="0" borderId="139" applyNumberFormat="0" applyFill="0" applyAlignment="0" applyProtection="0"/>
  </cellStyleXfs>
  <cellXfs count="1984">
    <xf numFmtId="0" fontId="0" fillId="0" borderId="0" xfId="0"/>
    <xf numFmtId="22" fontId="0" fillId="0" borderId="0" xfId="0" applyNumberFormat="1"/>
    <xf numFmtId="14" fontId="0" fillId="0" borderId="0" xfId="0" applyNumberFormat="1"/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horizontal="left" vertical="center"/>
    </xf>
    <xf numFmtId="14" fontId="4" fillId="0" borderId="0" xfId="0" applyNumberFormat="1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14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vertical="center" wrapText="1"/>
    </xf>
    <xf numFmtId="14" fontId="4" fillId="0" borderId="0" xfId="0" applyNumberFormat="1" applyFont="1" applyFill="1" applyAlignment="1">
      <alignment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4" fontId="5" fillId="0" borderId="0" xfId="0" applyNumberFormat="1" applyFont="1" applyFill="1" applyAlignment="1">
      <alignment vertical="center"/>
    </xf>
    <xf numFmtId="14" fontId="4" fillId="0" borderId="0" xfId="0" applyNumberFormat="1" applyFont="1" applyAlignment="1">
      <alignment vertical="center" wrapText="1"/>
    </xf>
    <xf numFmtId="1" fontId="4" fillId="0" borderId="0" xfId="0" applyNumberFormat="1" applyFont="1" applyAlignment="1">
      <alignment vertical="center" wrapText="1"/>
    </xf>
    <xf numFmtId="4" fontId="4" fillId="0" borderId="0" xfId="0" applyNumberFormat="1" applyFont="1" applyAlignment="1">
      <alignment vertical="center" wrapText="1"/>
    </xf>
    <xf numFmtId="0" fontId="2" fillId="0" borderId="0" xfId="0" applyFont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14" fontId="5" fillId="0" borderId="0" xfId="0" applyNumberFormat="1" applyFont="1" applyBorder="1" applyAlignment="1">
      <alignment vertical="center"/>
    </xf>
    <xf numFmtId="0" fontId="1" fillId="0" borderId="0" xfId="0" applyFont="1" applyAlignment="1">
      <alignment vertical="center" wrapText="1"/>
    </xf>
    <xf numFmtId="0" fontId="4" fillId="4" borderId="0" xfId="0" applyNumberFormat="1" applyFont="1" applyFill="1" applyBorder="1" applyAlignment="1">
      <alignment horizontal="left" vertical="center" wrapText="1"/>
    </xf>
    <xf numFmtId="0" fontId="4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vertical="center"/>
    </xf>
    <xf numFmtId="4" fontId="5" fillId="0" borderId="0" xfId="0" applyNumberFormat="1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4" fillId="4" borderId="0" xfId="0" applyNumberFormat="1" applyFont="1" applyFill="1" applyBorder="1" applyAlignment="1">
      <alignment horizontal="left" vertical="center" wrapText="1"/>
    </xf>
    <xf numFmtId="0" fontId="0" fillId="0" borderId="0" xfId="0" applyAlignment="1"/>
    <xf numFmtId="0" fontId="4" fillId="0" borderId="7" xfId="0" applyFont="1" applyBorder="1" applyAlignment="1">
      <alignment vertical="center"/>
    </xf>
    <xf numFmtId="4" fontId="4" fillId="0" borderId="6" xfId="0" applyNumberFormat="1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4" fontId="4" fillId="0" borderId="0" xfId="0" applyNumberFormat="1" applyFont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vertical="center"/>
    </xf>
    <xf numFmtId="0" fontId="11" fillId="0" borderId="14" xfId="0" applyFont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14" fontId="12" fillId="0" borderId="14" xfId="0" applyNumberFormat="1" applyFont="1" applyBorder="1" applyAlignment="1">
      <alignment horizontal="left" vertical="top" wrapText="1"/>
    </xf>
    <xf numFmtId="0" fontId="12" fillId="6" borderId="14" xfId="0" applyFont="1" applyFill="1" applyBorder="1" applyAlignment="1">
      <alignment horizontal="left" vertical="top" wrapText="1"/>
    </xf>
    <xf numFmtId="3" fontId="12" fillId="6" borderId="14" xfId="0" applyNumberFormat="1" applyFont="1" applyFill="1" applyBorder="1" applyAlignment="1">
      <alignment horizontal="left" vertical="top" wrapText="1"/>
    </xf>
    <xf numFmtId="0" fontId="0" fillId="7" borderId="0" xfId="0" applyFill="1" applyAlignment="1">
      <alignment horizontal="center"/>
    </xf>
    <xf numFmtId="0" fontId="0" fillId="0" borderId="14" xfId="0" applyBorder="1"/>
    <xf numFmtId="0" fontId="0" fillId="6" borderId="0" xfId="0" applyFill="1"/>
    <xf numFmtId="0" fontId="13" fillId="0" borderId="0" xfId="1" applyFill="1" applyBorder="1"/>
    <xf numFmtId="0" fontId="13" fillId="0" borderId="0" xfId="1"/>
    <xf numFmtId="0" fontId="16" fillId="0" borderId="0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vertical="center" wrapText="1"/>
    </xf>
    <xf numFmtId="0" fontId="15" fillId="0" borderId="19" xfId="1" applyFont="1" applyFill="1" applyBorder="1" applyAlignment="1">
      <alignment vertical="center" wrapText="1"/>
    </xf>
    <xf numFmtId="0" fontId="16" fillId="0" borderId="0" xfId="1" applyFont="1" applyFill="1" applyBorder="1" applyAlignment="1">
      <alignment vertical="center" wrapText="1"/>
    </xf>
    <xf numFmtId="0" fontId="15" fillId="0" borderId="0" xfId="1" applyFont="1" applyBorder="1" applyAlignment="1">
      <alignment vertical="center" wrapText="1"/>
    </xf>
    <xf numFmtId="0" fontId="13" fillId="0" borderId="0" xfId="1" applyBorder="1"/>
    <xf numFmtId="0" fontId="13" fillId="0" borderId="0" xfId="1" applyBorder="1" applyAlignment="1"/>
    <xf numFmtId="3" fontId="16" fillId="9" borderId="19" xfId="1" applyNumberFormat="1" applyFont="1" applyFill="1" applyBorder="1" applyAlignment="1">
      <alignment horizontal="center" vertical="center" wrapText="1"/>
    </xf>
    <xf numFmtId="3" fontId="16" fillId="9" borderId="0" xfId="1" applyNumberFormat="1" applyFont="1" applyFill="1" applyBorder="1" applyAlignment="1">
      <alignment horizontal="center" vertical="center" wrapText="1"/>
    </xf>
    <xf numFmtId="0" fontId="13" fillId="9" borderId="0" xfId="1" applyFill="1" applyBorder="1" applyAlignment="1">
      <alignment horizontal="center"/>
    </xf>
    <xf numFmtId="0" fontId="15" fillId="9" borderId="0" xfId="1" applyFont="1" applyFill="1" applyBorder="1" applyAlignment="1">
      <alignment horizontal="center" vertical="center" wrapText="1"/>
    </xf>
    <xf numFmtId="0" fontId="24" fillId="10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/>
    </xf>
    <xf numFmtId="0" fontId="29" fillId="7" borderId="0" xfId="0" applyFont="1" applyFill="1"/>
    <xf numFmtId="0" fontId="10" fillId="6" borderId="14" xfId="0" applyFont="1" applyFill="1" applyBorder="1" applyAlignment="1">
      <alignment vertical="center" wrapText="1"/>
    </xf>
    <xf numFmtId="0" fontId="32" fillId="7" borderId="0" xfId="0" applyFont="1" applyFill="1" applyAlignment="1">
      <alignment vertical="center"/>
    </xf>
    <xf numFmtId="0" fontId="32" fillId="0" borderId="14" xfId="0" applyFont="1" applyFill="1" applyBorder="1"/>
    <xf numFmtId="0" fontId="32" fillId="0" borderId="14" xfId="0" applyFont="1" applyFill="1" applyBorder="1" applyAlignment="1">
      <alignment vertical="center" wrapText="1"/>
    </xf>
    <xf numFmtId="0" fontId="17" fillId="0" borderId="14" xfId="3" applyFill="1" applyBorder="1" applyAlignment="1" applyProtection="1"/>
    <xf numFmtId="0" fontId="34" fillId="0" borderId="14" xfId="4" applyFont="1" applyFill="1" applyBorder="1" applyAlignment="1" applyProtection="1">
      <alignment vertical="center" wrapText="1"/>
    </xf>
    <xf numFmtId="0" fontId="35" fillId="0" borderId="14" xfId="4" applyFont="1" applyFill="1" applyBorder="1" applyAlignment="1" applyProtection="1">
      <alignment vertical="center" wrapText="1"/>
    </xf>
    <xf numFmtId="0" fontId="36" fillId="0" borderId="14" xfId="0" applyNumberFormat="1" applyFont="1" applyFill="1" applyBorder="1" applyAlignment="1"/>
    <xf numFmtId="0" fontId="34" fillId="0" borderId="14" xfId="4" applyFont="1" applyFill="1" applyBorder="1" applyAlignment="1" applyProtection="1"/>
    <xf numFmtId="0" fontId="32" fillId="0" borderId="14" xfId="0" applyFont="1" applyFill="1" applyBorder="1" applyAlignment="1">
      <alignment wrapText="1"/>
    </xf>
    <xf numFmtId="0" fontId="18" fillId="0" borderId="14" xfId="0" applyNumberFormat="1" applyFont="1" applyFill="1" applyBorder="1" applyAlignment="1"/>
    <xf numFmtId="0" fontId="18" fillId="0" borderId="14" xfId="0" applyFont="1" applyFill="1" applyBorder="1"/>
    <xf numFmtId="3" fontId="32" fillId="0" borderId="14" xfId="0" applyNumberFormat="1" applyFont="1" applyFill="1" applyBorder="1"/>
    <xf numFmtId="0" fontId="34" fillId="0" borderId="14" xfId="3" applyFont="1" applyFill="1" applyBorder="1" applyAlignment="1" applyProtection="1"/>
    <xf numFmtId="0" fontId="34" fillId="0" borderId="14" xfId="3" applyFont="1" applyFill="1" applyBorder="1" applyAlignment="1" applyProtection="1">
      <alignment vertical="center" wrapText="1"/>
    </xf>
    <xf numFmtId="0" fontId="35" fillId="0" borderId="14" xfId="3" applyFont="1" applyFill="1" applyBorder="1" applyAlignment="1" applyProtection="1">
      <alignment vertical="center" wrapText="1"/>
    </xf>
    <xf numFmtId="0" fontId="33" fillId="0" borderId="14" xfId="5" applyFill="1" applyBorder="1" applyAlignment="1" applyProtection="1"/>
    <xf numFmtId="0" fontId="32" fillId="0" borderId="0" xfId="0" applyFont="1" applyFill="1" applyAlignment="1">
      <alignment vertical="center" wrapText="1"/>
    </xf>
    <xf numFmtId="0" fontId="33" fillId="0" borderId="14" xfId="6" applyFont="1" applyFill="1" applyBorder="1" applyAlignment="1" applyProtection="1"/>
    <xf numFmtId="0" fontId="0" fillId="0" borderId="14" xfId="0" applyFill="1" applyBorder="1" applyAlignment="1">
      <alignment wrapText="1"/>
    </xf>
    <xf numFmtId="0" fontId="32" fillId="0" borderId="14" xfId="0" applyFont="1" applyBorder="1"/>
    <xf numFmtId="0" fontId="32" fillId="0" borderId="14" xfId="0" applyFont="1" applyBorder="1" applyAlignment="1">
      <alignment wrapText="1"/>
    </xf>
    <xf numFmtId="0" fontId="39" fillId="6" borderId="16" xfId="0" applyFont="1" applyFill="1" applyBorder="1" applyAlignment="1" applyProtection="1">
      <alignment horizontal="left" wrapText="1"/>
      <protection hidden="1"/>
    </xf>
    <xf numFmtId="0" fontId="10" fillId="6" borderId="0" xfId="0" applyFont="1" applyFill="1"/>
    <xf numFmtId="0" fontId="31" fillId="7" borderId="14" xfId="0" applyFont="1" applyFill="1" applyBorder="1"/>
    <xf numFmtId="0" fontId="18" fillId="0" borderId="14" xfId="0" applyFont="1" applyFill="1" applyBorder="1" applyAlignment="1" applyProtection="1">
      <alignment horizontal="left" wrapText="1"/>
      <protection hidden="1"/>
    </xf>
    <xf numFmtId="0" fontId="18" fillId="0" borderId="14" xfId="1" applyFont="1" applyBorder="1" applyAlignment="1">
      <alignment horizontal="left"/>
    </xf>
    <xf numFmtId="0" fontId="18" fillId="0" borderId="14" xfId="1" applyFont="1" applyFill="1" applyBorder="1"/>
    <xf numFmtId="0" fontId="18" fillId="0" borderId="14" xfId="1" applyFont="1" applyBorder="1"/>
    <xf numFmtId="0" fontId="18" fillId="7" borderId="0" xfId="2" applyFont="1" applyFill="1" applyAlignment="1">
      <alignment horizontal="center" wrapText="1"/>
    </xf>
    <xf numFmtId="0" fontId="18" fillId="12" borderId="14" xfId="2" applyFont="1" applyFill="1" applyBorder="1" applyAlignment="1">
      <alignment horizontal="center" wrapText="1"/>
    </xf>
    <xf numFmtId="0" fontId="18" fillId="12" borderId="14" xfId="2" applyFont="1" applyFill="1" applyBorder="1" applyAlignment="1">
      <alignment horizontal="left" wrapText="1"/>
    </xf>
    <xf numFmtId="0" fontId="18" fillId="12" borderId="14" xfId="2" applyFont="1" applyFill="1" applyBorder="1" applyAlignment="1">
      <alignment horizontal="center" vertical="center"/>
    </xf>
    <xf numFmtId="0" fontId="18" fillId="12" borderId="14" xfId="2" applyFont="1" applyFill="1" applyBorder="1" applyAlignment="1">
      <alignment horizontal="left" vertical="center"/>
    </xf>
    <xf numFmtId="9" fontId="0" fillId="7" borderId="0" xfId="0" applyNumberFormat="1" applyFill="1" applyAlignment="1">
      <alignment horizontal="center"/>
    </xf>
    <xf numFmtId="10" fontId="18" fillId="12" borderId="14" xfId="2" applyNumberFormat="1" applyFont="1" applyFill="1" applyBorder="1" applyAlignment="1">
      <alignment horizontal="center" vertical="center"/>
    </xf>
    <xf numFmtId="10" fontId="18" fillId="12" borderId="14" xfId="2" applyNumberFormat="1" applyFont="1" applyFill="1" applyBorder="1" applyAlignment="1">
      <alignment horizontal="left" vertical="center"/>
    </xf>
    <xf numFmtId="3" fontId="0" fillId="7" borderId="0" xfId="0" applyNumberFormat="1" applyFill="1" applyAlignment="1">
      <alignment horizontal="center"/>
    </xf>
    <xf numFmtId="3" fontId="18" fillId="12" borderId="14" xfId="2" applyNumberFormat="1" applyFont="1" applyFill="1" applyBorder="1" applyAlignment="1">
      <alignment horizontal="center" vertical="center"/>
    </xf>
    <xf numFmtId="0" fontId="0" fillId="7" borderId="0" xfId="0" applyFill="1" applyAlignment="1">
      <alignment horizontal="center" wrapText="1"/>
    </xf>
    <xf numFmtId="14" fontId="0" fillId="7" borderId="0" xfId="0" applyNumberFormat="1" applyFill="1" applyAlignment="1">
      <alignment horizontal="center"/>
    </xf>
    <xf numFmtId="14" fontId="18" fillId="12" borderId="14" xfId="2" applyNumberFormat="1" applyFont="1" applyFill="1" applyBorder="1" applyAlignment="1">
      <alignment horizontal="center" vertical="center"/>
    </xf>
    <xf numFmtId="14" fontId="18" fillId="12" borderId="14" xfId="2" applyNumberFormat="1" applyFont="1" applyFill="1" applyBorder="1" applyAlignment="1">
      <alignment horizontal="left" vertical="center"/>
    </xf>
    <xf numFmtId="0" fontId="0" fillId="0" borderId="7" xfId="0" applyBorder="1" applyAlignment="1"/>
    <xf numFmtId="0" fontId="0" fillId="0" borderId="0" xfId="0" applyBorder="1" applyAlignment="1">
      <alignment horizontal="center"/>
    </xf>
    <xf numFmtId="0" fontId="0" fillId="7" borderId="0" xfId="0" applyFill="1" applyBorder="1"/>
    <xf numFmtId="0" fontId="0" fillId="0" borderId="0" xfId="0" applyBorder="1"/>
    <xf numFmtId="14" fontId="16" fillId="3" borderId="0" xfId="2" applyNumberFormat="1" applyFont="1" applyFill="1" applyBorder="1" applyAlignment="1">
      <alignment horizontal="left"/>
    </xf>
    <xf numFmtId="0" fontId="30" fillId="0" borderId="0" xfId="0" applyFont="1" applyFill="1" applyBorder="1" applyAlignment="1">
      <alignment horizontal="left" vertical="center"/>
    </xf>
    <xf numFmtId="14" fontId="30" fillId="0" borderId="0" xfId="0" applyNumberFormat="1" applyFont="1" applyFill="1" applyBorder="1" applyAlignment="1">
      <alignment horizontal="left"/>
    </xf>
    <xf numFmtId="0" fontId="40" fillId="0" borderId="5" xfId="0" applyFont="1" applyFill="1" applyBorder="1" applyAlignment="1">
      <alignment horizontal="left"/>
    </xf>
    <xf numFmtId="14" fontId="30" fillId="0" borderId="5" xfId="0" applyNumberFormat="1" applyFont="1" applyFill="1" applyBorder="1" applyAlignment="1">
      <alignment horizontal="left" vertical="center"/>
    </xf>
    <xf numFmtId="0" fontId="3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30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vertical="center" wrapText="1"/>
    </xf>
    <xf numFmtId="0" fontId="30" fillId="0" borderId="0" xfId="0" applyFont="1" applyFill="1" applyBorder="1" applyAlignment="1">
      <alignment vertical="center" wrapText="1"/>
    </xf>
    <xf numFmtId="0" fontId="18" fillId="0" borderId="0" xfId="0" applyFont="1" applyBorder="1" applyAlignment="1">
      <alignment horizontal="left"/>
    </xf>
    <xf numFmtId="0" fontId="32" fillId="0" borderId="0" xfId="0" applyFont="1" applyBorder="1" applyAlignment="1">
      <alignment vertical="top" wrapText="1"/>
    </xf>
    <xf numFmtId="0" fontId="30" fillId="0" borderId="0" xfId="0" applyFont="1" applyFill="1" applyBorder="1" applyAlignment="1">
      <alignment horizontal="left"/>
    </xf>
    <xf numFmtId="0" fontId="40" fillId="0" borderId="0" xfId="0" applyFont="1" applyFill="1" applyBorder="1" applyAlignment="1"/>
    <xf numFmtId="0" fontId="45" fillId="0" borderId="0" xfId="0" applyFont="1" applyFill="1" applyBorder="1" applyAlignment="1">
      <alignment vertical="center" wrapText="1"/>
    </xf>
    <xf numFmtId="0" fontId="46" fillId="0" borderId="0" xfId="0" applyFont="1" applyFill="1" applyBorder="1" applyAlignment="1">
      <alignment horizontal="center" vertical="center" wrapText="1"/>
    </xf>
    <xf numFmtId="0" fontId="30" fillId="2" borderId="20" xfId="0" applyFont="1" applyFill="1" applyBorder="1" applyAlignment="1">
      <alignment horizontal="center" vertical="center"/>
    </xf>
    <xf numFmtId="2" fontId="30" fillId="6" borderId="23" xfId="0" applyNumberFormat="1" applyFont="1" applyFill="1" applyBorder="1" applyAlignment="1">
      <alignment horizontal="center" vertical="center" wrapText="1"/>
    </xf>
    <xf numFmtId="0" fontId="0" fillId="0" borderId="0" xfId="0" applyBorder="1" applyAlignment="1"/>
    <xf numFmtId="0" fontId="30" fillId="2" borderId="22" xfId="0" applyFont="1" applyFill="1" applyBorder="1" applyAlignment="1">
      <alignment horizontal="center" vertical="center"/>
    </xf>
    <xf numFmtId="0" fontId="32" fillId="0" borderId="0" xfId="0" applyFont="1" applyBorder="1" applyAlignment="1"/>
    <xf numFmtId="0" fontId="47" fillId="0" borderId="0" xfId="0" applyFont="1" applyFill="1" applyBorder="1" applyAlignment="1"/>
    <xf numFmtId="0" fontId="48" fillId="0" borderId="0" xfId="0" applyFont="1" applyFill="1" applyBorder="1" applyAlignment="1">
      <alignment horizontal="center"/>
    </xf>
    <xf numFmtId="0" fontId="48" fillId="0" borderId="0" xfId="0" applyFont="1" applyFill="1" applyBorder="1" applyAlignment="1"/>
    <xf numFmtId="0" fontId="44" fillId="6" borderId="28" xfId="0" applyNumberFormat="1" applyFont="1" applyFill="1" applyBorder="1" applyAlignment="1">
      <alignment horizontal="center" vertical="center" wrapText="1"/>
    </xf>
    <xf numFmtId="0" fontId="40" fillId="0" borderId="0" xfId="0" applyFont="1" applyFill="1" applyBorder="1" applyAlignment="1">
      <alignment horizontal="right" vertical="center" wrapText="1"/>
    </xf>
    <xf numFmtId="0" fontId="43" fillId="0" borderId="0" xfId="1" applyFont="1" applyFill="1" applyBorder="1" applyAlignment="1">
      <alignment horizontal="left" vertical="center"/>
    </xf>
    <xf numFmtId="0" fontId="32" fillId="0" borderId="13" xfId="0" applyFont="1" applyBorder="1" applyAlignment="1">
      <alignment horizontal="left"/>
    </xf>
    <xf numFmtId="3" fontId="40" fillId="0" borderId="29" xfId="0" applyNumberFormat="1" applyFont="1" applyFill="1" applyBorder="1" applyAlignment="1">
      <alignment horizontal="center" vertical="center" wrapText="1"/>
    </xf>
    <xf numFmtId="0" fontId="43" fillId="0" borderId="10" xfId="1" applyFont="1" applyFill="1" applyBorder="1" applyAlignment="1">
      <alignment horizontal="left" vertical="center"/>
    </xf>
    <xf numFmtId="0" fontId="32" fillId="0" borderId="9" xfId="0" applyFont="1" applyBorder="1" applyAlignment="1">
      <alignment horizontal="left"/>
    </xf>
    <xf numFmtId="0" fontId="32" fillId="0" borderId="7" xfId="0" applyFont="1" applyBorder="1" applyAlignment="1">
      <alignment vertical="top" wrapText="1"/>
    </xf>
    <xf numFmtId="0" fontId="44" fillId="0" borderId="0" xfId="0" applyNumberFormat="1" applyFont="1" applyFill="1" applyBorder="1" applyAlignment="1">
      <alignment horizontal="center" vertical="center" wrapText="1"/>
    </xf>
    <xf numFmtId="0" fontId="44" fillId="7" borderId="0" xfId="0" applyFont="1" applyFill="1" applyBorder="1" applyAlignment="1"/>
    <xf numFmtId="0" fontId="44" fillId="13" borderId="15" xfId="0" applyFont="1" applyFill="1" applyBorder="1" applyAlignment="1">
      <alignment horizontal="center" vertical="center" wrapText="1"/>
    </xf>
    <xf numFmtId="0" fontId="44" fillId="13" borderId="13" xfId="0" applyFont="1" applyFill="1" applyBorder="1" applyAlignment="1">
      <alignment horizontal="center" vertical="center" wrapText="1"/>
    </xf>
    <xf numFmtId="166" fontId="44" fillId="13" borderId="15" xfId="0" applyNumberFormat="1" applyFont="1" applyFill="1" applyBorder="1" applyAlignment="1">
      <alignment horizontal="center" vertical="center" wrapText="1"/>
    </xf>
    <xf numFmtId="4" fontId="44" fillId="13" borderId="15" xfId="0" applyNumberFormat="1" applyFont="1" applyFill="1" applyBorder="1" applyAlignment="1">
      <alignment horizontal="center" vertical="center" wrapText="1"/>
    </xf>
    <xf numFmtId="166" fontId="50" fillId="13" borderId="15" xfId="0" applyNumberFormat="1" applyFont="1" applyFill="1" applyBorder="1" applyAlignment="1">
      <alignment horizontal="center" vertical="center" wrapText="1"/>
    </xf>
    <xf numFmtId="166" fontId="50" fillId="13" borderId="11" xfId="0" applyNumberFormat="1" applyFont="1" applyFill="1" applyBorder="1" applyAlignment="1">
      <alignment horizontal="center" vertical="center" wrapText="1"/>
    </xf>
    <xf numFmtId="166" fontId="50" fillId="13" borderId="40" xfId="0" applyNumberFormat="1" applyFont="1" applyFill="1" applyBorder="1" applyAlignment="1">
      <alignment horizontal="center" vertical="center" wrapText="1"/>
    </xf>
    <xf numFmtId="0" fontId="0" fillId="4" borderId="0" xfId="0" applyFill="1"/>
    <xf numFmtId="0" fontId="18" fillId="0" borderId="14" xfId="0" applyFont="1" applyFill="1" applyBorder="1" applyAlignment="1">
      <alignment vertical="center"/>
    </xf>
    <xf numFmtId="0" fontId="0" fillId="0" borderId="0" xfId="0" applyFill="1" applyBorder="1"/>
    <xf numFmtId="0" fontId="0" fillId="0" borderId="0" xfId="0" applyFill="1"/>
    <xf numFmtId="0" fontId="30" fillId="0" borderId="7" xfId="2" applyFont="1" applyFill="1" applyBorder="1" applyAlignment="1">
      <alignment vertical="center" wrapText="1"/>
    </xf>
    <xf numFmtId="0" fontId="31" fillId="0" borderId="7" xfId="0" applyFont="1" applyFill="1" applyBorder="1" applyAlignment="1"/>
    <xf numFmtId="0" fontId="31" fillId="0" borderId="0" xfId="0" applyFont="1" applyFill="1" applyAlignment="1"/>
    <xf numFmtId="0" fontId="18" fillId="15" borderId="29" xfId="2" applyFont="1" applyFill="1" applyBorder="1" applyAlignment="1">
      <alignment horizontal="center"/>
    </xf>
    <xf numFmtId="0" fontId="18" fillId="15" borderId="14" xfId="2" applyFont="1" applyFill="1" applyBorder="1" applyAlignment="1">
      <alignment horizontal="center"/>
    </xf>
    <xf numFmtId="0" fontId="18" fillId="15" borderId="14" xfId="2" applyFont="1" applyFill="1" applyBorder="1" applyAlignment="1">
      <alignment horizontal="left"/>
    </xf>
    <xf numFmtId="0" fontId="31" fillId="15" borderId="7" xfId="0" applyFont="1" applyFill="1" applyBorder="1" applyAlignment="1"/>
    <xf numFmtId="0" fontId="0" fillId="15" borderId="0" xfId="0" applyFill="1" applyAlignment="1"/>
    <xf numFmtId="0" fontId="0" fillId="15" borderId="0" xfId="0" applyFill="1"/>
    <xf numFmtId="0" fontId="18" fillId="15" borderId="19" xfId="2" applyFont="1" applyFill="1" applyBorder="1" applyAlignment="1">
      <alignment horizontal="center"/>
    </xf>
    <xf numFmtId="0" fontId="18" fillId="15" borderId="14" xfId="2" applyFont="1" applyFill="1" applyBorder="1" applyAlignment="1">
      <alignment horizontal="center" vertical="center"/>
    </xf>
    <xf numFmtId="0" fontId="18" fillId="15" borderId="14" xfId="2" applyFont="1" applyFill="1" applyBorder="1" applyAlignment="1">
      <alignment horizontal="left" vertical="center"/>
    </xf>
    <xf numFmtId="0" fontId="28" fillId="0" borderId="11" xfId="0" applyFont="1" applyFill="1" applyBorder="1" applyAlignment="1"/>
    <xf numFmtId="0" fontId="28" fillId="0" borderId="12" xfId="0" applyFont="1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0" fontId="28" fillId="0" borderId="7" xfId="0" applyFont="1" applyFill="1" applyBorder="1" applyAlignment="1"/>
    <xf numFmtId="0" fontId="28" fillId="0" borderId="0" xfId="0" applyFont="1" applyFill="1" applyBorder="1" applyAlignment="1"/>
    <xf numFmtId="0" fontId="0" fillId="0" borderId="7" xfId="0" applyFill="1" applyBorder="1" applyAlignment="1"/>
    <xf numFmtId="0" fontId="0" fillId="0" borderId="0" xfId="0" applyFill="1" applyBorder="1" applyAlignment="1"/>
    <xf numFmtId="0" fontId="0" fillId="0" borderId="18" xfId="0" applyFill="1" applyBorder="1"/>
    <xf numFmtId="0" fontId="10" fillId="3" borderId="5" xfId="0" applyFont="1" applyFill="1" applyBorder="1" applyAlignment="1"/>
    <xf numFmtId="0" fontId="0" fillId="7" borderId="19" xfId="0" applyFill="1" applyBorder="1"/>
    <xf numFmtId="0" fontId="10" fillId="7" borderId="0" xfId="0" applyFont="1" applyFill="1" applyBorder="1" applyAlignment="1"/>
    <xf numFmtId="0" fontId="0" fillId="0" borderId="22" xfId="0" applyBorder="1"/>
    <xf numFmtId="0" fontId="0" fillId="0" borderId="19" xfId="0" applyBorder="1"/>
    <xf numFmtId="0" fontId="10" fillId="3" borderId="0" xfId="0" applyFont="1" applyFill="1" applyBorder="1" applyAlignment="1"/>
    <xf numFmtId="0" fontId="0" fillId="7" borderId="0" xfId="0" applyFill="1" applyBorder="1" applyAlignment="1"/>
    <xf numFmtId="0" fontId="0" fillId="7" borderId="22" xfId="0" applyFill="1" applyBorder="1" applyAlignment="1"/>
    <xf numFmtId="0" fontId="0" fillId="0" borderId="22" xfId="0" applyBorder="1" applyAlignment="1"/>
    <xf numFmtId="0" fontId="0" fillId="0" borderId="22" xfId="0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28" fillId="7" borderId="0" xfId="0" applyFont="1" applyFill="1" applyBorder="1"/>
    <xf numFmtId="0" fontId="28" fillId="7" borderId="0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3" borderId="0" xfId="0" applyFill="1" applyBorder="1"/>
    <xf numFmtId="0" fontId="29" fillId="7" borderId="0" xfId="0" applyFont="1" applyFill="1" applyBorder="1" applyAlignment="1"/>
    <xf numFmtId="0" fontId="29" fillId="0" borderId="0" xfId="0" applyFont="1" applyFill="1" applyBorder="1" applyAlignment="1"/>
    <xf numFmtId="0" fontId="0" fillId="0" borderId="19" xfId="0" applyFill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26" fillId="0" borderId="0" xfId="0" applyFont="1"/>
    <xf numFmtId="0" fontId="25" fillId="7" borderId="14" xfId="0" applyFont="1" applyFill="1" applyBorder="1" applyAlignment="1">
      <alignment horizontal="center"/>
    </xf>
    <xf numFmtId="0" fontId="19" fillId="7" borderId="14" xfId="0" applyFont="1" applyFill="1" applyBorder="1" applyAlignment="1">
      <alignment horizontal="center"/>
    </xf>
    <xf numFmtId="0" fontId="26" fillId="16" borderId="0" xfId="0" applyFont="1" applyFill="1"/>
    <xf numFmtId="0" fontId="20" fillId="16" borderId="0" xfId="0" applyFont="1" applyFill="1"/>
    <xf numFmtId="0" fontId="20" fillId="16" borderId="0" xfId="8" applyFont="1" applyFill="1"/>
    <xf numFmtId="0" fontId="10" fillId="17" borderId="14" xfId="0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19" fillId="6" borderId="0" xfId="0" applyFont="1" applyFill="1" applyAlignment="1">
      <alignment horizontal="center"/>
    </xf>
    <xf numFmtId="0" fontId="10" fillId="0" borderId="0" xfId="0" applyFont="1" applyFill="1" applyBorder="1" applyAlignment="1"/>
    <xf numFmtId="0" fontId="25" fillId="6" borderId="8" xfId="0" applyFont="1" applyFill="1" applyBorder="1" applyAlignment="1"/>
    <xf numFmtId="0" fontId="26" fillId="0" borderId="0" xfId="0" applyFont="1" applyFill="1"/>
    <xf numFmtId="0" fontId="28" fillId="16" borderId="0" xfId="0" applyFont="1" applyFill="1" applyAlignment="1"/>
    <xf numFmtId="0" fontId="19" fillId="3" borderId="8" xfId="0" applyFont="1" applyFill="1" applyBorder="1" applyAlignment="1"/>
    <xf numFmtId="0" fontId="25" fillId="0" borderId="0" xfId="0" applyFont="1" applyFill="1" applyBorder="1" applyAlignment="1"/>
    <xf numFmtId="0" fontId="25" fillId="0" borderId="0" xfId="0" applyFont="1" applyFill="1" applyBorder="1" applyAlignment="1">
      <alignment horizontal="center"/>
    </xf>
    <xf numFmtId="0" fontId="10" fillId="17" borderId="29" xfId="0" applyFont="1" applyFill="1" applyBorder="1" applyAlignment="1">
      <alignment horizontal="center" vertical="center"/>
    </xf>
    <xf numFmtId="0" fontId="0" fillId="6" borderId="29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26" fillId="16" borderId="12" xfId="0" applyFont="1" applyFill="1" applyBorder="1"/>
    <xf numFmtId="0" fontId="26" fillId="16" borderId="0" xfId="0" applyFont="1" applyFill="1" applyBorder="1"/>
    <xf numFmtId="0" fontId="20" fillId="16" borderId="0" xfId="0" applyFont="1" applyFill="1" applyBorder="1"/>
    <xf numFmtId="0" fontId="0" fillId="16" borderId="0" xfId="0" applyFill="1" applyBorder="1"/>
    <xf numFmtId="0" fontId="13" fillId="0" borderId="0" xfId="2" applyBorder="1"/>
    <xf numFmtId="0" fontId="18" fillId="0" borderId="0" xfId="2" applyFont="1" applyAlignment="1">
      <alignment horizontal="left"/>
    </xf>
    <xf numFmtId="0" fontId="58" fillId="0" borderId="0" xfId="2" applyFont="1" applyFill="1" applyBorder="1" applyAlignment="1">
      <alignment horizontal="center" vertical="center"/>
    </xf>
    <xf numFmtId="0" fontId="39" fillId="0" borderId="0" xfId="2" applyFont="1" applyFill="1" applyBorder="1" applyAlignment="1">
      <alignment horizontal="center" vertical="center"/>
    </xf>
    <xf numFmtId="14" fontId="30" fillId="0" borderId="0" xfId="2" applyNumberFormat="1" applyFont="1" applyFill="1" applyBorder="1" applyAlignment="1">
      <alignment horizontal="center" vertical="center"/>
    </xf>
    <xf numFmtId="0" fontId="30" fillId="2" borderId="0" xfId="2" applyFont="1" applyFill="1" applyBorder="1" applyAlignment="1">
      <alignment horizontal="center" vertical="center" wrapText="1"/>
    </xf>
    <xf numFmtId="0" fontId="18" fillId="0" borderId="0" xfId="2" applyFont="1" applyFill="1" applyBorder="1" applyAlignment="1">
      <alignment vertical="center"/>
    </xf>
    <xf numFmtId="4" fontId="18" fillId="0" borderId="0" xfId="2" applyNumberFormat="1" applyFont="1" applyBorder="1" applyAlignment="1">
      <alignment horizontal="center" vertical="center"/>
    </xf>
    <xf numFmtId="0" fontId="60" fillId="6" borderId="0" xfId="2" applyFont="1" applyFill="1" applyBorder="1" applyAlignment="1">
      <alignment vertical="center"/>
    </xf>
    <xf numFmtId="4" fontId="18" fillId="2" borderId="0" xfId="2" applyNumberFormat="1" applyFont="1" applyFill="1" applyBorder="1" applyAlignment="1">
      <alignment horizontal="center" vertical="center"/>
    </xf>
    <xf numFmtId="0" fontId="54" fillId="0" borderId="0" xfId="2" applyFont="1" applyAlignment="1">
      <alignment horizontal="center" vertical="center" textRotation="180"/>
    </xf>
    <xf numFmtId="0" fontId="60" fillId="6" borderId="39" xfId="2" applyFont="1" applyFill="1" applyBorder="1" applyAlignment="1">
      <alignment vertical="center"/>
    </xf>
    <xf numFmtId="0" fontId="60" fillId="6" borderId="8" xfId="2" applyFont="1" applyFill="1" applyBorder="1" applyAlignment="1">
      <alignment vertical="center"/>
    </xf>
    <xf numFmtId="4" fontId="54" fillId="0" borderId="14" xfId="2" applyNumberFormat="1" applyFont="1" applyFill="1" applyBorder="1" applyAlignment="1">
      <alignment vertical="center"/>
    </xf>
    <xf numFmtId="2" fontId="54" fillId="0" borderId="14" xfId="2" applyNumberFormat="1" applyFont="1" applyFill="1" applyBorder="1" applyAlignment="1">
      <alignment vertical="center"/>
    </xf>
    <xf numFmtId="0" fontId="30" fillId="0" borderId="30" xfId="2" applyFont="1" applyFill="1" applyBorder="1" applyAlignment="1">
      <alignment horizontal="center" vertical="center"/>
    </xf>
    <xf numFmtId="0" fontId="54" fillId="0" borderId="14" xfId="2" applyFont="1" applyFill="1" applyBorder="1" applyAlignment="1">
      <alignment horizontal="center" vertical="center"/>
    </xf>
    <xf numFmtId="9" fontId="54" fillId="0" borderId="14" xfId="2" applyNumberFormat="1" applyFont="1" applyFill="1" applyBorder="1" applyAlignment="1">
      <alignment horizontal="center" vertical="center"/>
    </xf>
    <xf numFmtId="0" fontId="54" fillId="0" borderId="14" xfId="2" applyNumberFormat="1" applyFont="1" applyFill="1" applyBorder="1" applyAlignment="1">
      <alignment horizontal="center" vertical="center"/>
    </xf>
    <xf numFmtId="171" fontId="54" fillId="0" borderId="14" xfId="9" applyNumberFormat="1" applyFont="1" applyFill="1" applyBorder="1" applyAlignment="1">
      <alignment horizontal="center" vertical="center"/>
    </xf>
    <xf numFmtId="172" fontId="54" fillId="0" borderId="14" xfId="9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/>
    </xf>
    <xf numFmtId="9" fontId="41" fillId="0" borderId="13" xfId="2" applyNumberFormat="1" applyFont="1" applyFill="1" applyBorder="1" applyAlignment="1">
      <alignment horizontal="center" vertical="center"/>
    </xf>
    <xf numFmtId="9" fontId="30" fillId="0" borderId="45" xfId="2" applyNumberFormat="1" applyFont="1" applyFill="1" applyBorder="1" applyAlignment="1">
      <alignment horizontal="center" vertical="center"/>
    </xf>
    <xf numFmtId="0" fontId="54" fillId="0" borderId="9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center" vertical="center"/>
    </xf>
    <xf numFmtId="0" fontId="30" fillId="0" borderId="29" xfId="2" applyFont="1" applyFill="1" applyBorder="1" applyAlignment="1">
      <alignment horizontal="center" vertical="center"/>
    </xf>
    <xf numFmtId="0" fontId="18" fillId="2" borderId="0" xfId="2" applyNumberFormat="1" applyFont="1" applyFill="1" applyBorder="1" applyAlignment="1">
      <alignment horizontal="center"/>
    </xf>
    <xf numFmtId="165" fontId="30" fillId="3" borderId="33" xfId="2" applyNumberFormat="1" applyFont="1" applyFill="1" applyBorder="1" applyAlignment="1">
      <alignment horizontal="center" vertical="center"/>
    </xf>
    <xf numFmtId="165" fontId="30" fillId="3" borderId="36" xfId="2" applyNumberFormat="1" applyFont="1" applyFill="1" applyBorder="1" applyAlignment="1">
      <alignment horizontal="center" vertical="center"/>
    </xf>
    <xf numFmtId="165" fontId="30" fillId="3" borderId="32" xfId="2" applyNumberFormat="1" applyFont="1" applyFill="1" applyBorder="1" applyAlignment="1">
      <alignment horizontal="center" vertical="center"/>
    </xf>
    <xf numFmtId="165" fontId="30" fillId="3" borderId="41" xfId="2" applyNumberFormat="1" applyFont="1" applyFill="1" applyBorder="1" applyAlignment="1">
      <alignment horizontal="center" vertical="center"/>
    </xf>
    <xf numFmtId="10" fontId="30" fillId="0" borderId="14" xfId="2" applyNumberFormat="1" applyFont="1" applyFill="1" applyBorder="1" applyAlignment="1">
      <alignment horizontal="center" vertical="center"/>
    </xf>
    <xf numFmtId="9" fontId="30" fillId="0" borderId="11" xfId="2" applyNumberFormat="1" applyFont="1" applyFill="1" applyBorder="1" applyAlignment="1">
      <alignment horizontal="center" vertical="center"/>
    </xf>
    <xf numFmtId="4" fontId="0" fillId="0" borderId="19" xfId="0" applyNumberFormat="1" applyBorder="1"/>
    <xf numFmtId="4" fontId="0" fillId="0" borderId="0" xfId="0" applyNumberFormat="1" applyBorder="1"/>
    <xf numFmtId="10" fontId="41" fillId="0" borderId="14" xfId="2" applyNumberFormat="1" applyFont="1" applyFill="1" applyBorder="1" applyAlignment="1">
      <alignment horizontal="center" vertical="center"/>
    </xf>
    <xf numFmtId="4" fontId="41" fillId="0" borderId="0" xfId="2" applyNumberFormat="1" applyFont="1" applyFill="1" applyBorder="1" applyAlignment="1">
      <alignment horizontal="center" vertical="center"/>
    </xf>
    <xf numFmtId="165" fontId="30" fillId="3" borderId="43" xfId="2" applyNumberFormat="1" applyFont="1" applyFill="1" applyBorder="1" applyAlignment="1">
      <alignment horizontal="center" vertical="center"/>
    </xf>
    <xf numFmtId="4" fontId="41" fillId="0" borderId="14" xfId="2" applyNumberFormat="1" applyFont="1" applyFill="1" applyBorder="1" applyAlignment="1">
      <alignment horizontal="center" vertical="center"/>
    </xf>
    <xf numFmtId="0" fontId="0" fillId="0" borderId="18" xfId="0" applyBorder="1"/>
    <xf numFmtId="0" fontId="0" fillId="0" borderId="20" xfId="0" applyBorder="1"/>
    <xf numFmtId="3" fontId="39" fillId="0" borderId="0" xfId="2" applyNumberFormat="1" applyFont="1" applyFill="1" applyBorder="1" applyAlignment="1">
      <alignment vertical="center"/>
    </xf>
    <xf numFmtId="9" fontId="18" fillId="7" borderId="0" xfId="2" applyNumberFormat="1" applyFont="1" applyFill="1" applyAlignment="1">
      <alignment horizontal="center" wrapText="1"/>
    </xf>
    <xf numFmtId="10" fontId="18" fillId="12" borderId="14" xfId="2" applyNumberFormat="1" applyFont="1" applyFill="1" applyBorder="1" applyAlignment="1">
      <alignment horizontal="center" wrapText="1"/>
    </xf>
    <xf numFmtId="0" fontId="30" fillId="0" borderId="0" xfId="2" applyFont="1" applyFill="1" applyBorder="1" applyAlignment="1">
      <alignment horizontal="center" vertical="center"/>
    </xf>
    <xf numFmtId="43" fontId="18" fillId="2" borderId="19" xfId="2" applyNumberFormat="1" applyFont="1" applyFill="1" applyBorder="1" applyAlignment="1">
      <alignment horizontal="center" vertical="center"/>
    </xf>
    <xf numFmtId="43" fontId="18" fillId="0" borderId="19" xfId="2" applyNumberFormat="1" applyFont="1" applyBorder="1" applyAlignment="1">
      <alignment horizontal="center" vertical="center"/>
    </xf>
    <xf numFmtId="43" fontId="18" fillId="2" borderId="25" xfId="2" applyNumberFormat="1" applyFont="1" applyFill="1" applyBorder="1" applyAlignment="1">
      <alignment horizontal="center" vertical="center"/>
    </xf>
    <xf numFmtId="0" fontId="32" fillId="0" borderId="14" xfId="0" applyFont="1" applyFill="1" applyBorder="1"/>
    <xf numFmtId="14" fontId="32" fillId="0" borderId="14" xfId="0" applyNumberFormat="1" applyFont="1" applyFill="1" applyBorder="1"/>
    <xf numFmtId="0" fontId="0" fillId="0" borderId="0" xfId="0" applyFill="1"/>
    <xf numFmtId="0" fontId="0" fillId="0" borderId="14" xfId="0" applyFill="1" applyBorder="1"/>
    <xf numFmtId="0" fontId="0" fillId="0" borderId="0" xfId="0"/>
    <xf numFmtId="0" fontId="0" fillId="0" borderId="0" xfId="0" applyAlignment="1">
      <alignment vertical="center" wrapText="1"/>
    </xf>
    <xf numFmtId="0" fontId="0" fillId="0" borderId="14" xfId="0" applyBorder="1"/>
    <xf numFmtId="0" fontId="0" fillId="0" borderId="0" xfId="0" applyAlignment="1">
      <alignment horizontal="center"/>
    </xf>
    <xf numFmtId="0" fontId="0" fillId="0" borderId="0" xfId="0" applyAlignment="1"/>
    <xf numFmtId="0" fontId="18" fillId="12" borderId="14" xfId="2" applyNumberFormat="1" applyFont="1" applyFill="1" applyBorder="1" applyAlignment="1">
      <alignment horizontal="center" wrapText="1"/>
    </xf>
    <xf numFmtId="2" fontId="32" fillId="0" borderId="14" xfId="0" applyNumberFormat="1" applyFont="1" applyFill="1" applyBorder="1"/>
    <xf numFmtId="4" fontId="32" fillId="0" borderId="14" xfId="0" applyNumberFormat="1" applyFont="1" applyFill="1" applyBorder="1"/>
    <xf numFmtId="0" fontId="0" fillId="5" borderId="24" xfId="0" applyFill="1" applyBorder="1"/>
    <xf numFmtId="0" fontId="30" fillId="0" borderId="0" xfId="2" applyFont="1" applyFill="1" applyBorder="1" applyAlignment="1">
      <alignment horizontal="center" vertical="center"/>
    </xf>
    <xf numFmtId="165" fontId="30" fillId="3" borderId="18" xfId="2" applyNumberFormat="1" applyFont="1" applyFill="1" applyBorder="1" applyAlignment="1">
      <alignment horizontal="center" vertical="center"/>
    </xf>
    <xf numFmtId="165" fontId="30" fillId="3" borderId="5" xfId="2" applyNumberFormat="1" applyFont="1" applyFill="1" applyBorder="1" applyAlignment="1">
      <alignment horizontal="center" vertical="center"/>
    </xf>
    <xf numFmtId="166" fontId="50" fillId="0" borderId="0" xfId="0" applyNumberFormat="1" applyFont="1" applyFill="1" applyBorder="1" applyAlignment="1">
      <alignment horizontal="center" vertical="center" wrapText="1"/>
    </xf>
    <xf numFmtId="0" fontId="32" fillId="0" borderId="31" xfId="0" applyNumberFormat="1" applyFont="1" applyFill="1" applyBorder="1"/>
    <xf numFmtId="4" fontId="18" fillId="2" borderId="26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center" vertical="center"/>
    </xf>
    <xf numFmtId="2" fontId="32" fillId="0" borderId="31" xfId="0" applyNumberFormat="1" applyFont="1" applyFill="1" applyBorder="1"/>
    <xf numFmtId="0" fontId="0" fillId="0" borderId="0" xfId="0"/>
    <xf numFmtId="0" fontId="0" fillId="0" borderId="0" xfId="0" applyFill="1"/>
    <xf numFmtId="0" fontId="0" fillId="0" borderId="0" xfId="0" applyBorder="1"/>
    <xf numFmtId="0" fontId="0" fillId="0" borderId="0" xfId="0" applyFill="1" applyBorder="1"/>
    <xf numFmtId="0" fontId="0" fillId="0" borderId="19" xfId="0" applyBorder="1"/>
    <xf numFmtId="4" fontId="32" fillId="0" borderId="31" xfId="0" applyNumberFormat="1" applyFont="1" applyFill="1" applyBorder="1"/>
    <xf numFmtId="43" fontId="18" fillId="2" borderId="0" xfId="2" applyNumberFormat="1" applyFont="1" applyFill="1" applyBorder="1" applyAlignment="1">
      <alignment vertical="center"/>
    </xf>
    <xf numFmtId="43" fontId="18" fillId="0" borderId="0" xfId="2" applyNumberFormat="1" applyFont="1" applyBorder="1" applyAlignment="1">
      <alignment vertical="center"/>
    </xf>
    <xf numFmtId="43" fontId="18" fillId="2" borderId="26" xfId="2" applyNumberFormat="1" applyFont="1" applyFill="1" applyBorder="1" applyAlignment="1">
      <alignment vertical="center"/>
    </xf>
    <xf numFmtId="0" fontId="30" fillId="0" borderId="0" xfId="2" applyFont="1" applyFill="1" applyBorder="1" applyAlignment="1">
      <alignment horizontal="center" vertical="center"/>
    </xf>
    <xf numFmtId="43" fontId="18" fillId="2" borderId="0" xfId="2" applyNumberFormat="1" applyFont="1" applyFill="1" applyBorder="1" applyAlignment="1">
      <alignment horizontal="center" vertical="center"/>
    </xf>
    <xf numFmtId="43" fontId="18" fillId="0" borderId="0" xfId="2" applyNumberFormat="1" applyFont="1" applyBorder="1" applyAlignment="1">
      <alignment horizontal="center" vertical="center"/>
    </xf>
    <xf numFmtId="43" fontId="18" fillId="2" borderId="26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 wrapText="1"/>
    </xf>
    <xf numFmtId="165" fontId="30" fillId="3" borderId="64" xfId="2" applyNumberFormat="1" applyFont="1" applyFill="1" applyBorder="1" applyAlignment="1">
      <alignment horizontal="center" vertical="center"/>
    </xf>
    <xf numFmtId="165" fontId="30" fillId="3" borderId="65" xfId="2" applyNumberFormat="1" applyFont="1" applyFill="1" applyBorder="1" applyAlignment="1">
      <alignment horizontal="center" vertical="center"/>
    </xf>
    <xf numFmtId="4" fontId="54" fillId="0" borderId="14" xfId="2" applyNumberFormat="1" applyFont="1" applyFill="1" applyBorder="1" applyAlignment="1">
      <alignment horizontal="left" vertical="top" wrapText="1"/>
    </xf>
    <xf numFmtId="4" fontId="32" fillId="0" borderId="0" xfId="0" applyNumberFormat="1" applyFont="1" applyBorder="1" applyAlignment="1">
      <alignment horizontal="center" vertical="center"/>
    </xf>
    <xf numFmtId="10" fontId="54" fillId="0" borderId="14" xfId="2" applyNumberFormat="1" applyFont="1" applyFill="1" applyBorder="1" applyAlignment="1">
      <alignment horizontal="left" vertical="top" wrapText="1"/>
    </xf>
    <xf numFmtId="165" fontId="30" fillId="3" borderId="35" xfId="2" applyNumberFormat="1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left" vertical="top"/>
    </xf>
    <xf numFmtId="8" fontId="0" fillId="0" borderId="0" xfId="0" applyNumberFormat="1" applyBorder="1"/>
    <xf numFmtId="175" fontId="0" fillId="4" borderId="0" xfId="0" applyNumberFormat="1" applyFill="1" applyBorder="1" applyAlignment="1"/>
    <xf numFmtId="175" fontId="0" fillId="0" borderId="0" xfId="0" applyNumberFormat="1" applyFill="1" applyBorder="1" applyAlignment="1"/>
    <xf numFmtId="165" fontId="0" fillId="0" borderId="0" xfId="0" applyNumberFormat="1" applyFont="1" applyBorder="1"/>
    <xf numFmtId="0" fontId="20" fillId="0" borderId="0" xfId="2" applyFont="1" applyBorder="1" applyAlignment="1">
      <alignment vertical="center" wrapText="1"/>
    </xf>
    <xf numFmtId="0" fontId="97" fillId="0" borderId="18" xfId="0" applyFont="1" applyFill="1" applyBorder="1" applyAlignment="1">
      <alignment horizontal="center"/>
    </xf>
    <xf numFmtId="0" fontId="97" fillId="0" borderId="5" xfId="0" applyFont="1" applyFill="1" applyBorder="1" applyAlignment="1">
      <alignment horizontal="center"/>
    </xf>
    <xf numFmtId="4" fontId="59" fillId="0" borderId="19" xfId="0" applyNumberFormat="1" applyFont="1" applyFill="1" applyBorder="1" applyAlignment="1">
      <alignment horizontal="center" vertical="center" wrapText="1"/>
    </xf>
    <xf numFmtId="9" fontId="59" fillId="0" borderId="19" xfId="0" applyNumberFormat="1" applyFont="1" applyFill="1" applyBorder="1" applyAlignment="1">
      <alignment horizontal="center" vertical="center" wrapText="1"/>
    </xf>
    <xf numFmtId="4" fontId="59" fillId="0" borderId="0" xfId="0" applyNumberFormat="1" applyFont="1" applyFill="1" applyBorder="1" applyAlignment="1">
      <alignment horizontal="center" vertical="center" wrapText="1"/>
    </xf>
    <xf numFmtId="9" fontId="59" fillId="0" borderId="25" xfId="0" applyNumberFormat="1" applyFont="1" applyFill="1" applyBorder="1" applyAlignment="1">
      <alignment horizontal="center" vertical="center" wrapText="1"/>
    </xf>
    <xf numFmtId="0" fontId="0" fillId="0" borderId="27" xfId="0" applyFill="1" applyBorder="1"/>
    <xf numFmtId="0" fontId="59" fillId="0" borderId="0" xfId="0" applyFont="1" applyFill="1" applyBorder="1" applyAlignment="1">
      <alignment horizontal="center" vertical="center" wrapText="1"/>
    </xf>
    <xf numFmtId="0" fontId="0" fillId="20" borderId="21" xfId="0" applyFill="1" applyBorder="1"/>
    <xf numFmtId="165" fontId="18" fillId="0" borderId="0" xfId="2" applyNumberFormat="1" applyFont="1" applyBorder="1" applyAlignment="1">
      <alignment horizontal="center" vertical="center"/>
    </xf>
    <xf numFmtId="165" fontId="30" fillId="0" borderId="0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top" wrapText="1"/>
    </xf>
    <xf numFmtId="4" fontId="54" fillId="0" borderId="14" xfId="2" applyNumberFormat="1" applyFont="1" applyFill="1" applyBorder="1" applyAlignment="1">
      <alignment horizontal="left" vertical="center" wrapText="1"/>
    </xf>
    <xf numFmtId="0" fontId="32" fillId="0" borderId="14" xfId="0" applyNumberFormat="1" applyFont="1" applyFill="1" applyBorder="1"/>
    <xf numFmtId="0" fontId="0" fillId="0" borderId="0" xfId="0" applyAlignment="1">
      <alignment horizontal="center"/>
    </xf>
    <xf numFmtId="0" fontId="63" fillId="0" borderId="0" xfId="0" applyFont="1" applyBorder="1" applyAlignment="1">
      <alignment horizontal="center" vertical="center"/>
    </xf>
    <xf numFmtId="0" fontId="54" fillId="0" borderId="0" xfId="2" applyFont="1" applyAlignment="1">
      <alignment horizontal="center" vertical="center" textRotation="180"/>
    </xf>
    <xf numFmtId="0" fontId="18" fillId="0" borderId="14" xfId="9" applyNumberFormat="1" applyFont="1" applyFill="1" applyBorder="1" applyAlignment="1">
      <alignment horizontal="left" vertical="center"/>
    </xf>
    <xf numFmtId="0" fontId="54" fillId="0" borderId="0" xfId="2" applyFont="1" applyBorder="1" applyAlignment="1">
      <alignment horizontal="center" vertical="center" textRotation="180"/>
    </xf>
    <xf numFmtId="0" fontId="54" fillId="0" borderId="22" xfId="2" applyFont="1" applyBorder="1" applyAlignment="1">
      <alignment horizontal="center" vertical="center" textRotation="180"/>
    </xf>
    <xf numFmtId="2" fontId="54" fillId="0" borderId="40" xfId="2" applyNumberFormat="1" applyFont="1" applyFill="1" applyBorder="1" applyAlignment="1">
      <alignment vertical="center"/>
    </xf>
    <xf numFmtId="0" fontId="54" fillId="0" borderId="14" xfId="2" applyNumberFormat="1" applyFont="1" applyFill="1" applyBorder="1" applyAlignment="1">
      <alignment vertical="center"/>
    </xf>
    <xf numFmtId="166" fontId="50" fillId="0" borderId="0" xfId="0" applyNumberFormat="1" applyFont="1" applyFill="1" applyBorder="1" applyAlignment="1">
      <alignment vertical="center" wrapText="1"/>
    </xf>
    <xf numFmtId="166" fontId="50" fillId="0" borderId="18" xfId="0" applyNumberFormat="1" applyFont="1" applyFill="1" applyBorder="1" applyAlignment="1">
      <alignment horizontal="center" vertical="center" wrapText="1"/>
    </xf>
    <xf numFmtId="166" fontId="50" fillId="0" borderId="5" xfId="0" applyNumberFormat="1" applyFont="1" applyFill="1" applyBorder="1" applyAlignment="1">
      <alignment horizontal="center" vertical="center" wrapText="1"/>
    </xf>
    <xf numFmtId="166" fontId="50" fillId="0" borderId="20" xfId="0" applyNumberFormat="1" applyFont="1" applyFill="1" applyBorder="1" applyAlignment="1">
      <alignment horizontal="center" vertical="center" wrapText="1"/>
    </xf>
    <xf numFmtId="4" fontId="54" fillId="0" borderId="37" xfId="2" applyNumberFormat="1" applyFont="1" applyFill="1" applyBorder="1" applyAlignment="1">
      <alignment vertical="center"/>
    </xf>
    <xf numFmtId="165" fontId="18" fillId="0" borderId="0" xfId="2" applyNumberFormat="1" applyFont="1" applyFill="1" applyBorder="1" applyAlignment="1">
      <alignment horizontal="center" vertical="center"/>
    </xf>
    <xf numFmtId="0" fontId="98" fillId="0" borderId="0" xfId="0" applyFont="1" applyAlignment="1">
      <alignment horizontal="center"/>
    </xf>
    <xf numFmtId="0" fontId="32" fillId="0" borderId="7" xfId="0" applyFont="1" applyBorder="1" applyAlignment="1">
      <alignment horizontal="center" vertical="top" wrapText="1"/>
    </xf>
    <xf numFmtId="14" fontId="29" fillId="0" borderId="0" xfId="0" applyNumberFormat="1" applyFont="1" applyBorder="1" applyAlignment="1">
      <alignment horizontal="center"/>
    </xf>
    <xf numFmtId="167" fontId="18" fillId="0" borderId="0" xfId="2" applyNumberFormat="1" applyFont="1" applyFill="1" applyBorder="1" applyAlignment="1">
      <alignment horizontal="left"/>
    </xf>
    <xf numFmtId="172" fontId="54" fillId="0" borderId="17" xfId="9" applyNumberFormat="1" applyFont="1" applyFill="1" applyBorder="1" applyAlignment="1">
      <alignment horizontal="center" vertical="center"/>
    </xf>
    <xf numFmtId="0" fontId="18" fillId="0" borderId="0" xfId="2" applyFont="1" applyBorder="1" applyAlignment="1">
      <alignment horizontal="left"/>
    </xf>
    <xf numFmtId="0" fontId="30" fillId="0" borderId="0" xfId="2" applyFont="1" applyBorder="1" applyAlignment="1">
      <alignment vertical="center"/>
    </xf>
    <xf numFmtId="0" fontId="54" fillId="0" borderId="9" xfId="2" applyFont="1" applyFill="1" applyBorder="1" applyAlignment="1">
      <alignment vertical="center"/>
    </xf>
    <xf numFmtId="3" fontId="54" fillId="0" borderId="17" xfId="2" applyNumberFormat="1" applyFont="1" applyFill="1" applyBorder="1" applyAlignment="1">
      <alignment horizontal="center" vertical="center"/>
    </xf>
    <xf numFmtId="1" fontId="61" fillId="0" borderId="17" xfId="2" applyNumberFormat="1" applyFont="1" applyFill="1" applyBorder="1" applyAlignment="1">
      <alignment horizontal="center" vertical="center"/>
    </xf>
    <xf numFmtId="0" fontId="62" fillId="0" borderId="5" xfId="2" applyFont="1" applyFill="1" applyBorder="1" applyAlignment="1">
      <alignment vertical="center" wrapText="1"/>
    </xf>
    <xf numFmtId="0" fontId="62" fillId="0" borderId="0" xfId="2" applyFont="1" applyFill="1" applyBorder="1" applyAlignment="1">
      <alignment vertical="center" wrapText="1"/>
    </xf>
    <xf numFmtId="0" fontId="62" fillId="0" borderId="25" xfId="2" applyFont="1" applyFill="1" applyBorder="1" applyAlignment="1">
      <alignment vertical="center" wrapText="1"/>
    </xf>
    <xf numFmtId="0" fontId="62" fillId="0" borderId="26" xfId="2" applyFont="1" applyFill="1" applyBorder="1" applyAlignment="1">
      <alignment vertical="center" wrapText="1"/>
    </xf>
    <xf numFmtId="0" fontId="18" fillId="2" borderId="3" xfId="2" applyFont="1" applyFill="1" applyBorder="1" applyAlignment="1">
      <alignment horizontal="center" vertical="center"/>
    </xf>
    <xf numFmtId="3" fontId="18" fillId="2" borderId="3" xfId="2" applyNumberFormat="1" applyFont="1" applyFill="1" applyBorder="1" applyAlignment="1">
      <alignment horizontal="center" vertical="center"/>
    </xf>
    <xf numFmtId="3" fontId="18" fillId="2" borderId="3" xfId="2" applyNumberFormat="1" applyFont="1" applyFill="1" applyBorder="1" applyAlignment="1">
      <alignment horizontal="center" vertical="center" wrapText="1"/>
    </xf>
    <xf numFmtId="0" fontId="18" fillId="2" borderId="3" xfId="2" applyNumberFormat="1" applyFont="1" applyFill="1" applyBorder="1" applyAlignment="1">
      <alignment horizontal="center" vertical="center"/>
    </xf>
    <xf numFmtId="3" fontId="18" fillId="2" borderId="4" xfId="2" applyNumberFormat="1" applyFont="1" applyFill="1" applyBorder="1" applyAlignment="1">
      <alignment horizontal="center" vertical="center"/>
    </xf>
    <xf numFmtId="171" fontId="54" fillId="0" borderId="10" xfId="9" applyNumberFormat="1" applyFont="1" applyFill="1" applyBorder="1" applyAlignment="1">
      <alignment horizontal="left" vertical="center"/>
    </xf>
    <xf numFmtId="4" fontId="18" fillId="0" borderId="0" xfId="2" applyNumberFormat="1" applyFont="1" applyFill="1" applyBorder="1" applyAlignment="1">
      <alignment horizontal="center" vertical="center"/>
    </xf>
    <xf numFmtId="3" fontId="39" fillId="0" borderId="14" xfId="2" applyNumberFormat="1" applyFont="1" applyFill="1" applyBorder="1" applyAlignment="1">
      <alignment vertical="center"/>
    </xf>
    <xf numFmtId="0" fontId="0" fillId="0" borderId="14" xfId="0" applyBorder="1" applyAlignment="1">
      <alignment vertical="center" wrapText="1"/>
    </xf>
    <xf numFmtId="0" fontId="62" fillId="0" borderId="44" xfId="2" applyFont="1" applyFill="1" applyBorder="1" applyAlignment="1">
      <alignment vertical="center" wrapText="1"/>
    </xf>
    <xf numFmtId="0" fontId="62" fillId="0" borderId="6" xfId="2" applyFont="1" applyFill="1" applyBorder="1" applyAlignment="1">
      <alignment vertical="center" wrapText="1"/>
    </xf>
    <xf numFmtId="0" fontId="62" fillId="0" borderId="66" xfId="2" applyFont="1" applyFill="1" applyBorder="1" applyAlignment="1">
      <alignment vertical="center" wrapText="1"/>
    </xf>
    <xf numFmtId="0" fontId="13" fillId="0" borderId="0" xfId="2" applyFill="1" applyBorder="1"/>
    <xf numFmtId="0" fontId="30" fillId="0" borderId="30" xfId="2" applyFont="1" applyBorder="1" applyAlignment="1">
      <alignment vertical="center"/>
    </xf>
    <xf numFmtId="0" fontId="30" fillId="0" borderId="31" xfId="2" applyFont="1" applyBorder="1" applyAlignment="1">
      <alignment vertical="center"/>
    </xf>
    <xf numFmtId="14" fontId="29" fillId="0" borderId="0" xfId="0" applyNumberFormat="1" applyFont="1" applyBorder="1" applyAlignment="1"/>
    <xf numFmtId="0" fontId="29" fillId="0" borderId="0" xfId="0" applyFont="1" applyBorder="1" applyAlignment="1"/>
    <xf numFmtId="0" fontId="37" fillId="0" borderId="7" xfId="0" applyFont="1" applyBorder="1" applyAlignment="1"/>
    <xf numFmtId="3" fontId="3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/>
    </xf>
    <xf numFmtId="4" fontId="0" fillId="6" borderId="0" xfId="0" applyNumberFormat="1" applyFill="1" applyBorder="1" applyAlignment="1">
      <alignment vertical="center"/>
    </xf>
    <xf numFmtId="10" fontId="0" fillId="6" borderId="0" xfId="0" applyNumberFormat="1" applyFill="1" applyBorder="1"/>
    <xf numFmtId="168" fontId="0" fillId="0" borderId="5" xfId="0" applyNumberFormat="1" applyFill="1" applyBorder="1"/>
    <xf numFmtId="10" fontId="0" fillId="0" borderId="5" xfId="0" applyNumberFormat="1" applyFill="1" applyBorder="1"/>
    <xf numFmtId="0" fontId="0" fillId="0" borderId="5" xfId="0" applyFill="1" applyBorder="1" applyAlignment="1">
      <alignment vertical="center"/>
    </xf>
    <xf numFmtId="0" fontId="0" fillId="0" borderId="5" xfId="0" applyFill="1" applyBorder="1" applyAlignment="1">
      <alignment horizontal="center" vertical="center"/>
    </xf>
    <xf numFmtId="0" fontId="0" fillId="6" borderId="0" xfId="0" applyFill="1" applyBorder="1"/>
    <xf numFmtId="0" fontId="0" fillId="6" borderId="0" xfId="0" applyFill="1" applyBorder="1" applyAlignment="1">
      <alignment vertical="center"/>
    </xf>
    <xf numFmtId="0" fontId="0" fillId="6" borderId="0" xfId="0" applyFill="1"/>
    <xf numFmtId="0" fontId="0" fillId="0" borderId="26" xfId="0" applyBorder="1"/>
    <xf numFmtId="4" fontId="0" fillId="0" borderId="0" xfId="0" applyNumberFormat="1" applyFill="1" applyBorder="1"/>
    <xf numFmtId="0" fontId="10" fillId="7" borderId="18" xfId="0" applyFont="1" applyFill="1" applyBorder="1" applyAlignment="1">
      <alignment horizontal="center" vertical="center"/>
    </xf>
    <xf numFmtId="177" fontId="0" fillId="0" borderId="0" xfId="0" applyNumberFormat="1" applyFill="1" applyBorder="1" applyAlignment="1">
      <alignment vertical="center"/>
    </xf>
    <xf numFmtId="4" fontId="0" fillId="7" borderId="0" xfId="0" applyNumberFormat="1" applyFill="1" applyBorder="1" applyAlignment="1">
      <alignment vertical="center"/>
    </xf>
    <xf numFmtId="4" fontId="0" fillId="0" borderId="0" xfId="0" applyNumberFormat="1" applyFill="1" applyBorder="1" applyAlignment="1">
      <alignment horizontal="center" vertical="center"/>
    </xf>
    <xf numFmtId="168" fontId="0" fillId="5" borderId="0" xfId="0" applyNumberFormat="1" applyFill="1" applyBorder="1"/>
    <xf numFmtId="0" fontId="10" fillId="7" borderId="19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vertical="center" wrapText="1"/>
    </xf>
    <xf numFmtId="177" fontId="0" fillId="0" borderId="0" xfId="0" applyNumberFormat="1" applyFill="1" applyBorder="1"/>
    <xf numFmtId="0" fontId="0" fillId="0" borderId="0" xfId="0" applyFill="1" applyBorder="1" applyAlignment="1">
      <alignment horizontal="right" vertical="center"/>
    </xf>
    <xf numFmtId="0" fontId="0" fillId="0" borderId="26" xfId="0" applyFill="1" applyBorder="1" applyAlignment="1">
      <alignment vertical="center"/>
    </xf>
    <xf numFmtId="0" fontId="0" fillId="0" borderId="26" xfId="0" applyFill="1" applyBorder="1"/>
    <xf numFmtId="168" fontId="0" fillId="0" borderId="26" xfId="0" applyNumberFormat="1" applyBorder="1"/>
    <xf numFmtId="168" fontId="0" fillId="0" borderId="26" xfId="0" applyNumberFormat="1" applyFill="1" applyBorder="1"/>
    <xf numFmtId="10" fontId="0" fillId="0" borderId="26" xfId="0" applyNumberFormat="1" applyFill="1" applyBorder="1"/>
    <xf numFmtId="0" fontId="0" fillId="0" borderId="26" xfId="0" applyFill="1" applyBorder="1" applyAlignment="1">
      <alignment horizontal="center" vertical="center"/>
    </xf>
    <xf numFmtId="0" fontId="0" fillId="0" borderId="0" xfId="0"/>
    <xf numFmtId="0" fontId="0" fillId="0" borderId="0" xfId="0" applyFill="1" applyBorder="1" applyAlignment="1">
      <alignment horizontal="center" vertical="center"/>
    </xf>
    <xf numFmtId="10" fontId="0" fillId="0" borderId="0" xfId="0" applyNumberFormat="1" applyFill="1" applyBorder="1"/>
    <xf numFmtId="4" fontId="0" fillId="0" borderId="0" xfId="0" applyNumberFormat="1" applyFill="1" applyBorder="1" applyAlignment="1">
      <alignment vertical="center"/>
    </xf>
    <xf numFmtId="4" fontId="0" fillId="0" borderId="0" xfId="0" applyNumberFormat="1" applyFill="1" applyBorder="1" applyAlignment="1">
      <alignment horizontal="right" vertical="center"/>
    </xf>
    <xf numFmtId="0" fontId="0" fillId="0" borderId="0" xfId="0" applyAlignment="1"/>
    <xf numFmtId="0" fontId="10" fillId="3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vertical="center" wrapText="1"/>
    </xf>
    <xf numFmtId="0" fontId="10" fillId="3" borderId="0" xfId="0" applyFont="1" applyFill="1" applyBorder="1" applyAlignment="1">
      <alignment horizontal="center" vertical="center" wrapText="1"/>
    </xf>
    <xf numFmtId="0" fontId="0" fillId="0" borderId="22" xfId="0" applyFill="1" applyBorder="1"/>
    <xf numFmtId="0" fontId="0" fillId="6" borderId="19" xfId="0" applyFill="1" applyBorder="1"/>
    <xf numFmtId="0" fontId="0" fillId="0" borderId="25" xfId="0" applyFill="1" applyBorder="1"/>
    <xf numFmtId="0" fontId="0" fillId="0" borderId="0" xfId="0" applyFill="1" applyBorder="1"/>
    <xf numFmtId="0" fontId="0" fillId="0" borderId="0" xfId="0" applyFill="1"/>
    <xf numFmtId="0" fontId="0" fillId="0" borderId="5" xfId="0" applyBorder="1"/>
    <xf numFmtId="0" fontId="0" fillId="0" borderId="5" xfId="0" applyFill="1" applyBorder="1"/>
    <xf numFmtId="168" fontId="0" fillId="0" borderId="0" xfId="0" applyNumberFormat="1" applyBorder="1"/>
    <xf numFmtId="9" fontId="0" fillId="0" borderId="0" xfId="0" applyNumberFormat="1" applyFill="1" applyBorder="1"/>
    <xf numFmtId="0" fontId="10" fillId="7" borderId="5" xfId="0" applyFont="1" applyFill="1" applyBorder="1" applyAlignment="1">
      <alignment horizontal="center" vertical="center"/>
    </xf>
    <xf numFmtId="0" fontId="0" fillId="0" borderId="19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4" fontId="0" fillId="0" borderId="0" xfId="0" applyNumberFormat="1" applyBorder="1"/>
    <xf numFmtId="0" fontId="0" fillId="0" borderId="0" xfId="0" applyFill="1" applyBorder="1" applyAlignment="1">
      <alignment vertical="center"/>
    </xf>
    <xf numFmtId="168" fontId="0" fillId="0" borderId="0" xfId="0" applyNumberFormat="1" applyFill="1" applyBorder="1"/>
    <xf numFmtId="0" fontId="10" fillId="7" borderId="0" xfId="0" applyFont="1" applyFill="1" applyBorder="1" applyAlignment="1">
      <alignment horizontal="center" vertical="center"/>
    </xf>
    <xf numFmtId="0" fontId="0" fillId="0" borderId="26" xfId="0" applyBorder="1" applyAlignment="1">
      <alignment vertical="center"/>
    </xf>
    <xf numFmtId="4" fontId="0" fillId="0" borderId="26" xfId="0" applyNumberFormat="1" applyFill="1" applyBorder="1" applyAlignment="1">
      <alignment horizontal="right" vertical="center"/>
    </xf>
    <xf numFmtId="0" fontId="54" fillId="0" borderId="0" xfId="2" applyFont="1" applyAlignment="1">
      <alignment horizontal="center" vertical="center" textRotation="180"/>
    </xf>
    <xf numFmtId="0" fontId="54" fillId="3" borderId="0" xfId="2" applyFont="1" applyFill="1" applyBorder="1" applyAlignment="1">
      <alignment horizontal="center" vertical="center"/>
    </xf>
    <xf numFmtId="0" fontId="30" fillId="0" borderId="14" xfId="2" applyFont="1" applyFill="1" applyBorder="1" applyAlignment="1">
      <alignment vertical="center"/>
    </xf>
    <xf numFmtId="171" fontId="54" fillId="18" borderId="14" xfId="9" applyNumberFormat="1" applyFont="1" applyFill="1" applyBorder="1" applyAlignment="1">
      <alignment horizontal="center" vertical="center"/>
    </xf>
    <xf numFmtId="4" fontId="32" fillId="0" borderId="0" xfId="0" applyNumberFormat="1" applyFont="1" applyFill="1" applyBorder="1" applyAlignment="1">
      <alignment horizontal="center" vertical="center"/>
    </xf>
    <xf numFmtId="4" fontId="31" fillId="0" borderId="0" xfId="0" applyNumberFormat="1" applyFont="1" applyFill="1" applyBorder="1" applyAlignment="1">
      <alignment horizontal="center" vertical="center"/>
    </xf>
    <xf numFmtId="165" fontId="30" fillId="3" borderId="14" xfId="2" applyNumberFormat="1" applyFont="1" applyFill="1" applyBorder="1" applyAlignment="1">
      <alignment horizontal="center" vertical="center"/>
    </xf>
    <xf numFmtId="9" fontId="41" fillId="0" borderId="14" xfId="2" applyNumberFormat="1" applyFont="1" applyFill="1" applyBorder="1" applyAlignment="1">
      <alignment horizontal="center" vertical="center"/>
    </xf>
    <xf numFmtId="7" fontId="54" fillId="0" borderId="31" xfId="9" applyNumberFormat="1" applyFont="1" applyFill="1" applyBorder="1" applyAlignment="1">
      <alignment horizontal="left" vertical="center"/>
    </xf>
    <xf numFmtId="0" fontId="30" fillId="0" borderId="0" xfId="2" applyFont="1" applyFill="1" applyBorder="1" applyAlignment="1">
      <alignment vertical="center"/>
    </xf>
    <xf numFmtId="0" fontId="54" fillId="0" borderId="0" xfId="2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10" fillId="0" borderId="0" xfId="0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horizontal="center" vertical="center" wrapText="1"/>
    </xf>
    <xf numFmtId="166" fontId="108" fillId="0" borderId="0" xfId="0" applyNumberFormat="1" applyFont="1" applyFill="1" applyBorder="1" applyAlignment="1">
      <alignment horizontal="center" vertical="center" wrapText="1"/>
    </xf>
    <xf numFmtId="165" fontId="30" fillId="3" borderId="14" xfId="2" applyNumberFormat="1" applyFont="1" applyFill="1" applyBorder="1" applyAlignment="1">
      <alignment horizontal="center" vertical="center" wrapText="1"/>
    </xf>
    <xf numFmtId="10" fontId="32" fillId="0" borderId="31" xfId="0" applyNumberFormat="1" applyFont="1" applyFill="1" applyBorder="1"/>
    <xf numFmtId="0" fontId="30" fillId="0" borderId="0" xfId="2" applyFont="1" applyFill="1" applyBorder="1" applyAlignment="1">
      <alignment horizontal="left" vertical="center"/>
    </xf>
    <xf numFmtId="165" fontId="30" fillId="3" borderId="14" xfId="2" applyNumberFormat="1" applyFont="1" applyFill="1" applyBorder="1" applyAlignment="1">
      <alignment horizontal="left" vertical="center"/>
    </xf>
    <xf numFmtId="169" fontId="32" fillId="0" borderId="30" xfId="0" applyNumberFormat="1" applyFont="1" applyFill="1" applyBorder="1"/>
    <xf numFmtId="166" fontId="108" fillId="0" borderId="0" xfId="0" applyNumberFormat="1" applyFont="1" applyFill="1" applyBorder="1" applyAlignment="1">
      <alignment vertical="center" wrapText="1"/>
    </xf>
    <xf numFmtId="168" fontId="30" fillId="2" borderId="29" xfId="2" applyNumberFormat="1" applyFont="1" applyFill="1" applyBorder="1" applyAlignment="1">
      <alignment horizontal="center" vertical="center"/>
    </xf>
    <xf numFmtId="0" fontId="10" fillId="17" borderId="14" xfId="0" applyFont="1" applyFill="1" applyBorder="1" applyAlignment="1"/>
    <xf numFmtId="7" fontId="4" fillId="0" borderId="14" xfId="0" applyNumberFormat="1" applyFont="1" applyBorder="1" applyAlignment="1">
      <alignment vertical="center"/>
    </xf>
    <xf numFmtId="169" fontId="32" fillId="0" borderId="31" xfId="0" applyNumberFormat="1" applyFont="1" applyFill="1" applyBorder="1"/>
    <xf numFmtId="0" fontId="10" fillId="6" borderId="14" xfId="0" applyFont="1" applyFill="1" applyBorder="1" applyAlignment="1"/>
    <xf numFmtId="179" fontId="32" fillId="0" borderId="31" xfId="0" applyNumberFormat="1" applyFont="1" applyFill="1" applyBorder="1"/>
    <xf numFmtId="165" fontId="30" fillId="3" borderId="29" xfId="2" applyNumberFormat="1" applyFont="1" applyFill="1" applyBorder="1" applyAlignment="1">
      <alignment horizontal="center" vertical="center" wrapText="1"/>
    </xf>
    <xf numFmtId="0" fontId="32" fillId="0" borderId="30" xfId="0" applyNumberFormat="1" applyFont="1" applyFill="1" applyBorder="1"/>
    <xf numFmtId="0" fontId="32" fillId="0" borderId="0" xfId="0" applyNumberFormat="1" applyFont="1" applyFill="1" applyBorder="1"/>
    <xf numFmtId="9" fontId="30" fillId="0" borderId="0" xfId="2" applyNumberFormat="1" applyFont="1" applyFill="1" applyBorder="1" applyAlignment="1">
      <alignment horizontal="center" vertical="center"/>
    </xf>
    <xf numFmtId="165" fontId="30" fillId="0" borderId="0" xfId="2" applyNumberFormat="1" applyFont="1" applyFill="1" applyBorder="1" applyAlignment="1">
      <alignment horizontal="center" vertical="center" wrapText="1"/>
    </xf>
    <xf numFmtId="0" fontId="18" fillId="0" borderId="0" xfId="2" applyNumberFormat="1" applyFont="1" applyFill="1" applyBorder="1" applyAlignment="1">
      <alignment horizontal="center"/>
    </xf>
    <xf numFmtId="0" fontId="30" fillId="2" borderId="0" xfId="2" applyNumberFormat="1" applyFont="1" applyFill="1" applyBorder="1" applyAlignment="1">
      <alignment horizontal="center"/>
    </xf>
    <xf numFmtId="0" fontId="63" fillId="0" borderId="0" xfId="0" applyFont="1" applyBorder="1" applyAlignment="1">
      <alignment vertical="center"/>
    </xf>
    <xf numFmtId="0" fontId="63" fillId="0" borderId="8" xfId="0" applyFont="1" applyBorder="1" applyAlignment="1">
      <alignment vertical="center"/>
    </xf>
    <xf numFmtId="0" fontId="63" fillId="0" borderId="0" xfId="0" applyFont="1" applyFill="1" applyBorder="1" applyAlignment="1">
      <alignment horizontal="center" vertical="center"/>
    </xf>
    <xf numFmtId="0" fontId="30" fillId="0" borderId="0" xfId="2" applyFont="1" applyFill="1" applyBorder="1" applyAlignment="1">
      <alignment vertical="center" wrapText="1"/>
    </xf>
    <xf numFmtId="43" fontId="18" fillId="0" borderId="0" xfId="2" applyNumberFormat="1" applyFont="1" applyFill="1" applyBorder="1" applyAlignment="1">
      <alignment vertical="center"/>
    </xf>
    <xf numFmtId="3" fontId="18" fillId="0" borderId="0" xfId="2" applyNumberFormat="1" applyFont="1" applyFill="1" applyBorder="1" applyAlignment="1">
      <alignment horizontal="center" vertical="center"/>
    </xf>
    <xf numFmtId="0" fontId="18" fillId="0" borderId="0" xfId="2" applyNumberFormat="1" applyFont="1" applyFill="1" applyBorder="1" applyAlignment="1">
      <alignment horizontal="center" vertical="center"/>
    </xf>
    <xf numFmtId="2" fontId="32" fillId="0" borderId="0" xfId="0" applyNumberFormat="1" applyFont="1" applyFill="1" applyBorder="1"/>
    <xf numFmtId="10" fontId="18" fillId="0" borderId="30" xfId="9" applyNumberFormat="1" applyFont="1" applyFill="1" applyBorder="1" applyAlignment="1">
      <alignment horizontal="left" vertical="center"/>
    </xf>
    <xf numFmtId="0" fontId="10" fillId="6" borderId="14" xfId="0" applyFont="1" applyFill="1" applyBorder="1" applyAlignment="1">
      <alignment horizontal="center" vertical="center"/>
    </xf>
    <xf numFmtId="0" fontId="13" fillId="0" borderId="1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4" fillId="0" borderId="0" xfId="2" applyFont="1" applyBorder="1" applyAlignment="1">
      <alignment horizontal="center" vertical="center" textRotation="180"/>
    </xf>
    <xf numFmtId="0" fontId="54" fillId="0" borderId="22" xfId="2" applyFont="1" applyBorder="1" applyAlignment="1">
      <alignment horizontal="center" vertical="center" textRotation="180"/>
    </xf>
    <xf numFmtId="0" fontId="54" fillId="0" borderId="0" xfId="2" applyFont="1" applyAlignment="1">
      <alignment horizontal="center" vertical="center" textRotation="180"/>
    </xf>
    <xf numFmtId="0" fontId="54" fillId="0" borderId="19" xfId="2" applyFont="1" applyBorder="1" applyAlignment="1">
      <alignment horizontal="center" vertical="center" textRotation="180"/>
    </xf>
    <xf numFmtId="2" fontId="30" fillId="0" borderId="0" xfId="2" applyNumberFormat="1" applyFont="1" applyFill="1" applyBorder="1" applyAlignment="1">
      <alignment horizontal="center" vertical="center"/>
    </xf>
    <xf numFmtId="10" fontId="32" fillId="18" borderId="31" xfId="0" applyNumberFormat="1" applyFont="1" applyFill="1" applyBorder="1"/>
    <xf numFmtId="3" fontId="32" fillId="18" borderId="31" xfId="0" applyNumberFormat="1" applyFont="1" applyFill="1" applyBorder="1"/>
    <xf numFmtId="4" fontId="18" fillId="18" borderId="14" xfId="9" applyNumberFormat="1" applyFont="1" applyFill="1" applyBorder="1" applyAlignment="1">
      <alignment horizontal="left" vertical="center"/>
    </xf>
    <xf numFmtId="10" fontId="18" fillId="18" borderId="30" xfId="9" applyNumberFormat="1" applyFont="1" applyFill="1" applyBorder="1" applyAlignment="1">
      <alignment horizontal="center" vertical="center"/>
    </xf>
    <xf numFmtId="10" fontId="32" fillId="18" borderId="14" xfId="0" applyNumberFormat="1" applyFont="1" applyFill="1" applyBorder="1"/>
    <xf numFmtId="2" fontId="32" fillId="18" borderId="31" xfId="0" applyNumberFormat="1" applyFont="1" applyFill="1" applyBorder="1"/>
    <xf numFmtId="7" fontId="18" fillId="18" borderId="30" xfId="9" applyNumberFormat="1" applyFont="1" applyFill="1" applyBorder="1" applyAlignment="1">
      <alignment horizontal="left" vertical="center"/>
    </xf>
    <xf numFmtId="3" fontId="18" fillId="18" borderId="30" xfId="9" applyNumberFormat="1" applyFont="1" applyFill="1" applyBorder="1" applyAlignment="1">
      <alignment horizontal="center" vertical="center"/>
    </xf>
    <xf numFmtId="10" fontId="18" fillId="18" borderId="11" xfId="9" applyNumberFormat="1" applyFont="1" applyFill="1" applyBorder="1" applyAlignment="1">
      <alignment horizontal="center" vertical="center"/>
    </xf>
    <xf numFmtId="7" fontId="18" fillId="18" borderId="12" xfId="9" applyNumberFormat="1" applyFont="1" applyFill="1" applyBorder="1" applyAlignment="1">
      <alignment horizontal="left" vertical="center"/>
    </xf>
    <xf numFmtId="0" fontId="32" fillId="0" borderId="12" xfId="0" applyNumberFormat="1" applyFont="1" applyFill="1" applyBorder="1"/>
    <xf numFmtId="169" fontId="32" fillId="0" borderId="12" xfId="0" applyNumberFormat="1" applyFont="1" applyFill="1" applyBorder="1"/>
    <xf numFmtId="3" fontId="18" fillId="18" borderId="12" xfId="9" applyNumberFormat="1" applyFont="1" applyFill="1" applyBorder="1" applyAlignment="1">
      <alignment horizontal="center" vertical="center"/>
    </xf>
    <xf numFmtId="4" fontId="32" fillId="0" borderId="12" xfId="0" applyNumberFormat="1" applyFont="1" applyFill="1" applyBorder="1"/>
    <xf numFmtId="10" fontId="32" fillId="18" borderId="12" xfId="0" applyNumberFormat="1" applyFont="1" applyFill="1" applyBorder="1"/>
    <xf numFmtId="2" fontId="32" fillId="0" borderId="12" xfId="0" applyNumberFormat="1" applyFont="1" applyFill="1" applyBorder="1"/>
    <xf numFmtId="2" fontId="32" fillId="18" borderId="12" xfId="0" applyNumberFormat="1" applyFont="1" applyFill="1" applyBorder="1"/>
    <xf numFmtId="2" fontId="32" fillId="0" borderId="13" xfId="0" applyNumberFormat="1" applyFont="1" applyFill="1" applyBorder="1"/>
    <xf numFmtId="4" fontId="54" fillId="0" borderId="31" xfId="2" applyNumberFormat="1" applyFont="1" applyFill="1" applyBorder="1" applyAlignment="1">
      <alignment vertical="center"/>
    </xf>
    <xf numFmtId="10" fontId="41" fillId="0" borderId="29" xfId="2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left"/>
    </xf>
    <xf numFmtId="171" fontId="54" fillId="0" borderId="14" xfId="9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vertical="center"/>
    </xf>
    <xf numFmtId="4" fontId="18" fillId="0" borderId="0" xfId="2" applyNumberFormat="1" applyFont="1" applyFill="1" applyAlignment="1">
      <alignment vertical="center" wrapText="1"/>
    </xf>
    <xf numFmtId="0" fontId="12" fillId="0" borderId="14" xfId="0" applyFont="1" applyFill="1" applyBorder="1" applyAlignment="1">
      <alignment horizontal="left" vertical="top" wrapText="1"/>
    </xf>
    <xf numFmtId="22" fontId="4" fillId="0" borderId="0" xfId="0" applyNumberFormat="1" applyFont="1" applyAlignment="1">
      <alignment horizontal="left" vertical="center"/>
    </xf>
    <xf numFmtId="2" fontId="32" fillId="18" borderId="14" xfId="0" applyNumberFormat="1" applyFont="1" applyFill="1" applyBorder="1"/>
    <xf numFmtId="7" fontId="54" fillId="0" borderId="0" xfId="9" applyNumberFormat="1" applyFont="1" applyFill="1" applyBorder="1" applyAlignment="1">
      <alignment horizontal="left" vertical="center"/>
    </xf>
    <xf numFmtId="4" fontId="32" fillId="18" borderId="14" xfId="0" applyNumberFormat="1" applyFont="1" applyFill="1" applyBorder="1"/>
    <xf numFmtId="7" fontId="54" fillId="0" borderId="11" xfId="9" applyNumberFormat="1" applyFont="1" applyFill="1" applyBorder="1" applyAlignment="1">
      <alignment horizontal="left" vertical="center"/>
    </xf>
    <xf numFmtId="10" fontId="18" fillId="18" borderId="30" xfId="9" applyNumberFormat="1" applyFont="1" applyFill="1" applyBorder="1" applyAlignment="1">
      <alignment horizontal="left" vertical="center"/>
    </xf>
    <xf numFmtId="4" fontId="32" fillId="18" borderId="12" xfId="0" applyNumberFormat="1" applyFont="1" applyFill="1" applyBorder="1"/>
    <xf numFmtId="165" fontId="30" fillId="3" borderId="0" xfId="2" applyNumberFormat="1" applyFont="1" applyFill="1" applyBorder="1" applyAlignment="1">
      <alignment horizontal="center" vertical="center"/>
    </xf>
    <xf numFmtId="4" fontId="32" fillId="18" borderId="31" xfId="0" applyNumberFormat="1" applyFont="1" applyFill="1" applyBorder="1"/>
    <xf numFmtId="0" fontId="0" fillId="0" borderId="0" xfId="0"/>
    <xf numFmtId="0" fontId="0" fillId="0" borderId="0" xfId="0" applyBorder="1"/>
    <xf numFmtId="171" fontId="54" fillId="0" borderId="14" xfId="9" applyNumberFormat="1" applyFont="1" applyFill="1" applyBorder="1" applyAlignment="1">
      <alignment horizontal="center" vertical="center"/>
    </xf>
    <xf numFmtId="0" fontId="0" fillId="0" borderId="0" xfId="0" applyFill="1" applyBorder="1" applyAlignment="1"/>
    <xf numFmtId="7" fontId="54" fillId="0" borderId="14" xfId="9" applyNumberFormat="1" applyFont="1" applyFill="1" applyBorder="1" applyAlignment="1">
      <alignment horizontal="left" vertical="center"/>
    </xf>
    <xf numFmtId="0" fontId="32" fillId="18" borderId="14" xfId="0" applyFont="1" applyFill="1" applyBorder="1"/>
    <xf numFmtId="3" fontId="18" fillId="18" borderId="14" xfId="0" applyNumberFormat="1" applyFont="1" applyFill="1" applyBorder="1" applyAlignment="1" applyProtection="1">
      <alignment horizontal="center" vertical="center" wrapText="1"/>
      <protection locked="0"/>
    </xf>
    <xf numFmtId="0" fontId="18" fillId="18" borderId="14" xfId="0" applyNumberFormat="1" applyFont="1" applyFill="1" applyBorder="1" applyAlignment="1">
      <alignment horizontal="center"/>
    </xf>
    <xf numFmtId="0" fontId="0" fillId="0" borderId="0" xfId="0" applyFill="1" applyAlignment="1">
      <alignment vertical="center"/>
    </xf>
    <xf numFmtId="0" fontId="54" fillId="0" borderId="0" xfId="2" applyFont="1" applyBorder="1" applyAlignment="1">
      <alignment horizontal="center" vertical="center" textRotation="180"/>
    </xf>
    <xf numFmtId="0" fontId="54" fillId="0" borderId="22" xfId="2" applyFont="1" applyBorder="1" applyAlignment="1">
      <alignment horizontal="center" vertical="center" textRotation="180"/>
    </xf>
    <xf numFmtId="0" fontId="63" fillId="0" borderId="8" xfId="0" applyFont="1" applyBorder="1" applyAlignment="1">
      <alignment horizontal="center" vertical="center"/>
    </xf>
    <xf numFmtId="0" fontId="54" fillId="0" borderId="19" xfId="2" applyFont="1" applyBorder="1" applyAlignment="1">
      <alignment horizontal="center" vertical="center" textRotation="180"/>
    </xf>
    <xf numFmtId="0" fontId="0" fillId="0" borderId="29" xfId="0" applyFill="1" applyBorder="1"/>
    <xf numFmtId="10" fontId="109" fillId="0" borderId="14" xfId="2" applyNumberFormat="1" applyFont="1" applyFill="1" applyBorder="1" applyAlignment="1">
      <alignment horizontal="center" vertical="center"/>
    </xf>
    <xf numFmtId="2" fontId="41" fillId="0" borderId="14" xfId="2" applyNumberFormat="1" applyFont="1" applyFill="1" applyBorder="1" applyAlignment="1">
      <alignment horizontal="center" vertical="center"/>
    </xf>
    <xf numFmtId="0" fontId="30" fillId="2" borderId="0" xfId="2" applyFont="1" applyFill="1" applyBorder="1" applyAlignment="1">
      <alignment horizontal="center" wrapText="1"/>
    </xf>
    <xf numFmtId="0" fontId="18" fillId="2" borderId="0" xfId="2" applyFont="1" applyFill="1" applyBorder="1" applyAlignment="1">
      <alignment horizontal="center" wrapText="1"/>
    </xf>
    <xf numFmtId="165" fontId="30" fillId="3" borderId="7" xfId="2" applyNumberFormat="1" applyFont="1" applyFill="1" applyBorder="1" applyAlignment="1">
      <alignment horizontal="center" vertical="center" wrapText="1"/>
    </xf>
    <xf numFmtId="0" fontId="0" fillId="0" borderId="0" xfId="0"/>
    <xf numFmtId="0" fontId="54" fillId="0" borderId="0" xfId="2" applyFont="1" applyBorder="1" applyAlignment="1">
      <alignment horizontal="center" vertical="center" textRotation="180"/>
    </xf>
    <xf numFmtId="0" fontId="54" fillId="0" borderId="22" xfId="2" applyFont="1" applyBorder="1" applyAlignment="1">
      <alignment horizontal="center" vertical="center" textRotation="180"/>
    </xf>
    <xf numFmtId="0" fontId="54" fillId="0" borderId="0" xfId="2" applyFont="1" applyBorder="1" applyAlignment="1">
      <alignment horizontal="center" vertical="center" textRotation="180" wrapText="1"/>
    </xf>
    <xf numFmtId="0" fontId="54" fillId="0" borderId="19" xfId="2" applyFont="1" applyBorder="1" applyAlignment="1">
      <alignment horizontal="center" vertical="center" textRotation="180"/>
    </xf>
    <xf numFmtId="0" fontId="54" fillId="0" borderId="0" xfId="2" applyFont="1" applyAlignment="1">
      <alignment horizontal="center" vertical="center" textRotation="180"/>
    </xf>
    <xf numFmtId="0" fontId="0" fillId="0" borderId="19" xfId="0" applyFill="1" applyBorder="1" applyAlignment="1">
      <alignment vertical="center"/>
    </xf>
    <xf numFmtId="4" fontId="29" fillId="7" borderId="0" xfId="0" applyNumberFormat="1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18" fillId="5" borderId="14" xfId="0" applyFont="1" applyFill="1" applyBorder="1"/>
    <xf numFmtId="4" fontId="54" fillId="0" borderId="29" xfId="2" applyNumberFormat="1" applyFont="1" applyFill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11" fillId="0" borderId="14" xfId="0" applyFont="1" applyBorder="1" applyAlignment="1">
      <alignment vertical="top" wrapText="1"/>
    </xf>
    <xf numFmtId="0" fontId="4" fillId="0" borderId="8" xfId="0" applyFont="1" applyBorder="1" applyAlignment="1">
      <alignment vertical="center"/>
    </xf>
    <xf numFmtId="4" fontId="4" fillId="0" borderId="9" xfId="0" applyNumberFormat="1" applyFont="1" applyBorder="1" applyAlignment="1">
      <alignment vertical="center"/>
    </xf>
    <xf numFmtId="14" fontId="4" fillId="0" borderId="14" xfId="0" applyNumberFormat="1" applyFont="1" applyBorder="1" applyAlignment="1">
      <alignment vertical="center"/>
    </xf>
    <xf numFmtId="0" fontId="1" fillId="2" borderId="0" xfId="0" applyFont="1" applyFill="1" applyAlignment="1">
      <alignment horizontal="center" vertical="center" wrapText="1"/>
    </xf>
    <xf numFmtId="14" fontId="4" fillId="2" borderId="0" xfId="0" applyNumberFormat="1" applyFont="1" applyFill="1" applyAlignment="1">
      <alignment vertical="center"/>
    </xf>
    <xf numFmtId="0" fontId="3" fillId="0" borderId="0" xfId="0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horizontal="left" vertical="center" wrapText="1"/>
    </xf>
    <xf numFmtId="0" fontId="0" fillId="17" borderId="19" xfId="0" applyFill="1" applyBorder="1"/>
    <xf numFmtId="0" fontId="0" fillId="17" borderId="0" xfId="0" applyFill="1" applyBorder="1" applyAlignment="1">
      <alignment vertical="center"/>
    </xf>
    <xf numFmtId="0" fontId="0" fillId="17" borderId="0" xfId="0" applyFill="1" applyBorder="1"/>
    <xf numFmtId="177" fontId="0" fillId="17" borderId="0" xfId="0" applyNumberFormat="1" applyFill="1" applyBorder="1" applyAlignment="1">
      <alignment vertical="center"/>
    </xf>
    <xf numFmtId="10" fontId="0" fillId="17" borderId="0" xfId="0" applyNumberFormat="1" applyFill="1" applyBorder="1"/>
    <xf numFmtId="4" fontId="0" fillId="17" borderId="0" xfId="0" applyNumberFormat="1" applyFill="1" applyBorder="1"/>
    <xf numFmtId="4" fontId="0" fillId="17" borderId="0" xfId="0" applyNumberFormat="1" applyFill="1" applyBorder="1" applyAlignment="1">
      <alignment vertical="center"/>
    </xf>
    <xf numFmtId="0" fontId="0" fillId="17" borderId="0" xfId="0" applyFill="1" applyBorder="1" applyAlignment="1">
      <alignment horizontal="center" vertical="center"/>
    </xf>
    <xf numFmtId="0" fontId="0" fillId="17" borderId="0" xfId="0" applyFill="1"/>
    <xf numFmtId="4" fontId="0" fillId="17" borderId="0" xfId="0" applyNumberFormat="1" applyFill="1" applyBorder="1" applyAlignment="1">
      <alignment horizontal="right" vertical="center"/>
    </xf>
    <xf numFmtId="0" fontId="0" fillId="17" borderId="22" xfId="0" applyFill="1" applyBorder="1"/>
    <xf numFmtId="0" fontId="110" fillId="4" borderId="14" xfId="0" applyFont="1" applyFill="1" applyBorder="1" applyAlignment="1">
      <alignment vertical="center"/>
    </xf>
    <xf numFmtId="4" fontId="110" fillId="4" borderId="14" xfId="0" applyNumberFormat="1" applyFont="1" applyFill="1" applyBorder="1" applyAlignment="1">
      <alignment vertical="center"/>
    </xf>
    <xf numFmtId="0" fontId="110" fillId="4" borderId="0" xfId="0" applyFont="1" applyFill="1" applyBorder="1" applyAlignment="1">
      <alignment vertical="center"/>
    </xf>
    <xf numFmtId="4" fontId="110" fillId="4" borderId="6" xfId="0" applyNumberFormat="1" applyFont="1" applyFill="1" applyBorder="1" applyAlignment="1">
      <alignment vertical="center"/>
    </xf>
    <xf numFmtId="0" fontId="110" fillId="4" borderId="8" xfId="0" applyFont="1" applyFill="1" applyBorder="1" applyAlignment="1">
      <alignment vertical="center"/>
    </xf>
    <xf numFmtId="4" fontId="110" fillId="4" borderId="9" xfId="0" applyNumberFormat="1" applyFont="1" applyFill="1" applyBorder="1" applyAlignment="1">
      <alignment vertical="center"/>
    </xf>
    <xf numFmtId="0" fontId="32" fillId="0" borderId="14" xfId="0" applyFont="1" applyFill="1" applyBorder="1"/>
    <xf numFmtId="0" fontId="4" fillId="0" borderId="0" xfId="0" applyFont="1" applyFill="1" applyBorder="1" applyAlignment="1">
      <alignment vertical="center"/>
    </xf>
    <xf numFmtId="0" fontId="99" fillId="0" borderId="10" xfId="0" applyFont="1" applyFill="1" applyBorder="1" applyAlignment="1">
      <alignment vertical="center"/>
    </xf>
    <xf numFmtId="0" fontId="99" fillId="0" borderId="8" xfId="0" applyFont="1" applyFill="1" applyBorder="1" applyAlignment="1">
      <alignment vertical="center"/>
    </xf>
    <xf numFmtId="181" fontId="18" fillId="0" borderId="16" xfId="2" applyNumberFormat="1" applyFont="1" applyFill="1" applyBorder="1" applyAlignment="1">
      <alignment horizontal="right" vertical="center"/>
    </xf>
    <xf numFmtId="0" fontId="1" fillId="0" borderId="0" xfId="0" applyFont="1" applyBorder="1" applyAlignment="1">
      <alignment vertical="center" wrapText="1"/>
    </xf>
    <xf numFmtId="14" fontId="4" fillId="0" borderId="0" xfId="0" applyNumberFormat="1" applyFont="1" applyBorder="1" applyAlignment="1">
      <alignment vertical="center"/>
    </xf>
    <xf numFmtId="4" fontId="5" fillId="0" borderId="0" xfId="0" applyNumberFormat="1" applyFont="1" applyBorder="1" applyAlignment="1">
      <alignment vertical="center"/>
    </xf>
    <xf numFmtId="3" fontId="39" fillId="0" borderId="21" xfId="2" applyNumberFormat="1" applyFont="1" applyFill="1" applyBorder="1" applyAlignment="1">
      <alignment horizontal="right" vertical="center"/>
    </xf>
    <xf numFmtId="3" fontId="39" fillId="0" borderId="24" xfId="2" applyNumberFormat="1" applyFont="1" applyFill="1" applyBorder="1" applyAlignment="1">
      <alignment horizontal="right" vertical="center"/>
    </xf>
    <xf numFmtId="7" fontId="54" fillId="0" borderId="29" xfId="9" applyNumberFormat="1" applyFont="1" applyFill="1" applyBorder="1" applyAlignment="1">
      <alignment horizontal="left" vertical="center"/>
    </xf>
    <xf numFmtId="0" fontId="37" fillId="0" borderId="0" xfId="0" applyFont="1" applyAlignment="1">
      <alignment horizontal="right" vertical="center"/>
    </xf>
    <xf numFmtId="9" fontId="41" fillId="0" borderId="17" xfId="2" applyNumberFormat="1" applyFont="1" applyFill="1" applyBorder="1" applyAlignment="1">
      <alignment horizontal="center" vertical="center"/>
    </xf>
    <xf numFmtId="10" fontId="30" fillId="0" borderId="17" xfId="2" applyNumberFormat="1" applyFont="1" applyFill="1" applyBorder="1" applyAlignment="1">
      <alignment horizontal="center" vertical="center"/>
    </xf>
    <xf numFmtId="4" fontId="41" fillId="0" borderId="17" xfId="2" applyNumberFormat="1" applyFont="1" applyFill="1" applyBorder="1" applyAlignment="1">
      <alignment horizontal="center" vertical="center"/>
    </xf>
    <xf numFmtId="10" fontId="41" fillId="0" borderId="10" xfId="2" applyNumberFormat="1" applyFont="1" applyFill="1" applyBorder="1" applyAlignment="1">
      <alignment horizontal="center" vertical="center"/>
    </xf>
    <xf numFmtId="10" fontId="41" fillId="0" borderId="17" xfId="2" applyNumberFormat="1" applyFont="1" applyFill="1" applyBorder="1" applyAlignment="1">
      <alignment horizontal="center" vertical="center"/>
    </xf>
    <xf numFmtId="9" fontId="41" fillId="0" borderId="6" xfId="2" applyNumberFormat="1" applyFont="1" applyFill="1" applyBorder="1" applyAlignment="1">
      <alignment horizontal="center" vertical="center"/>
    </xf>
    <xf numFmtId="10" fontId="30" fillId="0" borderId="16" xfId="2" applyNumberFormat="1" applyFont="1" applyFill="1" applyBorder="1" applyAlignment="1">
      <alignment horizontal="center" vertical="center"/>
    </xf>
    <xf numFmtId="165" fontId="30" fillId="3" borderId="66" xfId="2" applyNumberFormat="1" applyFont="1" applyFill="1" applyBorder="1" applyAlignment="1">
      <alignment horizontal="center" vertical="center"/>
    </xf>
    <xf numFmtId="9" fontId="30" fillId="0" borderId="14" xfId="2" applyNumberFormat="1" applyFont="1" applyFill="1" applyBorder="1" applyAlignment="1">
      <alignment horizontal="center" vertical="center"/>
    </xf>
    <xf numFmtId="165" fontId="30" fillId="3" borderId="17" xfId="2" applyNumberFormat="1" applyFont="1" applyFill="1" applyBorder="1" applyAlignment="1">
      <alignment horizontal="center" vertical="center"/>
    </xf>
    <xf numFmtId="167" fontId="30" fillId="76" borderId="26" xfId="2" applyNumberFormat="1" applyFont="1" applyFill="1" applyBorder="1" applyAlignment="1">
      <alignment horizontal="center"/>
    </xf>
    <xf numFmtId="167" fontId="30" fillId="76" borderId="26" xfId="2" applyNumberFormat="1" applyFont="1" applyFill="1" applyBorder="1" applyAlignment="1"/>
    <xf numFmtId="167" fontId="30" fillId="76" borderId="27" xfId="2" applyNumberFormat="1" applyFont="1" applyFill="1" applyBorder="1" applyAlignment="1"/>
    <xf numFmtId="167" fontId="30" fillId="76" borderId="3" xfId="2" applyNumberFormat="1" applyFont="1" applyFill="1" applyBorder="1" applyAlignment="1">
      <alignment horizontal="center"/>
    </xf>
    <xf numFmtId="167" fontId="30" fillId="4" borderId="3" xfId="2" applyNumberFormat="1" applyFont="1" applyFill="1" applyBorder="1" applyAlignment="1">
      <alignment horizontal="center"/>
    </xf>
    <xf numFmtId="167" fontId="30" fillId="4" borderId="3" xfId="2" applyNumberFormat="1" applyFont="1" applyFill="1" applyBorder="1" applyAlignment="1"/>
    <xf numFmtId="167" fontId="30" fillId="4" borderId="4" xfId="2" applyNumberFormat="1" applyFont="1" applyFill="1" applyBorder="1" applyAlignment="1"/>
    <xf numFmtId="167" fontId="30" fillId="8" borderId="3" xfId="2" applyNumberFormat="1" applyFont="1" applyFill="1" applyBorder="1" applyAlignment="1">
      <alignment horizontal="center"/>
    </xf>
    <xf numFmtId="167" fontId="30" fillId="8" borderId="3" xfId="2" applyNumberFormat="1" applyFont="1" applyFill="1" applyBorder="1" applyAlignment="1"/>
    <xf numFmtId="167" fontId="30" fillId="8" borderId="4" xfId="2" applyNumberFormat="1" applyFont="1" applyFill="1" applyBorder="1" applyAlignment="1"/>
    <xf numFmtId="167" fontId="30" fillId="77" borderId="3" xfId="2" applyNumberFormat="1" applyFont="1" applyFill="1" applyBorder="1" applyAlignment="1">
      <alignment horizontal="center"/>
    </xf>
    <xf numFmtId="167" fontId="30" fillId="77" borderId="3" xfId="2" applyNumberFormat="1" applyFont="1" applyFill="1" applyBorder="1" applyAlignment="1"/>
    <xf numFmtId="167" fontId="30" fillId="77" borderId="4" xfId="2" applyNumberFormat="1" applyFont="1" applyFill="1" applyBorder="1" applyAlignment="1"/>
    <xf numFmtId="167" fontId="30" fillId="19" borderId="3" xfId="2" applyNumberFormat="1" applyFont="1" applyFill="1" applyBorder="1" applyAlignment="1">
      <alignment horizontal="center"/>
    </xf>
    <xf numFmtId="167" fontId="30" fillId="19" borderId="3" xfId="2" applyNumberFormat="1" applyFont="1" applyFill="1" applyBorder="1" applyAlignment="1"/>
    <xf numFmtId="167" fontId="30" fillId="19" borderId="4" xfId="2" applyNumberFormat="1" applyFont="1" applyFill="1" applyBorder="1" applyAlignment="1"/>
    <xf numFmtId="167" fontId="30" fillId="78" borderId="26" xfId="2" applyNumberFormat="1" applyFont="1" applyFill="1" applyBorder="1" applyAlignment="1">
      <alignment horizontal="center"/>
    </xf>
    <xf numFmtId="167" fontId="30" fillId="78" borderId="26" xfId="2" applyNumberFormat="1" applyFont="1" applyFill="1" applyBorder="1" applyAlignment="1"/>
    <xf numFmtId="167" fontId="107" fillId="0" borderId="12" xfId="2" applyNumberFormat="1" applyFont="1" applyFill="1" applyBorder="1" applyAlignment="1">
      <alignment vertical="center"/>
    </xf>
    <xf numFmtId="167" fontId="107" fillId="0" borderId="13" xfId="2" applyNumberFormat="1" applyFont="1" applyFill="1" applyBorder="1" applyAlignment="1">
      <alignment vertical="center"/>
    </xf>
    <xf numFmtId="167" fontId="107" fillId="0" borderId="0" xfId="2" applyNumberFormat="1" applyFont="1" applyFill="1" applyBorder="1" applyAlignment="1">
      <alignment vertical="center"/>
    </xf>
    <xf numFmtId="167" fontId="107" fillId="0" borderId="6" xfId="2" applyNumberFormat="1" applyFont="1" applyFill="1" applyBorder="1" applyAlignment="1">
      <alignment vertical="center"/>
    </xf>
    <xf numFmtId="165" fontId="30" fillId="10" borderId="3" xfId="2" applyNumberFormat="1" applyFont="1" applyFill="1" applyBorder="1" applyAlignment="1">
      <alignment horizontal="center" vertical="center"/>
    </xf>
    <xf numFmtId="165" fontId="18" fillId="10" borderId="3" xfId="2" applyNumberFormat="1" applyFont="1" applyFill="1" applyBorder="1" applyAlignment="1">
      <alignment vertical="center"/>
    </xf>
    <xf numFmtId="165" fontId="18" fillId="10" borderId="4" xfId="2" applyNumberFormat="1" applyFont="1" applyFill="1" applyBorder="1" applyAlignment="1">
      <alignment vertical="center"/>
    </xf>
    <xf numFmtId="165" fontId="18" fillId="10" borderId="3" xfId="2" applyNumberFormat="1" applyFont="1" applyFill="1" applyBorder="1" applyAlignment="1">
      <alignment horizontal="center" vertical="center"/>
    </xf>
    <xf numFmtId="165" fontId="30" fillId="79" borderId="3" xfId="2" applyNumberFormat="1" applyFont="1" applyFill="1" applyBorder="1" applyAlignment="1">
      <alignment horizontal="center" vertical="center"/>
    </xf>
    <xf numFmtId="165" fontId="18" fillId="79" borderId="2" xfId="2" applyNumberFormat="1" applyFont="1" applyFill="1" applyBorder="1" applyAlignment="1">
      <alignment vertical="center"/>
    </xf>
    <xf numFmtId="165" fontId="18" fillId="79" borderId="3" xfId="2" applyNumberFormat="1" applyFont="1" applyFill="1" applyBorder="1" applyAlignment="1">
      <alignment vertical="center"/>
    </xf>
    <xf numFmtId="165" fontId="18" fillId="79" borderId="4" xfId="2" applyNumberFormat="1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4" borderId="0" xfId="0" applyNumberFormat="1" applyFont="1" applyFill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/>
    </xf>
    <xf numFmtId="0" fontId="4" fillId="0" borderId="68" xfId="0" applyFont="1" applyBorder="1" applyAlignment="1">
      <alignment vertical="center"/>
    </xf>
    <xf numFmtId="14" fontId="4" fillId="0" borderId="68" xfId="0" applyNumberFormat="1" applyFont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 wrapText="1"/>
    </xf>
    <xf numFmtId="14" fontId="4" fillId="0" borderId="8" xfId="0" applyNumberFormat="1" applyFont="1" applyFill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Border="1" applyAlignment="1">
      <alignment vertical="center"/>
    </xf>
    <xf numFmtId="10" fontId="4" fillId="0" borderId="14" xfId="0" applyNumberFormat="1" applyFont="1" applyBorder="1" applyAlignment="1">
      <alignment vertical="center"/>
    </xf>
    <xf numFmtId="4" fontId="4" fillId="18" borderId="0" xfId="0" applyNumberFormat="1" applyFont="1" applyFill="1" applyAlignment="1">
      <alignment vertical="center" wrapText="1"/>
    </xf>
    <xf numFmtId="4" fontId="4" fillId="8" borderId="0" xfId="0" applyNumberFormat="1" applyFont="1" applyFill="1" applyAlignment="1">
      <alignment vertical="center" wrapText="1"/>
    </xf>
    <xf numFmtId="10" fontId="4" fillId="0" borderId="0" xfId="0" applyNumberFormat="1" applyFont="1" applyAlignment="1">
      <alignment vertical="center" wrapText="1"/>
    </xf>
    <xf numFmtId="0" fontId="4" fillId="8" borderId="0" xfId="0" applyFont="1" applyFill="1" applyAlignment="1">
      <alignment vertical="center"/>
    </xf>
    <xf numFmtId="3" fontId="5" fillId="0" borderId="0" xfId="0" applyNumberFormat="1" applyFont="1" applyFill="1" applyAlignment="1">
      <alignment vertical="center"/>
    </xf>
    <xf numFmtId="0" fontId="3" fillId="0" borderId="23" xfId="0" applyFont="1" applyBorder="1" applyAlignment="1">
      <alignment vertical="center"/>
    </xf>
    <xf numFmtId="4" fontId="4" fillId="17" borderId="0" xfId="0" applyNumberFormat="1" applyFont="1" applyFill="1" applyAlignment="1">
      <alignment vertical="center" wrapText="1"/>
    </xf>
    <xf numFmtId="0" fontId="0" fillId="0" borderId="0" xfId="0"/>
    <xf numFmtId="0" fontId="1" fillId="0" borderId="68" xfId="0" applyFont="1" applyBorder="1" applyAlignment="1">
      <alignment vertical="center" wrapText="1"/>
    </xf>
    <xf numFmtId="0" fontId="0" fillId="17" borderId="19" xfId="0" applyFill="1" applyBorder="1" applyAlignment="1">
      <alignment vertical="center"/>
    </xf>
    <xf numFmtId="0" fontId="0" fillId="0" borderId="0" xfId="0"/>
    <xf numFmtId="14" fontId="0" fillId="0" borderId="0" xfId="0" applyNumberFormat="1"/>
    <xf numFmtId="22" fontId="0" fillId="0" borderId="0" xfId="0" applyNumberFormat="1"/>
    <xf numFmtId="0" fontId="10" fillId="2" borderId="15" xfId="0" applyFont="1" applyFill="1" applyBorder="1" applyAlignment="1">
      <alignment horizontal="center" vertical="center" wrapText="1"/>
    </xf>
    <xf numFmtId="0" fontId="16" fillId="2" borderId="15" xfId="0" applyFont="1" applyFill="1" applyBorder="1" applyAlignment="1">
      <alignment horizontal="center" vertical="center" wrapText="1"/>
    </xf>
    <xf numFmtId="0" fontId="10" fillId="2" borderId="15" xfId="0" applyFont="1" applyFill="1" applyBorder="1" applyAlignment="1">
      <alignment vertical="center" wrapText="1"/>
    </xf>
    <xf numFmtId="0" fontId="0" fillId="2" borderId="0" xfId="0" applyFill="1" applyAlignment="1">
      <alignment vertical="center" wrapText="1"/>
    </xf>
    <xf numFmtId="10" fontId="18" fillId="0" borderId="14" xfId="0" applyNumberFormat="1" applyFont="1" applyFill="1" applyBorder="1" applyAlignment="1"/>
    <xf numFmtId="10" fontId="18" fillId="0" borderId="14" xfId="0" applyNumberFormat="1" applyFont="1" applyFill="1" applyBorder="1"/>
    <xf numFmtId="0" fontId="0" fillId="0" borderId="14" xfId="0" applyFont="1" applyFill="1" applyBorder="1" applyAlignment="1">
      <alignment horizontal="left" vertical="top"/>
    </xf>
    <xf numFmtId="0" fontId="0" fillId="0" borderId="14" xfId="0" applyFont="1" applyFill="1" applyBorder="1"/>
    <xf numFmtId="10" fontId="32" fillId="0" borderId="14" xfId="0" applyNumberFormat="1" applyFont="1" applyFill="1" applyBorder="1"/>
    <xf numFmtId="0" fontId="32" fillId="0" borderId="14" xfId="0" applyFont="1" applyFill="1" applyBorder="1" applyAlignment="1">
      <alignment horizontal="left" vertical="top"/>
    </xf>
    <xf numFmtId="0" fontId="32" fillId="0" borderId="14" xfId="0" applyFont="1" applyFill="1" applyBorder="1" applyAlignment="1">
      <alignment horizontal="left" vertical="top" wrapText="1"/>
    </xf>
    <xf numFmtId="0" fontId="18" fillId="0" borderId="14" xfId="0" applyNumberFormat="1" applyFont="1" applyFill="1" applyBorder="1" applyAlignment="1">
      <alignment horizontal="left" vertical="top"/>
    </xf>
    <xf numFmtId="0" fontId="18" fillId="0" borderId="14" xfId="0" applyNumberFormat="1" applyFont="1" applyFill="1" applyBorder="1" applyAlignment="1">
      <alignment wrapText="1"/>
    </xf>
    <xf numFmtId="10" fontId="18" fillId="0" borderId="14" xfId="0" applyNumberFormat="1" applyFont="1" applyFill="1" applyBorder="1" applyAlignment="1">
      <alignment wrapText="1"/>
    </xf>
    <xf numFmtId="3" fontId="18" fillId="0" borderId="14" xfId="0" applyNumberFormat="1" applyFont="1" applyFill="1" applyBorder="1" applyAlignment="1"/>
    <xf numFmtId="0" fontId="37" fillId="0" borderId="14" xfId="0" applyFont="1" applyFill="1" applyBorder="1" applyAlignment="1">
      <alignment horizontal="left" vertical="top" wrapText="1"/>
    </xf>
    <xf numFmtId="0" fontId="113" fillId="0" borderId="14" xfId="0" applyFont="1" applyFill="1" applyBorder="1"/>
    <xf numFmtId="0" fontId="18" fillId="0" borderId="14" xfId="0" applyNumberFormat="1" applyFont="1" applyFill="1" applyBorder="1" applyAlignment="1">
      <alignment horizontal="left" wrapText="1"/>
    </xf>
    <xf numFmtId="0" fontId="18" fillId="0" borderId="14" xfId="0" applyFont="1" applyFill="1" applyBorder="1" applyAlignment="1">
      <alignment horizontal="left"/>
    </xf>
    <xf numFmtId="0" fontId="17" fillId="0" borderId="14" xfId="3" applyFont="1" applyFill="1" applyBorder="1" applyAlignment="1" applyProtection="1"/>
    <xf numFmtId="0" fontId="18" fillId="5" borderId="14" xfId="0" applyNumberFormat="1" applyFont="1" applyFill="1" applyBorder="1" applyAlignment="1"/>
    <xf numFmtId="0" fontId="17" fillId="0" borderId="14" xfId="3" applyFont="1" applyFill="1" applyBorder="1" applyAlignment="1" applyProtection="1">
      <alignment vertical="center" wrapText="1"/>
    </xf>
    <xf numFmtId="10" fontId="18" fillId="5" borderId="14" xfId="0" applyNumberFormat="1" applyFont="1" applyFill="1" applyBorder="1" applyAlignment="1"/>
    <xf numFmtId="0" fontId="0" fillId="0" borderId="0" xfId="0" applyFont="1" applyFill="1" applyAlignment="1">
      <alignment vertical="center" wrapText="1"/>
    </xf>
    <xf numFmtId="0" fontId="114" fillId="0" borderId="14" xfId="0" applyFont="1" applyFill="1" applyBorder="1"/>
    <xf numFmtId="0" fontId="17" fillId="0" borderId="14" xfId="3" applyFill="1" applyBorder="1" applyAlignment="1" applyProtection="1">
      <alignment wrapText="1"/>
    </xf>
    <xf numFmtId="0" fontId="0" fillId="0" borderId="0" xfId="0" applyFont="1" applyFill="1"/>
    <xf numFmtId="0" fontId="32" fillId="5" borderId="14" xfId="0" applyFont="1" applyFill="1" applyBorder="1"/>
    <xf numFmtId="0" fontId="17" fillId="0" borderId="14" xfId="4" applyFont="1" applyFill="1" applyBorder="1" applyAlignment="1" applyProtection="1"/>
    <xf numFmtId="0" fontId="38" fillId="0" borderId="14" xfId="0" applyFont="1" applyFill="1" applyBorder="1"/>
    <xf numFmtId="3" fontId="17" fillId="0" borderId="14" xfId="4" applyNumberFormat="1" applyFont="1" applyFill="1" applyBorder="1" applyAlignment="1" applyProtection="1"/>
    <xf numFmtId="0" fontId="0" fillId="0" borderId="0" xfId="0" applyAlignment="1">
      <alignment vertical="center"/>
    </xf>
    <xf numFmtId="0" fontId="117" fillId="2" borderId="0" xfId="0" applyFont="1" applyFill="1" applyAlignment="1">
      <alignment horizontal="center" vertical="center"/>
    </xf>
    <xf numFmtId="0" fontId="10" fillId="14" borderId="0" xfId="0" applyFont="1" applyFill="1" applyAlignment="1">
      <alignment vertical="center"/>
    </xf>
    <xf numFmtId="0" fontId="0" fillId="0" borderId="0" xfId="0" applyNumberFormat="1"/>
    <xf numFmtId="14" fontId="0" fillId="5" borderId="0" xfId="0" applyNumberFormat="1" applyFill="1"/>
    <xf numFmtId="0" fontId="0" fillId="5" borderId="0" xfId="0" applyNumberFormat="1" applyFill="1"/>
    <xf numFmtId="0" fontId="1" fillId="2" borderId="0" xfId="0" applyFont="1" applyFill="1" applyAlignment="1">
      <alignment horizontal="center" vertical="center" wrapText="1"/>
    </xf>
    <xf numFmtId="0" fontId="0" fillId="0" borderId="71" xfId="0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Fill="1" applyAlignment="1"/>
    <xf numFmtId="0" fontId="0" fillId="0" borderId="68" xfId="0" applyBorder="1"/>
    <xf numFmtId="0" fontId="0" fillId="0" borderId="0" xfId="0"/>
    <xf numFmtId="0" fontId="0" fillId="0" borderId="0" xfId="0" applyAlignment="1"/>
    <xf numFmtId="7" fontId="54" fillId="0" borderId="14" xfId="9" applyNumberFormat="1" applyFont="1" applyFill="1" applyBorder="1" applyAlignment="1">
      <alignment horizontal="left" vertical="center"/>
    </xf>
    <xf numFmtId="3" fontId="12" fillId="6" borderId="14" xfId="0" applyNumberFormat="1" applyFont="1" applyFill="1" applyBorder="1" applyAlignment="1">
      <alignment horizontal="left" vertical="top" wrapText="1"/>
    </xf>
    <xf numFmtId="14" fontId="0" fillId="7" borderId="0" xfId="0" applyNumberFormat="1" applyFill="1" applyAlignment="1">
      <alignment horizontal="center"/>
    </xf>
    <xf numFmtId="14" fontId="18" fillId="0" borderId="14" xfId="0" applyNumberFormat="1" applyFont="1" applyFill="1" applyBorder="1" applyAlignment="1">
      <alignment horizontal="center"/>
    </xf>
    <xf numFmtId="0" fontId="54" fillId="0" borderId="0" xfId="2" applyFont="1" applyBorder="1" applyAlignment="1">
      <alignment horizontal="center" vertical="center" textRotation="180"/>
    </xf>
    <xf numFmtId="168" fontId="0" fillId="0" borderId="0" xfId="0" applyNumberFormat="1"/>
    <xf numFmtId="0" fontId="37" fillId="0" borderId="0" xfId="0" applyFont="1" applyFill="1" applyBorder="1" applyAlignment="1">
      <alignment horizontal="right" vertical="center"/>
    </xf>
    <xf numFmtId="3" fontId="4" fillId="0" borderId="8" xfId="0" applyNumberFormat="1" applyFont="1" applyBorder="1" applyAlignment="1">
      <alignment vertical="center" wrapText="1"/>
    </xf>
    <xf numFmtId="10" fontId="1" fillId="0" borderId="0" xfId="0" applyNumberFormat="1" applyFont="1" applyBorder="1" applyAlignment="1">
      <alignment vertical="center" wrapText="1"/>
    </xf>
    <xf numFmtId="3" fontId="4" fillId="0" borderId="0" xfId="0" applyNumberFormat="1" applyFont="1" applyBorder="1" applyAlignment="1">
      <alignment vertical="center" wrapText="1"/>
    </xf>
    <xf numFmtId="177" fontId="0" fillId="0" borderId="0" xfId="0" applyNumberFormat="1" applyAlignment="1">
      <alignment horizontal="center"/>
    </xf>
    <xf numFmtId="10" fontId="30" fillId="7" borderId="14" xfId="2" applyNumberFormat="1" applyFont="1" applyFill="1" applyBorder="1" applyAlignment="1">
      <alignment horizontal="center" vertical="center"/>
    </xf>
    <xf numFmtId="177" fontId="41" fillId="0" borderId="14" xfId="2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0" xfId="0" applyFill="1"/>
    <xf numFmtId="0" fontId="0" fillId="0" borderId="14" xfId="0" applyBorder="1"/>
    <xf numFmtId="0" fontId="0" fillId="0" borderId="0" xfId="0" applyFill="1" applyBorder="1"/>
    <xf numFmtId="0" fontId="0" fillId="0" borderId="14" xfId="0" applyBorder="1" applyAlignment="1">
      <alignment horizontal="left"/>
    </xf>
    <xf numFmtId="7" fontId="54" fillId="0" borderId="14" xfId="9" applyNumberFormat="1" applyFont="1" applyFill="1" applyBorder="1" applyAlignment="1">
      <alignment horizontal="left" vertical="center"/>
    </xf>
    <xf numFmtId="0" fontId="32" fillId="0" borderId="14" xfId="0" applyFont="1" applyFill="1" applyBorder="1"/>
    <xf numFmtId="0" fontId="32" fillId="0" borderId="29" xfId="0" applyFont="1" applyFill="1" applyBorder="1"/>
    <xf numFmtId="14" fontId="18" fillId="0" borderId="14" xfId="0" applyNumberFormat="1" applyFont="1" applyFill="1" applyBorder="1" applyAlignment="1">
      <alignment horizontal="center"/>
    </xf>
    <xf numFmtId="14" fontId="32" fillId="0" borderId="14" xfId="0" applyNumberFormat="1" applyFont="1" applyFill="1" applyBorder="1"/>
    <xf numFmtId="4" fontId="18" fillId="17" borderId="0" xfId="2" applyNumberFormat="1" applyFont="1" applyFill="1" applyBorder="1" applyAlignment="1">
      <alignment horizontal="center" vertical="center"/>
    </xf>
    <xf numFmtId="4" fontId="18" fillId="17" borderId="16" xfId="2" applyNumberFormat="1" applyFont="1" applyFill="1" applyBorder="1" applyAlignment="1">
      <alignment horizontal="center" vertical="center"/>
    </xf>
    <xf numFmtId="181" fontId="18" fillId="17" borderId="16" xfId="2" applyNumberFormat="1" applyFont="1" applyFill="1" applyBorder="1" applyAlignment="1">
      <alignment horizontal="right" vertical="center"/>
    </xf>
    <xf numFmtId="181" fontId="111" fillId="0" borderId="14" xfId="0" applyNumberFormat="1" applyFont="1" applyFill="1" applyBorder="1" applyAlignment="1">
      <alignment horizontal="center" vertical="center"/>
    </xf>
    <xf numFmtId="181" fontId="111" fillId="0" borderId="14" xfId="0" applyNumberFormat="1" applyFont="1" applyFill="1" applyBorder="1" applyAlignment="1">
      <alignment horizontal="right" vertical="center"/>
    </xf>
    <xf numFmtId="181" fontId="30" fillId="0" borderId="14" xfId="2" applyNumberFormat="1" applyFont="1" applyFill="1" applyBorder="1" applyAlignment="1">
      <alignment horizontal="center" vertical="center"/>
    </xf>
    <xf numFmtId="181" fontId="30" fillId="0" borderId="14" xfId="2" applyNumberFormat="1" applyFont="1" applyFill="1" applyBorder="1" applyAlignment="1">
      <alignment horizontal="right" vertical="center"/>
    </xf>
    <xf numFmtId="3" fontId="12" fillId="6" borderId="16" xfId="0" applyNumberFormat="1" applyFont="1" applyFill="1" applyBorder="1" applyAlignment="1">
      <alignment horizontal="left" vertical="top" wrapText="1"/>
    </xf>
    <xf numFmtId="177" fontId="0" fillId="7" borderId="0" xfId="0" applyNumberFormat="1" applyFill="1" applyBorder="1" applyAlignment="1">
      <alignment vertical="center"/>
    </xf>
    <xf numFmtId="181" fontId="4" fillId="0" borderId="17" xfId="0" applyNumberFormat="1" applyFont="1" applyBorder="1" applyAlignment="1">
      <alignment vertical="center"/>
    </xf>
    <xf numFmtId="181" fontId="4" fillId="0" borderId="14" xfId="0" applyNumberFormat="1" applyFont="1" applyBorder="1" applyAlignment="1">
      <alignment vertical="center"/>
    </xf>
    <xf numFmtId="181" fontId="5" fillId="4" borderId="14" xfId="0" applyNumberFormat="1" applyFont="1" applyFill="1" applyBorder="1" applyAlignment="1">
      <alignment vertical="center"/>
    </xf>
    <xf numFmtId="0" fontId="30" fillId="2" borderId="18" xfId="0" applyFont="1" applyFill="1" applyBorder="1" applyAlignment="1">
      <alignment horizontal="center" vertical="center"/>
    </xf>
    <xf numFmtId="0" fontId="30" fillId="2" borderId="19" xfId="0" applyFont="1" applyFill="1" applyBorder="1" applyAlignment="1">
      <alignment horizontal="center" vertical="center"/>
    </xf>
    <xf numFmtId="0" fontId="30" fillId="2" borderId="25" xfId="0" applyFont="1" applyFill="1" applyBorder="1" applyAlignment="1">
      <alignment horizontal="center" vertical="center"/>
    </xf>
    <xf numFmtId="0" fontId="30" fillId="2" borderId="70" xfId="0" applyFont="1" applyFill="1" applyBorder="1" applyAlignment="1">
      <alignment horizontal="center" vertical="center"/>
    </xf>
    <xf numFmtId="0" fontId="59" fillId="0" borderId="5" xfId="0" applyFont="1" applyFill="1" applyBorder="1" applyAlignment="1">
      <alignment vertical="center" wrapText="1"/>
    </xf>
    <xf numFmtId="0" fontId="59" fillId="0" borderId="0" xfId="0" applyFont="1" applyFill="1" applyBorder="1" applyAlignment="1">
      <alignment vertical="center" wrapText="1"/>
    </xf>
    <xf numFmtId="4" fontId="59" fillId="0" borderId="78" xfId="0" applyNumberFormat="1" applyFont="1" applyFill="1" applyBorder="1" applyAlignment="1">
      <alignment horizontal="center" vertical="center" wrapText="1"/>
    </xf>
    <xf numFmtId="0" fontId="0" fillId="0" borderId="70" xfId="0" applyFill="1" applyBorder="1"/>
    <xf numFmtId="0" fontId="59" fillId="0" borderId="78" xfId="0" applyFont="1" applyFill="1" applyBorder="1" applyAlignment="1">
      <alignment vertical="center" wrapText="1"/>
    </xf>
    <xf numFmtId="165" fontId="30" fillId="3" borderId="14" xfId="2" applyNumberFormat="1" applyFont="1" applyFill="1" applyBorder="1" applyAlignment="1">
      <alignment horizontal="center" vertical="center"/>
    </xf>
    <xf numFmtId="1" fontId="41" fillId="0" borderId="14" xfId="2" applyNumberFormat="1" applyFont="1" applyFill="1" applyBorder="1" applyAlignment="1">
      <alignment horizontal="center" vertical="center"/>
    </xf>
    <xf numFmtId="179" fontId="0" fillId="0" borderId="0" xfId="0" applyNumberFormat="1"/>
    <xf numFmtId="179" fontId="0" fillId="0" borderId="0" xfId="0" applyNumberFormat="1" applyBorder="1"/>
    <xf numFmtId="177" fontId="107" fillId="0" borderId="17" xfId="2" applyNumberFormat="1" applyFont="1" applyFill="1" applyBorder="1" applyAlignment="1">
      <alignment vertical="center"/>
    </xf>
    <xf numFmtId="177" fontId="107" fillId="0" borderId="15" xfId="2" applyNumberFormat="1" applyFont="1" applyFill="1" applyBorder="1" applyAlignment="1">
      <alignment horizontal="center" vertical="center"/>
    </xf>
    <xf numFmtId="165" fontId="30" fillId="3" borderId="14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5" fontId="30" fillId="3" borderId="29" xfId="2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30" fillId="0" borderId="14" xfId="0" applyNumberFormat="1" applyFont="1" applyFill="1" applyBorder="1" applyAlignment="1"/>
    <xf numFmtId="0" fontId="32" fillId="0" borderId="14" xfId="0" applyFont="1" applyFill="1" applyBorder="1" applyAlignment="1">
      <alignment vertical="center" wrapText="1"/>
    </xf>
    <xf numFmtId="3" fontId="32" fillId="0" borderId="14" xfId="0" applyNumberFormat="1" applyFont="1" applyFill="1" applyBorder="1"/>
    <xf numFmtId="9" fontId="4" fillId="0" borderId="0" xfId="0" applyNumberFormat="1" applyFont="1" applyBorder="1" applyAlignment="1">
      <alignment vertical="center"/>
    </xf>
    <xf numFmtId="165" fontId="30" fillId="3" borderId="34" xfId="2" applyNumberFormat="1" applyFont="1" applyFill="1" applyBorder="1" applyAlignment="1">
      <alignment horizontal="center" vertical="center"/>
    </xf>
    <xf numFmtId="9" fontId="41" fillId="0" borderId="14" xfId="2" applyNumberFormat="1" applyFont="1" applyFill="1" applyBorder="1" applyAlignment="1">
      <alignment horizontal="left" vertical="center"/>
    </xf>
    <xf numFmtId="4" fontId="0" fillId="0" borderId="0" xfId="0" applyNumberFormat="1" applyFill="1"/>
    <xf numFmtId="2" fontId="54" fillId="7" borderId="14" xfId="2" applyNumberFormat="1" applyFont="1" applyFill="1" applyBorder="1" applyAlignment="1">
      <alignment vertical="center"/>
    </xf>
    <xf numFmtId="4" fontId="4" fillId="0" borderId="0" xfId="0" applyNumberFormat="1" applyFont="1" applyAlignment="1">
      <alignment vertical="center"/>
    </xf>
    <xf numFmtId="182" fontId="4" fillId="0" borderId="0" xfId="0" applyNumberFormat="1" applyFont="1" applyAlignment="1">
      <alignment vertical="center"/>
    </xf>
    <xf numFmtId="181" fontId="4" fillId="0" borderId="0" xfId="0" applyNumberFormat="1" applyFont="1" applyFill="1" applyBorder="1" applyAlignment="1">
      <alignment vertical="center"/>
    </xf>
    <xf numFmtId="0" fontId="27" fillId="0" borderId="3" xfId="0" applyFont="1" applyFill="1" applyBorder="1" applyAlignment="1"/>
    <xf numFmtId="165" fontId="30" fillId="3" borderId="82" xfId="2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/>
    <xf numFmtId="168" fontId="0" fillId="6" borderId="0" xfId="0" applyNumberFormat="1" applyFill="1" applyBorder="1"/>
    <xf numFmtId="0" fontId="32" fillId="0" borderId="14" xfId="0" applyFont="1" applyFill="1" applyBorder="1"/>
    <xf numFmtId="0" fontId="17" fillId="0" borderId="14" xfId="3" applyFill="1" applyBorder="1" applyAlignment="1" applyProtection="1"/>
    <xf numFmtId="0" fontId="18" fillId="0" borderId="14" xfId="0" applyNumberFormat="1" applyFont="1" applyFill="1" applyBorder="1" applyAlignment="1"/>
    <xf numFmtId="0" fontId="17" fillId="0" borderId="14" xfId="3" applyFill="1" applyBorder="1" applyAlignment="1" applyProtection="1">
      <alignment vertical="center" wrapText="1"/>
    </xf>
    <xf numFmtId="170" fontId="121" fillId="0" borderId="17" xfId="2" applyNumberFormat="1" applyFont="1" applyFill="1" applyBorder="1" applyAlignment="1">
      <alignment horizontal="center" vertical="center"/>
    </xf>
    <xf numFmtId="0" fontId="43" fillId="0" borderId="0" xfId="1" applyFont="1" applyFill="1" applyBorder="1" applyAlignment="1">
      <alignment horizontal="left" vertical="center"/>
    </xf>
    <xf numFmtId="10" fontId="0" fillId="0" borderId="0" xfId="0" applyNumberFormat="1"/>
    <xf numFmtId="14" fontId="30" fillId="0" borderId="5" xfId="0" applyNumberFormat="1" applyFont="1" applyFill="1" applyBorder="1" applyAlignment="1">
      <alignment horizontal="left" vertical="center"/>
    </xf>
    <xf numFmtId="0" fontId="40" fillId="0" borderId="0" xfId="0" applyFont="1" applyFill="1" applyBorder="1" applyAlignment="1">
      <alignment vertical="center" wrapText="1"/>
    </xf>
    <xf numFmtId="3" fontId="40" fillId="0" borderId="29" xfId="0" applyNumberFormat="1" applyFont="1" applyFill="1" applyBorder="1" applyAlignment="1">
      <alignment horizontal="center" vertical="center" wrapText="1"/>
    </xf>
    <xf numFmtId="0" fontId="44" fillId="7" borderId="0" xfId="0" applyFont="1" applyFill="1" applyBorder="1" applyAlignment="1"/>
    <xf numFmtId="4" fontId="44" fillId="13" borderId="15" xfId="0" applyNumberFormat="1" applyFont="1" applyFill="1" applyBorder="1" applyAlignment="1">
      <alignment horizontal="center" vertical="center" wrapText="1"/>
    </xf>
    <xf numFmtId="0" fontId="32" fillId="0" borderId="14" xfId="0" applyFont="1" applyFill="1" applyBorder="1"/>
    <xf numFmtId="0" fontId="0" fillId="0" borderId="0" xfId="0"/>
    <xf numFmtId="0" fontId="3" fillId="2" borderId="14" xfId="0" applyFont="1" applyFill="1" applyBorder="1" applyAlignment="1">
      <alignment horizontal="center" vertical="center" wrapText="1"/>
    </xf>
    <xf numFmtId="0" fontId="120" fillId="81" borderId="14" xfId="0" applyFont="1" applyFill="1" applyBorder="1" applyAlignment="1">
      <alignment horizontal="center" vertical="center" wrapText="1"/>
    </xf>
    <xf numFmtId="179" fontId="0" fillId="0" borderId="14" xfId="0" applyNumberFormat="1" applyBorder="1"/>
    <xf numFmtId="4" fontId="119" fillId="81" borderId="14" xfId="0" applyNumberFormat="1" applyFont="1" applyFill="1" applyBorder="1" applyAlignment="1">
      <alignment horizontal="center" vertical="center" wrapText="1"/>
    </xf>
    <xf numFmtId="0" fontId="119" fillId="81" borderId="14" xfId="0" applyFont="1" applyFill="1" applyBorder="1" applyAlignment="1">
      <alignment horizontal="center" vertical="center" wrapText="1"/>
    </xf>
    <xf numFmtId="1" fontId="36" fillId="18" borderId="14" xfId="198" applyNumberFormat="1" applyFont="1" applyFill="1" applyBorder="1" applyAlignment="1">
      <alignment horizontal="center" vertical="center" wrapText="1"/>
    </xf>
    <xf numFmtId="0" fontId="20" fillId="0" borderId="14" xfId="0" applyFont="1" applyBorder="1"/>
    <xf numFmtId="0" fontId="32" fillId="0" borderId="0" xfId="0" applyFont="1" applyFill="1" applyBorder="1" applyAlignment="1">
      <alignment vertical="center" wrapText="1"/>
    </xf>
    <xf numFmtId="0" fontId="4" fillId="0" borderId="0" xfId="0" applyFont="1" applyAlignment="1">
      <alignment horizontal="left" vertical="center"/>
    </xf>
    <xf numFmtId="181" fontId="39" fillId="0" borderId="14" xfId="2" applyNumberFormat="1" applyFont="1" applyFill="1" applyBorder="1" applyAlignment="1">
      <alignment vertical="center"/>
    </xf>
    <xf numFmtId="14" fontId="32" fillId="0" borderId="15" xfId="0" applyNumberFormat="1" applyFont="1" applyBorder="1"/>
    <xf numFmtId="3" fontId="18" fillId="18" borderId="15" xfId="0" applyNumberFormat="1" applyFont="1" applyFill="1" applyBorder="1" applyAlignment="1" applyProtection="1">
      <alignment horizontal="center" vertical="center" wrapText="1"/>
      <protection locked="0"/>
    </xf>
    <xf numFmtId="14" fontId="18" fillId="0" borderId="15" xfId="0" applyNumberFormat="1" applyFont="1" applyFill="1" applyBorder="1" applyAlignment="1">
      <alignment horizontal="center"/>
    </xf>
    <xf numFmtId="3" fontId="39" fillId="6" borderId="14" xfId="2" applyNumberFormat="1" applyFont="1" applyFill="1" applyBorder="1" applyAlignment="1">
      <alignment vertical="center"/>
    </xf>
    <xf numFmtId="0" fontId="18" fillId="18" borderId="15" xfId="0" applyNumberFormat="1" applyFont="1" applyFill="1" applyBorder="1" applyAlignment="1">
      <alignment horizontal="center"/>
    </xf>
    <xf numFmtId="0" fontId="32" fillId="0" borderId="14" xfId="0" applyFont="1" applyFill="1" applyBorder="1" applyAlignment="1">
      <alignment vertical="center" wrapText="1"/>
    </xf>
    <xf numFmtId="0" fontId="32" fillId="0" borderId="14" xfId="0" applyFont="1" applyFill="1" applyBorder="1"/>
    <xf numFmtId="0" fontId="18" fillId="0" borderId="14" xfId="0" applyFont="1" applyFill="1" applyBorder="1"/>
    <xf numFmtId="0" fontId="18" fillId="0" borderId="14" xfId="0" applyNumberFormat="1" applyFont="1" applyFill="1" applyBorder="1" applyAlignment="1"/>
    <xf numFmtId="0" fontId="18" fillId="0" borderId="14" xfId="0" applyFont="1" applyFill="1" applyBorder="1" applyAlignment="1">
      <alignment vertical="center"/>
    </xf>
    <xf numFmtId="0" fontId="0" fillId="0" borderId="0" xfId="0"/>
    <xf numFmtId="14" fontId="0" fillId="0" borderId="0" xfId="0" applyNumberFormat="1"/>
    <xf numFmtId="7" fontId="54" fillId="0" borderId="14" xfId="9" applyNumberFormat="1" applyFont="1" applyFill="1" applyBorder="1" applyAlignment="1">
      <alignment horizontal="left" vertical="center"/>
    </xf>
    <xf numFmtId="0" fontId="32" fillId="0" borderId="14" xfId="0" applyFont="1" applyFill="1" applyBorder="1" applyAlignment="1">
      <alignment vertical="center" wrapText="1"/>
    </xf>
    <xf numFmtId="0" fontId="35" fillId="0" borderId="14" xfId="4" applyFont="1" applyFill="1" applyBorder="1" applyAlignment="1" applyProtection="1">
      <alignment vertical="center" wrapText="1"/>
    </xf>
    <xf numFmtId="0" fontId="30" fillId="0" borderId="14" xfId="0" applyNumberFormat="1" applyFont="1" applyFill="1" applyBorder="1" applyAlignment="1"/>
    <xf numFmtId="0" fontId="32" fillId="0" borderId="15" xfId="0" applyFont="1" applyBorder="1"/>
    <xf numFmtId="14" fontId="18" fillId="0" borderId="14" xfId="0" applyNumberFormat="1" applyFont="1" applyFill="1" applyBorder="1" applyAlignment="1">
      <alignment horizontal="center"/>
    </xf>
    <xf numFmtId="0" fontId="32" fillId="0" borderId="14" xfId="0" applyFont="1" applyBorder="1"/>
    <xf numFmtId="14" fontId="32" fillId="0" borderId="14" xfId="0" applyNumberFormat="1" applyFont="1" applyBorder="1"/>
    <xf numFmtId="0" fontId="0" fillId="0" borderId="0" xfId="0"/>
    <xf numFmtId="0" fontId="32" fillId="0" borderId="14" xfId="0" applyFont="1" applyBorder="1"/>
    <xf numFmtId="14" fontId="32" fillId="0" borderId="14" xfId="0" applyNumberFormat="1" applyFont="1" applyBorder="1"/>
    <xf numFmtId="0" fontId="32" fillId="0" borderId="14" xfId="0" applyFont="1" applyFill="1" applyBorder="1"/>
    <xf numFmtId="0" fontId="0" fillId="0" borderId="14" xfId="0" applyBorder="1"/>
    <xf numFmtId="0" fontId="26" fillId="0" borderId="0" xfId="0" applyFont="1" applyBorder="1" applyAlignment="1">
      <alignment vertical="center"/>
    </xf>
    <xf numFmtId="0" fontId="21" fillId="0" borderId="0" xfId="0" applyFont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3" fillId="0" borderId="10" xfId="1" applyBorder="1" applyAlignment="1">
      <alignment vertical="center" wrapText="1"/>
    </xf>
    <xf numFmtId="0" fontId="13" fillId="0" borderId="8" xfId="1" applyBorder="1" applyAlignment="1">
      <alignment vertical="center" wrapText="1"/>
    </xf>
    <xf numFmtId="0" fontId="13" fillId="0" borderId="9" xfId="1" applyBorder="1" applyAlignment="1">
      <alignment vertical="center" wrapText="1"/>
    </xf>
    <xf numFmtId="0" fontId="0" fillId="0" borderId="85" xfId="0" applyBorder="1" applyAlignment="1"/>
    <xf numFmtId="0" fontId="24" fillId="0" borderId="25" xfId="0" applyFont="1" applyBorder="1" applyAlignment="1">
      <alignment vertical="center" wrapText="1"/>
    </xf>
    <xf numFmtId="0" fontId="24" fillId="0" borderId="85" xfId="0" applyFont="1" applyBorder="1" applyAlignment="1">
      <alignment vertical="center" wrapText="1"/>
    </xf>
    <xf numFmtId="0" fontId="0" fillId="0" borderId="8" xfId="0" applyBorder="1" applyAlignment="1"/>
    <xf numFmtId="0" fontId="26" fillId="0" borderId="0" xfId="0" applyFont="1" applyBorder="1" applyAlignment="1">
      <alignment vertical="center" wrapText="1"/>
    </xf>
    <xf numFmtId="0" fontId="32" fillId="0" borderId="18" xfId="0" applyFont="1" applyFill="1" applyBorder="1"/>
    <xf numFmtId="0" fontId="26" fillId="0" borderId="67" xfId="0" applyFont="1" applyBorder="1" applyAlignment="1">
      <alignment vertical="center"/>
    </xf>
    <xf numFmtId="0" fontId="0" fillId="3" borderId="0" xfId="0" applyFill="1"/>
    <xf numFmtId="0" fontId="32" fillId="0" borderId="26" xfId="0" applyFont="1" applyBorder="1"/>
    <xf numFmtId="176" fontId="32" fillId="18" borderId="9" xfId="0" applyNumberFormat="1" applyFont="1" applyFill="1" applyBorder="1"/>
    <xf numFmtId="4" fontId="32" fillId="5" borderId="20" xfId="0" applyNumberFormat="1" applyFont="1" applyFill="1" applyBorder="1"/>
    <xf numFmtId="4" fontId="31" fillId="0" borderId="2" xfId="0" applyNumberFormat="1" applyFont="1" applyFill="1" applyBorder="1"/>
    <xf numFmtId="176" fontId="31" fillId="17" borderId="2" xfId="0" applyNumberFormat="1" applyFont="1" applyFill="1" applyBorder="1"/>
    <xf numFmtId="0" fontId="32" fillId="0" borderId="0" xfId="0" applyFont="1"/>
    <xf numFmtId="14" fontId="32" fillId="0" borderId="0" xfId="0" applyNumberFormat="1" applyFont="1" applyFill="1" applyBorder="1"/>
    <xf numFmtId="4" fontId="32" fillId="5" borderId="5" xfId="0" applyNumberFormat="1" applyFont="1" applyFill="1" applyBorder="1"/>
    <xf numFmtId="176" fontId="31" fillId="17" borderId="3" xfId="0" applyNumberFormat="1" applyFont="1" applyFill="1" applyBorder="1"/>
    <xf numFmtId="4" fontId="32" fillId="5" borderId="88" xfId="0" applyNumberFormat="1" applyFont="1" applyFill="1" applyBorder="1"/>
    <xf numFmtId="4" fontId="32" fillId="3" borderId="0" xfId="0" applyNumberFormat="1" applyFont="1" applyFill="1" applyBorder="1"/>
    <xf numFmtId="165" fontId="32" fillId="0" borderId="0" xfId="0" applyNumberFormat="1" applyFont="1" applyBorder="1"/>
    <xf numFmtId="2" fontId="32" fillId="5" borderId="14" xfId="0" applyNumberFormat="1" applyFont="1" applyFill="1" applyBorder="1"/>
    <xf numFmtId="0" fontId="32" fillId="0" borderId="0" xfId="0" applyFont="1" applyBorder="1" applyAlignment="1">
      <alignment horizontal="center"/>
    </xf>
    <xf numFmtId="4" fontId="32" fillId="0" borderId="17" xfId="0" applyNumberFormat="1" applyFont="1" applyFill="1" applyBorder="1"/>
    <xf numFmtId="0" fontId="32" fillId="6" borderId="19" xfId="0" applyFont="1" applyFill="1" applyBorder="1"/>
    <xf numFmtId="4" fontId="32" fillId="18" borderId="17" xfId="0" applyNumberFormat="1" applyFont="1" applyFill="1" applyBorder="1"/>
    <xf numFmtId="0" fontId="32" fillId="0" borderId="19" xfId="0" applyFont="1" applyBorder="1"/>
    <xf numFmtId="0" fontId="32" fillId="0" borderId="88" xfId="0" applyFont="1" applyBorder="1"/>
    <xf numFmtId="2" fontId="32" fillId="0" borderId="14" xfId="0" applyNumberFormat="1" applyFont="1" applyBorder="1"/>
    <xf numFmtId="4" fontId="32" fillId="5" borderId="18" xfId="0" applyNumberFormat="1" applyFont="1" applyFill="1" applyBorder="1"/>
    <xf numFmtId="4" fontId="32" fillId="0" borderId="0" xfId="0" applyNumberFormat="1" applyFont="1" applyBorder="1"/>
    <xf numFmtId="4" fontId="32" fillId="3" borderId="14" xfId="0" applyNumberFormat="1" applyFont="1" applyFill="1" applyBorder="1"/>
    <xf numFmtId="4" fontId="32" fillId="5" borderId="25" xfId="0" applyNumberFormat="1" applyFont="1" applyFill="1" applyBorder="1"/>
    <xf numFmtId="4" fontId="32" fillId="5" borderId="86" xfId="0" applyNumberFormat="1" applyFont="1" applyFill="1" applyBorder="1"/>
    <xf numFmtId="0" fontId="26" fillId="0" borderId="95" xfId="0" applyFont="1" applyBorder="1" applyAlignment="1">
      <alignment vertical="center"/>
    </xf>
    <xf numFmtId="4" fontId="18" fillId="0" borderId="14" xfId="2" applyNumberFormat="1" applyFont="1" applyFill="1" applyBorder="1" applyAlignment="1">
      <alignment horizontal="right" vertical="center" wrapText="1"/>
    </xf>
    <xf numFmtId="4" fontId="31" fillId="17" borderId="0" xfId="0" applyNumberFormat="1" applyFont="1" applyFill="1" applyBorder="1"/>
    <xf numFmtId="0" fontId="26" fillId="0" borderId="94" xfId="0" applyFont="1" applyBorder="1" applyAlignment="1">
      <alignment vertical="center"/>
    </xf>
    <xf numFmtId="0" fontId="31" fillId="17" borderId="5" xfId="0" applyFont="1" applyFill="1" applyBorder="1"/>
    <xf numFmtId="4" fontId="31" fillId="0" borderId="0" xfId="0" applyNumberFormat="1" applyFont="1" applyFill="1" applyBorder="1"/>
    <xf numFmtId="0" fontId="32" fillId="0" borderId="20" xfId="0" applyFont="1" applyFill="1" applyBorder="1"/>
    <xf numFmtId="22" fontId="31" fillId="0" borderId="0" xfId="0" applyNumberFormat="1" applyFont="1" applyFill="1" applyBorder="1" applyAlignment="1">
      <alignment horizontal="center"/>
    </xf>
    <xf numFmtId="0" fontId="32" fillId="0" borderId="40" xfId="0" applyFont="1" applyBorder="1" applyAlignment="1">
      <alignment vertical="top" wrapText="1"/>
    </xf>
    <xf numFmtId="175" fontId="111" fillId="0" borderId="0" xfId="0" applyNumberFormat="1" applyFont="1"/>
    <xf numFmtId="0" fontId="32" fillId="0" borderId="17" xfId="0" applyFont="1" applyFill="1" applyBorder="1"/>
    <xf numFmtId="0" fontId="32" fillId="0" borderId="23" xfId="0" applyFont="1" applyBorder="1"/>
    <xf numFmtId="4" fontId="31" fillId="0" borderId="3" xfId="0" applyNumberFormat="1" applyFont="1" applyFill="1" applyBorder="1"/>
    <xf numFmtId="22" fontId="31" fillId="0" borderId="29" xfId="0" applyNumberFormat="1" applyFont="1" applyFill="1" applyBorder="1" applyAlignment="1">
      <alignment horizontal="center"/>
    </xf>
    <xf numFmtId="0" fontId="32" fillId="3" borderId="0" xfId="0" applyFont="1" applyFill="1" applyBorder="1" applyAlignment="1">
      <alignment horizontal="center"/>
    </xf>
    <xf numFmtId="0" fontId="32" fillId="0" borderId="16" xfId="0" applyFont="1" applyFill="1" applyBorder="1"/>
    <xf numFmtId="0" fontId="32" fillId="0" borderId="15" xfId="0" applyFont="1" applyFill="1" applyBorder="1"/>
    <xf numFmtId="14" fontId="32" fillId="0" borderId="5" xfId="0" applyNumberFormat="1" applyFont="1" applyFill="1" applyBorder="1"/>
    <xf numFmtId="0" fontId="32" fillId="0" borderId="18" xfId="0" applyFont="1" applyBorder="1" applyAlignment="1">
      <alignment horizontal="center" vertical="center"/>
    </xf>
    <xf numFmtId="176" fontId="32" fillId="18" borderId="31" xfId="0" applyNumberFormat="1" applyFont="1" applyFill="1" applyBorder="1"/>
    <xf numFmtId="0" fontId="32" fillId="0" borderId="26" xfId="0" applyFont="1" applyFill="1" applyBorder="1"/>
    <xf numFmtId="14" fontId="32" fillId="0" borderId="26" xfId="0" applyNumberFormat="1" applyFont="1" applyBorder="1"/>
    <xf numFmtId="175" fontId="31" fillId="17" borderId="88" xfId="0" applyNumberFormat="1" applyFont="1" applyFill="1" applyBorder="1"/>
    <xf numFmtId="0" fontId="32" fillId="6" borderId="16" xfId="0" applyFont="1" applyFill="1" applyBorder="1"/>
    <xf numFmtId="14" fontId="32" fillId="0" borderId="0" xfId="0" applyNumberFormat="1" applyFont="1" applyFill="1"/>
    <xf numFmtId="14" fontId="32" fillId="0" borderId="0" xfId="0" applyNumberFormat="1" applyFont="1" applyBorder="1"/>
    <xf numFmtId="0" fontId="32" fillId="0" borderId="2" xfId="0" applyFont="1" applyBorder="1"/>
    <xf numFmtId="176" fontId="32" fillId="5" borderId="14" xfId="0" applyNumberFormat="1" applyFont="1" applyFill="1" applyBorder="1"/>
    <xf numFmtId="176" fontId="31" fillId="17" borderId="23" xfId="0" applyNumberFormat="1" applyFont="1" applyFill="1" applyBorder="1"/>
    <xf numFmtId="4" fontId="32" fillId="0" borderId="14" xfId="0" applyNumberFormat="1" applyFont="1" applyBorder="1"/>
    <xf numFmtId="0" fontId="32" fillId="0" borderId="5" xfId="0" applyFont="1" applyFill="1" applyBorder="1"/>
    <xf numFmtId="0" fontId="32" fillId="0" borderId="5" xfId="0" applyFont="1" applyBorder="1"/>
    <xf numFmtId="4" fontId="18" fillId="0" borderId="0" xfId="2" applyNumberFormat="1" applyFont="1" applyFill="1" applyBorder="1" applyAlignment="1">
      <alignment horizontal="right" vertical="center" wrapText="1"/>
    </xf>
    <xf numFmtId="0" fontId="32" fillId="0" borderId="0" xfId="0" applyFont="1" applyFill="1" applyBorder="1" applyAlignment="1">
      <alignment horizontal="center"/>
    </xf>
    <xf numFmtId="14" fontId="32" fillId="0" borderId="26" xfId="0" applyNumberFormat="1" applyFont="1" applyFill="1" applyBorder="1"/>
    <xf numFmtId="0" fontId="32" fillId="20" borderId="19" xfId="0" applyFont="1" applyFill="1" applyBorder="1"/>
    <xf numFmtId="0" fontId="32" fillId="0" borderId="86" xfId="0" applyFont="1" applyBorder="1"/>
    <xf numFmtId="176" fontId="31" fillId="17" borderId="14" xfId="0" applyNumberFormat="1" applyFont="1" applyFill="1" applyBorder="1"/>
    <xf numFmtId="0" fontId="32" fillId="3" borderId="0" xfId="0" applyFont="1" applyFill="1"/>
    <xf numFmtId="4" fontId="32" fillId="2" borderId="17" xfId="0" applyNumberFormat="1" applyFont="1" applyFill="1" applyBorder="1"/>
    <xf numFmtId="8" fontId="32" fillId="17" borderId="0" xfId="0" applyNumberFormat="1" applyFont="1" applyFill="1" applyBorder="1" applyAlignment="1">
      <alignment horizontal="right"/>
    </xf>
    <xf numFmtId="0" fontId="32" fillId="0" borderId="25" xfId="0" applyFont="1" applyBorder="1"/>
    <xf numFmtId="4" fontId="32" fillId="2" borderId="14" xfId="0" applyNumberFormat="1" applyFont="1" applyFill="1" applyBorder="1"/>
    <xf numFmtId="0" fontId="32" fillId="0" borderId="14" xfId="0" applyFont="1" applyBorder="1" applyAlignment="1">
      <alignment vertical="top" wrapText="1"/>
    </xf>
    <xf numFmtId="0" fontId="32" fillId="0" borderId="25" xfId="0" applyFont="1" applyBorder="1" applyAlignment="1">
      <alignment horizontal="center" vertical="center"/>
    </xf>
    <xf numFmtId="176" fontId="31" fillId="17" borderId="4" xfId="0" applyNumberFormat="1" applyFont="1" applyFill="1" applyBorder="1"/>
    <xf numFmtId="0" fontId="32" fillId="0" borderId="19" xfId="0" applyFont="1" applyBorder="1" applyAlignment="1">
      <alignment horizontal="center" vertical="center"/>
    </xf>
    <xf numFmtId="0" fontId="32" fillId="0" borderId="19" xfId="0" applyFont="1" applyFill="1" applyBorder="1"/>
    <xf numFmtId="0" fontId="32" fillId="0" borderId="0" xfId="0" applyFont="1" applyBorder="1"/>
    <xf numFmtId="0" fontId="0" fillId="0" borderId="0" xfId="0"/>
    <xf numFmtId="165" fontId="24" fillId="10" borderId="0" xfId="0" applyNumberFormat="1" applyFont="1" applyFill="1" applyAlignment="1">
      <alignment horizontal="center" vertical="center" wrapText="1"/>
    </xf>
    <xf numFmtId="164" fontId="24" fillId="10" borderId="0" xfId="0" applyNumberFormat="1" applyFont="1" applyFill="1" applyBorder="1" applyAlignment="1">
      <alignment horizontal="right" vertical="center" wrapText="1"/>
    </xf>
    <xf numFmtId="2" fontId="0" fillId="0" borderId="0" xfId="0" applyNumberFormat="1" applyAlignment="1">
      <alignment horizontal="center" vertical="center" wrapText="1"/>
    </xf>
    <xf numFmtId="0" fontId="32" fillId="0" borderId="14" xfId="0" applyFont="1" applyBorder="1"/>
    <xf numFmtId="0" fontId="0" fillId="0" borderId="0" xfId="0" applyBorder="1"/>
    <xf numFmtId="0" fontId="0" fillId="0" borderId="0" xfId="0" applyAlignment="1">
      <alignment horizontal="center"/>
    </xf>
    <xf numFmtId="0" fontId="54" fillId="0" borderId="14" xfId="2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/>
    </xf>
    <xf numFmtId="10" fontId="41" fillId="0" borderId="14" xfId="2" applyNumberFormat="1" applyFont="1" applyFill="1" applyBorder="1" applyAlignment="1">
      <alignment horizontal="center" vertical="center"/>
    </xf>
    <xf numFmtId="0" fontId="32" fillId="0" borderId="0" xfId="0" applyFont="1" applyFill="1"/>
    <xf numFmtId="4" fontId="32" fillId="0" borderId="14" xfId="0" applyNumberFormat="1" applyFont="1" applyFill="1" applyBorder="1"/>
    <xf numFmtId="7" fontId="54" fillId="0" borderId="14" xfId="9" applyNumberFormat="1" applyFont="1" applyFill="1" applyBorder="1" applyAlignment="1">
      <alignment horizontal="left" vertical="center" wrapText="1"/>
    </xf>
    <xf numFmtId="0" fontId="97" fillId="0" borderId="5" xfId="0" applyFont="1" applyFill="1" applyBorder="1" applyAlignment="1">
      <alignment horizontal="center"/>
    </xf>
    <xf numFmtId="4" fontId="59" fillId="0" borderId="0" xfId="0" applyNumberFormat="1" applyFont="1" applyFill="1" applyBorder="1" applyAlignment="1">
      <alignment horizontal="center" vertical="center" wrapText="1"/>
    </xf>
    <xf numFmtId="3" fontId="54" fillId="0" borderId="17" xfId="2" applyNumberFormat="1" applyFont="1" applyFill="1" applyBorder="1" applyAlignment="1">
      <alignment horizontal="center" vertical="center"/>
    </xf>
    <xf numFmtId="0" fontId="0" fillId="18" borderId="0" xfId="0" applyFill="1"/>
    <xf numFmtId="7" fontId="54" fillId="0" borderId="31" xfId="9" applyNumberFormat="1" applyFont="1" applyFill="1" applyBorder="1" applyAlignment="1">
      <alignment horizontal="left" vertical="center"/>
    </xf>
    <xf numFmtId="4" fontId="32" fillId="18" borderId="14" xfId="0" applyNumberFormat="1" applyFont="1" applyFill="1" applyBorder="1"/>
    <xf numFmtId="0" fontId="32" fillId="0" borderId="0" xfId="0" applyFont="1" applyFill="1" applyBorder="1"/>
    <xf numFmtId="4" fontId="59" fillId="0" borderId="88" xfId="0" applyNumberFormat="1" applyFont="1" applyFill="1" applyBorder="1" applyAlignment="1">
      <alignment horizontal="center" vertical="center" wrapText="1"/>
    </xf>
    <xf numFmtId="164" fontId="24" fillId="10" borderId="2" xfId="0" applyNumberFormat="1" applyFont="1" applyFill="1" applyBorder="1" applyAlignment="1">
      <alignment vertical="center" wrapText="1"/>
    </xf>
    <xf numFmtId="164" fontId="24" fillId="10" borderId="7" xfId="0" applyNumberFormat="1" applyFont="1" applyFill="1" applyBorder="1" applyAlignment="1">
      <alignment horizontal="right" vertical="center"/>
    </xf>
    <xf numFmtId="164" fontId="24" fillId="10" borderId="7" xfId="0" applyNumberFormat="1" applyFont="1" applyFill="1" applyBorder="1" applyAlignment="1">
      <alignment horizontal="right" vertical="center" wrapText="1"/>
    </xf>
    <xf numFmtId="0" fontId="4" fillId="0" borderId="94" xfId="0" applyFont="1" applyBorder="1" applyAlignment="1">
      <alignment vertical="center"/>
    </xf>
    <xf numFmtId="0" fontId="25" fillId="0" borderId="14" xfId="0" applyFont="1" applyFill="1" applyBorder="1" applyAlignment="1"/>
    <xf numFmtId="3" fontId="4" fillId="0" borderId="0" xfId="0" applyNumberFormat="1" applyFont="1" applyBorder="1" applyAlignment="1">
      <alignment horizontal="left" vertical="center"/>
    </xf>
    <xf numFmtId="4" fontId="0" fillId="0" borderId="0" xfId="0" applyNumberFormat="1"/>
    <xf numFmtId="0" fontId="4" fillId="2" borderId="0" xfId="0" applyFont="1" applyFill="1" applyAlignment="1">
      <alignment horizontal="center" vertical="center" wrapText="1"/>
    </xf>
    <xf numFmtId="0" fontId="0" fillId="8" borderId="0" xfId="0" applyFill="1" applyBorder="1"/>
    <xf numFmtId="0" fontId="15" fillId="0" borderId="0" xfId="1" applyFont="1" applyFill="1" applyBorder="1" applyAlignment="1">
      <alignment vertical="center" wrapText="1"/>
    </xf>
    <xf numFmtId="0" fontId="16" fillId="0" borderId="0" xfId="1" applyFont="1" applyFill="1" applyBorder="1" applyAlignment="1">
      <alignment horizontal="right" vertical="center" wrapText="1"/>
    </xf>
    <xf numFmtId="7" fontId="54" fillId="0" borderId="14" xfId="9" applyNumberFormat="1" applyFont="1" applyFill="1" applyBorder="1" applyAlignment="1">
      <alignment horizontal="left" vertical="center"/>
    </xf>
    <xf numFmtId="0" fontId="0" fillId="0" borderId="0" xfId="0"/>
    <xf numFmtId="0" fontId="32" fillId="0" borderId="14" xfId="0" applyFont="1" applyFill="1" applyBorder="1"/>
    <xf numFmtId="14" fontId="32" fillId="0" borderId="14" xfId="0" applyNumberFormat="1" applyFont="1" applyFill="1" applyBorder="1"/>
    <xf numFmtId="0" fontId="18" fillId="8" borderId="14" xfId="0" applyFont="1" applyFill="1" applyBorder="1" applyAlignment="1">
      <alignment vertical="center"/>
    </xf>
    <xf numFmtId="0" fontId="0" fillId="8" borderId="0" xfId="0" applyFill="1"/>
    <xf numFmtId="0" fontId="4" fillId="0" borderId="23" xfId="0" applyFont="1" applyBorder="1" applyAlignment="1">
      <alignment vertical="center"/>
    </xf>
    <xf numFmtId="9" fontId="41" fillId="0" borderId="0" xfId="2" applyNumberFormat="1" applyFont="1" applyFill="1" applyBorder="1" applyAlignment="1">
      <alignment horizontal="center" vertical="center"/>
    </xf>
    <xf numFmtId="4" fontId="30" fillId="0" borderId="14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4" fillId="18" borderId="9" xfId="2" applyFont="1" applyFill="1" applyBorder="1" applyAlignment="1">
      <alignment vertical="center"/>
    </xf>
    <xf numFmtId="2" fontId="54" fillId="3" borderId="3" xfId="2" applyNumberFormat="1" applyFont="1" applyFill="1" applyBorder="1" applyAlignment="1">
      <alignment horizontal="center" vertical="center"/>
    </xf>
    <xf numFmtId="2" fontId="54" fillId="3" borderId="5" xfId="2" applyNumberFormat="1" applyFont="1" applyFill="1" applyBorder="1" applyAlignment="1">
      <alignment horizontal="center" vertical="center"/>
    </xf>
    <xf numFmtId="2" fontId="54" fillId="3" borderId="18" xfId="2" applyNumberFormat="1" applyFont="1" applyFill="1" applyBorder="1" applyAlignment="1">
      <alignment horizontal="center" vertical="center"/>
    </xf>
    <xf numFmtId="2" fontId="54" fillId="3" borderId="20" xfId="2" applyNumberFormat="1" applyFont="1" applyFill="1" applyBorder="1" applyAlignment="1">
      <alignment horizontal="center" vertical="center"/>
    </xf>
    <xf numFmtId="2" fontId="54" fillId="3" borderId="0" xfId="2" applyNumberFormat="1" applyFont="1" applyFill="1" applyBorder="1" applyAlignment="1">
      <alignment horizontal="center" vertical="center"/>
    </xf>
    <xf numFmtId="2" fontId="54" fillId="3" borderId="26" xfId="2" applyNumberFormat="1" applyFont="1" applyFill="1" applyBorder="1" applyAlignment="1">
      <alignment horizontal="center" vertical="center"/>
    </xf>
    <xf numFmtId="2" fontId="54" fillId="3" borderId="27" xfId="2" applyNumberFormat="1" applyFont="1" applyFill="1" applyBorder="1" applyAlignment="1">
      <alignment horizontal="center" vertical="center"/>
    </xf>
    <xf numFmtId="2" fontId="54" fillId="3" borderId="19" xfId="2" applyNumberFormat="1" applyFont="1" applyFill="1" applyBorder="1" applyAlignment="1">
      <alignment horizontal="center" vertical="center"/>
    </xf>
    <xf numFmtId="0" fontId="18" fillId="3" borderId="14" xfId="2" applyNumberFormat="1" applyFont="1" applyFill="1" applyBorder="1" applyAlignment="1">
      <alignment horizontal="center" vertical="center"/>
    </xf>
    <xf numFmtId="4" fontId="18" fillId="14" borderId="14" xfId="2" applyNumberFormat="1" applyFont="1" applyFill="1" applyBorder="1" applyAlignment="1">
      <alignment horizontal="center" vertical="center"/>
    </xf>
    <xf numFmtId="9" fontId="41" fillId="14" borderId="14" xfId="2" applyNumberFormat="1" applyFont="1" applyFill="1" applyBorder="1" applyAlignment="1">
      <alignment horizontal="center" vertical="center"/>
    </xf>
    <xf numFmtId="4" fontId="18" fillId="14" borderId="14" xfId="2" applyNumberFormat="1" applyFont="1" applyFill="1" applyBorder="1" applyAlignment="1">
      <alignment vertical="center" wrapText="1"/>
    </xf>
    <xf numFmtId="0" fontId="41" fillId="2" borderId="14" xfId="2" applyFont="1" applyFill="1" applyBorder="1" applyAlignment="1">
      <alignment vertical="center" wrapText="1"/>
    </xf>
    <xf numFmtId="3" fontId="18" fillId="0" borderId="14" xfId="0" applyNumberFormat="1" applyFont="1" applyFill="1" applyBorder="1"/>
    <xf numFmtId="0" fontId="28" fillId="0" borderId="0" xfId="0" applyFont="1" applyFill="1"/>
    <xf numFmtId="10" fontId="18" fillId="0" borderId="30" xfId="9" applyNumberFormat="1" applyFont="1" applyFill="1" applyBorder="1" applyAlignment="1">
      <alignment horizontal="center" vertical="center"/>
    </xf>
    <xf numFmtId="0" fontId="18" fillId="0" borderId="31" xfId="0" applyNumberFormat="1" applyFont="1" applyFill="1" applyBorder="1"/>
    <xf numFmtId="179" fontId="18" fillId="0" borderId="31" xfId="0" applyNumberFormat="1" applyFont="1" applyFill="1" applyBorder="1"/>
    <xf numFmtId="4" fontId="18" fillId="0" borderId="31" xfId="0" applyNumberFormat="1" applyFont="1" applyFill="1" applyBorder="1"/>
    <xf numFmtId="10" fontId="18" fillId="0" borderId="31" xfId="0" applyNumberFormat="1" applyFont="1" applyFill="1" applyBorder="1"/>
    <xf numFmtId="2" fontId="18" fillId="0" borderId="31" xfId="0" applyNumberFormat="1" applyFont="1" applyFill="1" applyBorder="1"/>
    <xf numFmtId="0" fontId="18" fillId="0" borderId="30" xfId="0" applyNumberFormat="1" applyFont="1" applyFill="1" applyBorder="1"/>
    <xf numFmtId="4" fontId="18" fillId="0" borderId="14" xfId="0" applyNumberFormat="1" applyFont="1" applyFill="1" applyBorder="1"/>
    <xf numFmtId="0" fontId="18" fillId="0" borderId="0" xfId="0" applyNumberFormat="1" applyFont="1" applyFill="1" applyBorder="1"/>
    <xf numFmtId="2" fontId="18" fillId="0" borderId="14" xfId="0" applyNumberFormat="1" applyFont="1" applyFill="1" applyBorder="1"/>
    <xf numFmtId="0" fontId="18" fillId="0" borderId="14" xfId="0" applyNumberFormat="1" applyFont="1" applyFill="1" applyBorder="1"/>
    <xf numFmtId="2" fontId="18" fillId="0" borderId="0" xfId="0" applyNumberFormat="1" applyFont="1" applyFill="1" applyBorder="1"/>
    <xf numFmtId="7" fontId="18" fillId="0" borderId="30" xfId="9" applyNumberFormat="1" applyFont="1" applyFill="1" applyBorder="1" applyAlignment="1">
      <alignment horizontal="left" vertical="center"/>
    </xf>
    <xf numFmtId="169" fontId="18" fillId="0" borderId="30" xfId="0" applyNumberFormat="1" applyFont="1" applyFill="1" applyBorder="1"/>
    <xf numFmtId="3" fontId="18" fillId="0" borderId="30" xfId="9" applyNumberFormat="1" applyFont="1" applyFill="1" applyBorder="1" applyAlignment="1">
      <alignment horizontal="center" vertical="center"/>
    </xf>
    <xf numFmtId="4" fontId="18" fillId="0" borderId="14" xfId="9" applyNumberFormat="1" applyFont="1" applyFill="1" applyBorder="1" applyAlignment="1">
      <alignment horizontal="left" vertical="center"/>
    </xf>
    <xf numFmtId="169" fontId="18" fillId="0" borderId="31" xfId="0" applyNumberFormat="1" applyFont="1" applyFill="1" applyBorder="1"/>
    <xf numFmtId="3" fontId="32" fillId="0" borderId="31" xfId="0" applyNumberFormat="1" applyFont="1" applyFill="1" applyBorder="1"/>
    <xf numFmtId="10" fontId="18" fillId="0" borderId="11" xfId="9" applyNumberFormat="1" applyFont="1" applyFill="1" applyBorder="1" applyAlignment="1">
      <alignment horizontal="center" vertical="center"/>
    </xf>
    <xf numFmtId="7" fontId="18" fillId="0" borderId="12" xfId="9" applyNumberFormat="1" applyFont="1" applyFill="1" applyBorder="1" applyAlignment="1">
      <alignment horizontal="left" vertical="center"/>
    </xf>
    <xf numFmtId="0" fontId="18" fillId="0" borderId="12" xfId="0" applyNumberFormat="1" applyFont="1" applyFill="1" applyBorder="1"/>
    <xf numFmtId="169" fontId="18" fillId="0" borderId="12" xfId="0" applyNumberFormat="1" applyFont="1" applyFill="1" applyBorder="1"/>
    <xf numFmtId="3" fontId="18" fillId="0" borderId="12" xfId="9" applyNumberFormat="1" applyFont="1" applyFill="1" applyBorder="1" applyAlignment="1">
      <alignment horizontal="center" vertical="center"/>
    </xf>
    <xf numFmtId="4" fontId="18" fillId="0" borderId="12" xfId="0" applyNumberFormat="1" applyFont="1" applyFill="1" applyBorder="1"/>
    <xf numFmtId="10" fontId="18" fillId="0" borderId="12" xfId="0" applyNumberFormat="1" applyFont="1" applyFill="1" applyBorder="1"/>
    <xf numFmtId="2" fontId="18" fillId="0" borderId="12" xfId="0" applyNumberFormat="1" applyFont="1" applyFill="1" applyBorder="1"/>
    <xf numFmtId="2" fontId="18" fillId="0" borderId="13" xfId="0" applyNumberFormat="1" applyFont="1" applyFill="1" applyBorder="1"/>
    <xf numFmtId="3" fontId="54" fillId="18" borderId="9" xfId="2" applyNumberFormat="1" applyFont="1" applyFill="1" applyBorder="1" applyAlignment="1">
      <alignment vertical="center"/>
    </xf>
    <xf numFmtId="9" fontId="41" fillId="3" borderId="29" xfId="2" applyNumberFormat="1" applyFont="1" applyFill="1" applyBorder="1" applyAlignment="1">
      <alignment horizontal="center" vertical="center"/>
    </xf>
    <xf numFmtId="2" fontId="54" fillId="3" borderId="2" xfId="2" applyNumberFormat="1" applyFont="1" applyFill="1" applyBorder="1" applyAlignment="1">
      <alignment horizontal="center" vertical="center"/>
    </xf>
    <xf numFmtId="2" fontId="54" fillId="3" borderId="4" xfId="2" applyNumberFormat="1" applyFont="1" applyFill="1" applyBorder="1" applyAlignment="1">
      <alignment horizontal="center" vertical="center"/>
    </xf>
    <xf numFmtId="171" fontId="54" fillId="0" borderId="14" xfId="9" applyNumberFormat="1" applyFont="1" applyFill="1" applyBorder="1" applyAlignment="1">
      <alignment horizontal="center" vertical="center"/>
    </xf>
    <xf numFmtId="0" fontId="32" fillId="5" borderId="0" xfId="0" applyFont="1" applyFill="1" applyBorder="1"/>
    <xf numFmtId="165" fontId="30" fillId="3" borderId="14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0" fontId="121" fillId="0" borderId="9" xfId="2" applyNumberFormat="1" applyFont="1" applyFill="1" applyBorder="1" applyAlignment="1">
      <alignment vertical="center"/>
    </xf>
    <xf numFmtId="3" fontId="16" fillId="0" borderId="19" xfId="1" applyNumberFormat="1" applyFont="1" applyFill="1" applyBorder="1" applyAlignment="1">
      <alignment horizontal="center" vertical="center" wrapText="1"/>
    </xf>
    <xf numFmtId="3" fontId="19" fillId="0" borderId="0" xfId="1" applyNumberFormat="1" applyFont="1" applyFill="1" applyBorder="1" applyAlignment="1">
      <alignment vertical="center" wrapText="1"/>
    </xf>
    <xf numFmtId="0" fontId="24" fillId="10" borderId="0" xfId="0" applyFont="1" applyFill="1" applyAlignment="1">
      <alignment horizontal="center" vertical="center" wrapText="1"/>
    </xf>
    <xf numFmtId="0" fontId="25" fillId="0" borderId="0" xfId="0" applyFont="1" applyBorder="1" applyAlignment="1">
      <alignment vertical="center" wrapText="1"/>
    </xf>
    <xf numFmtId="0" fontId="24" fillId="10" borderId="0" xfId="0" applyFont="1" applyFill="1" applyAlignment="1">
      <alignment horizontal="center"/>
    </xf>
    <xf numFmtId="0" fontId="24" fillId="10" borderId="0" xfId="0" applyNumberFormat="1" applyFont="1" applyFill="1" applyAlignment="1">
      <alignment horizontal="center" vertical="center" wrapText="1"/>
    </xf>
    <xf numFmtId="0" fontId="12" fillId="6" borderId="14" xfId="0" applyFont="1" applyFill="1" applyBorder="1" applyAlignment="1">
      <alignment horizontal="left" vertical="top" wrapText="1"/>
    </xf>
    <xf numFmtId="164" fontId="24" fillId="10" borderId="0" xfId="0" applyNumberFormat="1" applyFont="1" applyFill="1" applyBorder="1" applyAlignment="1">
      <alignment horizontal="right" vertical="center"/>
    </xf>
    <xf numFmtId="0" fontId="54" fillId="0" borderId="14" xfId="2" applyFont="1" applyFill="1" applyBorder="1" applyAlignment="1">
      <alignment horizontal="center" vertical="center"/>
    </xf>
    <xf numFmtId="9" fontId="54" fillId="0" borderId="14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/>
    </xf>
    <xf numFmtId="10" fontId="41" fillId="0" borderId="14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 wrapText="1"/>
    </xf>
    <xf numFmtId="3" fontId="54" fillId="0" borderId="17" xfId="2" applyNumberFormat="1" applyFont="1" applyFill="1" applyBorder="1" applyAlignment="1">
      <alignment horizontal="center" vertical="center"/>
    </xf>
    <xf numFmtId="7" fontId="54" fillId="0" borderId="31" xfId="9" applyNumberFormat="1" applyFont="1" applyFill="1" applyBorder="1" applyAlignment="1">
      <alignment horizontal="left" vertical="center"/>
    </xf>
    <xf numFmtId="4" fontId="32" fillId="18" borderId="14" xfId="0" applyNumberFormat="1" applyFont="1" applyFill="1" applyBorder="1"/>
    <xf numFmtId="0" fontId="0" fillId="0" borderId="0" xfId="0"/>
    <xf numFmtId="0" fontId="32" fillId="0" borderId="14" xfId="0" applyFont="1" applyFill="1" applyBorder="1"/>
    <xf numFmtId="0" fontId="0" fillId="0" borderId="14" xfId="0" applyFill="1" applyBorder="1"/>
    <xf numFmtId="0" fontId="32" fillId="0" borderId="14" xfId="0" applyFont="1" applyBorder="1"/>
    <xf numFmtId="9" fontId="110" fillId="7" borderId="0" xfId="0" applyNumberFormat="1" applyFont="1" applyFill="1" applyBorder="1" applyAlignment="1">
      <alignment horizontal="center" vertical="center"/>
    </xf>
    <xf numFmtId="165" fontId="30" fillId="3" borderId="14" xfId="2" applyNumberFormat="1" applyFont="1" applyFill="1" applyBorder="1" applyAlignment="1">
      <alignment horizontal="center" vertical="center"/>
    </xf>
    <xf numFmtId="0" fontId="54" fillId="0" borderId="0" xfId="2" applyFont="1" applyBorder="1" applyAlignment="1">
      <alignment horizontal="center" vertical="center" textRotation="180"/>
    </xf>
    <xf numFmtId="165" fontId="30" fillId="3" borderId="29" xfId="2" applyNumberFormat="1" applyFont="1" applyFill="1" applyBorder="1" applyAlignment="1">
      <alignment horizontal="center" vertical="center" wrapText="1"/>
    </xf>
    <xf numFmtId="0" fontId="63" fillId="0" borderId="8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165" fontId="30" fillId="0" borderId="18" xfId="2" applyNumberFormat="1" applyFont="1" applyFill="1" applyBorder="1" applyAlignment="1">
      <alignment horizontal="center" vertical="center"/>
    </xf>
    <xf numFmtId="168" fontId="30" fillId="0" borderId="29" xfId="2" applyNumberFormat="1" applyFont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left" vertical="center" wrapText="1"/>
    </xf>
    <xf numFmtId="0" fontId="24" fillId="0" borderId="19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0" fontId="13" fillId="0" borderId="0" xfId="1" applyBorder="1" applyAlignment="1">
      <alignment horizontal="center"/>
    </xf>
    <xf numFmtId="0" fontId="25" fillId="10" borderId="0" xfId="0" applyFont="1" applyFill="1" applyBorder="1" applyAlignment="1">
      <alignment vertical="center"/>
    </xf>
    <xf numFmtId="0" fontId="118" fillId="0" borderId="0" xfId="0" applyFont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3" fillId="0" borderId="11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vertical="center"/>
    </xf>
    <xf numFmtId="0" fontId="4" fillId="0" borderId="8" xfId="0" applyFont="1" applyFill="1" applyBorder="1" applyAlignment="1">
      <alignment vertical="center"/>
    </xf>
    <xf numFmtId="181" fontId="4" fillId="0" borderId="8" xfId="0" applyNumberFormat="1" applyFont="1" applyFill="1" applyBorder="1" applyAlignment="1">
      <alignment vertical="center"/>
    </xf>
    <xf numFmtId="3" fontId="3" fillId="0" borderId="0" xfId="0" applyNumberFormat="1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5" fillId="0" borderId="19" xfId="1" applyFont="1" applyFill="1" applyBorder="1" applyAlignment="1">
      <alignment horizontal="left" vertical="center" wrapText="1"/>
    </xf>
    <xf numFmtId="0" fontId="15" fillId="0" borderId="0" xfId="1" applyFont="1" applyFill="1" applyBorder="1" applyAlignment="1">
      <alignment horizontal="left" vertical="center" wrapText="1"/>
    </xf>
    <xf numFmtId="0" fontId="16" fillId="0" borderId="0" xfId="1" applyFont="1" applyBorder="1" applyAlignment="1">
      <alignment vertical="center"/>
    </xf>
    <xf numFmtId="0" fontId="22" fillId="0" borderId="0" xfId="2" applyFont="1" applyFill="1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14" fontId="13" fillId="0" borderId="94" xfId="1" applyNumberFormat="1" applyFont="1" applyFill="1" applyBorder="1" applyAlignment="1">
      <alignment vertical="center" wrapText="1"/>
    </xf>
    <xf numFmtId="0" fontId="13" fillId="0" borderId="0" xfId="1" applyFill="1" applyBorder="1" applyAlignment="1">
      <alignment vertical="top" wrapText="1"/>
    </xf>
    <xf numFmtId="0" fontId="15" fillId="0" borderId="0" xfId="1" applyFont="1" applyFill="1" applyBorder="1" applyAlignment="1">
      <alignment horizontal="center" vertical="center"/>
    </xf>
    <xf numFmtId="0" fontId="16" fillId="0" borderId="7" xfId="1" applyFont="1" applyFill="1" applyBorder="1" applyAlignment="1">
      <alignment vertical="center" wrapText="1"/>
    </xf>
    <xf numFmtId="0" fontId="0" fillId="0" borderId="0" xfId="0" applyAlignment="1">
      <alignment horizontal="left" wrapText="1"/>
    </xf>
    <xf numFmtId="0" fontId="0" fillId="0" borderId="7" xfId="0" applyFill="1" applyBorder="1"/>
    <xf numFmtId="0" fontId="0" fillId="0" borderId="10" xfId="0" applyFill="1" applyBorder="1"/>
    <xf numFmtId="0" fontId="14" fillId="0" borderId="0" xfId="1" applyFont="1" applyFill="1" applyBorder="1" applyAlignment="1">
      <alignment vertical="center" wrapText="1"/>
    </xf>
    <xf numFmtId="0" fontId="15" fillId="0" borderId="14" xfId="1" applyFont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left" vertical="center" wrapText="1"/>
    </xf>
    <xf numFmtId="10" fontId="30" fillId="8" borderId="14" xfId="2" applyNumberFormat="1" applyFont="1" applyFill="1" applyBorder="1" applyAlignment="1">
      <alignment horizontal="center" vertical="center"/>
    </xf>
    <xf numFmtId="0" fontId="16" fillId="2" borderId="16" xfId="1" applyFont="1" applyFill="1" applyBorder="1" applyAlignment="1">
      <alignment horizontal="center" vertical="center" wrapText="1"/>
    </xf>
    <xf numFmtId="0" fontId="16" fillId="2" borderId="17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0" fillId="6" borderId="7" xfId="0" applyFill="1" applyBorder="1" applyAlignment="1">
      <alignment horizontal="center"/>
    </xf>
    <xf numFmtId="0" fontId="22" fillId="0" borderId="0" xfId="2" applyFont="1" applyFill="1" applyBorder="1" applyAlignment="1">
      <alignment vertical="center" wrapText="1"/>
    </xf>
    <xf numFmtId="4" fontId="22" fillId="0" borderId="14" xfId="2" applyNumberFormat="1" applyFont="1" applyFill="1" applyBorder="1" applyAlignment="1">
      <alignment horizontal="center" vertical="center" wrapText="1"/>
    </xf>
    <xf numFmtId="1" fontId="41" fillId="8" borderId="14" xfId="2" applyNumberFormat="1" applyFont="1" applyFill="1" applyBorder="1" applyAlignment="1">
      <alignment horizontal="center" vertical="center"/>
    </xf>
    <xf numFmtId="4" fontId="41" fillId="8" borderId="11" xfId="2" applyNumberFormat="1" applyFont="1" applyFill="1" applyBorder="1" applyAlignment="1">
      <alignment horizontal="center" vertical="center"/>
    </xf>
    <xf numFmtId="7" fontId="54" fillId="8" borderId="0" xfId="9" applyNumberFormat="1" applyFont="1" applyFill="1" applyBorder="1" applyAlignment="1">
      <alignment vertical="center" wrapText="1"/>
    </xf>
    <xf numFmtId="7" fontId="54" fillId="8" borderId="94" xfId="9" applyNumberFormat="1" applyFont="1" applyFill="1" applyBorder="1" applyAlignment="1">
      <alignment vertical="center" wrapText="1"/>
    </xf>
    <xf numFmtId="7" fontId="54" fillId="8" borderId="7" xfId="9" applyNumberFormat="1" applyFont="1" applyFill="1" applyBorder="1" applyAlignment="1">
      <alignment vertical="center" wrapText="1"/>
    </xf>
    <xf numFmtId="7" fontId="54" fillId="8" borderId="11" xfId="9" applyNumberFormat="1" applyFont="1" applyFill="1" applyBorder="1" applyAlignment="1">
      <alignment vertical="center" wrapText="1"/>
    </xf>
    <xf numFmtId="0" fontId="15" fillId="0" borderId="0" xfId="1" applyFont="1" applyFill="1" applyBorder="1" applyAlignment="1">
      <alignment horizontal="left" vertical="center"/>
    </xf>
    <xf numFmtId="177" fontId="22" fillId="0" borderId="0" xfId="2" applyNumberFormat="1" applyFont="1" applyFill="1" applyBorder="1" applyAlignment="1">
      <alignment horizontal="center" vertical="center" wrapText="1"/>
    </xf>
    <xf numFmtId="177" fontId="22" fillId="0" borderId="15" xfId="2" applyNumberFormat="1" applyFont="1" applyFill="1" applyBorder="1" applyAlignment="1">
      <alignment horizontal="center" vertical="center" wrapText="1"/>
    </xf>
    <xf numFmtId="177" fontId="22" fillId="0" borderId="14" xfId="2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/>
    <xf numFmtId="0" fontId="16" fillId="2" borderId="15" xfId="1" applyFont="1" applyFill="1" applyBorder="1" applyAlignment="1">
      <alignment horizontal="center" vertical="center" wrapText="1"/>
    </xf>
    <xf numFmtId="0" fontId="16" fillId="2" borderId="16" xfId="1" applyFont="1" applyFill="1" applyBorder="1" applyAlignment="1">
      <alignment horizontal="center" vertical="center" wrapText="1"/>
    </xf>
    <xf numFmtId="0" fontId="16" fillId="2" borderId="17" xfId="1" applyFont="1" applyFill="1" applyBorder="1" applyAlignment="1">
      <alignment horizontal="center" vertical="center" wrapText="1"/>
    </xf>
    <xf numFmtId="0" fontId="0" fillId="0" borderId="16" xfId="0" applyFill="1" applyBorder="1"/>
    <xf numFmtId="0" fontId="0" fillId="7" borderId="0" xfId="0" applyFill="1"/>
    <xf numFmtId="0" fontId="18" fillId="0" borderId="0" xfId="2" applyFont="1" applyBorder="1" applyAlignment="1">
      <alignment vertical="center"/>
    </xf>
    <xf numFmtId="177" fontId="22" fillId="0" borderId="16" xfId="2" applyNumberFormat="1" applyFont="1" applyFill="1" applyBorder="1" applyAlignment="1">
      <alignment horizontal="center" vertical="center" wrapText="1"/>
    </xf>
    <xf numFmtId="4" fontId="41" fillId="8" borderId="7" xfId="2" applyNumberFormat="1" applyFont="1" applyFill="1" applyBorder="1" applyAlignment="1">
      <alignment horizontal="center" vertical="center"/>
    </xf>
    <xf numFmtId="4" fontId="41" fillId="8" borderId="14" xfId="2" applyNumberFormat="1" applyFont="1" applyFill="1" applyBorder="1" applyAlignment="1">
      <alignment horizontal="center" vertical="center"/>
    </xf>
    <xf numFmtId="1" fontId="41" fillId="18" borderId="14" xfId="2" applyNumberFormat="1" applyFont="1" applyFill="1" applyBorder="1" applyAlignment="1">
      <alignment horizontal="center" vertical="center"/>
    </xf>
    <xf numFmtId="10" fontId="30" fillId="0" borderId="0" xfId="2" applyNumberFormat="1" applyFont="1" applyFill="1" applyBorder="1" applyAlignment="1">
      <alignment vertical="center"/>
    </xf>
    <xf numFmtId="4" fontId="22" fillId="17" borderId="14" xfId="2" applyNumberFormat="1" applyFont="1" applyFill="1" applyBorder="1" applyAlignment="1">
      <alignment horizontal="center" vertical="center" wrapText="1"/>
    </xf>
    <xf numFmtId="4" fontId="22" fillId="0" borderId="0" xfId="2" applyNumberFormat="1" applyFont="1" applyFill="1" applyBorder="1" applyAlignment="1">
      <alignment horizontal="center" vertical="center" wrapText="1"/>
    </xf>
    <xf numFmtId="14" fontId="13" fillId="0" borderId="0" xfId="1" applyNumberFormat="1" applyFont="1" applyFill="1" applyBorder="1" applyAlignment="1">
      <alignment vertical="center" wrapText="1"/>
    </xf>
    <xf numFmtId="0" fontId="15" fillId="0" borderId="14" xfId="1" applyFont="1" applyFill="1" applyBorder="1" applyAlignment="1">
      <alignment horizontal="center" vertical="center" wrapText="1"/>
    </xf>
    <xf numFmtId="0" fontId="15" fillId="0" borderId="29" xfId="1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Fill="1" applyBorder="1" applyAlignment="1">
      <alignment wrapText="1"/>
    </xf>
    <xf numFmtId="169" fontId="22" fillId="0" borderId="14" xfId="2" applyNumberFormat="1" applyFont="1" applyFill="1" applyBorder="1" applyAlignment="1">
      <alignment horizontal="center" vertical="center" wrapText="1"/>
    </xf>
    <xf numFmtId="0" fontId="13" fillId="0" borderId="14" xfId="1" applyFont="1" applyFill="1" applyBorder="1" applyAlignment="1">
      <alignment horizontal="center" vertical="center" wrapText="1"/>
    </xf>
    <xf numFmtId="7" fontId="54" fillId="8" borderId="10" xfId="9" applyNumberFormat="1" applyFont="1" applyFill="1" applyBorder="1" applyAlignment="1">
      <alignment vertical="center" wrapText="1"/>
    </xf>
    <xf numFmtId="169" fontId="22" fillId="0" borderId="17" xfId="2" applyNumberFormat="1" applyFont="1" applyFill="1" applyBorder="1" applyAlignment="1">
      <alignment horizontal="center" vertical="center" wrapText="1"/>
    </xf>
    <xf numFmtId="0" fontId="13" fillId="8" borderId="17" xfId="1" applyFill="1" applyBorder="1" applyAlignment="1">
      <alignment horizontal="center" vertical="center"/>
    </xf>
    <xf numFmtId="0" fontId="21" fillId="0" borderId="14" xfId="0" applyFont="1" applyBorder="1" applyAlignment="1">
      <alignment horizontal="center" vertical="center" wrapText="1"/>
    </xf>
    <xf numFmtId="10" fontId="30" fillId="8" borderId="31" xfId="2" applyNumberFormat="1" applyFont="1" applyFill="1" applyBorder="1" applyAlignment="1">
      <alignment horizontal="center" vertical="center"/>
    </xf>
    <xf numFmtId="9" fontId="13" fillId="8" borderId="17" xfId="1" applyNumberFormat="1" applyFill="1" applyBorder="1" applyAlignment="1">
      <alignment horizontal="center" vertical="center"/>
    </xf>
    <xf numFmtId="4" fontId="41" fillId="18" borderId="14" xfId="2" applyNumberFormat="1" applyFont="1" applyFill="1" applyBorder="1" applyAlignment="1">
      <alignment horizontal="center" vertical="center"/>
    </xf>
    <xf numFmtId="4" fontId="41" fillId="0" borderId="29" xfId="2" applyNumberFormat="1" applyFont="1" applyFill="1" applyBorder="1" applyAlignment="1">
      <alignment horizontal="center" vertical="center"/>
    </xf>
    <xf numFmtId="0" fontId="21" fillId="0" borderId="15" xfId="0" applyFont="1" applyBorder="1" applyAlignment="1">
      <alignment horizontal="center" vertical="center" wrapText="1"/>
    </xf>
    <xf numFmtId="3" fontId="13" fillId="18" borderId="14" xfId="1" applyNumberFormat="1" applyFill="1" applyBorder="1" applyAlignment="1">
      <alignment horizontal="center" vertical="center"/>
    </xf>
    <xf numFmtId="0" fontId="13" fillId="0" borderId="0" xfId="1" applyFill="1" applyBorder="1" applyAlignment="1">
      <alignment horizontal="center" vertical="center"/>
    </xf>
    <xf numFmtId="169" fontId="22" fillId="0" borderId="0" xfId="2" applyNumberFormat="1" applyFont="1" applyFill="1" applyBorder="1" applyAlignment="1">
      <alignment horizontal="center" vertical="center" wrapText="1"/>
    </xf>
    <xf numFmtId="9" fontId="13" fillId="0" borderId="0" xfId="1" applyNumberFormat="1" applyFill="1" applyBorder="1" applyAlignment="1">
      <alignment horizontal="center" vertical="center"/>
    </xf>
    <xf numFmtId="3" fontId="13" fillId="0" borderId="0" xfId="1" applyNumberFormat="1" applyFill="1" applyBorder="1" applyAlignment="1">
      <alignment horizontal="center" vertical="center"/>
    </xf>
    <xf numFmtId="0" fontId="18" fillId="0" borderId="0" xfId="2" applyFont="1" applyFill="1" applyBorder="1" applyAlignment="1">
      <alignment horizontal="center" vertical="center"/>
    </xf>
    <xf numFmtId="9" fontId="18" fillId="0" borderId="8" xfId="2" applyNumberFormat="1" applyFont="1" applyBorder="1" applyAlignment="1">
      <alignment horizontal="center" vertical="center"/>
    </xf>
    <xf numFmtId="0" fontId="128" fillId="6" borderId="14" xfId="1" applyFont="1" applyFill="1" applyBorder="1" applyAlignment="1">
      <alignment horizontal="center" vertical="center" wrapText="1"/>
    </xf>
    <xf numFmtId="0" fontId="0" fillId="8" borderId="16" xfId="0" applyFill="1" applyBorder="1"/>
    <xf numFmtId="0" fontId="0" fillId="8" borderId="17" xfId="0" applyFill="1" applyBorder="1"/>
    <xf numFmtId="0" fontId="129" fillId="0" borderId="14" xfId="1" applyFont="1" applyFill="1" applyBorder="1" applyAlignment="1">
      <alignment vertical="center" wrapText="1"/>
    </xf>
    <xf numFmtId="0" fontId="117" fillId="0" borderId="14" xfId="0" applyFont="1" applyFill="1" applyBorder="1" applyAlignment="1">
      <alignment horizontal="center" vertical="center"/>
    </xf>
    <xf numFmtId="0" fontId="0" fillId="0" borderId="8" xfId="0" applyBorder="1"/>
    <xf numFmtId="0" fontId="127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13" fillId="0" borderId="8" xfId="1" applyNumberFormat="1" applyFont="1" applyFill="1" applyBorder="1" applyAlignment="1">
      <alignment vertical="center" wrapText="1"/>
    </xf>
    <xf numFmtId="0" fontId="13" fillId="0" borderId="11" xfId="1" applyFont="1" applyFill="1" applyBorder="1" applyAlignment="1">
      <alignment horizontal="center" vertical="center" wrapText="1"/>
    </xf>
    <xf numFmtId="0" fontId="13" fillId="0" borderId="7" xfId="1" applyFont="1" applyFill="1" applyBorder="1" applyAlignment="1">
      <alignment horizontal="center" vertical="center" wrapText="1"/>
    </xf>
    <xf numFmtId="0" fontId="13" fillId="0" borderId="10" xfId="1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left" vertical="center" wrapText="1"/>
    </xf>
    <xf numFmtId="0" fontId="3" fillId="0" borderId="94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/>
    </xf>
    <xf numFmtId="0" fontId="15" fillId="0" borderId="11" xfId="1" applyFont="1" applyFill="1" applyBorder="1" applyAlignment="1">
      <alignment horizontal="left" vertical="center"/>
    </xf>
    <xf numFmtId="0" fontId="0" fillId="0" borderId="94" xfId="0" applyBorder="1"/>
    <xf numFmtId="14" fontId="0" fillId="0" borderId="95" xfId="0" applyNumberFormat="1" applyBorder="1" applyAlignment="1">
      <alignment horizontal="center"/>
    </xf>
    <xf numFmtId="0" fontId="15" fillId="0" borderId="7" xfId="1" applyFont="1" applyFill="1" applyBorder="1" applyAlignment="1">
      <alignment horizontal="left" vertical="center"/>
    </xf>
    <xf numFmtId="14" fontId="0" fillId="0" borderId="6" xfId="0" applyNumberFormat="1" applyBorder="1" applyAlignment="1">
      <alignment horizontal="center"/>
    </xf>
    <xf numFmtId="0" fontId="15" fillId="0" borderId="10" xfId="1" applyFont="1" applyFill="1" applyBorder="1" applyAlignment="1">
      <alignment horizontal="left" vertical="center"/>
    </xf>
    <xf numFmtId="14" fontId="0" fillId="0" borderId="9" xfId="0" applyNumberFormat="1" applyBorder="1" applyAlignment="1">
      <alignment horizontal="center"/>
    </xf>
    <xf numFmtId="7" fontId="54" fillId="8" borderId="14" xfId="9" applyNumberFormat="1" applyFont="1" applyFill="1" applyBorder="1" applyAlignment="1">
      <alignment vertical="center" wrapText="1"/>
    </xf>
    <xf numFmtId="177" fontId="0" fillId="0" borderId="0" xfId="0" applyNumberFormat="1"/>
    <xf numFmtId="0" fontId="127" fillId="0" borderId="0" xfId="0" applyFont="1" applyFill="1" applyBorder="1" applyAlignment="1">
      <alignment vertical="center"/>
    </xf>
    <xf numFmtId="1" fontId="16" fillId="0" borderId="14" xfId="1" applyNumberFormat="1" applyFont="1" applyBorder="1" applyAlignment="1">
      <alignment horizontal="center" vertical="center"/>
    </xf>
    <xf numFmtId="1" fontId="0" fillId="7" borderId="0" xfId="0" applyNumberFormat="1" applyFill="1" applyAlignment="1">
      <alignment horizontal="center"/>
    </xf>
    <xf numFmtId="0" fontId="18" fillId="12" borderId="14" xfId="2" applyNumberFormat="1" applyFont="1" applyFill="1" applyBorder="1" applyAlignment="1">
      <alignment horizontal="center" vertical="center"/>
    </xf>
    <xf numFmtId="0" fontId="43" fillId="0" borderId="7" xfId="1" applyFont="1" applyFill="1" applyBorder="1" applyAlignment="1">
      <alignment horizontal="left" vertical="center"/>
    </xf>
    <xf numFmtId="0" fontId="4" fillId="0" borderId="0" xfId="0" applyNumberFormat="1" applyFont="1" applyBorder="1" applyAlignment="1">
      <alignment vertical="center"/>
    </xf>
    <xf numFmtId="4" fontId="5" fillId="0" borderId="94" xfId="0" applyNumberFormat="1" applyFont="1" applyBorder="1" applyAlignment="1">
      <alignment vertical="center"/>
    </xf>
    <xf numFmtId="4" fontId="54" fillId="0" borderId="0" xfId="2" applyNumberFormat="1" applyFont="1" applyAlignment="1">
      <alignment horizontal="center" vertical="center"/>
    </xf>
    <xf numFmtId="3" fontId="32" fillId="0" borderId="0" xfId="0" applyNumberFormat="1" applyFont="1" applyBorder="1" applyAlignment="1"/>
    <xf numFmtId="0" fontId="39" fillId="0" borderId="14" xfId="0" applyFont="1" applyBorder="1" applyAlignment="1">
      <alignment vertical="top" wrapText="1"/>
    </xf>
    <xf numFmtId="0" fontId="39" fillId="0" borderId="14" xfId="0" applyFont="1" applyFill="1" applyBorder="1" applyAlignment="1">
      <alignment vertical="top" wrapText="1"/>
    </xf>
    <xf numFmtId="4" fontId="127" fillId="0" borderId="14" xfId="0" applyNumberFormat="1" applyFont="1" applyBorder="1" applyAlignment="1">
      <alignment horizontal="left"/>
    </xf>
    <xf numFmtId="0" fontId="11" fillId="0" borderId="0" xfId="0" applyFont="1" applyBorder="1" applyAlignment="1">
      <alignment vertical="top" wrapText="1"/>
    </xf>
    <xf numFmtId="4" fontId="0" fillId="0" borderId="0" xfId="0" applyNumberFormat="1" applyAlignment="1">
      <alignment horizontal="center"/>
    </xf>
    <xf numFmtId="0" fontId="18" fillId="0" borderId="11" xfId="2" applyFont="1" applyBorder="1" applyAlignment="1">
      <alignment horizontal="center" vertical="center"/>
    </xf>
    <xf numFmtId="0" fontId="0" fillId="0" borderId="0" xfId="0"/>
    <xf numFmtId="0" fontId="15" fillId="0" borderId="0" xfId="1" applyFont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 wrapText="1"/>
    </xf>
    <xf numFmtId="0" fontId="15" fillId="0" borderId="14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5" fillId="0" borderId="0" xfId="1" applyFont="1" applyFill="1" applyBorder="1" applyAlignment="1">
      <alignment horizontal="center" vertical="center"/>
    </xf>
    <xf numFmtId="3" fontId="39" fillId="0" borderId="0" xfId="2" applyNumberFormat="1" applyFont="1" applyFill="1" applyBorder="1" applyAlignment="1">
      <alignment horizontal="center" vertical="center"/>
    </xf>
    <xf numFmtId="181" fontId="30" fillId="0" borderId="103" xfId="2" applyNumberFormat="1" applyFont="1" applyFill="1" applyBorder="1" applyAlignment="1">
      <alignment horizontal="right" vertical="center"/>
    </xf>
    <xf numFmtId="0" fontId="99" fillId="0" borderId="0" xfId="0" applyFont="1" applyFill="1" applyBorder="1" applyAlignment="1">
      <alignment vertical="center"/>
    </xf>
    <xf numFmtId="7" fontId="41" fillId="8" borderId="15" xfId="9" applyNumberFormat="1" applyFont="1" applyFill="1" applyBorder="1" applyAlignment="1">
      <alignment horizontal="center" vertical="center"/>
    </xf>
    <xf numFmtId="1" fontId="16" fillId="0" borderId="0" xfId="1" applyNumberFormat="1" applyFont="1" applyBorder="1" applyAlignment="1">
      <alignment horizontal="center" vertical="center"/>
    </xf>
    <xf numFmtId="1" fontId="16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0" fontId="16" fillId="2" borderId="10" xfId="1" applyFont="1" applyFill="1" applyBorder="1" applyAlignment="1">
      <alignment vertical="center"/>
    </xf>
    <xf numFmtId="0" fontId="16" fillId="2" borderId="107" xfId="1" applyFont="1" applyFill="1" applyBorder="1" applyAlignment="1">
      <alignment vertical="center"/>
    </xf>
    <xf numFmtId="0" fontId="16" fillId="2" borderId="105" xfId="1" applyFont="1" applyFill="1" applyBorder="1" applyAlignment="1">
      <alignment vertical="center"/>
    </xf>
    <xf numFmtId="0" fontId="16" fillId="2" borderId="107" xfId="1" applyFont="1" applyFill="1" applyBorder="1" applyAlignment="1">
      <alignment horizontal="center" vertical="center"/>
    </xf>
    <xf numFmtId="0" fontId="15" fillId="0" borderId="7" xfId="1" applyFont="1" applyFill="1" applyBorder="1" applyAlignment="1">
      <alignment horizontal="center" vertical="center"/>
    </xf>
    <xf numFmtId="0" fontId="15" fillId="0" borderId="103" xfId="1" applyFont="1" applyFill="1" applyBorder="1" applyAlignment="1">
      <alignment horizontal="center" vertical="center"/>
    </xf>
    <xf numFmtId="7" fontId="41" fillId="8" borderId="103" xfId="9" applyNumberFormat="1" applyFont="1" applyFill="1" applyBorder="1" applyAlignment="1">
      <alignment horizontal="center" vertical="center"/>
    </xf>
    <xf numFmtId="10" fontId="30" fillId="8" borderId="103" xfId="2" applyNumberFormat="1" applyFont="1" applyFill="1" applyBorder="1" applyAlignment="1">
      <alignment horizontal="center" vertical="center"/>
    </xf>
    <xf numFmtId="0" fontId="15" fillId="0" borderId="103" xfId="1" applyFont="1" applyFill="1" applyBorder="1" applyAlignment="1">
      <alignment horizontal="center" vertical="center" wrapText="1"/>
    </xf>
    <xf numFmtId="4" fontId="22" fillId="17" borderId="103" xfId="2" applyNumberFormat="1" applyFont="1" applyFill="1" applyBorder="1" applyAlignment="1">
      <alignment horizontal="center" vertical="center" wrapText="1"/>
    </xf>
    <xf numFmtId="0" fontId="15" fillId="0" borderId="106" xfId="1" applyFont="1" applyFill="1" applyBorder="1" applyAlignment="1">
      <alignment horizontal="center" vertical="center"/>
    </xf>
    <xf numFmtId="0" fontId="41" fillId="8" borderId="106" xfId="2" applyFont="1" applyFill="1" applyBorder="1" applyAlignment="1">
      <alignment horizontal="center" vertical="center"/>
    </xf>
    <xf numFmtId="4" fontId="22" fillId="17" borderId="17" xfId="2" applyNumberFormat="1" applyFont="1" applyFill="1" applyBorder="1" applyAlignment="1">
      <alignment horizontal="center" vertical="center" wrapText="1"/>
    </xf>
    <xf numFmtId="7" fontId="54" fillId="8" borderId="103" xfId="9" applyNumberFormat="1" applyFont="1" applyFill="1" applyBorder="1" applyAlignment="1">
      <alignment vertical="center" wrapText="1"/>
    </xf>
    <xf numFmtId="0" fontId="13" fillId="8" borderId="103" xfId="1" applyFill="1" applyBorder="1" applyAlignment="1">
      <alignment horizontal="center" vertical="center"/>
    </xf>
    <xf numFmtId="169" fontId="22" fillId="0" borderId="103" xfId="2" applyNumberFormat="1" applyFont="1" applyFill="1" applyBorder="1" applyAlignment="1">
      <alignment horizontal="center" vertical="center" wrapText="1"/>
    </xf>
    <xf numFmtId="9" fontId="13" fillId="8" borderId="103" xfId="1" applyNumberFormat="1" applyFill="1" applyBorder="1" applyAlignment="1">
      <alignment horizontal="center" vertical="center"/>
    </xf>
    <xf numFmtId="4" fontId="22" fillId="0" borderId="103" xfId="2" applyNumberFormat="1" applyFont="1" applyFill="1" applyBorder="1" applyAlignment="1">
      <alignment horizontal="center" vertical="center" wrapText="1"/>
    </xf>
    <xf numFmtId="4" fontId="41" fillId="8" borderId="103" xfId="2" applyNumberFormat="1" applyFont="1" applyFill="1" applyBorder="1" applyAlignment="1">
      <alignment horizontal="center" vertical="center"/>
    </xf>
    <xf numFmtId="4" fontId="41" fillId="0" borderId="103" xfId="2" applyNumberFormat="1" applyFont="1" applyFill="1" applyBorder="1" applyAlignment="1">
      <alignment horizontal="center" vertical="center"/>
    </xf>
    <xf numFmtId="4" fontId="41" fillId="8" borderId="17" xfId="2" applyNumberFormat="1" applyFont="1" applyFill="1" applyBorder="1" applyAlignment="1">
      <alignment horizontal="center" vertical="center"/>
    </xf>
    <xf numFmtId="0" fontId="16" fillId="0" borderId="14" xfId="1" applyFont="1" applyFill="1" applyBorder="1" applyAlignment="1">
      <alignment horizontal="center" vertical="center" wrapText="1"/>
    </xf>
    <xf numFmtId="0" fontId="131" fillId="0" borderId="29" xfId="1" applyFont="1" applyFill="1" applyBorder="1" applyAlignment="1">
      <alignment horizontal="center" vertical="center" wrapText="1"/>
    </xf>
    <xf numFmtId="7" fontId="41" fillId="0" borderId="0" xfId="9" applyNumberFormat="1" applyFont="1" applyFill="1" applyBorder="1" applyAlignment="1">
      <alignment horizontal="center" vertical="center"/>
    </xf>
    <xf numFmtId="10" fontId="30" fillId="0" borderId="0" xfId="2" applyNumberFormat="1" applyFont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left" vertical="center" wrapText="1"/>
    </xf>
    <xf numFmtId="0" fontId="126" fillId="0" borderId="14" xfId="0" applyFont="1" applyBorder="1" applyAlignment="1">
      <alignment horizontal="center" vertical="center" wrapText="1"/>
    </xf>
    <xf numFmtId="0" fontId="15" fillId="0" borderId="104" xfId="1" applyFont="1" applyFill="1" applyBorder="1" applyAlignment="1">
      <alignment vertical="center" wrapText="1"/>
    </xf>
    <xf numFmtId="0" fontId="16" fillId="0" borderId="8" xfId="1" applyFont="1" applyFill="1" applyBorder="1" applyAlignment="1">
      <alignment vertical="center" wrapText="1"/>
    </xf>
    <xf numFmtId="0" fontId="16" fillId="2" borderId="0" xfId="1" applyFont="1" applyFill="1" applyBorder="1" applyAlignment="1">
      <alignment vertical="center"/>
    </xf>
    <xf numFmtId="3" fontId="13" fillId="8" borderId="103" xfId="1" applyNumberFormat="1" applyFill="1" applyBorder="1" applyAlignment="1">
      <alignment horizontal="center" vertical="center"/>
    </xf>
    <xf numFmtId="4" fontId="41" fillId="18" borderId="104" xfId="2" applyNumberFormat="1" applyFont="1" applyFill="1" applyBorder="1" applyAlignment="1">
      <alignment horizontal="center" vertical="center"/>
    </xf>
    <xf numFmtId="7" fontId="41" fillId="8" borderId="67" xfId="9" applyNumberFormat="1" applyFont="1" applyFill="1" applyBorder="1" applyAlignment="1">
      <alignment horizontal="center" vertical="center"/>
    </xf>
    <xf numFmtId="10" fontId="30" fillId="8" borderId="104" xfId="2" applyNumberFormat="1" applyFont="1" applyFill="1" applyBorder="1" applyAlignment="1">
      <alignment horizontal="center" vertical="center"/>
    </xf>
    <xf numFmtId="10" fontId="30" fillId="8" borderId="107" xfId="2" applyNumberFormat="1" applyFont="1" applyFill="1" applyBorder="1" applyAlignment="1">
      <alignment horizontal="center" vertical="center"/>
    </xf>
    <xf numFmtId="0" fontId="16" fillId="2" borderId="68" xfId="1" applyFont="1" applyFill="1" applyBorder="1" applyAlignment="1">
      <alignment vertical="center"/>
    </xf>
    <xf numFmtId="0" fontId="0" fillId="0" borderId="0" xfId="0" applyBorder="1" applyAlignment="1">
      <alignment wrapText="1"/>
    </xf>
    <xf numFmtId="0" fontId="16" fillId="0" borderId="6" xfId="1" applyFont="1" applyFill="1" applyBorder="1" applyAlignment="1">
      <alignment vertical="center" wrapText="1"/>
    </xf>
    <xf numFmtId="0" fontId="21" fillId="0" borderId="103" xfId="0" applyFont="1" applyBorder="1" applyAlignment="1">
      <alignment horizontal="center" vertical="center" wrapText="1"/>
    </xf>
    <xf numFmtId="0" fontId="126" fillId="0" borderId="15" xfId="0" applyFont="1" applyBorder="1" applyAlignment="1">
      <alignment horizontal="center" vertical="center" wrapText="1"/>
    </xf>
    <xf numFmtId="0" fontId="126" fillId="0" borderId="103" xfId="0" applyFont="1" applyBorder="1" applyAlignment="1">
      <alignment horizontal="center" vertical="center" wrapText="1"/>
    </xf>
    <xf numFmtId="0" fontId="41" fillId="8" borderId="103" xfId="2" applyFont="1" applyFill="1" applyBorder="1" applyAlignment="1">
      <alignment horizontal="center" vertical="center"/>
    </xf>
    <xf numFmtId="0" fontId="0" fillId="0" borderId="68" xfId="0" applyFill="1" applyBorder="1" applyAlignment="1">
      <alignment vertical="center" wrapText="1"/>
    </xf>
    <xf numFmtId="0" fontId="0" fillId="0" borderId="69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6" xfId="0" applyFill="1" applyBorder="1" applyAlignment="1">
      <alignment vertical="center" wrapText="1"/>
    </xf>
    <xf numFmtId="0" fontId="0" fillId="0" borderId="8" xfId="0" applyFill="1" applyBorder="1" applyAlignment="1">
      <alignment vertical="center" wrapText="1"/>
    </xf>
    <xf numFmtId="0" fontId="0" fillId="0" borderId="9" xfId="0" applyFill="1" applyBorder="1" applyAlignment="1">
      <alignment vertical="center" wrapText="1"/>
    </xf>
    <xf numFmtId="0" fontId="16" fillId="0" borderId="0" xfId="2" applyFont="1" applyFill="1" applyBorder="1" applyAlignment="1">
      <alignment horizontal="left" vertical="center" wrapText="1"/>
    </xf>
    <xf numFmtId="0" fontId="18" fillId="0" borderId="10" xfId="2" applyFont="1" applyBorder="1" applyAlignment="1">
      <alignment horizontal="center" vertical="center"/>
    </xf>
    <xf numFmtId="0" fontId="16" fillId="0" borderId="67" xfId="1" applyFont="1" applyFill="1" applyBorder="1" applyAlignment="1">
      <alignment vertical="center"/>
    </xf>
    <xf numFmtId="0" fontId="16" fillId="0" borderId="0" xfId="1" applyFont="1" applyFill="1" applyBorder="1" applyAlignment="1">
      <alignment horizontal="left" vertical="center" wrapText="1"/>
    </xf>
    <xf numFmtId="172" fontId="54" fillId="0" borderId="103" xfId="9" applyNumberFormat="1" applyFont="1" applyFill="1" applyBorder="1" applyAlignment="1">
      <alignment horizontal="center" vertical="center"/>
    </xf>
    <xf numFmtId="177" fontId="107" fillId="0" borderId="0" xfId="2" applyNumberFormat="1" applyFont="1" applyFill="1" applyBorder="1" applyAlignment="1">
      <alignment vertical="center"/>
    </xf>
    <xf numFmtId="177" fontId="107" fillId="0" borderId="103" xfId="2" applyNumberFormat="1" applyFont="1" applyFill="1" applyBorder="1" applyAlignment="1">
      <alignment horizontal="center" vertical="center"/>
    </xf>
    <xf numFmtId="4" fontId="39" fillId="0" borderId="25" xfId="2" applyNumberFormat="1" applyFont="1" applyFill="1" applyBorder="1" applyAlignment="1">
      <alignment horizontal="right" vertical="center"/>
    </xf>
    <xf numFmtId="3" fontId="39" fillId="0" borderId="19" xfId="2" applyNumberFormat="1" applyFont="1" applyFill="1" applyBorder="1" applyAlignment="1">
      <alignment horizontal="right" vertical="center"/>
    </xf>
    <xf numFmtId="4" fontId="39" fillId="0" borderId="19" xfId="2" applyNumberFormat="1" applyFont="1" applyFill="1" applyBorder="1" applyAlignment="1">
      <alignment horizontal="right" vertical="center"/>
    </xf>
    <xf numFmtId="4" fontId="39" fillId="8" borderId="19" xfId="2" applyNumberFormat="1" applyFont="1" applyFill="1" applyBorder="1" applyAlignment="1">
      <alignment horizontal="right" vertical="center"/>
    </xf>
    <xf numFmtId="0" fontId="0" fillId="0" borderId="103" xfId="0" applyBorder="1"/>
    <xf numFmtId="0" fontId="0" fillId="0" borderId="103" xfId="0" applyFill="1" applyBorder="1"/>
    <xf numFmtId="0" fontId="10" fillId="3" borderId="0" xfId="0" applyFont="1" applyFill="1"/>
    <xf numFmtId="0" fontId="18" fillId="12" borderId="17" xfId="2" applyFont="1" applyFill="1" applyBorder="1" applyAlignment="1">
      <alignment horizontal="left" wrapText="1"/>
    </xf>
    <xf numFmtId="10" fontId="18" fillId="12" borderId="17" xfId="2" applyNumberFormat="1" applyFont="1" applyFill="1" applyBorder="1" applyAlignment="1">
      <alignment horizontal="center" wrapText="1"/>
    </xf>
    <xf numFmtId="0" fontId="16" fillId="0" borderId="0" xfId="1" applyFont="1" applyFill="1" applyBorder="1" applyAlignment="1">
      <alignment horizontal="center" vertical="center" wrapText="1"/>
    </xf>
    <xf numFmtId="0" fontId="15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left" vertical="center" wrapText="1"/>
    </xf>
    <xf numFmtId="0" fontId="0" fillId="0" borderId="104" xfId="0" applyFill="1" applyBorder="1"/>
    <xf numFmtId="0" fontId="26" fillId="0" borderId="103" xfId="0" applyFont="1" applyFill="1" applyBorder="1"/>
    <xf numFmtId="0" fontId="0" fillId="18" borderId="113" xfId="0" applyFill="1" applyBorder="1" applyAlignment="1">
      <alignment horizontal="left"/>
    </xf>
    <xf numFmtId="0" fontId="0" fillId="18" borderId="112" xfId="0" applyFill="1" applyBorder="1" applyAlignment="1">
      <alignment horizontal="left"/>
    </xf>
    <xf numFmtId="0" fontId="0" fillId="18" borderId="0" xfId="0" applyFill="1" applyBorder="1" applyAlignment="1">
      <alignment horizontal="left"/>
    </xf>
    <xf numFmtId="0" fontId="0" fillId="18" borderId="6" xfId="0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6" xfId="0" applyFill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10" fillId="3" borderId="0" xfId="0" applyFont="1" applyFill="1" applyBorder="1"/>
    <xf numFmtId="0" fontId="0" fillId="3" borderId="14" xfId="0" applyFill="1" applyBorder="1"/>
    <xf numFmtId="0" fontId="31" fillId="0" borderId="0" xfId="0" applyFont="1" applyFill="1" applyBorder="1" applyAlignment="1"/>
    <xf numFmtId="0" fontId="16" fillId="17" borderId="0" xfId="1" applyFont="1" applyFill="1" applyBorder="1" applyAlignment="1">
      <alignment vertical="center" wrapText="1"/>
    </xf>
    <xf numFmtId="0" fontId="127" fillId="17" borderId="0" xfId="0" applyFont="1" applyFill="1" applyAlignment="1">
      <alignment horizontal="center" vertical="center"/>
    </xf>
    <xf numFmtId="0" fontId="15" fillId="17" borderId="0" xfId="1" applyFont="1" applyFill="1" applyBorder="1" applyAlignment="1">
      <alignment horizontal="center" vertical="center"/>
    </xf>
    <xf numFmtId="7" fontId="41" fillId="17" borderId="0" xfId="9" applyNumberFormat="1" applyFont="1" applyFill="1" applyBorder="1" applyAlignment="1">
      <alignment horizontal="center" vertical="center"/>
    </xf>
    <xf numFmtId="10" fontId="30" fillId="17" borderId="0" xfId="2" applyNumberFormat="1" applyFont="1" applyFill="1" applyBorder="1" applyAlignment="1">
      <alignment horizontal="center" vertical="center"/>
    </xf>
    <xf numFmtId="0" fontId="127" fillId="17" borderId="0" xfId="0" applyFont="1" applyFill="1" applyBorder="1" applyAlignment="1">
      <alignment vertical="center"/>
    </xf>
    <xf numFmtId="0" fontId="16" fillId="0" borderId="0" xfId="1" applyFont="1" applyFill="1" applyBorder="1" applyAlignment="1">
      <alignment horizontal="center" vertical="center"/>
    </xf>
    <xf numFmtId="0" fontId="126" fillId="0" borderId="17" xfId="0" applyFont="1" applyBorder="1" applyAlignment="1">
      <alignment horizontal="center" vertical="center" wrapText="1"/>
    </xf>
    <xf numFmtId="1" fontId="41" fillId="0" borderId="0" xfId="2" applyNumberFormat="1" applyFont="1" applyFill="1" applyBorder="1" applyAlignment="1">
      <alignment horizontal="center" vertical="center"/>
    </xf>
    <xf numFmtId="0" fontId="131" fillId="0" borderId="14" xfId="1" applyFont="1" applyFill="1" applyBorder="1" applyAlignment="1">
      <alignment horizontal="center" vertical="center" wrapText="1"/>
    </xf>
    <xf numFmtId="0" fontId="127" fillId="0" borderId="0" xfId="0" applyFont="1" applyBorder="1" applyAlignment="1">
      <alignment horizontal="center" vertical="center"/>
    </xf>
    <xf numFmtId="1" fontId="16" fillId="0" borderId="29" xfId="1" applyNumberFormat="1" applyFont="1" applyBorder="1" applyAlignment="1">
      <alignment horizontal="center" vertical="center"/>
    </xf>
    <xf numFmtId="1" fontId="16" fillId="0" borderId="11" xfId="1" applyNumberFormat="1" applyFont="1" applyBorder="1" applyAlignment="1">
      <alignment horizontal="center" vertical="center"/>
    </xf>
    <xf numFmtId="0" fontId="16" fillId="17" borderId="17" xfId="1" applyFont="1" applyFill="1" applyBorder="1" applyAlignment="1">
      <alignment vertical="center"/>
    </xf>
    <xf numFmtId="0" fontId="16" fillId="17" borderId="8" xfId="1" applyFont="1" applyFill="1" applyBorder="1" applyAlignment="1">
      <alignment horizontal="center" vertical="center"/>
    </xf>
    <xf numFmtId="0" fontId="16" fillId="17" borderId="8" xfId="1" applyFont="1" applyFill="1" applyBorder="1" applyAlignment="1">
      <alignment vertical="center"/>
    </xf>
    <xf numFmtId="0" fontId="16" fillId="17" borderId="9" xfId="1" applyFont="1" applyFill="1" applyBorder="1" applyAlignment="1">
      <alignment vertical="center"/>
    </xf>
    <xf numFmtId="0" fontId="16" fillId="0" borderId="18" xfId="1" applyFont="1" applyBorder="1" applyAlignment="1">
      <alignment vertical="center"/>
    </xf>
    <xf numFmtId="0" fontId="128" fillId="6" borderId="5" xfId="1" applyFont="1" applyFill="1" applyBorder="1" applyAlignment="1">
      <alignment horizontal="center" vertical="center"/>
    </xf>
    <xf numFmtId="0" fontId="16" fillId="0" borderId="5" xfId="1" applyFont="1" applyBorder="1" applyAlignment="1">
      <alignment vertical="center"/>
    </xf>
    <xf numFmtId="0" fontId="22" fillId="2" borderId="5" xfId="2" applyFont="1" applyFill="1" applyBorder="1" applyAlignment="1">
      <alignment vertical="center" wrapText="1"/>
    </xf>
    <xf numFmtId="0" fontId="15" fillId="2" borderId="118" xfId="1" applyFont="1" applyFill="1" applyBorder="1" applyAlignment="1">
      <alignment horizontal="center" vertical="center" wrapText="1"/>
    </xf>
    <xf numFmtId="0" fontId="15" fillId="2" borderId="79" xfId="1" applyFont="1" applyFill="1" applyBorder="1" applyAlignment="1">
      <alignment horizontal="center" vertical="center" wrapText="1"/>
    </xf>
    <xf numFmtId="0" fontId="16" fillId="0" borderId="19" xfId="1" applyFont="1" applyBorder="1" applyAlignment="1">
      <alignment vertical="center"/>
    </xf>
    <xf numFmtId="0" fontId="18" fillId="0" borderId="94" xfId="2" applyFont="1" applyBorder="1" applyAlignment="1">
      <alignment vertical="center"/>
    </xf>
    <xf numFmtId="0" fontId="18" fillId="0" borderId="95" xfId="2" applyFont="1" applyBorder="1" applyAlignment="1">
      <alignment vertical="center"/>
    </xf>
    <xf numFmtId="1" fontId="16" fillId="0" borderId="15" xfId="1" applyNumberFormat="1" applyFont="1" applyBorder="1" applyAlignment="1">
      <alignment horizontal="center" vertical="center"/>
    </xf>
    <xf numFmtId="0" fontId="18" fillId="0" borderId="14" xfId="2" applyFont="1" applyBorder="1" applyAlignment="1">
      <alignment horizontal="center" vertical="center"/>
    </xf>
    <xf numFmtId="0" fontId="18" fillId="0" borderId="14" xfId="2" applyFont="1" applyBorder="1" applyAlignment="1">
      <alignment vertical="center"/>
    </xf>
    <xf numFmtId="0" fontId="16" fillId="0" borderId="19" xfId="1" applyFont="1" applyFill="1" applyBorder="1" applyAlignment="1">
      <alignment vertical="center"/>
    </xf>
    <xf numFmtId="0" fontId="16" fillId="0" borderId="25" xfId="1" applyFont="1" applyFill="1" applyBorder="1" applyAlignment="1">
      <alignment vertical="center"/>
    </xf>
    <xf numFmtId="0" fontId="18" fillId="0" borderId="96" xfId="2" applyFont="1" applyFill="1" applyBorder="1" applyAlignment="1">
      <alignment vertical="center"/>
    </xf>
    <xf numFmtId="0" fontId="18" fillId="0" borderId="96" xfId="2" applyFont="1" applyFill="1" applyBorder="1" applyAlignment="1">
      <alignment horizontal="center" vertical="center"/>
    </xf>
    <xf numFmtId="0" fontId="18" fillId="0" borderId="96" xfId="2" applyFont="1" applyBorder="1" applyAlignment="1">
      <alignment horizontal="center" vertical="center"/>
    </xf>
    <xf numFmtId="0" fontId="18" fillId="0" borderId="96" xfId="2" applyFont="1" applyBorder="1" applyAlignment="1">
      <alignment vertical="center"/>
    </xf>
    <xf numFmtId="1" fontId="16" fillId="0" borderId="96" xfId="1" applyNumberFormat="1" applyFont="1" applyBorder="1" applyAlignment="1">
      <alignment horizontal="center" vertical="center"/>
    </xf>
    <xf numFmtId="0" fontId="22" fillId="0" borderId="96" xfId="2" applyFont="1" applyFill="1" applyBorder="1" applyAlignment="1">
      <alignment horizontal="left" vertical="center" wrapText="1"/>
    </xf>
    <xf numFmtId="0" fontId="0" fillId="0" borderId="96" xfId="0" applyFill="1" applyBorder="1"/>
    <xf numFmtId="0" fontId="0" fillId="0" borderId="86" xfId="0" applyFill="1" applyBorder="1"/>
    <xf numFmtId="0" fontId="18" fillId="12" borderId="103" xfId="2" applyFont="1" applyFill="1" applyBorder="1" applyAlignment="1">
      <alignment horizontal="left" wrapText="1"/>
    </xf>
    <xf numFmtId="0" fontId="18" fillId="12" borderId="16" xfId="2" applyFont="1" applyFill="1" applyBorder="1" applyAlignment="1">
      <alignment horizontal="left" wrapText="1"/>
    </xf>
    <xf numFmtId="0" fontId="0" fillId="0" borderId="121" xfId="0" applyBorder="1"/>
    <xf numFmtId="4" fontId="0" fillId="0" borderId="121" xfId="0" applyNumberFormat="1" applyBorder="1"/>
    <xf numFmtId="0" fontId="0" fillId="0" borderId="121" xfId="0" applyFill="1" applyBorder="1"/>
    <xf numFmtId="0" fontId="0" fillId="2" borderId="119" xfId="0" applyFill="1" applyBorder="1"/>
    <xf numFmtId="0" fontId="0" fillId="2" borderId="121" xfId="0" applyFill="1" applyBorder="1"/>
    <xf numFmtId="4" fontId="16" fillId="0" borderId="0" xfId="1" applyNumberFormat="1" applyFont="1" applyBorder="1" applyAlignment="1">
      <alignment vertical="center"/>
    </xf>
    <xf numFmtId="0" fontId="4" fillId="0" borderId="0" xfId="0" applyNumberFormat="1" applyFont="1" applyAlignment="1">
      <alignment vertical="center" wrapText="1"/>
    </xf>
    <xf numFmtId="0" fontId="0" fillId="18" borderId="121" xfId="0" applyFill="1" applyBorder="1" applyAlignment="1">
      <alignment horizontal="left"/>
    </xf>
    <xf numFmtId="0" fontId="0" fillId="0" borderId="121" xfId="0" applyBorder="1" applyAlignment="1">
      <alignment horizontal="left"/>
    </xf>
    <xf numFmtId="0" fontId="0" fillId="0" borderId="121" xfId="0" applyFill="1" applyBorder="1" applyAlignment="1">
      <alignment horizontal="left"/>
    </xf>
    <xf numFmtId="3" fontId="0" fillId="0" borderId="14" xfId="0" applyNumberFormat="1" applyBorder="1" applyAlignment="1">
      <alignment horizontal="center" vertical="center"/>
    </xf>
    <xf numFmtId="0" fontId="22" fillId="0" borderId="14" xfId="2" applyFont="1" applyFill="1" applyBorder="1" applyAlignment="1">
      <alignment horizontal="left" vertical="center" wrapText="1"/>
    </xf>
    <xf numFmtId="14" fontId="16" fillId="0" borderId="0" xfId="1" applyNumberFormat="1" applyFont="1" applyBorder="1" applyAlignment="1">
      <alignment horizontal="center" vertical="center"/>
    </xf>
    <xf numFmtId="169" fontId="132" fillId="0" borderId="14" xfId="2" applyNumberFormat="1" applyFont="1" applyFill="1" applyBorder="1" applyAlignment="1">
      <alignment horizontal="center" vertical="center" wrapText="1"/>
    </xf>
    <xf numFmtId="0" fontId="130" fillId="0" borderId="14" xfId="2" applyFont="1" applyFill="1" applyBorder="1" applyAlignment="1">
      <alignment horizontal="center" vertical="center" wrapText="1"/>
    </xf>
    <xf numFmtId="4" fontId="22" fillId="17" borderId="14" xfId="2" applyNumberFormat="1" applyFont="1" applyFill="1" applyBorder="1" applyAlignment="1">
      <alignment horizontal="right" vertical="center" wrapText="1"/>
    </xf>
    <xf numFmtId="4" fontId="22" fillId="0" borderId="14" xfId="2" applyNumberFormat="1" applyFont="1" applyFill="1" applyBorder="1" applyAlignment="1">
      <alignment vertical="center" wrapText="1"/>
    </xf>
    <xf numFmtId="1" fontId="16" fillId="0" borderId="17" xfId="1" applyNumberFormat="1" applyFont="1" applyBorder="1" applyAlignment="1">
      <alignment horizontal="center" vertical="center"/>
    </xf>
    <xf numFmtId="14" fontId="16" fillId="0" borderId="7" xfId="1" applyNumberFormat="1" applyFont="1" applyBorder="1" applyAlignment="1">
      <alignment horizontal="center" vertical="center"/>
    </xf>
    <xf numFmtId="1" fontId="16" fillId="0" borderId="10" xfId="1" applyNumberFormat="1" applyFont="1" applyBorder="1" applyAlignment="1">
      <alignment horizontal="center" vertical="center"/>
    </xf>
    <xf numFmtId="4" fontId="22" fillId="0" borderId="123" xfId="2" applyNumberFormat="1" applyFont="1" applyFill="1" applyBorder="1" applyAlignment="1">
      <alignment vertical="center" wrapText="1"/>
    </xf>
    <xf numFmtId="0" fontId="0" fillId="0" borderId="0" xfId="0"/>
    <xf numFmtId="0" fontId="0" fillId="0" borderId="0" xfId="0" applyAlignment="1"/>
    <xf numFmtId="0" fontId="12" fillId="6" borderId="14" xfId="0" applyFont="1" applyFill="1" applyBorder="1" applyAlignment="1">
      <alignment horizontal="left" vertical="top" wrapText="1"/>
    </xf>
    <xf numFmtId="3" fontId="12" fillId="6" borderId="14" xfId="0" applyNumberFormat="1" applyFont="1" applyFill="1" applyBorder="1" applyAlignment="1">
      <alignment horizontal="left" vertical="top" wrapText="1"/>
    </xf>
    <xf numFmtId="0" fontId="0" fillId="0" borderId="14" xfId="0" applyBorder="1"/>
    <xf numFmtId="0" fontId="32" fillId="0" borderId="14" xfId="0" applyFont="1" applyFill="1" applyBorder="1"/>
    <xf numFmtId="0" fontId="18" fillId="12" borderId="14" xfId="2" applyFont="1" applyFill="1" applyBorder="1" applyAlignment="1">
      <alignment horizontal="left" vertical="center"/>
    </xf>
    <xf numFmtId="0" fontId="31" fillId="0" borderId="0" xfId="0" applyFont="1" applyFill="1" applyAlignment="1"/>
    <xf numFmtId="0" fontId="54" fillId="0" borderId="14" xfId="2" applyNumberFormat="1" applyFont="1" applyFill="1" applyBorder="1" applyAlignment="1">
      <alignment horizontal="center" vertical="center"/>
    </xf>
    <xf numFmtId="10" fontId="30" fillId="0" borderId="14" xfId="2" applyNumberFormat="1" applyFont="1" applyFill="1" applyBorder="1" applyAlignment="1">
      <alignment horizontal="center" vertical="center"/>
    </xf>
    <xf numFmtId="10" fontId="41" fillId="0" borderId="14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 wrapText="1"/>
    </xf>
    <xf numFmtId="7" fontId="54" fillId="0" borderId="31" xfId="9" applyNumberFormat="1" applyFont="1" applyFill="1" applyBorder="1" applyAlignment="1">
      <alignment horizontal="left" vertical="center"/>
    </xf>
    <xf numFmtId="0" fontId="0" fillId="0" borderId="29" xfId="0" applyFill="1" applyBorder="1"/>
    <xf numFmtId="177" fontId="41" fillId="0" borderId="14" xfId="2" applyNumberFormat="1" applyFont="1" applyFill="1" applyBorder="1" applyAlignment="1">
      <alignment horizontal="center" vertical="center"/>
    </xf>
    <xf numFmtId="0" fontId="0" fillId="0" borderId="17" xfId="0" applyBorder="1"/>
    <xf numFmtId="0" fontId="30" fillId="0" borderId="0" xfId="0" applyFont="1" applyFill="1" applyBorder="1" applyAlignment="1">
      <alignment horizontal="left" vertical="center" wrapText="1"/>
    </xf>
    <xf numFmtId="1" fontId="36" fillId="0" borderId="14" xfId="198" applyNumberFormat="1" applyFont="1" applyFill="1" applyBorder="1" applyAlignment="1">
      <alignment horizontal="center" vertical="center" wrapText="1"/>
    </xf>
    <xf numFmtId="0" fontId="18" fillId="0" borderId="17" xfId="0" applyFont="1" applyFill="1" applyBorder="1" applyAlignment="1">
      <alignment vertical="center"/>
    </xf>
    <xf numFmtId="0" fontId="15" fillId="8" borderId="17" xfId="1" applyFont="1" applyFill="1" applyBorder="1" applyAlignment="1">
      <alignment horizontal="center" vertical="center"/>
    </xf>
    <xf numFmtId="0" fontId="16" fillId="8" borderId="15" xfId="1" applyFont="1" applyFill="1" applyBorder="1" applyAlignment="1">
      <alignment horizontal="center" vertical="center" wrapText="1"/>
    </xf>
    <xf numFmtId="14" fontId="10" fillId="8" borderId="16" xfId="0" applyNumberFormat="1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110" fillId="4" borderId="113" xfId="0" applyFont="1" applyFill="1" applyBorder="1" applyAlignment="1">
      <alignment vertical="center"/>
    </xf>
    <xf numFmtId="4" fontId="4" fillId="0" borderId="112" xfId="0" applyNumberFormat="1" applyFont="1" applyBorder="1" applyAlignment="1">
      <alignment vertical="center"/>
    </xf>
    <xf numFmtId="0" fontId="4" fillId="0" borderId="113" xfId="0" applyFont="1" applyBorder="1" applyAlignment="1">
      <alignment vertical="center"/>
    </xf>
    <xf numFmtId="0" fontId="4" fillId="0" borderId="134" xfId="0" applyFont="1" applyBorder="1" applyAlignment="1">
      <alignment horizontal="center" vertical="center"/>
    </xf>
    <xf numFmtId="0" fontId="18" fillId="18" borderId="121" xfId="0" applyNumberFormat="1" applyFont="1" applyFill="1" applyBorder="1" applyAlignment="1">
      <alignment horizontal="center"/>
    </xf>
    <xf numFmtId="0" fontId="32" fillId="18" borderId="121" xfId="0" applyNumberFormat="1" applyFont="1" applyFill="1" applyBorder="1" applyAlignment="1">
      <alignment horizontal="center"/>
    </xf>
    <xf numFmtId="0" fontId="32" fillId="18" borderId="121" xfId="0" applyFont="1" applyFill="1" applyBorder="1" applyAlignment="1">
      <alignment horizontal="center"/>
    </xf>
    <xf numFmtId="0" fontId="4" fillId="0" borderId="121" xfId="0" applyFont="1" applyFill="1" applyBorder="1"/>
    <xf numFmtId="0" fontId="0" fillId="0" borderId="121" xfId="0" applyBorder="1"/>
    <xf numFmtId="4" fontId="110" fillId="4" borderId="112" xfId="0" applyNumberFormat="1" applyFont="1" applyFill="1" applyBorder="1" applyAlignment="1">
      <alignment vertical="center"/>
    </xf>
    <xf numFmtId="14" fontId="0" fillId="8" borderId="16" xfId="0" applyNumberFormat="1" applyFill="1" applyBorder="1"/>
    <xf numFmtId="3" fontId="19" fillId="0" borderId="0" xfId="1" applyNumberFormat="1" applyFont="1" applyFill="1" applyBorder="1" applyAlignment="1">
      <alignment vertical="center" wrapText="1"/>
    </xf>
    <xf numFmtId="3" fontId="16" fillId="0" borderId="19" xfId="1" applyNumberFormat="1" applyFont="1" applyFill="1" applyBorder="1" applyAlignment="1">
      <alignment horizontal="center" vertical="center" wrapText="1"/>
    </xf>
    <xf numFmtId="0" fontId="25" fillId="0" borderId="0" xfId="0" applyFont="1" applyBorder="1" applyAlignment="1">
      <alignment vertical="center" wrapText="1"/>
    </xf>
    <xf numFmtId="0" fontId="24" fillId="10" borderId="0" xfId="0" applyFont="1" applyFill="1" applyAlignment="1">
      <alignment horizontal="center" vertical="center" wrapText="1"/>
    </xf>
    <xf numFmtId="14" fontId="0" fillId="0" borderId="0" xfId="0" applyNumberFormat="1"/>
    <xf numFmtId="7" fontId="54" fillId="0" borderId="14" xfId="9" applyNumberFormat="1" applyFont="1" applyFill="1" applyBorder="1" applyAlignment="1">
      <alignment horizontal="left" vertical="center"/>
    </xf>
    <xf numFmtId="14" fontId="32" fillId="0" borderId="14" xfId="0" applyNumberFormat="1" applyFont="1" applyFill="1" applyBorder="1"/>
    <xf numFmtId="171" fontId="54" fillId="0" borderId="14" xfId="9" applyNumberFormat="1" applyFont="1" applyFill="1" applyBorder="1" applyAlignment="1">
      <alignment horizontal="center" vertical="center"/>
    </xf>
    <xf numFmtId="0" fontId="54" fillId="0" borderId="0" xfId="2" applyFont="1" applyAlignment="1">
      <alignment horizontal="center" vertical="center" textRotation="180"/>
    </xf>
    <xf numFmtId="168" fontId="0" fillId="0" borderId="98" xfId="0" applyNumberFormat="1" applyFill="1" applyBorder="1"/>
    <xf numFmtId="177" fontId="0" fillId="0" borderId="0" xfId="0" applyNumberFormat="1" applyBorder="1"/>
    <xf numFmtId="0" fontId="10" fillId="0" borderId="14" xfId="0" applyFont="1" applyFill="1" applyBorder="1" applyAlignment="1">
      <alignment vertical="center" wrapText="1"/>
    </xf>
    <xf numFmtId="165" fontId="30" fillId="3" borderId="121" xfId="2" applyNumberFormat="1" applyFont="1" applyFill="1" applyBorder="1" applyAlignment="1">
      <alignment horizontal="center" vertical="center" wrapText="1"/>
    </xf>
    <xf numFmtId="43" fontId="18" fillId="2" borderId="98" xfId="2" applyNumberFormat="1" applyFont="1" applyFill="1" applyBorder="1" applyAlignment="1">
      <alignment horizontal="center" vertical="center"/>
    </xf>
    <xf numFmtId="43" fontId="18" fillId="2" borderId="98" xfId="2" applyNumberFormat="1" applyFont="1" applyFill="1" applyBorder="1" applyAlignment="1">
      <alignment vertical="center"/>
    </xf>
    <xf numFmtId="2" fontId="32" fillId="18" borderId="121" xfId="0" applyNumberFormat="1" applyFont="1" applyFill="1" applyBorder="1"/>
    <xf numFmtId="2" fontId="32" fillId="0" borderId="121" xfId="0" applyNumberFormat="1" applyFont="1" applyFill="1" applyBorder="1"/>
    <xf numFmtId="0" fontId="0" fillId="0" borderId="0" xfId="0"/>
    <xf numFmtId="0" fontId="0" fillId="0" borderId="0" xfId="0" applyBorder="1"/>
    <xf numFmtId="0" fontId="32" fillId="0" borderId="121" xfId="0" applyFont="1" applyFill="1" applyBorder="1"/>
    <xf numFmtId="0" fontId="0" fillId="0" borderId="0" xfId="0" applyFill="1"/>
    <xf numFmtId="14" fontId="32" fillId="0" borderId="121" xfId="0" applyNumberFormat="1" applyFont="1" applyFill="1" applyBorder="1"/>
    <xf numFmtId="0" fontId="0" fillId="0" borderId="0" xfId="0" applyFill="1" applyBorder="1"/>
    <xf numFmtId="0" fontId="32" fillId="18" borderId="121" xfId="0" applyNumberFormat="1" applyFont="1" applyFill="1" applyBorder="1" applyAlignment="1">
      <alignment horizontal="center"/>
    </xf>
    <xf numFmtId="0" fontId="18" fillId="18" borderId="121" xfId="0" applyNumberFormat="1" applyFont="1" applyFill="1" applyBorder="1" applyAlignment="1">
      <alignment horizontal="center"/>
    </xf>
    <xf numFmtId="4" fontId="54" fillId="0" borderId="121" xfId="2" applyNumberFormat="1" applyFont="1" applyFill="1" applyBorder="1" applyAlignment="1">
      <alignment vertical="center"/>
    </xf>
    <xf numFmtId="3" fontId="39" fillId="0" borderId="121" xfId="2" applyNumberFormat="1" applyFont="1" applyFill="1" applyBorder="1" applyAlignment="1">
      <alignment vertical="center"/>
    </xf>
    <xf numFmtId="181" fontId="111" fillId="0" borderId="121" xfId="0" applyNumberFormat="1" applyFont="1" applyFill="1" applyBorder="1" applyAlignment="1">
      <alignment horizontal="center" vertical="center"/>
    </xf>
    <xf numFmtId="181" fontId="30" fillId="0" borderId="121" xfId="2" applyNumberFormat="1" applyFont="1" applyFill="1" applyBorder="1" applyAlignment="1">
      <alignment horizontal="center" vertical="center"/>
    </xf>
    <xf numFmtId="182" fontId="4" fillId="0" borderId="121" xfId="0" applyNumberFormat="1" applyFont="1" applyBorder="1" applyAlignment="1">
      <alignment vertical="center"/>
    </xf>
    <xf numFmtId="4" fontId="4" fillId="0" borderId="121" xfId="0" applyNumberFormat="1" applyFont="1" applyBorder="1" applyAlignment="1">
      <alignment vertical="center"/>
    </xf>
    <xf numFmtId="0" fontId="4" fillId="0" borderId="121" xfId="0" applyFont="1" applyBorder="1" applyAlignment="1">
      <alignment vertical="center"/>
    </xf>
    <xf numFmtId="3" fontId="4" fillId="0" borderId="8" xfId="0" applyNumberFormat="1" applyFont="1" applyBorder="1" applyAlignment="1">
      <alignment horizontal="left" vertical="center"/>
    </xf>
    <xf numFmtId="4" fontId="32" fillId="0" borderId="121" xfId="0" applyNumberFormat="1" applyFont="1" applyFill="1" applyBorder="1"/>
    <xf numFmtId="0" fontId="32" fillId="8" borderId="119" xfId="0" applyFont="1" applyFill="1" applyBorder="1"/>
    <xf numFmtId="0" fontId="32" fillId="0" borderId="119" xfId="0" applyFont="1" applyFill="1" applyBorder="1"/>
    <xf numFmtId="171" fontId="54" fillId="0" borderId="14" xfId="9" applyNumberFormat="1" applyFont="1" applyFill="1" applyBorder="1" applyAlignment="1">
      <alignment horizontal="center" vertical="center"/>
    </xf>
    <xf numFmtId="14" fontId="0" fillId="0" borderId="0" xfId="0" applyNumberFormat="1" applyFill="1"/>
    <xf numFmtId="10" fontId="0" fillId="0" borderId="0" xfId="0" applyNumberFormat="1" applyFill="1"/>
    <xf numFmtId="0" fontId="10" fillId="3" borderId="121" xfId="0" applyFont="1" applyFill="1" applyBorder="1" applyAlignment="1">
      <alignment vertical="center"/>
    </xf>
    <xf numFmtId="0" fontId="10" fillId="3" borderId="121" xfId="0" applyFont="1" applyFill="1" applyBorder="1" applyAlignment="1">
      <alignment vertical="center" wrapText="1"/>
    </xf>
    <xf numFmtId="0" fontId="10" fillId="3" borderId="121" xfId="0" applyFont="1" applyFill="1" applyBorder="1" applyAlignment="1">
      <alignment horizontal="center" vertical="center" wrapText="1"/>
    </xf>
    <xf numFmtId="181" fontId="0" fillId="0" borderId="0" xfId="0" applyNumberFormat="1"/>
    <xf numFmtId="0" fontId="32" fillId="0" borderId="121" xfId="0" applyFont="1" applyFill="1" applyBorder="1"/>
    <xf numFmtId="0" fontId="32" fillId="0" borderId="121" xfId="0" applyFont="1" applyFill="1" applyBorder="1" applyAlignment="1">
      <alignment vertical="center" wrapText="1"/>
    </xf>
    <xf numFmtId="10" fontId="32" fillId="0" borderId="121" xfId="0" applyNumberFormat="1" applyFont="1" applyFill="1" applyBorder="1"/>
    <xf numFmtId="0" fontId="32" fillId="0" borderId="121" xfId="0" applyFont="1" applyFill="1" applyBorder="1" applyAlignment="1">
      <alignment horizontal="left" vertical="top"/>
    </xf>
    <xf numFmtId="0" fontId="32" fillId="0" borderId="14" xfId="0" applyFont="1" applyFill="1" applyBorder="1"/>
    <xf numFmtId="0" fontId="32" fillId="0" borderId="14" xfId="0" applyFont="1" applyFill="1" applyBorder="1" applyAlignment="1">
      <alignment vertical="center" wrapText="1"/>
    </xf>
    <xf numFmtId="0" fontId="0" fillId="0" borderId="0" xfId="0" applyFill="1"/>
    <xf numFmtId="0" fontId="17" fillId="0" borderId="14" xfId="3" applyFill="1" applyBorder="1" applyAlignment="1" applyProtection="1">
      <alignment vertical="center" wrapText="1"/>
    </xf>
    <xf numFmtId="0" fontId="32" fillId="0" borderId="14" xfId="0" applyFont="1" applyFill="1" applyBorder="1"/>
    <xf numFmtId="0" fontId="18" fillId="0" borderId="14" xfId="0" applyNumberFormat="1" applyFont="1" applyFill="1" applyBorder="1" applyAlignment="1"/>
    <xf numFmtId="0" fontId="0" fillId="0" borderId="0" xfId="0"/>
    <xf numFmtId="0" fontId="0" fillId="0" borderId="0" xfId="0" applyBorder="1"/>
    <xf numFmtId="0" fontId="54" fillId="0" borderId="14" xfId="2" applyFont="1" applyFill="1" applyBorder="1" applyAlignment="1">
      <alignment horizontal="center" vertical="center"/>
    </xf>
    <xf numFmtId="9" fontId="54" fillId="0" borderId="14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/>
    </xf>
    <xf numFmtId="10" fontId="41" fillId="0" borderId="14" xfId="2" applyNumberFormat="1" applyFont="1" applyFill="1" applyBorder="1" applyAlignment="1">
      <alignment horizontal="center" vertical="center"/>
    </xf>
    <xf numFmtId="7" fontId="54" fillId="0" borderId="14" xfId="9" applyNumberFormat="1" applyFont="1" applyFill="1" applyBorder="1" applyAlignment="1">
      <alignment horizontal="left" vertical="center" wrapText="1"/>
    </xf>
    <xf numFmtId="7" fontId="54" fillId="0" borderId="31" xfId="9" applyNumberFormat="1" applyFont="1" applyFill="1" applyBorder="1" applyAlignment="1">
      <alignment horizontal="left" vertical="center"/>
    </xf>
    <xf numFmtId="177" fontId="41" fillId="0" borderId="14" xfId="2" applyNumberFormat="1" applyFont="1" applyFill="1" applyBorder="1" applyAlignment="1">
      <alignment horizontal="center" vertical="center"/>
    </xf>
    <xf numFmtId="0" fontId="54" fillId="6" borderId="14" xfId="2" applyFont="1" applyFill="1" applyBorder="1" applyAlignment="1">
      <alignment horizontal="center" vertical="center"/>
    </xf>
    <xf numFmtId="171" fontId="54" fillId="0" borderId="14" xfId="9" applyNumberFormat="1" applyFont="1" applyFill="1" applyBorder="1" applyAlignment="1">
      <alignment horizontal="center" vertical="center"/>
    </xf>
    <xf numFmtId="0" fontId="18" fillId="18" borderId="14" xfId="0" applyNumberFormat="1" applyFont="1" applyFill="1" applyBorder="1" applyAlignment="1"/>
    <xf numFmtId="0" fontId="18" fillId="5" borderId="121" xfId="0" applyNumberFormat="1" applyFont="1" applyFill="1" applyBorder="1" applyAlignment="1"/>
    <xf numFmtId="0" fontId="35" fillId="0" borderId="121" xfId="4" applyFont="1" applyFill="1" applyBorder="1" applyAlignment="1" applyProtection="1">
      <alignment vertical="center" wrapText="1"/>
    </xf>
    <xf numFmtId="0" fontId="17" fillId="0" borderId="14" xfId="3" applyBorder="1" applyAlignment="1" applyProtection="1"/>
    <xf numFmtId="10" fontId="32" fillId="0" borderId="12" xfId="0" applyNumberFormat="1" applyFont="1" applyFill="1" applyBorder="1"/>
    <xf numFmtId="0" fontId="16" fillId="0" borderId="113" xfId="1" applyFont="1" applyFill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8" xfId="0" applyFont="1" applyBorder="1" applyAlignment="1">
      <alignment horizontal="left" vertical="center"/>
    </xf>
    <xf numFmtId="10" fontId="30" fillId="7" borderId="103" xfId="2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121" xfId="0" applyBorder="1"/>
    <xf numFmtId="14" fontId="0" fillId="0" borderId="0" xfId="0" applyNumberFormat="1"/>
    <xf numFmtId="0" fontId="0" fillId="0" borderId="0" xfId="0" applyBorder="1" applyAlignment="1">
      <alignment horizontal="left"/>
    </xf>
    <xf numFmtId="22" fontId="0" fillId="0" borderId="0" xfId="0" applyNumberFormat="1"/>
    <xf numFmtId="14" fontId="13" fillId="8" borderId="24" xfId="1" applyNumberFormat="1" applyFont="1" applyFill="1" applyBorder="1" applyAlignment="1">
      <alignment vertical="center" wrapText="1"/>
    </xf>
    <xf numFmtId="0" fontId="16" fillId="0" borderId="0" xfId="1" applyFont="1" applyFill="1" applyBorder="1" applyAlignment="1">
      <alignment horizontal="right" vertical="center" wrapText="1"/>
    </xf>
    <xf numFmtId="14" fontId="13" fillId="8" borderId="21" xfId="1" applyNumberFormat="1" applyFont="1" applyFill="1" applyBorder="1" applyAlignment="1">
      <alignment vertical="center" wrapText="1"/>
    </xf>
    <xf numFmtId="0" fontId="0" fillId="0" borderId="0" xfId="0" applyFill="1" applyBorder="1" applyAlignment="1">
      <alignment horizontal="center"/>
    </xf>
    <xf numFmtId="0" fontId="0" fillId="2" borderId="67" xfId="0" applyFill="1" applyBorder="1"/>
    <xf numFmtId="0" fontId="0" fillId="0" borderId="135" xfId="0" applyFill="1" applyBorder="1"/>
    <xf numFmtId="0" fontId="4" fillId="0" borderId="67" xfId="0" applyFont="1" applyBorder="1" applyAlignment="1">
      <alignment vertical="center"/>
    </xf>
    <xf numFmtId="0" fontId="3" fillId="0" borderId="68" xfId="0" applyFont="1" applyFill="1" applyBorder="1" applyAlignment="1">
      <alignment horizontal="center" vertical="center"/>
    </xf>
    <xf numFmtId="0" fontId="3" fillId="0" borderId="68" xfId="0" applyFont="1" applyFill="1" applyBorder="1" applyAlignment="1">
      <alignment vertical="center"/>
    </xf>
    <xf numFmtId="0" fontId="4" fillId="0" borderId="69" xfId="0" applyFont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3" fontId="3" fillId="0" borderId="8" xfId="0" applyNumberFormat="1" applyFont="1" applyBorder="1" applyAlignment="1">
      <alignment horizontal="center" vertical="center"/>
    </xf>
    <xf numFmtId="0" fontId="24" fillId="10" borderId="0" xfId="0" applyFont="1" applyFill="1" applyAlignment="1">
      <alignment horizontal="center" vertical="center" wrapText="1"/>
    </xf>
    <xf numFmtId="0" fontId="32" fillId="0" borderId="121" xfId="0" applyFont="1" applyFill="1" applyBorder="1"/>
    <xf numFmtId="2" fontId="32" fillId="0" borderId="135" xfId="0" applyNumberFormat="1" applyFont="1" applyFill="1" applyBorder="1"/>
    <xf numFmtId="0" fontId="24" fillId="0" borderId="19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6" fillId="80" borderId="0" xfId="1" applyFont="1" applyFill="1" applyBorder="1" applyAlignment="1">
      <alignment horizontal="center" vertical="center" wrapText="1"/>
    </xf>
    <xf numFmtId="0" fontId="17" fillId="0" borderId="0" xfId="3" applyFill="1" applyBorder="1" applyAlignment="1" applyProtection="1">
      <alignment horizontal="left" vertical="center" wrapText="1"/>
    </xf>
    <xf numFmtId="0" fontId="17" fillId="0" borderId="8" xfId="3" applyFill="1" applyBorder="1" applyAlignment="1" applyProtection="1">
      <alignment horizontal="left" vertical="center" wrapText="1"/>
    </xf>
    <xf numFmtId="0" fontId="16" fillId="0" borderId="0" xfId="1" applyFont="1" applyFill="1" applyBorder="1" applyAlignment="1">
      <alignment horizontal="left" vertical="center"/>
    </xf>
    <xf numFmtId="0" fontId="16" fillId="0" borderId="8" xfId="1" applyFont="1" applyFill="1" applyBorder="1" applyAlignment="1">
      <alignment horizontal="left" vertical="center" wrapText="1"/>
    </xf>
    <xf numFmtId="0" fontId="15" fillId="0" borderId="7" xfId="1" applyFont="1" applyFill="1" applyBorder="1" applyAlignment="1">
      <alignment vertical="center" wrapText="1"/>
    </xf>
    <xf numFmtId="0" fontId="15" fillId="0" borderId="0" xfId="1" applyFont="1" applyFill="1" applyBorder="1" applyAlignment="1">
      <alignment vertical="center" wrapText="1"/>
    </xf>
    <xf numFmtId="0" fontId="15" fillId="0" borderId="6" xfId="1" applyFont="1" applyFill="1" applyBorder="1" applyAlignment="1">
      <alignment vertical="center" wrapText="1"/>
    </xf>
    <xf numFmtId="0" fontId="15" fillId="0" borderId="0" xfId="1" applyFont="1" applyFill="1" applyBorder="1" applyAlignment="1">
      <alignment horizontal="center" vertical="center" wrapText="1"/>
    </xf>
    <xf numFmtId="0" fontId="15" fillId="0" borderId="6" xfId="1" applyFont="1" applyFill="1" applyBorder="1" applyAlignment="1">
      <alignment horizontal="center" vertical="center" wrapText="1"/>
    </xf>
    <xf numFmtId="0" fontId="16" fillId="17" borderId="0" xfId="1" applyFont="1" applyFill="1" applyBorder="1" applyAlignment="1">
      <alignment horizontal="center" vertical="center"/>
    </xf>
    <xf numFmtId="0" fontId="16" fillId="2" borderId="14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vertical="center" wrapText="1"/>
    </xf>
    <xf numFmtId="0" fontId="0" fillId="0" borderId="11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127" fillId="0" borderId="0" xfId="0" applyFont="1" applyFill="1" applyBorder="1" applyAlignment="1">
      <alignment horizontal="center" vertical="center"/>
    </xf>
    <xf numFmtId="0" fontId="127" fillId="0" borderId="6" xfId="0" applyFont="1" applyFill="1" applyBorder="1" applyAlignment="1">
      <alignment horizontal="center" vertical="center"/>
    </xf>
    <xf numFmtId="0" fontId="127" fillId="0" borderId="8" xfId="0" applyFont="1" applyFill="1" applyBorder="1" applyAlignment="1">
      <alignment horizontal="center" vertical="center"/>
    </xf>
    <xf numFmtId="0" fontId="127" fillId="0" borderId="9" xfId="0" applyFont="1" applyFill="1" applyBorder="1" applyAlignment="1">
      <alignment horizontal="center" vertical="center"/>
    </xf>
    <xf numFmtId="0" fontId="126" fillId="0" borderId="14" xfId="0" applyFont="1" applyBorder="1" applyAlignment="1">
      <alignment horizontal="center" vertical="center" wrapText="1"/>
    </xf>
    <xf numFmtId="0" fontId="16" fillId="0" borderId="113" xfId="1" applyFont="1" applyFill="1" applyBorder="1" applyAlignment="1">
      <alignment horizontal="left" vertical="center" wrapText="1"/>
    </xf>
    <xf numFmtId="0" fontId="16" fillId="0" borderId="112" xfId="1" applyFont="1" applyFill="1" applyBorder="1" applyAlignment="1">
      <alignment horizontal="left" vertical="center" wrapText="1"/>
    </xf>
    <xf numFmtId="0" fontId="16" fillId="0" borderId="22" xfId="1" applyFont="1" applyFill="1" applyBorder="1" applyAlignment="1">
      <alignment horizontal="left" vertical="center" wrapText="1"/>
    </xf>
    <xf numFmtId="0" fontId="16" fillId="0" borderId="6" xfId="1" applyFont="1" applyFill="1" applyBorder="1" applyAlignment="1">
      <alignment horizontal="left" vertical="center" wrapText="1"/>
    </xf>
    <xf numFmtId="0" fontId="16" fillId="0" borderId="22" xfId="2" applyFont="1" applyFill="1" applyBorder="1" applyAlignment="1">
      <alignment horizontal="left" vertical="center" wrapText="1"/>
    </xf>
    <xf numFmtId="0" fontId="16" fillId="0" borderId="6" xfId="2" applyFont="1" applyFill="1" applyBorder="1" applyAlignment="1">
      <alignment horizontal="left" vertical="center" wrapText="1"/>
    </xf>
    <xf numFmtId="0" fontId="16" fillId="0" borderId="0" xfId="1" applyFont="1" applyFill="1" applyBorder="1" applyAlignment="1">
      <alignment horizontal="left" vertical="center" wrapText="1"/>
    </xf>
    <xf numFmtId="0" fontId="126" fillId="0" borderId="104" xfId="0" applyFont="1" applyBorder="1" applyAlignment="1">
      <alignment horizontal="center" vertical="center" wrapText="1"/>
    </xf>
    <xf numFmtId="0" fontId="126" fillId="0" borderId="107" xfId="0" applyFont="1" applyBorder="1" applyAlignment="1">
      <alignment horizontal="center" vertical="center" wrapText="1"/>
    </xf>
    <xf numFmtId="0" fontId="126" fillId="0" borderId="105" xfId="0" applyFont="1" applyBorder="1" applyAlignment="1">
      <alignment horizontal="center" vertical="center" wrapText="1"/>
    </xf>
    <xf numFmtId="0" fontId="16" fillId="0" borderId="0" xfId="2" applyFont="1" applyFill="1" applyBorder="1" applyAlignment="1">
      <alignment horizontal="left" vertical="center" wrapText="1"/>
    </xf>
    <xf numFmtId="0" fontId="16" fillId="0" borderId="113" xfId="1" applyFont="1" applyFill="1" applyBorder="1" applyAlignment="1">
      <alignment horizontal="left" vertical="center"/>
    </xf>
    <xf numFmtId="0" fontId="13" fillId="0" borderId="104" xfId="1" applyFont="1" applyFill="1" applyBorder="1" applyAlignment="1">
      <alignment horizontal="center" vertical="center" wrapText="1"/>
    </xf>
    <xf numFmtId="0" fontId="13" fillId="0" borderId="107" xfId="1" applyFont="1" applyFill="1" applyBorder="1" applyAlignment="1">
      <alignment horizontal="center" vertical="center" wrapText="1"/>
    </xf>
    <xf numFmtId="0" fontId="16" fillId="2" borderId="0" xfId="1" applyFont="1" applyFill="1" applyBorder="1" applyAlignment="1">
      <alignment horizontal="center" vertical="center" wrapText="1"/>
    </xf>
    <xf numFmtId="0" fontId="15" fillId="0" borderId="38" xfId="1" applyFont="1" applyFill="1" applyBorder="1" applyAlignment="1">
      <alignment vertical="center" wrapText="1"/>
    </xf>
    <xf numFmtId="0" fontId="15" fillId="0" borderId="133" xfId="1" applyFont="1" applyFill="1" applyBorder="1" applyAlignment="1">
      <alignment vertical="center" wrapText="1"/>
    </xf>
    <xf numFmtId="0" fontId="15" fillId="0" borderId="132" xfId="1" applyFont="1" applyFill="1" applyBorder="1" applyAlignment="1">
      <alignment vertical="center" wrapText="1"/>
    </xf>
    <xf numFmtId="0" fontId="15" fillId="0" borderId="14" xfId="1" applyFont="1" applyFill="1" applyBorder="1" applyAlignment="1">
      <alignment horizontal="center" vertical="center" wrapText="1"/>
    </xf>
    <xf numFmtId="0" fontId="15" fillId="0" borderId="104" xfId="1" applyFont="1" applyFill="1" applyBorder="1" applyAlignment="1">
      <alignment horizontal="center" vertical="center" wrapText="1"/>
    </xf>
    <xf numFmtId="0" fontId="15" fillId="0" borderId="107" xfId="1" applyFont="1" applyFill="1" applyBorder="1" applyAlignment="1">
      <alignment horizontal="center" vertical="center" wrapText="1"/>
    </xf>
    <xf numFmtId="0" fontId="15" fillId="0" borderId="8" xfId="1" applyFont="1" applyFill="1" applyBorder="1" applyAlignment="1">
      <alignment horizontal="center" vertical="center" wrapText="1"/>
    </xf>
    <xf numFmtId="0" fontId="15" fillId="0" borderId="9" xfId="1" applyFont="1" applyFill="1" applyBorder="1" applyAlignment="1">
      <alignment horizontal="center" vertical="center" wrapText="1"/>
    </xf>
    <xf numFmtId="0" fontId="15" fillId="0" borderId="29" xfId="1" applyFont="1" applyFill="1" applyBorder="1" applyAlignment="1">
      <alignment horizontal="center" vertical="center" wrapText="1"/>
    </xf>
    <xf numFmtId="0" fontId="15" fillId="0" borderId="31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 vertical="center" wrapText="1"/>
    </xf>
    <xf numFmtId="0" fontId="0" fillId="0" borderId="8" xfId="0" applyFill="1" applyBorder="1" applyAlignment="1">
      <alignment horizontal="left" vertical="center" wrapText="1"/>
    </xf>
    <xf numFmtId="0" fontId="0" fillId="0" borderId="68" xfId="0" applyFill="1" applyBorder="1" applyAlignment="1">
      <alignment vertical="center" wrapText="1"/>
    </xf>
    <xf numFmtId="0" fontId="16" fillId="0" borderId="7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6" fillId="0" borderId="10" xfId="1" applyFont="1" applyFill="1" applyBorder="1" applyAlignment="1">
      <alignment horizontal="center" vertical="center" wrapText="1"/>
    </xf>
    <xf numFmtId="0" fontId="16" fillId="0" borderId="8" xfId="1" applyFont="1" applyFill="1" applyBorder="1" applyAlignment="1">
      <alignment horizontal="center" vertical="center" wrapText="1"/>
    </xf>
    <xf numFmtId="0" fontId="16" fillId="17" borderId="106" xfId="1" applyFont="1" applyFill="1" applyBorder="1" applyAlignment="1">
      <alignment horizontal="center" vertical="center"/>
    </xf>
    <xf numFmtId="0" fontId="16" fillId="17" borderId="16" xfId="1" applyFont="1" applyFill="1" applyBorder="1" applyAlignment="1">
      <alignment horizontal="center" vertical="center"/>
    </xf>
    <xf numFmtId="0" fontId="16" fillId="17" borderId="17" xfId="1" applyFont="1" applyFill="1" applyBorder="1" applyAlignment="1">
      <alignment horizontal="center" vertical="center"/>
    </xf>
    <xf numFmtId="0" fontId="16" fillId="2" borderId="15" xfId="1" applyFont="1" applyFill="1" applyBorder="1" applyAlignment="1">
      <alignment horizontal="center" vertical="center" wrapText="1"/>
    </xf>
    <xf numFmtId="0" fontId="16" fillId="2" borderId="16" xfId="1" applyFont="1" applyFill="1" applyBorder="1" applyAlignment="1">
      <alignment horizontal="center" vertical="center" wrapText="1"/>
    </xf>
    <xf numFmtId="0" fontId="16" fillId="2" borderId="17" xfId="1" applyFont="1" applyFill="1" applyBorder="1" applyAlignment="1">
      <alignment horizontal="center" vertical="center" wrapText="1"/>
    </xf>
    <xf numFmtId="14" fontId="23" fillId="0" borderId="18" xfId="0" applyNumberFormat="1" applyFont="1" applyBorder="1" applyAlignment="1">
      <alignment horizontal="center" vertical="center" wrapText="1"/>
    </xf>
    <xf numFmtId="14" fontId="23" fillId="0" borderId="5" xfId="0" applyNumberFormat="1" applyFont="1" applyBorder="1" applyAlignment="1">
      <alignment horizontal="center" vertical="center" wrapText="1"/>
    </xf>
    <xf numFmtId="14" fontId="23" fillId="0" borderId="19" xfId="0" applyNumberFormat="1" applyFont="1" applyBorder="1" applyAlignment="1">
      <alignment horizontal="center" vertical="center" wrapText="1"/>
    </xf>
    <xf numFmtId="14" fontId="23" fillId="0" borderId="0" xfId="0" applyNumberFormat="1" applyFont="1" applyBorder="1" applyAlignment="1">
      <alignment horizontal="center" vertical="center" wrapText="1"/>
    </xf>
    <xf numFmtId="0" fontId="16" fillId="2" borderId="94" xfId="2" applyFont="1" applyFill="1" applyBorder="1" applyAlignment="1">
      <alignment horizontal="left" vertical="center" wrapText="1"/>
    </xf>
    <xf numFmtId="0" fontId="16" fillId="2" borderId="95" xfId="2" applyFont="1" applyFill="1" applyBorder="1" applyAlignment="1">
      <alignment horizontal="left" vertical="center" wrapText="1"/>
    </xf>
    <xf numFmtId="0" fontId="16" fillId="2" borderId="0" xfId="2" applyFont="1" applyFill="1" applyBorder="1" applyAlignment="1">
      <alignment horizontal="left" vertical="center" wrapText="1"/>
    </xf>
    <xf numFmtId="0" fontId="16" fillId="2" borderId="6" xfId="2" applyFont="1" applyFill="1" applyBorder="1" applyAlignment="1">
      <alignment horizontal="left" vertical="center" wrapText="1"/>
    </xf>
    <xf numFmtId="0" fontId="15" fillId="0" borderId="94" xfId="1" applyFont="1" applyFill="1" applyBorder="1" applyAlignment="1">
      <alignment horizontal="center" vertical="center" wrapText="1"/>
    </xf>
    <xf numFmtId="0" fontId="15" fillId="0" borderId="95" xfId="1" applyFont="1" applyFill="1" applyBorder="1" applyAlignment="1">
      <alignment horizontal="center" vertical="center" wrapText="1"/>
    </xf>
    <xf numFmtId="0" fontId="16" fillId="2" borderId="8" xfId="2" applyFont="1" applyFill="1" applyBorder="1" applyAlignment="1">
      <alignment horizontal="left" vertical="center" wrapText="1"/>
    </xf>
    <xf numFmtId="0" fontId="16" fillId="2" borderId="9" xfId="2" applyFont="1" applyFill="1" applyBorder="1" applyAlignment="1">
      <alignment horizontal="left" vertical="center" wrapText="1"/>
    </xf>
    <xf numFmtId="0" fontId="13" fillId="0" borderId="26" xfId="1" applyFill="1" applyBorder="1" applyAlignment="1">
      <alignment horizontal="center"/>
    </xf>
    <xf numFmtId="0" fontId="24" fillId="10" borderId="21" xfId="0" applyFont="1" applyFill="1" applyBorder="1" applyAlignment="1">
      <alignment horizontal="center" vertical="center"/>
    </xf>
    <xf numFmtId="0" fontId="24" fillId="10" borderId="28" xfId="0" applyFont="1" applyFill="1" applyBorder="1" applyAlignment="1">
      <alignment horizontal="center" vertical="center"/>
    </xf>
    <xf numFmtId="0" fontId="24" fillId="10" borderId="18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20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98" xfId="0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14" fontId="24" fillId="10" borderId="14" xfId="0" applyNumberFormat="1" applyFont="1" applyFill="1" applyBorder="1" applyAlignment="1">
      <alignment horizontal="center" vertical="center"/>
    </xf>
    <xf numFmtId="14" fontId="16" fillId="0" borderId="14" xfId="1" applyNumberFormat="1" applyFont="1" applyBorder="1" applyAlignment="1">
      <alignment horizontal="center" vertical="center"/>
    </xf>
    <xf numFmtId="0" fontId="0" fillId="6" borderId="7" xfId="0" applyFill="1" applyBorder="1" applyAlignment="1">
      <alignment horizontal="center" vertical="center" wrapText="1"/>
    </xf>
    <xf numFmtId="0" fontId="26" fillId="0" borderId="0" xfId="0" applyFont="1" applyBorder="1" applyAlignment="1">
      <alignment vertical="center"/>
    </xf>
    <xf numFmtId="14" fontId="21" fillId="0" borderId="14" xfId="0" applyNumberFormat="1" applyFont="1" applyFill="1" applyBorder="1" applyAlignment="1">
      <alignment horizontal="center" vertical="center" wrapText="1"/>
    </xf>
    <xf numFmtId="0" fontId="27" fillId="0" borderId="7" xfId="0" applyFont="1" applyBorder="1" applyAlignment="1">
      <alignment horizontal="center" vertical="center" wrapText="1"/>
    </xf>
    <xf numFmtId="0" fontId="23" fillId="6" borderId="5" xfId="0" applyFont="1" applyFill="1" applyBorder="1" applyAlignment="1">
      <alignment horizontal="center" vertical="center" wrapText="1"/>
    </xf>
    <xf numFmtId="0" fontId="23" fillId="6" borderId="0" xfId="0" applyFont="1" applyFill="1" applyBorder="1" applyAlignment="1">
      <alignment horizontal="center" vertical="center" wrapText="1"/>
    </xf>
    <xf numFmtId="3" fontId="16" fillId="0" borderId="0" xfId="1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5" fillId="10" borderId="0" xfId="0" applyFont="1" applyFill="1" applyBorder="1" applyAlignment="1">
      <alignment horizontal="left" vertical="center" wrapText="1"/>
    </xf>
    <xf numFmtId="0" fontId="16" fillId="10" borderId="0" xfId="1" applyFont="1" applyFill="1" applyAlignment="1">
      <alignment horizontal="left" vertical="center" wrapText="1"/>
    </xf>
    <xf numFmtId="0" fontId="24" fillId="0" borderId="19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25" xfId="0" applyFont="1" applyBorder="1" applyAlignment="1">
      <alignment horizontal="center" vertical="center" wrapText="1"/>
    </xf>
    <xf numFmtId="0" fontId="24" fillId="0" borderId="98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left" vertical="center" wrapText="1"/>
    </xf>
    <xf numFmtId="0" fontId="0" fillId="0" borderId="7" xfId="0" applyBorder="1" applyAlignment="1">
      <alignment horizontal="center" vertical="center" wrapText="1"/>
    </xf>
    <xf numFmtId="0" fontId="25" fillId="10" borderId="0" xfId="0" applyFont="1" applyFill="1" applyBorder="1" applyAlignment="1">
      <alignment vertical="center"/>
    </xf>
    <xf numFmtId="0" fontId="26" fillId="0" borderId="0" xfId="0" applyFont="1" applyBorder="1" applyAlignment="1">
      <alignment horizontal="left" vertical="center" wrapText="1"/>
    </xf>
    <xf numFmtId="165" fontId="25" fillId="10" borderId="0" xfId="0" applyNumberFormat="1" applyFont="1" applyFill="1" applyBorder="1" applyAlignment="1">
      <alignment vertical="center" wrapText="1"/>
    </xf>
    <xf numFmtId="165" fontId="25" fillId="10" borderId="6" xfId="0" applyNumberFormat="1" applyFont="1" applyFill="1" applyBorder="1" applyAlignment="1">
      <alignment vertical="center" wrapText="1"/>
    </xf>
    <xf numFmtId="0" fontId="20" fillId="0" borderId="0" xfId="2" applyFont="1" applyBorder="1" applyAlignment="1">
      <alignment horizontal="left" vertical="center" wrapText="1"/>
    </xf>
    <xf numFmtId="0" fontId="13" fillId="0" borderId="0" xfId="1" applyBorder="1" applyAlignment="1">
      <alignment horizontal="center"/>
    </xf>
    <xf numFmtId="0" fontId="21" fillId="0" borderId="0" xfId="0" applyFont="1" applyBorder="1" applyAlignment="1">
      <alignment vertical="center" wrapText="1"/>
    </xf>
    <xf numFmtId="0" fontId="21" fillId="0" borderId="0" xfId="0" applyFont="1" applyBorder="1" applyAlignment="1">
      <alignment horizontal="left" vertical="center" wrapText="1"/>
    </xf>
    <xf numFmtId="0" fontId="21" fillId="0" borderId="22" xfId="0" applyFont="1" applyBorder="1" applyAlignment="1">
      <alignment horizontal="left" vertical="center" wrapText="1"/>
    </xf>
    <xf numFmtId="3" fontId="16" fillId="0" borderId="0" xfId="1" applyNumberFormat="1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center" vertical="center"/>
    </xf>
    <xf numFmtId="0" fontId="0" fillId="0" borderId="96" xfId="0" applyBorder="1" applyAlignment="1">
      <alignment horizontal="center" vertical="center"/>
    </xf>
    <xf numFmtId="0" fontId="24" fillId="0" borderId="96" xfId="0" applyFont="1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16" fillId="0" borderId="0" xfId="1" applyFont="1" applyAlignment="1">
      <alignment horizontal="center" wrapText="1"/>
    </xf>
    <xf numFmtId="0" fontId="24" fillId="10" borderId="71" xfId="0" applyFont="1" applyFill="1" applyBorder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3" fillId="6" borderId="20" xfId="0" applyFont="1" applyFill="1" applyBorder="1" applyAlignment="1">
      <alignment horizontal="center" vertical="center" wrapText="1"/>
    </xf>
    <xf numFmtId="0" fontId="23" fillId="6" borderId="22" xfId="0" applyFont="1" applyFill="1" applyBorder="1" applyAlignment="1">
      <alignment horizontal="center" vertical="center" wrapText="1"/>
    </xf>
    <xf numFmtId="0" fontId="24" fillId="0" borderId="38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 wrapText="1"/>
    </xf>
    <xf numFmtId="14" fontId="24" fillId="10" borderId="15" xfId="0" applyNumberFormat="1" applyFont="1" applyFill="1" applyBorder="1" applyAlignment="1">
      <alignment horizontal="center" vertical="center"/>
    </xf>
    <xf numFmtId="14" fontId="24" fillId="10" borderId="17" xfId="0" applyNumberFormat="1" applyFont="1" applyFill="1" applyBorder="1" applyAlignment="1">
      <alignment horizontal="center" vertical="center"/>
    </xf>
    <xf numFmtId="0" fontId="118" fillId="0" borderId="0" xfId="0" applyFont="1" applyBorder="1" applyAlignment="1">
      <alignment horizontal="center" vertical="center" wrapText="1"/>
    </xf>
    <xf numFmtId="0" fontId="118" fillId="0" borderId="71" xfId="0" applyFont="1" applyBorder="1" applyAlignment="1">
      <alignment horizontal="center" vertical="center" wrapText="1"/>
    </xf>
    <xf numFmtId="14" fontId="16" fillId="0" borderId="15" xfId="1" applyNumberFormat="1" applyFont="1" applyBorder="1" applyAlignment="1">
      <alignment horizontal="center" vertical="center"/>
    </xf>
    <xf numFmtId="14" fontId="16" fillId="0" borderId="17" xfId="1" applyNumberFormat="1" applyFont="1" applyBorder="1" applyAlignment="1">
      <alignment horizontal="center" vertical="center"/>
    </xf>
    <xf numFmtId="0" fontId="16" fillId="0" borderId="0" xfId="1" applyFont="1" applyAlignment="1">
      <alignment horizontal="left" wrapText="1"/>
    </xf>
    <xf numFmtId="0" fontId="13" fillId="0" borderId="85" xfId="1" applyBorder="1" applyAlignment="1">
      <alignment horizontal="center" vertical="center" wrapText="1"/>
    </xf>
    <xf numFmtId="0" fontId="13" fillId="0" borderId="86" xfId="1" applyBorder="1" applyAlignment="1">
      <alignment horizontal="center" vertical="center" wrapText="1"/>
    </xf>
    <xf numFmtId="14" fontId="23" fillId="0" borderId="25" xfId="0" applyNumberFormat="1" applyFont="1" applyBorder="1" applyAlignment="1">
      <alignment horizontal="center" vertical="center" wrapText="1"/>
    </xf>
    <xf numFmtId="14" fontId="23" fillId="0" borderId="85" xfId="0" applyNumberFormat="1" applyFont="1" applyBorder="1" applyAlignment="1">
      <alignment horizontal="center" vertical="center" wrapText="1"/>
    </xf>
    <xf numFmtId="0" fontId="23" fillId="6" borderId="85" xfId="0" applyFont="1" applyFill="1" applyBorder="1" applyAlignment="1">
      <alignment horizontal="center" vertical="center" wrapText="1"/>
    </xf>
    <xf numFmtId="0" fontId="24" fillId="10" borderId="85" xfId="0" applyFont="1" applyFill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14" fontId="24" fillId="10" borderId="16" xfId="0" applyNumberFormat="1" applyFont="1" applyFill="1" applyBorder="1" applyAlignment="1">
      <alignment horizontal="center" vertical="center"/>
    </xf>
    <xf numFmtId="14" fontId="24" fillId="10" borderId="65" xfId="0" applyNumberFormat="1" applyFont="1" applyFill="1" applyBorder="1" applyAlignment="1">
      <alignment horizontal="center" vertical="center"/>
    </xf>
    <xf numFmtId="0" fontId="25" fillId="10" borderId="0" xfId="0" applyFont="1" applyFill="1" applyBorder="1" applyAlignment="1">
      <alignment vertical="center" wrapText="1"/>
    </xf>
    <xf numFmtId="14" fontId="16" fillId="0" borderId="93" xfId="1" applyNumberFormat="1" applyFont="1" applyBorder="1" applyAlignment="1">
      <alignment horizontal="center" vertical="center"/>
    </xf>
    <xf numFmtId="14" fontId="16" fillId="0" borderId="82" xfId="1" applyNumberFormat="1" applyFont="1" applyBorder="1" applyAlignment="1">
      <alignment horizontal="center" vertical="center"/>
    </xf>
    <xf numFmtId="0" fontId="0" fillId="6" borderId="0" xfId="0" applyFill="1" applyBorder="1" applyAlignment="1">
      <alignment horizontal="center" vertical="center" wrapText="1"/>
    </xf>
    <xf numFmtId="0" fontId="0" fillId="0" borderId="71" xfId="0" applyBorder="1" applyAlignment="1">
      <alignment horizontal="center"/>
    </xf>
    <xf numFmtId="0" fontId="24" fillId="0" borderId="17" xfId="0" applyFont="1" applyBorder="1" applyAlignment="1">
      <alignment horizontal="center" vertical="center"/>
    </xf>
    <xf numFmtId="0" fontId="23" fillId="11" borderId="5" xfId="0" applyFont="1" applyFill="1" applyBorder="1" applyAlignment="1">
      <alignment horizontal="center" vertical="center" wrapText="1"/>
    </xf>
    <xf numFmtId="0" fontId="23" fillId="11" borderId="0" xfId="0" applyFont="1" applyFill="1" applyBorder="1" applyAlignment="1">
      <alignment horizontal="center" vertical="center" wrapText="1"/>
    </xf>
    <xf numFmtId="0" fontId="24" fillId="10" borderId="26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65" fontId="25" fillId="10" borderId="0" xfId="0" applyNumberFormat="1" applyFont="1" applyFill="1" applyBorder="1" applyAlignment="1">
      <alignment horizontal="left" vertical="center" wrapText="1"/>
    </xf>
    <xf numFmtId="0" fontId="24" fillId="0" borderId="88" xfId="0" applyFont="1" applyBorder="1" applyAlignment="1">
      <alignment horizontal="center" vertical="center" wrapText="1"/>
    </xf>
    <xf numFmtId="0" fontId="13" fillId="0" borderId="0" xfId="1" applyBorder="1" applyAlignment="1">
      <alignment horizontal="center" vertical="center" wrapText="1"/>
    </xf>
    <xf numFmtId="0" fontId="13" fillId="0" borderId="6" xfId="1" applyBorder="1" applyAlignment="1">
      <alignment horizontal="center" vertical="center" wrapText="1"/>
    </xf>
    <xf numFmtId="0" fontId="13" fillId="0" borderId="8" xfId="1" applyBorder="1" applyAlignment="1">
      <alignment horizontal="center" vertical="center" wrapText="1"/>
    </xf>
    <xf numFmtId="0" fontId="13" fillId="0" borderId="9" xfId="1" applyBorder="1" applyAlignment="1">
      <alignment horizontal="center" vertical="center" wrapText="1"/>
    </xf>
    <xf numFmtId="165" fontId="16" fillId="10" borderId="0" xfId="1" applyNumberFormat="1" applyFont="1" applyFill="1" applyAlignment="1">
      <alignment horizontal="left" vertical="center" wrapText="1"/>
    </xf>
    <xf numFmtId="0" fontId="0" fillId="0" borderId="88" xfId="0" applyBorder="1" applyAlignment="1">
      <alignment horizontal="center"/>
    </xf>
    <xf numFmtId="0" fontId="24" fillId="0" borderId="26" xfId="0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25" fillId="10" borderId="0" xfId="0" applyFont="1" applyFill="1" applyBorder="1" applyAlignment="1">
      <alignment horizontal="left" vertical="center"/>
    </xf>
    <xf numFmtId="0" fontId="13" fillId="10" borderId="0" xfId="1" applyFill="1" applyAlignment="1">
      <alignment horizontal="center"/>
    </xf>
    <xf numFmtId="0" fontId="27" fillId="6" borderId="11" xfId="0" applyFont="1" applyFill="1" applyBorder="1" applyAlignment="1">
      <alignment horizontal="center" vertical="center"/>
    </xf>
    <xf numFmtId="0" fontId="27" fillId="6" borderId="94" xfId="0" applyFont="1" applyFill="1" applyBorder="1" applyAlignment="1">
      <alignment horizontal="center" vertical="center"/>
    </xf>
    <xf numFmtId="0" fontId="27" fillId="6" borderId="95" xfId="0" applyFont="1" applyFill="1" applyBorder="1" applyAlignment="1">
      <alignment horizontal="center" vertical="center"/>
    </xf>
    <xf numFmtId="0" fontId="27" fillId="6" borderId="7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7" fillId="6" borderId="6" xfId="0" applyFont="1" applyFill="1" applyBorder="1" applyAlignment="1">
      <alignment horizontal="center" vertical="center"/>
    </xf>
    <xf numFmtId="0" fontId="27" fillId="6" borderId="10" xfId="0" applyFont="1" applyFill="1" applyBorder="1" applyAlignment="1">
      <alignment horizontal="center" vertical="center"/>
    </xf>
    <xf numFmtId="0" fontId="27" fillId="6" borderId="8" xfId="0" applyFont="1" applyFill="1" applyBorder="1" applyAlignment="1">
      <alignment horizontal="center" vertical="center"/>
    </xf>
    <xf numFmtId="0" fontId="27" fillId="6" borderId="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67" fontId="107" fillId="7" borderId="14" xfId="2" applyNumberFormat="1" applyFont="1" applyFill="1" applyBorder="1" applyAlignment="1">
      <alignment horizontal="center" vertical="center"/>
    </xf>
    <xf numFmtId="0" fontId="112" fillId="7" borderId="14" xfId="0" applyFont="1" applyFill="1" applyBorder="1" applyAlignment="1">
      <alignment horizontal="center" vertical="center"/>
    </xf>
    <xf numFmtId="167" fontId="107" fillId="7" borderId="29" xfId="2" applyNumberFormat="1" applyFont="1" applyFill="1" applyBorder="1" applyAlignment="1">
      <alignment horizontal="center" vertical="center"/>
    </xf>
    <xf numFmtId="3" fontId="30" fillId="8" borderId="14" xfId="2" applyNumberFormat="1" applyFont="1" applyFill="1" applyBorder="1" applyAlignment="1">
      <alignment horizontal="center" vertical="center"/>
    </xf>
    <xf numFmtId="177" fontId="30" fillId="17" borderId="14" xfId="2" applyNumberFormat="1" applyFont="1" applyFill="1" applyBorder="1" applyAlignment="1">
      <alignment horizontal="center" vertical="center"/>
    </xf>
    <xf numFmtId="171" fontId="54" fillId="0" borderId="10" xfId="9" applyNumberFormat="1" applyFont="1" applyFill="1" applyBorder="1" applyAlignment="1">
      <alignment horizontal="center" vertical="center"/>
    </xf>
    <xf numFmtId="171" fontId="54" fillId="0" borderId="9" xfId="9" applyNumberFormat="1" applyFont="1" applyFill="1" applyBorder="1" applyAlignment="1">
      <alignment horizontal="center" vertical="center"/>
    </xf>
    <xf numFmtId="165" fontId="30" fillId="3" borderId="17" xfId="2" applyNumberFormat="1" applyFont="1" applyFill="1" applyBorder="1" applyAlignment="1">
      <alignment horizontal="center" vertical="center"/>
    </xf>
    <xf numFmtId="165" fontId="30" fillId="3" borderId="14" xfId="2" applyNumberFormat="1" applyFont="1" applyFill="1" applyBorder="1" applyAlignment="1">
      <alignment horizontal="center" vertical="center"/>
    </xf>
    <xf numFmtId="171" fontId="54" fillId="0" borderId="14" xfId="9" applyNumberFormat="1" applyFont="1" applyFill="1" applyBorder="1" applyAlignment="1">
      <alignment horizontal="center" vertical="center"/>
    </xf>
    <xf numFmtId="3" fontId="30" fillId="0" borderId="14" xfId="2" applyNumberFormat="1" applyFont="1" applyFill="1" applyBorder="1" applyAlignment="1">
      <alignment horizontal="center" vertical="center"/>
    </xf>
    <xf numFmtId="167" fontId="107" fillId="8" borderId="14" xfId="2" applyNumberFormat="1" applyFont="1" applyFill="1" applyBorder="1" applyAlignment="1">
      <alignment horizontal="center" vertical="center"/>
    </xf>
    <xf numFmtId="0" fontId="112" fillId="76" borderId="14" xfId="0" applyFont="1" applyFill="1" applyBorder="1" applyAlignment="1">
      <alignment horizontal="center" vertical="center"/>
    </xf>
    <xf numFmtId="167" fontId="107" fillId="76" borderId="14" xfId="2" applyNumberFormat="1" applyFont="1" applyFill="1" applyBorder="1" applyAlignment="1">
      <alignment horizontal="center" vertical="center"/>
    </xf>
    <xf numFmtId="177" fontId="30" fillId="0" borderId="14" xfId="2" applyNumberFormat="1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168" fontId="27" fillId="0" borderId="21" xfId="0" applyNumberFormat="1" applyFont="1" applyBorder="1" applyAlignment="1">
      <alignment horizontal="center" vertical="center"/>
    </xf>
    <xf numFmtId="168" fontId="27" fillId="0" borderId="28" xfId="0" applyNumberFormat="1" applyFont="1" applyBorder="1" applyAlignment="1">
      <alignment horizontal="center" vertical="center"/>
    </xf>
    <xf numFmtId="0" fontId="41" fillId="3" borderId="15" xfId="2" applyFont="1" applyFill="1" applyBorder="1" applyAlignment="1">
      <alignment horizontal="center" vertical="center" wrapText="1"/>
    </xf>
    <xf numFmtId="0" fontId="41" fillId="3" borderId="65" xfId="2" applyFont="1" applyFill="1" applyBorder="1" applyAlignment="1">
      <alignment horizontal="center" vertical="center" wrapText="1"/>
    </xf>
    <xf numFmtId="0" fontId="41" fillId="3" borderId="16" xfId="2" applyFont="1" applyFill="1" applyBorder="1" applyAlignment="1">
      <alignment horizontal="center" vertical="center" wrapText="1"/>
    </xf>
    <xf numFmtId="0" fontId="41" fillId="3" borderId="41" xfId="2" applyFont="1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3" fontId="39" fillId="0" borderId="29" xfId="2" applyNumberFormat="1" applyFont="1" applyFill="1" applyBorder="1" applyAlignment="1">
      <alignment horizontal="center" vertical="center"/>
    </xf>
    <xf numFmtId="3" fontId="39" fillId="0" borderId="30" xfId="2" applyNumberFormat="1" applyFont="1" applyFill="1" applyBorder="1" applyAlignment="1">
      <alignment horizontal="center" vertical="center"/>
    </xf>
    <xf numFmtId="3" fontId="39" fillId="0" borderId="14" xfId="2" applyNumberFormat="1" applyFont="1" applyFill="1" applyBorder="1" applyAlignment="1">
      <alignment vertical="center"/>
    </xf>
    <xf numFmtId="0" fontId="112" fillId="79" borderId="14" xfId="0" applyFont="1" applyFill="1" applyBorder="1" applyAlignment="1">
      <alignment horizontal="center" vertical="center"/>
    </xf>
    <xf numFmtId="167" fontId="107" fillId="79" borderId="14" xfId="2" applyNumberFormat="1" applyFont="1" applyFill="1" applyBorder="1" applyAlignment="1">
      <alignment horizontal="center" vertical="center"/>
    </xf>
    <xf numFmtId="167" fontId="107" fillId="78" borderId="14" xfId="2" applyNumberFormat="1" applyFont="1" applyFill="1" applyBorder="1" applyAlignment="1">
      <alignment horizontal="center" vertical="center"/>
    </xf>
    <xf numFmtId="177" fontId="107" fillId="0" borderId="103" xfId="2" applyNumberFormat="1" applyFont="1" applyFill="1" applyBorder="1" applyAlignment="1">
      <alignment horizontal="center" vertical="center"/>
    </xf>
    <xf numFmtId="0" fontId="112" fillId="10" borderId="14" xfId="0" applyFont="1" applyFill="1" applyBorder="1" applyAlignment="1">
      <alignment horizontal="center" vertical="center"/>
    </xf>
    <xf numFmtId="167" fontId="107" fillId="10" borderId="14" xfId="2" applyNumberFormat="1" applyFont="1" applyFill="1" applyBorder="1" applyAlignment="1">
      <alignment horizontal="center" vertical="center"/>
    </xf>
    <xf numFmtId="0" fontId="30" fillId="17" borderId="30" xfId="2" applyFont="1" applyFill="1" applyBorder="1" applyAlignment="1">
      <alignment horizontal="center" vertical="center"/>
    </xf>
    <xf numFmtId="165" fontId="30" fillId="3" borderId="42" xfId="2" applyNumberFormat="1" applyFont="1" applyFill="1" applyBorder="1" applyAlignment="1">
      <alignment horizontal="center" vertical="center"/>
    </xf>
    <xf numFmtId="165" fontId="30" fillId="3" borderId="44" xfId="2" applyNumberFormat="1" applyFont="1" applyFill="1" applyBorder="1" applyAlignment="1">
      <alignment horizontal="center" vertical="center"/>
    </xf>
    <xf numFmtId="165" fontId="30" fillId="3" borderId="10" xfId="2" applyNumberFormat="1" applyFont="1" applyFill="1" applyBorder="1" applyAlignment="1">
      <alignment horizontal="center" vertical="center"/>
    </xf>
    <xf numFmtId="165" fontId="30" fillId="3" borderId="9" xfId="2" applyNumberFormat="1" applyFont="1" applyFill="1" applyBorder="1" applyAlignment="1">
      <alignment horizontal="center" vertical="center"/>
    </xf>
    <xf numFmtId="169" fontId="107" fillId="0" borderId="17" xfId="2" applyNumberFormat="1" applyFont="1" applyFill="1" applyBorder="1" applyAlignment="1">
      <alignment horizontal="center" vertical="center"/>
    </xf>
    <xf numFmtId="169" fontId="107" fillId="0" borderId="14" xfId="2" applyNumberFormat="1" applyFont="1" applyFill="1" applyBorder="1" applyAlignment="1">
      <alignment horizontal="center" vertical="center"/>
    </xf>
    <xf numFmtId="168" fontId="27" fillId="0" borderId="14" xfId="0" applyNumberFormat="1" applyFont="1" applyBorder="1" applyAlignment="1">
      <alignment horizontal="center" vertical="center"/>
    </xf>
    <xf numFmtId="177" fontId="107" fillId="0" borderId="14" xfId="2" applyNumberFormat="1" applyFont="1" applyFill="1" applyBorder="1" applyAlignment="1">
      <alignment horizontal="center" vertical="center"/>
    </xf>
    <xf numFmtId="168" fontId="27" fillId="0" borderId="17" xfId="0" applyNumberFormat="1" applyFont="1" applyBorder="1" applyAlignment="1">
      <alignment horizontal="center" vertical="center"/>
    </xf>
    <xf numFmtId="168" fontId="27" fillId="0" borderId="22" xfId="0" applyNumberFormat="1" applyFont="1" applyBorder="1" applyAlignment="1">
      <alignment horizontal="center" vertical="center"/>
    </xf>
    <xf numFmtId="0" fontId="112" fillId="78" borderId="14" xfId="0" applyFont="1" applyFill="1" applyBorder="1" applyAlignment="1">
      <alignment horizontal="center" vertical="center"/>
    </xf>
    <xf numFmtId="0" fontId="112" fillId="19" borderId="14" xfId="0" applyFont="1" applyFill="1" applyBorder="1" applyAlignment="1">
      <alignment horizontal="center" vertical="center"/>
    </xf>
    <xf numFmtId="167" fontId="107" fillId="19" borderId="14" xfId="2" applyNumberFormat="1" applyFont="1" applyFill="1" applyBorder="1" applyAlignment="1">
      <alignment horizontal="center" vertical="center"/>
    </xf>
    <xf numFmtId="0" fontId="112" fillId="77" borderId="14" xfId="0" applyFont="1" applyFill="1" applyBorder="1" applyAlignment="1">
      <alignment horizontal="center" vertical="center"/>
    </xf>
    <xf numFmtId="167" fontId="107" fillId="77" borderId="14" xfId="2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112" fillId="8" borderId="14" xfId="0" applyFont="1" applyFill="1" applyBorder="1" applyAlignment="1">
      <alignment horizontal="center" vertical="center"/>
    </xf>
    <xf numFmtId="0" fontId="112" fillId="4" borderId="14" xfId="0" applyFont="1" applyFill="1" applyBorder="1" applyAlignment="1">
      <alignment horizontal="center" vertical="center"/>
    </xf>
    <xf numFmtId="167" fontId="107" fillId="4" borderId="14" xfId="2" applyNumberFormat="1" applyFont="1" applyFill="1" applyBorder="1" applyAlignment="1">
      <alignment horizontal="center" vertical="center"/>
    </xf>
    <xf numFmtId="171" fontId="54" fillId="8" borderId="14" xfId="9" applyNumberFormat="1" applyFont="1" applyFill="1" applyBorder="1" applyAlignment="1">
      <alignment horizontal="center" vertical="center"/>
    </xf>
    <xf numFmtId="43" fontId="0" fillId="0" borderId="14" xfId="0" applyNumberFormat="1" applyBorder="1" applyAlignment="1">
      <alignment horizontal="center"/>
    </xf>
    <xf numFmtId="0" fontId="54" fillId="2" borderId="69" xfId="2" applyFont="1" applyFill="1" applyBorder="1" applyAlignment="1">
      <alignment horizontal="center" vertical="center"/>
    </xf>
    <xf numFmtId="0" fontId="54" fillId="2" borderId="9" xfId="2" applyFont="1" applyFill="1" applyBorder="1" applyAlignment="1">
      <alignment horizontal="center" vertical="center"/>
    </xf>
    <xf numFmtId="0" fontId="54" fillId="2" borderId="0" xfId="2" applyFont="1" applyFill="1" applyBorder="1" applyAlignment="1">
      <alignment horizontal="center" vertical="center"/>
    </xf>
    <xf numFmtId="0" fontId="54" fillId="2" borderId="26" xfId="2" applyFont="1" applyFill="1" applyBorder="1" applyAlignment="1">
      <alignment horizontal="center" vertical="center"/>
    </xf>
    <xf numFmtId="0" fontId="54" fillId="0" borderId="0" xfId="2" applyFont="1" applyBorder="1" applyAlignment="1">
      <alignment horizontal="center" vertical="center" textRotation="180"/>
    </xf>
    <xf numFmtId="0" fontId="54" fillId="0" borderId="26" xfId="2" applyFont="1" applyBorder="1" applyAlignment="1">
      <alignment horizontal="center" vertical="center" textRotation="180"/>
    </xf>
    <xf numFmtId="167" fontId="30" fillId="76" borderId="25" xfId="2" applyNumberFormat="1" applyFont="1" applyFill="1" applyBorder="1" applyAlignment="1">
      <alignment horizontal="center"/>
    </xf>
    <xf numFmtId="167" fontId="30" fillId="76" borderId="26" xfId="2" applyNumberFormat="1" applyFont="1" applyFill="1" applyBorder="1" applyAlignment="1">
      <alignment horizontal="center"/>
    </xf>
    <xf numFmtId="167" fontId="30" fillId="78" borderId="2" xfId="2" applyNumberFormat="1" applyFont="1" applyFill="1" applyBorder="1" applyAlignment="1">
      <alignment horizontal="center"/>
    </xf>
    <xf numFmtId="167" fontId="30" fillId="78" borderId="4" xfId="2" applyNumberFormat="1" applyFont="1" applyFill="1" applyBorder="1" applyAlignment="1">
      <alignment horizontal="center"/>
    </xf>
    <xf numFmtId="43" fontId="0" fillId="0" borderId="29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7" fontId="30" fillId="77" borderId="2" xfId="2" applyNumberFormat="1" applyFont="1" applyFill="1" applyBorder="1" applyAlignment="1">
      <alignment horizontal="center"/>
    </xf>
    <xf numFmtId="167" fontId="30" fillId="77" borderId="3" xfId="2" applyNumberFormat="1" applyFont="1" applyFill="1" applyBorder="1" applyAlignment="1">
      <alignment horizontal="center"/>
    </xf>
    <xf numFmtId="167" fontId="30" fillId="8" borderId="2" xfId="2" applyNumberFormat="1" applyFont="1" applyFill="1" applyBorder="1" applyAlignment="1">
      <alignment horizontal="center"/>
    </xf>
    <xf numFmtId="167" fontId="30" fillId="8" borderId="3" xfId="2" applyNumberFormat="1" applyFont="1" applyFill="1" applyBorder="1" applyAlignment="1">
      <alignment horizontal="center"/>
    </xf>
    <xf numFmtId="167" fontId="30" fillId="19" borderId="2" xfId="2" applyNumberFormat="1" applyFont="1" applyFill="1" applyBorder="1" applyAlignment="1">
      <alignment horizontal="center"/>
    </xf>
    <xf numFmtId="167" fontId="30" fillId="19" borderId="3" xfId="2" applyNumberFormat="1" applyFont="1" applyFill="1" applyBorder="1" applyAlignment="1">
      <alignment horizontal="center"/>
    </xf>
    <xf numFmtId="167" fontId="30" fillId="4" borderId="2" xfId="2" applyNumberFormat="1" applyFont="1" applyFill="1" applyBorder="1" applyAlignment="1">
      <alignment horizontal="center"/>
    </xf>
    <xf numFmtId="167" fontId="30" fillId="4" borderId="3" xfId="2" applyNumberFormat="1" applyFont="1" applyFill="1" applyBorder="1" applyAlignment="1">
      <alignment horizontal="center"/>
    </xf>
    <xf numFmtId="0" fontId="63" fillId="0" borderId="14" xfId="0" applyFont="1" applyFill="1" applyBorder="1" applyAlignment="1">
      <alignment horizontal="center" vertical="center"/>
    </xf>
    <xf numFmtId="0" fontId="63" fillId="0" borderId="121" xfId="0" applyFont="1" applyFill="1" applyBorder="1" applyAlignment="1">
      <alignment horizontal="center" vertical="center"/>
    </xf>
    <xf numFmtId="0" fontId="63" fillId="0" borderId="103" xfId="0" applyFont="1" applyFill="1" applyBorder="1" applyAlignment="1">
      <alignment horizontal="center" vertical="center"/>
    </xf>
    <xf numFmtId="0" fontId="41" fillId="3" borderId="7" xfId="2" applyFont="1" applyFill="1" applyBorder="1" applyAlignment="1">
      <alignment horizontal="center" vertical="center" wrapText="1"/>
    </xf>
    <xf numFmtId="0" fontId="18" fillId="2" borderId="2" xfId="2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165" fontId="30" fillId="10" borderId="3" xfId="2" applyNumberFormat="1" applyFont="1" applyFill="1" applyBorder="1" applyAlignment="1">
      <alignment horizontal="center" vertical="center"/>
    </xf>
    <xf numFmtId="165" fontId="30" fillId="79" borderId="2" xfId="2" applyNumberFormat="1" applyFont="1" applyFill="1" applyBorder="1" applyAlignment="1">
      <alignment horizontal="center" vertical="center"/>
    </xf>
    <xf numFmtId="165" fontId="30" fillId="79" borderId="4" xfId="2" applyNumberFormat="1" applyFont="1" applyFill="1" applyBorder="1" applyAlignment="1">
      <alignment horizontal="center" vertical="center"/>
    </xf>
    <xf numFmtId="0" fontId="54" fillId="0" borderId="68" xfId="2" applyFont="1" applyBorder="1" applyAlignment="1">
      <alignment horizontal="center" vertical="center"/>
    </xf>
    <xf numFmtId="0" fontId="54" fillId="0" borderId="71" xfId="2" applyFont="1" applyBorder="1" applyAlignment="1">
      <alignment horizontal="center" vertical="center"/>
    </xf>
    <xf numFmtId="0" fontId="54" fillId="0" borderId="0" xfId="2" applyFont="1" applyBorder="1" applyAlignment="1">
      <alignment horizontal="center" vertical="center" textRotation="180" wrapText="1"/>
    </xf>
    <xf numFmtId="0" fontId="54" fillId="0" borderId="26" xfId="2" applyFont="1" applyBorder="1" applyAlignment="1">
      <alignment horizontal="center" vertical="center" textRotation="180" wrapText="1"/>
    </xf>
    <xf numFmtId="0" fontId="54" fillId="2" borderId="67" xfId="2" applyFont="1" applyFill="1" applyBorder="1" applyAlignment="1">
      <alignment horizontal="center" vertical="center" wrapText="1"/>
    </xf>
    <xf numFmtId="0" fontId="54" fillId="2" borderId="10" xfId="2" applyFont="1" applyFill="1" applyBorder="1" applyAlignment="1">
      <alignment horizontal="center" vertical="center" wrapText="1"/>
    </xf>
    <xf numFmtId="0" fontId="41" fillId="3" borderId="94" xfId="2" applyFont="1" applyFill="1" applyBorder="1" applyAlignment="1">
      <alignment horizontal="center" vertical="center" wrapText="1"/>
    </xf>
    <xf numFmtId="0" fontId="41" fillId="3" borderId="96" xfId="2" applyFont="1" applyFill="1" applyBorder="1" applyAlignment="1">
      <alignment horizontal="center" vertical="center" wrapText="1"/>
    </xf>
    <xf numFmtId="0" fontId="54" fillId="2" borderId="68" xfId="2" applyFont="1" applyFill="1" applyBorder="1" applyAlignment="1">
      <alignment horizontal="center" vertical="center" wrapText="1"/>
    </xf>
    <xf numFmtId="0" fontId="54" fillId="2" borderId="8" xfId="2" applyFont="1" applyFill="1" applyBorder="1" applyAlignment="1">
      <alignment horizontal="center" vertical="center" wrapText="1"/>
    </xf>
    <xf numFmtId="181" fontId="111" fillId="0" borderId="104" xfId="0" applyNumberFormat="1" applyFont="1" applyFill="1" applyBorder="1" applyAlignment="1">
      <alignment horizontal="center" vertical="center"/>
    </xf>
    <xf numFmtId="181" fontId="111" fillId="0" borderId="105" xfId="0" applyNumberFormat="1" applyFont="1" applyFill="1" applyBorder="1" applyAlignment="1">
      <alignment horizontal="center" vertical="center"/>
    </xf>
    <xf numFmtId="0" fontId="30" fillId="0" borderId="15" xfId="2" applyFont="1" applyFill="1" applyBorder="1" applyAlignment="1">
      <alignment horizontal="center" vertical="center" wrapText="1"/>
    </xf>
    <xf numFmtId="0" fontId="30" fillId="6" borderId="14" xfId="2" applyFont="1" applyFill="1" applyBorder="1" applyAlignment="1">
      <alignment horizontal="center" vertical="center"/>
    </xf>
    <xf numFmtId="0" fontId="30" fillId="6" borderId="14" xfId="2" applyFont="1" applyFill="1" applyBorder="1" applyAlignment="1">
      <alignment horizontal="center" vertical="center" wrapText="1"/>
    </xf>
    <xf numFmtId="0" fontId="30" fillId="0" borderId="29" xfId="2" applyFont="1" applyFill="1" applyBorder="1" applyAlignment="1">
      <alignment horizontal="center" vertical="center"/>
    </xf>
    <xf numFmtId="0" fontId="30" fillId="0" borderId="30" xfId="2" applyFont="1" applyFill="1" applyBorder="1" applyAlignment="1">
      <alignment horizontal="center" vertical="center"/>
    </xf>
    <xf numFmtId="0" fontId="30" fillId="0" borderId="31" xfId="2" applyFont="1" applyFill="1" applyBorder="1" applyAlignment="1">
      <alignment horizontal="center" vertical="center"/>
    </xf>
    <xf numFmtId="0" fontId="30" fillId="0" borderId="29" xfId="2" applyFont="1" applyFill="1" applyBorder="1" applyAlignment="1">
      <alignment horizontal="center" vertical="center" wrapText="1"/>
    </xf>
    <xf numFmtId="0" fontId="30" fillId="0" borderId="30" xfId="2" applyFont="1" applyFill="1" applyBorder="1" applyAlignment="1">
      <alignment horizontal="center" vertical="center" wrapText="1"/>
    </xf>
    <xf numFmtId="0" fontId="30" fillId="0" borderId="31" xfId="2" applyFont="1" applyFill="1" applyBorder="1" applyAlignment="1">
      <alignment horizontal="center" vertical="center" wrapText="1"/>
    </xf>
    <xf numFmtId="0" fontId="30" fillId="17" borderId="14" xfId="2" applyFont="1" applyFill="1" applyBorder="1" applyAlignment="1">
      <alignment horizontal="center" vertical="center"/>
    </xf>
    <xf numFmtId="0" fontId="30" fillId="17" borderId="14" xfId="2" applyFont="1" applyFill="1" applyBorder="1" applyAlignment="1">
      <alignment horizontal="center" vertical="center" wrapText="1"/>
    </xf>
    <xf numFmtId="165" fontId="30" fillId="3" borderId="29" xfId="2" applyNumberFormat="1" applyFont="1" applyFill="1" applyBorder="1" applyAlignment="1">
      <alignment horizontal="center" vertical="center" wrapText="1"/>
    </xf>
    <xf numFmtId="165" fontId="30" fillId="3" borderId="30" xfId="2" applyNumberFormat="1" applyFont="1" applyFill="1" applyBorder="1" applyAlignment="1">
      <alignment horizontal="center" vertical="center" wrapText="1"/>
    </xf>
    <xf numFmtId="165" fontId="30" fillId="3" borderId="31" xfId="2" applyNumberFormat="1" applyFont="1" applyFill="1" applyBorder="1" applyAlignment="1">
      <alignment horizontal="center" vertical="center" wrapText="1"/>
    </xf>
    <xf numFmtId="166" fontId="108" fillId="0" borderId="15" xfId="0" applyNumberFormat="1" applyFont="1" applyFill="1" applyBorder="1" applyAlignment="1">
      <alignment horizontal="center" vertical="center" wrapText="1"/>
    </xf>
    <xf numFmtId="166" fontId="108" fillId="0" borderId="17" xfId="0" applyNumberFormat="1" applyFont="1" applyFill="1" applyBorder="1" applyAlignment="1">
      <alignment horizontal="center" vertical="center" wrapText="1"/>
    </xf>
    <xf numFmtId="4" fontId="30" fillId="0" borderId="14" xfId="2" applyNumberFormat="1" applyFont="1" applyFill="1" applyBorder="1" applyAlignment="1">
      <alignment horizontal="center" vertical="center"/>
    </xf>
    <xf numFmtId="0" fontId="30" fillId="0" borderId="14" xfId="2" applyFont="1" applyFill="1" applyBorder="1" applyAlignment="1">
      <alignment horizontal="center" vertical="center"/>
    </xf>
    <xf numFmtId="4" fontId="30" fillId="0" borderId="29" xfId="2" applyNumberFormat="1" applyFont="1" applyFill="1" applyBorder="1" applyAlignment="1">
      <alignment horizontal="center" vertical="center"/>
    </xf>
    <xf numFmtId="4" fontId="30" fillId="0" borderId="30" xfId="2" applyNumberFormat="1" applyFont="1" applyFill="1" applyBorder="1" applyAlignment="1">
      <alignment horizontal="center" vertical="center"/>
    </xf>
    <xf numFmtId="4" fontId="30" fillId="0" borderId="31" xfId="2" applyNumberFormat="1" applyFont="1" applyFill="1" applyBorder="1" applyAlignment="1">
      <alignment horizontal="center" vertical="center"/>
    </xf>
    <xf numFmtId="0" fontId="30" fillId="6" borderId="119" xfId="2" applyFont="1" applyFill="1" applyBorder="1" applyAlignment="1">
      <alignment horizontal="center" vertical="center" wrapText="1"/>
    </xf>
    <xf numFmtId="0" fontId="30" fillId="6" borderId="122" xfId="2" applyFont="1" applyFill="1" applyBorder="1" applyAlignment="1">
      <alignment horizontal="center" vertical="center" wrapText="1"/>
    </xf>
    <xf numFmtId="0" fontId="30" fillId="6" borderId="120" xfId="2" applyFont="1" applyFill="1" applyBorder="1" applyAlignment="1">
      <alignment horizontal="center" vertical="center" wrapText="1"/>
    </xf>
    <xf numFmtId="0" fontId="30" fillId="0" borderId="119" xfId="2" applyFont="1" applyFill="1" applyBorder="1" applyAlignment="1">
      <alignment horizontal="center" vertical="center" wrapText="1"/>
    </xf>
    <xf numFmtId="0" fontId="30" fillId="0" borderId="122" xfId="2" applyFont="1" applyFill="1" applyBorder="1" applyAlignment="1">
      <alignment horizontal="center" vertical="center" wrapText="1"/>
    </xf>
    <xf numFmtId="0" fontId="30" fillId="0" borderId="120" xfId="2" applyFont="1" applyFill="1" applyBorder="1" applyAlignment="1">
      <alignment horizontal="center" vertical="center" wrapText="1"/>
    </xf>
    <xf numFmtId="0" fontId="54" fillId="0" borderId="94" xfId="2" applyFont="1" applyBorder="1" applyAlignment="1">
      <alignment horizontal="center" vertical="center" textRotation="180"/>
    </xf>
    <xf numFmtId="0" fontId="54" fillId="0" borderId="98" xfId="2" applyFont="1" applyBorder="1" applyAlignment="1">
      <alignment horizontal="center" vertical="center" textRotation="180"/>
    </xf>
    <xf numFmtId="0" fontId="54" fillId="0" borderId="22" xfId="2" applyFont="1" applyBorder="1" applyAlignment="1">
      <alignment horizontal="center" vertical="center" textRotation="180"/>
    </xf>
    <xf numFmtId="0" fontId="63" fillId="0" borderId="8" xfId="0" applyFont="1" applyBorder="1" applyAlignment="1">
      <alignment horizontal="center" vertical="center"/>
    </xf>
    <xf numFmtId="166" fontId="50" fillId="0" borderId="3" xfId="0" applyNumberFormat="1" applyFont="1" applyFill="1" applyBorder="1" applyAlignment="1">
      <alignment horizontal="center" vertical="center" wrapText="1"/>
    </xf>
    <xf numFmtId="166" fontId="50" fillId="0" borderId="4" xfId="0" applyNumberFormat="1" applyFont="1" applyFill="1" applyBorder="1" applyAlignment="1">
      <alignment horizontal="center" vertical="center" wrapText="1"/>
    </xf>
    <xf numFmtId="0" fontId="30" fillId="0" borderId="123" xfId="2" applyFont="1" applyFill="1" applyBorder="1" applyAlignment="1">
      <alignment horizontal="center" vertical="center" wrapText="1"/>
    </xf>
    <xf numFmtId="0" fontId="54" fillId="0" borderId="0" xfId="2" applyFont="1" applyAlignment="1">
      <alignment horizontal="center" vertical="center" textRotation="180"/>
    </xf>
    <xf numFmtId="0" fontId="54" fillId="0" borderId="0" xfId="2" applyFont="1" applyAlignment="1">
      <alignment horizontal="center" vertical="center" textRotation="180" wrapText="1"/>
    </xf>
    <xf numFmtId="0" fontId="0" fillId="0" borderId="0" xfId="0" applyAlignment="1">
      <alignment horizontal="center"/>
    </xf>
    <xf numFmtId="0" fontId="125" fillId="3" borderId="14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10" fillId="6" borderId="29" xfId="0" applyFont="1" applyFill="1" applyBorder="1" applyAlignment="1">
      <alignment horizontal="center"/>
    </xf>
    <xf numFmtId="0" fontId="10" fillId="6" borderId="30" xfId="0" applyFont="1" applyFill="1" applyBorder="1" applyAlignment="1">
      <alignment horizontal="center"/>
    </xf>
    <xf numFmtId="166" fontId="50" fillId="2" borderId="3" xfId="0" applyNumberFormat="1" applyFont="1" applyFill="1" applyBorder="1" applyAlignment="1">
      <alignment horizontal="center" vertical="center" wrapText="1"/>
    </xf>
    <xf numFmtId="166" fontId="50" fillId="2" borderId="5" xfId="0" applyNumberFormat="1" applyFont="1" applyFill="1" applyBorder="1" applyAlignment="1">
      <alignment horizontal="center" vertical="center" wrapText="1"/>
    </xf>
    <xf numFmtId="166" fontId="124" fillId="3" borderId="14" xfId="0" applyNumberFormat="1" applyFont="1" applyFill="1" applyBorder="1" applyAlignment="1">
      <alignment horizontal="center" vertical="center" wrapText="1"/>
    </xf>
    <xf numFmtId="0" fontId="54" fillId="0" borderId="19" xfId="2" applyFont="1" applyBorder="1" applyAlignment="1">
      <alignment horizontal="center" vertical="center" textRotation="180"/>
    </xf>
    <xf numFmtId="0" fontId="54" fillId="0" borderId="71" xfId="2" applyFont="1" applyBorder="1" applyAlignment="1">
      <alignment horizontal="center" vertical="center" textRotation="180"/>
    </xf>
    <xf numFmtId="0" fontId="54" fillId="0" borderId="133" xfId="2" applyFont="1" applyBorder="1" applyAlignment="1">
      <alignment horizontal="center" vertical="center" textRotation="180"/>
    </xf>
    <xf numFmtId="4" fontId="44" fillId="2" borderId="17" xfId="0" applyNumberFormat="1" applyFont="1" applyFill="1" applyBorder="1" applyAlignment="1">
      <alignment horizontal="center" vertical="center" wrapText="1"/>
    </xf>
    <xf numFmtId="4" fontId="44" fillId="2" borderId="14" xfId="0" applyNumberFormat="1" applyFont="1" applyFill="1" applyBorder="1" applyAlignment="1">
      <alignment horizontal="center" vertical="center" wrapText="1"/>
    </xf>
    <xf numFmtId="0" fontId="54" fillId="0" borderId="78" xfId="2" applyFont="1" applyBorder="1" applyAlignment="1">
      <alignment horizontal="center" vertical="center" textRotation="180"/>
    </xf>
    <xf numFmtId="0" fontId="30" fillId="6" borderId="121" xfId="2" applyFont="1" applyFill="1" applyBorder="1" applyAlignment="1">
      <alignment horizontal="center" vertical="center" wrapText="1"/>
    </xf>
    <xf numFmtId="0" fontId="30" fillId="3" borderId="14" xfId="2" applyFont="1" applyFill="1" applyBorder="1" applyAlignment="1">
      <alignment horizontal="center" vertical="center"/>
    </xf>
    <xf numFmtId="0" fontId="10" fillId="6" borderId="31" xfId="0" applyFont="1" applyFill="1" applyBorder="1" applyAlignment="1">
      <alignment horizontal="center"/>
    </xf>
    <xf numFmtId="0" fontId="44" fillId="2" borderId="16" xfId="0" applyFont="1" applyFill="1" applyBorder="1" applyAlignment="1">
      <alignment horizontal="center" vertical="center" wrapText="1"/>
    </xf>
    <xf numFmtId="0" fontId="44" fillId="2" borderId="17" xfId="0" applyFont="1" applyFill="1" applyBorder="1" applyAlignment="1">
      <alignment horizontal="center" vertical="center" wrapText="1"/>
    </xf>
    <xf numFmtId="0" fontId="10" fillId="17" borderId="2" xfId="0" applyFont="1" applyFill="1" applyBorder="1" applyAlignment="1">
      <alignment horizontal="center"/>
    </xf>
    <xf numFmtId="0" fontId="10" fillId="17" borderId="3" xfId="0" applyFont="1" applyFill="1" applyBorder="1" applyAlignment="1">
      <alignment horizontal="center"/>
    </xf>
    <xf numFmtId="4" fontId="44" fillId="2" borderId="16" xfId="0" applyNumberFormat="1" applyFont="1" applyFill="1" applyBorder="1" applyAlignment="1">
      <alignment horizontal="center" vertical="center" wrapText="1"/>
    </xf>
    <xf numFmtId="0" fontId="59" fillId="2" borderId="10" xfId="0" applyFont="1" applyFill="1" applyBorder="1" applyAlignment="1">
      <alignment horizontal="center"/>
    </xf>
    <xf numFmtId="0" fontId="59" fillId="2" borderId="9" xfId="0" applyFont="1" applyFill="1" applyBorder="1" applyAlignment="1">
      <alignment horizontal="center"/>
    </xf>
    <xf numFmtId="166" fontId="50" fillId="0" borderId="14" xfId="0" applyNumberFormat="1" applyFont="1" applyFill="1" applyBorder="1" applyAlignment="1">
      <alignment horizontal="center" vertical="center" wrapText="1"/>
    </xf>
    <xf numFmtId="166" fontId="50" fillId="0" borderId="5" xfId="0" applyNumberFormat="1" applyFont="1" applyFill="1" applyBorder="1" applyAlignment="1">
      <alignment horizontal="center" vertical="center" wrapText="1"/>
    </xf>
    <xf numFmtId="0" fontId="0" fillId="7" borderId="12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31" fillId="0" borderId="24" xfId="0" applyFont="1" applyFill="1" applyBorder="1" applyAlignment="1">
      <alignment horizontal="center" vertical="center"/>
    </xf>
    <xf numFmtId="0" fontId="31" fillId="0" borderId="28" xfId="0" applyFont="1" applyFill="1" applyBorder="1" applyAlignment="1">
      <alignment horizontal="center" vertical="center"/>
    </xf>
    <xf numFmtId="0" fontId="31" fillId="0" borderId="22" xfId="0" applyFont="1" applyFill="1" applyBorder="1" applyAlignment="1">
      <alignment horizontal="center" vertical="center"/>
    </xf>
    <xf numFmtId="0" fontId="31" fillId="0" borderId="27" xfId="0" applyFont="1" applyFill="1" applyBorder="1" applyAlignment="1">
      <alignment horizontal="center" vertical="center"/>
    </xf>
    <xf numFmtId="0" fontId="32" fillId="0" borderId="20" xfId="0" applyFont="1" applyFill="1" applyBorder="1" applyAlignment="1">
      <alignment horizontal="center" vertical="top" wrapText="1"/>
    </xf>
    <xf numFmtId="0" fontId="32" fillId="0" borderId="22" xfId="0" applyFont="1" applyFill="1" applyBorder="1" applyAlignment="1">
      <alignment horizontal="center" vertical="top" wrapText="1"/>
    </xf>
    <xf numFmtId="0" fontId="32" fillId="0" borderId="86" xfId="0" applyFont="1" applyFill="1" applyBorder="1" applyAlignment="1">
      <alignment horizontal="center" vertical="top" wrapText="1"/>
    </xf>
    <xf numFmtId="0" fontId="32" fillId="0" borderId="5" xfId="0" applyFont="1" applyFill="1" applyBorder="1" applyAlignment="1">
      <alignment horizontal="center" vertical="top" wrapText="1"/>
    </xf>
    <xf numFmtId="0" fontId="32" fillId="0" borderId="0" xfId="0" applyFont="1" applyFill="1" applyBorder="1" applyAlignment="1">
      <alignment horizontal="center" vertical="top" wrapText="1"/>
    </xf>
    <xf numFmtId="0" fontId="32" fillId="0" borderId="88" xfId="0" applyFont="1" applyFill="1" applyBorder="1" applyAlignment="1">
      <alignment horizontal="center" vertical="top" wrapText="1"/>
    </xf>
    <xf numFmtId="0" fontId="112" fillId="0" borderId="18" xfId="0" applyFont="1" applyBorder="1" applyAlignment="1">
      <alignment horizontal="center" vertical="center" wrapText="1"/>
    </xf>
    <xf numFmtId="0" fontId="112" fillId="0" borderId="20" xfId="0" applyFont="1" applyBorder="1" applyAlignment="1">
      <alignment horizontal="center" vertical="center" wrapText="1"/>
    </xf>
    <xf numFmtId="0" fontId="112" fillId="0" borderId="25" xfId="0" applyFont="1" applyBorder="1" applyAlignment="1">
      <alignment horizontal="center" vertical="center" wrapText="1"/>
    </xf>
    <xf numFmtId="0" fontId="112" fillId="0" borderId="86" xfId="0" applyFont="1" applyBorder="1" applyAlignment="1">
      <alignment horizontal="center" vertical="center" wrapText="1"/>
    </xf>
    <xf numFmtId="0" fontId="32" fillId="0" borderId="14" xfId="0" applyFont="1" applyBorder="1" applyAlignment="1">
      <alignment horizontal="center"/>
    </xf>
    <xf numFmtId="0" fontId="32" fillId="0" borderId="29" xfId="0" applyFont="1" applyBorder="1" applyAlignment="1">
      <alignment horizontal="center"/>
    </xf>
    <xf numFmtId="0" fontId="32" fillId="0" borderId="30" xfId="0" applyFont="1" applyBorder="1" applyAlignment="1">
      <alignment horizontal="center"/>
    </xf>
    <xf numFmtId="0" fontId="32" fillId="0" borderId="31" xfId="0" applyFont="1" applyBorder="1" applyAlignment="1">
      <alignment horizontal="center"/>
    </xf>
    <xf numFmtId="0" fontId="31" fillId="3" borderId="19" xfId="0" applyFont="1" applyFill="1" applyBorder="1" applyAlignment="1">
      <alignment horizontal="left"/>
    </xf>
    <xf numFmtId="0" fontId="31" fillId="3" borderId="22" xfId="0" applyFont="1" applyFill="1" applyBorder="1" applyAlignment="1">
      <alignment horizontal="left"/>
    </xf>
    <xf numFmtId="0" fontId="31" fillId="0" borderId="25" xfId="0" applyFont="1" applyBorder="1" applyAlignment="1">
      <alignment horizontal="left"/>
    </xf>
    <xf numFmtId="0" fontId="31" fillId="0" borderId="86" xfId="0" applyFont="1" applyBorder="1" applyAlignment="1">
      <alignment horizontal="left"/>
    </xf>
    <xf numFmtId="0" fontId="32" fillId="0" borderId="22" xfId="0" applyFont="1" applyBorder="1" applyAlignment="1">
      <alignment horizontal="center"/>
    </xf>
    <xf numFmtId="0" fontId="32" fillId="0" borderId="86" xfId="0" applyFont="1" applyBorder="1" applyAlignment="1">
      <alignment horizontal="center"/>
    </xf>
    <xf numFmtId="0" fontId="123" fillId="0" borderId="22" xfId="0" applyFont="1" applyBorder="1" applyAlignment="1">
      <alignment horizontal="center" vertical="center"/>
    </xf>
    <xf numFmtId="0" fontId="31" fillId="3" borderId="2" xfId="0" applyFont="1" applyFill="1" applyBorder="1" applyAlignment="1">
      <alignment horizontal="center"/>
    </xf>
    <xf numFmtId="0" fontId="31" fillId="3" borderId="3" xfId="0" applyFont="1" applyFill="1" applyBorder="1" applyAlignment="1">
      <alignment horizontal="center"/>
    </xf>
    <xf numFmtId="0" fontId="31" fillId="0" borderId="29" xfId="0" applyFont="1" applyBorder="1" applyAlignment="1">
      <alignment horizontal="left"/>
    </xf>
    <xf numFmtId="0" fontId="31" fillId="0" borderId="31" xfId="0" applyFont="1" applyBorder="1" applyAlignment="1">
      <alignment horizontal="left"/>
    </xf>
    <xf numFmtId="0" fontId="123" fillId="0" borderId="0" xfId="0" applyFont="1" applyAlignment="1">
      <alignment horizontal="center" vertical="center"/>
    </xf>
    <xf numFmtId="0" fontId="31" fillId="0" borderId="18" xfId="0" applyFont="1" applyBorder="1" applyAlignment="1">
      <alignment horizontal="left"/>
    </xf>
    <xf numFmtId="0" fontId="31" fillId="0" borderId="20" xfId="0" applyFont="1" applyBorder="1" applyAlignment="1">
      <alignment horizontal="left"/>
    </xf>
    <xf numFmtId="14" fontId="30" fillId="0" borderId="5" xfId="0" applyNumberFormat="1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left" vertical="center" wrapText="1"/>
    </xf>
    <xf numFmtId="0" fontId="41" fillId="0" borderId="0" xfId="0" applyFont="1" applyFill="1" applyBorder="1" applyAlignment="1">
      <alignment horizontal="left" vertical="center"/>
    </xf>
    <xf numFmtId="0" fontId="42" fillId="0" borderId="14" xfId="0" applyFont="1" applyFill="1" applyBorder="1" applyAlignment="1">
      <alignment horizontal="center"/>
    </xf>
    <xf numFmtId="0" fontId="30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wrapText="1"/>
    </xf>
    <xf numFmtId="14" fontId="30" fillId="0" borderId="5" xfId="0" applyNumberFormat="1" applyFont="1" applyFill="1" applyBorder="1" applyAlignment="1">
      <alignment horizontal="center"/>
    </xf>
    <xf numFmtId="14" fontId="30" fillId="0" borderId="5" xfId="0" applyNumberFormat="1" applyFont="1" applyFill="1" applyBorder="1" applyAlignment="1">
      <alignment horizontal="left" vertical="center"/>
    </xf>
    <xf numFmtId="0" fontId="40" fillId="0" borderId="0" xfId="0" applyFont="1" applyFill="1" applyBorder="1" applyAlignment="1">
      <alignment horizontal="right" vertical="center" wrapText="1"/>
    </xf>
    <xf numFmtId="0" fontId="43" fillId="0" borderId="0" xfId="1" applyFont="1" applyFill="1" applyBorder="1" applyAlignment="1">
      <alignment horizontal="left" vertical="top" wrapText="1"/>
    </xf>
    <xf numFmtId="0" fontId="49" fillId="0" borderId="14" xfId="0" applyFont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left"/>
    </xf>
    <xf numFmtId="0" fontId="43" fillId="0" borderId="0" xfId="1" applyFont="1" applyFill="1" applyBorder="1" applyAlignment="1">
      <alignment horizontal="left" vertical="center"/>
    </xf>
    <xf numFmtId="0" fontId="30" fillId="0" borderId="0" xfId="0" applyFont="1" applyFill="1" applyBorder="1" applyAlignment="1">
      <alignment horizontal="center" vertical="center" wrapText="1"/>
    </xf>
    <xf numFmtId="0" fontId="44" fillId="13" borderId="68" xfId="0" applyFont="1" applyFill="1" applyBorder="1" applyAlignment="1">
      <alignment horizontal="center" vertical="center" wrapText="1"/>
    </xf>
    <xf numFmtId="0" fontId="44" fillId="13" borderId="69" xfId="0" applyFont="1" applyFill="1" applyBorder="1" applyAlignment="1">
      <alignment horizontal="center" vertical="center" wrapText="1"/>
    </xf>
    <xf numFmtId="4" fontId="44" fillId="13" borderId="15" xfId="0" applyNumberFormat="1" applyFont="1" applyFill="1" applyBorder="1" applyAlignment="1">
      <alignment horizontal="center" vertical="center" wrapText="1"/>
    </xf>
    <xf numFmtId="0" fontId="40" fillId="0" borderId="0" xfId="0" applyFont="1" applyFill="1" applyBorder="1" applyAlignment="1">
      <alignment horizontal="center" vertical="center" wrapText="1"/>
    </xf>
    <xf numFmtId="0" fontId="40" fillId="0" borderId="6" xfId="0" applyFont="1" applyFill="1" applyBorder="1" applyAlignment="1">
      <alignment horizontal="center" vertical="center" wrapText="1"/>
    </xf>
    <xf numFmtId="0" fontId="40" fillId="0" borderId="8" xfId="0" applyFont="1" applyFill="1" applyBorder="1" applyAlignment="1">
      <alignment horizontal="center" vertical="center" wrapText="1"/>
    </xf>
    <xf numFmtId="0" fontId="40" fillId="0" borderId="9" xfId="0" applyFont="1" applyFill="1" applyBorder="1" applyAlignment="1">
      <alignment horizontal="center" vertical="center" wrapText="1"/>
    </xf>
    <xf numFmtId="0" fontId="3" fillId="0" borderId="68" xfId="0" applyFont="1" applyFill="1" applyBorder="1" applyAlignment="1">
      <alignment horizontal="center" vertical="center"/>
    </xf>
    <xf numFmtId="0" fontId="3" fillId="0" borderId="69" xfId="0" applyFont="1" applyFill="1" applyBorder="1" applyAlignment="1">
      <alignment horizontal="center" vertical="center"/>
    </xf>
    <xf numFmtId="0" fontId="3" fillId="0" borderId="68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4" fillId="0" borderId="69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3" fillId="4" borderId="0" xfId="0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14" fontId="4" fillId="2" borderId="0" xfId="0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4" fontId="5" fillId="0" borderId="5" xfId="0" applyNumberFormat="1" applyFont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14" fontId="110" fillId="7" borderId="0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4" fillId="4" borderId="0" xfId="0" applyNumberFormat="1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5" fillId="0" borderId="94" xfId="0" applyFont="1" applyBorder="1" applyAlignment="1">
      <alignment horizontal="center" vertical="center"/>
    </xf>
    <xf numFmtId="0" fontId="5" fillId="0" borderId="9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80" fontId="5" fillId="0" borderId="0" xfId="0" applyNumberFormat="1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" fillId="0" borderId="94" xfId="0" applyFont="1" applyFill="1" applyBorder="1" applyAlignment="1">
      <alignment horizontal="center" vertical="center"/>
    </xf>
    <xf numFmtId="0" fontId="3" fillId="0" borderId="95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4" fillId="0" borderId="0" xfId="0" applyNumberFormat="1" applyFont="1" applyFill="1" applyBorder="1" applyAlignment="1">
      <alignment horizontal="left" vertical="center"/>
    </xf>
    <xf numFmtId="0" fontId="7" fillId="4" borderId="0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4" fillId="0" borderId="121" xfId="0" applyFont="1" applyBorder="1" applyAlignment="1">
      <alignment horizontal="center" vertical="center"/>
    </xf>
    <xf numFmtId="4" fontId="4" fillId="0" borderId="0" xfId="0" applyNumberFormat="1" applyFont="1" applyBorder="1" applyAlignment="1">
      <alignment horizontal="left" vertical="center"/>
    </xf>
    <xf numFmtId="0" fontId="4" fillId="0" borderId="113" xfId="0" applyFont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horizontal="left" vertical="center" wrapText="1"/>
    </xf>
    <xf numFmtId="0" fontId="4" fillId="0" borderId="80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4" fillId="0" borderId="121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/>
    </xf>
    <xf numFmtId="0" fontId="110" fillId="4" borderId="7" xfId="0" applyFont="1" applyFill="1" applyBorder="1" applyAlignment="1">
      <alignment horizontal="center" vertical="center"/>
    </xf>
    <xf numFmtId="0" fontId="110" fillId="4" borderId="0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14" fontId="4" fillId="0" borderId="11" xfId="0" applyNumberFormat="1" applyFont="1" applyBorder="1" applyAlignment="1">
      <alignment horizontal="center" vertical="center" wrapText="1"/>
    </xf>
    <xf numFmtId="14" fontId="4" fillId="0" borderId="7" xfId="0" applyNumberFormat="1" applyFont="1" applyBorder="1" applyAlignment="1">
      <alignment horizontal="center" vertical="center" wrapText="1"/>
    </xf>
    <xf numFmtId="14" fontId="4" fillId="0" borderId="16" xfId="0" applyNumberFormat="1" applyFont="1" applyBorder="1" applyAlignment="1">
      <alignment horizontal="center" vertical="center" wrapText="1"/>
    </xf>
    <xf numFmtId="14" fontId="4" fillId="0" borderId="17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 vertical="center"/>
    </xf>
    <xf numFmtId="0" fontId="110" fillId="4" borderId="14" xfId="0" applyFont="1" applyFill="1" applyBorder="1" applyAlignment="1">
      <alignment horizontal="center" vertical="center"/>
    </xf>
    <xf numFmtId="0" fontId="110" fillId="4" borderId="10" xfId="0" applyFont="1" applyFill="1" applyBorder="1" applyAlignment="1">
      <alignment horizontal="center" vertical="center"/>
    </xf>
    <xf numFmtId="0" fontId="110" fillId="4" borderId="8" xfId="0" applyFont="1" applyFill="1" applyBorder="1" applyAlignment="1">
      <alignment horizontal="center" vertical="center"/>
    </xf>
    <xf numFmtId="0" fontId="110" fillId="4" borderId="134" xfId="0" applyFont="1" applyFill="1" applyBorder="1" applyAlignment="1">
      <alignment horizontal="center" vertical="center"/>
    </xf>
    <xf numFmtId="0" fontId="110" fillId="4" borderId="113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8" fillId="4" borderId="0" xfId="0" applyFont="1" applyFill="1" applyAlignment="1">
      <alignment horizontal="center" vertical="center"/>
    </xf>
    <xf numFmtId="0" fontId="0" fillId="6" borderId="7" xfId="0" applyFill="1" applyBorder="1" applyAlignment="1">
      <alignment horizontal="center"/>
    </xf>
    <xf numFmtId="0" fontId="0" fillId="0" borderId="120" xfId="0" applyBorder="1" applyAlignment="1">
      <alignment horizontal="left" vertical="top" wrapText="1"/>
    </xf>
    <xf numFmtId="0" fontId="0" fillId="0" borderId="103" xfId="0" applyBorder="1" applyAlignment="1">
      <alignment horizontal="left" vertical="top" wrapText="1"/>
    </xf>
    <xf numFmtId="0" fontId="0" fillId="0" borderId="104" xfId="0" applyBorder="1" applyAlignment="1">
      <alignment horizontal="left"/>
    </xf>
    <xf numFmtId="0" fontId="0" fillId="0" borderId="107" xfId="0" applyBorder="1" applyAlignment="1">
      <alignment horizontal="left"/>
    </xf>
    <xf numFmtId="0" fontId="0" fillId="0" borderId="105" xfId="0" applyBorder="1" applyAlignment="1">
      <alignment horizontal="left"/>
    </xf>
    <xf numFmtId="0" fontId="0" fillId="7" borderId="120" xfId="0" applyFill="1" applyBorder="1" applyAlignment="1">
      <alignment horizontal="left" vertical="top" wrapText="1"/>
    </xf>
    <xf numFmtId="0" fontId="0" fillId="7" borderId="103" xfId="0" applyFill="1" applyBorder="1" applyAlignment="1">
      <alignment horizontal="left" vertical="top" wrapText="1"/>
    </xf>
    <xf numFmtId="0" fontId="0" fillId="0" borderId="122" xfId="0" applyBorder="1" applyAlignment="1">
      <alignment horizontal="left"/>
    </xf>
    <xf numFmtId="0" fontId="0" fillId="0" borderId="120" xfId="0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7" borderId="103" xfId="0" applyFill="1" applyBorder="1" applyAlignment="1">
      <alignment horizontal="center"/>
    </xf>
    <xf numFmtId="0" fontId="0" fillId="7" borderId="120" xfId="0" applyFill="1" applyBorder="1" applyAlignment="1">
      <alignment horizontal="center"/>
    </xf>
    <xf numFmtId="0" fontId="0" fillId="0" borderId="119" xfId="0" applyFill="1" applyBorder="1" applyAlignment="1">
      <alignment horizontal="center"/>
    </xf>
    <xf numFmtId="0" fontId="0" fillId="0" borderId="120" xfId="0" applyFill="1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69" xfId="0" applyFill="1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3" xfId="0" applyBorder="1" applyAlignment="1">
      <alignment horizontal="left"/>
    </xf>
    <xf numFmtId="0" fontId="30" fillId="0" borderId="16" xfId="2" applyFont="1" applyFill="1" applyBorder="1" applyAlignment="1">
      <alignment horizontal="center" vertical="center" wrapText="1"/>
    </xf>
    <xf numFmtId="0" fontId="30" fillId="0" borderId="17" xfId="2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27" fillId="0" borderId="0" xfId="0" applyFont="1" applyAlignment="1">
      <alignment horizontal="center" vertical="center"/>
    </xf>
    <xf numFmtId="0" fontId="115" fillId="80" borderId="72" xfId="0" applyFont="1" applyFill="1" applyBorder="1" applyAlignment="1">
      <alignment horizontal="center" vertical="center" wrapText="1"/>
    </xf>
    <xf numFmtId="0" fontId="115" fillId="80" borderId="73" xfId="0" applyFont="1" applyFill="1" applyBorder="1" applyAlignment="1">
      <alignment horizontal="center" vertical="center" wrapText="1"/>
    </xf>
    <xf numFmtId="0" fontId="115" fillId="80" borderId="74" xfId="0" applyFont="1" applyFill="1" applyBorder="1" applyAlignment="1">
      <alignment horizontal="center" vertical="center" wrapText="1"/>
    </xf>
    <xf numFmtId="0" fontId="115" fillId="80" borderId="75" xfId="0" applyFont="1" applyFill="1" applyBorder="1" applyAlignment="1">
      <alignment horizontal="center" vertical="center" wrapText="1"/>
    </xf>
    <xf numFmtId="0" fontId="115" fillId="80" borderId="76" xfId="0" applyFont="1" applyFill="1" applyBorder="1" applyAlignment="1">
      <alignment horizontal="center" vertical="center" wrapText="1"/>
    </xf>
    <xf numFmtId="0" fontId="115" fillId="80" borderId="77" xfId="0" applyFont="1" applyFill="1" applyBorder="1" applyAlignment="1">
      <alignment horizontal="center" vertical="center" wrapText="1"/>
    </xf>
    <xf numFmtId="0" fontId="116" fillId="3" borderId="0" xfId="0" applyFont="1" applyFill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3" fillId="2" borderId="29" xfId="0" applyFont="1" applyFill="1" applyBorder="1" applyAlignment="1">
      <alignment horizontal="center" vertical="center" wrapText="1"/>
    </xf>
    <xf numFmtId="0" fontId="3" fillId="2" borderId="30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0" fontId="41" fillId="0" borderId="9" xfId="2" applyNumberFormat="1" applyFont="1" applyFill="1" applyBorder="1" applyAlignment="1">
      <alignment vertical="center"/>
    </xf>
    <xf numFmtId="0" fontId="4" fillId="6" borderId="0" xfId="0" applyNumberFormat="1" applyFont="1" applyFill="1" applyBorder="1" applyAlignment="1">
      <alignment horizontal="left" vertical="center" wrapText="1"/>
    </xf>
    <xf numFmtId="0" fontId="2" fillId="6" borderId="3" xfId="0" applyFont="1" applyFill="1" applyBorder="1" applyAlignment="1">
      <alignment horizontal="center" vertical="center"/>
    </xf>
    <xf numFmtId="14" fontId="16" fillId="8" borderId="21" xfId="1" applyNumberFormat="1" applyFont="1" applyFill="1" applyBorder="1" applyAlignment="1">
      <alignment horizontal="center" vertical="center"/>
    </xf>
    <xf numFmtId="0" fontId="4" fillId="6" borderId="0" xfId="0" applyNumberFormat="1" applyFont="1" applyFill="1" applyBorder="1" applyAlignment="1">
      <alignment horizontal="left" vertical="center" wrapText="1"/>
    </xf>
    <xf numFmtId="0" fontId="4" fillId="6" borderId="0" xfId="0" applyNumberFormat="1" applyFont="1" applyFill="1" applyBorder="1" applyAlignment="1">
      <alignment horizontal="left" vertical="center"/>
    </xf>
    <xf numFmtId="0" fontId="2" fillId="6" borderId="4" xfId="0" applyFont="1" applyFill="1" applyBorder="1" applyAlignment="1">
      <alignment horizontal="center" vertical="center"/>
    </xf>
    <xf numFmtId="0" fontId="0" fillId="0" borderId="98" xfId="0" applyBorder="1" applyAlignment="1">
      <alignment horizontal="center"/>
    </xf>
    <xf numFmtId="170" fontId="41" fillId="0" borderId="17" xfId="2" applyNumberFormat="1" applyFont="1" applyFill="1" applyBorder="1" applyAlignment="1">
      <alignment horizontal="center" vertical="center"/>
    </xf>
    <xf numFmtId="0" fontId="23" fillId="4" borderId="0" xfId="0" applyFont="1" applyFill="1" applyBorder="1" applyAlignment="1">
      <alignment horizontal="center" vertical="center" wrapText="1"/>
    </xf>
    <xf numFmtId="0" fontId="23" fillId="4" borderId="5" xfId="0" applyFont="1" applyFill="1" applyBorder="1" applyAlignment="1">
      <alignment horizontal="center" vertical="center" wrapText="1"/>
    </xf>
    <xf numFmtId="14" fontId="16" fillId="8" borderId="24" xfId="1" applyNumberFormat="1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32" fillId="0" borderId="121" xfId="0" applyFont="1" applyBorder="1"/>
    <xf numFmtId="14" fontId="32" fillId="0" borderId="121" xfId="0" applyNumberFormat="1" applyFont="1" applyBorder="1"/>
    <xf numFmtId="0" fontId="0" fillId="0" borderId="0" xfId="0"/>
    <xf numFmtId="14" fontId="0" fillId="0" borderId="0" xfId="0" applyNumberFormat="1"/>
    <xf numFmtId="0" fontId="32" fillId="0" borderId="121" xfId="0" applyFont="1" applyFill="1" applyBorder="1"/>
    <xf numFmtId="0" fontId="32" fillId="0" borderId="121" xfId="0" applyFont="1" applyBorder="1"/>
    <xf numFmtId="14" fontId="32" fillId="0" borderId="121" xfId="0" applyNumberFormat="1" applyFont="1" applyBorder="1"/>
    <xf numFmtId="14" fontId="133" fillId="0" borderId="121" xfId="0" applyNumberFormat="1" applyFont="1" applyBorder="1"/>
  </cellXfs>
  <cellStyles count="17998">
    <cellStyle name="20 % - Accent1" xfId="28" builtinId="30" customBuiltin="1"/>
    <cellStyle name="20 % - Accent1 2" xfId="169"/>
    <cellStyle name="20 % - Accent1 2 2" xfId="3645"/>
    <cellStyle name="20 % - Accent1 2 2 2" xfId="9187"/>
    <cellStyle name="20 % - Accent1 2 2 3" xfId="14726"/>
    <cellStyle name="20 % - Accent1 2 3" xfId="4682"/>
    <cellStyle name="20 % - Accent1 2 3 2" xfId="10221"/>
    <cellStyle name="20 % - Accent1 2 3 3" xfId="15760"/>
    <cellStyle name="20 % - Accent1 2 4" xfId="5617"/>
    <cellStyle name="20 % - Accent1 2 4 2" xfId="11156"/>
    <cellStyle name="20 % - Accent1 2 4 3" xfId="16695"/>
    <cellStyle name="20 % - Accent1 2 5" xfId="2319"/>
    <cellStyle name="20 % - Accent1 2 5 2" xfId="7865"/>
    <cellStyle name="20 % - Accent1 2 5 3" xfId="13404"/>
    <cellStyle name="20 % - Accent1 2 6" xfId="6660"/>
    <cellStyle name="20 % - Accent1 2 7" xfId="12199"/>
    <cellStyle name="20 % - Accent1 2 8" xfId="1115"/>
    <cellStyle name="20 % - Accent1 3" xfId="1799"/>
    <cellStyle name="20 % - Accent1 3 2" xfId="7345"/>
    <cellStyle name="20 % - Accent1 3 3" xfId="12884"/>
    <cellStyle name="20 % - Accent1 4" xfId="6137"/>
    <cellStyle name="20 % - Accent1 5" xfId="11679"/>
    <cellStyle name="20 % - Accent2" xfId="32" builtinId="34" customBuiltin="1"/>
    <cellStyle name="20 % - Accent2 2" xfId="170"/>
    <cellStyle name="20 % - Accent2 2 2" xfId="3647"/>
    <cellStyle name="20 % - Accent2 2 2 2" xfId="9189"/>
    <cellStyle name="20 % - Accent2 2 2 3" xfId="14728"/>
    <cellStyle name="20 % - Accent2 2 3" xfId="4684"/>
    <cellStyle name="20 % - Accent2 2 3 2" xfId="10223"/>
    <cellStyle name="20 % - Accent2 2 3 3" xfId="15762"/>
    <cellStyle name="20 % - Accent2 2 4" xfId="5619"/>
    <cellStyle name="20 % - Accent2 2 4 2" xfId="11158"/>
    <cellStyle name="20 % - Accent2 2 4 3" xfId="16697"/>
    <cellStyle name="20 % - Accent2 2 5" xfId="2321"/>
    <cellStyle name="20 % - Accent2 2 5 2" xfId="7867"/>
    <cellStyle name="20 % - Accent2 2 5 3" xfId="13406"/>
    <cellStyle name="20 % - Accent2 2 6" xfId="6662"/>
    <cellStyle name="20 % - Accent2 2 7" xfId="12201"/>
    <cellStyle name="20 % - Accent2 2 8" xfId="1117"/>
    <cellStyle name="20 % - Accent2 3" xfId="1801"/>
    <cellStyle name="20 % - Accent2 3 2" xfId="7347"/>
    <cellStyle name="20 % - Accent2 3 3" xfId="12886"/>
    <cellStyle name="20 % - Accent2 4" xfId="6139"/>
    <cellStyle name="20 % - Accent2 5" xfId="11681"/>
    <cellStyle name="20 % - Accent3" xfId="36" builtinId="38" customBuiltin="1"/>
    <cellStyle name="20 % - Accent3 2" xfId="171"/>
    <cellStyle name="20 % - Accent3 2 2" xfId="3649"/>
    <cellStyle name="20 % - Accent3 2 2 2" xfId="9191"/>
    <cellStyle name="20 % - Accent3 2 2 3" xfId="14730"/>
    <cellStyle name="20 % - Accent3 2 3" xfId="4686"/>
    <cellStyle name="20 % - Accent3 2 3 2" xfId="10225"/>
    <cellStyle name="20 % - Accent3 2 3 3" xfId="15764"/>
    <cellStyle name="20 % - Accent3 2 4" xfId="5621"/>
    <cellStyle name="20 % - Accent3 2 4 2" xfId="11160"/>
    <cellStyle name="20 % - Accent3 2 4 3" xfId="16699"/>
    <cellStyle name="20 % - Accent3 2 5" xfId="2323"/>
    <cellStyle name="20 % - Accent3 2 5 2" xfId="7869"/>
    <cellStyle name="20 % - Accent3 2 5 3" xfId="13408"/>
    <cellStyle name="20 % - Accent3 2 6" xfId="6664"/>
    <cellStyle name="20 % - Accent3 2 7" xfId="12203"/>
    <cellStyle name="20 % - Accent3 2 8" xfId="1119"/>
    <cellStyle name="20 % - Accent3 3" xfId="1803"/>
    <cellStyle name="20 % - Accent3 3 2" xfId="7349"/>
    <cellStyle name="20 % - Accent3 3 3" xfId="12888"/>
    <cellStyle name="20 % - Accent3 4" xfId="6141"/>
    <cellStyle name="20 % - Accent3 5" xfId="11683"/>
    <cellStyle name="20 % - Accent4" xfId="40" builtinId="42" customBuiltin="1"/>
    <cellStyle name="20 % - Accent4 2" xfId="172"/>
    <cellStyle name="20 % - Accent4 2 2" xfId="3651"/>
    <cellStyle name="20 % - Accent4 2 2 2" xfId="9193"/>
    <cellStyle name="20 % - Accent4 2 2 3" xfId="14732"/>
    <cellStyle name="20 % - Accent4 2 3" xfId="4688"/>
    <cellStyle name="20 % - Accent4 2 3 2" xfId="10227"/>
    <cellStyle name="20 % - Accent4 2 3 3" xfId="15766"/>
    <cellStyle name="20 % - Accent4 2 4" xfId="5623"/>
    <cellStyle name="20 % - Accent4 2 4 2" xfId="11162"/>
    <cellStyle name="20 % - Accent4 2 4 3" xfId="16701"/>
    <cellStyle name="20 % - Accent4 2 5" xfId="2325"/>
    <cellStyle name="20 % - Accent4 2 5 2" xfId="7871"/>
    <cellStyle name="20 % - Accent4 2 5 3" xfId="13410"/>
    <cellStyle name="20 % - Accent4 2 6" xfId="6666"/>
    <cellStyle name="20 % - Accent4 2 7" xfId="12205"/>
    <cellStyle name="20 % - Accent4 2 8" xfId="1121"/>
    <cellStyle name="20 % - Accent4 3" xfId="1805"/>
    <cellStyle name="20 % - Accent4 3 2" xfId="7351"/>
    <cellStyle name="20 % - Accent4 3 3" xfId="12890"/>
    <cellStyle name="20 % - Accent4 4" xfId="6143"/>
    <cellStyle name="20 % - Accent4 5" xfId="11685"/>
    <cellStyle name="20 % - Accent5" xfId="44" builtinId="46" customBuiltin="1"/>
    <cellStyle name="20 % - Accent5 2" xfId="173"/>
    <cellStyle name="20 % - Accent5 2 2" xfId="3653"/>
    <cellStyle name="20 % - Accent5 2 2 2" xfId="9195"/>
    <cellStyle name="20 % - Accent5 2 2 3" xfId="14734"/>
    <cellStyle name="20 % - Accent5 2 3" xfId="4690"/>
    <cellStyle name="20 % - Accent5 2 3 2" xfId="10229"/>
    <cellStyle name="20 % - Accent5 2 3 3" xfId="15768"/>
    <cellStyle name="20 % - Accent5 2 4" xfId="5625"/>
    <cellStyle name="20 % - Accent5 2 4 2" xfId="11164"/>
    <cellStyle name="20 % - Accent5 2 4 3" xfId="16703"/>
    <cellStyle name="20 % - Accent5 2 5" xfId="2327"/>
    <cellStyle name="20 % - Accent5 2 5 2" xfId="7873"/>
    <cellStyle name="20 % - Accent5 2 5 3" xfId="13412"/>
    <cellStyle name="20 % - Accent5 2 6" xfId="6668"/>
    <cellStyle name="20 % - Accent5 2 7" xfId="12207"/>
    <cellStyle name="20 % - Accent5 2 8" xfId="1123"/>
    <cellStyle name="20 % - Accent5 3" xfId="1807"/>
    <cellStyle name="20 % - Accent5 3 2" xfId="7353"/>
    <cellStyle name="20 % - Accent5 3 3" xfId="12892"/>
    <cellStyle name="20 % - Accent5 4" xfId="6145"/>
    <cellStyle name="20 % - Accent5 5" xfId="11687"/>
    <cellStyle name="20 % - Accent6" xfId="48" builtinId="50" customBuiltin="1"/>
    <cellStyle name="20 % - Accent6 2" xfId="174"/>
    <cellStyle name="20 % - Accent6 2 2" xfId="3655"/>
    <cellStyle name="20 % - Accent6 2 2 2" xfId="9197"/>
    <cellStyle name="20 % - Accent6 2 2 3" xfId="14736"/>
    <cellStyle name="20 % - Accent6 2 3" xfId="4692"/>
    <cellStyle name="20 % - Accent6 2 3 2" xfId="10231"/>
    <cellStyle name="20 % - Accent6 2 3 3" xfId="15770"/>
    <cellStyle name="20 % - Accent6 2 4" xfId="5627"/>
    <cellStyle name="20 % - Accent6 2 4 2" xfId="11166"/>
    <cellStyle name="20 % - Accent6 2 4 3" xfId="16705"/>
    <cellStyle name="20 % - Accent6 2 5" xfId="2329"/>
    <cellStyle name="20 % - Accent6 2 5 2" xfId="7875"/>
    <cellStyle name="20 % - Accent6 2 5 3" xfId="13414"/>
    <cellStyle name="20 % - Accent6 2 6" xfId="6670"/>
    <cellStyle name="20 % - Accent6 2 7" xfId="12209"/>
    <cellStyle name="20 % - Accent6 2 8" xfId="1125"/>
    <cellStyle name="20 % - Accent6 3" xfId="1809"/>
    <cellStyle name="20 % - Accent6 3 2" xfId="7355"/>
    <cellStyle name="20 % - Accent6 3 3" xfId="12894"/>
    <cellStyle name="20 % - Accent6 4" xfId="6147"/>
    <cellStyle name="20 % - Accent6 5" xfId="11689"/>
    <cellStyle name="20% - Accent1 2" xfId="213"/>
    <cellStyle name="20% - Accent1 3" xfId="3034"/>
    <cellStyle name="20% - Accent1 3 2" xfId="8577"/>
    <cellStyle name="20% - Accent1 3 3" xfId="14116"/>
    <cellStyle name="20% - Accent1 4" xfId="4077"/>
    <cellStyle name="20% - Accent1 4 2" xfId="9618"/>
    <cellStyle name="20% - Accent1 4 3" xfId="15157"/>
    <cellStyle name="20% - Accent1 5" xfId="5097"/>
    <cellStyle name="20% - Accent1 5 2" xfId="10636"/>
    <cellStyle name="20% - Accent1 5 3" xfId="16175"/>
    <cellStyle name="20% - Accent2 2" xfId="214"/>
    <cellStyle name="20% - Accent2 3" xfId="3038"/>
    <cellStyle name="20% - Accent2 3 2" xfId="8581"/>
    <cellStyle name="20% - Accent2 3 3" xfId="14120"/>
    <cellStyle name="20% - Accent2 4" xfId="4081"/>
    <cellStyle name="20% - Accent2 4 2" xfId="9622"/>
    <cellStyle name="20% - Accent2 4 3" xfId="15161"/>
    <cellStyle name="20% - Accent2 5" xfId="5099"/>
    <cellStyle name="20% - Accent2 5 2" xfId="10638"/>
    <cellStyle name="20% - Accent2 5 3" xfId="16177"/>
    <cellStyle name="20% - Accent3 2" xfId="215"/>
    <cellStyle name="20% - Accent3 3" xfId="3042"/>
    <cellStyle name="20% - Accent3 3 2" xfId="8585"/>
    <cellStyle name="20% - Accent3 3 3" xfId="14124"/>
    <cellStyle name="20% - Accent3 4" xfId="4085"/>
    <cellStyle name="20% - Accent3 4 2" xfId="9626"/>
    <cellStyle name="20% - Accent3 4 3" xfId="15165"/>
    <cellStyle name="20% - Accent3 5" xfId="5101"/>
    <cellStyle name="20% - Accent3 5 2" xfId="10640"/>
    <cellStyle name="20% - Accent3 5 3" xfId="16179"/>
    <cellStyle name="20% - Accent4 2" xfId="216"/>
    <cellStyle name="20% - Accent4 3" xfId="3046"/>
    <cellStyle name="20% - Accent4 3 2" xfId="8589"/>
    <cellStyle name="20% - Accent4 3 3" xfId="14128"/>
    <cellStyle name="20% - Accent4 4" xfId="4089"/>
    <cellStyle name="20% - Accent4 4 2" xfId="9630"/>
    <cellStyle name="20% - Accent4 4 3" xfId="15169"/>
    <cellStyle name="20% - Accent4 5" xfId="5103"/>
    <cellStyle name="20% - Accent4 5 2" xfId="10642"/>
    <cellStyle name="20% - Accent4 5 3" xfId="16181"/>
    <cellStyle name="20% - Accent5 2" xfId="217"/>
    <cellStyle name="20% - Accent5 3" xfId="3050"/>
    <cellStyle name="20% - Accent5 3 2" xfId="8593"/>
    <cellStyle name="20% - Accent5 3 3" xfId="14132"/>
    <cellStyle name="20% - Accent5 4" xfId="4093"/>
    <cellStyle name="20% - Accent5 4 2" xfId="9634"/>
    <cellStyle name="20% - Accent5 4 3" xfId="15173"/>
    <cellStyle name="20% - Accent5 5" xfId="5105"/>
    <cellStyle name="20% - Accent5 5 2" xfId="10644"/>
    <cellStyle name="20% - Accent5 5 3" xfId="16183"/>
    <cellStyle name="20% - Accent6 2" xfId="218"/>
    <cellStyle name="20% - Accent6 3" xfId="3054"/>
    <cellStyle name="20% - Accent6 3 2" xfId="8597"/>
    <cellStyle name="20% - Accent6 3 3" xfId="14136"/>
    <cellStyle name="20% - Accent6 4" xfId="4097"/>
    <cellStyle name="20% - Accent6 4 2" xfId="9638"/>
    <cellStyle name="20% - Accent6 4 3" xfId="15177"/>
    <cellStyle name="20% - Accent6 5" xfId="5107"/>
    <cellStyle name="20% - Accent6 5 2" xfId="10646"/>
    <cellStyle name="20% - Accent6 5 3" xfId="16185"/>
    <cellStyle name="40 % - Accent1" xfId="29" builtinId="31" customBuiltin="1"/>
    <cellStyle name="40 % - Accent1 2" xfId="175"/>
    <cellStyle name="40 % - Accent1 2 2" xfId="3646"/>
    <cellStyle name="40 % - Accent1 2 2 2" xfId="9188"/>
    <cellStyle name="40 % - Accent1 2 2 3" xfId="14727"/>
    <cellStyle name="40 % - Accent1 2 3" xfId="4683"/>
    <cellStyle name="40 % - Accent1 2 3 2" xfId="10222"/>
    <cellStyle name="40 % - Accent1 2 3 3" xfId="15761"/>
    <cellStyle name="40 % - Accent1 2 4" xfId="5618"/>
    <cellStyle name="40 % - Accent1 2 4 2" xfId="11157"/>
    <cellStyle name="40 % - Accent1 2 4 3" xfId="16696"/>
    <cellStyle name="40 % - Accent1 2 5" xfId="2320"/>
    <cellStyle name="40 % - Accent1 2 5 2" xfId="7866"/>
    <cellStyle name="40 % - Accent1 2 5 3" xfId="13405"/>
    <cellStyle name="40 % - Accent1 2 6" xfId="6661"/>
    <cellStyle name="40 % - Accent1 2 7" xfId="12200"/>
    <cellStyle name="40 % - Accent1 2 8" xfId="1116"/>
    <cellStyle name="40 % - Accent1 3" xfId="1800"/>
    <cellStyle name="40 % - Accent1 3 2" xfId="7346"/>
    <cellStyle name="40 % - Accent1 3 3" xfId="12885"/>
    <cellStyle name="40 % - Accent1 4" xfId="6138"/>
    <cellStyle name="40 % - Accent1 5" xfId="11680"/>
    <cellStyle name="40 % - Accent2" xfId="33" builtinId="35" customBuiltin="1"/>
    <cellStyle name="40 % - Accent2 2" xfId="176"/>
    <cellStyle name="40 % - Accent2 2 2" xfId="3648"/>
    <cellStyle name="40 % - Accent2 2 2 2" xfId="9190"/>
    <cellStyle name="40 % - Accent2 2 2 3" xfId="14729"/>
    <cellStyle name="40 % - Accent2 2 3" xfId="4685"/>
    <cellStyle name="40 % - Accent2 2 3 2" xfId="10224"/>
    <cellStyle name="40 % - Accent2 2 3 3" xfId="15763"/>
    <cellStyle name="40 % - Accent2 2 4" xfId="5620"/>
    <cellStyle name="40 % - Accent2 2 4 2" xfId="11159"/>
    <cellStyle name="40 % - Accent2 2 4 3" xfId="16698"/>
    <cellStyle name="40 % - Accent2 2 5" xfId="2322"/>
    <cellStyle name="40 % - Accent2 2 5 2" xfId="7868"/>
    <cellStyle name="40 % - Accent2 2 5 3" xfId="13407"/>
    <cellStyle name="40 % - Accent2 2 6" xfId="6663"/>
    <cellStyle name="40 % - Accent2 2 7" xfId="12202"/>
    <cellStyle name="40 % - Accent2 2 8" xfId="1118"/>
    <cellStyle name="40 % - Accent2 3" xfId="1802"/>
    <cellStyle name="40 % - Accent2 3 2" xfId="7348"/>
    <cellStyle name="40 % - Accent2 3 3" xfId="12887"/>
    <cellStyle name="40 % - Accent2 4" xfId="6140"/>
    <cellStyle name="40 % - Accent2 5" xfId="11682"/>
    <cellStyle name="40 % - Accent3" xfId="37" builtinId="39" customBuiltin="1"/>
    <cellStyle name="40 % - Accent3 2" xfId="177"/>
    <cellStyle name="40 % - Accent3 2 2" xfId="3650"/>
    <cellStyle name="40 % - Accent3 2 2 2" xfId="9192"/>
    <cellStyle name="40 % - Accent3 2 2 3" xfId="14731"/>
    <cellStyle name="40 % - Accent3 2 3" xfId="4687"/>
    <cellStyle name="40 % - Accent3 2 3 2" xfId="10226"/>
    <cellStyle name="40 % - Accent3 2 3 3" xfId="15765"/>
    <cellStyle name="40 % - Accent3 2 4" xfId="5622"/>
    <cellStyle name="40 % - Accent3 2 4 2" xfId="11161"/>
    <cellStyle name="40 % - Accent3 2 4 3" xfId="16700"/>
    <cellStyle name="40 % - Accent3 2 5" xfId="2324"/>
    <cellStyle name="40 % - Accent3 2 5 2" xfId="7870"/>
    <cellStyle name="40 % - Accent3 2 5 3" xfId="13409"/>
    <cellStyle name="40 % - Accent3 2 6" xfId="6665"/>
    <cellStyle name="40 % - Accent3 2 7" xfId="12204"/>
    <cellStyle name="40 % - Accent3 2 8" xfId="1120"/>
    <cellStyle name="40 % - Accent3 3" xfId="1804"/>
    <cellStyle name="40 % - Accent3 3 2" xfId="7350"/>
    <cellStyle name="40 % - Accent3 3 3" xfId="12889"/>
    <cellStyle name="40 % - Accent3 4" xfId="6142"/>
    <cellStyle name="40 % - Accent3 5" xfId="11684"/>
    <cellStyle name="40 % - Accent4" xfId="41" builtinId="43" customBuiltin="1"/>
    <cellStyle name="40 % - Accent4 2" xfId="178"/>
    <cellStyle name="40 % - Accent4 2 2" xfId="3652"/>
    <cellStyle name="40 % - Accent4 2 2 2" xfId="9194"/>
    <cellStyle name="40 % - Accent4 2 2 3" xfId="14733"/>
    <cellStyle name="40 % - Accent4 2 3" xfId="4689"/>
    <cellStyle name="40 % - Accent4 2 3 2" xfId="10228"/>
    <cellStyle name="40 % - Accent4 2 3 3" xfId="15767"/>
    <cellStyle name="40 % - Accent4 2 4" xfId="5624"/>
    <cellStyle name="40 % - Accent4 2 4 2" xfId="11163"/>
    <cellStyle name="40 % - Accent4 2 4 3" xfId="16702"/>
    <cellStyle name="40 % - Accent4 2 5" xfId="2326"/>
    <cellStyle name="40 % - Accent4 2 5 2" xfId="7872"/>
    <cellStyle name="40 % - Accent4 2 5 3" xfId="13411"/>
    <cellStyle name="40 % - Accent4 2 6" xfId="6667"/>
    <cellStyle name="40 % - Accent4 2 7" xfId="12206"/>
    <cellStyle name="40 % - Accent4 2 8" xfId="1122"/>
    <cellStyle name="40 % - Accent4 3" xfId="1806"/>
    <cellStyle name="40 % - Accent4 3 2" xfId="7352"/>
    <cellStyle name="40 % - Accent4 3 3" xfId="12891"/>
    <cellStyle name="40 % - Accent4 4" xfId="6144"/>
    <cellStyle name="40 % - Accent4 5" xfId="11686"/>
    <cellStyle name="40 % - Accent5" xfId="45" builtinId="47" customBuiltin="1"/>
    <cellStyle name="40 % - Accent5 2" xfId="179"/>
    <cellStyle name="40 % - Accent5 2 2" xfId="3654"/>
    <cellStyle name="40 % - Accent5 2 2 2" xfId="9196"/>
    <cellStyle name="40 % - Accent5 2 2 3" xfId="14735"/>
    <cellStyle name="40 % - Accent5 2 3" xfId="4691"/>
    <cellStyle name="40 % - Accent5 2 3 2" xfId="10230"/>
    <cellStyle name="40 % - Accent5 2 3 3" xfId="15769"/>
    <cellStyle name="40 % - Accent5 2 4" xfId="5626"/>
    <cellStyle name="40 % - Accent5 2 4 2" xfId="11165"/>
    <cellStyle name="40 % - Accent5 2 4 3" xfId="16704"/>
    <cellStyle name="40 % - Accent5 2 5" xfId="2328"/>
    <cellStyle name="40 % - Accent5 2 5 2" xfId="7874"/>
    <cellStyle name="40 % - Accent5 2 5 3" xfId="13413"/>
    <cellStyle name="40 % - Accent5 2 6" xfId="6669"/>
    <cellStyle name="40 % - Accent5 2 7" xfId="12208"/>
    <cellStyle name="40 % - Accent5 2 8" xfId="1124"/>
    <cellStyle name="40 % - Accent5 3" xfId="1808"/>
    <cellStyle name="40 % - Accent5 3 2" xfId="7354"/>
    <cellStyle name="40 % - Accent5 3 3" xfId="12893"/>
    <cellStyle name="40 % - Accent5 4" xfId="6146"/>
    <cellStyle name="40 % - Accent5 5" xfId="11688"/>
    <cellStyle name="40 % - Accent6" xfId="49" builtinId="51" customBuiltin="1"/>
    <cellStyle name="40 % - Accent6 2" xfId="180"/>
    <cellStyle name="40 % - Accent6 2 2" xfId="3656"/>
    <cellStyle name="40 % - Accent6 2 2 2" xfId="9198"/>
    <cellStyle name="40 % - Accent6 2 2 3" xfId="14737"/>
    <cellStyle name="40 % - Accent6 2 3" xfId="4693"/>
    <cellStyle name="40 % - Accent6 2 3 2" xfId="10232"/>
    <cellStyle name="40 % - Accent6 2 3 3" xfId="15771"/>
    <cellStyle name="40 % - Accent6 2 4" xfId="5628"/>
    <cellStyle name="40 % - Accent6 2 4 2" xfId="11167"/>
    <cellStyle name="40 % - Accent6 2 4 3" xfId="16706"/>
    <cellStyle name="40 % - Accent6 2 5" xfId="2330"/>
    <cellStyle name="40 % - Accent6 2 5 2" xfId="7876"/>
    <cellStyle name="40 % - Accent6 2 5 3" xfId="13415"/>
    <cellStyle name="40 % - Accent6 2 6" xfId="6671"/>
    <cellStyle name="40 % - Accent6 2 7" xfId="12210"/>
    <cellStyle name="40 % - Accent6 2 8" xfId="1126"/>
    <cellStyle name="40 % - Accent6 3" xfId="1810"/>
    <cellStyle name="40 % - Accent6 3 2" xfId="7356"/>
    <cellStyle name="40 % - Accent6 3 3" xfId="12895"/>
    <cellStyle name="40 % - Accent6 4" xfId="6148"/>
    <cellStyle name="40 % - Accent6 5" xfId="11690"/>
    <cellStyle name="40% - Accent1 2" xfId="219"/>
    <cellStyle name="40% - Accent1 3" xfId="3035"/>
    <cellStyle name="40% - Accent1 3 2" xfId="8578"/>
    <cellStyle name="40% - Accent1 3 3" xfId="14117"/>
    <cellStyle name="40% - Accent1 4" xfId="4078"/>
    <cellStyle name="40% - Accent1 4 2" xfId="9619"/>
    <cellStyle name="40% - Accent1 4 3" xfId="15158"/>
    <cellStyle name="40% - Accent1 5" xfId="5098"/>
    <cellStyle name="40% - Accent1 5 2" xfId="10637"/>
    <cellStyle name="40% - Accent1 5 3" xfId="16176"/>
    <cellStyle name="40% - Accent2 2" xfId="220"/>
    <cellStyle name="40% - Accent2 3" xfId="3039"/>
    <cellStyle name="40% - Accent2 3 2" xfId="8582"/>
    <cellStyle name="40% - Accent2 3 3" xfId="14121"/>
    <cellStyle name="40% - Accent2 4" xfId="4082"/>
    <cellStyle name="40% - Accent2 4 2" xfId="9623"/>
    <cellStyle name="40% - Accent2 4 3" xfId="15162"/>
    <cellStyle name="40% - Accent2 5" xfId="5100"/>
    <cellStyle name="40% - Accent2 5 2" xfId="10639"/>
    <cellStyle name="40% - Accent2 5 3" xfId="16178"/>
    <cellStyle name="40% - Accent3 2" xfId="221"/>
    <cellStyle name="40% - Accent3 3" xfId="3043"/>
    <cellStyle name="40% - Accent3 3 2" xfId="8586"/>
    <cellStyle name="40% - Accent3 3 3" xfId="14125"/>
    <cellStyle name="40% - Accent3 4" xfId="4086"/>
    <cellStyle name="40% - Accent3 4 2" xfId="9627"/>
    <cellStyle name="40% - Accent3 4 3" xfId="15166"/>
    <cellStyle name="40% - Accent3 5" xfId="5102"/>
    <cellStyle name="40% - Accent3 5 2" xfId="10641"/>
    <cellStyle name="40% - Accent3 5 3" xfId="16180"/>
    <cellStyle name="40% - Accent4 2" xfId="222"/>
    <cellStyle name="40% - Accent4 3" xfId="3047"/>
    <cellStyle name="40% - Accent4 3 2" xfId="8590"/>
    <cellStyle name="40% - Accent4 3 3" xfId="14129"/>
    <cellStyle name="40% - Accent4 4" xfId="4090"/>
    <cellStyle name="40% - Accent4 4 2" xfId="9631"/>
    <cellStyle name="40% - Accent4 4 3" xfId="15170"/>
    <cellStyle name="40% - Accent4 5" xfId="5104"/>
    <cellStyle name="40% - Accent4 5 2" xfId="10643"/>
    <cellStyle name="40% - Accent4 5 3" xfId="16182"/>
    <cellStyle name="40% - Accent5 2" xfId="223"/>
    <cellStyle name="40% - Accent5 3" xfId="3051"/>
    <cellStyle name="40% - Accent5 3 2" xfId="8594"/>
    <cellStyle name="40% - Accent5 3 3" xfId="14133"/>
    <cellStyle name="40% - Accent5 4" xfId="4094"/>
    <cellStyle name="40% - Accent5 4 2" xfId="9635"/>
    <cellStyle name="40% - Accent5 4 3" xfId="15174"/>
    <cellStyle name="40% - Accent5 5" xfId="5106"/>
    <cellStyle name="40% - Accent5 5 2" xfId="10645"/>
    <cellStyle name="40% - Accent5 5 3" xfId="16184"/>
    <cellStyle name="40% - Accent6 2" xfId="224"/>
    <cellStyle name="40% - Accent6 3" xfId="3055"/>
    <cellStyle name="40% - Accent6 3 2" xfId="8598"/>
    <cellStyle name="40% - Accent6 3 3" xfId="14137"/>
    <cellStyle name="40% - Accent6 4" xfId="4098"/>
    <cellStyle name="40% - Accent6 4 2" xfId="9639"/>
    <cellStyle name="40% - Accent6 4 3" xfId="15178"/>
    <cellStyle name="40% - Accent6 5" xfId="5108"/>
    <cellStyle name="40% - Accent6 5 2" xfId="10647"/>
    <cellStyle name="40% - Accent6 5 3" xfId="16186"/>
    <cellStyle name="60 % - Accent1" xfId="30" builtinId="32" customBuiltin="1"/>
    <cellStyle name="60 % - Accent1 2" xfId="181"/>
    <cellStyle name="60 % - Accent2" xfId="34" builtinId="36" customBuiltin="1"/>
    <cellStyle name="60 % - Accent2 2" xfId="182"/>
    <cellStyle name="60 % - Accent3" xfId="38" builtinId="40" customBuiltin="1"/>
    <cellStyle name="60 % - Accent3 2" xfId="183"/>
    <cellStyle name="60 % - Accent4" xfId="42" builtinId="44" customBuiltin="1"/>
    <cellStyle name="60 % - Accent4 2" xfId="184"/>
    <cellStyle name="60 % - Accent5" xfId="46" builtinId="48" customBuiltin="1"/>
    <cellStyle name="60 % - Accent5 2" xfId="185"/>
    <cellStyle name="60 % - Accent6" xfId="50" builtinId="52" customBuiltin="1"/>
    <cellStyle name="60 % - Accent6 2" xfId="186"/>
    <cellStyle name="60% - Accent1 2" xfId="225"/>
    <cellStyle name="60% - Accent2 2" xfId="226"/>
    <cellStyle name="60% - Accent3 2" xfId="227"/>
    <cellStyle name="60% - Accent4 2" xfId="228"/>
    <cellStyle name="60% - Accent5 2" xfId="229"/>
    <cellStyle name="60% - Accent6 2" xfId="230"/>
    <cellStyle name="Accent1" xfId="27" builtinId="29" customBuiltin="1"/>
    <cellStyle name="Accent1 2" xfId="187"/>
    <cellStyle name="Accent2" xfId="31" builtinId="33" customBuiltin="1"/>
    <cellStyle name="Accent2 2" xfId="188"/>
    <cellStyle name="Accent3" xfId="35" builtinId="37" customBuiltin="1"/>
    <cellStyle name="Accent3 2" xfId="189"/>
    <cellStyle name="Accent4" xfId="39" builtinId="41" customBuiltin="1"/>
    <cellStyle name="Accent4 2" xfId="190"/>
    <cellStyle name="Accent5" xfId="43" builtinId="45" customBuiltin="1"/>
    <cellStyle name="Accent5 2" xfId="191"/>
    <cellStyle name="Accent6" xfId="47" builtinId="49" customBuiltin="1"/>
    <cellStyle name="Accent6 2" xfId="192"/>
    <cellStyle name="Avertissement" xfId="23" builtinId="11" customBuiltin="1"/>
    <cellStyle name="Avertissement 2" xfId="193"/>
    <cellStyle name="Bad 2" xfId="231"/>
    <cellStyle name="Calcul" xfId="20" builtinId="22" customBuiltin="1"/>
    <cellStyle name="Calcul 2" xfId="194"/>
    <cellStyle name="Calcul 2 2" xfId="17850"/>
    <cellStyle name="Calcul 2 2 2" xfId="17936"/>
    <cellStyle name="Calcul 2 3" xfId="17878"/>
    <cellStyle name="Calcul 2 4" xfId="17899"/>
    <cellStyle name="Calcul 2 5" xfId="17897"/>
    <cellStyle name="Calcul 2 6" xfId="17907"/>
    <cellStyle name="Calcul 2 7" xfId="17952"/>
    <cellStyle name="Calculation 2" xfId="232"/>
    <cellStyle name="Calculation 2 2" xfId="448"/>
    <cellStyle name="Calculation 2 2 2" xfId="17853"/>
    <cellStyle name="Calculation 2 2 2 2" xfId="17939"/>
    <cellStyle name="Calculation 2 2 3" xfId="17885"/>
    <cellStyle name="Calculation 2 2 4" xfId="17916"/>
    <cellStyle name="Calculation 2 3" xfId="781"/>
    <cellStyle name="Calculation 2 3 2" xfId="17861"/>
    <cellStyle name="Calculation 2 3 2 2" xfId="17947"/>
    <cellStyle name="Calculation 2 3 3" xfId="17881"/>
    <cellStyle name="Calculation 2 3 4" xfId="17922"/>
    <cellStyle name="Calculation 2 4" xfId="17864"/>
    <cellStyle name="Calculation 2 4 2" xfId="17950"/>
    <cellStyle name="Calculation 2 5" xfId="17876"/>
    <cellStyle name="Calculation 2 6" xfId="17912"/>
    <cellStyle name="Cellule liée" xfId="21" builtinId="24" customBuiltin="1"/>
    <cellStyle name="Cellule liée 2" xfId="195"/>
    <cellStyle name="Check Cell 2" xfId="233"/>
    <cellStyle name="Commentaire" xfId="24" builtinId="10" customBuiltin="1"/>
    <cellStyle name="Commentaire 2" xfId="51"/>
    <cellStyle name="Commentaire 2 2" xfId="196"/>
    <cellStyle name="Commentaire 2 2 10" xfId="17882"/>
    <cellStyle name="Commentaire 2 2 11" xfId="17900"/>
    <cellStyle name="Commentaire 2 2 12" xfId="17895"/>
    <cellStyle name="Commentaire 2 2 13" xfId="17908"/>
    <cellStyle name="Commentaire 2 2 14" xfId="17953"/>
    <cellStyle name="Commentaire 2 2 2" xfId="4000"/>
    <cellStyle name="Commentaire 2 2 2 2" xfId="9542"/>
    <cellStyle name="Commentaire 2 2 2 3" xfId="15081"/>
    <cellStyle name="Commentaire 2 2 3" xfId="5037"/>
    <cellStyle name="Commentaire 2 2 3 2" xfId="10576"/>
    <cellStyle name="Commentaire 2 2 3 3" xfId="16115"/>
    <cellStyle name="Commentaire 2 2 4" xfId="5971"/>
    <cellStyle name="Commentaire 2 2 4 2" xfId="11510"/>
    <cellStyle name="Commentaire 2 2 4 3" xfId="17049"/>
    <cellStyle name="Commentaire 2 2 5" xfId="2673"/>
    <cellStyle name="Commentaire 2 2 5 2" xfId="8219"/>
    <cellStyle name="Commentaire 2 2 5 3" xfId="13758"/>
    <cellStyle name="Commentaire 2 2 6" xfId="7014"/>
    <cellStyle name="Commentaire 2 2 7" xfId="12553"/>
    <cellStyle name="Commentaire 2 2 8" xfId="1468"/>
    <cellStyle name="Commentaire 2 2 9" xfId="17851"/>
    <cellStyle name="Commentaire 2 2 9 2" xfId="17937"/>
    <cellStyle name="Commentaire 2 3" xfId="3306"/>
    <cellStyle name="Commentaire 2 3 2" xfId="8848"/>
    <cellStyle name="Commentaire 2 3 3" xfId="14387"/>
    <cellStyle name="Commentaire 2 4" xfId="4343"/>
    <cellStyle name="Commentaire 2 4 2" xfId="9882"/>
    <cellStyle name="Commentaire 2 4 3" xfId="15421"/>
    <cellStyle name="Commentaire 2 5" xfId="5286"/>
    <cellStyle name="Commentaire 2 5 2" xfId="10825"/>
    <cellStyle name="Commentaire 2 5 3" xfId="16364"/>
    <cellStyle name="Commentaire 2 6" xfId="1988"/>
    <cellStyle name="Commentaire 2 6 2" xfId="7534"/>
    <cellStyle name="Commentaire 2 6 3" xfId="13073"/>
    <cellStyle name="Commentaire 2 7" xfId="6329"/>
    <cellStyle name="Commentaire 2 8" xfId="11868"/>
    <cellStyle name="Commentaire 3" xfId="52"/>
    <cellStyle name="Commentaire 4" xfId="17842"/>
    <cellStyle name="Entrée" xfId="18" builtinId="20" customBuiltin="1"/>
    <cellStyle name="Entrée 2" xfId="197"/>
    <cellStyle name="Entrée 2 2" xfId="17844"/>
    <cellStyle name="Entrée 2 2 2" xfId="17930"/>
    <cellStyle name="Entrée 2 3" xfId="17874"/>
    <cellStyle name="Entrée 2 4" xfId="17901"/>
    <cellStyle name="Entrée 2 5" xfId="17893"/>
    <cellStyle name="Entrée 2 6" xfId="17909"/>
    <cellStyle name="Entrée 2 7" xfId="17954"/>
    <cellStyle name="Euro" xfId="198"/>
    <cellStyle name="Euro 2" xfId="199"/>
    <cellStyle name="Euro 2 2" xfId="17956"/>
    <cellStyle name="Euro 3" xfId="17955"/>
    <cellStyle name="Explanatory Text 2" xfId="234"/>
    <cellStyle name="Good 2" xfId="235"/>
    <cellStyle name="Heading" xfId="17809"/>
    <cellStyle name="Heading 1 2" xfId="236"/>
    <cellStyle name="Heading 2 2" xfId="237"/>
    <cellStyle name="Heading 3 2" xfId="238"/>
    <cellStyle name="Heading 3 2 2" xfId="449"/>
    <cellStyle name="Heading 3 2 2 2" xfId="17846"/>
    <cellStyle name="Heading 3 2 2 2 2" xfId="17932"/>
    <cellStyle name="Heading 3 2 2 3" xfId="17870"/>
    <cellStyle name="Heading 3 2 3" xfId="17845"/>
    <cellStyle name="Heading 3 2 3 2" xfId="17931"/>
    <cellStyle name="Heading 3 2 4" xfId="17867"/>
    <cellStyle name="Heading 4 2" xfId="239"/>
    <cellStyle name="Heading1" xfId="17810"/>
    <cellStyle name="Hyperlink 2" xfId="53"/>
    <cellStyle name="Hyperlink 2 10" xfId="54"/>
    <cellStyle name="Hyperlink 2 11" xfId="55"/>
    <cellStyle name="Hyperlink 2 12" xfId="56"/>
    <cellStyle name="Hyperlink 2 13" xfId="240"/>
    <cellStyle name="Hyperlink 2 13 2" xfId="17807"/>
    <cellStyle name="Hyperlink 2 13 3" xfId="17804"/>
    <cellStyle name="Hyperlink 2 13 4" xfId="17713"/>
    <cellStyle name="Hyperlink 2 14" xfId="17714"/>
    <cellStyle name="Hyperlink 2 15" xfId="17715"/>
    <cellStyle name="Hyperlink 2 16" xfId="17716"/>
    <cellStyle name="Hyperlink 2 17" xfId="17717"/>
    <cellStyle name="Hyperlink 2 18" xfId="17718"/>
    <cellStyle name="Hyperlink 2 19" xfId="17719"/>
    <cellStyle name="Hyperlink 2 2" xfId="57"/>
    <cellStyle name="Hyperlink 2 20" xfId="17720"/>
    <cellStyle name="Hyperlink 2 21" xfId="17721"/>
    <cellStyle name="Hyperlink 2 22" xfId="17776"/>
    <cellStyle name="Hyperlink 2 23" xfId="17777"/>
    <cellStyle name="Hyperlink 2 24" xfId="17778"/>
    <cellStyle name="Hyperlink 2 25" xfId="17779"/>
    <cellStyle name="Hyperlink 2 3" xfId="58"/>
    <cellStyle name="Hyperlink 2 4" xfId="59"/>
    <cellStyle name="Hyperlink 2 5" xfId="60"/>
    <cellStyle name="Hyperlink 2 6" xfId="61"/>
    <cellStyle name="Hyperlink 2 7" xfId="62"/>
    <cellStyle name="Hyperlink 2 8" xfId="63"/>
    <cellStyle name="Hyperlink 2 9" xfId="64"/>
    <cellStyle name="Input 2" xfId="241"/>
    <cellStyle name="Input 2 2" xfId="450"/>
    <cellStyle name="Input 2 2 2" xfId="17860"/>
    <cellStyle name="Input 2 2 2 2" xfId="17946"/>
    <cellStyle name="Input 2 2 3" xfId="17880"/>
    <cellStyle name="Input 2 2 4" xfId="17917"/>
    <cellStyle name="Input 2 3" xfId="782"/>
    <cellStyle name="Input 2 3 2" xfId="17849"/>
    <cellStyle name="Input 2 3 2 2" xfId="17935"/>
    <cellStyle name="Input 2 3 3" xfId="17877"/>
    <cellStyle name="Input 2 3 4" xfId="17923"/>
    <cellStyle name="Input 2 4" xfId="17862"/>
    <cellStyle name="Input 2 4 2" xfId="17948"/>
    <cellStyle name="Input 2 5" xfId="17868"/>
    <cellStyle name="Input 2 6" xfId="17913"/>
    <cellStyle name="Insatisfaisant" xfId="16" builtinId="27" customBuiltin="1"/>
    <cellStyle name="Insatisfaisant 2" xfId="200"/>
    <cellStyle name="Komma 2" xfId="17835"/>
    <cellStyle name="Komma 3" xfId="17829"/>
    <cellStyle name="Lien hypertexte" xfId="3" builtinId="8"/>
    <cellStyle name="Lien hypertexte 2" xfId="65"/>
    <cellStyle name="Lien hypertexte 2 10" xfId="66"/>
    <cellStyle name="Lien hypertexte 2 11" xfId="67"/>
    <cellStyle name="Lien hypertexte 2 12" xfId="68"/>
    <cellStyle name="Lien hypertexte 2 13" xfId="17722"/>
    <cellStyle name="Lien hypertexte 2 14" xfId="17723"/>
    <cellStyle name="Lien hypertexte 2 15" xfId="17724"/>
    <cellStyle name="Lien hypertexte 2 16" xfId="17725"/>
    <cellStyle name="Lien hypertexte 2 17" xfId="17726"/>
    <cellStyle name="Lien hypertexte 2 18" xfId="17727"/>
    <cellStyle name="Lien hypertexte 2 19" xfId="17728"/>
    <cellStyle name="Lien hypertexte 2 2" xfId="6"/>
    <cellStyle name="Lien hypertexte 2 20" xfId="17729"/>
    <cellStyle name="Lien hypertexte 2 21" xfId="17730"/>
    <cellStyle name="Lien hypertexte 2 22" xfId="17780"/>
    <cellStyle name="Lien hypertexte 2 23" xfId="17781"/>
    <cellStyle name="Lien hypertexte 2 24" xfId="17782"/>
    <cellStyle name="Lien hypertexte 2 25" xfId="17783"/>
    <cellStyle name="Lien hypertexte 2 3" xfId="69"/>
    <cellStyle name="Lien hypertexte 2 4" xfId="70"/>
    <cellStyle name="Lien hypertexte 2 5" xfId="71"/>
    <cellStyle name="Lien hypertexte 2 6" xfId="72"/>
    <cellStyle name="Lien hypertexte 2 7" xfId="73"/>
    <cellStyle name="Lien hypertexte 2 8" xfId="74"/>
    <cellStyle name="Lien hypertexte 2 9" xfId="75"/>
    <cellStyle name="Lien hypertexte 3" xfId="5"/>
    <cellStyle name="Lien hypertexte 3 2" xfId="17825"/>
    <cellStyle name="Lien hypertexte 4" xfId="4"/>
    <cellStyle name="Lien hypertexte 5" xfId="76"/>
    <cellStyle name="Lien hypertexte 6" xfId="77"/>
    <cellStyle name="Lien hypertexte 6 2" xfId="17827"/>
    <cellStyle name="Linked Cell 2" xfId="242"/>
    <cellStyle name="Milliers 2" xfId="9"/>
    <cellStyle name="Milliers 2 10" xfId="78"/>
    <cellStyle name="Milliers 2 10 2" xfId="17958"/>
    <cellStyle name="Milliers 2 11" xfId="79"/>
    <cellStyle name="Milliers 2 11 2" xfId="17959"/>
    <cellStyle name="Milliers 2 12" xfId="80"/>
    <cellStyle name="Milliers 2 12 2" xfId="17960"/>
    <cellStyle name="Milliers 2 13" xfId="81"/>
    <cellStyle name="Milliers 2 13 2" xfId="17961"/>
    <cellStyle name="Milliers 2 14" xfId="82"/>
    <cellStyle name="Milliers 2 14 2" xfId="17962"/>
    <cellStyle name="Milliers 2 15" xfId="17731"/>
    <cellStyle name="Milliers 2 16" xfId="17732"/>
    <cellStyle name="Milliers 2 16 2" xfId="17834"/>
    <cellStyle name="Milliers 2 17" xfId="17733"/>
    <cellStyle name="Milliers 2 18" xfId="17734"/>
    <cellStyle name="Milliers 2 19" xfId="17735"/>
    <cellStyle name="Milliers 2 2" xfId="83"/>
    <cellStyle name="Milliers 2 2 10" xfId="84"/>
    <cellStyle name="Milliers 2 2 10 2" xfId="17964"/>
    <cellStyle name="Milliers 2 2 11" xfId="85"/>
    <cellStyle name="Milliers 2 2 11 2" xfId="17965"/>
    <cellStyle name="Milliers 2 2 12" xfId="86"/>
    <cellStyle name="Milliers 2 2 12 2" xfId="17966"/>
    <cellStyle name="Milliers 2 2 13" xfId="87"/>
    <cellStyle name="Milliers 2 2 13 2" xfId="17967"/>
    <cellStyle name="Milliers 2 2 14" xfId="17736"/>
    <cellStyle name="Milliers 2 2 15" xfId="17737"/>
    <cellStyle name="Milliers 2 2 16" xfId="17738"/>
    <cellStyle name="Milliers 2 2 17" xfId="17739"/>
    <cellStyle name="Milliers 2 2 18" xfId="17740"/>
    <cellStyle name="Milliers 2 2 19" xfId="17741"/>
    <cellStyle name="Milliers 2 2 2" xfId="88"/>
    <cellStyle name="Milliers 2 2 2 2" xfId="17968"/>
    <cellStyle name="Milliers 2 2 20" xfId="17742"/>
    <cellStyle name="Milliers 2 2 21" xfId="17743"/>
    <cellStyle name="Milliers 2 2 22" xfId="17744"/>
    <cellStyle name="Milliers 2 2 23" xfId="17784"/>
    <cellStyle name="Milliers 2 2 24" xfId="17785"/>
    <cellStyle name="Milliers 2 2 25" xfId="17786"/>
    <cellStyle name="Milliers 2 2 26" xfId="17787"/>
    <cellStyle name="Milliers 2 2 27" xfId="17963"/>
    <cellStyle name="Milliers 2 2 3" xfId="89"/>
    <cellStyle name="Milliers 2 2 3 2" xfId="17969"/>
    <cellStyle name="Milliers 2 2 4" xfId="90"/>
    <cellStyle name="Milliers 2 2 4 2" xfId="17970"/>
    <cellStyle name="Milliers 2 2 5" xfId="91"/>
    <cellStyle name="Milliers 2 2 5 2" xfId="17971"/>
    <cellStyle name="Milliers 2 2 6" xfId="92"/>
    <cellStyle name="Milliers 2 2 6 2" xfId="17972"/>
    <cellStyle name="Milliers 2 2 7" xfId="93"/>
    <cellStyle name="Milliers 2 2 7 2" xfId="17973"/>
    <cellStyle name="Milliers 2 2 8" xfId="94"/>
    <cellStyle name="Milliers 2 2 8 2" xfId="17974"/>
    <cellStyle name="Milliers 2 2 9" xfId="95"/>
    <cellStyle name="Milliers 2 2 9 2" xfId="17975"/>
    <cellStyle name="Milliers 2 20" xfId="17745"/>
    <cellStyle name="Milliers 2 21" xfId="17746"/>
    <cellStyle name="Milliers 2 22" xfId="17747"/>
    <cellStyle name="Milliers 2 23" xfId="17748"/>
    <cellStyle name="Milliers 2 24" xfId="17788"/>
    <cellStyle name="Milliers 2 25" xfId="17789"/>
    <cellStyle name="Milliers 2 26" xfId="17790"/>
    <cellStyle name="Milliers 2 27" xfId="17791"/>
    <cellStyle name="Milliers 2 28" xfId="17957"/>
    <cellStyle name="Milliers 2 3" xfId="96"/>
    <cellStyle name="Milliers 2 3 2" xfId="97"/>
    <cellStyle name="Milliers 2 3 2 2" xfId="17977"/>
    <cellStyle name="Milliers 2 3 3" xfId="17976"/>
    <cellStyle name="Milliers 2 4" xfId="98"/>
    <cellStyle name="Milliers 2 4 2" xfId="17978"/>
    <cellStyle name="Milliers 2 5" xfId="99"/>
    <cellStyle name="Milliers 2 5 2" xfId="17979"/>
    <cellStyle name="Milliers 2 6" xfId="100"/>
    <cellStyle name="Milliers 2 6 2" xfId="17980"/>
    <cellStyle name="Milliers 2 7" xfId="101"/>
    <cellStyle name="Milliers 2 7 2" xfId="17806"/>
    <cellStyle name="Milliers 2 7 3" xfId="17818"/>
    <cellStyle name="Milliers 2 7 4" xfId="17819"/>
    <cellStyle name="Milliers 2 7 5" xfId="17820"/>
    <cellStyle name="Milliers 2 7 6" xfId="17822"/>
    <cellStyle name="Milliers 2 7 7" xfId="17821"/>
    <cellStyle name="Milliers 2 7 8" xfId="17823"/>
    <cellStyle name="Milliers 2 7 9" xfId="17824"/>
    <cellStyle name="Milliers 2 8" xfId="102"/>
    <cellStyle name="Milliers 2 8 2" xfId="17981"/>
    <cellStyle name="Milliers 2 9" xfId="103"/>
    <cellStyle name="Milliers 2 9 2" xfId="17982"/>
    <cellStyle name="Milliers 3" xfId="104"/>
    <cellStyle name="Milliers 3 10" xfId="105"/>
    <cellStyle name="Milliers 3 10 2" xfId="17984"/>
    <cellStyle name="Milliers 3 11" xfId="106"/>
    <cellStyle name="Milliers 3 11 2" xfId="17985"/>
    <cellStyle name="Milliers 3 12" xfId="107"/>
    <cellStyle name="Milliers 3 12 2" xfId="17986"/>
    <cellStyle name="Milliers 3 13" xfId="108"/>
    <cellStyle name="Milliers 3 13 2" xfId="17987"/>
    <cellStyle name="Milliers 3 14" xfId="17749"/>
    <cellStyle name="Milliers 3 15" xfId="17750"/>
    <cellStyle name="Milliers 3 16" xfId="17751"/>
    <cellStyle name="Milliers 3 17" xfId="17752"/>
    <cellStyle name="Milliers 3 18" xfId="17753"/>
    <cellStyle name="Milliers 3 19" xfId="17754"/>
    <cellStyle name="Milliers 3 2" xfId="109"/>
    <cellStyle name="Milliers 3 2 2" xfId="17988"/>
    <cellStyle name="Milliers 3 20" xfId="17755"/>
    <cellStyle name="Milliers 3 21" xfId="17756"/>
    <cellStyle name="Milliers 3 22" xfId="17757"/>
    <cellStyle name="Milliers 3 23" xfId="17792"/>
    <cellStyle name="Milliers 3 24" xfId="17793"/>
    <cellStyle name="Milliers 3 25" xfId="17794"/>
    <cellStyle name="Milliers 3 26" xfId="17795"/>
    <cellStyle name="Milliers 3 27" xfId="17983"/>
    <cellStyle name="Milliers 3 3" xfId="110"/>
    <cellStyle name="Milliers 3 3 2" xfId="17989"/>
    <cellStyle name="Milliers 3 4" xfId="111"/>
    <cellStyle name="Milliers 3 4 2" xfId="17990"/>
    <cellStyle name="Milliers 3 5" xfId="112"/>
    <cellStyle name="Milliers 3 5 2" xfId="17991"/>
    <cellStyle name="Milliers 3 6" xfId="113"/>
    <cellStyle name="Milliers 3 6 2" xfId="17992"/>
    <cellStyle name="Milliers 3 7" xfId="114"/>
    <cellStyle name="Milliers 3 7 2" xfId="17993"/>
    <cellStyle name="Milliers 3 8" xfId="115"/>
    <cellStyle name="Milliers 3 8 2" xfId="17994"/>
    <cellStyle name="Milliers 3 9" xfId="116"/>
    <cellStyle name="Milliers 3 9 2" xfId="17995"/>
    <cellStyle name="Milliers 4" xfId="117"/>
    <cellStyle name="Milliers 5" xfId="17838"/>
    <cellStyle name="Monétaire 2" xfId="118"/>
    <cellStyle name="Neutral 2" xfId="243"/>
    <cellStyle name="Neutre" xfId="17" builtinId="28" customBuiltin="1"/>
    <cellStyle name="Neutre 2" xfId="201"/>
    <cellStyle name="Normal" xfId="0" builtinId="0"/>
    <cellStyle name="Normal 10" xfId="244"/>
    <cellStyle name="Normal 10 2" xfId="17808"/>
    <cellStyle name="Normal 10 3" xfId="17832"/>
    <cellStyle name="Normal 11" xfId="419"/>
    <cellStyle name="Normal 11 2" xfId="17831"/>
    <cellStyle name="Normal 12" xfId="273"/>
    <cellStyle name="Normal 12 2" xfId="17815"/>
    <cellStyle name="Normal 13" xfId="421"/>
    <cellStyle name="Normal 13 2" xfId="17816"/>
    <cellStyle name="Normal 14" xfId="440"/>
    <cellStyle name="Normal 14 2" xfId="444"/>
    <cellStyle name="Normal 14 3" xfId="17817"/>
    <cellStyle name="Normal 15" xfId="445"/>
    <cellStyle name="Normal 15 2" xfId="1292"/>
    <cellStyle name="Normal 15 2 2" xfId="3822"/>
    <cellStyle name="Normal 15 2 2 2" xfId="9364"/>
    <cellStyle name="Normal 15 2 2 3" xfId="14903"/>
    <cellStyle name="Normal 15 2 3" xfId="4859"/>
    <cellStyle name="Normal 15 2 3 2" xfId="10398"/>
    <cellStyle name="Normal 15 2 3 3" xfId="15937"/>
    <cellStyle name="Normal 15 2 4" xfId="5794"/>
    <cellStyle name="Normal 15 2 4 2" xfId="11333"/>
    <cellStyle name="Normal 15 2 4 3" xfId="16872"/>
    <cellStyle name="Normal 15 2 5" xfId="2496"/>
    <cellStyle name="Normal 15 2 5 2" xfId="8042"/>
    <cellStyle name="Normal 15 2 5 3" xfId="13581"/>
    <cellStyle name="Normal 15 2 6" xfId="6837"/>
    <cellStyle name="Normal 15 2 7" xfId="12376"/>
    <cellStyle name="Normal 15 3" xfId="3057"/>
    <cellStyle name="Normal 15 3 2" xfId="8600"/>
    <cellStyle name="Normal 15 3 3" xfId="14139"/>
    <cellStyle name="Normal 15 4" xfId="4100"/>
    <cellStyle name="Normal 15 4 2" xfId="9641"/>
    <cellStyle name="Normal 15 4 3" xfId="15180"/>
    <cellStyle name="Normal 15 5" xfId="5109"/>
    <cellStyle name="Normal 15 5 2" xfId="10648"/>
    <cellStyle name="Normal 15 5 3" xfId="16187"/>
    <cellStyle name="Normal 15 6" xfId="1811"/>
    <cellStyle name="Normal 15 6 2" xfId="7357"/>
    <cellStyle name="Normal 15 6 3" xfId="12896"/>
    <cellStyle name="Normal 15 7" xfId="6152"/>
    <cellStyle name="Normal 15 8" xfId="11691"/>
    <cellStyle name="Normal 16" xfId="433"/>
    <cellStyle name="Normal 17" xfId="438"/>
    <cellStyle name="Normal 18" xfId="17377"/>
    <cellStyle name="Normal 19" xfId="17380"/>
    <cellStyle name="Normal 2" xfId="1"/>
    <cellStyle name="Normal 2 2" xfId="119"/>
    <cellStyle name="Normal 2 2 10" xfId="120"/>
    <cellStyle name="Normal 2 2 11" xfId="121"/>
    <cellStyle name="Normal 2 2 12" xfId="122"/>
    <cellStyle name="Normal 2 2 13" xfId="17758"/>
    <cellStyle name="Normal 2 2 14" xfId="17759"/>
    <cellStyle name="Normal 2 2 15" xfId="17760"/>
    <cellStyle name="Normal 2 2 16" xfId="17761"/>
    <cellStyle name="Normal 2 2 17" xfId="17762"/>
    <cellStyle name="Normal 2 2 18" xfId="17763"/>
    <cellStyle name="Normal 2 2 19" xfId="17764"/>
    <cellStyle name="Normal 2 2 2" xfId="2"/>
    <cellStyle name="Normal 2 2 2 2" xfId="123"/>
    <cellStyle name="Normal 2 2 20" xfId="17765"/>
    <cellStyle name="Normal 2 2 21" xfId="17766"/>
    <cellStyle name="Normal 2 2 22" xfId="17796"/>
    <cellStyle name="Normal 2 2 23" xfId="17797"/>
    <cellStyle name="Normal 2 2 24" xfId="17798"/>
    <cellStyle name="Normal 2 2 25" xfId="17799"/>
    <cellStyle name="Normal 2 2 3" xfId="124"/>
    <cellStyle name="Normal 2 2 4" xfId="125"/>
    <cellStyle name="Normal 2 2 5" xfId="126"/>
    <cellStyle name="Normal 2 2 6" xfId="127"/>
    <cellStyle name="Normal 2 2 7" xfId="128"/>
    <cellStyle name="Normal 2 2 8" xfId="129"/>
    <cellStyle name="Normal 2 2 9" xfId="130"/>
    <cellStyle name="Normal 2 3" xfId="131"/>
    <cellStyle name="Normal 2 3 2" xfId="132"/>
    <cellStyle name="Normal 2 4" xfId="133"/>
    <cellStyle name="Normal 2 4 2" xfId="17826"/>
    <cellStyle name="Normal 2 5" xfId="134"/>
    <cellStyle name="Normal 2 6" xfId="245"/>
    <cellStyle name="Normal 2 6 2" xfId="1295"/>
    <cellStyle name="Normal 2 6 2 2" xfId="3825"/>
    <cellStyle name="Normal 2 6 2 2 2" xfId="9367"/>
    <cellStyle name="Normal 2 6 2 2 3" xfId="14906"/>
    <cellStyle name="Normal 2 6 2 3" xfId="4862"/>
    <cellStyle name="Normal 2 6 2 3 2" xfId="10401"/>
    <cellStyle name="Normal 2 6 2 3 3" xfId="15940"/>
    <cellStyle name="Normal 2 6 2 4" xfId="5797"/>
    <cellStyle name="Normal 2 6 2 4 2" xfId="11336"/>
    <cellStyle name="Normal 2 6 2 4 3" xfId="16875"/>
    <cellStyle name="Normal 2 6 2 5" xfId="2499"/>
    <cellStyle name="Normal 2 6 2 5 2" xfId="8045"/>
    <cellStyle name="Normal 2 6 2 5 3" xfId="13584"/>
    <cellStyle name="Normal 2 6 2 6" xfId="6840"/>
    <cellStyle name="Normal 2 6 2 7" xfId="12379"/>
    <cellStyle name="Normal 2 6 3" xfId="3099"/>
    <cellStyle name="Normal 2 6 3 2" xfId="8642"/>
    <cellStyle name="Normal 2 6 3 3" xfId="14181"/>
    <cellStyle name="Normal 2 6 4" xfId="4142"/>
    <cellStyle name="Normal 2 6 4 2" xfId="9683"/>
    <cellStyle name="Normal 2 6 4 3" xfId="15222"/>
    <cellStyle name="Normal 2 6 5" xfId="5112"/>
    <cellStyle name="Normal 2 6 5 2" xfId="10651"/>
    <cellStyle name="Normal 2 6 5 3" xfId="16190"/>
    <cellStyle name="Normal 2 6 6" xfId="1814"/>
    <cellStyle name="Normal 2 6 6 2" xfId="7360"/>
    <cellStyle name="Normal 2 6 6 3" xfId="12899"/>
    <cellStyle name="Normal 2 6 7" xfId="6155"/>
    <cellStyle name="Normal 2 6 8" xfId="11694"/>
    <cellStyle name="Normal 2 6 9" xfId="17836"/>
    <cellStyle name="Normal 20" xfId="4168"/>
    <cellStyle name="Normal 3" xfId="8"/>
    <cellStyle name="Normal 3 10" xfId="135"/>
    <cellStyle name="Normal 3 11" xfId="136"/>
    <cellStyle name="Normal 3 12" xfId="137"/>
    <cellStyle name="Normal 3 13" xfId="138"/>
    <cellStyle name="Normal 3 14" xfId="17767"/>
    <cellStyle name="Normal 3 15" xfId="17768"/>
    <cellStyle name="Normal 3 16" xfId="17769"/>
    <cellStyle name="Normal 3 17" xfId="17770"/>
    <cellStyle name="Normal 3 18" xfId="17771"/>
    <cellStyle name="Normal 3 19" xfId="17772"/>
    <cellStyle name="Normal 3 2" xfId="139"/>
    <cellStyle name="Normal 3 2 2" xfId="140"/>
    <cellStyle name="Normal 3 2 3" xfId="423"/>
    <cellStyle name="Normal 3 2 4" xfId="431"/>
    <cellStyle name="Normal 3 2 5" xfId="437"/>
    <cellStyle name="Normal 3 2 6" xfId="429"/>
    <cellStyle name="Normal 3 2 7" xfId="428"/>
    <cellStyle name="Normal 3 2 8" xfId="442"/>
    <cellStyle name="Normal 3 2 8 2" xfId="451"/>
    <cellStyle name="Normal 3 2 8 2 2" xfId="3826"/>
    <cellStyle name="Normal 3 2 8 2 2 2" xfId="9368"/>
    <cellStyle name="Normal 3 2 8 2 2 3" xfId="14907"/>
    <cellStyle name="Normal 3 2 8 2 3" xfId="4863"/>
    <cellStyle name="Normal 3 2 8 2 3 2" xfId="10402"/>
    <cellStyle name="Normal 3 2 8 2 3 3" xfId="15941"/>
    <cellStyle name="Normal 3 2 8 2 4" xfId="5798"/>
    <cellStyle name="Normal 3 2 8 2 4 2" xfId="11337"/>
    <cellStyle name="Normal 3 2 8 2 4 3" xfId="16876"/>
    <cellStyle name="Normal 3 2 8 2 5" xfId="2500"/>
    <cellStyle name="Normal 3 2 8 2 5 2" xfId="8046"/>
    <cellStyle name="Normal 3 2 8 2 5 3" xfId="13585"/>
    <cellStyle name="Normal 3 2 8 2 6" xfId="6841"/>
    <cellStyle name="Normal 3 2 8 2 7" xfId="12380"/>
    <cellStyle name="Normal 3 2 8 3" xfId="3100"/>
    <cellStyle name="Normal 3 2 8 3 2" xfId="8643"/>
    <cellStyle name="Normal 3 2 8 3 3" xfId="14182"/>
    <cellStyle name="Normal 3 2 8 4" xfId="4143"/>
    <cellStyle name="Normal 3 2 8 4 2" xfId="9684"/>
    <cellStyle name="Normal 3 2 8 4 3" xfId="15223"/>
    <cellStyle name="Normal 3 2 8 5" xfId="5113"/>
    <cellStyle name="Normal 3 2 8 5 2" xfId="10652"/>
    <cellStyle name="Normal 3 2 8 5 3" xfId="16191"/>
    <cellStyle name="Normal 3 2 8 6" xfId="1815"/>
    <cellStyle name="Normal 3 2 8 6 2" xfId="7361"/>
    <cellStyle name="Normal 3 2 8 6 3" xfId="12900"/>
    <cellStyle name="Normal 3 2 8 7" xfId="6156"/>
    <cellStyle name="Normal 3 2 8 8" xfId="11695"/>
    <cellStyle name="Normal 3 2 9" xfId="246"/>
    <cellStyle name="Normal 3 20" xfId="17773"/>
    <cellStyle name="Normal 3 21" xfId="17774"/>
    <cellStyle name="Normal 3 22" xfId="17775"/>
    <cellStyle name="Normal 3 23" xfId="17800"/>
    <cellStyle name="Normal 3 24" xfId="17801"/>
    <cellStyle name="Normal 3 25" xfId="17802"/>
    <cellStyle name="Normal 3 26" xfId="17803"/>
    <cellStyle name="Normal 3 3" xfId="141"/>
    <cellStyle name="Normal 3 4" xfId="142"/>
    <cellStyle name="Normal 3 5" xfId="143"/>
    <cellStyle name="Normal 3 6" xfId="144"/>
    <cellStyle name="Normal 3 7" xfId="145"/>
    <cellStyle name="Normal 3 8" xfId="146"/>
    <cellStyle name="Normal 3 9" xfId="147"/>
    <cellStyle name="Normal 4" xfId="148"/>
    <cellStyle name="Normal 4 2" xfId="149"/>
    <cellStyle name="Normal 4 2 2" xfId="1467"/>
    <cellStyle name="Normal 4 2 2 2" xfId="3999"/>
    <cellStyle name="Normal 4 2 2 2 2" xfId="9541"/>
    <cellStyle name="Normal 4 2 2 2 3" xfId="15080"/>
    <cellStyle name="Normal 4 2 2 3" xfId="5036"/>
    <cellStyle name="Normal 4 2 2 3 2" xfId="10575"/>
    <cellStyle name="Normal 4 2 2 3 3" xfId="16114"/>
    <cellStyle name="Normal 4 2 2 4" xfId="5970"/>
    <cellStyle name="Normal 4 2 2 4 2" xfId="11509"/>
    <cellStyle name="Normal 4 2 2 4 3" xfId="17048"/>
    <cellStyle name="Normal 4 2 2 5" xfId="2672"/>
    <cellStyle name="Normal 4 2 2 5 2" xfId="8218"/>
    <cellStyle name="Normal 4 2 2 5 3" xfId="13757"/>
    <cellStyle name="Normal 4 2 2 6" xfId="7013"/>
    <cellStyle name="Normal 4 2 2 7" xfId="12552"/>
    <cellStyle name="Normal 4 2 3" xfId="3299"/>
    <cellStyle name="Normal 4 2 3 2" xfId="8841"/>
    <cellStyle name="Normal 4 2 3 3" xfId="14380"/>
    <cellStyle name="Normal 4 2 4" xfId="4338"/>
    <cellStyle name="Normal 4 2 4 2" xfId="9877"/>
    <cellStyle name="Normal 4 2 4 3" xfId="15416"/>
    <cellStyle name="Normal 4 2 5" xfId="5285"/>
    <cellStyle name="Normal 4 2 5 2" xfId="10824"/>
    <cellStyle name="Normal 4 2 5 3" xfId="16363"/>
    <cellStyle name="Normal 4 2 6" xfId="1987"/>
    <cellStyle name="Normal 4 2 6 2" xfId="7533"/>
    <cellStyle name="Normal 4 2 6 3" xfId="13072"/>
    <cellStyle name="Normal 4 2 7" xfId="6328"/>
    <cellStyle name="Normal 4 2 8" xfId="11867"/>
    <cellStyle name="Normal 4 2 9" xfId="434"/>
    <cellStyle name="Normal 4 3" xfId="150"/>
    <cellStyle name="Normal 5" xfId="151"/>
    <cellStyle name="Normal 5 10" xfId="272"/>
    <cellStyle name="Normal 5 10 10" xfId="1652"/>
    <cellStyle name="Normal 5 10 10 2" xfId="7198"/>
    <cellStyle name="Normal 5 10 10 3" xfId="12737"/>
    <cellStyle name="Normal 5 10 11" xfId="5993"/>
    <cellStyle name="Normal 5 10 11 2" xfId="17071"/>
    <cellStyle name="Normal 5 10 12" xfId="637"/>
    <cellStyle name="Normal 5 10 12 2" xfId="17233"/>
    <cellStyle name="Normal 5 10 13" xfId="11532"/>
    <cellStyle name="Normal 5 10 14" xfId="17400"/>
    <cellStyle name="Normal 5 10 15" xfId="17565"/>
    <cellStyle name="Normal 5 10 17" xfId="17711"/>
    <cellStyle name="Normal 5 10 2" xfId="274"/>
    <cellStyle name="Normal 5 10 2 10" xfId="11677"/>
    <cellStyle name="Normal 5 10 2 2" xfId="473"/>
    <cellStyle name="Normal 5 10 2 2 2" xfId="1314"/>
    <cellStyle name="Normal 5 10 2 2 2 2" xfId="3846"/>
    <cellStyle name="Normal 5 10 2 2 2 2 2" xfId="9388"/>
    <cellStyle name="Normal 5 10 2 2 2 2 3" xfId="14927"/>
    <cellStyle name="Normal 5 10 2 2 2 3" xfId="4883"/>
    <cellStyle name="Normal 5 10 2 2 2 3 2" xfId="10422"/>
    <cellStyle name="Normal 5 10 2 2 2 3 3" xfId="15961"/>
    <cellStyle name="Normal 5 10 2 2 2 4" xfId="5817"/>
    <cellStyle name="Normal 5 10 2 2 2 4 2" xfId="11356"/>
    <cellStyle name="Normal 5 10 2 2 2 4 3" xfId="16895"/>
    <cellStyle name="Normal 5 10 2 2 2 5" xfId="2519"/>
    <cellStyle name="Normal 5 10 2 2 2 5 2" xfId="8065"/>
    <cellStyle name="Normal 5 10 2 2 2 5 3" xfId="13604"/>
    <cellStyle name="Normal 5 10 2 2 2 6" xfId="6860"/>
    <cellStyle name="Normal 5 10 2 2 2 7" xfId="12399"/>
    <cellStyle name="Normal 5 10 2 2 3" xfId="3132"/>
    <cellStyle name="Normal 5 10 2 2 3 2" xfId="8674"/>
    <cellStyle name="Normal 5 10 2 2 3 3" xfId="14213"/>
    <cellStyle name="Normal 5 10 2 2 4" xfId="4171"/>
    <cellStyle name="Normal 5 10 2 2 4 2" xfId="9710"/>
    <cellStyle name="Normal 5 10 2 2 4 3" xfId="15249"/>
    <cellStyle name="Normal 5 10 2 2 5" xfId="5132"/>
    <cellStyle name="Normal 5 10 2 2 5 2" xfId="10671"/>
    <cellStyle name="Normal 5 10 2 2 5 3" xfId="16210"/>
    <cellStyle name="Normal 5 10 2 2 6" xfId="1834"/>
    <cellStyle name="Normal 5 10 2 2 6 2" xfId="7380"/>
    <cellStyle name="Normal 5 10 2 2 6 3" xfId="12919"/>
    <cellStyle name="Normal 5 10 2 2 7" xfId="6175"/>
    <cellStyle name="Normal 5 10 2 2 8" xfId="11714"/>
    <cellStyle name="Normal 5 10 2 3" xfId="1290"/>
    <cellStyle name="Normal 5 10 2 3 2" xfId="3820"/>
    <cellStyle name="Normal 5 10 2 3 2 2" xfId="9362"/>
    <cellStyle name="Normal 5 10 2 3 2 3" xfId="14901"/>
    <cellStyle name="Normal 5 10 2 3 3" xfId="4857"/>
    <cellStyle name="Normal 5 10 2 3 3 2" xfId="10396"/>
    <cellStyle name="Normal 5 10 2 3 3 3" xfId="15935"/>
    <cellStyle name="Normal 5 10 2 3 4" xfId="5792"/>
    <cellStyle name="Normal 5 10 2 3 4 2" xfId="11331"/>
    <cellStyle name="Normal 5 10 2 3 4 3" xfId="16870"/>
    <cellStyle name="Normal 5 10 2 3 5" xfId="2494"/>
    <cellStyle name="Normal 5 10 2 3 5 2" xfId="8040"/>
    <cellStyle name="Normal 5 10 2 3 5 3" xfId="13579"/>
    <cellStyle name="Normal 5 10 2 3 6" xfId="6835"/>
    <cellStyle name="Normal 5 10 2 3 7" xfId="12374"/>
    <cellStyle name="Normal 5 10 2 4" xfId="1113"/>
    <cellStyle name="Normal 5 10 2 4 2" xfId="3643"/>
    <cellStyle name="Normal 5 10 2 4 2 2" xfId="9185"/>
    <cellStyle name="Normal 5 10 2 4 2 3" xfId="14724"/>
    <cellStyle name="Normal 5 10 2 4 3" xfId="4680"/>
    <cellStyle name="Normal 5 10 2 4 3 2" xfId="10219"/>
    <cellStyle name="Normal 5 10 2 4 3 3" xfId="15758"/>
    <cellStyle name="Normal 5 10 2 4 4" xfId="5615"/>
    <cellStyle name="Normal 5 10 2 4 4 2" xfId="11154"/>
    <cellStyle name="Normal 5 10 2 4 4 3" xfId="16693"/>
    <cellStyle name="Normal 5 10 2 4 5" xfId="2317"/>
    <cellStyle name="Normal 5 10 2 4 5 2" xfId="7863"/>
    <cellStyle name="Normal 5 10 2 4 5 3" xfId="13402"/>
    <cellStyle name="Normal 5 10 2 4 6" xfId="6658"/>
    <cellStyle name="Normal 5 10 2 4 7" xfId="12197"/>
    <cellStyle name="Normal 5 10 2 5" xfId="3015"/>
    <cellStyle name="Normal 5 10 2 5 2" xfId="8559"/>
    <cellStyle name="Normal 5 10 2 5 3" xfId="14098"/>
    <cellStyle name="Normal 5 10 2 6" xfId="4060"/>
    <cellStyle name="Normal 5 10 2 6 2" xfId="9602"/>
    <cellStyle name="Normal 5 10 2 6 3" xfId="15141"/>
    <cellStyle name="Normal 5 10 2 7" xfId="5095"/>
    <cellStyle name="Normal 5 10 2 7 2" xfId="10634"/>
    <cellStyle name="Normal 5 10 2 7 3" xfId="16173"/>
    <cellStyle name="Normal 5 10 2 8" xfId="1797"/>
    <cellStyle name="Normal 5 10 2 8 2" xfId="7343"/>
    <cellStyle name="Normal 5 10 2 8 3" xfId="12882"/>
    <cellStyle name="Normal 5 10 2 9" xfId="6150"/>
    <cellStyle name="Normal 5 10 3" xfId="472"/>
    <cellStyle name="Normal 5 10 3 2" xfId="1313"/>
    <cellStyle name="Normal 5 10 3 2 2" xfId="3845"/>
    <cellStyle name="Normal 5 10 3 2 2 2" xfId="9387"/>
    <cellStyle name="Normal 5 10 3 2 2 3" xfId="14926"/>
    <cellStyle name="Normal 5 10 3 2 3" xfId="4882"/>
    <cellStyle name="Normal 5 10 3 2 3 2" xfId="10421"/>
    <cellStyle name="Normal 5 10 3 2 3 3" xfId="15960"/>
    <cellStyle name="Normal 5 10 3 2 4" xfId="5816"/>
    <cellStyle name="Normal 5 10 3 2 4 2" xfId="11355"/>
    <cellStyle name="Normal 5 10 3 2 4 3" xfId="16894"/>
    <cellStyle name="Normal 5 10 3 2 5" xfId="2518"/>
    <cellStyle name="Normal 5 10 3 2 5 2" xfId="8064"/>
    <cellStyle name="Normal 5 10 3 2 5 3" xfId="13603"/>
    <cellStyle name="Normal 5 10 3 2 6" xfId="6859"/>
    <cellStyle name="Normal 5 10 3 2 7" xfId="12398"/>
    <cellStyle name="Normal 5 10 3 3" xfId="968"/>
    <cellStyle name="Normal 5 10 3 3 2" xfId="3498"/>
    <cellStyle name="Normal 5 10 3 3 2 2" xfId="9040"/>
    <cellStyle name="Normal 5 10 3 3 2 3" xfId="14579"/>
    <cellStyle name="Normal 5 10 3 3 3" xfId="4535"/>
    <cellStyle name="Normal 5 10 3 3 3 2" xfId="10074"/>
    <cellStyle name="Normal 5 10 3 3 3 3" xfId="15613"/>
    <cellStyle name="Normal 5 10 3 3 4" xfId="5470"/>
    <cellStyle name="Normal 5 10 3 3 4 2" xfId="11009"/>
    <cellStyle name="Normal 5 10 3 3 4 3" xfId="16548"/>
    <cellStyle name="Normal 5 10 3 3 5" xfId="2172"/>
    <cellStyle name="Normal 5 10 3 3 5 2" xfId="7718"/>
    <cellStyle name="Normal 5 10 3 3 5 3" xfId="13257"/>
    <cellStyle name="Normal 5 10 3 3 6" xfId="6513"/>
    <cellStyle name="Normal 5 10 3 3 7" xfId="12052"/>
    <cellStyle name="Normal 5 10 3 4" xfId="3131"/>
    <cellStyle name="Normal 5 10 3 4 2" xfId="8673"/>
    <cellStyle name="Normal 5 10 3 4 3" xfId="14212"/>
    <cellStyle name="Normal 5 10 3 5" xfId="4170"/>
    <cellStyle name="Normal 5 10 3 5 2" xfId="9709"/>
    <cellStyle name="Normal 5 10 3 5 3" xfId="15248"/>
    <cellStyle name="Normal 5 10 3 6" xfId="5131"/>
    <cellStyle name="Normal 5 10 3 6 2" xfId="10670"/>
    <cellStyle name="Normal 5 10 3 6 3" xfId="16209"/>
    <cellStyle name="Normal 5 10 3 7" xfId="1833"/>
    <cellStyle name="Normal 5 10 3 7 2" xfId="7379"/>
    <cellStyle name="Normal 5 10 3 7 3" xfId="12918"/>
    <cellStyle name="Normal 5 10 3 8" xfId="6174"/>
    <cellStyle name="Normal 5 10 3 9" xfId="11713"/>
    <cellStyle name="Normal 5 10 4" xfId="1145"/>
    <cellStyle name="Normal 5 10 4 2" xfId="3675"/>
    <cellStyle name="Normal 5 10 4 2 2" xfId="9217"/>
    <cellStyle name="Normal 5 10 4 2 3" xfId="14756"/>
    <cellStyle name="Normal 5 10 4 3" xfId="4712"/>
    <cellStyle name="Normal 5 10 4 3 2" xfId="10251"/>
    <cellStyle name="Normal 5 10 4 3 3" xfId="15790"/>
    <cellStyle name="Normal 5 10 4 4" xfId="5647"/>
    <cellStyle name="Normal 5 10 4 4 2" xfId="11186"/>
    <cellStyle name="Normal 5 10 4 4 3" xfId="16725"/>
    <cellStyle name="Normal 5 10 4 5" xfId="2349"/>
    <cellStyle name="Normal 5 10 4 5 2" xfId="7895"/>
    <cellStyle name="Normal 5 10 4 5 3" xfId="13434"/>
    <cellStyle name="Normal 5 10 4 6" xfId="6690"/>
    <cellStyle name="Normal 5 10 4 7" xfId="12229"/>
    <cellStyle name="Normal 5 10 5" xfId="789"/>
    <cellStyle name="Normal 5 10 5 2" xfId="3319"/>
    <cellStyle name="Normal 5 10 5 2 2" xfId="8861"/>
    <cellStyle name="Normal 5 10 5 2 3" xfId="14400"/>
    <cellStyle name="Normal 5 10 5 3" xfId="4356"/>
    <cellStyle name="Normal 5 10 5 3 2" xfId="9895"/>
    <cellStyle name="Normal 5 10 5 3 3" xfId="15434"/>
    <cellStyle name="Normal 5 10 5 4" xfId="5291"/>
    <cellStyle name="Normal 5 10 5 4 2" xfId="10830"/>
    <cellStyle name="Normal 5 10 5 4 3" xfId="16369"/>
    <cellStyle name="Normal 5 10 5 5" xfId="1993"/>
    <cellStyle name="Normal 5 10 5 5 2" xfId="7539"/>
    <cellStyle name="Normal 5 10 5 5 3" xfId="13078"/>
    <cellStyle name="Normal 5 10 5 6" xfId="6334"/>
    <cellStyle name="Normal 5 10 5 7" xfId="11873"/>
    <cellStyle name="Normal 5 10 6" xfId="1490"/>
    <cellStyle name="Normal 5 10 6 2" xfId="2695"/>
    <cellStyle name="Normal 5 10 6 2 2" xfId="8241"/>
    <cellStyle name="Normal 5 10 6 2 3" xfId="13780"/>
    <cellStyle name="Normal 5 10 6 3" xfId="7036"/>
    <cellStyle name="Normal 5 10 6 4" xfId="12575"/>
    <cellStyle name="Normal 5 10 7" xfId="2868"/>
    <cellStyle name="Normal 5 10 7 2" xfId="8412"/>
    <cellStyle name="Normal 5 10 7 3" xfId="13951"/>
    <cellStyle name="Normal 5 10 8" xfId="2843"/>
    <cellStyle name="Normal 5 10 8 2" xfId="8389"/>
    <cellStyle name="Normal 5 10 8 3" xfId="13928"/>
    <cellStyle name="Normal 5 10 9" xfId="3128"/>
    <cellStyle name="Normal 5 10 9 2" xfId="8670"/>
    <cellStyle name="Normal 5 10 9 3" xfId="14209"/>
    <cellStyle name="Normal 5 11" xfId="424"/>
    <cellStyle name="Normal 5 11 2" xfId="1461"/>
    <cellStyle name="Normal 5 11 2 2" xfId="3993"/>
    <cellStyle name="Normal 5 11 2 2 2" xfId="9535"/>
    <cellStyle name="Normal 5 11 2 2 3" xfId="15074"/>
    <cellStyle name="Normal 5 11 2 3" xfId="5030"/>
    <cellStyle name="Normal 5 11 2 3 2" xfId="10569"/>
    <cellStyle name="Normal 5 11 2 3 3" xfId="16108"/>
    <cellStyle name="Normal 5 11 2 4" xfId="5964"/>
    <cellStyle name="Normal 5 11 2 4 2" xfId="11503"/>
    <cellStyle name="Normal 5 11 2 4 3" xfId="17042"/>
    <cellStyle name="Normal 5 11 2 5" xfId="2666"/>
    <cellStyle name="Normal 5 11 2 5 2" xfId="8212"/>
    <cellStyle name="Normal 5 11 2 5 3" xfId="13751"/>
    <cellStyle name="Normal 5 11 2 6" xfId="7007"/>
    <cellStyle name="Normal 5 11 2 7" xfId="12546"/>
    <cellStyle name="Normal 5 11 3" xfId="950"/>
    <cellStyle name="Normal 5 11 3 2" xfId="3480"/>
    <cellStyle name="Normal 5 11 3 2 2" xfId="9022"/>
    <cellStyle name="Normal 5 11 3 2 3" xfId="14561"/>
    <cellStyle name="Normal 5 11 3 3" xfId="4517"/>
    <cellStyle name="Normal 5 11 3 3 2" xfId="10056"/>
    <cellStyle name="Normal 5 11 3 3 3" xfId="15595"/>
    <cellStyle name="Normal 5 11 3 4" xfId="5452"/>
    <cellStyle name="Normal 5 11 3 4 2" xfId="10991"/>
    <cellStyle name="Normal 5 11 3 4 3" xfId="16530"/>
    <cellStyle name="Normal 5 11 3 5" xfId="2154"/>
    <cellStyle name="Normal 5 11 3 5 2" xfId="7700"/>
    <cellStyle name="Normal 5 11 3 5 3" xfId="13239"/>
    <cellStyle name="Normal 5 11 3 6" xfId="6495"/>
    <cellStyle name="Normal 5 11 3 7" xfId="12034"/>
    <cellStyle name="Normal 5 11 4" xfId="3282"/>
    <cellStyle name="Normal 5 11 4 2" xfId="8824"/>
    <cellStyle name="Normal 5 11 4 3" xfId="14363"/>
    <cellStyle name="Normal 5 11 5" xfId="4321"/>
    <cellStyle name="Normal 5 11 5 2" xfId="9860"/>
    <cellStyle name="Normal 5 11 5 3" xfId="15399"/>
    <cellStyle name="Normal 5 11 6" xfId="5279"/>
    <cellStyle name="Normal 5 11 6 2" xfId="10818"/>
    <cellStyle name="Normal 5 11 6 3" xfId="16357"/>
    <cellStyle name="Normal 5 11 7" xfId="1981"/>
    <cellStyle name="Normal 5 11 7 2" xfId="7527"/>
    <cellStyle name="Normal 5 11 7 3" xfId="13066"/>
    <cellStyle name="Normal 5 11 8" xfId="6322"/>
    <cellStyle name="Normal 5 11 9" xfId="11861"/>
    <cellStyle name="Normal 5 12" xfId="426"/>
    <cellStyle name="Normal 5 12 2" xfId="1463"/>
    <cellStyle name="Normal 5 12 2 2" xfId="3995"/>
    <cellStyle name="Normal 5 12 2 2 2" xfId="9537"/>
    <cellStyle name="Normal 5 12 2 2 3" xfId="15076"/>
    <cellStyle name="Normal 5 12 2 3" xfId="5032"/>
    <cellStyle name="Normal 5 12 2 3 2" xfId="10571"/>
    <cellStyle name="Normal 5 12 2 3 3" xfId="16110"/>
    <cellStyle name="Normal 5 12 2 4" xfId="5966"/>
    <cellStyle name="Normal 5 12 2 4 2" xfId="11505"/>
    <cellStyle name="Normal 5 12 2 4 3" xfId="17044"/>
    <cellStyle name="Normal 5 12 2 5" xfId="2668"/>
    <cellStyle name="Normal 5 12 2 5 2" xfId="8214"/>
    <cellStyle name="Normal 5 12 2 5 3" xfId="13753"/>
    <cellStyle name="Normal 5 12 2 6" xfId="7009"/>
    <cellStyle name="Normal 5 12 2 7" xfId="12548"/>
    <cellStyle name="Normal 5 12 3" xfId="3284"/>
    <cellStyle name="Normal 5 12 3 2" xfId="8826"/>
    <cellStyle name="Normal 5 12 3 3" xfId="14365"/>
    <cellStyle name="Normal 5 12 4" xfId="4323"/>
    <cellStyle name="Normal 5 12 4 2" xfId="9862"/>
    <cellStyle name="Normal 5 12 4 3" xfId="15401"/>
    <cellStyle name="Normal 5 12 5" xfId="5281"/>
    <cellStyle name="Normal 5 12 5 2" xfId="10820"/>
    <cellStyle name="Normal 5 12 5 3" xfId="16359"/>
    <cellStyle name="Normal 5 12 6" xfId="1983"/>
    <cellStyle name="Normal 5 12 6 2" xfId="7529"/>
    <cellStyle name="Normal 5 12 6 3" xfId="13068"/>
    <cellStyle name="Normal 5 12 7" xfId="6324"/>
    <cellStyle name="Normal 5 12 8" xfId="11863"/>
    <cellStyle name="Normal 5 13" xfId="420"/>
    <cellStyle name="Normal 5 13 10" xfId="17709"/>
    <cellStyle name="Normal 5 13 2" xfId="1459"/>
    <cellStyle name="Normal 5 13 2 2" xfId="3991"/>
    <cellStyle name="Normal 5 13 2 2 2" xfId="9533"/>
    <cellStyle name="Normal 5 13 2 2 3" xfId="15072"/>
    <cellStyle name="Normal 5 13 2 3" xfId="5028"/>
    <cellStyle name="Normal 5 13 2 3 2" xfId="10567"/>
    <cellStyle name="Normal 5 13 2 3 3" xfId="16106"/>
    <cellStyle name="Normal 5 13 2 4" xfId="5962"/>
    <cellStyle name="Normal 5 13 2 4 2" xfId="11501"/>
    <cellStyle name="Normal 5 13 2 4 3" xfId="17040"/>
    <cellStyle name="Normal 5 13 2 5" xfId="2664"/>
    <cellStyle name="Normal 5 13 2 5 2" xfId="8210"/>
    <cellStyle name="Normal 5 13 2 5 3" xfId="13749"/>
    <cellStyle name="Normal 5 13 2 6" xfId="7005"/>
    <cellStyle name="Normal 5 13 2 7" xfId="12544"/>
    <cellStyle name="Normal 5 13 3" xfId="3278"/>
    <cellStyle name="Normal 5 13 3 2" xfId="8820"/>
    <cellStyle name="Normal 5 13 3 3" xfId="14359"/>
    <cellStyle name="Normal 5 13 4" xfId="4317"/>
    <cellStyle name="Normal 5 13 4 2" xfId="9856"/>
    <cellStyle name="Normal 5 13 4 3" xfId="15395"/>
    <cellStyle name="Normal 5 13 5" xfId="5277"/>
    <cellStyle name="Normal 5 13 5 2" xfId="10816"/>
    <cellStyle name="Normal 5 13 5 3" xfId="16355"/>
    <cellStyle name="Normal 5 13 6" xfId="1979"/>
    <cellStyle name="Normal 5 13 6 2" xfId="7525"/>
    <cellStyle name="Normal 5 13 6 3" xfId="13064"/>
    <cellStyle name="Normal 5 13 7" xfId="6320"/>
    <cellStyle name="Normal 5 13 8" xfId="11859"/>
    <cellStyle name="Normal 5 13 9" xfId="17545"/>
    <cellStyle name="Normal 5 14" xfId="439"/>
    <cellStyle name="Normal 5 14 2" xfId="1471"/>
    <cellStyle name="Normal 5 14 2 2" xfId="4003"/>
    <cellStyle name="Normal 5 14 2 2 2" xfId="9545"/>
    <cellStyle name="Normal 5 14 2 2 3" xfId="15084"/>
    <cellStyle name="Normal 5 14 2 3" xfId="5040"/>
    <cellStyle name="Normal 5 14 2 3 2" xfId="10579"/>
    <cellStyle name="Normal 5 14 2 3 3" xfId="16118"/>
    <cellStyle name="Normal 5 14 2 4" xfId="5974"/>
    <cellStyle name="Normal 5 14 2 4 2" xfId="11513"/>
    <cellStyle name="Normal 5 14 2 4 3" xfId="17052"/>
    <cellStyle name="Normal 5 14 2 5" xfId="2676"/>
    <cellStyle name="Normal 5 14 2 5 2" xfId="8222"/>
    <cellStyle name="Normal 5 14 2 5 3" xfId="13761"/>
    <cellStyle name="Normal 5 14 2 6" xfId="7017"/>
    <cellStyle name="Normal 5 14 2 7" xfId="12556"/>
    <cellStyle name="Normal 5 14 3" xfId="3313"/>
    <cellStyle name="Normal 5 14 3 2" xfId="8855"/>
    <cellStyle name="Normal 5 14 3 3" xfId="14394"/>
    <cellStyle name="Normal 5 14 4" xfId="4350"/>
    <cellStyle name="Normal 5 14 4 2" xfId="9889"/>
    <cellStyle name="Normal 5 14 4 3" xfId="15428"/>
    <cellStyle name="Normal 5 14 5" xfId="5289"/>
    <cellStyle name="Normal 5 14 5 2" xfId="10828"/>
    <cellStyle name="Normal 5 14 5 3" xfId="16367"/>
    <cellStyle name="Normal 5 14 6" xfId="1991"/>
    <cellStyle name="Normal 5 14 6 2" xfId="7537"/>
    <cellStyle name="Normal 5 14 6 3" xfId="13076"/>
    <cellStyle name="Normal 5 14 7" xfId="6332"/>
    <cellStyle name="Normal 5 14 8" xfId="11871"/>
    <cellStyle name="Normal 5 15" xfId="435"/>
    <cellStyle name="Normal 5 15 2" xfId="1469"/>
    <cellStyle name="Normal 5 15 2 2" xfId="4001"/>
    <cellStyle name="Normal 5 15 2 2 2" xfId="9543"/>
    <cellStyle name="Normal 5 15 2 2 3" xfId="15082"/>
    <cellStyle name="Normal 5 15 2 3" xfId="5038"/>
    <cellStyle name="Normal 5 15 2 3 2" xfId="10577"/>
    <cellStyle name="Normal 5 15 2 3 3" xfId="16116"/>
    <cellStyle name="Normal 5 15 2 4" xfId="5972"/>
    <cellStyle name="Normal 5 15 2 4 2" xfId="11511"/>
    <cellStyle name="Normal 5 15 2 4 3" xfId="17050"/>
    <cellStyle name="Normal 5 15 2 5" xfId="2674"/>
    <cellStyle name="Normal 5 15 2 5 2" xfId="8220"/>
    <cellStyle name="Normal 5 15 2 5 3" xfId="13759"/>
    <cellStyle name="Normal 5 15 2 6" xfId="7015"/>
    <cellStyle name="Normal 5 15 2 7" xfId="12554"/>
    <cellStyle name="Normal 5 15 3" xfId="3309"/>
    <cellStyle name="Normal 5 15 3 2" xfId="8851"/>
    <cellStyle name="Normal 5 15 3 3" xfId="14390"/>
    <cellStyle name="Normal 5 15 4" xfId="4346"/>
    <cellStyle name="Normal 5 15 4 2" xfId="9885"/>
    <cellStyle name="Normal 5 15 4 3" xfId="15424"/>
    <cellStyle name="Normal 5 15 5" xfId="5287"/>
    <cellStyle name="Normal 5 15 5 2" xfId="10826"/>
    <cellStyle name="Normal 5 15 5 3" xfId="16365"/>
    <cellStyle name="Normal 5 15 6" xfId="1989"/>
    <cellStyle name="Normal 5 15 6 2" xfId="7535"/>
    <cellStyle name="Normal 5 15 6 3" xfId="13074"/>
    <cellStyle name="Normal 5 15 7" xfId="6330"/>
    <cellStyle name="Normal 5 15 8" xfId="11869"/>
    <cellStyle name="Normal 5 16" xfId="436"/>
    <cellStyle name="Normal 5 16 2" xfId="1470"/>
    <cellStyle name="Normal 5 16 2 2" xfId="4002"/>
    <cellStyle name="Normal 5 16 2 2 2" xfId="9544"/>
    <cellStyle name="Normal 5 16 2 2 3" xfId="15083"/>
    <cellStyle name="Normal 5 16 2 3" xfId="5039"/>
    <cellStyle name="Normal 5 16 2 3 2" xfId="10578"/>
    <cellStyle name="Normal 5 16 2 3 3" xfId="16117"/>
    <cellStyle name="Normal 5 16 2 4" xfId="5973"/>
    <cellStyle name="Normal 5 16 2 4 2" xfId="11512"/>
    <cellStyle name="Normal 5 16 2 4 3" xfId="17051"/>
    <cellStyle name="Normal 5 16 2 5" xfId="2675"/>
    <cellStyle name="Normal 5 16 2 5 2" xfId="8221"/>
    <cellStyle name="Normal 5 16 2 5 3" xfId="13760"/>
    <cellStyle name="Normal 5 16 2 6" xfId="7016"/>
    <cellStyle name="Normal 5 16 2 7" xfId="12555"/>
    <cellStyle name="Normal 5 16 3" xfId="3310"/>
    <cellStyle name="Normal 5 16 3 2" xfId="8852"/>
    <cellStyle name="Normal 5 16 3 3" xfId="14391"/>
    <cellStyle name="Normal 5 16 4" xfId="4347"/>
    <cellStyle name="Normal 5 16 4 2" xfId="9886"/>
    <cellStyle name="Normal 5 16 4 3" xfId="15425"/>
    <cellStyle name="Normal 5 16 5" xfId="5288"/>
    <cellStyle name="Normal 5 16 5 2" xfId="10827"/>
    <cellStyle name="Normal 5 16 5 3" xfId="16366"/>
    <cellStyle name="Normal 5 16 6" xfId="1990"/>
    <cellStyle name="Normal 5 16 6 2" xfId="7536"/>
    <cellStyle name="Normal 5 16 6 3" xfId="13075"/>
    <cellStyle name="Normal 5 16 7" xfId="6331"/>
    <cellStyle name="Normal 5 16 8" xfId="11870"/>
    <cellStyle name="Normal 5 17" xfId="441"/>
    <cellStyle name="Normal 5 17 2" xfId="452"/>
    <cellStyle name="Normal 5 18" xfId="1127"/>
    <cellStyle name="Normal 5 18 2" xfId="3657"/>
    <cellStyle name="Normal 5 18 2 2" xfId="9199"/>
    <cellStyle name="Normal 5 18 2 3" xfId="14738"/>
    <cellStyle name="Normal 5 18 3" xfId="4694"/>
    <cellStyle name="Normal 5 18 3 2" xfId="10233"/>
    <cellStyle name="Normal 5 18 3 3" xfId="15772"/>
    <cellStyle name="Normal 5 18 4" xfId="5629"/>
    <cellStyle name="Normal 5 18 4 2" xfId="11168"/>
    <cellStyle name="Normal 5 18 4 3" xfId="16707"/>
    <cellStyle name="Normal 5 18 5" xfId="2331"/>
    <cellStyle name="Normal 5 18 5 2" xfId="7877"/>
    <cellStyle name="Normal 5 18 5 3" xfId="13416"/>
    <cellStyle name="Normal 5 18 6" xfId="6672"/>
    <cellStyle name="Normal 5 18 7" xfId="12211"/>
    <cellStyle name="Normal 5 19" xfId="788"/>
    <cellStyle name="Normal 5 19 2" xfId="3318"/>
    <cellStyle name="Normal 5 19 2 2" xfId="8860"/>
    <cellStyle name="Normal 5 19 2 3" xfId="14399"/>
    <cellStyle name="Normal 5 19 3" xfId="4355"/>
    <cellStyle name="Normal 5 19 3 2" xfId="9894"/>
    <cellStyle name="Normal 5 19 3 3" xfId="15433"/>
    <cellStyle name="Normal 5 19 4" xfId="5290"/>
    <cellStyle name="Normal 5 19 4 2" xfId="10829"/>
    <cellStyle name="Normal 5 19 4 3" xfId="16368"/>
    <cellStyle name="Normal 5 19 5" xfId="1992"/>
    <cellStyle name="Normal 5 19 5 2" xfId="7538"/>
    <cellStyle name="Normal 5 19 5 3" xfId="13077"/>
    <cellStyle name="Normal 5 19 6" xfId="6333"/>
    <cellStyle name="Normal 5 19 7" xfId="11872"/>
    <cellStyle name="Normal 5 2" xfId="152"/>
    <cellStyle name="Normal 5 2 10" xfId="275"/>
    <cellStyle name="Normal 5 2 10 10" xfId="11676"/>
    <cellStyle name="Normal 5 2 10 2" xfId="474"/>
    <cellStyle name="Normal 5 2 10 2 2" xfId="1315"/>
    <cellStyle name="Normal 5 2 10 2 2 2" xfId="3847"/>
    <cellStyle name="Normal 5 2 10 2 2 2 2" xfId="9389"/>
    <cellStyle name="Normal 5 2 10 2 2 2 3" xfId="14928"/>
    <cellStyle name="Normal 5 2 10 2 2 3" xfId="4884"/>
    <cellStyle name="Normal 5 2 10 2 2 3 2" xfId="10423"/>
    <cellStyle name="Normal 5 2 10 2 2 3 3" xfId="15962"/>
    <cellStyle name="Normal 5 2 10 2 2 4" xfId="5818"/>
    <cellStyle name="Normal 5 2 10 2 2 4 2" xfId="11357"/>
    <cellStyle name="Normal 5 2 10 2 2 4 3" xfId="16896"/>
    <cellStyle name="Normal 5 2 10 2 2 5" xfId="2520"/>
    <cellStyle name="Normal 5 2 10 2 2 5 2" xfId="8066"/>
    <cellStyle name="Normal 5 2 10 2 2 5 3" xfId="13605"/>
    <cellStyle name="Normal 5 2 10 2 2 6" xfId="6861"/>
    <cellStyle name="Normal 5 2 10 2 2 7" xfId="12400"/>
    <cellStyle name="Normal 5 2 10 2 3" xfId="3133"/>
    <cellStyle name="Normal 5 2 10 2 3 2" xfId="8675"/>
    <cellStyle name="Normal 5 2 10 2 3 3" xfId="14214"/>
    <cellStyle name="Normal 5 2 10 2 4" xfId="4172"/>
    <cellStyle name="Normal 5 2 10 2 4 2" xfId="9711"/>
    <cellStyle name="Normal 5 2 10 2 4 3" xfId="15250"/>
    <cellStyle name="Normal 5 2 10 2 5" xfId="5133"/>
    <cellStyle name="Normal 5 2 10 2 5 2" xfId="10672"/>
    <cellStyle name="Normal 5 2 10 2 5 3" xfId="16211"/>
    <cellStyle name="Normal 5 2 10 2 6" xfId="1835"/>
    <cellStyle name="Normal 5 2 10 2 6 2" xfId="7381"/>
    <cellStyle name="Normal 5 2 10 2 6 3" xfId="12920"/>
    <cellStyle name="Normal 5 2 10 2 7" xfId="6176"/>
    <cellStyle name="Normal 5 2 10 2 8" xfId="11715"/>
    <cellStyle name="Normal 5 2 10 3" xfId="1289"/>
    <cellStyle name="Normal 5 2 10 3 2" xfId="3819"/>
    <cellStyle name="Normal 5 2 10 3 2 2" xfId="9361"/>
    <cellStyle name="Normal 5 2 10 3 2 3" xfId="14900"/>
    <cellStyle name="Normal 5 2 10 3 3" xfId="4856"/>
    <cellStyle name="Normal 5 2 10 3 3 2" xfId="10395"/>
    <cellStyle name="Normal 5 2 10 3 3 3" xfId="15934"/>
    <cellStyle name="Normal 5 2 10 3 4" xfId="5791"/>
    <cellStyle name="Normal 5 2 10 3 4 2" xfId="11330"/>
    <cellStyle name="Normal 5 2 10 3 4 3" xfId="16869"/>
    <cellStyle name="Normal 5 2 10 3 5" xfId="2493"/>
    <cellStyle name="Normal 5 2 10 3 5 2" xfId="8039"/>
    <cellStyle name="Normal 5 2 10 3 5 3" xfId="13578"/>
    <cellStyle name="Normal 5 2 10 3 6" xfId="6834"/>
    <cellStyle name="Normal 5 2 10 3 7" xfId="12373"/>
    <cellStyle name="Normal 5 2 10 4" xfId="1112"/>
    <cellStyle name="Normal 5 2 10 4 2" xfId="3642"/>
    <cellStyle name="Normal 5 2 10 4 2 2" xfId="9184"/>
    <cellStyle name="Normal 5 2 10 4 2 3" xfId="14723"/>
    <cellStyle name="Normal 5 2 10 4 3" xfId="4679"/>
    <cellStyle name="Normal 5 2 10 4 3 2" xfId="10218"/>
    <cellStyle name="Normal 5 2 10 4 3 3" xfId="15757"/>
    <cellStyle name="Normal 5 2 10 4 4" xfId="5614"/>
    <cellStyle name="Normal 5 2 10 4 4 2" xfId="11153"/>
    <cellStyle name="Normal 5 2 10 4 4 3" xfId="16692"/>
    <cellStyle name="Normal 5 2 10 4 5" xfId="2316"/>
    <cellStyle name="Normal 5 2 10 4 5 2" xfId="7862"/>
    <cellStyle name="Normal 5 2 10 4 5 3" xfId="13401"/>
    <cellStyle name="Normal 5 2 10 4 6" xfId="6657"/>
    <cellStyle name="Normal 5 2 10 4 7" xfId="12196"/>
    <cellStyle name="Normal 5 2 10 5" xfId="3014"/>
    <cellStyle name="Normal 5 2 10 5 2" xfId="8558"/>
    <cellStyle name="Normal 5 2 10 5 3" xfId="14097"/>
    <cellStyle name="Normal 5 2 10 6" xfId="4059"/>
    <cellStyle name="Normal 5 2 10 6 2" xfId="9601"/>
    <cellStyle name="Normal 5 2 10 6 3" xfId="15140"/>
    <cellStyle name="Normal 5 2 10 7" xfId="5094"/>
    <cellStyle name="Normal 5 2 10 7 2" xfId="10633"/>
    <cellStyle name="Normal 5 2 10 7 3" xfId="16172"/>
    <cellStyle name="Normal 5 2 10 8" xfId="1796"/>
    <cellStyle name="Normal 5 2 10 8 2" xfId="7342"/>
    <cellStyle name="Normal 5 2 10 8 3" xfId="12881"/>
    <cellStyle name="Normal 5 2 10 9" xfId="6149"/>
    <cellStyle name="Normal 5 2 11" xfId="425"/>
    <cellStyle name="Normal 5 2 11 2" xfId="1462"/>
    <cellStyle name="Normal 5 2 11 2 2" xfId="3994"/>
    <cellStyle name="Normal 5 2 11 2 2 2" xfId="9536"/>
    <cellStyle name="Normal 5 2 11 2 2 3" xfId="15075"/>
    <cellStyle name="Normal 5 2 11 2 3" xfId="5031"/>
    <cellStyle name="Normal 5 2 11 2 3 2" xfId="10570"/>
    <cellStyle name="Normal 5 2 11 2 3 3" xfId="16109"/>
    <cellStyle name="Normal 5 2 11 2 4" xfId="5965"/>
    <cellStyle name="Normal 5 2 11 2 4 2" xfId="11504"/>
    <cellStyle name="Normal 5 2 11 2 4 3" xfId="17043"/>
    <cellStyle name="Normal 5 2 11 2 5" xfId="2667"/>
    <cellStyle name="Normal 5 2 11 2 5 2" xfId="8213"/>
    <cellStyle name="Normal 5 2 11 2 5 3" xfId="13752"/>
    <cellStyle name="Normal 5 2 11 2 6" xfId="7008"/>
    <cellStyle name="Normal 5 2 11 2 7" xfId="12547"/>
    <cellStyle name="Normal 5 2 11 3" xfId="952"/>
    <cellStyle name="Normal 5 2 11 3 2" xfId="3482"/>
    <cellStyle name="Normal 5 2 11 3 2 2" xfId="9024"/>
    <cellStyle name="Normal 5 2 11 3 2 3" xfId="14563"/>
    <cellStyle name="Normal 5 2 11 3 3" xfId="4519"/>
    <cellStyle name="Normal 5 2 11 3 3 2" xfId="10058"/>
    <cellStyle name="Normal 5 2 11 3 3 3" xfId="15597"/>
    <cellStyle name="Normal 5 2 11 3 4" xfId="5454"/>
    <cellStyle name="Normal 5 2 11 3 4 2" xfId="10993"/>
    <cellStyle name="Normal 5 2 11 3 4 3" xfId="16532"/>
    <cellStyle name="Normal 5 2 11 3 5" xfId="2156"/>
    <cellStyle name="Normal 5 2 11 3 5 2" xfId="7702"/>
    <cellStyle name="Normal 5 2 11 3 5 3" xfId="13241"/>
    <cellStyle name="Normal 5 2 11 3 6" xfId="6497"/>
    <cellStyle name="Normal 5 2 11 3 7" xfId="12036"/>
    <cellStyle name="Normal 5 2 11 4" xfId="3283"/>
    <cellStyle name="Normal 5 2 11 4 2" xfId="8825"/>
    <cellStyle name="Normal 5 2 11 4 3" xfId="14364"/>
    <cellStyle name="Normal 5 2 11 5" xfId="4322"/>
    <cellStyle name="Normal 5 2 11 5 2" xfId="9861"/>
    <cellStyle name="Normal 5 2 11 5 3" xfId="15400"/>
    <cellStyle name="Normal 5 2 11 6" xfId="5280"/>
    <cellStyle name="Normal 5 2 11 6 2" xfId="10819"/>
    <cellStyle name="Normal 5 2 11 6 3" xfId="16358"/>
    <cellStyle name="Normal 5 2 11 7" xfId="1982"/>
    <cellStyle name="Normal 5 2 11 7 2" xfId="7528"/>
    <cellStyle name="Normal 5 2 11 7 3" xfId="13067"/>
    <cellStyle name="Normal 5 2 11 8" xfId="6323"/>
    <cellStyle name="Normal 5 2 11 9" xfId="11862"/>
    <cellStyle name="Normal 5 2 12" xfId="432"/>
    <cellStyle name="Normal 5 2 12 2" xfId="1466"/>
    <cellStyle name="Normal 5 2 12 2 2" xfId="3998"/>
    <cellStyle name="Normal 5 2 12 2 2 2" xfId="9540"/>
    <cellStyle name="Normal 5 2 12 2 2 3" xfId="15079"/>
    <cellStyle name="Normal 5 2 12 2 3" xfId="5035"/>
    <cellStyle name="Normal 5 2 12 2 3 2" xfId="10574"/>
    <cellStyle name="Normal 5 2 12 2 3 3" xfId="16113"/>
    <cellStyle name="Normal 5 2 12 2 4" xfId="5969"/>
    <cellStyle name="Normal 5 2 12 2 4 2" xfId="11508"/>
    <cellStyle name="Normal 5 2 12 2 4 3" xfId="17047"/>
    <cellStyle name="Normal 5 2 12 2 5" xfId="2671"/>
    <cellStyle name="Normal 5 2 12 2 5 2" xfId="8217"/>
    <cellStyle name="Normal 5 2 12 2 5 3" xfId="13756"/>
    <cellStyle name="Normal 5 2 12 2 6" xfId="7012"/>
    <cellStyle name="Normal 5 2 12 2 7" xfId="12551"/>
    <cellStyle name="Normal 5 2 12 3" xfId="3293"/>
    <cellStyle name="Normal 5 2 12 3 2" xfId="8835"/>
    <cellStyle name="Normal 5 2 12 3 3" xfId="14374"/>
    <cellStyle name="Normal 5 2 12 4" xfId="4332"/>
    <cellStyle name="Normal 5 2 12 4 2" xfId="9871"/>
    <cellStyle name="Normal 5 2 12 4 3" xfId="15410"/>
    <cellStyle name="Normal 5 2 12 5" xfId="5284"/>
    <cellStyle name="Normal 5 2 12 5 2" xfId="10823"/>
    <cellStyle name="Normal 5 2 12 5 3" xfId="16362"/>
    <cellStyle name="Normal 5 2 12 6" xfId="1986"/>
    <cellStyle name="Normal 5 2 12 6 2" xfId="7532"/>
    <cellStyle name="Normal 5 2 12 6 3" xfId="13071"/>
    <cellStyle name="Normal 5 2 12 7" xfId="6327"/>
    <cellStyle name="Normal 5 2 12 8" xfId="11866"/>
    <cellStyle name="Normal 5 2 13" xfId="427"/>
    <cellStyle name="Normal 5 2 13 2" xfId="1464"/>
    <cellStyle name="Normal 5 2 13 2 2" xfId="3996"/>
    <cellStyle name="Normal 5 2 13 2 2 2" xfId="9538"/>
    <cellStyle name="Normal 5 2 13 2 2 3" xfId="15077"/>
    <cellStyle name="Normal 5 2 13 2 3" xfId="5033"/>
    <cellStyle name="Normal 5 2 13 2 3 2" xfId="10572"/>
    <cellStyle name="Normal 5 2 13 2 3 3" xfId="16111"/>
    <cellStyle name="Normal 5 2 13 2 4" xfId="5967"/>
    <cellStyle name="Normal 5 2 13 2 4 2" xfId="11506"/>
    <cellStyle name="Normal 5 2 13 2 4 3" xfId="17045"/>
    <cellStyle name="Normal 5 2 13 2 5" xfId="2669"/>
    <cellStyle name="Normal 5 2 13 2 5 2" xfId="8215"/>
    <cellStyle name="Normal 5 2 13 2 5 3" xfId="13754"/>
    <cellStyle name="Normal 5 2 13 2 6" xfId="7010"/>
    <cellStyle name="Normal 5 2 13 2 7" xfId="12549"/>
    <cellStyle name="Normal 5 2 13 3" xfId="3285"/>
    <cellStyle name="Normal 5 2 13 3 2" xfId="8827"/>
    <cellStyle name="Normal 5 2 13 3 3" xfId="14366"/>
    <cellStyle name="Normal 5 2 13 4" xfId="4324"/>
    <cellStyle name="Normal 5 2 13 4 2" xfId="9863"/>
    <cellStyle name="Normal 5 2 13 4 3" xfId="15402"/>
    <cellStyle name="Normal 5 2 13 5" xfId="5282"/>
    <cellStyle name="Normal 5 2 13 5 2" xfId="10821"/>
    <cellStyle name="Normal 5 2 13 5 3" xfId="16360"/>
    <cellStyle name="Normal 5 2 13 6" xfId="1984"/>
    <cellStyle name="Normal 5 2 13 6 2" xfId="7530"/>
    <cellStyle name="Normal 5 2 13 6 3" xfId="13069"/>
    <cellStyle name="Normal 5 2 13 7" xfId="6325"/>
    <cellStyle name="Normal 5 2 13 8" xfId="11864"/>
    <cellStyle name="Normal 5 2 14" xfId="430"/>
    <cellStyle name="Normal 5 2 14 2" xfId="1465"/>
    <cellStyle name="Normal 5 2 14 2 2" xfId="3997"/>
    <cellStyle name="Normal 5 2 14 2 2 2" xfId="9539"/>
    <cellStyle name="Normal 5 2 14 2 2 3" xfId="15078"/>
    <cellStyle name="Normal 5 2 14 2 3" xfId="5034"/>
    <cellStyle name="Normal 5 2 14 2 3 2" xfId="10573"/>
    <cellStyle name="Normal 5 2 14 2 3 3" xfId="16112"/>
    <cellStyle name="Normal 5 2 14 2 4" xfId="5968"/>
    <cellStyle name="Normal 5 2 14 2 4 2" xfId="11507"/>
    <cellStyle name="Normal 5 2 14 2 4 3" xfId="17046"/>
    <cellStyle name="Normal 5 2 14 2 5" xfId="2670"/>
    <cellStyle name="Normal 5 2 14 2 5 2" xfId="8216"/>
    <cellStyle name="Normal 5 2 14 2 5 3" xfId="13755"/>
    <cellStyle name="Normal 5 2 14 2 6" xfId="7011"/>
    <cellStyle name="Normal 5 2 14 2 7" xfId="12550"/>
    <cellStyle name="Normal 5 2 14 3" xfId="3290"/>
    <cellStyle name="Normal 5 2 14 3 2" xfId="8832"/>
    <cellStyle name="Normal 5 2 14 3 3" xfId="14371"/>
    <cellStyle name="Normal 5 2 14 4" xfId="4329"/>
    <cellStyle name="Normal 5 2 14 4 2" xfId="9868"/>
    <cellStyle name="Normal 5 2 14 4 3" xfId="15407"/>
    <cellStyle name="Normal 5 2 14 5" xfId="5283"/>
    <cellStyle name="Normal 5 2 14 5 2" xfId="10822"/>
    <cellStyle name="Normal 5 2 14 5 3" xfId="16361"/>
    <cellStyle name="Normal 5 2 14 6" xfId="1985"/>
    <cellStyle name="Normal 5 2 14 6 2" xfId="7531"/>
    <cellStyle name="Normal 5 2 14 6 3" xfId="13070"/>
    <cellStyle name="Normal 5 2 14 7" xfId="6326"/>
    <cellStyle name="Normal 5 2 14 8" xfId="11865"/>
    <cellStyle name="Normal 5 2 15" xfId="422"/>
    <cellStyle name="Normal 5 2 15 2" xfId="1460"/>
    <cellStyle name="Normal 5 2 15 2 2" xfId="3992"/>
    <cellStyle name="Normal 5 2 15 2 2 2" xfId="9534"/>
    <cellStyle name="Normal 5 2 15 2 2 3" xfId="15073"/>
    <cellStyle name="Normal 5 2 15 2 3" xfId="5029"/>
    <cellStyle name="Normal 5 2 15 2 3 2" xfId="10568"/>
    <cellStyle name="Normal 5 2 15 2 3 3" xfId="16107"/>
    <cellStyle name="Normal 5 2 15 2 4" xfId="5963"/>
    <cellStyle name="Normal 5 2 15 2 4 2" xfId="11502"/>
    <cellStyle name="Normal 5 2 15 2 4 3" xfId="17041"/>
    <cellStyle name="Normal 5 2 15 2 5" xfId="2665"/>
    <cellStyle name="Normal 5 2 15 2 5 2" xfId="8211"/>
    <cellStyle name="Normal 5 2 15 2 5 3" xfId="13750"/>
    <cellStyle name="Normal 5 2 15 2 6" xfId="7006"/>
    <cellStyle name="Normal 5 2 15 2 7" xfId="12545"/>
    <cellStyle name="Normal 5 2 15 3" xfId="3280"/>
    <cellStyle name="Normal 5 2 15 3 2" xfId="8822"/>
    <cellStyle name="Normal 5 2 15 3 3" xfId="14361"/>
    <cellStyle name="Normal 5 2 15 4" xfId="4319"/>
    <cellStyle name="Normal 5 2 15 4 2" xfId="9858"/>
    <cellStyle name="Normal 5 2 15 4 3" xfId="15397"/>
    <cellStyle name="Normal 5 2 15 5" xfId="5278"/>
    <cellStyle name="Normal 5 2 15 5 2" xfId="10817"/>
    <cellStyle name="Normal 5 2 15 5 3" xfId="16356"/>
    <cellStyle name="Normal 5 2 15 6" xfId="1980"/>
    <cellStyle name="Normal 5 2 15 6 2" xfId="7526"/>
    <cellStyle name="Normal 5 2 15 6 3" xfId="13065"/>
    <cellStyle name="Normal 5 2 15 7" xfId="6321"/>
    <cellStyle name="Normal 5 2 15 8" xfId="11860"/>
    <cellStyle name="Normal 5 2 16" xfId="443"/>
    <cellStyle name="Normal 5 2 16 2" xfId="453"/>
    <cellStyle name="Normal 5 2 17" xfId="1129"/>
    <cellStyle name="Normal 5 2 17 2" xfId="3659"/>
    <cellStyle name="Normal 5 2 17 2 2" xfId="9201"/>
    <cellStyle name="Normal 5 2 17 2 3" xfId="14740"/>
    <cellStyle name="Normal 5 2 17 3" xfId="4696"/>
    <cellStyle name="Normal 5 2 17 3 2" xfId="10235"/>
    <cellStyle name="Normal 5 2 17 3 3" xfId="15774"/>
    <cellStyle name="Normal 5 2 17 4" xfId="5631"/>
    <cellStyle name="Normal 5 2 17 4 2" xfId="11170"/>
    <cellStyle name="Normal 5 2 17 4 3" xfId="16709"/>
    <cellStyle name="Normal 5 2 17 5" xfId="2333"/>
    <cellStyle name="Normal 5 2 17 5 2" xfId="7879"/>
    <cellStyle name="Normal 5 2 17 5 3" xfId="13418"/>
    <cellStyle name="Normal 5 2 17 6" xfId="6674"/>
    <cellStyle name="Normal 5 2 17 7" xfId="12213"/>
    <cellStyle name="Normal 5 2 18" xfId="790"/>
    <cellStyle name="Normal 5 2 18 2" xfId="3320"/>
    <cellStyle name="Normal 5 2 18 2 2" xfId="8862"/>
    <cellStyle name="Normal 5 2 18 2 3" xfId="14401"/>
    <cellStyle name="Normal 5 2 18 3" xfId="4357"/>
    <cellStyle name="Normal 5 2 18 3 2" xfId="9896"/>
    <cellStyle name="Normal 5 2 18 3 3" xfId="15435"/>
    <cellStyle name="Normal 5 2 18 4" xfId="5292"/>
    <cellStyle name="Normal 5 2 18 4 2" xfId="10831"/>
    <cellStyle name="Normal 5 2 18 4 3" xfId="16370"/>
    <cellStyle name="Normal 5 2 18 5" xfId="1994"/>
    <cellStyle name="Normal 5 2 18 5 2" xfId="7540"/>
    <cellStyle name="Normal 5 2 18 5 3" xfId="13079"/>
    <cellStyle name="Normal 5 2 18 6" xfId="6335"/>
    <cellStyle name="Normal 5 2 18 7" xfId="11874"/>
    <cellStyle name="Normal 5 2 19" xfId="1474"/>
    <cellStyle name="Normal 5 2 19 2" xfId="2679"/>
    <cellStyle name="Normal 5 2 19 2 2" xfId="8225"/>
    <cellStyle name="Normal 5 2 19 2 3" xfId="13764"/>
    <cellStyle name="Normal 5 2 19 3" xfId="7020"/>
    <cellStyle name="Normal 5 2 19 4" xfId="12559"/>
    <cellStyle name="Normal 5 2 2" xfId="153"/>
    <cellStyle name="Normal 5 2 2 10" xfId="791"/>
    <cellStyle name="Normal 5 2 2 10 2" xfId="3321"/>
    <cellStyle name="Normal 5 2 2 10 2 2" xfId="8863"/>
    <cellStyle name="Normal 5 2 2 10 2 3" xfId="14402"/>
    <cellStyle name="Normal 5 2 2 10 3" xfId="4358"/>
    <cellStyle name="Normal 5 2 2 10 3 2" xfId="9897"/>
    <cellStyle name="Normal 5 2 2 10 3 3" xfId="15436"/>
    <cellStyle name="Normal 5 2 2 10 4" xfId="5293"/>
    <cellStyle name="Normal 5 2 2 10 4 2" xfId="10832"/>
    <cellStyle name="Normal 5 2 2 10 4 3" xfId="16371"/>
    <cellStyle name="Normal 5 2 2 10 5" xfId="1995"/>
    <cellStyle name="Normal 5 2 2 10 5 2" xfId="7541"/>
    <cellStyle name="Normal 5 2 2 10 5 3" xfId="13080"/>
    <cellStyle name="Normal 5 2 2 10 6" xfId="6336"/>
    <cellStyle name="Normal 5 2 2 10 7" xfId="11875"/>
    <cellStyle name="Normal 5 2 2 11" xfId="1480"/>
    <cellStyle name="Normal 5 2 2 11 2" xfId="2685"/>
    <cellStyle name="Normal 5 2 2 11 2 2" xfId="8231"/>
    <cellStyle name="Normal 5 2 2 11 2 3" xfId="13770"/>
    <cellStyle name="Normal 5 2 2 11 3" xfId="7026"/>
    <cellStyle name="Normal 5 2 2 11 4" xfId="12565"/>
    <cellStyle name="Normal 5 2 2 12" xfId="2858"/>
    <cellStyle name="Normal 5 2 2 12 2" xfId="8402"/>
    <cellStyle name="Normal 5 2 2 12 3" xfId="13941"/>
    <cellStyle name="Normal 5 2 2 13" xfId="3103"/>
    <cellStyle name="Normal 5 2 2 13 2" xfId="8646"/>
    <cellStyle name="Normal 5 2 2 13 3" xfId="14185"/>
    <cellStyle name="Normal 5 2 2 14" xfId="4146"/>
    <cellStyle name="Normal 5 2 2 14 2" xfId="9687"/>
    <cellStyle name="Normal 5 2 2 14 3" xfId="15226"/>
    <cellStyle name="Normal 5 2 2 15" xfId="1642"/>
    <cellStyle name="Normal 5 2 2 15 2" xfId="7188"/>
    <cellStyle name="Normal 5 2 2 15 3" xfId="12727"/>
    <cellStyle name="Normal 5 2 2 16" xfId="5983"/>
    <cellStyle name="Normal 5 2 2 16 2" xfId="17061"/>
    <cellStyle name="Normal 5 2 2 17" xfId="627"/>
    <cellStyle name="Normal 5 2 2 17 2" xfId="17223"/>
    <cellStyle name="Normal 5 2 2 18" xfId="11522"/>
    <cellStyle name="Normal 5 2 2 19" xfId="17390"/>
    <cellStyle name="Normal 5 2 2 2" xfId="249"/>
    <cellStyle name="Normal 5 2 2 2 10" xfId="1483"/>
    <cellStyle name="Normal 5 2 2 2 10 2" xfId="2688"/>
    <cellStyle name="Normal 5 2 2 2 10 2 2" xfId="8234"/>
    <cellStyle name="Normal 5 2 2 2 10 2 3" xfId="13773"/>
    <cellStyle name="Normal 5 2 2 2 10 3" xfId="7029"/>
    <cellStyle name="Normal 5 2 2 2 10 4" xfId="12568"/>
    <cellStyle name="Normal 5 2 2 2 11" xfId="2861"/>
    <cellStyle name="Normal 5 2 2 2 11 2" xfId="8405"/>
    <cellStyle name="Normal 5 2 2 2 11 3" xfId="13944"/>
    <cellStyle name="Normal 5 2 2 2 12" xfId="3287"/>
    <cellStyle name="Normal 5 2 2 2 12 2" xfId="8829"/>
    <cellStyle name="Normal 5 2 2 2 12 3" xfId="14368"/>
    <cellStyle name="Normal 5 2 2 2 13" xfId="4326"/>
    <cellStyle name="Normal 5 2 2 2 13 2" xfId="9865"/>
    <cellStyle name="Normal 5 2 2 2 13 3" xfId="15404"/>
    <cellStyle name="Normal 5 2 2 2 14" xfId="1645"/>
    <cellStyle name="Normal 5 2 2 2 14 2" xfId="7191"/>
    <cellStyle name="Normal 5 2 2 2 14 3" xfId="12730"/>
    <cellStyle name="Normal 5 2 2 2 15" xfId="5986"/>
    <cellStyle name="Normal 5 2 2 2 15 2" xfId="17064"/>
    <cellStyle name="Normal 5 2 2 2 16" xfId="630"/>
    <cellStyle name="Normal 5 2 2 2 16 2" xfId="17226"/>
    <cellStyle name="Normal 5 2 2 2 17" xfId="11525"/>
    <cellStyle name="Normal 5 2 2 2 18" xfId="17393"/>
    <cellStyle name="Normal 5 2 2 2 19" xfId="17558"/>
    <cellStyle name="Normal 5 2 2 2 2" xfId="276"/>
    <cellStyle name="Normal 5 2 2 2 2 10" xfId="1699"/>
    <cellStyle name="Normal 5 2 2 2 2 10 2" xfId="7245"/>
    <cellStyle name="Normal 5 2 2 2 2 10 3" xfId="12784"/>
    <cellStyle name="Normal 5 2 2 2 2 11" xfId="6040"/>
    <cellStyle name="Normal 5 2 2 2 2 11 2" xfId="17118"/>
    <cellStyle name="Normal 5 2 2 2 2 12" xfId="684"/>
    <cellStyle name="Normal 5 2 2 2 2 12 2" xfId="17280"/>
    <cellStyle name="Normal 5 2 2 2 2 13" xfId="11579"/>
    <cellStyle name="Normal 5 2 2 2 2 14" xfId="17447"/>
    <cellStyle name="Normal 5 2 2 2 2 15" xfId="17612"/>
    <cellStyle name="Normal 5 2 2 2 2 2" xfId="277"/>
    <cellStyle name="Normal 5 2 2 2 2 2 10" xfId="6130"/>
    <cellStyle name="Normal 5 2 2 2 2 2 10 2" xfId="17208"/>
    <cellStyle name="Normal 5 2 2 2 2 2 11" xfId="774"/>
    <cellStyle name="Normal 5 2 2 2 2 2 11 2" xfId="17370"/>
    <cellStyle name="Normal 5 2 2 2 2 2 12" xfId="11669"/>
    <cellStyle name="Normal 5 2 2 2 2 2 13" xfId="17537"/>
    <cellStyle name="Normal 5 2 2 2 2 2 14" xfId="17702"/>
    <cellStyle name="Normal 5 2 2 2 2 2 2" xfId="476"/>
    <cellStyle name="Normal 5 2 2 2 2 2 2 2" xfId="1317"/>
    <cellStyle name="Normal 5 2 2 2 2 2 2 2 2" xfId="3849"/>
    <cellStyle name="Normal 5 2 2 2 2 2 2 2 2 2" xfId="9391"/>
    <cellStyle name="Normal 5 2 2 2 2 2 2 2 2 3" xfId="14930"/>
    <cellStyle name="Normal 5 2 2 2 2 2 2 2 3" xfId="4886"/>
    <cellStyle name="Normal 5 2 2 2 2 2 2 2 3 2" xfId="10425"/>
    <cellStyle name="Normal 5 2 2 2 2 2 2 2 3 3" xfId="15964"/>
    <cellStyle name="Normal 5 2 2 2 2 2 2 2 4" xfId="5820"/>
    <cellStyle name="Normal 5 2 2 2 2 2 2 2 4 2" xfId="11359"/>
    <cellStyle name="Normal 5 2 2 2 2 2 2 2 4 3" xfId="16898"/>
    <cellStyle name="Normal 5 2 2 2 2 2 2 2 5" xfId="2522"/>
    <cellStyle name="Normal 5 2 2 2 2 2 2 2 5 2" xfId="8068"/>
    <cellStyle name="Normal 5 2 2 2 2 2 2 2 5 3" xfId="13607"/>
    <cellStyle name="Normal 5 2 2 2 2 2 2 2 6" xfId="6863"/>
    <cellStyle name="Normal 5 2 2 2 2 2 2 2 7" xfId="12402"/>
    <cellStyle name="Normal 5 2 2 2 2 2 2 3" xfId="1105"/>
    <cellStyle name="Normal 5 2 2 2 2 2 2 3 2" xfId="3635"/>
    <cellStyle name="Normal 5 2 2 2 2 2 2 3 2 2" xfId="9177"/>
    <cellStyle name="Normal 5 2 2 2 2 2 2 3 2 3" xfId="14716"/>
    <cellStyle name="Normal 5 2 2 2 2 2 2 3 3" xfId="4672"/>
    <cellStyle name="Normal 5 2 2 2 2 2 2 3 3 2" xfId="10211"/>
    <cellStyle name="Normal 5 2 2 2 2 2 2 3 3 3" xfId="15750"/>
    <cellStyle name="Normal 5 2 2 2 2 2 2 3 4" xfId="5607"/>
    <cellStyle name="Normal 5 2 2 2 2 2 2 3 4 2" xfId="11146"/>
    <cellStyle name="Normal 5 2 2 2 2 2 2 3 4 3" xfId="16685"/>
    <cellStyle name="Normal 5 2 2 2 2 2 2 3 5" xfId="2309"/>
    <cellStyle name="Normal 5 2 2 2 2 2 2 3 5 2" xfId="7855"/>
    <cellStyle name="Normal 5 2 2 2 2 2 2 3 5 3" xfId="13394"/>
    <cellStyle name="Normal 5 2 2 2 2 2 2 3 6" xfId="6650"/>
    <cellStyle name="Normal 5 2 2 2 2 2 2 3 7" xfId="12189"/>
    <cellStyle name="Normal 5 2 2 2 2 2 2 4" xfId="3135"/>
    <cellStyle name="Normal 5 2 2 2 2 2 2 4 2" xfId="8677"/>
    <cellStyle name="Normal 5 2 2 2 2 2 2 4 3" xfId="14216"/>
    <cellStyle name="Normal 5 2 2 2 2 2 2 5" xfId="4174"/>
    <cellStyle name="Normal 5 2 2 2 2 2 2 5 2" xfId="9713"/>
    <cellStyle name="Normal 5 2 2 2 2 2 2 5 3" xfId="15252"/>
    <cellStyle name="Normal 5 2 2 2 2 2 2 6" xfId="5135"/>
    <cellStyle name="Normal 5 2 2 2 2 2 2 6 2" xfId="10674"/>
    <cellStyle name="Normal 5 2 2 2 2 2 2 6 3" xfId="16213"/>
    <cellStyle name="Normal 5 2 2 2 2 2 2 7" xfId="1837"/>
    <cellStyle name="Normal 5 2 2 2 2 2 2 7 2" xfId="7383"/>
    <cellStyle name="Normal 5 2 2 2 2 2 2 7 3" xfId="12922"/>
    <cellStyle name="Normal 5 2 2 2 2 2 2 8" xfId="6178"/>
    <cellStyle name="Normal 5 2 2 2 2 2 2 9" xfId="11717"/>
    <cellStyle name="Normal 5 2 2 2 2 2 3" xfId="1282"/>
    <cellStyle name="Normal 5 2 2 2 2 2 3 2" xfId="3812"/>
    <cellStyle name="Normal 5 2 2 2 2 2 3 2 2" xfId="9354"/>
    <cellStyle name="Normal 5 2 2 2 2 2 3 2 3" xfId="14893"/>
    <cellStyle name="Normal 5 2 2 2 2 2 3 3" xfId="4849"/>
    <cellStyle name="Normal 5 2 2 2 2 2 3 3 2" xfId="10388"/>
    <cellStyle name="Normal 5 2 2 2 2 2 3 3 3" xfId="15927"/>
    <cellStyle name="Normal 5 2 2 2 2 2 3 4" xfId="5784"/>
    <cellStyle name="Normal 5 2 2 2 2 2 3 4 2" xfId="11323"/>
    <cellStyle name="Normal 5 2 2 2 2 2 3 4 3" xfId="16862"/>
    <cellStyle name="Normal 5 2 2 2 2 2 3 5" xfId="2486"/>
    <cellStyle name="Normal 5 2 2 2 2 2 3 5 2" xfId="8032"/>
    <cellStyle name="Normal 5 2 2 2 2 2 3 5 3" xfId="13571"/>
    <cellStyle name="Normal 5 2 2 2 2 2 3 6" xfId="6827"/>
    <cellStyle name="Normal 5 2 2 2 2 2 3 7" xfId="12366"/>
    <cellStyle name="Normal 5 2 2 2 2 2 4" xfId="794"/>
    <cellStyle name="Normal 5 2 2 2 2 2 4 2" xfId="3324"/>
    <cellStyle name="Normal 5 2 2 2 2 2 4 2 2" xfId="8866"/>
    <cellStyle name="Normal 5 2 2 2 2 2 4 2 3" xfId="14405"/>
    <cellStyle name="Normal 5 2 2 2 2 2 4 3" xfId="4361"/>
    <cellStyle name="Normal 5 2 2 2 2 2 4 3 2" xfId="9900"/>
    <cellStyle name="Normal 5 2 2 2 2 2 4 3 3" xfId="15439"/>
    <cellStyle name="Normal 5 2 2 2 2 2 4 4" xfId="5296"/>
    <cellStyle name="Normal 5 2 2 2 2 2 4 4 2" xfId="10835"/>
    <cellStyle name="Normal 5 2 2 2 2 2 4 4 3" xfId="16374"/>
    <cellStyle name="Normal 5 2 2 2 2 2 4 5" xfId="1998"/>
    <cellStyle name="Normal 5 2 2 2 2 2 4 5 2" xfId="7544"/>
    <cellStyle name="Normal 5 2 2 2 2 2 4 5 3" xfId="13083"/>
    <cellStyle name="Normal 5 2 2 2 2 2 4 6" xfId="6339"/>
    <cellStyle name="Normal 5 2 2 2 2 2 4 7" xfId="11878"/>
    <cellStyle name="Normal 5 2 2 2 2 2 5" xfId="1627"/>
    <cellStyle name="Normal 5 2 2 2 2 2 5 2" xfId="2832"/>
    <cellStyle name="Normal 5 2 2 2 2 2 5 2 2" xfId="8378"/>
    <cellStyle name="Normal 5 2 2 2 2 2 5 2 3" xfId="13917"/>
    <cellStyle name="Normal 5 2 2 2 2 2 5 3" xfId="7173"/>
    <cellStyle name="Normal 5 2 2 2 2 2 5 4" xfId="12712"/>
    <cellStyle name="Normal 5 2 2 2 2 2 6" xfId="3005"/>
    <cellStyle name="Normal 5 2 2 2 2 2 6 2" xfId="8549"/>
    <cellStyle name="Normal 5 2 2 2 2 2 6 3" xfId="14088"/>
    <cellStyle name="Normal 5 2 2 2 2 2 7" xfId="4050"/>
    <cellStyle name="Normal 5 2 2 2 2 2 7 2" xfId="9592"/>
    <cellStyle name="Normal 5 2 2 2 2 2 7 3" xfId="15131"/>
    <cellStyle name="Normal 5 2 2 2 2 2 8" xfId="5087"/>
    <cellStyle name="Normal 5 2 2 2 2 2 8 2" xfId="10626"/>
    <cellStyle name="Normal 5 2 2 2 2 2 8 3" xfId="16165"/>
    <cellStyle name="Normal 5 2 2 2 2 2 9" xfId="1789"/>
    <cellStyle name="Normal 5 2 2 2 2 2 9 2" xfId="7335"/>
    <cellStyle name="Normal 5 2 2 2 2 2 9 3" xfId="12874"/>
    <cellStyle name="Normal 5 2 2 2 2 3" xfId="475"/>
    <cellStyle name="Normal 5 2 2 2 2 3 2" xfId="1316"/>
    <cellStyle name="Normal 5 2 2 2 2 3 2 2" xfId="3848"/>
    <cellStyle name="Normal 5 2 2 2 2 3 2 2 2" xfId="9390"/>
    <cellStyle name="Normal 5 2 2 2 2 3 2 2 3" xfId="14929"/>
    <cellStyle name="Normal 5 2 2 2 2 3 2 3" xfId="4885"/>
    <cellStyle name="Normal 5 2 2 2 2 3 2 3 2" xfId="10424"/>
    <cellStyle name="Normal 5 2 2 2 2 3 2 3 3" xfId="15963"/>
    <cellStyle name="Normal 5 2 2 2 2 3 2 4" xfId="5819"/>
    <cellStyle name="Normal 5 2 2 2 2 3 2 4 2" xfId="11358"/>
    <cellStyle name="Normal 5 2 2 2 2 3 2 4 3" xfId="16897"/>
    <cellStyle name="Normal 5 2 2 2 2 3 2 5" xfId="2521"/>
    <cellStyle name="Normal 5 2 2 2 2 3 2 5 2" xfId="8067"/>
    <cellStyle name="Normal 5 2 2 2 2 3 2 5 3" xfId="13606"/>
    <cellStyle name="Normal 5 2 2 2 2 3 2 6" xfId="6862"/>
    <cellStyle name="Normal 5 2 2 2 2 3 2 7" xfId="12401"/>
    <cellStyle name="Normal 5 2 2 2 2 3 3" xfId="1015"/>
    <cellStyle name="Normal 5 2 2 2 2 3 3 2" xfId="3545"/>
    <cellStyle name="Normal 5 2 2 2 2 3 3 2 2" xfId="9087"/>
    <cellStyle name="Normal 5 2 2 2 2 3 3 2 3" xfId="14626"/>
    <cellStyle name="Normal 5 2 2 2 2 3 3 3" xfId="4582"/>
    <cellStyle name="Normal 5 2 2 2 2 3 3 3 2" xfId="10121"/>
    <cellStyle name="Normal 5 2 2 2 2 3 3 3 3" xfId="15660"/>
    <cellStyle name="Normal 5 2 2 2 2 3 3 4" xfId="5517"/>
    <cellStyle name="Normal 5 2 2 2 2 3 3 4 2" xfId="11056"/>
    <cellStyle name="Normal 5 2 2 2 2 3 3 4 3" xfId="16595"/>
    <cellStyle name="Normal 5 2 2 2 2 3 3 5" xfId="2219"/>
    <cellStyle name="Normal 5 2 2 2 2 3 3 5 2" xfId="7765"/>
    <cellStyle name="Normal 5 2 2 2 2 3 3 5 3" xfId="13304"/>
    <cellStyle name="Normal 5 2 2 2 2 3 3 6" xfId="6560"/>
    <cellStyle name="Normal 5 2 2 2 2 3 3 7" xfId="12099"/>
    <cellStyle name="Normal 5 2 2 2 2 3 4" xfId="3134"/>
    <cellStyle name="Normal 5 2 2 2 2 3 4 2" xfId="8676"/>
    <cellStyle name="Normal 5 2 2 2 2 3 4 3" xfId="14215"/>
    <cellStyle name="Normal 5 2 2 2 2 3 5" xfId="4173"/>
    <cellStyle name="Normal 5 2 2 2 2 3 5 2" xfId="9712"/>
    <cellStyle name="Normal 5 2 2 2 2 3 5 3" xfId="15251"/>
    <cellStyle name="Normal 5 2 2 2 2 3 6" xfId="5134"/>
    <cellStyle name="Normal 5 2 2 2 2 3 6 2" xfId="10673"/>
    <cellStyle name="Normal 5 2 2 2 2 3 6 3" xfId="16212"/>
    <cellStyle name="Normal 5 2 2 2 2 3 7" xfId="1836"/>
    <cellStyle name="Normal 5 2 2 2 2 3 7 2" xfId="7382"/>
    <cellStyle name="Normal 5 2 2 2 2 3 7 3" xfId="12921"/>
    <cellStyle name="Normal 5 2 2 2 2 3 8" xfId="6177"/>
    <cellStyle name="Normal 5 2 2 2 2 3 9" xfId="11716"/>
    <cellStyle name="Normal 5 2 2 2 2 4" xfId="1192"/>
    <cellStyle name="Normal 5 2 2 2 2 4 2" xfId="3722"/>
    <cellStyle name="Normal 5 2 2 2 2 4 2 2" xfId="9264"/>
    <cellStyle name="Normal 5 2 2 2 2 4 2 3" xfId="14803"/>
    <cellStyle name="Normal 5 2 2 2 2 4 3" xfId="4759"/>
    <cellStyle name="Normal 5 2 2 2 2 4 3 2" xfId="10298"/>
    <cellStyle name="Normal 5 2 2 2 2 4 3 3" xfId="15837"/>
    <cellStyle name="Normal 5 2 2 2 2 4 4" xfId="5694"/>
    <cellStyle name="Normal 5 2 2 2 2 4 4 2" xfId="11233"/>
    <cellStyle name="Normal 5 2 2 2 2 4 4 3" xfId="16772"/>
    <cellStyle name="Normal 5 2 2 2 2 4 5" xfId="2396"/>
    <cellStyle name="Normal 5 2 2 2 2 4 5 2" xfId="7942"/>
    <cellStyle name="Normal 5 2 2 2 2 4 5 3" xfId="13481"/>
    <cellStyle name="Normal 5 2 2 2 2 4 6" xfId="6737"/>
    <cellStyle name="Normal 5 2 2 2 2 4 7" xfId="12276"/>
    <cellStyle name="Normal 5 2 2 2 2 5" xfId="793"/>
    <cellStyle name="Normal 5 2 2 2 2 5 2" xfId="3323"/>
    <cellStyle name="Normal 5 2 2 2 2 5 2 2" xfId="8865"/>
    <cellStyle name="Normal 5 2 2 2 2 5 2 3" xfId="14404"/>
    <cellStyle name="Normal 5 2 2 2 2 5 3" xfId="4360"/>
    <cellStyle name="Normal 5 2 2 2 2 5 3 2" xfId="9899"/>
    <cellStyle name="Normal 5 2 2 2 2 5 3 3" xfId="15438"/>
    <cellStyle name="Normal 5 2 2 2 2 5 4" xfId="5295"/>
    <cellStyle name="Normal 5 2 2 2 2 5 4 2" xfId="10834"/>
    <cellStyle name="Normal 5 2 2 2 2 5 4 3" xfId="16373"/>
    <cellStyle name="Normal 5 2 2 2 2 5 5" xfId="1997"/>
    <cellStyle name="Normal 5 2 2 2 2 5 5 2" xfId="7543"/>
    <cellStyle name="Normal 5 2 2 2 2 5 5 3" xfId="13082"/>
    <cellStyle name="Normal 5 2 2 2 2 5 6" xfId="6338"/>
    <cellStyle name="Normal 5 2 2 2 2 5 7" xfId="11877"/>
    <cellStyle name="Normal 5 2 2 2 2 6" xfId="1537"/>
    <cellStyle name="Normal 5 2 2 2 2 6 2" xfId="2742"/>
    <cellStyle name="Normal 5 2 2 2 2 6 2 2" xfId="8288"/>
    <cellStyle name="Normal 5 2 2 2 2 6 2 3" xfId="13827"/>
    <cellStyle name="Normal 5 2 2 2 2 6 3" xfId="7083"/>
    <cellStyle name="Normal 5 2 2 2 2 6 4" xfId="12622"/>
    <cellStyle name="Normal 5 2 2 2 2 7" xfId="2915"/>
    <cellStyle name="Normal 5 2 2 2 2 7 2" xfId="8459"/>
    <cellStyle name="Normal 5 2 2 2 2 7 3" xfId="13998"/>
    <cellStyle name="Normal 5 2 2 2 2 8" xfId="3087"/>
    <cellStyle name="Normal 5 2 2 2 2 8 2" xfId="8630"/>
    <cellStyle name="Normal 5 2 2 2 2 8 3" xfId="14169"/>
    <cellStyle name="Normal 5 2 2 2 2 9" xfId="4130"/>
    <cellStyle name="Normal 5 2 2 2 2 9 2" xfId="9671"/>
    <cellStyle name="Normal 5 2 2 2 2 9 3" xfId="15210"/>
    <cellStyle name="Normal 5 2 2 2 3" xfId="278"/>
    <cellStyle name="Normal 5 2 2 2 3 10" xfId="1681"/>
    <cellStyle name="Normal 5 2 2 2 3 10 2" xfId="7227"/>
    <cellStyle name="Normal 5 2 2 2 3 10 3" xfId="12766"/>
    <cellStyle name="Normal 5 2 2 2 3 11" xfId="6022"/>
    <cellStyle name="Normal 5 2 2 2 3 11 2" xfId="17100"/>
    <cellStyle name="Normal 5 2 2 2 3 12" xfId="666"/>
    <cellStyle name="Normal 5 2 2 2 3 12 2" xfId="17262"/>
    <cellStyle name="Normal 5 2 2 2 3 13" xfId="11561"/>
    <cellStyle name="Normal 5 2 2 2 3 14" xfId="17429"/>
    <cellStyle name="Normal 5 2 2 2 3 15" xfId="17594"/>
    <cellStyle name="Normal 5 2 2 2 3 2" xfId="279"/>
    <cellStyle name="Normal 5 2 2 2 3 2 10" xfId="6112"/>
    <cellStyle name="Normal 5 2 2 2 3 2 10 2" xfId="17190"/>
    <cellStyle name="Normal 5 2 2 2 3 2 11" xfId="756"/>
    <cellStyle name="Normal 5 2 2 2 3 2 11 2" xfId="17352"/>
    <cellStyle name="Normal 5 2 2 2 3 2 12" xfId="11651"/>
    <cellStyle name="Normal 5 2 2 2 3 2 13" xfId="17519"/>
    <cellStyle name="Normal 5 2 2 2 3 2 14" xfId="17684"/>
    <cellStyle name="Normal 5 2 2 2 3 2 2" xfId="478"/>
    <cellStyle name="Normal 5 2 2 2 3 2 2 2" xfId="1319"/>
    <cellStyle name="Normal 5 2 2 2 3 2 2 2 2" xfId="3851"/>
    <cellStyle name="Normal 5 2 2 2 3 2 2 2 2 2" xfId="9393"/>
    <cellStyle name="Normal 5 2 2 2 3 2 2 2 2 3" xfId="14932"/>
    <cellStyle name="Normal 5 2 2 2 3 2 2 2 3" xfId="4888"/>
    <cellStyle name="Normal 5 2 2 2 3 2 2 2 3 2" xfId="10427"/>
    <cellStyle name="Normal 5 2 2 2 3 2 2 2 3 3" xfId="15966"/>
    <cellStyle name="Normal 5 2 2 2 3 2 2 2 4" xfId="5822"/>
    <cellStyle name="Normal 5 2 2 2 3 2 2 2 4 2" xfId="11361"/>
    <cellStyle name="Normal 5 2 2 2 3 2 2 2 4 3" xfId="16900"/>
    <cellStyle name="Normal 5 2 2 2 3 2 2 2 5" xfId="2524"/>
    <cellStyle name="Normal 5 2 2 2 3 2 2 2 5 2" xfId="8070"/>
    <cellStyle name="Normal 5 2 2 2 3 2 2 2 5 3" xfId="13609"/>
    <cellStyle name="Normal 5 2 2 2 3 2 2 2 6" xfId="6865"/>
    <cellStyle name="Normal 5 2 2 2 3 2 2 2 7" xfId="12404"/>
    <cellStyle name="Normal 5 2 2 2 3 2 2 3" xfId="1087"/>
    <cellStyle name="Normal 5 2 2 2 3 2 2 3 2" xfId="3617"/>
    <cellStyle name="Normal 5 2 2 2 3 2 2 3 2 2" xfId="9159"/>
    <cellStyle name="Normal 5 2 2 2 3 2 2 3 2 3" xfId="14698"/>
    <cellStyle name="Normal 5 2 2 2 3 2 2 3 3" xfId="4654"/>
    <cellStyle name="Normal 5 2 2 2 3 2 2 3 3 2" xfId="10193"/>
    <cellStyle name="Normal 5 2 2 2 3 2 2 3 3 3" xfId="15732"/>
    <cellStyle name="Normal 5 2 2 2 3 2 2 3 4" xfId="5589"/>
    <cellStyle name="Normal 5 2 2 2 3 2 2 3 4 2" xfId="11128"/>
    <cellStyle name="Normal 5 2 2 2 3 2 2 3 4 3" xfId="16667"/>
    <cellStyle name="Normal 5 2 2 2 3 2 2 3 5" xfId="2291"/>
    <cellStyle name="Normal 5 2 2 2 3 2 2 3 5 2" xfId="7837"/>
    <cellStyle name="Normal 5 2 2 2 3 2 2 3 5 3" xfId="13376"/>
    <cellStyle name="Normal 5 2 2 2 3 2 2 3 6" xfId="6632"/>
    <cellStyle name="Normal 5 2 2 2 3 2 2 3 7" xfId="12171"/>
    <cellStyle name="Normal 5 2 2 2 3 2 2 4" xfId="3137"/>
    <cellStyle name="Normal 5 2 2 2 3 2 2 4 2" xfId="8679"/>
    <cellStyle name="Normal 5 2 2 2 3 2 2 4 3" xfId="14218"/>
    <cellStyle name="Normal 5 2 2 2 3 2 2 5" xfId="4176"/>
    <cellStyle name="Normal 5 2 2 2 3 2 2 5 2" xfId="9715"/>
    <cellStyle name="Normal 5 2 2 2 3 2 2 5 3" xfId="15254"/>
    <cellStyle name="Normal 5 2 2 2 3 2 2 6" xfId="5137"/>
    <cellStyle name="Normal 5 2 2 2 3 2 2 6 2" xfId="10676"/>
    <cellStyle name="Normal 5 2 2 2 3 2 2 6 3" xfId="16215"/>
    <cellStyle name="Normal 5 2 2 2 3 2 2 7" xfId="1839"/>
    <cellStyle name="Normal 5 2 2 2 3 2 2 7 2" xfId="7385"/>
    <cellStyle name="Normal 5 2 2 2 3 2 2 7 3" xfId="12924"/>
    <cellStyle name="Normal 5 2 2 2 3 2 2 8" xfId="6180"/>
    <cellStyle name="Normal 5 2 2 2 3 2 2 9" xfId="11719"/>
    <cellStyle name="Normal 5 2 2 2 3 2 3" xfId="1264"/>
    <cellStyle name="Normal 5 2 2 2 3 2 3 2" xfId="3794"/>
    <cellStyle name="Normal 5 2 2 2 3 2 3 2 2" xfId="9336"/>
    <cellStyle name="Normal 5 2 2 2 3 2 3 2 3" xfId="14875"/>
    <cellStyle name="Normal 5 2 2 2 3 2 3 3" xfId="4831"/>
    <cellStyle name="Normal 5 2 2 2 3 2 3 3 2" xfId="10370"/>
    <cellStyle name="Normal 5 2 2 2 3 2 3 3 3" xfId="15909"/>
    <cellStyle name="Normal 5 2 2 2 3 2 3 4" xfId="5766"/>
    <cellStyle name="Normal 5 2 2 2 3 2 3 4 2" xfId="11305"/>
    <cellStyle name="Normal 5 2 2 2 3 2 3 4 3" xfId="16844"/>
    <cellStyle name="Normal 5 2 2 2 3 2 3 5" xfId="2468"/>
    <cellStyle name="Normal 5 2 2 2 3 2 3 5 2" xfId="8014"/>
    <cellStyle name="Normal 5 2 2 2 3 2 3 5 3" xfId="13553"/>
    <cellStyle name="Normal 5 2 2 2 3 2 3 6" xfId="6809"/>
    <cellStyle name="Normal 5 2 2 2 3 2 3 7" xfId="12348"/>
    <cellStyle name="Normal 5 2 2 2 3 2 4" xfId="796"/>
    <cellStyle name="Normal 5 2 2 2 3 2 4 2" xfId="3326"/>
    <cellStyle name="Normal 5 2 2 2 3 2 4 2 2" xfId="8868"/>
    <cellStyle name="Normal 5 2 2 2 3 2 4 2 3" xfId="14407"/>
    <cellStyle name="Normal 5 2 2 2 3 2 4 3" xfId="4363"/>
    <cellStyle name="Normal 5 2 2 2 3 2 4 3 2" xfId="9902"/>
    <cellStyle name="Normal 5 2 2 2 3 2 4 3 3" xfId="15441"/>
    <cellStyle name="Normal 5 2 2 2 3 2 4 4" xfId="5298"/>
    <cellStyle name="Normal 5 2 2 2 3 2 4 4 2" xfId="10837"/>
    <cellStyle name="Normal 5 2 2 2 3 2 4 4 3" xfId="16376"/>
    <cellStyle name="Normal 5 2 2 2 3 2 4 5" xfId="2000"/>
    <cellStyle name="Normal 5 2 2 2 3 2 4 5 2" xfId="7546"/>
    <cellStyle name="Normal 5 2 2 2 3 2 4 5 3" xfId="13085"/>
    <cellStyle name="Normal 5 2 2 2 3 2 4 6" xfId="6341"/>
    <cellStyle name="Normal 5 2 2 2 3 2 4 7" xfId="11880"/>
    <cellStyle name="Normal 5 2 2 2 3 2 5" xfId="1609"/>
    <cellStyle name="Normal 5 2 2 2 3 2 5 2" xfId="2814"/>
    <cellStyle name="Normal 5 2 2 2 3 2 5 2 2" xfId="8360"/>
    <cellStyle name="Normal 5 2 2 2 3 2 5 2 3" xfId="13899"/>
    <cellStyle name="Normal 5 2 2 2 3 2 5 3" xfId="7155"/>
    <cellStyle name="Normal 5 2 2 2 3 2 5 4" xfId="12694"/>
    <cellStyle name="Normal 5 2 2 2 3 2 6" xfId="2987"/>
    <cellStyle name="Normal 5 2 2 2 3 2 6 2" xfId="8531"/>
    <cellStyle name="Normal 5 2 2 2 3 2 6 3" xfId="14070"/>
    <cellStyle name="Normal 5 2 2 2 3 2 7" xfId="4032"/>
    <cellStyle name="Normal 5 2 2 2 3 2 7 2" xfId="9574"/>
    <cellStyle name="Normal 5 2 2 2 3 2 7 3" xfId="15113"/>
    <cellStyle name="Normal 5 2 2 2 3 2 8" xfId="5069"/>
    <cellStyle name="Normal 5 2 2 2 3 2 8 2" xfId="10608"/>
    <cellStyle name="Normal 5 2 2 2 3 2 8 3" xfId="16147"/>
    <cellStyle name="Normal 5 2 2 2 3 2 9" xfId="1771"/>
    <cellStyle name="Normal 5 2 2 2 3 2 9 2" xfId="7317"/>
    <cellStyle name="Normal 5 2 2 2 3 2 9 3" xfId="12856"/>
    <cellStyle name="Normal 5 2 2 2 3 3" xfId="477"/>
    <cellStyle name="Normal 5 2 2 2 3 3 2" xfId="1318"/>
    <cellStyle name="Normal 5 2 2 2 3 3 2 2" xfId="3850"/>
    <cellStyle name="Normal 5 2 2 2 3 3 2 2 2" xfId="9392"/>
    <cellStyle name="Normal 5 2 2 2 3 3 2 2 3" xfId="14931"/>
    <cellStyle name="Normal 5 2 2 2 3 3 2 3" xfId="4887"/>
    <cellStyle name="Normal 5 2 2 2 3 3 2 3 2" xfId="10426"/>
    <cellStyle name="Normal 5 2 2 2 3 3 2 3 3" xfId="15965"/>
    <cellStyle name="Normal 5 2 2 2 3 3 2 4" xfId="5821"/>
    <cellStyle name="Normal 5 2 2 2 3 3 2 4 2" xfId="11360"/>
    <cellStyle name="Normal 5 2 2 2 3 3 2 4 3" xfId="16899"/>
    <cellStyle name="Normal 5 2 2 2 3 3 2 5" xfId="2523"/>
    <cellStyle name="Normal 5 2 2 2 3 3 2 5 2" xfId="8069"/>
    <cellStyle name="Normal 5 2 2 2 3 3 2 5 3" xfId="13608"/>
    <cellStyle name="Normal 5 2 2 2 3 3 2 6" xfId="6864"/>
    <cellStyle name="Normal 5 2 2 2 3 3 2 7" xfId="12403"/>
    <cellStyle name="Normal 5 2 2 2 3 3 3" xfId="997"/>
    <cellStyle name="Normal 5 2 2 2 3 3 3 2" xfId="3527"/>
    <cellStyle name="Normal 5 2 2 2 3 3 3 2 2" xfId="9069"/>
    <cellStyle name="Normal 5 2 2 2 3 3 3 2 3" xfId="14608"/>
    <cellStyle name="Normal 5 2 2 2 3 3 3 3" xfId="4564"/>
    <cellStyle name="Normal 5 2 2 2 3 3 3 3 2" xfId="10103"/>
    <cellStyle name="Normal 5 2 2 2 3 3 3 3 3" xfId="15642"/>
    <cellStyle name="Normal 5 2 2 2 3 3 3 4" xfId="5499"/>
    <cellStyle name="Normal 5 2 2 2 3 3 3 4 2" xfId="11038"/>
    <cellStyle name="Normal 5 2 2 2 3 3 3 4 3" xfId="16577"/>
    <cellStyle name="Normal 5 2 2 2 3 3 3 5" xfId="2201"/>
    <cellStyle name="Normal 5 2 2 2 3 3 3 5 2" xfId="7747"/>
    <cellStyle name="Normal 5 2 2 2 3 3 3 5 3" xfId="13286"/>
    <cellStyle name="Normal 5 2 2 2 3 3 3 6" xfId="6542"/>
    <cellStyle name="Normal 5 2 2 2 3 3 3 7" xfId="12081"/>
    <cellStyle name="Normal 5 2 2 2 3 3 4" xfId="3136"/>
    <cellStyle name="Normal 5 2 2 2 3 3 4 2" xfId="8678"/>
    <cellStyle name="Normal 5 2 2 2 3 3 4 3" xfId="14217"/>
    <cellStyle name="Normal 5 2 2 2 3 3 5" xfId="4175"/>
    <cellStyle name="Normal 5 2 2 2 3 3 5 2" xfId="9714"/>
    <cellStyle name="Normal 5 2 2 2 3 3 5 3" xfId="15253"/>
    <cellStyle name="Normal 5 2 2 2 3 3 6" xfId="5136"/>
    <cellStyle name="Normal 5 2 2 2 3 3 6 2" xfId="10675"/>
    <cellStyle name="Normal 5 2 2 2 3 3 6 3" xfId="16214"/>
    <cellStyle name="Normal 5 2 2 2 3 3 7" xfId="1838"/>
    <cellStyle name="Normal 5 2 2 2 3 3 7 2" xfId="7384"/>
    <cellStyle name="Normal 5 2 2 2 3 3 7 3" xfId="12923"/>
    <cellStyle name="Normal 5 2 2 2 3 3 8" xfId="6179"/>
    <cellStyle name="Normal 5 2 2 2 3 3 9" xfId="11718"/>
    <cellStyle name="Normal 5 2 2 2 3 4" xfId="1174"/>
    <cellStyle name="Normal 5 2 2 2 3 4 2" xfId="3704"/>
    <cellStyle name="Normal 5 2 2 2 3 4 2 2" xfId="9246"/>
    <cellStyle name="Normal 5 2 2 2 3 4 2 3" xfId="14785"/>
    <cellStyle name="Normal 5 2 2 2 3 4 3" xfId="4741"/>
    <cellStyle name="Normal 5 2 2 2 3 4 3 2" xfId="10280"/>
    <cellStyle name="Normal 5 2 2 2 3 4 3 3" xfId="15819"/>
    <cellStyle name="Normal 5 2 2 2 3 4 4" xfId="5676"/>
    <cellStyle name="Normal 5 2 2 2 3 4 4 2" xfId="11215"/>
    <cellStyle name="Normal 5 2 2 2 3 4 4 3" xfId="16754"/>
    <cellStyle name="Normal 5 2 2 2 3 4 5" xfId="2378"/>
    <cellStyle name="Normal 5 2 2 2 3 4 5 2" xfId="7924"/>
    <cellStyle name="Normal 5 2 2 2 3 4 5 3" xfId="13463"/>
    <cellStyle name="Normal 5 2 2 2 3 4 6" xfId="6719"/>
    <cellStyle name="Normal 5 2 2 2 3 4 7" xfId="12258"/>
    <cellStyle name="Normal 5 2 2 2 3 5" xfId="795"/>
    <cellStyle name="Normal 5 2 2 2 3 5 2" xfId="3325"/>
    <cellStyle name="Normal 5 2 2 2 3 5 2 2" xfId="8867"/>
    <cellStyle name="Normal 5 2 2 2 3 5 2 3" xfId="14406"/>
    <cellStyle name="Normal 5 2 2 2 3 5 3" xfId="4362"/>
    <cellStyle name="Normal 5 2 2 2 3 5 3 2" xfId="9901"/>
    <cellStyle name="Normal 5 2 2 2 3 5 3 3" xfId="15440"/>
    <cellStyle name="Normal 5 2 2 2 3 5 4" xfId="5297"/>
    <cellStyle name="Normal 5 2 2 2 3 5 4 2" xfId="10836"/>
    <cellStyle name="Normal 5 2 2 2 3 5 4 3" xfId="16375"/>
    <cellStyle name="Normal 5 2 2 2 3 5 5" xfId="1999"/>
    <cellStyle name="Normal 5 2 2 2 3 5 5 2" xfId="7545"/>
    <cellStyle name="Normal 5 2 2 2 3 5 5 3" xfId="13084"/>
    <cellStyle name="Normal 5 2 2 2 3 5 6" xfId="6340"/>
    <cellStyle name="Normal 5 2 2 2 3 5 7" xfId="11879"/>
    <cellStyle name="Normal 5 2 2 2 3 6" xfId="1519"/>
    <cellStyle name="Normal 5 2 2 2 3 6 2" xfId="2724"/>
    <cellStyle name="Normal 5 2 2 2 3 6 2 2" xfId="8270"/>
    <cellStyle name="Normal 5 2 2 2 3 6 2 3" xfId="13809"/>
    <cellStyle name="Normal 5 2 2 2 3 6 3" xfId="7065"/>
    <cellStyle name="Normal 5 2 2 2 3 6 4" xfId="12604"/>
    <cellStyle name="Normal 5 2 2 2 3 7" xfId="2897"/>
    <cellStyle name="Normal 5 2 2 2 3 7 2" xfId="8441"/>
    <cellStyle name="Normal 5 2 2 2 3 7 3" xfId="13980"/>
    <cellStyle name="Normal 5 2 2 2 3 8" xfId="3094"/>
    <cellStyle name="Normal 5 2 2 2 3 8 2" xfId="8637"/>
    <cellStyle name="Normal 5 2 2 2 3 8 3" xfId="14176"/>
    <cellStyle name="Normal 5 2 2 2 3 9" xfId="4137"/>
    <cellStyle name="Normal 5 2 2 2 3 9 2" xfId="9678"/>
    <cellStyle name="Normal 5 2 2 2 3 9 3" xfId="15217"/>
    <cellStyle name="Normal 5 2 2 2 4" xfId="280"/>
    <cellStyle name="Normal 5 2 2 2 4 10" xfId="1717"/>
    <cellStyle name="Normal 5 2 2 2 4 10 2" xfId="7263"/>
    <cellStyle name="Normal 5 2 2 2 4 10 3" xfId="12802"/>
    <cellStyle name="Normal 5 2 2 2 4 11" xfId="6058"/>
    <cellStyle name="Normal 5 2 2 2 4 11 2" xfId="17136"/>
    <cellStyle name="Normal 5 2 2 2 4 12" xfId="702"/>
    <cellStyle name="Normal 5 2 2 2 4 12 2" xfId="17298"/>
    <cellStyle name="Normal 5 2 2 2 4 13" xfId="11597"/>
    <cellStyle name="Normal 5 2 2 2 4 14" xfId="17465"/>
    <cellStyle name="Normal 5 2 2 2 4 15" xfId="17630"/>
    <cellStyle name="Normal 5 2 2 2 4 2" xfId="281"/>
    <cellStyle name="Normal 5 2 2 2 4 2 10" xfId="6094"/>
    <cellStyle name="Normal 5 2 2 2 4 2 10 2" xfId="17172"/>
    <cellStyle name="Normal 5 2 2 2 4 2 11" xfId="738"/>
    <cellStyle name="Normal 5 2 2 2 4 2 11 2" xfId="17334"/>
    <cellStyle name="Normal 5 2 2 2 4 2 12" xfId="11633"/>
    <cellStyle name="Normal 5 2 2 2 4 2 13" xfId="17501"/>
    <cellStyle name="Normal 5 2 2 2 4 2 14" xfId="17666"/>
    <cellStyle name="Normal 5 2 2 2 4 2 2" xfId="480"/>
    <cellStyle name="Normal 5 2 2 2 4 2 2 2" xfId="1321"/>
    <cellStyle name="Normal 5 2 2 2 4 2 2 2 2" xfId="3853"/>
    <cellStyle name="Normal 5 2 2 2 4 2 2 2 2 2" xfId="9395"/>
    <cellStyle name="Normal 5 2 2 2 4 2 2 2 2 3" xfId="14934"/>
    <cellStyle name="Normal 5 2 2 2 4 2 2 2 3" xfId="4890"/>
    <cellStyle name="Normal 5 2 2 2 4 2 2 2 3 2" xfId="10429"/>
    <cellStyle name="Normal 5 2 2 2 4 2 2 2 3 3" xfId="15968"/>
    <cellStyle name="Normal 5 2 2 2 4 2 2 2 4" xfId="5824"/>
    <cellStyle name="Normal 5 2 2 2 4 2 2 2 4 2" xfId="11363"/>
    <cellStyle name="Normal 5 2 2 2 4 2 2 2 4 3" xfId="16902"/>
    <cellStyle name="Normal 5 2 2 2 4 2 2 2 5" xfId="2526"/>
    <cellStyle name="Normal 5 2 2 2 4 2 2 2 5 2" xfId="8072"/>
    <cellStyle name="Normal 5 2 2 2 4 2 2 2 5 3" xfId="13611"/>
    <cellStyle name="Normal 5 2 2 2 4 2 2 2 6" xfId="6867"/>
    <cellStyle name="Normal 5 2 2 2 4 2 2 2 7" xfId="12406"/>
    <cellStyle name="Normal 5 2 2 2 4 2 2 3" xfId="1069"/>
    <cellStyle name="Normal 5 2 2 2 4 2 2 3 2" xfId="3599"/>
    <cellStyle name="Normal 5 2 2 2 4 2 2 3 2 2" xfId="9141"/>
    <cellStyle name="Normal 5 2 2 2 4 2 2 3 2 3" xfId="14680"/>
    <cellStyle name="Normal 5 2 2 2 4 2 2 3 3" xfId="4636"/>
    <cellStyle name="Normal 5 2 2 2 4 2 2 3 3 2" xfId="10175"/>
    <cellStyle name="Normal 5 2 2 2 4 2 2 3 3 3" xfId="15714"/>
    <cellStyle name="Normal 5 2 2 2 4 2 2 3 4" xfId="5571"/>
    <cellStyle name="Normal 5 2 2 2 4 2 2 3 4 2" xfId="11110"/>
    <cellStyle name="Normal 5 2 2 2 4 2 2 3 4 3" xfId="16649"/>
    <cellStyle name="Normal 5 2 2 2 4 2 2 3 5" xfId="2273"/>
    <cellStyle name="Normal 5 2 2 2 4 2 2 3 5 2" xfId="7819"/>
    <cellStyle name="Normal 5 2 2 2 4 2 2 3 5 3" xfId="13358"/>
    <cellStyle name="Normal 5 2 2 2 4 2 2 3 6" xfId="6614"/>
    <cellStyle name="Normal 5 2 2 2 4 2 2 3 7" xfId="12153"/>
    <cellStyle name="Normal 5 2 2 2 4 2 2 4" xfId="3139"/>
    <cellStyle name="Normal 5 2 2 2 4 2 2 4 2" xfId="8681"/>
    <cellStyle name="Normal 5 2 2 2 4 2 2 4 3" xfId="14220"/>
    <cellStyle name="Normal 5 2 2 2 4 2 2 5" xfId="4178"/>
    <cellStyle name="Normal 5 2 2 2 4 2 2 5 2" xfId="9717"/>
    <cellStyle name="Normal 5 2 2 2 4 2 2 5 3" xfId="15256"/>
    <cellStyle name="Normal 5 2 2 2 4 2 2 6" xfId="5139"/>
    <cellStyle name="Normal 5 2 2 2 4 2 2 6 2" xfId="10678"/>
    <cellStyle name="Normal 5 2 2 2 4 2 2 6 3" xfId="16217"/>
    <cellStyle name="Normal 5 2 2 2 4 2 2 7" xfId="1841"/>
    <cellStyle name="Normal 5 2 2 2 4 2 2 7 2" xfId="7387"/>
    <cellStyle name="Normal 5 2 2 2 4 2 2 7 3" xfId="12926"/>
    <cellStyle name="Normal 5 2 2 2 4 2 2 8" xfId="6182"/>
    <cellStyle name="Normal 5 2 2 2 4 2 2 9" xfId="11721"/>
    <cellStyle name="Normal 5 2 2 2 4 2 3" xfId="1246"/>
    <cellStyle name="Normal 5 2 2 2 4 2 3 2" xfId="3776"/>
    <cellStyle name="Normal 5 2 2 2 4 2 3 2 2" xfId="9318"/>
    <cellStyle name="Normal 5 2 2 2 4 2 3 2 3" xfId="14857"/>
    <cellStyle name="Normal 5 2 2 2 4 2 3 3" xfId="4813"/>
    <cellStyle name="Normal 5 2 2 2 4 2 3 3 2" xfId="10352"/>
    <cellStyle name="Normal 5 2 2 2 4 2 3 3 3" xfId="15891"/>
    <cellStyle name="Normal 5 2 2 2 4 2 3 4" xfId="5748"/>
    <cellStyle name="Normal 5 2 2 2 4 2 3 4 2" xfId="11287"/>
    <cellStyle name="Normal 5 2 2 2 4 2 3 4 3" xfId="16826"/>
    <cellStyle name="Normal 5 2 2 2 4 2 3 5" xfId="2450"/>
    <cellStyle name="Normal 5 2 2 2 4 2 3 5 2" xfId="7996"/>
    <cellStyle name="Normal 5 2 2 2 4 2 3 5 3" xfId="13535"/>
    <cellStyle name="Normal 5 2 2 2 4 2 3 6" xfId="6791"/>
    <cellStyle name="Normal 5 2 2 2 4 2 3 7" xfId="12330"/>
    <cellStyle name="Normal 5 2 2 2 4 2 4" xfId="798"/>
    <cellStyle name="Normal 5 2 2 2 4 2 4 2" xfId="3328"/>
    <cellStyle name="Normal 5 2 2 2 4 2 4 2 2" xfId="8870"/>
    <cellStyle name="Normal 5 2 2 2 4 2 4 2 3" xfId="14409"/>
    <cellStyle name="Normal 5 2 2 2 4 2 4 3" xfId="4365"/>
    <cellStyle name="Normal 5 2 2 2 4 2 4 3 2" xfId="9904"/>
    <cellStyle name="Normal 5 2 2 2 4 2 4 3 3" xfId="15443"/>
    <cellStyle name="Normal 5 2 2 2 4 2 4 4" xfId="5300"/>
    <cellStyle name="Normal 5 2 2 2 4 2 4 4 2" xfId="10839"/>
    <cellStyle name="Normal 5 2 2 2 4 2 4 4 3" xfId="16378"/>
    <cellStyle name="Normal 5 2 2 2 4 2 4 5" xfId="2002"/>
    <cellStyle name="Normal 5 2 2 2 4 2 4 5 2" xfId="7548"/>
    <cellStyle name="Normal 5 2 2 2 4 2 4 5 3" xfId="13087"/>
    <cellStyle name="Normal 5 2 2 2 4 2 4 6" xfId="6343"/>
    <cellStyle name="Normal 5 2 2 2 4 2 4 7" xfId="11882"/>
    <cellStyle name="Normal 5 2 2 2 4 2 5" xfId="1591"/>
    <cellStyle name="Normal 5 2 2 2 4 2 5 2" xfId="2796"/>
    <cellStyle name="Normal 5 2 2 2 4 2 5 2 2" xfId="8342"/>
    <cellStyle name="Normal 5 2 2 2 4 2 5 2 3" xfId="13881"/>
    <cellStyle name="Normal 5 2 2 2 4 2 5 3" xfId="7137"/>
    <cellStyle name="Normal 5 2 2 2 4 2 5 4" xfId="12676"/>
    <cellStyle name="Normal 5 2 2 2 4 2 6" xfId="2969"/>
    <cellStyle name="Normal 5 2 2 2 4 2 6 2" xfId="8513"/>
    <cellStyle name="Normal 5 2 2 2 4 2 6 3" xfId="14052"/>
    <cellStyle name="Normal 5 2 2 2 4 2 7" xfId="4014"/>
    <cellStyle name="Normal 5 2 2 2 4 2 7 2" xfId="9556"/>
    <cellStyle name="Normal 5 2 2 2 4 2 7 3" xfId="15095"/>
    <cellStyle name="Normal 5 2 2 2 4 2 8" xfId="5051"/>
    <cellStyle name="Normal 5 2 2 2 4 2 8 2" xfId="10590"/>
    <cellStyle name="Normal 5 2 2 2 4 2 8 3" xfId="16129"/>
    <cellStyle name="Normal 5 2 2 2 4 2 9" xfId="1753"/>
    <cellStyle name="Normal 5 2 2 2 4 2 9 2" xfId="7299"/>
    <cellStyle name="Normal 5 2 2 2 4 2 9 3" xfId="12838"/>
    <cellStyle name="Normal 5 2 2 2 4 3" xfId="479"/>
    <cellStyle name="Normal 5 2 2 2 4 3 2" xfId="1320"/>
    <cellStyle name="Normal 5 2 2 2 4 3 2 2" xfId="3852"/>
    <cellStyle name="Normal 5 2 2 2 4 3 2 2 2" xfId="9394"/>
    <cellStyle name="Normal 5 2 2 2 4 3 2 2 3" xfId="14933"/>
    <cellStyle name="Normal 5 2 2 2 4 3 2 3" xfId="4889"/>
    <cellStyle name="Normal 5 2 2 2 4 3 2 3 2" xfId="10428"/>
    <cellStyle name="Normal 5 2 2 2 4 3 2 3 3" xfId="15967"/>
    <cellStyle name="Normal 5 2 2 2 4 3 2 4" xfId="5823"/>
    <cellStyle name="Normal 5 2 2 2 4 3 2 4 2" xfId="11362"/>
    <cellStyle name="Normal 5 2 2 2 4 3 2 4 3" xfId="16901"/>
    <cellStyle name="Normal 5 2 2 2 4 3 2 5" xfId="2525"/>
    <cellStyle name="Normal 5 2 2 2 4 3 2 5 2" xfId="8071"/>
    <cellStyle name="Normal 5 2 2 2 4 3 2 5 3" xfId="13610"/>
    <cellStyle name="Normal 5 2 2 2 4 3 2 6" xfId="6866"/>
    <cellStyle name="Normal 5 2 2 2 4 3 2 7" xfId="12405"/>
    <cellStyle name="Normal 5 2 2 2 4 3 3" xfId="1033"/>
    <cellStyle name="Normal 5 2 2 2 4 3 3 2" xfId="3563"/>
    <cellStyle name="Normal 5 2 2 2 4 3 3 2 2" xfId="9105"/>
    <cellStyle name="Normal 5 2 2 2 4 3 3 2 3" xfId="14644"/>
    <cellStyle name="Normal 5 2 2 2 4 3 3 3" xfId="4600"/>
    <cellStyle name="Normal 5 2 2 2 4 3 3 3 2" xfId="10139"/>
    <cellStyle name="Normal 5 2 2 2 4 3 3 3 3" xfId="15678"/>
    <cellStyle name="Normal 5 2 2 2 4 3 3 4" xfId="5535"/>
    <cellStyle name="Normal 5 2 2 2 4 3 3 4 2" xfId="11074"/>
    <cellStyle name="Normal 5 2 2 2 4 3 3 4 3" xfId="16613"/>
    <cellStyle name="Normal 5 2 2 2 4 3 3 5" xfId="2237"/>
    <cellStyle name="Normal 5 2 2 2 4 3 3 5 2" xfId="7783"/>
    <cellStyle name="Normal 5 2 2 2 4 3 3 5 3" xfId="13322"/>
    <cellStyle name="Normal 5 2 2 2 4 3 3 6" xfId="6578"/>
    <cellStyle name="Normal 5 2 2 2 4 3 3 7" xfId="12117"/>
    <cellStyle name="Normal 5 2 2 2 4 3 4" xfId="3138"/>
    <cellStyle name="Normal 5 2 2 2 4 3 4 2" xfId="8680"/>
    <cellStyle name="Normal 5 2 2 2 4 3 4 3" xfId="14219"/>
    <cellStyle name="Normal 5 2 2 2 4 3 5" xfId="4177"/>
    <cellStyle name="Normal 5 2 2 2 4 3 5 2" xfId="9716"/>
    <cellStyle name="Normal 5 2 2 2 4 3 5 3" xfId="15255"/>
    <cellStyle name="Normal 5 2 2 2 4 3 6" xfId="5138"/>
    <cellStyle name="Normal 5 2 2 2 4 3 6 2" xfId="10677"/>
    <cellStyle name="Normal 5 2 2 2 4 3 6 3" xfId="16216"/>
    <cellStyle name="Normal 5 2 2 2 4 3 7" xfId="1840"/>
    <cellStyle name="Normal 5 2 2 2 4 3 7 2" xfId="7386"/>
    <cellStyle name="Normal 5 2 2 2 4 3 7 3" xfId="12925"/>
    <cellStyle name="Normal 5 2 2 2 4 3 8" xfId="6181"/>
    <cellStyle name="Normal 5 2 2 2 4 3 9" xfId="11720"/>
    <cellStyle name="Normal 5 2 2 2 4 4" xfId="1210"/>
    <cellStyle name="Normal 5 2 2 2 4 4 2" xfId="3740"/>
    <cellStyle name="Normal 5 2 2 2 4 4 2 2" xfId="9282"/>
    <cellStyle name="Normal 5 2 2 2 4 4 2 3" xfId="14821"/>
    <cellStyle name="Normal 5 2 2 2 4 4 3" xfId="4777"/>
    <cellStyle name="Normal 5 2 2 2 4 4 3 2" xfId="10316"/>
    <cellStyle name="Normal 5 2 2 2 4 4 3 3" xfId="15855"/>
    <cellStyle name="Normal 5 2 2 2 4 4 4" xfId="5712"/>
    <cellStyle name="Normal 5 2 2 2 4 4 4 2" xfId="11251"/>
    <cellStyle name="Normal 5 2 2 2 4 4 4 3" xfId="16790"/>
    <cellStyle name="Normal 5 2 2 2 4 4 5" xfId="2414"/>
    <cellStyle name="Normal 5 2 2 2 4 4 5 2" xfId="7960"/>
    <cellStyle name="Normal 5 2 2 2 4 4 5 3" xfId="13499"/>
    <cellStyle name="Normal 5 2 2 2 4 4 6" xfId="6755"/>
    <cellStyle name="Normal 5 2 2 2 4 4 7" xfId="12294"/>
    <cellStyle name="Normal 5 2 2 2 4 5" xfId="797"/>
    <cellStyle name="Normal 5 2 2 2 4 5 2" xfId="3327"/>
    <cellStyle name="Normal 5 2 2 2 4 5 2 2" xfId="8869"/>
    <cellStyle name="Normal 5 2 2 2 4 5 2 3" xfId="14408"/>
    <cellStyle name="Normal 5 2 2 2 4 5 3" xfId="4364"/>
    <cellStyle name="Normal 5 2 2 2 4 5 3 2" xfId="9903"/>
    <cellStyle name="Normal 5 2 2 2 4 5 3 3" xfId="15442"/>
    <cellStyle name="Normal 5 2 2 2 4 5 4" xfId="5299"/>
    <cellStyle name="Normal 5 2 2 2 4 5 4 2" xfId="10838"/>
    <cellStyle name="Normal 5 2 2 2 4 5 4 3" xfId="16377"/>
    <cellStyle name="Normal 5 2 2 2 4 5 5" xfId="2001"/>
    <cellStyle name="Normal 5 2 2 2 4 5 5 2" xfId="7547"/>
    <cellStyle name="Normal 5 2 2 2 4 5 5 3" xfId="13086"/>
    <cellStyle name="Normal 5 2 2 2 4 5 6" xfId="6342"/>
    <cellStyle name="Normal 5 2 2 2 4 5 7" xfId="11881"/>
    <cellStyle name="Normal 5 2 2 2 4 6" xfId="1555"/>
    <cellStyle name="Normal 5 2 2 2 4 6 2" xfId="2760"/>
    <cellStyle name="Normal 5 2 2 2 4 6 2 2" xfId="8306"/>
    <cellStyle name="Normal 5 2 2 2 4 6 2 3" xfId="13845"/>
    <cellStyle name="Normal 5 2 2 2 4 6 3" xfId="7101"/>
    <cellStyle name="Normal 5 2 2 2 4 6 4" xfId="12640"/>
    <cellStyle name="Normal 5 2 2 2 4 7" xfId="2933"/>
    <cellStyle name="Normal 5 2 2 2 4 7 2" xfId="8477"/>
    <cellStyle name="Normal 5 2 2 2 4 7 3" xfId="14016"/>
    <cellStyle name="Normal 5 2 2 2 4 8" xfId="3078"/>
    <cellStyle name="Normal 5 2 2 2 4 8 2" xfId="8621"/>
    <cellStyle name="Normal 5 2 2 2 4 8 3" xfId="14160"/>
    <cellStyle name="Normal 5 2 2 2 4 9" xfId="4121"/>
    <cellStyle name="Normal 5 2 2 2 4 9 2" xfId="9662"/>
    <cellStyle name="Normal 5 2 2 2 4 9 3" xfId="15201"/>
    <cellStyle name="Normal 5 2 2 2 5" xfId="282"/>
    <cellStyle name="Normal 5 2 2 2 5 10" xfId="6076"/>
    <cellStyle name="Normal 5 2 2 2 5 10 2" xfId="17154"/>
    <cellStyle name="Normal 5 2 2 2 5 11" xfId="720"/>
    <cellStyle name="Normal 5 2 2 2 5 11 2" xfId="17316"/>
    <cellStyle name="Normal 5 2 2 2 5 12" xfId="11615"/>
    <cellStyle name="Normal 5 2 2 2 5 13" xfId="17483"/>
    <cellStyle name="Normal 5 2 2 2 5 14" xfId="17648"/>
    <cellStyle name="Normal 5 2 2 2 5 2" xfId="481"/>
    <cellStyle name="Normal 5 2 2 2 5 2 2" xfId="1322"/>
    <cellStyle name="Normal 5 2 2 2 5 2 2 2" xfId="3854"/>
    <cellStyle name="Normal 5 2 2 2 5 2 2 2 2" xfId="9396"/>
    <cellStyle name="Normal 5 2 2 2 5 2 2 2 3" xfId="14935"/>
    <cellStyle name="Normal 5 2 2 2 5 2 2 3" xfId="4891"/>
    <cellStyle name="Normal 5 2 2 2 5 2 2 3 2" xfId="10430"/>
    <cellStyle name="Normal 5 2 2 2 5 2 2 3 3" xfId="15969"/>
    <cellStyle name="Normal 5 2 2 2 5 2 2 4" xfId="5825"/>
    <cellStyle name="Normal 5 2 2 2 5 2 2 4 2" xfId="11364"/>
    <cellStyle name="Normal 5 2 2 2 5 2 2 4 3" xfId="16903"/>
    <cellStyle name="Normal 5 2 2 2 5 2 2 5" xfId="2527"/>
    <cellStyle name="Normal 5 2 2 2 5 2 2 5 2" xfId="8073"/>
    <cellStyle name="Normal 5 2 2 2 5 2 2 5 3" xfId="13612"/>
    <cellStyle name="Normal 5 2 2 2 5 2 2 6" xfId="6868"/>
    <cellStyle name="Normal 5 2 2 2 5 2 2 7" xfId="12407"/>
    <cellStyle name="Normal 5 2 2 2 5 2 3" xfId="1051"/>
    <cellStyle name="Normal 5 2 2 2 5 2 3 2" xfId="3581"/>
    <cellStyle name="Normal 5 2 2 2 5 2 3 2 2" xfId="9123"/>
    <cellStyle name="Normal 5 2 2 2 5 2 3 2 3" xfId="14662"/>
    <cellStyle name="Normal 5 2 2 2 5 2 3 3" xfId="4618"/>
    <cellStyle name="Normal 5 2 2 2 5 2 3 3 2" xfId="10157"/>
    <cellStyle name="Normal 5 2 2 2 5 2 3 3 3" xfId="15696"/>
    <cellStyle name="Normal 5 2 2 2 5 2 3 4" xfId="5553"/>
    <cellStyle name="Normal 5 2 2 2 5 2 3 4 2" xfId="11092"/>
    <cellStyle name="Normal 5 2 2 2 5 2 3 4 3" xfId="16631"/>
    <cellStyle name="Normal 5 2 2 2 5 2 3 5" xfId="2255"/>
    <cellStyle name="Normal 5 2 2 2 5 2 3 5 2" xfId="7801"/>
    <cellStyle name="Normal 5 2 2 2 5 2 3 5 3" xfId="13340"/>
    <cellStyle name="Normal 5 2 2 2 5 2 3 6" xfId="6596"/>
    <cellStyle name="Normal 5 2 2 2 5 2 3 7" xfId="12135"/>
    <cellStyle name="Normal 5 2 2 2 5 2 4" xfId="3140"/>
    <cellStyle name="Normal 5 2 2 2 5 2 4 2" xfId="8682"/>
    <cellStyle name="Normal 5 2 2 2 5 2 4 3" xfId="14221"/>
    <cellStyle name="Normal 5 2 2 2 5 2 5" xfId="4179"/>
    <cellStyle name="Normal 5 2 2 2 5 2 5 2" xfId="9718"/>
    <cellStyle name="Normal 5 2 2 2 5 2 5 3" xfId="15257"/>
    <cellStyle name="Normal 5 2 2 2 5 2 6" xfId="5140"/>
    <cellStyle name="Normal 5 2 2 2 5 2 6 2" xfId="10679"/>
    <cellStyle name="Normal 5 2 2 2 5 2 6 3" xfId="16218"/>
    <cellStyle name="Normal 5 2 2 2 5 2 7" xfId="1842"/>
    <cellStyle name="Normal 5 2 2 2 5 2 7 2" xfId="7388"/>
    <cellStyle name="Normal 5 2 2 2 5 2 7 3" xfId="12927"/>
    <cellStyle name="Normal 5 2 2 2 5 2 8" xfId="6183"/>
    <cellStyle name="Normal 5 2 2 2 5 2 9" xfId="11722"/>
    <cellStyle name="Normal 5 2 2 2 5 3" xfId="1228"/>
    <cellStyle name="Normal 5 2 2 2 5 3 2" xfId="3758"/>
    <cellStyle name="Normal 5 2 2 2 5 3 2 2" xfId="9300"/>
    <cellStyle name="Normal 5 2 2 2 5 3 2 3" xfId="14839"/>
    <cellStyle name="Normal 5 2 2 2 5 3 3" xfId="4795"/>
    <cellStyle name="Normal 5 2 2 2 5 3 3 2" xfId="10334"/>
    <cellStyle name="Normal 5 2 2 2 5 3 3 3" xfId="15873"/>
    <cellStyle name="Normal 5 2 2 2 5 3 4" xfId="5730"/>
    <cellStyle name="Normal 5 2 2 2 5 3 4 2" xfId="11269"/>
    <cellStyle name="Normal 5 2 2 2 5 3 4 3" xfId="16808"/>
    <cellStyle name="Normal 5 2 2 2 5 3 5" xfId="2432"/>
    <cellStyle name="Normal 5 2 2 2 5 3 5 2" xfId="7978"/>
    <cellStyle name="Normal 5 2 2 2 5 3 5 3" xfId="13517"/>
    <cellStyle name="Normal 5 2 2 2 5 3 6" xfId="6773"/>
    <cellStyle name="Normal 5 2 2 2 5 3 7" xfId="12312"/>
    <cellStyle name="Normal 5 2 2 2 5 4" xfId="799"/>
    <cellStyle name="Normal 5 2 2 2 5 4 2" xfId="3329"/>
    <cellStyle name="Normal 5 2 2 2 5 4 2 2" xfId="8871"/>
    <cellStyle name="Normal 5 2 2 2 5 4 2 3" xfId="14410"/>
    <cellStyle name="Normal 5 2 2 2 5 4 3" xfId="4366"/>
    <cellStyle name="Normal 5 2 2 2 5 4 3 2" xfId="9905"/>
    <cellStyle name="Normal 5 2 2 2 5 4 3 3" xfId="15444"/>
    <cellStyle name="Normal 5 2 2 2 5 4 4" xfId="5301"/>
    <cellStyle name="Normal 5 2 2 2 5 4 4 2" xfId="10840"/>
    <cellStyle name="Normal 5 2 2 2 5 4 4 3" xfId="16379"/>
    <cellStyle name="Normal 5 2 2 2 5 4 5" xfId="2003"/>
    <cellStyle name="Normal 5 2 2 2 5 4 5 2" xfId="7549"/>
    <cellStyle name="Normal 5 2 2 2 5 4 5 3" xfId="13088"/>
    <cellStyle name="Normal 5 2 2 2 5 4 6" xfId="6344"/>
    <cellStyle name="Normal 5 2 2 2 5 4 7" xfId="11883"/>
    <cellStyle name="Normal 5 2 2 2 5 5" xfId="1573"/>
    <cellStyle name="Normal 5 2 2 2 5 5 2" xfId="2778"/>
    <cellStyle name="Normal 5 2 2 2 5 5 2 2" xfId="8324"/>
    <cellStyle name="Normal 5 2 2 2 5 5 2 3" xfId="13863"/>
    <cellStyle name="Normal 5 2 2 2 5 5 3" xfId="7119"/>
    <cellStyle name="Normal 5 2 2 2 5 5 4" xfId="12658"/>
    <cellStyle name="Normal 5 2 2 2 5 6" xfId="2951"/>
    <cellStyle name="Normal 5 2 2 2 5 6 2" xfId="8495"/>
    <cellStyle name="Normal 5 2 2 2 5 6 3" xfId="14034"/>
    <cellStyle name="Normal 5 2 2 2 5 7" xfId="3067"/>
    <cellStyle name="Normal 5 2 2 2 5 7 2" xfId="8610"/>
    <cellStyle name="Normal 5 2 2 2 5 7 3" xfId="14149"/>
    <cellStyle name="Normal 5 2 2 2 5 8" xfId="4110"/>
    <cellStyle name="Normal 5 2 2 2 5 8 2" xfId="9651"/>
    <cellStyle name="Normal 5 2 2 2 5 8 3" xfId="15190"/>
    <cellStyle name="Normal 5 2 2 2 5 9" xfId="1735"/>
    <cellStyle name="Normal 5 2 2 2 5 9 2" xfId="7281"/>
    <cellStyle name="Normal 5 2 2 2 5 9 3" xfId="12820"/>
    <cellStyle name="Normal 5 2 2 2 6" xfId="283"/>
    <cellStyle name="Normal 5 2 2 2 6 10" xfId="6004"/>
    <cellStyle name="Normal 5 2 2 2 6 10 2" xfId="17082"/>
    <cellStyle name="Normal 5 2 2 2 6 11" xfId="648"/>
    <cellStyle name="Normal 5 2 2 2 6 11 2" xfId="17244"/>
    <cellStyle name="Normal 5 2 2 2 6 12" xfId="11543"/>
    <cellStyle name="Normal 5 2 2 2 6 13" xfId="17411"/>
    <cellStyle name="Normal 5 2 2 2 6 14" xfId="17576"/>
    <cellStyle name="Normal 5 2 2 2 6 2" xfId="482"/>
    <cellStyle name="Normal 5 2 2 2 6 2 2" xfId="1323"/>
    <cellStyle name="Normal 5 2 2 2 6 2 2 2" xfId="3855"/>
    <cellStyle name="Normal 5 2 2 2 6 2 2 2 2" xfId="9397"/>
    <cellStyle name="Normal 5 2 2 2 6 2 2 2 3" xfId="14936"/>
    <cellStyle name="Normal 5 2 2 2 6 2 2 3" xfId="4892"/>
    <cellStyle name="Normal 5 2 2 2 6 2 2 3 2" xfId="10431"/>
    <cellStyle name="Normal 5 2 2 2 6 2 2 3 3" xfId="15970"/>
    <cellStyle name="Normal 5 2 2 2 6 2 2 4" xfId="5826"/>
    <cellStyle name="Normal 5 2 2 2 6 2 2 4 2" xfId="11365"/>
    <cellStyle name="Normal 5 2 2 2 6 2 2 4 3" xfId="16904"/>
    <cellStyle name="Normal 5 2 2 2 6 2 2 5" xfId="2528"/>
    <cellStyle name="Normal 5 2 2 2 6 2 2 5 2" xfId="8074"/>
    <cellStyle name="Normal 5 2 2 2 6 2 2 5 3" xfId="13613"/>
    <cellStyle name="Normal 5 2 2 2 6 2 2 6" xfId="6869"/>
    <cellStyle name="Normal 5 2 2 2 6 2 2 7" xfId="12408"/>
    <cellStyle name="Normal 5 2 2 2 6 2 3" xfId="979"/>
    <cellStyle name="Normal 5 2 2 2 6 2 3 2" xfId="3509"/>
    <cellStyle name="Normal 5 2 2 2 6 2 3 2 2" xfId="9051"/>
    <cellStyle name="Normal 5 2 2 2 6 2 3 2 3" xfId="14590"/>
    <cellStyle name="Normal 5 2 2 2 6 2 3 3" xfId="4546"/>
    <cellStyle name="Normal 5 2 2 2 6 2 3 3 2" xfId="10085"/>
    <cellStyle name="Normal 5 2 2 2 6 2 3 3 3" xfId="15624"/>
    <cellStyle name="Normal 5 2 2 2 6 2 3 4" xfId="5481"/>
    <cellStyle name="Normal 5 2 2 2 6 2 3 4 2" xfId="11020"/>
    <cellStyle name="Normal 5 2 2 2 6 2 3 4 3" xfId="16559"/>
    <cellStyle name="Normal 5 2 2 2 6 2 3 5" xfId="2183"/>
    <cellStyle name="Normal 5 2 2 2 6 2 3 5 2" xfId="7729"/>
    <cellStyle name="Normal 5 2 2 2 6 2 3 5 3" xfId="13268"/>
    <cellStyle name="Normal 5 2 2 2 6 2 3 6" xfId="6524"/>
    <cellStyle name="Normal 5 2 2 2 6 2 3 7" xfId="12063"/>
    <cellStyle name="Normal 5 2 2 2 6 2 4" xfId="3141"/>
    <cellStyle name="Normal 5 2 2 2 6 2 4 2" xfId="8683"/>
    <cellStyle name="Normal 5 2 2 2 6 2 4 3" xfId="14222"/>
    <cellStyle name="Normal 5 2 2 2 6 2 5" xfId="4180"/>
    <cellStyle name="Normal 5 2 2 2 6 2 5 2" xfId="9719"/>
    <cellStyle name="Normal 5 2 2 2 6 2 5 3" xfId="15258"/>
    <cellStyle name="Normal 5 2 2 2 6 2 6" xfId="5141"/>
    <cellStyle name="Normal 5 2 2 2 6 2 6 2" xfId="10680"/>
    <cellStyle name="Normal 5 2 2 2 6 2 6 3" xfId="16219"/>
    <cellStyle name="Normal 5 2 2 2 6 2 7" xfId="1843"/>
    <cellStyle name="Normal 5 2 2 2 6 2 7 2" xfId="7389"/>
    <cellStyle name="Normal 5 2 2 2 6 2 7 3" xfId="12928"/>
    <cellStyle name="Normal 5 2 2 2 6 2 8" xfId="6184"/>
    <cellStyle name="Normal 5 2 2 2 6 2 9" xfId="11723"/>
    <cellStyle name="Normal 5 2 2 2 6 3" xfId="1156"/>
    <cellStyle name="Normal 5 2 2 2 6 3 2" xfId="3686"/>
    <cellStyle name="Normal 5 2 2 2 6 3 2 2" xfId="9228"/>
    <cellStyle name="Normal 5 2 2 2 6 3 2 3" xfId="14767"/>
    <cellStyle name="Normal 5 2 2 2 6 3 3" xfId="4723"/>
    <cellStyle name="Normal 5 2 2 2 6 3 3 2" xfId="10262"/>
    <cellStyle name="Normal 5 2 2 2 6 3 3 3" xfId="15801"/>
    <cellStyle name="Normal 5 2 2 2 6 3 4" xfId="5658"/>
    <cellStyle name="Normal 5 2 2 2 6 3 4 2" xfId="11197"/>
    <cellStyle name="Normal 5 2 2 2 6 3 4 3" xfId="16736"/>
    <cellStyle name="Normal 5 2 2 2 6 3 5" xfId="2360"/>
    <cellStyle name="Normal 5 2 2 2 6 3 5 2" xfId="7906"/>
    <cellStyle name="Normal 5 2 2 2 6 3 5 3" xfId="13445"/>
    <cellStyle name="Normal 5 2 2 2 6 3 6" xfId="6701"/>
    <cellStyle name="Normal 5 2 2 2 6 3 7" xfId="12240"/>
    <cellStyle name="Normal 5 2 2 2 6 4" xfId="800"/>
    <cellStyle name="Normal 5 2 2 2 6 4 2" xfId="3330"/>
    <cellStyle name="Normal 5 2 2 2 6 4 2 2" xfId="8872"/>
    <cellStyle name="Normal 5 2 2 2 6 4 2 3" xfId="14411"/>
    <cellStyle name="Normal 5 2 2 2 6 4 3" xfId="4367"/>
    <cellStyle name="Normal 5 2 2 2 6 4 3 2" xfId="9906"/>
    <cellStyle name="Normal 5 2 2 2 6 4 3 3" xfId="15445"/>
    <cellStyle name="Normal 5 2 2 2 6 4 4" xfId="5302"/>
    <cellStyle name="Normal 5 2 2 2 6 4 4 2" xfId="10841"/>
    <cellStyle name="Normal 5 2 2 2 6 4 4 3" xfId="16380"/>
    <cellStyle name="Normal 5 2 2 2 6 4 5" xfId="2004"/>
    <cellStyle name="Normal 5 2 2 2 6 4 5 2" xfId="7550"/>
    <cellStyle name="Normal 5 2 2 2 6 4 5 3" xfId="13089"/>
    <cellStyle name="Normal 5 2 2 2 6 4 6" xfId="6345"/>
    <cellStyle name="Normal 5 2 2 2 6 4 7" xfId="11884"/>
    <cellStyle name="Normal 5 2 2 2 6 5" xfId="1501"/>
    <cellStyle name="Normal 5 2 2 2 6 5 2" xfId="2706"/>
    <cellStyle name="Normal 5 2 2 2 6 5 2 2" xfId="8252"/>
    <cellStyle name="Normal 5 2 2 2 6 5 2 3" xfId="13791"/>
    <cellStyle name="Normal 5 2 2 2 6 5 3" xfId="7047"/>
    <cellStyle name="Normal 5 2 2 2 6 5 4" xfId="12586"/>
    <cellStyle name="Normal 5 2 2 2 6 6" xfId="2879"/>
    <cellStyle name="Normal 5 2 2 2 6 6 2" xfId="8423"/>
    <cellStyle name="Normal 5 2 2 2 6 6 3" xfId="13962"/>
    <cellStyle name="Normal 5 2 2 2 6 7" xfId="3279"/>
    <cellStyle name="Normal 5 2 2 2 6 7 2" xfId="8821"/>
    <cellStyle name="Normal 5 2 2 2 6 7 3" xfId="14360"/>
    <cellStyle name="Normal 5 2 2 2 6 8" xfId="4318"/>
    <cellStyle name="Normal 5 2 2 2 6 8 2" xfId="9857"/>
    <cellStyle name="Normal 5 2 2 2 6 8 3" xfId="15396"/>
    <cellStyle name="Normal 5 2 2 2 6 9" xfId="1663"/>
    <cellStyle name="Normal 5 2 2 2 6 9 2" xfId="7209"/>
    <cellStyle name="Normal 5 2 2 2 6 9 3" xfId="12748"/>
    <cellStyle name="Normal 5 2 2 2 7" xfId="454"/>
    <cellStyle name="Normal 5 2 2 2 7 2" xfId="1296"/>
    <cellStyle name="Normal 5 2 2 2 7 2 2" xfId="3827"/>
    <cellStyle name="Normal 5 2 2 2 7 2 2 2" xfId="9369"/>
    <cellStyle name="Normal 5 2 2 2 7 2 2 3" xfId="14908"/>
    <cellStyle name="Normal 5 2 2 2 7 2 3" xfId="4864"/>
    <cellStyle name="Normal 5 2 2 2 7 2 3 2" xfId="10403"/>
    <cellStyle name="Normal 5 2 2 2 7 2 3 3" xfId="15942"/>
    <cellStyle name="Normal 5 2 2 2 7 2 4" xfId="5799"/>
    <cellStyle name="Normal 5 2 2 2 7 2 4 2" xfId="11338"/>
    <cellStyle name="Normal 5 2 2 2 7 2 4 3" xfId="16877"/>
    <cellStyle name="Normal 5 2 2 2 7 2 5" xfId="2501"/>
    <cellStyle name="Normal 5 2 2 2 7 2 5 2" xfId="8047"/>
    <cellStyle name="Normal 5 2 2 2 7 2 5 3" xfId="13586"/>
    <cellStyle name="Normal 5 2 2 2 7 2 6" xfId="6842"/>
    <cellStyle name="Normal 5 2 2 2 7 2 7" xfId="12381"/>
    <cellStyle name="Normal 5 2 2 2 7 3" xfId="961"/>
    <cellStyle name="Normal 5 2 2 2 7 3 2" xfId="3491"/>
    <cellStyle name="Normal 5 2 2 2 7 3 2 2" xfId="9033"/>
    <cellStyle name="Normal 5 2 2 2 7 3 2 3" xfId="14572"/>
    <cellStyle name="Normal 5 2 2 2 7 3 3" xfId="4528"/>
    <cellStyle name="Normal 5 2 2 2 7 3 3 2" xfId="10067"/>
    <cellStyle name="Normal 5 2 2 2 7 3 3 3" xfId="15606"/>
    <cellStyle name="Normal 5 2 2 2 7 3 4" xfId="5463"/>
    <cellStyle name="Normal 5 2 2 2 7 3 4 2" xfId="11002"/>
    <cellStyle name="Normal 5 2 2 2 7 3 4 3" xfId="16541"/>
    <cellStyle name="Normal 5 2 2 2 7 3 5" xfId="2165"/>
    <cellStyle name="Normal 5 2 2 2 7 3 5 2" xfId="7711"/>
    <cellStyle name="Normal 5 2 2 2 7 3 5 3" xfId="13250"/>
    <cellStyle name="Normal 5 2 2 2 7 3 6" xfId="6506"/>
    <cellStyle name="Normal 5 2 2 2 7 3 7" xfId="12045"/>
    <cellStyle name="Normal 5 2 2 2 7 4" xfId="3104"/>
    <cellStyle name="Normal 5 2 2 2 7 4 2" xfId="8647"/>
    <cellStyle name="Normal 5 2 2 2 7 4 3" xfId="14186"/>
    <cellStyle name="Normal 5 2 2 2 7 5" xfId="4147"/>
    <cellStyle name="Normal 5 2 2 2 7 5 2" xfId="9688"/>
    <cellStyle name="Normal 5 2 2 2 7 5 3" xfId="15227"/>
    <cellStyle name="Normal 5 2 2 2 7 6" xfId="5114"/>
    <cellStyle name="Normal 5 2 2 2 7 6 2" xfId="10653"/>
    <cellStyle name="Normal 5 2 2 2 7 6 3" xfId="16192"/>
    <cellStyle name="Normal 5 2 2 2 7 7" xfId="1816"/>
    <cellStyle name="Normal 5 2 2 2 7 7 2" xfId="7362"/>
    <cellStyle name="Normal 5 2 2 2 7 7 3" xfId="12901"/>
    <cellStyle name="Normal 5 2 2 2 7 8" xfId="6157"/>
    <cellStyle name="Normal 5 2 2 2 7 9" xfId="11696"/>
    <cellStyle name="Normal 5 2 2 2 8" xfId="1138"/>
    <cellStyle name="Normal 5 2 2 2 8 2" xfId="3668"/>
    <cellStyle name="Normal 5 2 2 2 8 2 2" xfId="9210"/>
    <cellStyle name="Normal 5 2 2 2 8 2 3" xfId="14749"/>
    <cellStyle name="Normal 5 2 2 2 8 3" xfId="4705"/>
    <cellStyle name="Normal 5 2 2 2 8 3 2" xfId="10244"/>
    <cellStyle name="Normal 5 2 2 2 8 3 3" xfId="15783"/>
    <cellStyle name="Normal 5 2 2 2 8 4" xfId="5640"/>
    <cellStyle name="Normal 5 2 2 2 8 4 2" xfId="11179"/>
    <cellStyle name="Normal 5 2 2 2 8 4 3" xfId="16718"/>
    <cellStyle name="Normal 5 2 2 2 8 5" xfId="2342"/>
    <cellStyle name="Normal 5 2 2 2 8 5 2" xfId="7888"/>
    <cellStyle name="Normal 5 2 2 2 8 5 3" xfId="13427"/>
    <cellStyle name="Normal 5 2 2 2 8 6" xfId="6683"/>
    <cellStyle name="Normal 5 2 2 2 8 7" xfId="12222"/>
    <cellStyle name="Normal 5 2 2 2 9" xfId="792"/>
    <cellStyle name="Normal 5 2 2 2 9 2" xfId="3322"/>
    <cellStyle name="Normal 5 2 2 2 9 2 2" xfId="8864"/>
    <cellStyle name="Normal 5 2 2 2 9 2 3" xfId="14403"/>
    <cellStyle name="Normal 5 2 2 2 9 3" xfId="4359"/>
    <cellStyle name="Normal 5 2 2 2 9 3 2" xfId="9898"/>
    <cellStyle name="Normal 5 2 2 2 9 3 3" xfId="15437"/>
    <cellStyle name="Normal 5 2 2 2 9 4" xfId="5294"/>
    <cellStyle name="Normal 5 2 2 2 9 4 2" xfId="10833"/>
    <cellStyle name="Normal 5 2 2 2 9 4 3" xfId="16372"/>
    <cellStyle name="Normal 5 2 2 2 9 5" xfId="1996"/>
    <cellStyle name="Normal 5 2 2 2 9 5 2" xfId="7542"/>
    <cellStyle name="Normal 5 2 2 2 9 5 3" xfId="13081"/>
    <cellStyle name="Normal 5 2 2 2 9 6" xfId="6337"/>
    <cellStyle name="Normal 5 2 2 2 9 7" xfId="11876"/>
    <cellStyle name="Normal 5 2 2 20" xfId="17555"/>
    <cellStyle name="Normal 5 2 2 3" xfId="284"/>
    <cellStyle name="Normal 5 2 2 3 10" xfId="1696"/>
    <cellStyle name="Normal 5 2 2 3 10 2" xfId="7242"/>
    <cellStyle name="Normal 5 2 2 3 10 3" xfId="12781"/>
    <cellStyle name="Normal 5 2 2 3 11" xfId="6037"/>
    <cellStyle name="Normal 5 2 2 3 11 2" xfId="17115"/>
    <cellStyle name="Normal 5 2 2 3 12" xfId="681"/>
    <cellStyle name="Normal 5 2 2 3 12 2" xfId="17277"/>
    <cellStyle name="Normal 5 2 2 3 13" xfId="11576"/>
    <cellStyle name="Normal 5 2 2 3 14" xfId="17444"/>
    <cellStyle name="Normal 5 2 2 3 15" xfId="17609"/>
    <cellStyle name="Normal 5 2 2 3 2" xfId="285"/>
    <cellStyle name="Normal 5 2 2 3 2 10" xfId="6127"/>
    <cellStyle name="Normal 5 2 2 3 2 10 2" xfId="17205"/>
    <cellStyle name="Normal 5 2 2 3 2 11" xfId="771"/>
    <cellStyle name="Normal 5 2 2 3 2 11 2" xfId="17367"/>
    <cellStyle name="Normal 5 2 2 3 2 12" xfId="11666"/>
    <cellStyle name="Normal 5 2 2 3 2 13" xfId="17534"/>
    <cellStyle name="Normal 5 2 2 3 2 14" xfId="17699"/>
    <cellStyle name="Normal 5 2 2 3 2 2" xfId="484"/>
    <cellStyle name="Normal 5 2 2 3 2 2 2" xfId="1325"/>
    <cellStyle name="Normal 5 2 2 3 2 2 2 2" xfId="3857"/>
    <cellStyle name="Normal 5 2 2 3 2 2 2 2 2" xfId="9399"/>
    <cellStyle name="Normal 5 2 2 3 2 2 2 2 3" xfId="14938"/>
    <cellStyle name="Normal 5 2 2 3 2 2 2 3" xfId="4894"/>
    <cellStyle name="Normal 5 2 2 3 2 2 2 3 2" xfId="10433"/>
    <cellStyle name="Normal 5 2 2 3 2 2 2 3 3" xfId="15972"/>
    <cellStyle name="Normal 5 2 2 3 2 2 2 4" xfId="5828"/>
    <cellStyle name="Normal 5 2 2 3 2 2 2 4 2" xfId="11367"/>
    <cellStyle name="Normal 5 2 2 3 2 2 2 4 3" xfId="16906"/>
    <cellStyle name="Normal 5 2 2 3 2 2 2 5" xfId="2530"/>
    <cellStyle name="Normal 5 2 2 3 2 2 2 5 2" xfId="8076"/>
    <cellStyle name="Normal 5 2 2 3 2 2 2 5 3" xfId="13615"/>
    <cellStyle name="Normal 5 2 2 3 2 2 2 6" xfId="6871"/>
    <cellStyle name="Normal 5 2 2 3 2 2 2 7" xfId="12410"/>
    <cellStyle name="Normal 5 2 2 3 2 2 3" xfId="1102"/>
    <cellStyle name="Normal 5 2 2 3 2 2 3 2" xfId="3632"/>
    <cellStyle name="Normal 5 2 2 3 2 2 3 2 2" xfId="9174"/>
    <cellStyle name="Normal 5 2 2 3 2 2 3 2 3" xfId="14713"/>
    <cellStyle name="Normal 5 2 2 3 2 2 3 3" xfId="4669"/>
    <cellStyle name="Normal 5 2 2 3 2 2 3 3 2" xfId="10208"/>
    <cellStyle name="Normal 5 2 2 3 2 2 3 3 3" xfId="15747"/>
    <cellStyle name="Normal 5 2 2 3 2 2 3 4" xfId="5604"/>
    <cellStyle name="Normal 5 2 2 3 2 2 3 4 2" xfId="11143"/>
    <cellStyle name="Normal 5 2 2 3 2 2 3 4 3" xfId="16682"/>
    <cellStyle name="Normal 5 2 2 3 2 2 3 5" xfId="2306"/>
    <cellStyle name="Normal 5 2 2 3 2 2 3 5 2" xfId="7852"/>
    <cellStyle name="Normal 5 2 2 3 2 2 3 5 3" xfId="13391"/>
    <cellStyle name="Normal 5 2 2 3 2 2 3 6" xfId="6647"/>
    <cellStyle name="Normal 5 2 2 3 2 2 3 7" xfId="12186"/>
    <cellStyle name="Normal 5 2 2 3 2 2 4" xfId="3143"/>
    <cellStyle name="Normal 5 2 2 3 2 2 4 2" xfId="8685"/>
    <cellStyle name="Normal 5 2 2 3 2 2 4 3" xfId="14224"/>
    <cellStyle name="Normal 5 2 2 3 2 2 5" xfId="4182"/>
    <cellStyle name="Normal 5 2 2 3 2 2 5 2" xfId="9721"/>
    <cellStyle name="Normal 5 2 2 3 2 2 5 3" xfId="15260"/>
    <cellStyle name="Normal 5 2 2 3 2 2 6" xfId="5143"/>
    <cellStyle name="Normal 5 2 2 3 2 2 6 2" xfId="10682"/>
    <cellStyle name="Normal 5 2 2 3 2 2 6 3" xfId="16221"/>
    <cellStyle name="Normal 5 2 2 3 2 2 7" xfId="1845"/>
    <cellStyle name="Normal 5 2 2 3 2 2 7 2" xfId="7391"/>
    <cellStyle name="Normal 5 2 2 3 2 2 7 3" xfId="12930"/>
    <cellStyle name="Normal 5 2 2 3 2 2 8" xfId="6186"/>
    <cellStyle name="Normal 5 2 2 3 2 2 9" xfId="11725"/>
    <cellStyle name="Normal 5 2 2 3 2 3" xfId="1279"/>
    <cellStyle name="Normal 5 2 2 3 2 3 2" xfId="3809"/>
    <cellStyle name="Normal 5 2 2 3 2 3 2 2" xfId="9351"/>
    <cellStyle name="Normal 5 2 2 3 2 3 2 3" xfId="14890"/>
    <cellStyle name="Normal 5 2 2 3 2 3 3" xfId="4846"/>
    <cellStyle name="Normal 5 2 2 3 2 3 3 2" xfId="10385"/>
    <cellStyle name="Normal 5 2 2 3 2 3 3 3" xfId="15924"/>
    <cellStyle name="Normal 5 2 2 3 2 3 4" xfId="5781"/>
    <cellStyle name="Normal 5 2 2 3 2 3 4 2" xfId="11320"/>
    <cellStyle name="Normal 5 2 2 3 2 3 4 3" xfId="16859"/>
    <cellStyle name="Normal 5 2 2 3 2 3 5" xfId="2483"/>
    <cellStyle name="Normal 5 2 2 3 2 3 5 2" xfId="8029"/>
    <cellStyle name="Normal 5 2 2 3 2 3 5 3" xfId="13568"/>
    <cellStyle name="Normal 5 2 2 3 2 3 6" xfId="6824"/>
    <cellStyle name="Normal 5 2 2 3 2 3 7" xfId="12363"/>
    <cellStyle name="Normal 5 2 2 3 2 4" xfId="802"/>
    <cellStyle name="Normal 5 2 2 3 2 4 2" xfId="3332"/>
    <cellStyle name="Normal 5 2 2 3 2 4 2 2" xfId="8874"/>
    <cellStyle name="Normal 5 2 2 3 2 4 2 3" xfId="14413"/>
    <cellStyle name="Normal 5 2 2 3 2 4 3" xfId="4369"/>
    <cellStyle name="Normal 5 2 2 3 2 4 3 2" xfId="9908"/>
    <cellStyle name="Normal 5 2 2 3 2 4 3 3" xfId="15447"/>
    <cellStyle name="Normal 5 2 2 3 2 4 4" xfId="5304"/>
    <cellStyle name="Normal 5 2 2 3 2 4 4 2" xfId="10843"/>
    <cellStyle name="Normal 5 2 2 3 2 4 4 3" xfId="16382"/>
    <cellStyle name="Normal 5 2 2 3 2 4 5" xfId="2006"/>
    <cellStyle name="Normal 5 2 2 3 2 4 5 2" xfId="7552"/>
    <cellStyle name="Normal 5 2 2 3 2 4 5 3" xfId="13091"/>
    <cellStyle name="Normal 5 2 2 3 2 4 6" xfId="6347"/>
    <cellStyle name="Normal 5 2 2 3 2 4 7" xfId="11886"/>
    <cellStyle name="Normal 5 2 2 3 2 5" xfId="1624"/>
    <cellStyle name="Normal 5 2 2 3 2 5 2" xfId="2829"/>
    <cellStyle name="Normal 5 2 2 3 2 5 2 2" xfId="8375"/>
    <cellStyle name="Normal 5 2 2 3 2 5 2 3" xfId="13914"/>
    <cellStyle name="Normal 5 2 2 3 2 5 3" xfId="7170"/>
    <cellStyle name="Normal 5 2 2 3 2 5 4" xfId="12709"/>
    <cellStyle name="Normal 5 2 2 3 2 6" xfId="3002"/>
    <cellStyle name="Normal 5 2 2 3 2 6 2" xfId="8546"/>
    <cellStyle name="Normal 5 2 2 3 2 6 3" xfId="14085"/>
    <cellStyle name="Normal 5 2 2 3 2 7" xfId="4047"/>
    <cellStyle name="Normal 5 2 2 3 2 7 2" xfId="9589"/>
    <cellStyle name="Normal 5 2 2 3 2 7 3" xfId="15128"/>
    <cellStyle name="Normal 5 2 2 3 2 8" xfId="5084"/>
    <cellStyle name="Normal 5 2 2 3 2 8 2" xfId="10623"/>
    <cellStyle name="Normal 5 2 2 3 2 8 3" xfId="16162"/>
    <cellStyle name="Normal 5 2 2 3 2 9" xfId="1786"/>
    <cellStyle name="Normal 5 2 2 3 2 9 2" xfId="7332"/>
    <cellStyle name="Normal 5 2 2 3 2 9 3" xfId="12871"/>
    <cellStyle name="Normal 5 2 2 3 3" xfId="483"/>
    <cellStyle name="Normal 5 2 2 3 3 2" xfId="1324"/>
    <cellStyle name="Normal 5 2 2 3 3 2 2" xfId="3856"/>
    <cellStyle name="Normal 5 2 2 3 3 2 2 2" xfId="9398"/>
    <cellStyle name="Normal 5 2 2 3 3 2 2 3" xfId="14937"/>
    <cellStyle name="Normal 5 2 2 3 3 2 3" xfId="4893"/>
    <cellStyle name="Normal 5 2 2 3 3 2 3 2" xfId="10432"/>
    <cellStyle name="Normal 5 2 2 3 3 2 3 3" xfId="15971"/>
    <cellStyle name="Normal 5 2 2 3 3 2 4" xfId="5827"/>
    <cellStyle name="Normal 5 2 2 3 3 2 4 2" xfId="11366"/>
    <cellStyle name="Normal 5 2 2 3 3 2 4 3" xfId="16905"/>
    <cellStyle name="Normal 5 2 2 3 3 2 5" xfId="2529"/>
    <cellStyle name="Normal 5 2 2 3 3 2 5 2" xfId="8075"/>
    <cellStyle name="Normal 5 2 2 3 3 2 5 3" xfId="13614"/>
    <cellStyle name="Normal 5 2 2 3 3 2 6" xfId="6870"/>
    <cellStyle name="Normal 5 2 2 3 3 2 7" xfId="12409"/>
    <cellStyle name="Normal 5 2 2 3 3 3" xfId="1012"/>
    <cellStyle name="Normal 5 2 2 3 3 3 2" xfId="3542"/>
    <cellStyle name="Normal 5 2 2 3 3 3 2 2" xfId="9084"/>
    <cellStyle name="Normal 5 2 2 3 3 3 2 3" xfId="14623"/>
    <cellStyle name="Normal 5 2 2 3 3 3 3" xfId="4579"/>
    <cellStyle name="Normal 5 2 2 3 3 3 3 2" xfId="10118"/>
    <cellStyle name="Normal 5 2 2 3 3 3 3 3" xfId="15657"/>
    <cellStyle name="Normal 5 2 2 3 3 3 4" xfId="5514"/>
    <cellStyle name="Normal 5 2 2 3 3 3 4 2" xfId="11053"/>
    <cellStyle name="Normal 5 2 2 3 3 3 4 3" xfId="16592"/>
    <cellStyle name="Normal 5 2 2 3 3 3 5" xfId="2216"/>
    <cellStyle name="Normal 5 2 2 3 3 3 5 2" xfId="7762"/>
    <cellStyle name="Normal 5 2 2 3 3 3 5 3" xfId="13301"/>
    <cellStyle name="Normal 5 2 2 3 3 3 6" xfId="6557"/>
    <cellStyle name="Normal 5 2 2 3 3 3 7" xfId="12096"/>
    <cellStyle name="Normal 5 2 2 3 3 4" xfId="3142"/>
    <cellStyle name="Normal 5 2 2 3 3 4 2" xfId="8684"/>
    <cellStyle name="Normal 5 2 2 3 3 4 3" xfId="14223"/>
    <cellStyle name="Normal 5 2 2 3 3 5" xfId="4181"/>
    <cellStyle name="Normal 5 2 2 3 3 5 2" xfId="9720"/>
    <cellStyle name="Normal 5 2 2 3 3 5 3" xfId="15259"/>
    <cellStyle name="Normal 5 2 2 3 3 6" xfId="5142"/>
    <cellStyle name="Normal 5 2 2 3 3 6 2" xfId="10681"/>
    <cellStyle name="Normal 5 2 2 3 3 6 3" xfId="16220"/>
    <cellStyle name="Normal 5 2 2 3 3 7" xfId="1844"/>
    <cellStyle name="Normal 5 2 2 3 3 7 2" xfId="7390"/>
    <cellStyle name="Normal 5 2 2 3 3 7 3" xfId="12929"/>
    <cellStyle name="Normal 5 2 2 3 3 8" xfId="6185"/>
    <cellStyle name="Normal 5 2 2 3 3 9" xfId="11724"/>
    <cellStyle name="Normal 5 2 2 3 4" xfId="1189"/>
    <cellStyle name="Normal 5 2 2 3 4 2" xfId="3719"/>
    <cellStyle name="Normal 5 2 2 3 4 2 2" xfId="9261"/>
    <cellStyle name="Normal 5 2 2 3 4 2 3" xfId="14800"/>
    <cellStyle name="Normal 5 2 2 3 4 3" xfId="4756"/>
    <cellStyle name="Normal 5 2 2 3 4 3 2" xfId="10295"/>
    <cellStyle name="Normal 5 2 2 3 4 3 3" xfId="15834"/>
    <cellStyle name="Normal 5 2 2 3 4 4" xfId="5691"/>
    <cellStyle name="Normal 5 2 2 3 4 4 2" xfId="11230"/>
    <cellStyle name="Normal 5 2 2 3 4 4 3" xfId="16769"/>
    <cellStyle name="Normal 5 2 2 3 4 5" xfId="2393"/>
    <cellStyle name="Normal 5 2 2 3 4 5 2" xfId="7939"/>
    <cellStyle name="Normal 5 2 2 3 4 5 3" xfId="13478"/>
    <cellStyle name="Normal 5 2 2 3 4 6" xfId="6734"/>
    <cellStyle name="Normal 5 2 2 3 4 7" xfId="12273"/>
    <cellStyle name="Normal 5 2 2 3 5" xfId="801"/>
    <cellStyle name="Normal 5 2 2 3 5 2" xfId="3331"/>
    <cellStyle name="Normal 5 2 2 3 5 2 2" xfId="8873"/>
    <cellStyle name="Normal 5 2 2 3 5 2 3" xfId="14412"/>
    <cellStyle name="Normal 5 2 2 3 5 3" xfId="4368"/>
    <cellStyle name="Normal 5 2 2 3 5 3 2" xfId="9907"/>
    <cellStyle name="Normal 5 2 2 3 5 3 3" xfId="15446"/>
    <cellStyle name="Normal 5 2 2 3 5 4" xfId="5303"/>
    <cellStyle name="Normal 5 2 2 3 5 4 2" xfId="10842"/>
    <cellStyle name="Normal 5 2 2 3 5 4 3" xfId="16381"/>
    <cellStyle name="Normal 5 2 2 3 5 5" xfId="2005"/>
    <cellStyle name="Normal 5 2 2 3 5 5 2" xfId="7551"/>
    <cellStyle name="Normal 5 2 2 3 5 5 3" xfId="13090"/>
    <cellStyle name="Normal 5 2 2 3 5 6" xfId="6346"/>
    <cellStyle name="Normal 5 2 2 3 5 7" xfId="11885"/>
    <cellStyle name="Normal 5 2 2 3 6" xfId="1534"/>
    <cellStyle name="Normal 5 2 2 3 6 2" xfId="2739"/>
    <cellStyle name="Normal 5 2 2 3 6 2 2" xfId="8285"/>
    <cellStyle name="Normal 5 2 2 3 6 2 3" xfId="13824"/>
    <cellStyle name="Normal 5 2 2 3 6 3" xfId="7080"/>
    <cellStyle name="Normal 5 2 2 3 6 4" xfId="12619"/>
    <cellStyle name="Normal 5 2 2 3 7" xfId="2912"/>
    <cellStyle name="Normal 5 2 2 3 7 2" xfId="8456"/>
    <cellStyle name="Normal 5 2 2 3 7 3" xfId="13995"/>
    <cellStyle name="Normal 5 2 2 3 8" xfId="3018"/>
    <cellStyle name="Normal 5 2 2 3 8 2" xfId="8562"/>
    <cellStyle name="Normal 5 2 2 3 8 3" xfId="14101"/>
    <cellStyle name="Normal 5 2 2 3 9" xfId="4062"/>
    <cellStyle name="Normal 5 2 2 3 9 2" xfId="9604"/>
    <cellStyle name="Normal 5 2 2 3 9 3" xfId="15143"/>
    <cellStyle name="Normal 5 2 2 4" xfId="286"/>
    <cellStyle name="Normal 5 2 2 4 10" xfId="1678"/>
    <cellStyle name="Normal 5 2 2 4 10 2" xfId="7224"/>
    <cellStyle name="Normal 5 2 2 4 10 3" xfId="12763"/>
    <cellStyle name="Normal 5 2 2 4 11" xfId="6019"/>
    <cellStyle name="Normal 5 2 2 4 11 2" xfId="17097"/>
    <cellStyle name="Normal 5 2 2 4 12" xfId="663"/>
    <cellStyle name="Normal 5 2 2 4 12 2" xfId="17259"/>
    <cellStyle name="Normal 5 2 2 4 13" xfId="11558"/>
    <cellStyle name="Normal 5 2 2 4 14" xfId="17426"/>
    <cellStyle name="Normal 5 2 2 4 15" xfId="17591"/>
    <cellStyle name="Normal 5 2 2 4 2" xfId="287"/>
    <cellStyle name="Normal 5 2 2 4 2 10" xfId="6109"/>
    <cellStyle name="Normal 5 2 2 4 2 10 2" xfId="17187"/>
    <cellStyle name="Normal 5 2 2 4 2 11" xfId="753"/>
    <cellStyle name="Normal 5 2 2 4 2 11 2" xfId="17349"/>
    <cellStyle name="Normal 5 2 2 4 2 12" xfId="11648"/>
    <cellStyle name="Normal 5 2 2 4 2 13" xfId="17516"/>
    <cellStyle name="Normal 5 2 2 4 2 14" xfId="17681"/>
    <cellStyle name="Normal 5 2 2 4 2 2" xfId="486"/>
    <cellStyle name="Normal 5 2 2 4 2 2 2" xfId="1327"/>
    <cellStyle name="Normal 5 2 2 4 2 2 2 2" xfId="3859"/>
    <cellStyle name="Normal 5 2 2 4 2 2 2 2 2" xfId="9401"/>
    <cellStyle name="Normal 5 2 2 4 2 2 2 2 3" xfId="14940"/>
    <cellStyle name="Normal 5 2 2 4 2 2 2 3" xfId="4896"/>
    <cellStyle name="Normal 5 2 2 4 2 2 2 3 2" xfId="10435"/>
    <cellStyle name="Normal 5 2 2 4 2 2 2 3 3" xfId="15974"/>
    <cellStyle name="Normal 5 2 2 4 2 2 2 4" xfId="5830"/>
    <cellStyle name="Normal 5 2 2 4 2 2 2 4 2" xfId="11369"/>
    <cellStyle name="Normal 5 2 2 4 2 2 2 4 3" xfId="16908"/>
    <cellStyle name="Normal 5 2 2 4 2 2 2 5" xfId="2532"/>
    <cellStyle name="Normal 5 2 2 4 2 2 2 5 2" xfId="8078"/>
    <cellStyle name="Normal 5 2 2 4 2 2 2 5 3" xfId="13617"/>
    <cellStyle name="Normal 5 2 2 4 2 2 2 6" xfId="6873"/>
    <cellStyle name="Normal 5 2 2 4 2 2 2 7" xfId="12412"/>
    <cellStyle name="Normal 5 2 2 4 2 2 3" xfId="1084"/>
    <cellStyle name="Normal 5 2 2 4 2 2 3 2" xfId="3614"/>
    <cellStyle name="Normal 5 2 2 4 2 2 3 2 2" xfId="9156"/>
    <cellStyle name="Normal 5 2 2 4 2 2 3 2 3" xfId="14695"/>
    <cellStyle name="Normal 5 2 2 4 2 2 3 3" xfId="4651"/>
    <cellStyle name="Normal 5 2 2 4 2 2 3 3 2" xfId="10190"/>
    <cellStyle name="Normal 5 2 2 4 2 2 3 3 3" xfId="15729"/>
    <cellStyle name="Normal 5 2 2 4 2 2 3 4" xfId="5586"/>
    <cellStyle name="Normal 5 2 2 4 2 2 3 4 2" xfId="11125"/>
    <cellStyle name="Normal 5 2 2 4 2 2 3 4 3" xfId="16664"/>
    <cellStyle name="Normal 5 2 2 4 2 2 3 5" xfId="2288"/>
    <cellStyle name="Normal 5 2 2 4 2 2 3 5 2" xfId="7834"/>
    <cellStyle name="Normal 5 2 2 4 2 2 3 5 3" xfId="13373"/>
    <cellStyle name="Normal 5 2 2 4 2 2 3 6" xfId="6629"/>
    <cellStyle name="Normal 5 2 2 4 2 2 3 7" xfId="12168"/>
    <cellStyle name="Normal 5 2 2 4 2 2 4" xfId="3145"/>
    <cellStyle name="Normal 5 2 2 4 2 2 4 2" xfId="8687"/>
    <cellStyle name="Normal 5 2 2 4 2 2 4 3" xfId="14226"/>
    <cellStyle name="Normal 5 2 2 4 2 2 5" xfId="4184"/>
    <cellStyle name="Normal 5 2 2 4 2 2 5 2" xfId="9723"/>
    <cellStyle name="Normal 5 2 2 4 2 2 5 3" xfId="15262"/>
    <cellStyle name="Normal 5 2 2 4 2 2 6" xfId="5145"/>
    <cellStyle name="Normal 5 2 2 4 2 2 6 2" xfId="10684"/>
    <cellStyle name="Normal 5 2 2 4 2 2 6 3" xfId="16223"/>
    <cellStyle name="Normal 5 2 2 4 2 2 7" xfId="1847"/>
    <cellStyle name="Normal 5 2 2 4 2 2 7 2" xfId="7393"/>
    <cellStyle name="Normal 5 2 2 4 2 2 7 3" xfId="12932"/>
    <cellStyle name="Normal 5 2 2 4 2 2 8" xfId="6188"/>
    <cellStyle name="Normal 5 2 2 4 2 2 9" xfId="11727"/>
    <cellStyle name="Normal 5 2 2 4 2 3" xfId="1261"/>
    <cellStyle name="Normal 5 2 2 4 2 3 2" xfId="3791"/>
    <cellStyle name="Normal 5 2 2 4 2 3 2 2" xfId="9333"/>
    <cellStyle name="Normal 5 2 2 4 2 3 2 3" xfId="14872"/>
    <cellStyle name="Normal 5 2 2 4 2 3 3" xfId="4828"/>
    <cellStyle name="Normal 5 2 2 4 2 3 3 2" xfId="10367"/>
    <cellStyle name="Normal 5 2 2 4 2 3 3 3" xfId="15906"/>
    <cellStyle name="Normal 5 2 2 4 2 3 4" xfId="5763"/>
    <cellStyle name="Normal 5 2 2 4 2 3 4 2" xfId="11302"/>
    <cellStyle name="Normal 5 2 2 4 2 3 4 3" xfId="16841"/>
    <cellStyle name="Normal 5 2 2 4 2 3 5" xfId="2465"/>
    <cellStyle name="Normal 5 2 2 4 2 3 5 2" xfId="8011"/>
    <cellStyle name="Normal 5 2 2 4 2 3 5 3" xfId="13550"/>
    <cellStyle name="Normal 5 2 2 4 2 3 6" xfId="6806"/>
    <cellStyle name="Normal 5 2 2 4 2 3 7" xfId="12345"/>
    <cellStyle name="Normal 5 2 2 4 2 4" xfId="804"/>
    <cellStyle name="Normal 5 2 2 4 2 4 2" xfId="3334"/>
    <cellStyle name="Normal 5 2 2 4 2 4 2 2" xfId="8876"/>
    <cellStyle name="Normal 5 2 2 4 2 4 2 3" xfId="14415"/>
    <cellStyle name="Normal 5 2 2 4 2 4 3" xfId="4371"/>
    <cellStyle name="Normal 5 2 2 4 2 4 3 2" xfId="9910"/>
    <cellStyle name="Normal 5 2 2 4 2 4 3 3" xfId="15449"/>
    <cellStyle name="Normal 5 2 2 4 2 4 4" xfId="5306"/>
    <cellStyle name="Normal 5 2 2 4 2 4 4 2" xfId="10845"/>
    <cellStyle name="Normal 5 2 2 4 2 4 4 3" xfId="16384"/>
    <cellStyle name="Normal 5 2 2 4 2 4 5" xfId="2008"/>
    <cellStyle name="Normal 5 2 2 4 2 4 5 2" xfId="7554"/>
    <cellStyle name="Normal 5 2 2 4 2 4 5 3" xfId="13093"/>
    <cellStyle name="Normal 5 2 2 4 2 4 6" xfId="6349"/>
    <cellStyle name="Normal 5 2 2 4 2 4 7" xfId="11888"/>
    <cellStyle name="Normal 5 2 2 4 2 5" xfId="1606"/>
    <cellStyle name="Normal 5 2 2 4 2 5 2" xfId="2811"/>
    <cellStyle name="Normal 5 2 2 4 2 5 2 2" xfId="8357"/>
    <cellStyle name="Normal 5 2 2 4 2 5 2 3" xfId="13896"/>
    <cellStyle name="Normal 5 2 2 4 2 5 3" xfId="7152"/>
    <cellStyle name="Normal 5 2 2 4 2 5 4" xfId="12691"/>
    <cellStyle name="Normal 5 2 2 4 2 6" xfId="2984"/>
    <cellStyle name="Normal 5 2 2 4 2 6 2" xfId="8528"/>
    <cellStyle name="Normal 5 2 2 4 2 6 3" xfId="14067"/>
    <cellStyle name="Normal 5 2 2 4 2 7" xfId="4029"/>
    <cellStyle name="Normal 5 2 2 4 2 7 2" xfId="9571"/>
    <cellStyle name="Normal 5 2 2 4 2 7 3" xfId="15110"/>
    <cellStyle name="Normal 5 2 2 4 2 8" xfId="5066"/>
    <cellStyle name="Normal 5 2 2 4 2 8 2" xfId="10605"/>
    <cellStyle name="Normal 5 2 2 4 2 8 3" xfId="16144"/>
    <cellStyle name="Normal 5 2 2 4 2 9" xfId="1768"/>
    <cellStyle name="Normal 5 2 2 4 2 9 2" xfId="7314"/>
    <cellStyle name="Normal 5 2 2 4 2 9 3" xfId="12853"/>
    <cellStyle name="Normal 5 2 2 4 3" xfId="485"/>
    <cellStyle name="Normal 5 2 2 4 3 2" xfId="1326"/>
    <cellStyle name="Normal 5 2 2 4 3 2 2" xfId="3858"/>
    <cellStyle name="Normal 5 2 2 4 3 2 2 2" xfId="9400"/>
    <cellStyle name="Normal 5 2 2 4 3 2 2 3" xfId="14939"/>
    <cellStyle name="Normal 5 2 2 4 3 2 3" xfId="4895"/>
    <cellStyle name="Normal 5 2 2 4 3 2 3 2" xfId="10434"/>
    <cellStyle name="Normal 5 2 2 4 3 2 3 3" xfId="15973"/>
    <cellStyle name="Normal 5 2 2 4 3 2 4" xfId="5829"/>
    <cellStyle name="Normal 5 2 2 4 3 2 4 2" xfId="11368"/>
    <cellStyle name="Normal 5 2 2 4 3 2 4 3" xfId="16907"/>
    <cellStyle name="Normal 5 2 2 4 3 2 5" xfId="2531"/>
    <cellStyle name="Normal 5 2 2 4 3 2 5 2" xfId="8077"/>
    <cellStyle name="Normal 5 2 2 4 3 2 5 3" xfId="13616"/>
    <cellStyle name="Normal 5 2 2 4 3 2 6" xfId="6872"/>
    <cellStyle name="Normal 5 2 2 4 3 2 7" xfId="12411"/>
    <cellStyle name="Normal 5 2 2 4 3 3" xfId="994"/>
    <cellStyle name="Normal 5 2 2 4 3 3 2" xfId="3524"/>
    <cellStyle name="Normal 5 2 2 4 3 3 2 2" xfId="9066"/>
    <cellStyle name="Normal 5 2 2 4 3 3 2 3" xfId="14605"/>
    <cellStyle name="Normal 5 2 2 4 3 3 3" xfId="4561"/>
    <cellStyle name="Normal 5 2 2 4 3 3 3 2" xfId="10100"/>
    <cellStyle name="Normal 5 2 2 4 3 3 3 3" xfId="15639"/>
    <cellStyle name="Normal 5 2 2 4 3 3 4" xfId="5496"/>
    <cellStyle name="Normal 5 2 2 4 3 3 4 2" xfId="11035"/>
    <cellStyle name="Normal 5 2 2 4 3 3 4 3" xfId="16574"/>
    <cellStyle name="Normal 5 2 2 4 3 3 5" xfId="2198"/>
    <cellStyle name="Normal 5 2 2 4 3 3 5 2" xfId="7744"/>
    <cellStyle name="Normal 5 2 2 4 3 3 5 3" xfId="13283"/>
    <cellStyle name="Normal 5 2 2 4 3 3 6" xfId="6539"/>
    <cellStyle name="Normal 5 2 2 4 3 3 7" xfId="12078"/>
    <cellStyle name="Normal 5 2 2 4 3 4" xfId="3144"/>
    <cellStyle name="Normal 5 2 2 4 3 4 2" xfId="8686"/>
    <cellStyle name="Normal 5 2 2 4 3 4 3" xfId="14225"/>
    <cellStyle name="Normal 5 2 2 4 3 5" xfId="4183"/>
    <cellStyle name="Normal 5 2 2 4 3 5 2" xfId="9722"/>
    <cellStyle name="Normal 5 2 2 4 3 5 3" xfId="15261"/>
    <cellStyle name="Normal 5 2 2 4 3 6" xfId="5144"/>
    <cellStyle name="Normal 5 2 2 4 3 6 2" xfId="10683"/>
    <cellStyle name="Normal 5 2 2 4 3 6 3" xfId="16222"/>
    <cellStyle name="Normal 5 2 2 4 3 7" xfId="1846"/>
    <cellStyle name="Normal 5 2 2 4 3 7 2" xfId="7392"/>
    <cellStyle name="Normal 5 2 2 4 3 7 3" xfId="12931"/>
    <cellStyle name="Normal 5 2 2 4 3 8" xfId="6187"/>
    <cellStyle name="Normal 5 2 2 4 3 9" xfId="11726"/>
    <cellStyle name="Normal 5 2 2 4 4" xfId="1171"/>
    <cellStyle name="Normal 5 2 2 4 4 2" xfId="3701"/>
    <cellStyle name="Normal 5 2 2 4 4 2 2" xfId="9243"/>
    <cellStyle name="Normal 5 2 2 4 4 2 3" xfId="14782"/>
    <cellStyle name="Normal 5 2 2 4 4 3" xfId="4738"/>
    <cellStyle name="Normal 5 2 2 4 4 3 2" xfId="10277"/>
    <cellStyle name="Normal 5 2 2 4 4 3 3" xfId="15816"/>
    <cellStyle name="Normal 5 2 2 4 4 4" xfId="5673"/>
    <cellStyle name="Normal 5 2 2 4 4 4 2" xfId="11212"/>
    <cellStyle name="Normal 5 2 2 4 4 4 3" xfId="16751"/>
    <cellStyle name="Normal 5 2 2 4 4 5" xfId="2375"/>
    <cellStyle name="Normal 5 2 2 4 4 5 2" xfId="7921"/>
    <cellStyle name="Normal 5 2 2 4 4 5 3" xfId="13460"/>
    <cellStyle name="Normal 5 2 2 4 4 6" xfId="6716"/>
    <cellStyle name="Normal 5 2 2 4 4 7" xfId="12255"/>
    <cellStyle name="Normal 5 2 2 4 5" xfId="803"/>
    <cellStyle name="Normal 5 2 2 4 5 2" xfId="3333"/>
    <cellStyle name="Normal 5 2 2 4 5 2 2" xfId="8875"/>
    <cellStyle name="Normal 5 2 2 4 5 2 3" xfId="14414"/>
    <cellStyle name="Normal 5 2 2 4 5 3" xfId="4370"/>
    <cellStyle name="Normal 5 2 2 4 5 3 2" xfId="9909"/>
    <cellStyle name="Normal 5 2 2 4 5 3 3" xfId="15448"/>
    <cellStyle name="Normal 5 2 2 4 5 4" xfId="5305"/>
    <cellStyle name="Normal 5 2 2 4 5 4 2" xfId="10844"/>
    <cellStyle name="Normal 5 2 2 4 5 4 3" xfId="16383"/>
    <cellStyle name="Normal 5 2 2 4 5 5" xfId="2007"/>
    <cellStyle name="Normal 5 2 2 4 5 5 2" xfId="7553"/>
    <cellStyle name="Normal 5 2 2 4 5 5 3" xfId="13092"/>
    <cellStyle name="Normal 5 2 2 4 5 6" xfId="6348"/>
    <cellStyle name="Normal 5 2 2 4 5 7" xfId="11887"/>
    <cellStyle name="Normal 5 2 2 4 6" xfId="1516"/>
    <cellStyle name="Normal 5 2 2 4 6 2" xfId="2721"/>
    <cellStyle name="Normal 5 2 2 4 6 2 2" xfId="8267"/>
    <cellStyle name="Normal 5 2 2 4 6 2 3" xfId="13806"/>
    <cellStyle name="Normal 5 2 2 4 6 3" xfId="7062"/>
    <cellStyle name="Normal 5 2 2 4 6 4" xfId="12601"/>
    <cellStyle name="Normal 5 2 2 4 7" xfId="2894"/>
    <cellStyle name="Normal 5 2 2 4 7 2" xfId="8438"/>
    <cellStyle name="Normal 5 2 2 4 7 3" xfId="13977"/>
    <cellStyle name="Normal 5 2 2 4 8" xfId="3307"/>
    <cellStyle name="Normal 5 2 2 4 8 2" xfId="8849"/>
    <cellStyle name="Normal 5 2 2 4 8 3" xfId="14388"/>
    <cellStyle name="Normal 5 2 2 4 9" xfId="4344"/>
    <cellStyle name="Normal 5 2 2 4 9 2" xfId="9883"/>
    <cellStyle name="Normal 5 2 2 4 9 3" xfId="15422"/>
    <cellStyle name="Normal 5 2 2 5" xfId="288"/>
    <cellStyle name="Normal 5 2 2 5 10" xfId="1714"/>
    <cellStyle name="Normal 5 2 2 5 10 2" xfId="7260"/>
    <cellStyle name="Normal 5 2 2 5 10 3" xfId="12799"/>
    <cellStyle name="Normal 5 2 2 5 11" xfId="6055"/>
    <cellStyle name="Normal 5 2 2 5 11 2" xfId="17133"/>
    <cellStyle name="Normal 5 2 2 5 12" xfId="699"/>
    <cellStyle name="Normal 5 2 2 5 12 2" xfId="17295"/>
    <cellStyle name="Normal 5 2 2 5 13" xfId="11594"/>
    <cellStyle name="Normal 5 2 2 5 14" xfId="17462"/>
    <cellStyle name="Normal 5 2 2 5 15" xfId="17627"/>
    <cellStyle name="Normal 5 2 2 5 2" xfId="289"/>
    <cellStyle name="Normal 5 2 2 5 2 10" xfId="6091"/>
    <cellStyle name="Normal 5 2 2 5 2 10 2" xfId="17169"/>
    <cellStyle name="Normal 5 2 2 5 2 11" xfId="735"/>
    <cellStyle name="Normal 5 2 2 5 2 11 2" xfId="17331"/>
    <cellStyle name="Normal 5 2 2 5 2 12" xfId="11630"/>
    <cellStyle name="Normal 5 2 2 5 2 13" xfId="17498"/>
    <cellStyle name="Normal 5 2 2 5 2 14" xfId="17663"/>
    <cellStyle name="Normal 5 2 2 5 2 2" xfId="488"/>
    <cellStyle name="Normal 5 2 2 5 2 2 2" xfId="1329"/>
    <cellStyle name="Normal 5 2 2 5 2 2 2 2" xfId="3861"/>
    <cellStyle name="Normal 5 2 2 5 2 2 2 2 2" xfId="9403"/>
    <cellStyle name="Normal 5 2 2 5 2 2 2 2 3" xfId="14942"/>
    <cellStyle name="Normal 5 2 2 5 2 2 2 3" xfId="4898"/>
    <cellStyle name="Normal 5 2 2 5 2 2 2 3 2" xfId="10437"/>
    <cellStyle name="Normal 5 2 2 5 2 2 2 3 3" xfId="15976"/>
    <cellStyle name="Normal 5 2 2 5 2 2 2 4" xfId="5832"/>
    <cellStyle name="Normal 5 2 2 5 2 2 2 4 2" xfId="11371"/>
    <cellStyle name="Normal 5 2 2 5 2 2 2 4 3" xfId="16910"/>
    <cellStyle name="Normal 5 2 2 5 2 2 2 5" xfId="2534"/>
    <cellStyle name="Normal 5 2 2 5 2 2 2 5 2" xfId="8080"/>
    <cellStyle name="Normal 5 2 2 5 2 2 2 5 3" xfId="13619"/>
    <cellStyle name="Normal 5 2 2 5 2 2 2 6" xfId="6875"/>
    <cellStyle name="Normal 5 2 2 5 2 2 2 7" xfId="12414"/>
    <cellStyle name="Normal 5 2 2 5 2 2 3" xfId="1066"/>
    <cellStyle name="Normal 5 2 2 5 2 2 3 2" xfId="3596"/>
    <cellStyle name="Normal 5 2 2 5 2 2 3 2 2" xfId="9138"/>
    <cellStyle name="Normal 5 2 2 5 2 2 3 2 3" xfId="14677"/>
    <cellStyle name="Normal 5 2 2 5 2 2 3 3" xfId="4633"/>
    <cellStyle name="Normal 5 2 2 5 2 2 3 3 2" xfId="10172"/>
    <cellStyle name="Normal 5 2 2 5 2 2 3 3 3" xfId="15711"/>
    <cellStyle name="Normal 5 2 2 5 2 2 3 4" xfId="5568"/>
    <cellStyle name="Normal 5 2 2 5 2 2 3 4 2" xfId="11107"/>
    <cellStyle name="Normal 5 2 2 5 2 2 3 4 3" xfId="16646"/>
    <cellStyle name="Normal 5 2 2 5 2 2 3 5" xfId="2270"/>
    <cellStyle name="Normal 5 2 2 5 2 2 3 5 2" xfId="7816"/>
    <cellStyle name="Normal 5 2 2 5 2 2 3 5 3" xfId="13355"/>
    <cellStyle name="Normal 5 2 2 5 2 2 3 6" xfId="6611"/>
    <cellStyle name="Normal 5 2 2 5 2 2 3 7" xfId="12150"/>
    <cellStyle name="Normal 5 2 2 5 2 2 4" xfId="3147"/>
    <cellStyle name="Normal 5 2 2 5 2 2 4 2" xfId="8689"/>
    <cellStyle name="Normal 5 2 2 5 2 2 4 3" xfId="14228"/>
    <cellStyle name="Normal 5 2 2 5 2 2 5" xfId="4186"/>
    <cellStyle name="Normal 5 2 2 5 2 2 5 2" xfId="9725"/>
    <cellStyle name="Normal 5 2 2 5 2 2 5 3" xfId="15264"/>
    <cellStyle name="Normal 5 2 2 5 2 2 6" xfId="5147"/>
    <cellStyle name="Normal 5 2 2 5 2 2 6 2" xfId="10686"/>
    <cellStyle name="Normal 5 2 2 5 2 2 6 3" xfId="16225"/>
    <cellStyle name="Normal 5 2 2 5 2 2 7" xfId="1849"/>
    <cellStyle name="Normal 5 2 2 5 2 2 7 2" xfId="7395"/>
    <cellStyle name="Normal 5 2 2 5 2 2 7 3" xfId="12934"/>
    <cellStyle name="Normal 5 2 2 5 2 2 8" xfId="6190"/>
    <cellStyle name="Normal 5 2 2 5 2 2 9" xfId="11729"/>
    <cellStyle name="Normal 5 2 2 5 2 3" xfId="1243"/>
    <cellStyle name="Normal 5 2 2 5 2 3 2" xfId="3773"/>
    <cellStyle name="Normal 5 2 2 5 2 3 2 2" xfId="9315"/>
    <cellStyle name="Normal 5 2 2 5 2 3 2 3" xfId="14854"/>
    <cellStyle name="Normal 5 2 2 5 2 3 3" xfId="4810"/>
    <cellStyle name="Normal 5 2 2 5 2 3 3 2" xfId="10349"/>
    <cellStyle name="Normal 5 2 2 5 2 3 3 3" xfId="15888"/>
    <cellStyle name="Normal 5 2 2 5 2 3 4" xfId="5745"/>
    <cellStyle name="Normal 5 2 2 5 2 3 4 2" xfId="11284"/>
    <cellStyle name="Normal 5 2 2 5 2 3 4 3" xfId="16823"/>
    <cellStyle name="Normal 5 2 2 5 2 3 5" xfId="2447"/>
    <cellStyle name="Normal 5 2 2 5 2 3 5 2" xfId="7993"/>
    <cellStyle name="Normal 5 2 2 5 2 3 5 3" xfId="13532"/>
    <cellStyle name="Normal 5 2 2 5 2 3 6" xfId="6788"/>
    <cellStyle name="Normal 5 2 2 5 2 3 7" xfId="12327"/>
    <cellStyle name="Normal 5 2 2 5 2 4" xfId="806"/>
    <cellStyle name="Normal 5 2 2 5 2 4 2" xfId="3336"/>
    <cellStyle name="Normal 5 2 2 5 2 4 2 2" xfId="8878"/>
    <cellStyle name="Normal 5 2 2 5 2 4 2 3" xfId="14417"/>
    <cellStyle name="Normal 5 2 2 5 2 4 3" xfId="4373"/>
    <cellStyle name="Normal 5 2 2 5 2 4 3 2" xfId="9912"/>
    <cellStyle name="Normal 5 2 2 5 2 4 3 3" xfId="15451"/>
    <cellStyle name="Normal 5 2 2 5 2 4 4" xfId="5308"/>
    <cellStyle name="Normal 5 2 2 5 2 4 4 2" xfId="10847"/>
    <cellStyle name="Normal 5 2 2 5 2 4 4 3" xfId="16386"/>
    <cellStyle name="Normal 5 2 2 5 2 4 5" xfId="2010"/>
    <cellStyle name="Normal 5 2 2 5 2 4 5 2" xfId="7556"/>
    <cellStyle name="Normal 5 2 2 5 2 4 5 3" xfId="13095"/>
    <cellStyle name="Normal 5 2 2 5 2 4 6" xfId="6351"/>
    <cellStyle name="Normal 5 2 2 5 2 4 7" xfId="11890"/>
    <cellStyle name="Normal 5 2 2 5 2 5" xfId="1588"/>
    <cellStyle name="Normal 5 2 2 5 2 5 2" xfId="2793"/>
    <cellStyle name="Normal 5 2 2 5 2 5 2 2" xfId="8339"/>
    <cellStyle name="Normal 5 2 2 5 2 5 2 3" xfId="13878"/>
    <cellStyle name="Normal 5 2 2 5 2 5 3" xfId="7134"/>
    <cellStyle name="Normal 5 2 2 5 2 5 4" xfId="12673"/>
    <cellStyle name="Normal 5 2 2 5 2 6" xfId="2966"/>
    <cellStyle name="Normal 5 2 2 5 2 6 2" xfId="8510"/>
    <cellStyle name="Normal 5 2 2 5 2 6 3" xfId="14049"/>
    <cellStyle name="Normal 5 2 2 5 2 7" xfId="4011"/>
    <cellStyle name="Normal 5 2 2 5 2 7 2" xfId="9553"/>
    <cellStyle name="Normal 5 2 2 5 2 7 3" xfId="15092"/>
    <cellStyle name="Normal 5 2 2 5 2 8" xfId="5048"/>
    <cellStyle name="Normal 5 2 2 5 2 8 2" xfId="10587"/>
    <cellStyle name="Normal 5 2 2 5 2 8 3" xfId="16126"/>
    <cellStyle name="Normal 5 2 2 5 2 9" xfId="1750"/>
    <cellStyle name="Normal 5 2 2 5 2 9 2" xfId="7296"/>
    <cellStyle name="Normal 5 2 2 5 2 9 3" xfId="12835"/>
    <cellStyle name="Normal 5 2 2 5 3" xfId="487"/>
    <cellStyle name="Normal 5 2 2 5 3 2" xfId="1328"/>
    <cellStyle name="Normal 5 2 2 5 3 2 2" xfId="3860"/>
    <cellStyle name="Normal 5 2 2 5 3 2 2 2" xfId="9402"/>
    <cellStyle name="Normal 5 2 2 5 3 2 2 3" xfId="14941"/>
    <cellStyle name="Normal 5 2 2 5 3 2 3" xfId="4897"/>
    <cellStyle name="Normal 5 2 2 5 3 2 3 2" xfId="10436"/>
    <cellStyle name="Normal 5 2 2 5 3 2 3 3" xfId="15975"/>
    <cellStyle name="Normal 5 2 2 5 3 2 4" xfId="5831"/>
    <cellStyle name="Normal 5 2 2 5 3 2 4 2" xfId="11370"/>
    <cellStyle name="Normal 5 2 2 5 3 2 4 3" xfId="16909"/>
    <cellStyle name="Normal 5 2 2 5 3 2 5" xfId="2533"/>
    <cellStyle name="Normal 5 2 2 5 3 2 5 2" xfId="8079"/>
    <cellStyle name="Normal 5 2 2 5 3 2 5 3" xfId="13618"/>
    <cellStyle name="Normal 5 2 2 5 3 2 6" xfId="6874"/>
    <cellStyle name="Normal 5 2 2 5 3 2 7" xfId="12413"/>
    <cellStyle name="Normal 5 2 2 5 3 3" xfId="1030"/>
    <cellStyle name="Normal 5 2 2 5 3 3 2" xfId="3560"/>
    <cellStyle name="Normal 5 2 2 5 3 3 2 2" xfId="9102"/>
    <cellStyle name="Normal 5 2 2 5 3 3 2 3" xfId="14641"/>
    <cellStyle name="Normal 5 2 2 5 3 3 3" xfId="4597"/>
    <cellStyle name="Normal 5 2 2 5 3 3 3 2" xfId="10136"/>
    <cellStyle name="Normal 5 2 2 5 3 3 3 3" xfId="15675"/>
    <cellStyle name="Normal 5 2 2 5 3 3 4" xfId="5532"/>
    <cellStyle name="Normal 5 2 2 5 3 3 4 2" xfId="11071"/>
    <cellStyle name="Normal 5 2 2 5 3 3 4 3" xfId="16610"/>
    <cellStyle name="Normal 5 2 2 5 3 3 5" xfId="2234"/>
    <cellStyle name="Normal 5 2 2 5 3 3 5 2" xfId="7780"/>
    <cellStyle name="Normal 5 2 2 5 3 3 5 3" xfId="13319"/>
    <cellStyle name="Normal 5 2 2 5 3 3 6" xfId="6575"/>
    <cellStyle name="Normal 5 2 2 5 3 3 7" xfId="12114"/>
    <cellStyle name="Normal 5 2 2 5 3 4" xfId="3146"/>
    <cellStyle name="Normal 5 2 2 5 3 4 2" xfId="8688"/>
    <cellStyle name="Normal 5 2 2 5 3 4 3" xfId="14227"/>
    <cellStyle name="Normal 5 2 2 5 3 5" xfId="4185"/>
    <cellStyle name="Normal 5 2 2 5 3 5 2" xfId="9724"/>
    <cellStyle name="Normal 5 2 2 5 3 5 3" xfId="15263"/>
    <cellStyle name="Normal 5 2 2 5 3 6" xfId="5146"/>
    <cellStyle name="Normal 5 2 2 5 3 6 2" xfId="10685"/>
    <cellStyle name="Normal 5 2 2 5 3 6 3" xfId="16224"/>
    <cellStyle name="Normal 5 2 2 5 3 7" xfId="1848"/>
    <cellStyle name="Normal 5 2 2 5 3 7 2" xfId="7394"/>
    <cellStyle name="Normal 5 2 2 5 3 7 3" xfId="12933"/>
    <cellStyle name="Normal 5 2 2 5 3 8" xfId="6189"/>
    <cellStyle name="Normal 5 2 2 5 3 9" xfId="11728"/>
    <cellStyle name="Normal 5 2 2 5 4" xfId="1207"/>
    <cellStyle name="Normal 5 2 2 5 4 2" xfId="3737"/>
    <cellStyle name="Normal 5 2 2 5 4 2 2" xfId="9279"/>
    <cellStyle name="Normal 5 2 2 5 4 2 3" xfId="14818"/>
    <cellStyle name="Normal 5 2 2 5 4 3" xfId="4774"/>
    <cellStyle name="Normal 5 2 2 5 4 3 2" xfId="10313"/>
    <cellStyle name="Normal 5 2 2 5 4 3 3" xfId="15852"/>
    <cellStyle name="Normal 5 2 2 5 4 4" xfId="5709"/>
    <cellStyle name="Normal 5 2 2 5 4 4 2" xfId="11248"/>
    <cellStyle name="Normal 5 2 2 5 4 4 3" xfId="16787"/>
    <cellStyle name="Normal 5 2 2 5 4 5" xfId="2411"/>
    <cellStyle name="Normal 5 2 2 5 4 5 2" xfId="7957"/>
    <cellStyle name="Normal 5 2 2 5 4 5 3" xfId="13496"/>
    <cellStyle name="Normal 5 2 2 5 4 6" xfId="6752"/>
    <cellStyle name="Normal 5 2 2 5 4 7" xfId="12291"/>
    <cellStyle name="Normal 5 2 2 5 5" xfId="805"/>
    <cellStyle name="Normal 5 2 2 5 5 2" xfId="3335"/>
    <cellStyle name="Normal 5 2 2 5 5 2 2" xfId="8877"/>
    <cellStyle name="Normal 5 2 2 5 5 2 3" xfId="14416"/>
    <cellStyle name="Normal 5 2 2 5 5 3" xfId="4372"/>
    <cellStyle name="Normal 5 2 2 5 5 3 2" xfId="9911"/>
    <cellStyle name="Normal 5 2 2 5 5 3 3" xfId="15450"/>
    <cellStyle name="Normal 5 2 2 5 5 4" xfId="5307"/>
    <cellStyle name="Normal 5 2 2 5 5 4 2" xfId="10846"/>
    <cellStyle name="Normal 5 2 2 5 5 4 3" xfId="16385"/>
    <cellStyle name="Normal 5 2 2 5 5 5" xfId="2009"/>
    <cellStyle name="Normal 5 2 2 5 5 5 2" xfId="7555"/>
    <cellStyle name="Normal 5 2 2 5 5 5 3" xfId="13094"/>
    <cellStyle name="Normal 5 2 2 5 5 6" xfId="6350"/>
    <cellStyle name="Normal 5 2 2 5 5 7" xfId="11889"/>
    <cellStyle name="Normal 5 2 2 5 6" xfId="1552"/>
    <cellStyle name="Normal 5 2 2 5 6 2" xfId="2757"/>
    <cellStyle name="Normal 5 2 2 5 6 2 2" xfId="8303"/>
    <cellStyle name="Normal 5 2 2 5 6 2 3" xfId="13842"/>
    <cellStyle name="Normal 5 2 2 5 6 3" xfId="7098"/>
    <cellStyle name="Normal 5 2 2 5 6 4" xfId="12637"/>
    <cellStyle name="Normal 5 2 2 5 7" xfId="2930"/>
    <cellStyle name="Normal 5 2 2 5 7 2" xfId="8474"/>
    <cellStyle name="Normal 5 2 2 5 7 3" xfId="14013"/>
    <cellStyle name="Normal 5 2 2 5 8" xfId="3041"/>
    <cellStyle name="Normal 5 2 2 5 8 2" xfId="8584"/>
    <cellStyle name="Normal 5 2 2 5 8 3" xfId="14123"/>
    <cellStyle name="Normal 5 2 2 5 9" xfId="4084"/>
    <cellStyle name="Normal 5 2 2 5 9 2" xfId="9625"/>
    <cellStyle name="Normal 5 2 2 5 9 3" xfId="15164"/>
    <cellStyle name="Normal 5 2 2 6" xfId="290"/>
    <cellStyle name="Normal 5 2 2 6 10" xfId="6073"/>
    <cellStyle name="Normal 5 2 2 6 10 2" xfId="17151"/>
    <cellStyle name="Normal 5 2 2 6 11" xfId="717"/>
    <cellStyle name="Normal 5 2 2 6 11 2" xfId="17313"/>
    <cellStyle name="Normal 5 2 2 6 12" xfId="11612"/>
    <cellStyle name="Normal 5 2 2 6 13" xfId="17480"/>
    <cellStyle name="Normal 5 2 2 6 14" xfId="17645"/>
    <cellStyle name="Normal 5 2 2 6 2" xfId="489"/>
    <cellStyle name="Normal 5 2 2 6 2 2" xfId="1330"/>
    <cellStyle name="Normal 5 2 2 6 2 2 2" xfId="3862"/>
    <cellStyle name="Normal 5 2 2 6 2 2 2 2" xfId="9404"/>
    <cellStyle name="Normal 5 2 2 6 2 2 2 3" xfId="14943"/>
    <cellStyle name="Normal 5 2 2 6 2 2 3" xfId="4899"/>
    <cellStyle name="Normal 5 2 2 6 2 2 3 2" xfId="10438"/>
    <cellStyle name="Normal 5 2 2 6 2 2 3 3" xfId="15977"/>
    <cellStyle name="Normal 5 2 2 6 2 2 4" xfId="5833"/>
    <cellStyle name="Normal 5 2 2 6 2 2 4 2" xfId="11372"/>
    <cellStyle name="Normal 5 2 2 6 2 2 4 3" xfId="16911"/>
    <cellStyle name="Normal 5 2 2 6 2 2 5" xfId="2535"/>
    <cellStyle name="Normal 5 2 2 6 2 2 5 2" xfId="8081"/>
    <cellStyle name="Normal 5 2 2 6 2 2 5 3" xfId="13620"/>
    <cellStyle name="Normal 5 2 2 6 2 2 6" xfId="6876"/>
    <cellStyle name="Normal 5 2 2 6 2 2 7" xfId="12415"/>
    <cellStyle name="Normal 5 2 2 6 2 3" xfId="1048"/>
    <cellStyle name="Normal 5 2 2 6 2 3 2" xfId="3578"/>
    <cellStyle name="Normal 5 2 2 6 2 3 2 2" xfId="9120"/>
    <cellStyle name="Normal 5 2 2 6 2 3 2 3" xfId="14659"/>
    <cellStyle name="Normal 5 2 2 6 2 3 3" xfId="4615"/>
    <cellStyle name="Normal 5 2 2 6 2 3 3 2" xfId="10154"/>
    <cellStyle name="Normal 5 2 2 6 2 3 3 3" xfId="15693"/>
    <cellStyle name="Normal 5 2 2 6 2 3 4" xfId="5550"/>
    <cellStyle name="Normal 5 2 2 6 2 3 4 2" xfId="11089"/>
    <cellStyle name="Normal 5 2 2 6 2 3 4 3" xfId="16628"/>
    <cellStyle name="Normal 5 2 2 6 2 3 5" xfId="2252"/>
    <cellStyle name="Normal 5 2 2 6 2 3 5 2" xfId="7798"/>
    <cellStyle name="Normal 5 2 2 6 2 3 5 3" xfId="13337"/>
    <cellStyle name="Normal 5 2 2 6 2 3 6" xfId="6593"/>
    <cellStyle name="Normal 5 2 2 6 2 3 7" xfId="12132"/>
    <cellStyle name="Normal 5 2 2 6 2 4" xfId="3148"/>
    <cellStyle name="Normal 5 2 2 6 2 4 2" xfId="8690"/>
    <cellStyle name="Normal 5 2 2 6 2 4 3" xfId="14229"/>
    <cellStyle name="Normal 5 2 2 6 2 5" xfId="4187"/>
    <cellStyle name="Normal 5 2 2 6 2 5 2" xfId="9726"/>
    <cellStyle name="Normal 5 2 2 6 2 5 3" xfId="15265"/>
    <cellStyle name="Normal 5 2 2 6 2 6" xfId="5148"/>
    <cellStyle name="Normal 5 2 2 6 2 6 2" xfId="10687"/>
    <cellStyle name="Normal 5 2 2 6 2 6 3" xfId="16226"/>
    <cellStyle name="Normal 5 2 2 6 2 7" xfId="1850"/>
    <cellStyle name="Normal 5 2 2 6 2 7 2" xfId="7396"/>
    <cellStyle name="Normal 5 2 2 6 2 7 3" xfId="12935"/>
    <cellStyle name="Normal 5 2 2 6 2 8" xfId="6191"/>
    <cellStyle name="Normal 5 2 2 6 2 9" xfId="11730"/>
    <cellStyle name="Normal 5 2 2 6 3" xfId="1225"/>
    <cellStyle name="Normal 5 2 2 6 3 2" xfId="3755"/>
    <cellStyle name="Normal 5 2 2 6 3 2 2" xfId="9297"/>
    <cellStyle name="Normal 5 2 2 6 3 2 3" xfId="14836"/>
    <cellStyle name="Normal 5 2 2 6 3 3" xfId="4792"/>
    <cellStyle name="Normal 5 2 2 6 3 3 2" xfId="10331"/>
    <cellStyle name="Normal 5 2 2 6 3 3 3" xfId="15870"/>
    <cellStyle name="Normal 5 2 2 6 3 4" xfId="5727"/>
    <cellStyle name="Normal 5 2 2 6 3 4 2" xfId="11266"/>
    <cellStyle name="Normal 5 2 2 6 3 4 3" xfId="16805"/>
    <cellStyle name="Normal 5 2 2 6 3 5" xfId="2429"/>
    <cellStyle name="Normal 5 2 2 6 3 5 2" xfId="7975"/>
    <cellStyle name="Normal 5 2 2 6 3 5 3" xfId="13514"/>
    <cellStyle name="Normal 5 2 2 6 3 6" xfId="6770"/>
    <cellStyle name="Normal 5 2 2 6 3 7" xfId="12309"/>
    <cellStyle name="Normal 5 2 2 6 4" xfId="807"/>
    <cellStyle name="Normal 5 2 2 6 4 2" xfId="3337"/>
    <cellStyle name="Normal 5 2 2 6 4 2 2" xfId="8879"/>
    <cellStyle name="Normal 5 2 2 6 4 2 3" xfId="14418"/>
    <cellStyle name="Normal 5 2 2 6 4 3" xfId="4374"/>
    <cellStyle name="Normal 5 2 2 6 4 3 2" xfId="9913"/>
    <cellStyle name="Normal 5 2 2 6 4 3 3" xfId="15452"/>
    <cellStyle name="Normal 5 2 2 6 4 4" xfId="5309"/>
    <cellStyle name="Normal 5 2 2 6 4 4 2" xfId="10848"/>
    <cellStyle name="Normal 5 2 2 6 4 4 3" xfId="16387"/>
    <cellStyle name="Normal 5 2 2 6 4 5" xfId="2011"/>
    <cellStyle name="Normal 5 2 2 6 4 5 2" xfId="7557"/>
    <cellStyle name="Normal 5 2 2 6 4 5 3" xfId="13096"/>
    <cellStyle name="Normal 5 2 2 6 4 6" xfId="6352"/>
    <cellStyle name="Normal 5 2 2 6 4 7" xfId="11891"/>
    <cellStyle name="Normal 5 2 2 6 5" xfId="1570"/>
    <cellStyle name="Normal 5 2 2 6 5 2" xfId="2775"/>
    <cellStyle name="Normal 5 2 2 6 5 2 2" xfId="8321"/>
    <cellStyle name="Normal 5 2 2 6 5 2 3" xfId="13860"/>
    <cellStyle name="Normal 5 2 2 6 5 3" xfId="7116"/>
    <cellStyle name="Normal 5 2 2 6 5 4" xfId="12655"/>
    <cellStyle name="Normal 5 2 2 6 6" xfId="2948"/>
    <cellStyle name="Normal 5 2 2 6 6 2" xfId="8492"/>
    <cellStyle name="Normal 5 2 2 6 6 3" xfId="14031"/>
    <cellStyle name="Normal 5 2 2 6 7" xfId="3070"/>
    <cellStyle name="Normal 5 2 2 6 7 2" xfId="8613"/>
    <cellStyle name="Normal 5 2 2 6 7 3" xfId="14152"/>
    <cellStyle name="Normal 5 2 2 6 8" xfId="4113"/>
    <cellStyle name="Normal 5 2 2 6 8 2" xfId="9654"/>
    <cellStyle name="Normal 5 2 2 6 8 3" xfId="15193"/>
    <cellStyle name="Normal 5 2 2 6 9" xfId="1732"/>
    <cellStyle name="Normal 5 2 2 6 9 2" xfId="7278"/>
    <cellStyle name="Normal 5 2 2 6 9 3" xfId="12817"/>
    <cellStyle name="Normal 5 2 2 7" xfId="291"/>
    <cellStyle name="Normal 5 2 2 7 10" xfId="6001"/>
    <cellStyle name="Normal 5 2 2 7 10 2" xfId="17079"/>
    <cellStyle name="Normal 5 2 2 7 11" xfId="645"/>
    <cellStyle name="Normal 5 2 2 7 11 2" xfId="17241"/>
    <cellStyle name="Normal 5 2 2 7 12" xfId="11540"/>
    <cellStyle name="Normal 5 2 2 7 13" xfId="17408"/>
    <cellStyle name="Normal 5 2 2 7 14" xfId="17573"/>
    <cellStyle name="Normal 5 2 2 7 2" xfId="490"/>
    <cellStyle name="Normal 5 2 2 7 2 2" xfId="1331"/>
    <cellStyle name="Normal 5 2 2 7 2 2 2" xfId="3863"/>
    <cellStyle name="Normal 5 2 2 7 2 2 2 2" xfId="9405"/>
    <cellStyle name="Normal 5 2 2 7 2 2 2 3" xfId="14944"/>
    <cellStyle name="Normal 5 2 2 7 2 2 3" xfId="4900"/>
    <cellStyle name="Normal 5 2 2 7 2 2 3 2" xfId="10439"/>
    <cellStyle name="Normal 5 2 2 7 2 2 3 3" xfId="15978"/>
    <cellStyle name="Normal 5 2 2 7 2 2 4" xfId="5834"/>
    <cellStyle name="Normal 5 2 2 7 2 2 4 2" xfId="11373"/>
    <cellStyle name="Normal 5 2 2 7 2 2 4 3" xfId="16912"/>
    <cellStyle name="Normal 5 2 2 7 2 2 5" xfId="2536"/>
    <cellStyle name="Normal 5 2 2 7 2 2 5 2" xfId="8082"/>
    <cellStyle name="Normal 5 2 2 7 2 2 5 3" xfId="13621"/>
    <cellStyle name="Normal 5 2 2 7 2 2 6" xfId="6877"/>
    <cellStyle name="Normal 5 2 2 7 2 2 7" xfId="12416"/>
    <cellStyle name="Normal 5 2 2 7 2 3" xfId="976"/>
    <cellStyle name="Normal 5 2 2 7 2 3 2" xfId="3506"/>
    <cellStyle name="Normal 5 2 2 7 2 3 2 2" xfId="9048"/>
    <cellStyle name="Normal 5 2 2 7 2 3 2 3" xfId="14587"/>
    <cellStyle name="Normal 5 2 2 7 2 3 3" xfId="4543"/>
    <cellStyle name="Normal 5 2 2 7 2 3 3 2" xfId="10082"/>
    <cellStyle name="Normal 5 2 2 7 2 3 3 3" xfId="15621"/>
    <cellStyle name="Normal 5 2 2 7 2 3 4" xfId="5478"/>
    <cellStyle name="Normal 5 2 2 7 2 3 4 2" xfId="11017"/>
    <cellStyle name="Normal 5 2 2 7 2 3 4 3" xfId="16556"/>
    <cellStyle name="Normal 5 2 2 7 2 3 5" xfId="2180"/>
    <cellStyle name="Normal 5 2 2 7 2 3 5 2" xfId="7726"/>
    <cellStyle name="Normal 5 2 2 7 2 3 5 3" xfId="13265"/>
    <cellStyle name="Normal 5 2 2 7 2 3 6" xfId="6521"/>
    <cellStyle name="Normal 5 2 2 7 2 3 7" xfId="12060"/>
    <cellStyle name="Normal 5 2 2 7 2 4" xfId="3149"/>
    <cellStyle name="Normal 5 2 2 7 2 4 2" xfId="8691"/>
    <cellStyle name="Normal 5 2 2 7 2 4 3" xfId="14230"/>
    <cellStyle name="Normal 5 2 2 7 2 5" xfId="4188"/>
    <cellStyle name="Normal 5 2 2 7 2 5 2" xfId="9727"/>
    <cellStyle name="Normal 5 2 2 7 2 5 3" xfId="15266"/>
    <cellStyle name="Normal 5 2 2 7 2 6" xfId="5149"/>
    <cellStyle name="Normal 5 2 2 7 2 6 2" xfId="10688"/>
    <cellStyle name="Normal 5 2 2 7 2 6 3" xfId="16227"/>
    <cellStyle name="Normal 5 2 2 7 2 7" xfId="1851"/>
    <cellStyle name="Normal 5 2 2 7 2 7 2" xfId="7397"/>
    <cellStyle name="Normal 5 2 2 7 2 7 3" xfId="12936"/>
    <cellStyle name="Normal 5 2 2 7 2 8" xfId="6192"/>
    <cellStyle name="Normal 5 2 2 7 2 9" xfId="11731"/>
    <cellStyle name="Normal 5 2 2 7 3" xfId="1153"/>
    <cellStyle name="Normal 5 2 2 7 3 2" xfId="3683"/>
    <cellStyle name="Normal 5 2 2 7 3 2 2" xfId="9225"/>
    <cellStyle name="Normal 5 2 2 7 3 2 3" xfId="14764"/>
    <cellStyle name="Normal 5 2 2 7 3 3" xfId="4720"/>
    <cellStyle name="Normal 5 2 2 7 3 3 2" xfId="10259"/>
    <cellStyle name="Normal 5 2 2 7 3 3 3" xfId="15798"/>
    <cellStyle name="Normal 5 2 2 7 3 4" xfId="5655"/>
    <cellStyle name="Normal 5 2 2 7 3 4 2" xfId="11194"/>
    <cellStyle name="Normal 5 2 2 7 3 4 3" xfId="16733"/>
    <cellStyle name="Normal 5 2 2 7 3 5" xfId="2357"/>
    <cellStyle name="Normal 5 2 2 7 3 5 2" xfId="7903"/>
    <cellStyle name="Normal 5 2 2 7 3 5 3" xfId="13442"/>
    <cellStyle name="Normal 5 2 2 7 3 6" xfId="6698"/>
    <cellStyle name="Normal 5 2 2 7 3 7" xfId="12237"/>
    <cellStyle name="Normal 5 2 2 7 4" xfId="808"/>
    <cellStyle name="Normal 5 2 2 7 4 2" xfId="3338"/>
    <cellStyle name="Normal 5 2 2 7 4 2 2" xfId="8880"/>
    <cellStyle name="Normal 5 2 2 7 4 2 3" xfId="14419"/>
    <cellStyle name="Normal 5 2 2 7 4 3" xfId="4375"/>
    <cellStyle name="Normal 5 2 2 7 4 3 2" xfId="9914"/>
    <cellStyle name="Normal 5 2 2 7 4 3 3" xfId="15453"/>
    <cellStyle name="Normal 5 2 2 7 4 4" xfId="5310"/>
    <cellStyle name="Normal 5 2 2 7 4 4 2" xfId="10849"/>
    <cellStyle name="Normal 5 2 2 7 4 4 3" xfId="16388"/>
    <cellStyle name="Normal 5 2 2 7 4 5" xfId="2012"/>
    <cellStyle name="Normal 5 2 2 7 4 5 2" xfId="7558"/>
    <cellStyle name="Normal 5 2 2 7 4 5 3" xfId="13097"/>
    <cellStyle name="Normal 5 2 2 7 4 6" xfId="6353"/>
    <cellStyle name="Normal 5 2 2 7 4 7" xfId="11892"/>
    <cellStyle name="Normal 5 2 2 7 5" xfId="1498"/>
    <cellStyle name="Normal 5 2 2 7 5 2" xfId="2703"/>
    <cellStyle name="Normal 5 2 2 7 5 2 2" xfId="8249"/>
    <cellStyle name="Normal 5 2 2 7 5 2 3" xfId="13788"/>
    <cellStyle name="Normal 5 2 2 7 5 3" xfId="7044"/>
    <cellStyle name="Normal 5 2 2 7 5 4" xfId="12583"/>
    <cellStyle name="Normal 5 2 2 7 6" xfId="2876"/>
    <cellStyle name="Normal 5 2 2 7 6 2" xfId="8420"/>
    <cellStyle name="Normal 5 2 2 7 6 3" xfId="13959"/>
    <cellStyle name="Normal 5 2 2 7 7" xfId="3312"/>
    <cellStyle name="Normal 5 2 2 7 7 2" xfId="8854"/>
    <cellStyle name="Normal 5 2 2 7 7 3" xfId="14393"/>
    <cellStyle name="Normal 5 2 2 7 8" xfId="4349"/>
    <cellStyle name="Normal 5 2 2 7 8 2" xfId="9888"/>
    <cellStyle name="Normal 5 2 2 7 8 3" xfId="15427"/>
    <cellStyle name="Normal 5 2 2 7 9" xfId="1660"/>
    <cellStyle name="Normal 5 2 2 7 9 2" xfId="7206"/>
    <cellStyle name="Normal 5 2 2 7 9 3" xfId="12745"/>
    <cellStyle name="Normal 5 2 2 8" xfId="447"/>
    <cellStyle name="Normal 5 2 2 8 2" xfId="1294"/>
    <cellStyle name="Normal 5 2 2 8 2 2" xfId="3824"/>
    <cellStyle name="Normal 5 2 2 8 2 2 2" xfId="9366"/>
    <cellStyle name="Normal 5 2 2 8 2 2 3" xfId="14905"/>
    <cellStyle name="Normal 5 2 2 8 2 3" xfId="4861"/>
    <cellStyle name="Normal 5 2 2 8 2 3 2" xfId="10400"/>
    <cellStyle name="Normal 5 2 2 8 2 3 3" xfId="15939"/>
    <cellStyle name="Normal 5 2 2 8 2 4" xfId="5796"/>
    <cellStyle name="Normal 5 2 2 8 2 4 2" xfId="11335"/>
    <cellStyle name="Normal 5 2 2 8 2 4 3" xfId="16874"/>
    <cellStyle name="Normal 5 2 2 8 2 5" xfId="2498"/>
    <cellStyle name="Normal 5 2 2 8 2 5 2" xfId="8044"/>
    <cellStyle name="Normal 5 2 2 8 2 5 3" xfId="13583"/>
    <cellStyle name="Normal 5 2 2 8 2 6" xfId="6839"/>
    <cellStyle name="Normal 5 2 2 8 2 7" xfId="12378"/>
    <cellStyle name="Normal 5 2 2 8 3" xfId="958"/>
    <cellStyle name="Normal 5 2 2 8 3 2" xfId="3488"/>
    <cellStyle name="Normal 5 2 2 8 3 2 2" xfId="9030"/>
    <cellStyle name="Normal 5 2 2 8 3 2 3" xfId="14569"/>
    <cellStyle name="Normal 5 2 2 8 3 3" xfId="4525"/>
    <cellStyle name="Normal 5 2 2 8 3 3 2" xfId="10064"/>
    <cellStyle name="Normal 5 2 2 8 3 3 3" xfId="15603"/>
    <cellStyle name="Normal 5 2 2 8 3 4" xfId="5460"/>
    <cellStyle name="Normal 5 2 2 8 3 4 2" xfId="10999"/>
    <cellStyle name="Normal 5 2 2 8 3 4 3" xfId="16538"/>
    <cellStyle name="Normal 5 2 2 8 3 5" xfId="2162"/>
    <cellStyle name="Normal 5 2 2 8 3 5 2" xfId="7708"/>
    <cellStyle name="Normal 5 2 2 8 3 5 3" xfId="13247"/>
    <cellStyle name="Normal 5 2 2 8 3 6" xfId="6503"/>
    <cellStyle name="Normal 5 2 2 8 3 7" xfId="12042"/>
    <cellStyle name="Normal 5 2 2 8 4" xfId="3059"/>
    <cellStyle name="Normal 5 2 2 8 4 2" xfId="8602"/>
    <cellStyle name="Normal 5 2 2 8 4 3" xfId="14141"/>
    <cellStyle name="Normal 5 2 2 8 5" xfId="4102"/>
    <cellStyle name="Normal 5 2 2 8 5 2" xfId="9643"/>
    <cellStyle name="Normal 5 2 2 8 5 3" xfId="15182"/>
    <cellStyle name="Normal 5 2 2 8 6" xfId="5111"/>
    <cellStyle name="Normal 5 2 2 8 6 2" xfId="10650"/>
    <cellStyle name="Normal 5 2 2 8 6 3" xfId="16189"/>
    <cellStyle name="Normal 5 2 2 8 7" xfId="1813"/>
    <cellStyle name="Normal 5 2 2 8 7 2" xfId="7359"/>
    <cellStyle name="Normal 5 2 2 8 7 3" xfId="12898"/>
    <cellStyle name="Normal 5 2 2 8 8" xfId="6154"/>
    <cellStyle name="Normal 5 2 2 8 9" xfId="11693"/>
    <cellStyle name="Normal 5 2 2 9" xfId="1135"/>
    <cellStyle name="Normal 5 2 2 9 2" xfId="3665"/>
    <cellStyle name="Normal 5 2 2 9 2 2" xfId="9207"/>
    <cellStyle name="Normal 5 2 2 9 2 3" xfId="14746"/>
    <cellStyle name="Normal 5 2 2 9 3" xfId="4702"/>
    <cellStyle name="Normal 5 2 2 9 3 2" xfId="10241"/>
    <cellStyle name="Normal 5 2 2 9 3 3" xfId="15780"/>
    <cellStyle name="Normal 5 2 2 9 4" xfId="5637"/>
    <cellStyle name="Normal 5 2 2 9 4 2" xfId="11176"/>
    <cellStyle name="Normal 5 2 2 9 4 3" xfId="16715"/>
    <cellStyle name="Normal 5 2 2 9 5" xfId="2339"/>
    <cellStyle name="Normal 5 2 2 9 5 2" xfId="7885"/>
    <cellStyle name="Normal 5 2 2 9 5 3" xfId="13424"/>
    <cellStyle name="Normal 5 2 2 9 6" xfId="6680"/>
    <cellStyle name="Normal 5 2 2 9 7" xfId="12219"/>
    <cellStyle name="Normal 5 2 20" xfId="2851"/>
    <cellStyle name="Normal 5 2 20 2" xfId="8395"/>
    <cellStyle name="Normal 5 2 20 3" xfId="13934"/>
    <cellStyle name="Normal 5 2 21" xfId="3121"/>
    <cellStyle name="Normal 5 2 21 2" xfId="8664"/>
    <cellStyle name="Normal 5 2 21 3" xfId="14203"/>
    <cellStyle name="Normal 5 2 22" xfId="4163"/>
    <cellStyle name="Normal 5 2 22 2" xfId="9704"/>
    <cellStyle name="Normal 5 2 22 3" xfId="15243"/>
    <cellStyle name="Normal 5 2 23" xfId="1636"/>
    <cellStyle name="Normal 5 2 23 2" xfId="7182"/>
    <cellStyle name="Normal 5 2 23 3" xfId="12721"/>
    <cellStyle name="Normal 5 2 24" xfId="5977"/>
    <cellStyle name="Normal 5 2 24 2" xfId="17055"/>
    <cellStyle name="Normal 5 2 25" xfId="621"/>
    <cellStyle name="Normal 5 2 25 2" xfId="17217"/>
    <cellStyle name="Normal 5 2 26" xfId="11516"/>
    <cellStyle name="Normal 5 2 27" xfId="17384"/>
    <cellStyle name="Normal 5 2 28" xfId="17549"/>
    <cellStyle name="Normal 5 2 29" xfId="248"/>
    <cellStyle name="Normal 5 2 3" xfId="250"/>
    <cellStyle name="Normal 5 2 3 10" xfId="809"/>
    <cellStyle name="Normal 5 2 3 10 2" xfId="3339"/>
    <cellStyle name="Normal 5 2 3 10 2 2" xfId="8881"/>
    <cellStyle name="Normal 5 2 3 10 2 3" xfId="14420"/>
    <cellStyle name="Normal 5 2 3 10 3" xfId="4376"/>
    <cellStyle name="Normal 5 2 3 10 3 2" xfId="9915"/>
    <cellStyle name="Normal 5 2 3 10 3 3" xfId="15454"/>
    <cellStyle name="Normal 5 2 3 10 4" xfId="5311"/>
    <cellStyle name="Normal 5 2 3 10 4 2" xfId="10850"/>
    <cellStyle name="Normal 5 2 3 10 4 3" xfId="16389"/>
    <cellStyle name="Normal 5 2 3 10 5" xfId="2013"/>
    <cellStyle name="Normal 5 2 3 10 5 2" xfId="7559"/>
    <cellStyle name="Normal 5 2 3 10 5 3" xfId="13098"/>
    <cellStyle name="Normal 5 2 3 10 6" xfId="6354"/>
    <cellStyle name="Normal 5 2 3 10 7" xfId="11893"/>
    <cellStyle name="Normal 5 2 3 11" xfId="1476"/>
    <cellStyle name="Normal 5 2 3 11 2" xfId="2681"/>
    <cellStyle name="Normal 5 2 3 11 2 2" xfId="8227"/>
    <cellStyle name="Normal 5 2 3 11 2 3" xfId="13766"/>
    <cellStyle name="Normal 5 2 3 11 3" xfId="7022"/>
    <cellStyle name="Normal 5 2 3 11 4" xfId="12561"/>
    <cellStyle name="Normal 5 2 3 12" xfId="2854"/>
    <cellStyle name="Normal 5 2 3 12 2" xfId="8398"/>
    <cellStyle name="Normal 5 2 3 12 3" xfId="13937"/>
    <cellStyle name="Normal 5 2 3 13" xfId="3841"/>
    <cellStyle name="Normal 5 2 3 13 2" xfId="9383"/>
    <cellStyle name="Normal 5 2 3 13 3" xfId="14922"/>
    <cellStyle name="Normal 5 2 3 14" xfId="4878"/>
    <cellStyle name="Normal 5 2 3 14 2" xfId="10417"/>
    <cellStyle name="Normal 5 2 3 14 3" xfId="15956"/>
    <cellStyle name="Normal 5 2 3 15" xfId="1638"/>
    <cellStyle name="Normal 5 2 3 15 2" xfId="7184"/>
    <cellStyle name="Normal 5 2 3 15 3" xfId="12723"/>
    <cellStyle name="Normal 5 2 3 16" xfId="5979"/>
    <cellStyle name="Normal 5 2 3 16 2" xfId="17057"/>
    <cellStyle name="Normal 5 2 3 17" xfId="623"/>
    <cellStyle name="Normal 5 2 3 17 2" xfId="17219"/>
    <cellStyle name="Normal 5 2 3 18" xfId="11518"/>
    <cellStyle name="Normal 5 2 3 19" xfId="17386"/>
    <cellStyle name="Normal 5 2 3 2" xfId="251"/>
    <cellStyle name="Normal 5 2 3 2 10" xfId="1484"/>
    <cellStyle name="Normal 5 2 3 2 10 2" xfId="2689"/>
    <cellStyle name="Normal 5 2 3 2 10 2 2" xfId="8235"/>
    <cellStyle name="Normal 5 2 3 2 10 2 3" xfId="13774"/>
    <cellStyle name="Normal 5 2 3 2 10 3" xfId="7030"/>
    <cellStyle name="Normal 5 2 3 2 10 4" xfId="12569"/>
    <cellStyle name="Normal 5 2 3 2 11" xfId="2862"/>
    <cellStyle name="Normal 5 2 3 2 11 2" xfId="8406"/>
    <cellStyle name="Normal 5 2 3 2 11 3" xfId="13945"/>
    <cellStyle name="Normal 5 2 3 2 12" xfId="3288"/>
    <cellStyle name="Normal 5 2 3 2 12 2" xfId="8830"/>
    <cellStyle name="Normal 5 2 3 2 12 3" xfId="14369"/>
    <cellStyle name="Normal 5 2 3 2 13" xfId="4327"/>
    <cellStyle name="Normal 5 2 3 2 13 2" xfId="9866"/>
    <cellStyle name="Normal 5 2 3 2 13 3" xfId="15405"/>
    <cellStyle name="Normal 5 2 3 2 14" xfId="1646"/>
    <cellStyle name="Normal 5 2 3 2 14 2" xfId="7192"/>
    <cellStyle name="Normal 5 2 3 2 14 3" xfId="12731"/>
    <cellStyle name="Normal 5 2 3 2 15" xfId="5987"/>
    <cellStyle name="Normal 5 2 3 2 15 2" xfId="17065"/>
    <cellStyle name="Normal 5 2 3 2 16" xfId="631"/>
    <cellStyle name="Normal 5 2 3 2 16 2" xfId="17227"/>
    <cellStyle name="Normal 5 2 3 2 17" xfId="11526"/>
    <cellStyle name="Normal 5 2 3 2 18" xfId="17394"/>
    <cellStyle name="Normal 5 2 3 2 19" xfId="17559"/>
    <cellStyle name="Normal 5 2 3 2 2" xfId="292"/>
    <cellStyle name="Normal 5 2 3 2 2 10" xfId="1700"/>
    <cellStyle name="Normal 5 2 3 2 2 10 2" xfId="7246"/>
    <cellStyle name="Normal 5 2 3 2 2 10 3" xfId="12785"/>
    <cellStyle name="Normal 5 2 3 2 2 11" xfId="6041"/>
    <cellStyle name="Normal 5 2 3 2 2 11 2" xfId="17119"/>
    <cellStyle name="Normal 5 2 3 2 2 12" xfId="685"/>
    <cellStyle name="Normal 5 2 3 2 2 12 2" xfId="17281"/>
    <cellStyle name="Normal 5 2 3 2 2 13" xfId="11580"/>
    <cellStyle name="Normal 5 2 3 2 2 14" xfId="17448"/>
    <cellStyle name="Normal 5 2 3 2 2 15" xfId="17613"/>
    <cellStyle name="Normal 5 2 3 2 2 2" xfId="293"/>
    <cellStyle name="Normal 5 2 3 2 2 2 10" xfId="6131"/>
    <cellStyle name="Normal 5 2 3 2 2 2 10 2" xfId="17209"/>
    <cellStyle name="Normal 5 2 3 2 2 2 11" xfId="775"/>
    <cellStyle name="Normal 5 2 3 2 2 2 11 2" xfId="17371"/>
    <cellStyle name="Normal 5 2 3 2 2 2 12" xfId="11670"/>
    <cellStyle name="Normal 5 2 3 2 2 2 13" xfId="17538"/>
    <cellStyle name="Normal 5 2 3 2 2 2 14" xfId="17703"/>
    <cellStyle name="Normal 5 2 3 2 2 2 2" xfId="492"/>
    <cellStyle name="Normal 5 2 3 2 2 2 2 2" xfId="1333"/>
    <cellStyle name="Normal 5 2 3 2 2 2 2 2 2" xfId="3865"/>
    <cellStyle name="Normal 5 2 3 2 2 2 2 2 2 2" xfId="9407"/>
    <cellStyle name="Normal 5 2 3 2 2 2 2 2 2 3" xfId="14946"/>
    <cellStyle name="Normal 5 2 3 2 2 2 2 2 3" xfId="4902"/>
    <cellStyle name="Normal 5 2 3 2 2 2 2 2 3 2" xfId="10441"/>
    <cellStyle name="Normal 5 2 3 2 2 2 2 2 3 3" xfId="15980"/>
    <cellStyle name="Normal 5 2 3 2 2 2 2 2 4" xfId="5836"/>
    <cellStyle name="Normal 5 2 3 2 2 2 2 2 4 2" xfId="11375"/>
    <cellStyle name="Normal 5 2 3 2 2 2 2 2 4 3" xfId="16914"/>
    <cellStyle name="Normal 5 2 3 2 2 2 2 2 5" xfId="2538"/>
    <cellStyle name="Normal 5 2 3 2 2 2 2 2 5 2" xfId="8084"/>
    <cellStyle name="Normal 5 2 3 2 2 2 2 2 5 3" xfId="13623"/>
    <cellStyle name="Normal 5 2 3 2 2 2 2 2 6" xfId="6879"/>
    <cellStyle name="Normal 5 2 3 2 2 2 2 2 7" xfId="12418"/>
    <cellStyle name="Normal 5 2 3 2 2 2 2 3" xfId="1106"/>
    <cellStyle name="Normal 5 2 3 2 2 2 2 3 2" xfId="3636"/>
    <cellStyle name="Normal 5 2 3 2 2 2 2 3 2 2" xfId="9178"/>
    <cellStyle name="Normal 5 2 3 2 2 2 2 3 2 3" xfId="14717"/>
    <cellStyle name="Normal 5 2 3 2 2 2 2 3 3" xfId="4673"/>
    <cellStyle name="Normal 5 2 3 2 2 2 2 3 3 2" xfId="10212"/>
    <cellStyle name="Normal 5 2 3 2 2 2 2 3 3 3" xfId="15751"/>
    <cellStyle name="Normal 5 2 3 2 2 2 2 3 4" xfId="5608"/>
    <cellStyle name="Normal 5 2 3 2 2 2 2 3 4 2" xfId="11147"/>
    <cellStyle name="Normal 5 2 3 2 2 2 2 3 4 3" xfId="16686"/>
    <cellStyle name="Normal 5 2 3 2 2 2 2 3 5" xfId="2310"/>
    <cellStyle name="Normal 5 2 3 2 2 2 2 3 5 2" xfId="7856"/>
    <cellStyle name="Normal 5 2 3 2 2 2 2 3 5 3" xfId="13395"/>
    <cellStyle name="Normal 5 2 3 2 2 2 2 3 6" xfId="6651"/>
    <cellStyle name="Normal 5 2 3 2 2 2 2 3 7" xfId="12190"/>
    <cellStyle name="Normal 5 2 3 2 2 2 2 4" xfId="3151"/>
    <cellStyle name="Normal 5 2 3 2 2 2 2 4 2" xfId="8693"/>
    <cellStyle name="Normal 5 2 3 2 2 2 2 4 3" xfId="14232"/>
    <cellStyle name="Normal 5 2 3 2 2 2 2 5" xfId="4190"/>
    <cellStyle name="Normal 5 2 3 2 2 2 2 5 2" xfId="9729"/>
    <cellStyle name="Normal 5 2 3 2 2 2 2 5 3" xfId="15268"/>
    <cellStyle name="Normal 5 2 3 2 2 2 2 6" xfId="5151"/>
    <cellStyle name="Normal 5 2 3 2 2 2 2 6 2" xfId="10690"/>
    <cellStyle name="Normal 5 2 3 2 2 2 2 6 3" xfId="16229"/>
    <cellStyle name="Normal 5 2 3 2 2 2 2 7" xfId="1853"/>
    <cellStyle name="Normal 5 2 3 2 2 2 2 7 2" xfId="7399"/>
    <cellStyle name="Normal 5 2 3 2 2 2 2 7 3" xfId="12938"/>
    <cellStyle name="Normal 5 2 3 2 2 2 2 8" xfId="6194"/>
    <cellStyle name="Normal 5 2 3 2 2 2 2 9" xfId="11733"/>
    <cellStyle name="Normal 5 2 3 2 2 2 3" xfId="1283"/>
    <cellStyle name="Normal 5 2 3 2 2 2 3 2" xfId="3813"/>
    <cellStyle name="Normal 5 2 3 2 2 2 3 2 2" xfId="9355"/>
    <cellStyle name="Normal 5 2 3 2 2 2 3 2 3" xfId="14894"/>
    <cellStyle name="Normal 5 2 3 2 2 2 3 3" xfId="4850"/>
    <cellStyle name="Normal 5 2 3 2 2 2 3 3 2" xfId="10389"/>
    <cellStyle name="Normal 5 2 3 2 2 2 3 3 3" xfId="15928"/>
    <cellStyle name="Normal 5 2 3 2 2 2 3 4" xfId="5785"/>
    <cellStyle name="Normal 5 2 3 2 2 2 3 4 2" xfId="11324"/>
    <cellStyle name="Normal 5 2 3 2 2 2 3 4 3" xfId="16863"/>
    <cellStyle name="Normal 5 2 3 2 2 2 3 5" xfId="2487"/>
    <cellStyle name="Normal 5 2 3 2 2 2 3 5 2" xfId="8033"/>
    <cellStyle name="Normal 5 2 3 2 2 2 3 5 3" xfId="13572"/>
    <cellStyle name="Normal 5 2 3 2 2 2 3 6" xfId="6828"/>
    <cellStyle name="Normal 5 2 3 2 2 2 3 7" xfId="12367"/>
    <cellStyle name="Normal 5 2 3 2 2 2 4" xfId="812"/>
    <cellStyle name="Normal 5 2 3 2 2 2 4 2" xfId="3342"/>
    <cellStyle name="Normal 5 2 3 2 2 2 4 2 2" xfId="8884"/>
    <cellStyle name="Normal 5 2 3 2 2 2 4 2 3" xfId="14423"/>
    <cellStyle name="Normal 5 2 3 2 2 2 4 3" xfId="4379"/>
    <cellStyle name="Normal 5 2 3 2 2 2 4 3 2" xfId="9918"/>
    <cellStyle name="Normal 5 2 3 2 2 2 4 3 3" xfId="15457"/>
    <cellStyle name="Normal 5 2 3 2 2 2 4 4" xfId="5314"/>
    <cellStyle name="Normal 5 2 3 2 2 2 4 4 2" xfId="10853"/>
    <cellStyle name="Normal 5 2 3 2 2 2 4 4 3" xfId="16392"/>
    <cellStyle name="Normal 5 2 3 2 2 2 4 5" xfId="2016"/>
    <cellStyle name="Normal 5 2 3 2 2 2 4 5 2" xfId="7562"/>
    <cellStyle name="Normal 5 2 3 2 2 2 4 5 3" xfId="13101"/>
    <cellStyle name="Normal 5 2 3 2 2 2 4 6" xfId="6357"/>
    <cellStyle name="Normal 5 2 3 2 2 2 4 7" xfId="11896"/>
    <cellStyle name="Normal 5 2 3 2 2 2 5" xfId="1628"/>
    <cellStyle name="Normal 5 2 3 2 2 2 5 2" xfId="2833"/>
    <cellStyle name="Normal 5 2 3 2 2 2 5 2 2" xfId="8379"/>
    <cellStyle name="Normal 5 2 3 2 2 2 5 2 3" xfId="13918"/>
    <cellStyle name="Normal 5 2 3 2 2 2 5 3" xfId="7174"/>
    <cellStyle name="Normal 5 2 3 2 2 2 5 4" xfId="12713"/>
    <cellStyle name="Normal 5 2 3 2 2 2 6" xfId="3006"/>
    <cellStyle name="Normal 5 2 3 2 2 2 6 2" xfId="8550"/>
    <cellStyle name="Normal 5 2 3 2 2 2 6 3" xfId="14089"/>
    <cellStyle name="Normal 5 2 3 2 2 2 7" xfId="4051"/>
    <cellStyle name="Normal 5 2 3 2 2 2 7 2" xfId="9593"/>
    <cellStyle name="Normal 5 2 3 2 2 2 7 3" xfId="15132"/>
    <cellStyle name="Normal 5 2 3 2 2 2 8" xfId="5088"/>
    <cellStyle name="Normal 5 2 3 2 2 2 8 2" xfId="10627"/>
    <cellStyle name="Normal 5 2 3 2 2 2 8 3" xfId="16166"/>
    <cellStyle name="Normal 5 2 3 2 2 2 9" xfId="1790"/>
    <cellStyle name="Normal 5 2 3 2 2 2 9 2" xfId="7336"/>
    <cellStyle name="Normal 5 2 3 2 2 2 9 3" xfId="12875"/>
    <cellStyle name="Normal 5 2 3 2 2 3" xfId="491"/>
    <cellStyle name="Normal 5 2 3 2 2 3 2" xfId="1332"/>
    <cellStyle name="Normal 5 2 3 2 2 3 2 2" xfId="3864"/>
    <cellStyle name="Normal 5 2 3 2 2 3 2 2 2" xfId="9406"/>
    <cellStyle name="Normal 5 2 3 2 2 3 2 2 3" xfId="14945"/>
    <cellStyle name="Normal 5 2 3 2 2 3 2 3" xfId="4901"/>
    <cellStyle name="Normal 5 2 3 2 2 3 2 3 2" xfId="10440"/>
    <cellStyle name="Normal 5 2 3 2 2 3 2 3 3" xfId="15979"/>
    <cellStyle name="Normal 5 2 3 2 2 3 2 4" xfId="5835"/>
    <cellStyle name="Normal 5 2 3 2 2 3 2 4 2" xfId="11374"/>
    <cellStyle name="Normal 5 2 3 2 2 3 2 4 3" xfId="16913"/>
    <cellStyle name="Normal 5 2 3 2 2 3 2 5" xfId="2537"/>
    <cellStyle name="Normal 5 2 3 2 2 3 2 5 2" xfId="8083"/>
    <cellStyle name="Normal 5 2 3 2 2 3 2 5 3" xfId="13622"/>
    <cellStyle name="Normal 5 2 3 2 2 3 2 6" xfId="6878"/>
    <cellStyle name="Normal 5 2 3 2 2 3 2 7" xfId="12417"/>
    <cellStyle name="Normal 5 2 3 2 2 3 3" xfId="1016"/>
    <cellStyle name="Normal 5 2 3 2 2 3 3 2" xfId="3546"/>
    <cellStyle name="Normal 5 2 3 2 2 3 3 2 2" xfId="9088"/>
    <cellStyle name="Normal 5 2 3 2 2 3 3 2 3" xfId="14627"/>
    <cellStyle name="Normal 5 2 3 2 2 3 3 3" xfId="4583"/>
    <cellStyle name="Normal 5 2 3 2 2 3 3 3 2" xfId="10122"/>
    <cellStyle name="Normal 5 2 3 2 2 3 3 3 3" xfId="15661"/>
    <cellStyle name="Normal 5 2 3 2 2 3 3 4" xfId="5518"/>
    <cellStyle name="Normal 5 2 3 2 2 3 3 4 2" xfId="11057"/>
    <cellStyle name="Normal 5 2 3 2 2 3 3 4 3" xfId="16596"/>
    <cellStyle name="Normal 5 2 3 2 2 3 3 5" xfId="2220"/>
    <cellStyle name="Normal 5 2 3 2 2 3 3 5 2" xfId="7766"/>
    <cellStyle name="Normal 5 2 3 2 2 3 3 5 3" xfId="13305"/>
    <cellStyle name="Normal 5 2 3 2 2 3 3 6" xfId="6561"/>
    <cellStyle name="Normal 5 2 3 2 2 3 3 7" xfId="12100"/>
    <cellStyle name="Normal 5 2 3 2 2 3 4" xfId="3150"/>
    <cellStyle name="Normal 5 2 3 2 2 3 4 2" xfId="8692"/>
    <cellStyle name="Normal 5 2 3 2 2 3 4 3" xfId="14231"/>
    <cellStyle name="Normal 5 2 3 2 2 3 5" xfId="4189"/>
    <cellStyle name="Normal 5 2 3 2 2 3 5 2" xfId="9728"/>
    <cellStyle name="Normal 5 2 3 2 2 3 5 3" xfId="15267"/>
    <cellStyle name="Normal 5 2 3 2 2 3 6" xfId="5150"/>
    <cellStyle name="Normal 5 2 3 2 2 3 6 2" xfId="10689"/>
    <cellStyle name="Normal 5 2 3 2 2 3 6 3" xfId="16228"/>
    <cellStyle name="Normal 5 2 3 2 2 3 7" xfId="1852"/>
    <cellStyle name="Normal 5 2 3 2 2 3 7 2" xfId="7398"/>
    <cellStyle name="Normal 5 2 3 2 2 3 7 3" xfId="12937"/>
    <cellStyle name="Normal 5 2 3 2 2 3 8" xfId="6193"/>
    <cellStyle name="Normal 5 2 3 2 2 3 9" xfId="11732"/>
    <cellStyle name="Normal 5 2 3 2 2 4" xfId="1193"/>
    <cellStyle name="Normal 5 2 3 2 2 4 2" xfId="3723"/>
    <cellStyle name="Normal 5 2 3 2 2 4 2 2" xfId="9265"/>
    <cellStyle name="Normal 5 2 3 2 2 4 2 3" xfId="14804"/>
    <cellStyle name="Normal 5 2 3 2 2 4 3" xfId="4760"/>
    <cellStyle name="Normal 5 2 3 2 2 4 3 2" xfId="10299"/>
    <cellStyle name="Normal 5 2 3 2 2 4 3 3" xfId="15838"/>
    <cellStyle name="Normal 5 2 3 2 2 4 4" xfId="5695"/>
    <cellStyle name="Normal 5 2 3 2 2 4 4 2" xfId="11234"/>
    <cellStyle name="Normal 5 2 3 2 2 4 4 3" xfId="16773"/>
    <cellStyle name="Normal 5 2 3 2 2 4 5" xfId="2397"/>
    <cellStyle name="Normal 5 2 3 2 2 4 5 2" xfId="7943"/>
    <cellStyle name="Normal 5 2 3 2 2 4 5 3" xfId="13482"/>
    <cellStyle name="Normal 5 2 3 2 2 4 6" xfId="6738"/>
    <cellStyle name="Normal 5 2 3 2 2 4 7" xfId="12277"/>
    <cellStyle name="Normal 5 2 3 2 2 5" xfId="811"/>
    <cellStyle name="Normal 5 2 3 2 2 5 2" xfId="3341"/>
    <cellStyle name="Normal 5 2 3 2 2 5 2 2" xfId="8883"/>
    <cellStyle name="Normal 5 2 3 2 2 5 2 3" xfId="14422"/>
    <cellStyle name="Normal 5 2 3 2 2 5 3" xfId="4378"/>
    <cellStyle name="Normal 5 2 3 2 2 5 3 2" xfId="9917"/>
    <cellStyle name="Normal 5 2 3 2 2 5 3 3" xfId="15456"/>
    <cellStyle name="Normal 5 2 3 2 2 5 4" xfId="5313"/>
    <cellStyle name="Normal 5 2 3 2 2 5 4 2" xfId="10852"/>
    <cellStyle name="Normal 5 2 3 2 2 5 4 3" xfId="16391"/>
    <cellStyle name="Normal 5 2 3 2 2 5 5" xfId="2015"/>
    <cellStyle name="Normal 5 2 3 2 2 5 5 2" xfId="7561"/>
    <cellStyle name="Normal 5 2 3 2 2 5 5 3" xfId="13100"/>
    <cellStyle name="Normal 5 2 3 2 2 5 6" xfId="6356"/>
    <cellStyle name="Normal 5 2 3 2 2 5 7" xfId="11895"/>
    <cellStyle name="Normal 5 2 3 2 2 6" xfId="1538"/>
    <cellStyle name="Normal 5 2 3 2 2 6 2" xfId="2743"/>
    <cellStyle name="Normal 5 2 3 2 2 6 2 2" xfId="8289"/>
    <cellStyle name="Normal 5 2 3 2 2 6 2 3" xfId="13828"/>
    <cellStyle name="Normal 5 2 3 2 2 6 3" xfId="7084"/>
    <cellStyle name="Normal 5 2 3 2 2 6 4" xfId="12623"/>
    <cellStyle name="Normal 5 2 3 2 2 7" xfId="2916"/>
    <cellStyle name="Normal 5 2 3 2 2 7 2" xfId="8460"/>
    <cellStyle name="Normal 5 2 3 2 2 7 3" xfId="13999"/>
    <cellStyle name="Normal 5 2 3 2 2 8" xfId="3031"/>
    <cellStyle name="Normal 5 2 3 2 2 8 2" xfId="8574"/>
    <cellStyle name="Normal 5 2 3 2 2 8 3" xfId="14113"/>
    <cellStyle name="Normal 5 2 3 2 2 9" xfId="4074"/>
    <cellStyle name="Normal 5 2 3 2 2 9 2" xfId="9615"/>
    <cellStyle name="Normal 5 2 3 2 2 9 3" xfId="15154"/>
    <cellStyle name="Normal 5 2 3 2 3" xfId="294"/>
    <cellStyle name="Normal 5 2 3 2 3 10" xfId="1682"/>
    <cellStyle name="Normal 5 2 3 2 3 10 2" xfId="7228"/>
    <cellStyle name="Normal 5 2 3 2 3 10 3" xfId="12767"/>
    <cellStyle name="Normal 5 2 3 2 3 11" xfId="6023"/>
    <cellStyle name="Normal 5 2 3 2 3 11 2" xfId="17101"/>
    <cellStyle name="Normal 5 2 3 2 3 12" xfId="667"/>
    <cellStyle name="Normal 5 2 3 2 3 12 2" xfId="17263"/>
    <cellStyle name="Normal 5 2 3 2 3 13" xfId="11562"/>
    <cellStyle name="Normal 5 2 3 2 3 14" xfId="17430"/>
    <cellStyle name="Normal 5 2 3 2 3 15" xfId="17595"/>
    <cellStyle name="Normal 5 2 3 2 3 2" xfId="295"/>
    <cellStyle name="Normal 5 2 3 2 3 2 10" xfId="6113"/>
    <cellStyle name="Normal 5 2 3 2 3 2 10 2" xfId="17191"/>
    <cellStyle name="Normal 5 2 3 2 3 2 11" xfId="757"/>
    <cellStyle name="Normal 5 2 3 2 3 2 11 2" xfId="17353"/>
    <cellStyle name="Normal 5 2 3 2 3 2 12" xfId="11652"/>
    <cellStyle name="Normal 5 2 3 2 3 2 13" xfId="17520"/>
    <cellStyle name="Normal 5 2 3 2 3 2 14" xfId="17685"/>
    <cellStyle name="Normal 5 2 3 2 3 2 2" xfId="494"/>
    <cellStyle name="Normal 5 2 3 2 3 2 2 2" xfId="1335"/>
    <cellStyle name="Normal 5 2 3 2 3 2 2 2 2" xfId="3867"/>
    <cellStyle name="Normal 5 2 3 2 3 2 2 2 2 2" xfId="9409"/>
    <cellStyle name="Normal 5 2 3 2 3 2 2 2 2 3" xfId="14948"/>
    <cellStyle name="Normal 5 2 3 2 3 2 2 2 3" xfId="4904"/>
    <cellStyle name="Normal 5 2 3 2 3 2 2 2 3 2" xfId="10443"/>
    <cellStyle name="Normal 5 2 3 2 3 2 2 2 3 3" xfId="15982"/>
    <cellStyle name="Normal 5 2 3 2 3 2 2 2 4" xfId="5838"/>
    <cellStyle name="Normal 5 2 3 2 3 2 2 2 4 2" xfId="11377"/>
    <cellStyle name="Normal 5 2 3 2 3 2 2 2 4 3" xfId="16916"/>
    <cellStyle name="Normal 5 2 3 2 3 2 2 2 5" xfId="2540"/>
    <cellStyle name="Normal 5 2 3 2 3 2 2 2 5 2" xfId="8086"/>
    <cellStyle name="Normal 5 2 3 2 3 2 2 2 5 3" xfId="13625"/>
    <cellStyle name="Normal 5 2 3 2 3 2 2 2 6" xfId="6881"/>
    <cellStyle name="Normal 5 2 3 2 3 2 2 2 7" xfId="12420"/>
    <cellStyle name="Normal 5 2 3 2 3 2 2 3" xfId="1088"/>
    <cellStyle name="Normal 5 2 3 2 3 2 2 3 2" xfId="3618"/>
    <cellStyle name="Normal 5 2 3 2 3 2 2 3 2 2" xfId="9160"/>
    <cellStyle name="Normal 5 2 3 2 3 2 2 3 2 3" xfId="14699"/>
    <cellStyle name="Normal 5 2 3 2 3 2 2 3 3" xfId="4655"/>
    <cellStyle name="Normal 5 2 3 2 3 2 2 3 3 2" xfId="10194"/>
    <cellStyle name="Normal 5 2 3 2 3 2 2 3 3 3" xfId="15733"/>
    <cellStyle name="Normal 5 2 3 2 3 2 2 3 4" xfId="5590"/>
    <cellStyle name="Normal 5 2 3 2 3 2 2 3 4 2" xfId="11129"/>
    <cellStyle name="Normal 5 2 3 2 3 2 2 3 4 3" xfId="16668"/>
    <cellStyle name="Normal 5 2 3 2 3 2 2 3 5" xfId="2292"/>
    <cellStyle name="Normal 5 2 3 2 3 2 2 3 5 2" xfId="7838"/>
    <cellStyle name="Normal 5 2 3 2 3 2 2 3 5 3" xfId="13377"/>
    <cellStyle name="Normal 5 2 3 2 3 2 2 3 6" xfId="6633"/>
    <cellStyle name="Normal 5 2 3 2 3 2 2 3 7" xfId="12172"/>
    <cellStyle name="Normal 5 2 3 2 3 2 2 4" xfId="3153"/>
    <cellStyle name="Normal 5 2 3 2 3 2 2 4 2" xfId="8695"/>
    <cellStyle name="Normal 5 2 3 2 3 2 2 4 3" xfId="14234"/>
    <cellStyle name="Normal 5 2 3 2 3 2 2 5" xfId="4192"/>
    <cellStyle name="Normal 5 2 3 2 3 2 2 5 2" xfId="9731"/>
    <cellStyle name="Normal 5 2 3 2 3 2 2 5 3" xfId="15270"/>
    <cellStyle name="Normal 5 2 3 2 3 2 2 6" xfId="5153"/>
    <cellStyle name="Normal 5 2 3 2 3 2 2 6 2" xfId="10692"/>
    <cellStyle name="Normal 5 2 3 2 3 2 2 6 3" xfId="16231"/>
    <cellStyle name="Normal 5 2 3 2 3 2 2 7" xfId="1855"/>
    <cellStyle name="Normal 5 2 3 2 3 2 2 7 2" xfId="7401"/>
    <cellStyle name="Normal 5 2 3 2 3 2 2 7 3" xfId="12940"/>
    <cellStyle name="Normal 5 2 3 2 3 2 2 8" xfId="6196"/>
    <cellStyle name="Normal 5 2 3 2 3 2 2 9" xfId="11735"/>
    <cellStyle name="Normal 5 2 3 2 3 2 3" xfId="1265"/>
    <cellStyle name="Normal 5 2 3 2 3 2 3 2" xfId="3795"/>
    <cellStyle name="Normal 5 2 3 2 3 2 3 2 2" xfId="9337"/>
    <cellStyle name="Normal 5 2 3 2 3 2 3 2 3" xfId="14876"/>
    <cellStyle name="Normal 5 2 3 2 3 2 3 3" xfId="4832"/>
    <cellStyle name="Normal 5 2 3 2 3 2 3 3 2" xfId="10371"/>
    <cellStyle name="Normal 5 2 3 2 3 2 3 3 3" xfId="15910"/>
    <cellStyle name="Normal 5 2 3 2 3 2 3 4" xfId="5767"/>
    <cellStyle name="Normal 5 2 3 2 3 2 3 4 2" xfId="11306"/>
    <cellStyle name="Normal 5 2 3 2 3 2 3 4 3" xfId="16845"/>
    <cellStyle name="Normal 5 2 3 2 3 2 3 5" xfId="2469"/>
    <cellStyle name="Normal 5 2 3 2 3 2 3 5 2" xfId="8015"/>
    <cellStyle name="Normal 5 2 3 2 3 2 3 5 3" xfId="13554"/>
    <cellStyle name="Normal 5 2 3 2 3 2 3 6" xfId="6810"/>
    <cellStyle name="Normal 5 2 3 2 3 2 3 7" xfId="12349"/>
    <cellStyle name="Normal 5 2 3 2 3 2 4" xfId="814"/>
    <cellStyle name="Normal 5 2 3 2 3 2 4 2" xfId="3344"/>
    <cellStyle name="Normal 5 2 3 2 3 2 4 2 2" xfId="8886"/>
    <cellStyle name="Normal 5 2 3 2 3 2 4 2 3" xfId="14425"/>
    <cellStyle name="Normal 5 2 3 2 3 2 4 3" xfId="4381"/>
    <cellStyle name="Normal 5 2 3 2 3 2 4 3 2" xfId="9920"/>
    <cellStyle name="Normal 5 2 3 2 3 2 4 3 3" xfId="15459"/>
    <cellStyle name="Normal 5 2 3 2 3 2 4 4" xfId="5316"/>
    <cellStyle name="Normal 5 2 3 2 3 2 4 4 2" xfId="10855"/>
    <cellStyle name="Normal 5 2 3 2 3 2 4 4 3" xfId="16394"/>
    <cellStyle name="Normal 5 2 3 2 3 2 4 5" xfId="2018"/>
    <cellStyle name="Normal 5 2 3 2 3 2 4 5 2" xfId="7564"/>
    <cellStyle name="Normal 5 2 3 2 3 2 4 5 3" xfId="13103"/>
    <cellStyle name="Normal 5 2 3 2 3 2 4 6" xfId="6359"/>
    <cellStyle name="Normal 5 2 3 2 3 2 4 7" xfId="11898"/>
    <cellStyle name="Normal 5 2 3 2 3 2 5" xfId="1610"/>
    <cellStyle name="Normal 5 2 3 2 3 2 5 2" xfId="2815"/>
    <cellStyle name="Normal 5 2 3 2 3 2 5 2 2" xfId="8361"/>
    <cellStyle name="Normal 5 2 3 2 3 2 5 2 3" xfId="13900"/>
    <cellStyle name="Normal 5 2 3 2 3 2 5 3" xfId="7156"/>
    <cellStyle name="Normal 5 2 3 2 3 2 5 4" xfId="12695"/>
    <cellStyle name="Normal 5 2 3 2 3 2 6" xfId="2988"/>
    <cellStyle name="Normal 5 2 3 2 3 2 6 2" xfId="8532"/>
    <cellStyle name="Normal 5 2 3 2 3 2 6 3" xfId="14071"/>
    <cellStyle name="Normal 5 2 3 2 3 2 7" xfId="4033"/>
    <cellStyle name="Normal 5 2 3 2 3 2 7 2" xfId="9575"/>
    <cellStyle name="Normal 5 2 3 2 3 2 7 3" xfId="15114"/>
    <cellStyle name="Normal 5 2 3 2 3 2 8" xfId="5070"/>
    <cellStyle name="Normal 5 2 3 2 3 2 8 2" xfId="10609"/>
    <cellStyle name="Normal 5 2 3 2 3 2 8 3" xfId="16148"/>
    <cellStyle name="Normal 5 2 3 2 3 2 9" xfId="1772"/>
    <cellStyle name="Normal 5 2 3 2 3 2 9 2" xfId="7318"/>
    <cellStyle name="Normal 5 2 3 2 3 2 9 3" xfId="12857"/>
    <cellStyle name="Normal 5 2 3 2 3 3" xfId="493"/>
    <cellStyle name="Normal 5 2 3 2 3 3 2" xfId="1334"/>
    <cellStyle name="Normal 5 2 3 2 3 3 2 2" xfId="3866"/>
    <cellStyle name="Normal 5 2 3 2 3 3 2 2 2" xfId="9408"/>
    <cellStyle name="Normal 5 2 3 2 3 3 2 2 3" xfId="14947"/>
    <cellStyle name="Normal 5 2 3 2 3 3 2 3" xfId="4903"/>
    <cellStyle name="Normal 5 2 3 2 3 3 2 3 2" xfId="10442"/>
    <cellStyle name="Normal 5 2 3 2 3 3 2 3 3" xfId="15981"/>
    <cellStyle name="Normal 5 2 3 2 3 3 2 4" xfId="5837"/>
    <cellStyle name="Normal 5 2 3 2 3 3 2 4 2" xfId="11376"/>
    <cellStyle name="Normal 5 2 3 2 3 3 2 4 3" xfId="16915"/>
    <cellStyle name="Normal 5 2 3 2 3 3 2 5" xfId="2539"/>
    <cellStyle name="Normal 5 2 3 2 3 3 2 5 2" xfId="8085"/>
    <cellStyle name="Normal 5 2 3 2 3 3 2 5 3" xfId="13624"/>
    <cellStyle name="Normal 5 2 3 2 3 3 2 6" xfId="6880"/>
    <cellStyle name="Normal 5 2 3 2 3 3 2 7" xfId="12419"/>
    <cellStyle name="Normal 5 2 3 2 3 3 3" xfId="998"/>
    <cellStyle name="Normal 5 2 3 2 3 3 3 2" xfId="3528"/>
    <cellStyle name="Normal 5 2 3 2 3 3 3 2 2" xfId="9070"/>
    <cellStyle name="Normal 5 2 3 2 3 3 3 2 3" xfId="14609"/>
    <cellStyle name="Normal 5 2 3 2 3 3 3 3" xfId="4565"/>
    <cellStyle name="Normal 5 2 3 2 3 3 3 3 2" xfId="10104"/>
    <cellStyle name="Normal 5 2 3 2 3 3 3 3 3" xfId="15643"/>
    <cellStyle name="Normal 5 2 3 2 3 3 3 4" xfId="5500"/>
    <cellStyle name="Normal 5 2 3 2 3 3 3 4 2" xfId="11039"/>
    <cellStyle name="Normal 5 2 3 2 3 3 3 4 3" xfId="16578"/>
    <cellStyle name="Normal 5 2 3 2 3 3 3 5" xfId="2202"/>
    <cellStyle name="Normal 5 2 3 2 3 3 3 5 2" xfId="7748"/>
    <cellStyle name="Normal 5 2 3 2 3 3 3 5 3" xfId="13287"/>
    <cellStyle name="Normal 5 2 3 2 3 3 3 6" xfId="6543"/>
    <cellStyle name="Normal 5 2 3 2 3 3 3 7" xfId="12082"/>
    <cellStyle name="Normal 5 2 3 2 3 3 4" xfId="3152"/>
    <cellStyle name="Normal 5 2 3 2 3 3 4 2" xfId="8694"/>
    <cellStyle name="Normal 5 2 3 2 3 3 4 3" xfId="14233"/>
    <cellStyle name="Normal 5 2 3 2 3 3 5" xfId="4191"/>
    <cellStyle name="Normal 5 2 3 2 3 3 5 2" xfId="9730"/>
    <cellStyle name="Normal 5 2 3 2 3 3 5 3" xfId="15269"/>
    <cellStyle name="Normal 5 2 3 2 3 3 6" xfId="5152"/>
    <cellStyle name="Normal 5 2 3 2 3 3 6 2" xfId="10691"/>
    <cellStyle name="Normal 5 2 3 2 3 3 6 3" xfId="16230"/>
    <cellStyle name="Normal 5 2 3 2 3 3 7" xfId="1854"/>
    <cellStyle name="Normal 5 2 3 2 3 3 7 2" xfId="7400"/>
    <cellStyle name="Normal 5 2 3 2 3 3 7 3" xfId="12939"/>
    <cellStyle name="Normal 5 2 3 2 3 3 8" xfId="6195"/>
    <cellStyle name="Normal 5 2 3 2 3 3 9" xfId="11734"/>
    <cellStyle name="Normal 5 2 3 2 3 4" xfId="1175"/>
    <cellStyle name="Normal 5 2 3 2 3 4 2" xfId="3705"/>
    <cellStyle name="Normal 5 2 3 2 3 4 2 2" xfId="9247"/>
    <cellStyle name="Normal 5 2 3 2 3 4 2 3" xfId="14786"/>
    <cellStyle name="Normal 5 2 3 2 3 4 3" xfId="4742"/>
    <cellStyle name="Normal 5 2 3 2 3 4 3 2" xfId="10281"/>
    <cellStyle name="Normal 5 2 3 2 3 4 3 3" xfId="15820"/>
    <cellStyle name="Normal 5 2 3 2 3 4 4" xfId="5677"/>
    <cellStyle name="Normal 5 2 3 2 3 4 4 2" xfId="11216"/>
    <cellStyle name="Normal 5 2 3 2 3 4 4 3" xfId="16755"/>
    <cellStyle name="Normal 5 2 3 2 3 4 5" xfId="2379"/>
    <cellStyle name="Normal 5 2 3 2 3 4 5 2" xfId="7925"/>
    <cellStyle name="Normal 5 2 3 2 3 4 5 3" xfId="13464"/>
    <cellStyle name="Normal 5 2 3 2 3 4 6" xfId="6720"/>
    <cellStyle name="Normal 5 2 3 2 3 4 7" xfId="12259"/>
    <cellStyle name="Normal 5 2 3 2 3 5" xfId="813"/>
    <cellStyle name="Normal 5 2 3 2 3 5 2" xfId="3343"/>
    <cellStyle name="Normal 5 2 3 2 3 5 2 2" xfId="8885"/>
    <cellStyle name="Normal 5 2 3 2 3 5 2 3" xfId="14424"/>
    <cellStyle name="Normal 5 2 3 2 3 5 3" xfId="4380"/>
    <cellStyle name="Normal 5 2 3 2 3 5 3 2" xfId="9919"/>
    <cellStyle name="Normal 5 2 3 2 3 5 3 3" xfId="15458"/>
    <cellStyle name="Normal 5 2 3 2 3 5 4" xfId="5315"/>
    <cellStyle name="Normal 5 2 3 2 3 5 4 2" xfId="10854"/>
    <cellStyle name="Normal 5 2 3 2 3 5 4 3" xfId="16393"/>
    <cellStyle name="Normal 5 2 3 2 3 5 5" xfId="2017"/>
    <cellStyle name="Normal 5 2 3 2 3 5 5 2" xfId="7563"/>
    <cellStyle name="Normal 5 2 3 2 3 5 5 3" xfId="13102"/>
    <cellStyle name="Normal 5 2 3 2 3 5 6" xfId="6358"/>
    <cellStyle name="Normal 5 2 3 2 3 5 7" xfId="11897"/>
    <cellStyle name="Normal 5 2 3 2 3 6" xfId="1520"/>
    <cellStyle name="Normal 5 2 3 2 3 6 2" xfId="2725"/>
    <cellStyle name="Normal 5 2 3 2 3 6 2 2" xfId="8271"/>
    <cellStyle name="Normal 5 2 3 2 3 6 2 3" xfId="13810"/>
    <cellStyle name="Normal 5 2 3 2 3 6 3" xfId="7066"/>
    <cellStyle name="Normal 5 2 3 2 3 6 4" xfId="12605"/>
    <cellStyle name="Normal 5 2 3 2 3 7" xfId="2898"/>
    <cellStyle name="Normal 5 2 3 2 3 7 2" xfId="8442"/>
    <cellStyle name="Normal 5 2 3 2 3 7 3" xfId="13981"/>
    <cellStyle name="Normal 5 2 3 2 3 8" xfId="3025"/>
    <cellStyle name="Normal 5 2 3 2 3 8 2" xfId="8569"/>
    <cellStyle name="Normal 5 2 3 2 3 8 3" xfId="14108"/>
    <cellStyle name="Normal 5 2 3 2 3 9" xfId="4069"/>
    <cellStyle name="Normal 5 2 3 2 3 9 2" xfId="9611"/>
    <cellStyle name="Normal 5 2 3 2 3 9 3" xfId="15150"/>
    <cellStyle name="Normal 5 2 3 2 4" xfId="296"/>
    <cellStyle name="Normal 5 2 3 2 4 10" xfId="1718"/>
    <cellStyle name="Normal 5 2 3 2 4 10 2" xfId="7264"/>
    <cellStyle name="Normal 5 2 3 2 4 10 3" xfId="12803"/>
    <cellStyle name="Normal 5 2 3 2 4 11" xfId="6059"/>
    <cellStyle name="Normal 5 2 3 2 4 11 2" xfId="17137"/>
    <cellStyle name="Normal 5 2 3 2 4 12" xfId="703"/>
    <cellStyle name="Normal 5 2 3 2 4 12 2" xfId="17299"/>
    <cellStyle name="Normal 5 2 3 2 4 13" xfId="11598"/>
    <cellStyle name="Normal 5 2 3 2 4 14" xfId="17466"/>
    <cellStyle name="Normal 5 2 3 2 4 15" xfId="17631"/>
    <cellStyle name="Normal 5 2 3 2 4 2" xfId="297"/>
    <cellStyle name="Normal 5 2 3 2 4 2 10" xfId="6095"/>
    <cellStyle name="Normal 5 2 3 2 4 2 10 2" xfId="17173"/>
    <cellStyle name="Normal 5 2 3 2 4 2 11" xfId="739"/>
    <cellStyle name="Normal 5 2 3 2 4 2 11 2" xfId="17335"/>
    <cellStyle name="Normal 5 2 3 2 4 2 12" xfId="11634"/>
    <cellStyle name="Normal 5 2 3 2 4 2 13" xfId="17502"/>
    <cellStyle name="Normal 5 2 3 2 4 2 14" xfId="17667"/>
    <cellStyle name="Normal 5 2 3 2 4 2 2" xfId="496"/>
    <cellStyle name="Normal 5 2 3 2 4 2 2 2" xfId="1337"/>
    <cellStyle name="Normal 5 2 3 2 4 2 2 2 2" xfId="3869"/>
    <cellStyle name="Normal 5 2 3 2 4 2 2 2 2 2" xfId="9411"/>
    <cellStyle name="Normal 5 2 3 2 4 2 2 2 2 3" xfId="14950"/>
    <cellStyle name="Normal 5 2 3 2 4 2 2 2 3" xfId="4906"/>
    <cellStyle name="Normal 5 2 3 2 4 2 2 2 3 2" xfId="10445"/>
    <cellStyle name="Normal 5 2 3 2 4 2 2 2 3 3" xfId="15984"/>
    <cellStyle name="Normal 5 2 3 2 4 2 2 2 4" xfId="5840"/>
    <cellStyle name="Normal 5 2 3 2 4 2 2 2 4 2" xfId="11379"/>
    <cellStyle name="Normal 5 2 3 2 4 2 2 2 4 3" xfId="16918"/>
    <cellStyle name="Normal 5 2 3 2 4 2 2 2 5" xfId="2542"/>
    <cellStyle name="Normal 5 2 3 2 4 2 2 2 5 2" xfId="8088"/>
    <cellStyle name="Normal 5 2 3 2 4 2 2 2 5 3" xfId="13627"/>
    <cellStyle name="Normal 5 2 3 2 4 2 2 2 6" xfId="6883"/>
    <cellStyle name="Normal 5 2 3 2 4 2 2 2 7" xfId="12422"/>
    <cellStyle name="Normal 5 2 3 2 4 2 2 3" xfId="1070"/>
    <cellStyle name="Normal 5 2 3 2 4 2 2 3 2" xfId="3600"/>
    <cellStyle name="Normal 5 2 3 2 4 2 2 3 2 2" xfId="9142"/>
    <cellStyle name="Normal 5 2 3 2 4 2 2 3 2 3" xfId="14681"/>
    <cellStyle name="Normal 5 2 3 2 4 2 2 3 3" xfId="4637"/>
    <cellStyle name="Normal 5 2 3 2 4 2 2 3 3 2" xfId="10176"/>
    <cellStyle name="Normal 5 2 3 2 4 2 2 3 3 3" xfId="15715"/>
    <cellStyle name="Normal 5 2 3 2 4 2 2 3 4" xfId="5572"/>
    <cellStyle name="Normal 5 2 3 2 4 2 2 3 4 2" xfId="11111"/>
    <cellStyle name="Normal 5 2 3 2 4 2 2 3 4 3" xfId="16650"/>
    <cellStyle name="Normal 5 2 3 2 4 2 2 3 5" xfId="2274"/>
    <cellStyle name="Normal 5 2 3 2 4 2 2 3 5 2" xfId="7820"/>
    <cellStyle name="Normal 5 2 3 2 4 2 2 3 5 3" xfId="13359"/>
    <cellStyle name="Normal 5 2 3 2 4 2 2 3 6" xfId="6615"/>
    <cellStyle name="Normal 5 2 3 2 4 2 2 3 7" xfId="12154"/>
    <cellStyle name="Normal 5 2 3 2 4 2 2 4" xfId="3155"/>
    <cellStyle name="Normal 5 2 3 2 4 2 2 4 2" xfId="8697"/>
    <cellStyle name="Normal 5 2 3 2 4 2 2 4 3" xfId="14236"/>
    <cellStyle name="Normal 5 2 3 2 4 2 2 5" xfId="4194"/>
    <cellStyle name="Normal 5 2 3 2 4 2 2 5 2" xfId="9733"/>
    <cellStyle name="Normal 5 2 3 2 4 2 2 5 3" xfId="15272"/>
    <cellStyle name="Normal 5 2 3 2 4 2 2 6" xfId="5155"/>
    <cellStyle name="Normal 5 2 3 2 4 2 2 6 2" xfId="10694"/>
    <cellStyle name="Normal 5 2 3 2 4 2 2 6 3" xfId="16233"/>
    <cellStyle name="Normal 5 2 3 2 4 2 2 7" xfId="1857"/>
    <cellStyle name="Normal 5 2 3 2 4 2 2 7 2" xfId="7403"/>
    <cellStyle name="Normal 5 2 3 2 4 2 2 7 3" xfId="12942"/>
    <cellStyle name="Normal 5 2 3 2 4 2 2 8" xfId="6198"/>
    <cellStyle name="Normal 5 2 3 2 4 2 2 9" xfId="11737"/>
    <cellStyle name="Normal 5 2 3 2 4 2 3" xfId="1247"/>
    <cellStyle name="Normal 5 2 3 2 4 2 3 2" xfId="3777"/>
    <cellStyle name="Normal 5 2 3 2 4 2 3 2 2" xfId="9319"/>
    <cellStyle name="Normal 5 2 3 2 4 2 3 2 3" xfId="14858"/>
    <cellStyle name="Normal 5 2 3 2 4 2 3 3" xfId="4814"/>
    <cellStyle name="Normal 5 2 3 2 4 2 3 3 2" xfId="10353"/>
    <cellStyle name="Normal 5 2 3 2 4 2 3 3 3" xfId="15892"/>
    <cellStyle name="Normal 5 2 3 2 4 2 3 4" xfId="5749"/>
    <cellStyle name="Normal 5 2 3 2 4 2 3 4 2" xfId="11288"/>
    <cellStyle name="Normal 5 2 3 2 4 2 3 4 3" xfId="16827"/>
    <cellStyle name="Normal 5 2 3 2 4 2 3 5" xfId="2451"/>
    <cellStyle name="Normal 5 2 3 2 4 2 3 5 2" xfId="7997"/>
    <cellStyle name="Normal 5 2 3 2 4 2 3 5 3" xfId="13536"/>
    <cellStyle name="Normal 5 2 3 2 4 2 3 6" xfId="6792"/>
    <cellStyle name="Normal 5 2 3 2 4 2 3 7" xfId="12331"/>
    <cellStyle name="Normal 5 2 3 2 4 2 4" xfId="816"/>
    <cellStyle name="Normal 5 2 3 2 4 2 4 2" xfId="3346"/>
    <cellStyle name="Normal 5 2 3 2 4 2 4 2 2" xfId="8888"/>
    <cellStyle name="Normal 5 2 3 2 4 2 4 2 3" xfId="14427"/>
    <cellStyle name="Normal 5 2 3 2 4 2 4 3" xfId="4383"/>
    <cellStyle name="Normal 5 2 3 2 4 2 4 3 2" xfId="9922"/>
    <cellStyle name="Normal 5 2 3 2 4 2 4 3 3" xfId="15461"/>
    <cellStyle name="Normal 5 2 3 2 4 2 4 4" xfId="5318"/>
    <cellStyle name="Normal 5 2 3 2 4 2 4 4 2" xfId="10857"/>
    <cellStyle name="Normal 5 2 3 2 4 2 4 4 3" xfId="16396"/>
    <cellStyle name="Normal 5 2 3 2 4 2 4 5" xfId="2020"/>
    <cellStyle name="Normal 5 2 3 2 4 2 4 5 2" xfId="7566"/>
    <cellStyle name="Normal 5 2 3 2 4 2 4 5 3" xfId="13105"/>
    <cellStyle name="Normal 5 2 3 2 4 2 4 6" xfId="6361"/>
    <cellStyle name="Normal 5 2 3 2 4 2 4 7" xfId="11900"/>
    <cellStyle name="Normal 5 2 3 2 4 2 5" xfId="1592"/>
    <cellStyle name="Normal 5 2 3 2 4 2 5 2" xfId="2797"/>
    <cellStyle name="Normal 5 2 3 2 4 2 5 2 2" xfId="8343"/>
    <cellStyle name="Normal 5 2 3 2 4 2 5 2 3" xfId="13882"/>
    <cellStyle name="Normal 5 2 3 2 4 2 5 3" xfId="7138"/>
    <cellStyle name="Normal 5 2 3 2 4 2 5 4" xfId="12677"/>
    <cellStyle name="Normal 5 2 3 2 4 2 6" xfId="2970"/>
    <cellStyle name="Normal 5 2 3 2 4 2 6 2" xfId="8514"/>
    <cellStyle name="Normal 5 2 3 2 4 2 6 3" xfId="14053"/>
    <cellStyle name="Normal 5 2 3 2 4 2 7" xfId="4015"/>
    <cellStyle name="Normal 5 2 3 2 4 2 7 2" xfId="9557"/>
    <cellStyle name="Normal 5 2 3 2 4 2 7 3" xfId="15096"/>
    <cellStyle name="Normal 5 2 3 2 4 2 8" xfId="5052"/>
    <cellStyle name="Normal 5 2 3 2 4 2 8 2" xfId="10591"/>
    <cellStyle name="Normal 5 2 3 2 4 2 8 3" xfId="16130"/>
    <cellStyle name="Normal 5 2 3 2 4 2 9" xfId="1754"/>
    <cellStyle name="Normal 5 2 3 2 4 2 9 2" xfId="7300"/>
    <cellStyle name="Normal 5 2 3 2 4 2 9 3" xfId="12839"/>
    <cellStyle name="Normal 5 2 3 2 4 3" xfId="495"/>
    <cellStyle name="Normal 5 2 3 2 4 3 2" xfId="1336"/>
    <cellStyle name="Normal 5 2 3 2 4 3 2 2" xfId="3868"/>
    <cellStyle name="Normal 5 2 3 2 4 3 2 2 2" xfId="9410"/>
    <cellStyle name="Normal 5 2 3 2 4 3 2 2 3" xfId="14949"/>
    <cellStyle name="Normal 5 2 3 2 4 3 2 3" xfId="4905"/>
    <cellStyle name="Normal 5 2 3 2 4 3 2 3 2" xfId="10444"/>
    <cellStyle name="Normal 5 2 3 2 4 3 2 3 3" xfId="15983"/>
    <cellStyle name="Normal 5 2 3 2 4 3 2 4" xfId="5839"/>
    <cellStyle name="Normal 5 2 3 2 4 3 2 4 2" xfId="11378"/>
    <cellStyle name="Normal 5 2 3 2 4 3 2 4 3" xfId="16917"/>
    <cellStyle name="Normal 5 2 3 2 4 3 2 5" xfId="2541"/>
    <cellStyle name="Normal 5 2 3 2 4 3 2 5 2" xfId="8087"/>
    <cellStyle name="Normal 5 2 3 2 4 3 2 5 3" xfId="13626"/>
    <cellStyle name="Normal 5 2 3 2 4 3 2 6" xfId="6882"/>
    <cellStyle name="Normal 5 2 3 2 4 3 2 7" xfId="12421"/>
    <cellStyle name="Normal 5 2 3 2 4 3 3" xfId="1034"/>
    <cellStyle name="Normal 5 2 3 2 4 3 3 2" xfId="3564"/>
    <cellStyle name="Normal 5 2 3 2 4 3 3 2 2" xfId="9106"/>
    <cellStyle name="Normal 5 2 3 2 4 3 3 2 3" xfId="14645"/>
    <cellStyle name="Normal 5 2 3 2 4 3 3 3" xfId="4601"/>
    <cellStyle name="Normal 5 2 3 2 4 3 3 3 2" xfId="10140"/>
    <cellStyle name="Normal 5 2 3 2 4 3 3 3 3" xfId="15679"/>
    <cellStyle name="Normal 5 2 3 2 4 3 3 4" xfId="5536"/>
    <cellStyle name="Normal 5 2 3 2 4 3 3 4 2" xfId="11075"/>
    <cellStyle name="Normal 5 2 3 2 4 3 3 4 3" xfId="16614"/>
    <cellStyle name="Normal 5 2 3 2 4 3 3 5" xfId="2238"/>
    <cellStyle name="Normal 5 2 3 2 4 3 3 5 2" xfId="7784"/>
    <cellStyle name="Normal 5 2 3 2 4 3 3 5 3" xfId="13323"/>
    <cellStyle name="Normal 5 2 3 2 4 3 3 6" xfId="6579"/>
    <cellStyle name="Normal 5 2 3 2 4 3 3 7" xfId="12118"/>
    <cellStyle name="Normal 5 2 3 2 4 3 4" xfId="3154"/>
    <cellStyle name="Normal 5 2 3 2 4 3 4 2" xfId="8696"/>
    <cellStyle name="Normal 5 2 3 2 4 3 4 3" xfId="14235"/>
    <cellStyle name="Normal 5 2 3 2 4 3 5" xfId="4193"/>
    <cellStyle name="Normal 5 2 3 2 4 3 5 2" xfId="9732"/>
    <cellStyle name="Normal 5 2 3 2 4 3 5 3" xfId="15271"/>
    <cellStyle name="Normal 5 2 3 2 4 3 6" xfId="5154"/>
    <cellStyle name="Normal 5 2 3 2 4 3 6 2" xfId="10693"/>
    <cellStyle name="Normal 5 2 3 2 4 3 6 3" xfId="16232"/>
    <cellStyle name="Normal 5 2 3 2 4 3 7" xfId="1856"/>
    <cellStyle name="Normal 5 2 3 2 4 3 7 2" xfId="7402"/>
    <cellStyle name="Normal 5 2 3 2 4 3 7 3" xfId="12941"/>
    <cellStyle name="Normal 5 2 3 2 4 3 8" xfId="6197"/>
    <cellStyle name="Normal 5 2 3 2 4 3 9" xfId="11736"/>
    <cellStyle name="Normal 5 2 3 2 4 4" xfId="1211"/>
    <cellStyle name="Normal 5 2 3 2 4 4 2" xfId="3741"/>
    <cellStyle name="Normal 5 2 3 2 4 4 2 2" xfId="9283"/>
    <cellStyle name="Normal 5 2 3 2 4 4 2 3" xfId="14822"/>
    <cellStyle name="Normal 5 2 3 2 4 4 3" xfId="4778"/>
    <cellStyle name="Normal 5 2 3 2 4 4 3 2" xfId="10317"/>
    <cellStyle name="Normal 5 2 3 2 4 4 3 3" xfId="15856"/>
    <cellStyle name="Normal 5 2 3 2 4 4 4" xfId="5713"/>
    <cellStyle name="Normal 5 2 3 2 4 4 4 2" xfId="11252"/>
    <cellStyle name="Normal 5 2 3 2 4 4 4 3" xfId="16791"/>
    <cellStyle name="Normal 5 2 3 2 4 4 5" xfId="2415"/>
    <cellStyle name="Normal 5 2 3 2 4 4 5 2" xfId="7961"/>
    <cellStyle name="Normal 5 2 3 2 4 4 5 3" xfId="13500"/>
    <cellStyle name="Normal 5 2 3 2 4 4 6" xfId="6756"/>
    <cellStyle name="Normal 5 2 3 2 4 4 7" xfId="12295"/>
    <cellStyle name="Normal 5 2 3 2 4 5" xfId="815"/>
    <cellStyle name="Normal 5 2 3 2 4 5 2" xfId="3345"/>
    <cellStyle name="Normal 5 2 3 2 4 5 2 2" xfId="8887"/>
    <cellStyle name="Normal 5 2 3 2 4 5 2 3" xfId="14426"/>
    <cellStyle name="Normal 5 2 3 2 4 5 3" xfId="4382"/>
    <cellStyle name="Normal 5 2 3 2 4 5 3 2" xfId="9921"/>
    <cellStyle name="Normal 5 2 3 2 4 5 3 3" xfId="15460"/>
    <cellStyle name="Normal 5 2 3 2 4 5 4" xfId="5317"/>
    <cellStyle name="Normal 5 2 3 2 4 5 4 2" xfId="10856"/>
    <cellStyle name="Normal 5 2 3 2 4 5 4 3" xfId="16395"/>
    <cellStyle name="Normal 5 2 3 2 4 5 5" xfId="2019"/>
    <cellStyle name="Normal 5 2 3 2 4 5 5 2" xfId="7565"/>
    <cellStyle name="Normal 5 2 3 2 4 5 5 3" xfId="13104"/>
    <cellStyle name="Normal 5 2 3 2 4 5 6" xfId="6360"/>
    <cellStyle name="Normal 5 2 3 2 4 5 7" xfId="11899"/>
    <cellStyle name="Normal 5 2 3 2 4 6" xfId="1556"/>
    <cellStyle name="Normal 5 2 3 2 4 6 2" xfId="2761"/>
    <cellStyle name="Normal 5 2 3 2 4 6 2 2" xfId="8307"/>
    <cellStyle name="Normal 5 2 3 2 4 6 2 3" xfId="13846"/>
    <cellStyle name="Normal 5 2 3 2 4 6 3" xfId="7102"/>
    <cellStyle name="Normal 5 2 3 2 4 6 4" xfId="12641"/>
    <cellStyle name="Normal 5 2 3 2 4 7" xfId="2934"/>
    <cellStyle name="Normal 5 2 3 2 4 7 2" xfId="8478"/>
    <cellStyle name="Normal 5 2 3 2 4 7 3" xfId="14017"/>
    <cellStyle name="Normal 5 2 3 2 4 8" xfId="3033"/>
    <cellStyle name="Normal 5 2 3 2 4 8 2" xfId="8576"/>
    <cellStyle name="Normal 5 2 3 2 4 8 3" xfId="14115"/>
    <cellStyle name="Normal 5 2 3 2 4 9" xfId="4076"/>
    <cellStyle name="Normal 5 2 3 2 4 9 2" xfId="9617"/>
    <cellStyle name="Normal 5 2 3 2 4 9 3" xfId="15156"/>
    <cellStyle name="Normal 5 2 3 2 5" xfId="298"/>
    <cellStyle name="Normal 5 2 3 2 5 10" xfId="6077"/>
    <cellStyle name="Normal 5 2 3 2 5 10 2" xfId="17155"/>
    <cellStyle name="Normal 5 2 3 2 5 11" xfId="721"/>
    <cellStyle name="Normal 5 2 3 2 5 11 2" xfId="17317"/>
    <cellStyle name="Normal 5 2 3 2 5 12" xfId="11616"/>
    <cellStyle name="Normal 5 2 3 2 5 13" xfId="17484"/>
    <cellStyle name="Normal 5 2 3 2 5 14" xfId="17649"/>
    <cellStyle name="Normal 5 2 3 2 5 2" xfId="497"/>
    <cellStyle name="Normal 5 2 3 2 5 2 2" xfId="1338"/>
    <cellStyle name="Normal 5 2 3 2 5 2 2 2" xfId="3870"/>
    <cellStyle name="Normal 5 2 3 2 5 2 2 2 2" xfId="9412"/>
    <cellStyle name="Normal 5 2 3 2 5 2 2 2 3" xfId="14951"/>
    <cellStyle name="Normal 5 2 3 2 5 2 2 3" xfId="4907"/>
    <cellStyle name="Normal 5 2 3 2 5 2 2 3 2" xfId="10446"/>
    <cellStyle name="Normal 5 2 3 2 5 2 2 3 3" xfId="15985"/>
    <cellStyle name="Normal 5 2 3 2 5 2 2 4" xfId="5841"/>
    <cellStyle name="Normal 5 2 3 2 5 2 2 4 2" xfId="11380"/>
    <cellStyle name="Normal 5 2 3 2 5 2 2 4 3" xfId="16919"/>
    <cellStyle name="Normal 5 2 3 2 5 2 2 5" xfId="2543"/>
    <cellStyle name="Normal 5 2 3 2 5 2 2 5 2" xfId="8089"/>
    <cellStyle name="Normal 5 2 3 2 5 2 2 5 3" xfId="13628"/>
    <cellStyle name="Normal 5 2 3 2 5 2 2 6" xfId="6884"/>
    <cellStyle name="Normal 5 2 3 2 5 2 2 7" xfId="12423"/>
    <cellStyle name="Normal 5 2 3 2 5 2 3" xfId="1052"/>
    <cellStyle name="Normal 5 2 3 2 5 2 3 2" xfId="3582"/>
    <cellStyle name="Normal 5 2 3 2 5 2 3 2 2" xfId="9124"/>
    <cellStyle name="Normal 5 2 3 2 5 2 3 2 3" xfId="14663"/>
    <cellStyle name="Normal 5 2 3 2 5 2 3 3" xfId="4619"/>
    <cellStyle name="Normal 5 2 3 2 5 2 3 3 2" xfId="10158"/>
    <cellStyle name="Normal 5 2 3 2 5 2 3 3 3" xfId="15697"/>
    <cellStyle name="Normal 5 2 3 2 5 2 3 4" xfId="5554"/>
    <cellStyle name="Normal 5 2 3 2 5 2 3 4 2" xfId="11093"/>
    <cellStyle name="Normal 5 2 3 2 5 2 3 4 3" xfId="16632"/>
    <cellStyle name="Normal 5 2 3 2 5 2 3 5" xfId="2256"/>
    <cellStyle name="Normal 5 2 3 2 5 2 3 5 2" xfId="7802"/>
    <cellStyle name="Normal 5 2 3 2 5 2 3 5 3" xfId="13341"/>
    <cellStyle name="Normal 5 2 3 2 5 2 3 6" xfId="6597"/>
    <cellStyle name="Normal 5 2 3 2 5 2 3 7" xfId="12136"/>
    <cellStyle name="Normal 5 2 3 2 5 2 4" xfId="3156"/>
    <cellStyle name="Normal 5 2 3 2 5 2 4 2" xfId="8698"/>
    <cellStyle name="Normal 5 2 3 2 5 2 4 3" xfId="14237"/>
    <cellStyle name="Normal 5 2 3 2 5 2 5" xfId="4195"/>
    <cellStyle name="Normal 5 2 3 2 5 2 5 2" xfId="9734"/>
    <cellStyle name="Normal 5 2 3 2 5 2 5 3" xfId="15273"/>
    <cellStyle name="Normal 5 2 3 2 5 2 6" xfId="5156"/>
    <cellStyle name="Normal 5 2 3 2 5 2 6 2" xfId="10695"/>
    <cellStyle name="Normal 5 2 3 2 5 2 6 3" xfId="16234"/>
    <cellStyle name="Normal 5 2 3 2 5 2 7" xfId="1858"/>
    <cellStyle name="Normal 5 2 3 2 5 2 7 2" xfId="7404"/>
    <cellStyle name="Normal 5 2 3 2 5 2 7 3" xfId="12943"/>
    <cellStyle name="Normal 5 2 3 2 5 2 8" xfId="6199"/>
    <cellStyle name="Normal 5 2 3 2 5 2 9" xfId="11738"/>
    <cellStyle name="Normal 5 2 3 2 5 3" xfId="1229"/>
    <cellStyle name="Normal 5 2 3 2 5 3 2" xfId="3759"/>
    <cellStyle name="Normal 5 2 3 2 5 3 2 2" xfId="9301"/>
    <cellStyle name="Normal 5 2 3 2 5 3 2 3" xfId="14840"/>
    <cellStyle name="Normal 5 2 3 2 5 3 3" xfId="4796"/>
    <cellStyle name="Normal 5 2 3 2 5 3 3 2" xfId="10335"/>
    <cellStyle name="Normal 5 2 3 2 5 3 3 3" xfId="15874"/>
    <cellStyle name="Normal 5 2 3 2 5 3 4" xfId="5731"/>
    <cellStyle name="Normal 5 2 3 2 5 3 4 2" xfId="11270"/>
    <cellStyle name="Normal 5 2 3 2 5 3 4 3" xfId="16809"/>
    <cellStyle name="Normal 5 2 3 2 5 3 5" xfId="2433"/>
    <cellStyle name="Normal 5 2 3 2 5 3 5 2" xfId="7979"/>
    <cellStyle name="Normal 5 2 3 2 5 3 5 3" xfId="13518"/>
    <cellStyle name="Normal 5 2 3 2 5 3 6" xfId="6774"/>
    <cellStyle name="Normal 5 2 3 2 5 3 7" xfId="12313"/>
    <cellStyle name="Normal 5 2 3 2 5 4" xfId="817"/>
    <cellStyle name="Normal 5 2 3 2 5 4 2" xfId="3347"/>
    <cellStyle name="Normal 5 2 3 2 5 4 2 2" xfId="8889"/>
    <cellStyle name="Normal 5 2 3 2 5 4 2 3" xfId="14428"/>
    <cellStyle name="Normal 5 2 3 2 5 4 3" xfId="4384"/>
    <cellStyle name="Normal 5 2 3 2 5 4 3 2" xfId="9923"/>
    <cellStyle name="Normal 5 2 3 2 5 4 3 3" xfId="15462"/>
    <cellStyle name="Normal 5 2 3 2 5 4 4" xfId="5319"/>
    <cellStyle name="Normal 5 2 3 2 5 4 4 2" xfId="10858"/>
    <cellStyle name="Normal 5 2 3 2 5 4 4 3" xfId="16397"/>
    <cellStyle name="Normal 5 2 3 2 5 4 5" xfId="2021"/>
    <cellStyle name="Normal 5 2 3 2 5 4 5 2" xfId="7567"/>
    <cellStyle name="Normal 5 2 3 2 5 4 5 3" xfId="13106"/>
    <cellStyle name="Normal 5 2 3 2 5 4 6" xfId="6362"/>
    <cellStyle name="Normal 5 2 3 2 5 4 7" xfId="11901"/>
    <cellStyle name="Normal 5 2 3 2 5 5" xfId="1574"/>
    <cellStyle name="Normal 5 2 3 2 5 5 2" xfId="2779"/>
    <cellStyle name="Normal 5 2 3 2 5 5 2 2" xfId="8325"/>
    <cellStyle name="Normal 5 2 3 2 5 5 2 3" xfId="13864"/>
    <cellStyle name="Normal 5 2 3 2 5 5 3" xfId="7120"/>
    <cellStyle name="Normal 5 2 3 2 5 5 4" xfId="12659"/>
    <cellStyle name="Normal 5 2 3 2 5 6" xfId="2952"/>
    <cellStyle name="Normal 5 2 3 2 5 6 2" xfId="8496"/>
    <cellStyle name="Normal 5 2 3 2 5 6 3" xfId="14035"/>
    <cellStyle name="Normal 5 2 3 2 5 7" xfId="3066"/>
    <cellStyle name="Normal 5 2 3 2 5 7 2" xfId="8609"/>
    <cellStyle name="Normal 5 2 3 2 5 7 3" xfId="14148"/>
    <cellStyle name="Normal 5 2 3 2 5 8" xfId="4109"/>
    <cellStyle name="Normal 5 2 3 2 5 8 2" xfId="9650"/>
    <cellStyle name="Normal 5 2 3 2 5 8 3" xfId="15189"/>
    <cellStyle name="Normal 5 2 3 2 5 9" xfId="1736"/>
    <cellStyle name="Normal 5 2 3 2 5 9 2" xfId="7282"/>
    <cellStyle name="Normal 5 2 3 2 5 9 3" xfId="12821"/>
    <cellStyle name="Normal 5 2 3 2 6" xfId="299"/>
    <cellStyle name="Normal 5 2 3 2 6 10" xfId="6005"/>
    <cellStyle name="Normal 5 2 3 2 6 10 2" xfId="17083"/>
    <cellStyle name="Normal 5 2 3 2 6 11" xfId="649"/>
    <cellStyle name="Normal 5 2 3 2 6 11 2" xfId="17245"/>
    <cellStyle name="Normal 5 2 3 2 6 12" xfId="11544"/>
    <cellStyle name="Normal 5 2 3 2 6 13" xfId="17412"/>
    <cellStyle name="Normal 5 2 3 2 6 14" xfId="17577"/>
    <cellStyle name="Normal 5 2 3 2 6 2" xfId="498"/>
    <cellStyle name="Normal 5 2 3 2 6 2 2" xfId="1339"/>
    <cellStyle name="Normal 5 2 3 2 6 2 2 2" xfId="3871"/>
    <cellStyle name="Normal 5 2 3 2 6 2 2 2 2" xfId="9413"/>
    <cellStyle name="Normal 5 2 3 2 6 2 2 2 3" xfId="14952"/>
    <cellStyle name="Normal 5 2 3 2 6 2 2 3" xfId="4908"/>
    <cellStyle name="Normal 5 2 3 2 6 2 2 3 2" xfId="10447"/>
    <cellStyle name="Normal 5 2 3 2 6 2 2 3 3" xfId="15986"/>
    <cellStyle name="Normal 5 2 3 2 6 2 2 4" xfId="5842"/>
    <cellStyle name="Normal 5 2 3 2 6 2 2 4 2" xfId="11381"/>
    <cellStyle name="Normal 5 2 3 2 6 2 2 4 3" xfId="16920"/>
    <cellStyle name="Normal 5 2 3 2 6 2 2 5" xfId="2544"/>
    <cellStyle name="Normal 5 2 3 2 6 2 2 5 2" xfId="8090"/>
    <cellStyle name="Normal 5 2 3 2 6 2 2 5 3" xfId="13629"/>
    <cellStyle name="Normal 5 2 3 2 6 2 2 6" xfId="6885"/>
    <cellStyle name="Normal 5 2 3 2 6 2 2 7" xfId="12424"/>
    <cellStyle name="Normal 5 2 3 2 6 2 3" xfId="980"/>
    <cellStyle name="Normal 5 2 3 2 6 2 3 2" xfId="3510"/>
    <cellStyle name="Normal 5 2 3 2 6 2 3 2 2" xfId="9052"/>
    <cellStyle name="Normal 5 2 3 2 6 2 3 2 3" xfId="14591"/>
    <cellStyle name="Normal 5 2 3 2 6 2 3 3" xfId="4547"/>
    <cellStyle name="Normal 5 2 3 2 6 2 3 3 2" xfId="10086"/>
    <cellStyle name="Normal 5 2 3 2 6 2 3 3 3" xfId="15625"/>
    <cellStyle name="Normal 5 2 3 2 6 2 3 4" xfId="5482"/>
    <cellStyle name="Normal 5 2 3 2 6 2 3 4 2" xfId="11021"/>
    <cellStyle name="Normal 5 2 3 2 6 2 3 4 3" xfId="16560"/>
    <cellStyle name="Normal 5 2 3 2 6 2 3 5" xfId="2184"/>
    <cellStyle name="Normal 5 2 3 2 6 2 3 5 2" xfId="7730"/>
    <cellStyle name="Normal 5 2 3 2 6 2 3 5 3" xfId="13269"/>
    <cellStyle name="Normal 5 2 3 2 6 2 3 6" xfId="6525"/>
    <cellStyle name="Normal 5 2 3 2 6 2 3 7" xfId="12064"/>
    <cellStyle name="Normal 5 2 3 2 6 2 4" xfId="3157"/>
    <cellStyle name="Normal 5 2 3 2 6 2 4 2" xfId="8699"/>
    <cellStyle name="Normal 5 2 3 2 6 2 4 3" xfId="14238"/>
    <cellStyle name="Normal 5 2 3 2 6 2 5" xfId="4196"/>
    <cellStyle name="Normal 5 2 3 2 6 2 5 2" xfId="9735"/>
    <cellStyle name="Normal 5 2 3 2 6 2 5 3" xfId="15274"/>
    <cellStyle name="Normal 5 2 3 2 6 2 6" xfId="5157"/>
    <cellStyle name="Normal 5 2 3 2 6 2 6 2" xfId="10696"/>
    <cellStyle name="Normal 5 2 3 2 6 2 6 3" xfId="16235"/>
    <cellStyle name="Normal 5 2 3 2 6 2 7" xfId="1859"/>
    <cellStyle name="Normal 5 2 3 2 6 2 7 2" xfId="7405"/>
    <cellStyle name="Normal 5 2 3 2 6 2 7 3" xfId="12944"/>
    <cellStyle name="Normal 5 2 3 2 6 2 8" xfId="6200"/>
    <cellStyle name="Normal 5 2 3 2 6 2 9" xfId="11739"/>
    <cellStyle name="Normal 5 2 3 2 6 3" xfId="1157"/>
    <cellStyle name="Normal 5 2 3 2 6 3 2" xfId="3687"/>
    <cellStyle name="Normal 5 2 3 2 6 3 2 2" xfId="9229"/>
    <cellStyle name="Normal 5 2 3 2 6 3 2 3" xfId="14768"/>
    <cellStyle name="Normal 5 2 3 2 6 3 3" xfId="4724"/>
    <cellStyle name="Normal 5 2 3 2 6 3 3 2" xfId="10263"/>
    <cellStyle name="Normal 5 2 3 2 6 3 3 3" xfId="15802"/>
    <cellStyle name="Normal 5 2 3 2 6 3 4" xfId="5659"/>
    <cellStyle name="Normal 5 2 3 2 6 3 4 2" xfId="11198"/>
    <cellStyle name="Normal 5 2 3 2 6 3 4 3" xfId="16737"/>
    <cellStyle name="Normal 5 2 3 2 6 3 5" xfId="2361"/>
    <cellStyle name="Normal 5 2 3 2 6 3 5 2" xfId="7907"/>
    <cellStyle name="Normal 5 2 3 2 6 3 5 3" xfId="13446"/>
    <cellStyle name="Normal 5 2 3 2 6 3 6" xfId="6702"/>
    <cellStyle name="Normal 5 2 3 2 6 3 7" xfId="12241"/>
    <cellStyle name="Normal 5 2 3 2 6 4" xfId="818"/>
    <cellStyle name="Normal 5 2 3 2 6 4 2" xfId="3348"/>
    <cellStyle name="Normal 5 2 3 2 6 4 2 2" xfId="8890"/>
    <cellStyle name="Normal 5 2 3 2 6 4 2 3" xfId="14429"/>
    <cellStyle name="Normal 5 2 3 2 6 4 3" xfId="4385"/>
    <cellStyle name="Normal 5 2 3 2 6 4 3 2" xfId="9924"/>
    <cellStyle name="Normal 5 2 3 2 6 4 3 3" xfId="15463"/>
    <cellStyle name="Normal 5 2 3 2 6 4 4" xfId="5320"/>
    <cellStyle name="Normal 5 2 3 2 6 4 4 2" xfId="10859"/>
    <cellStyle name="Normal 5 2 3 2 6 4 4 3" xfId="16398"/>
    <cellStyle name="Normal 5 2 3 2 6 4 5" xfId="2022"/>
    <cellStyle name="Normal 5 2 3 2 6 4 5 2" xfId="7568"/>
    <cellStyle name="Normal 5 2 3 2 6 4 5 3" xfId="13107"/>
    <cellStyle name="Normal 5 2 3 2 6 4 6" xfId="6363"/>
    <cellStyle name="Normal 5 2 3 2 6 4 7" xfId="11902"/>
    <cellStyle name="Normal 5 2 3 2 6 5" xfId="1502"/>
    <cellStyle name="Normal 5 2 3 2 6 5 2" xfId="2707"/>
    <cellStyle name="Normal 5 2 3 2 6 5 2 2" xfId="8253"/>
    <cellStyle name="Normal 5 2 3 2 6 5 2 3" xfId="13792"/>
    <cellStyle name="Normal 5 2 3 2 6 5 3" xfId="7048"/>
    <cellStyle name="Normal 5 2 3 2 6 5 4" xfId="12587"/>
    <cellStyle name="Normal 5 2 3 2 6 6" xfId="2880"/>
    <cellStyle name="Normal 5 2 3 2 6 6 2" xfId="8424"/>
    <cellStyle name="Normal 5 2 3 2 6 6 3" xfId="13963"/>
    <cellStyle name="Normal 5 2 3 2 6 7" xfId="3013"/>
    <cellStyle name="Normal 5 2 3 2 6 7 2" xfId="8557"/>
    <cellStyle name="Normal 5 2 3 2 6 7 3" xfId="14096"/>
    <cellStyle name="Normal 5 2 3 2 6 8" xfId="4058"/>
    <cellStyle name="Normal 5 2 3 2 6 8 2" xfId="9600"/>
    <cellStyle name="Normal 5 2 3 2 6 8 3" xfId="15139"/>
    <cellStyle name="Normal 5 2 3 2 6 9" xfId="1664"/>
    <cellStyle name="Normal 5 2 3 2 6 9 2" xfId="7210"/>
    <cellStyle name="Normal 5 2 3 2 6 9 3" xfId="12749"/>
    <cellStyle name="Normal 5 2 3 2 7" xfId="456"/>
    <cellStyle name="Normal 5 2 3 2 7 2" xfId="1298"/>
    <cellStyle name="Normal 5 2 3 2 7 2 2" xfId="3829"/>
    <cellStyle name="Normal 5 2 3 2 7 2 2 2" xfId="9371"/>
    <cellStyle name="Normal 5 2 3 2 7 2 2 3" xfId="14910"/>
    <cellStyle name="Normal 5 2 3 2 7 2 3" xfId="4866"/>
    <cellStyle name="Normal 5 2 3 2 7 2 3 2" xfId="10405"/>
    <cellStyle name="Normal 5 2 3 2 7 2 3 3" xfId="15944"/>
    <cellStyle name="Normal 5 2 3 2 7 2 4" xfId="5801"/>
    <cellStyle name="Normal 5 2 3 2 7 2 4 2" xfId="11340"/>
    <cellStyle name="Normal 5 2 3 2 7 2 4 3" xfId="16879"/>
    <cellStyle name="Normal 5 2 3 2 7 2 5" xfId="2503"/>
    <cellStyle name="Normal 5 2 3 2 7 2 5 2" xfId="8049"/>
    <cellStyle name="Normal 5 2 3 2 7 2 5 3" xfId="13588"/>
    <cellStyle name="Normal 5 2 3 2 7 2 6" xfId="6844"/>
    <cellStyle name="Normal 5 2 3 2 7 2 7" xfId="12383"/>
    <cellStyle name="Normal 5 2 3 2 7 3" xfId="962"/>
    <cellStyle name="Normal 5 2 3 2 7 3 2" xfId="3492"/>
    <cellStyle name="Normal 5 2 3 2 7 3 2 2" xfId="9034"/>
    <cellStyle name="Normal 5 2 3 2 7 3 2 3" xfId="14573"/>
    <cellStyle name="Normal 5 2 3 2 7 3 3" xfId="4529"/>
    <cellStyle name="Normal 5 2 3 2 7 3 3 2" xfId="10068"/>
    <cellStyle name="Normal 5 2 3 2 7 3 3 3" xfId="15607"/>
    <cellStyle name="Normal 5 2 3 2 7 3 4" xfId="5464"/>
    <cellStyle name="Normal 5 2 3 2 7 3 4 2" xfId="11003"/>
    <cellStyle name="Normal 5 2 3 2 7 3 4 3" xfId="16542"/>
    <cellStyle name="Normal 5 2 3 2 7 3 5" xfId="2166"/>
    <cellStyle name="Normal 5 2 3 2 7 3 5 2" xfId="7712"/>
    <cellStyle name="Normal 5 2 3 2 7 3 5 3" xfId="13251"/>
    <cellStyle name="Normal 5 2 3 2 7 3 6" xfId="6507"/>
    <cellStyle name="Normal 5 2 3 2 7 3 7" xfId="12046"/>
    <cellStyle name="Normal 5 2 3 2 7 4" xfId="3106"/>
    <cellStyle name="Normal 5 2 3 2 7 4 2" xfId="8649"/>
    <cellStyle name="Normal 5 2 3 2 7 4 3" xfId="14188"/>
    <cellStyle name="Normal 5 2 3 2 7 5" xfId="4149"/>
    <cellStyle name="Normal 5 2 3 2 7 5 2" xfId="9690"/>
    <cellStyle name="Normal 5 2 3 2 7 5 3" xfId="15229"/>
    <cellStyle name="Normal 5 2 3 2 7 6" xfId="5116"/>
    <cellStyle name="Normal 5 2 3 2 7 6 2" xfId="10655"/>
    <cellStyle name="Normal 5 2 3 2 7 6 3" xfId="16194"/>
    <cellStyle name="Normal 5 2 3 2 7 7" xfId="1818"/>
    <cellStyle name="Normal 5 2 3 2 7 7 2" xfId="7364"/>
    <cellStyle name="Normal 5 2 3 2 7 7 3" xfId="12903"/>
    <cellStyle name="Normal 5 2 3 2 7 8" xfId="6159"/>
    <cellStyle name="Normal 5 2 3 2 7 9" xfId="11698"/>
    <cellStyle name="Normal 5 2 3 2 8" xfId="1139"/>
    <cellStyle name="Normal 5 2 3 2 8 2" xfId="3669"/>
    <cellStyle name="Normal 5 2 3 2 8 2 2" xfId="9211"/>
    <cellStyle name="Normal 5 2 3 2 8 2 3" xfId="14750"/>
    <cellStyle name="Normal 5 2 3 2 8 3" xfId="4706"/>
    <cellStyle name="Normal 5 2 3 2 8 3 2" xfId="10245"/>
    <cellStyle name="Normal 5 2 3 2 8 3 3" xfId="15784"/>
    <cellStyle name="Normal 5 2 3 2 8 4" xfId="5641"/>
    <cellStyle name="Normal 5 2 3 2 8 4 2" xfId="11180"/>
    <cellStyle name="Normal 5 2 3 2 8 4 3" xfId="16719"/>
    <cellStyle name="Normal 5 2 3 2 8 5" xfId="2343"/>
    <cellStyle name="Normal 5 2 3 2 8 5 2" xfId="7889"/>
    <cellStyle name="Normal 5 2 3 2 8 5 3" xfId="13428"/>
    <cellStyle name="Normal 5 2 3 2 8 6" xfId="6684"/>
    <cellStyle name="Normal 5 2 3 2 8 7" xfId="12223"/>
    <cellStyle name="Normal 5 2 3 2 9" xfId="810"/>
    <cellStyle name="Normal 5 2 3 2 9 2" xfId="3340"/>
    <cellStyle name="Normal 5 2 3 2 9 2 2" xfId="8882"/>
    <cellStyle name="Normal 5 2 3 2 9 2 3" xfId="14421"/>
    <cellStyle name="Normal 5 2 3 2 9 3" xfId="4377"/>
    <cellStyle name="Normal 5 2 3 2 9 3 2" xfId="9916"/>
    <cellStyle name="Normal 5 2 3 2 9 3 3" xfId="15455"/>
    <cellStyle name="Normal 5 2 3 2 9 4" xfId="5312"/>
    <cellStyle name="Normal 5 2 3 2 9 4 2" xfId="10851"/>
    <cellStyle name="Normal 5 2 3 2 9 4 3" xfId="16390"/>
    <cellStyle name="Normal 5 2 3 2 9 5" xfId="2014"/>
    <cellStyle name="Normal 5 2 3 2 9 5 2" xfId="7560"/>
    <cellStyle name="Normal 5 2 3 2 9 5 3" xfId="13099"/>
    <cellStyle name="Normal 5 2 3 2 9 6" xfId="6355"/>
    <cellStyle name="Normal 5 2 3 2 9 7" xfId="11894"/>
    <cellStyle name="Normal 5 2 3 20" xfId="17551"/>
    <cellStyle name="Normal 5 2 3 3" xfId="300"/>
    <cellStyle name="Normal 5 2 3 3 10" xfId="1692"/>
    <cellStyle name="Normal 5 2 3 3 10 2" xfId="7238"/>
    <cellStyle name="Normal 5 2 3 3 10 3" xfId="12777"/>
    <cellStyle name="Normal 5 2 3 3 11" xfId="6033"/>
    <cellStyle name="Normal 5 2 3 3 11 2" xfId="17111"/>
    <cellStyle name="Normal 5 2 3 3 12" xfId="677"/>
    <cellStyle name="Normal 5 2 3 3 12 2" xfId="17273"/>
    <cellStyle name="Normal 5 2 3 3 13" xfId="11572"/>
    <cellStyle name="Normal 5 2 3 3 14" xfId="17440"/>
    <cellStyle name="Normal 5 2 3 3 15" xfId="17605"/>
    <cellStyle name="Normal 5 2 3 3 2" xfId="301"/>
    <cellStyle name="Normal 5 2 3 3 2 10" xfId="6123"/>
    <cellStyle name="Normal 5 2 3 3 2 10 2" xfId="17201"/>
    <cellStyle name="Normal 5 2 3 3 2 11" xfId="767"/>
    <cellStyle name="Normal 5 2 3 3 2 11 2" xfId="17363"/>
    <cellStyle name="Normal 5 2 3 3 2 12" xfId="11662"/>
    <cellStyle name="Normal 5 2 3 3 2 13" xfId="17530"/>
    <cellStyle name="Normal 5 2 3 3 2 14" xfId="17695"/>
    <cellStyle name="Normal 5 2 3 3 2 2" xfId="500"/>
    <cellStyle name="Normal 5 2 3 3 2 2 2" xfId="1341"/>
    <cellStyle name="Normal 5 2 3 3 2 2 2 2" xfId="3873"/>
    <cellStyle name="Normal 5 2 3 3 2 2 2 2 2" xfId="9415"/>
    <cellStyle name="Normal 5 2 3 3 2 2 2 2 3" xfId="14954"/>
    <cellStyle name="Normal 5 2 3 3 2 2 2 3" xfId="4910"/>
    <cellStyle name="Normal 5 2 3 3 2 2 2 3 2" xfId="10449"/>
    <cellStyle name="Normal 5 2 3 3 2 2 2 3 3" xfId="15988"/>
    <cellStyle name="Normal 5 2 3 3 2 2 2 4" xfId="5844"/>
    <cellStyle name="Normal 5 2 3 3 2 2 2 4 2" xfId="11383"/>
    <cellStyle name="Normal 5 2 3 3 2 2 2 4 3" xfId="16922"/>
    <cellStyle name="Normal 5 2 3 3 2 2 2 5" xfId="2546"/>
    <cellStyle name="Normal 5 2 3 3 2 2 2 5 2" xfId="8092"/>
    <cellStyle name="Normal 5 2 3 3 2 2 2 5 3" xfId="13631"/>
    <cellStyle name="Normal 5 2 3 3 2 2 2 6" xfId="6887"/>
    <cellStyle name="Normal 5 2 3 3 2 2 2 7" xfId="12426"/>
    <cellStyle name="Normal 5 2 3 3 2 2 3" xfId="1098"/>
    <cellStyle name="Normal 5 2 3 3 2 2 3 2" xfId="3628"/>
    <cellStyle name="Normal 5 2 3 3 2 2 3 2 2" xfId="9170"/>
    <cellStyle name="Normal 5 2 3 3 2 2 3 2 3" xfId="14709"/>
    <cellStyle name="Normal 5 2 3 3 2 2 3 3" xfId="4665"/>
    <cellStyle name="Normal 5 2 3 3 2 2 3 3 2" xfId="10204"/>
    <cellStyle name="Normal 5 2 3 3 2 2 3 3 3" xfId="15743"/>
    <cellStyle name="Normal 5 2 3 3 2 2 3 4" xfId="5600"/>
    <cellStyle name="Normal 5 2 3 3 2 2 3 4 2" xfId="11139"/>
    <cellStyle name="Normal 5 2 3 3 2 2 3 4 3" xfId="16678"/>
    <cellStyle name="Normal 5 2 3 3 2 2 3 5" xfId="2302"/>
    <cellStyle name="Normal 5 2 3 3 2 2 3 5 2" xfId="7848"/>
    <cellStyle name="Normal 5 2 3 3 2 2 3 5 3" xfId="13387"/>
    <cellStyle name="Normal 5 2 3 3 2 2 3 6" xfId="6643"/>
    <cellStyle name="Normal 5 2 3 3 2 2 3 7" xfId="12182"/>
    <cellStyle name="Normal 5 2 3 3 2 2 4" xfId="3159"/>
    <cellStyle name="Normal 5 2 3 3 2 2 4 2" xfId="8701"/>
    <cellStyle name="Normal 5 2 3 3 2 2 4 3" xfId="14240"/>
    <cellStyle name="Normal 5 2 3 3 2 2 5" xfId="4198"/>
    <cellStyle name="Normal 5 2 3 3 2 2 5 2" xfId="9737"/>
    <cellStyle name="Normal 5 2 3 3 2 2 5 3" xfId="15276"/>
    <cellStyle name="Normal 5 2 3 3 2 2 6" xfId="5159"/>
    <cellStyle name="Normal 5 2 3 3 2 2 6 2" xfId="10698"/>
    <cellStyle name="Normal 5 2 3 3 2 2 6 3" xfId="16237"/>
    <cellStyle name="Normal 5 2 3 3 2 2 7" xfId="1861"/>
    <cellStyle name="Normal 5 2 3 3 2 2 7 2" xfId="7407"/>
    <cellStyle name="Normal 5 2 3 3 2 2 7 3" xfId="12946"/>
    <cellStyle name="Normal 5 2 3 3 2 2 8" xfId="6202"/>
    <cellStyle name="Normal 5 2 3 3 2 2 9" xfId="11741"/>
    <cellStyle name="Normal 5 2 3 3 2 3" xfId="1275"/>
    <cellStyle name="Normal 5 2 3 3 2 3 2" xfId="3805"/>
    <cellStyle name="Normal 5 2 3 3 2 3 2 2" xfId="9347"/>
    <cellStyle name="Normal 5 2 3 3 2 3 2 3" xfId="14886"/>
    <cellStyle name="Normal 5 2 3 3 2 3 3" xfId="4842"/>
    <cellStyle name="Normal 5 2 3 3 2 3 3 2" xfId="10381"/>
    <cellStyle name="Normal 5 2 3 3 2 3 3 3" xfId="15920"/>
    <cellStyle name="Normal 5 2 3 3 2 3 4" xfId="5777"/>
    <cellStyle name="Normal 5 2 3 3 2 3 4 2" xfId="11316"/>
    <cellStyle name="Normal 5 2 3 3 2 3 4 3" xfId="16855"/>
    <cellStyle name="Normal 5 2 3 3 2 3 5" xfId="2479"/>
    <cellStyle name="Normal 5 2 3 3 2 3 5 2" xfId="8025"/>
    <cellStyle name="Normal 5 2 3 3 2 3 5 3" xfId="13564"/>
    <cellStyle name="Normal 5 2 3 3 2 3 6" xfId="6820"/>
    <cellStyle name="Normal 5 2 3 3 2 3 7" xfId="12359"/>
    <cellStyle name="Normal 5 2 3 3 2 4" xfId="820"/>
    <cellStyle name="Normal 5 2 3 3 2 4 2" xfId="3350"/>
    <cellStyle name="Normal 5 2 3 3 2 4 2 2" xfId="8892"/>
    <cellStyle name="Normal 5 2 3 3 2 4 2 3" xfId="14431"/>
    <cellStyle name="Normal 5 2 3 3 2 4 3" xfId="4387"/>
    <cellStyle name="Normal 5 2 3 3 2 4 3 2" xfId="9926"/>
    <cellStyle name="Normal 5 2 3 3 2 4 3 3" xfId="15465"/>
    <cellStyle name="Normal 5 2 3 3 2 4 4" xfId="5322"/>
    <cellStyle name="Normal 5 2 3 3 2 4 4 2" xfId="10861"/>
    <cellStyle name="Normal 5 2 3 3 2 4 4 3" xfId="16400"/>
    <cellStyle name="Normal 5 2 3 3 2 4 5" xfId="2024"/>
    <cellStyle name="Normal 5 2 3 3 2 4 5 2" xfId="7570"/>
    <cellStyle name="Normal 5 2 3 3 2 4 5 3" xfId="13109"/>
    <cellStyle name="Normal 5 2 3 3 2 4 6" xfId="6365"/>
    <cellStyle name="Normal 5 2 3 3 2 4 7" xfId="11904"/>
    <cellStyle name="Normal 5 2 3 3 2 5" xfId="1620"/>
    <cellStyle name="Normal 5 2 3 3 2 5 2" xfId="2825"/>
    <cellStyle name="Normal 5 2 3 3 2 5 2 2" xfId="8371"/>
    <cellStyle name="Normal 5 2 3 3 2 5 2 3" xfId="13910"/>
    <cellStyle name="Normal 5 2 3 3 2 5 3" xfId="7166"/>
    <cellStyle name="Normal 5 2 3 3 2 5 4" xfId="12705"/>
    <cellStyle name="Normal 5 2 3 3 2 6" xfId="2998"/>
    <cellStyle name="Normal 5 2 3 3 2 6 2" xfId="8542"/>
    <cellStyle name="Normal 5 2 3 3 2 6 3" xfId="14081"/>
    <cellStyle name="Normal 5 2 3 3 2 7" xfId="4043"/>
    <cellStyle name="Normal 5 2 3 3 2 7 2" xfId="9585"/>
    <cellStyle name="Normal 5 2 3 3 2 7 3" xfId="15124"/>
    <cellStyle name="Normal 5 2 3 3 2 8" xfId="5080"/>
    <cellStyle name="Normal 5 2 3 3 2 8 2" xfId="10619"/>
    <cellStyle name="Normal 5 2 3 3 2 8 3" xfId="16158"/>
    <cellStyle name="Normal 5 2 3 3 2 9" xfId="1782"/>
    <cellStyle name="Normal 5 2 3 3 2 9 2" xfId="7328"/>
    <cellStyle name="Normal 5 2 3 3 2 9 3" xfId="12867"/>
    <cellStyle name="Normal 5 2 3 3 3" xfId="499"/>
    <cellStyle name="Normal 5 2 3 3 3 2" xfId="1340"/>
    <cellStyle name="Normal 5 2 3 3 3 2 2" xfId="3872"/>
    <cellStyle name="Normal 5 2 3 3 3 2 2 2" xfId="9414"/>
    <cellStyle name="Normal 5 2 3 3 3 2 2 3" xfId="14953"/>
    <cellStyle name="Normal 5 2 3 3 3 2 3" xfId="4909"/>
    <cellStyle name="Normal 5 2 3 3 3 2 3 2" xfId="10448"/>
    <cellStyle name="Normal 5 2 3 3 3 2 3 3" xfId="15987"/>
    <cellStyle name="Normal 5 2 3 3 3 2 4" xfId="5843"/>
    <cellStyle name="Normal 5 2 3 3 3 2 4 2" xfId="11382"/>
    <cellStyle name="Normal 5 2 3 3 3 2 4 3" xfId="16921"/>
    <cellStyle name="Normal 5 2 3 3 3 2 5" xfId="2545"/>
    <cellStyle name="Normal 5 2 3 3 3 2 5 2" xfId="8091"/>
    <cellStyle name="Normal 5 2 3 3 3 2 5 3" xfId="13630"/>
    <cellStyle name="Normal 5 2 3 3 3 2 6" xfId="6886"/>
    <cellStyle name="Normal 5 2 3 3 3 2 7" xfId="12425"/>
    <cellStyle name="Normal 5 2 3 3 3 3" xfId="1008"/>
    <cellStyle name="Normal 5 2 3 3 3 3 2" xfId="3538"/>
    <cellStyle name="Normal 5 2 3 3 3 3 2 2" xfId="9080"/>
    <cellStyle name="Normal 5 2 3 3 3 3 2 3" xfId="14619"/>
    <cellStyle name="Normal 5 2 3 3 3 3 3" xfId="4575"/>
    <cellStyle name="Normal 5 2 3 3 3 3 3 2" xfId="10114"/>
    <cellStyle name="Normal 5 2 3 3 3 3 3 3" xfId="15653"/>
    <cellStyle name="Normal 5 2 3 3 3 3 4" xfId="5510"/>
    <cellStyle name="Normal 5 2 3 3 3 3 4 2" xfId="11049"/>
    <cellStyle name="Normal 5 2 3 3 3 3 4 3" xfId="16588"/>
    <cellStyle name="Normal 5 2 3 3 3 3 5" xfId="2212"/>
    <cellStyle name="Normal 5 2 3 3 3 3 5 2" xfId="7758"/>
    <cellStyle name="Normal 5 2 3 3 3 3 5 3" xfId="13297"/>
    <cellStyle name="Normal 5 2 3 3 3 3 6" xfId="6553"/>
    <cellStyle name="Normal 5 2 3 3 3 3 7" xfId="12092"/>
    <cellStyle name="Normal 5 2 3 3 3 4" xfId="3158"/>
    <cellStyle name="Normal 5 2 3 3 3 4 2" xfId="8700"/>
    <cellStyle name="Normal 5 2 3 3 3 4 3" xfId="14239"/>
    <cellStyle name="Normal 5 2 3 3 3 5" xfId="4197"/>
    <cellStyle name="Normal 5 2 3 3 3 5 2" xfId="9736"/>
    <cellStyle name="Normal 5 2 3 3 3 5 3" xfId="15275"/>
    <cellStyle name="Normal 5 2 3 3 3 6" xfId="5158"/>
    <cellStyle name="Normal 5 2 3 3 3 6 2" xfId="10697"/>
    <cellStyle name="Normal 5 2 3 3 3 6 3" xfId="16236"/>
    <cellStyle name="Normal 5 2 3 3 3 7" xfId="1860"/>
    <cellStyle name="Normal 5 2 3 3 3 7 2" xfId="7406"/>
    <cellStyle name="Normal 5 2 3 3 3 7 3" xfId="12945"/>
    <cellStyle name="Normal 5 2 3 3 3 8" xfId="6201"/>
    <cellStyle name="Normal 5 2 3 3 3 9" xfId="11740"/>
    <cellStyle name="Normal 5 2 3 3 4" xfId="1185"/>
    <cellStyle name="Normal 5 2 3 3 4 2" xfId="3715"/>
    <cellStyle name="Normal 5 2 3 3 4 2 2" xfId="9257"/>
    <cellStyle name="Normal 5 2 3 3 4 2 3" xfId="14796"/>
    <cellStyle name="Normal 5 2 3 3 4 3" xfId="4752"/>
    <cellStyle name="Normal 5 2 3 3 4 3 2" xfId="10291"/>
    <cellStyle name="Normal 5 2 3 3 4 3 3" xfId="15830"/>
    <cellStyle name="Normal 5 2 3 3 4 4" xfId="5687"/>
    <cellStyle name="Normal 5 2 3 3 4 4 2" xfId="11226"/>
    <cellStyle name="Normal 5 2 3 3 4 4 3" xfId="16765"/>
    <cellStyle name="Normal 5 2 3 3 4 5" xfId="2389"/>
    <cellStyle name="Normal 5 2 3 3 4 5 2" xfId="7935"/>
    <cellStyle name="Normal 5 2 3 3 4 5 3" xfId="13474"/>
    <cellStyle name="Normal 5 2 3 3 4 6" xfId="6730"/>
    <cellStyle name="Normal 5 2 3 3 4 7" xfId="12269"/>
    <cellStyle name="Normal 5 2 3 3 5" xfId="819"/>
    <cellStyle name="Normal 5 2 3 3 5 2" xfId="3349"/>
    <cellStyle name="Normal 5 2 3 3 5 2 2" xfId="8891"/>
    <cellStyle name="Normal 5 2 3 3 5 2 3" xfId="14430"/>
    <cellStyle name="Normal 5 2 3 3 5 3" xfId="4386"/>
    <cellStyle name="Normal 5 2 3 3 5 3 2" xfId="9925"/>
    <cellStyle name="Normal 5 2 3 3 5 3 3" xfId="15464"/>
    <cellStyle name="Normal 5 2 3 3 5 4" xfId="5321"/>
    <cellStyle name="Normal 5 2 3 3 5 4 2" xfId="10860"/>
    <cellStyle name="Normal 5 2 3 3 5 4 3" xfId="16399"/>
    <cellStyle name="Normal 5 2 3 3 5 5" xfId="2023"/>
    <cellStyle name="Normal 5 2 3 3 5 5 2" xfId="7569"/>
    <cellStyle name="Normal 5 2 3 3 5 5 3" xfId="13108"/>
    <cellStyle name="Normal 5 2 3 3 5 6" xfId="6364"/>
    <cellStyle name="Normal 5 2 3 3 5 7" xfId="11903"/>
    <cellStyle name="Normal 5 2 3 3 6" xfId="1530"/>
    <cellStyle name="Normal 5 2 3 3 6 2" xfId="2735"/>
    <cellStyle name="Normal 5 2 3 3 6 2 2" xfId="8281"/>
    <cellStyle name="Normal 5 2 3 3 6 2 3" xfId="13820"/>
    <cellStyle name="Normal 5 2 3 3 6 3" xfId="7076"/>
    <cellStyle name="Normal 5 2 3 3 6 4" xfId="12615"/>
    <cellStyle name="Normal 5 2 3 3 7" xfId="2908"/>
    <cellStyle name="Normal 5 2 3 3 7 2" xfId="8452"/>
    <cellStyle name="Normal 5 2 3 3 7 3" xfId="13991"/>
    <cellStyle name="Normal 5 2 3 3 8" xfId="3020"/>
    <cellStyle name="Normal 5 2 3 3 8 2" xfId="8564"/>
    <cellStyle name="Normal 5 2 3 3 8 3" xfId="14103"/>
    <cellStyle name="Normal 5 2 3 3 9" xfId="4064"/>
    <cellStyle name="Normal 5 2 3 3 9 2" xfId="9606"/>
    <cellStyle name="Normal 5 2 3 3 9 3" xfId="15145"/>
    <cellStyle name="Normal 5 2 3 4" xfId="302"/>
    <cellStyle name="Normal 5 2 3 4 10" xfId="1674"/>
    <cellStyle name="Normal 5 2 3 4 10 2" xfId="7220"/>
    <cellStyle name="Normal 5 2 3 4 10 3" xfId="12759"/>
    <cellStyle name="Normal 5 2 3 4 11" xfId="6015"/>
    <cellStyle name="Normal 5 2 3 4 11 2" xfId="17093"/>
    <cellStyle name="Normal 5 2 3 4 12" xfId="659"/>
    <cellStyle name="Normal 5 2 3 4 12 2" xfId="17255"/>
    <cellStyle name="Normal 5 2 3 4 13" xfId="11554"/>
    <cellStyle name="Normal 5 2 3 4 14" xfId="17422"/>
    <cellStyle name="Normal 5 2 3 4 15" xfId="17587"/>
    <cellStyle name="Normal 5 2 3 4 2" xfId="303"/>
    <cellStyle name="Normal 5 2 3 4 2 10" xfId="6105"/>
    <cellStyle name="Normal 5 2 3 4 2 10 2" xfId="17183"/>
    <cellStyle name="Normal 5 2 3 4 2 11" xfId="749"/>
    <cellStyle name="Normal 5 2 3 4 2 11 2" xfId="17345"/>
    <cellStyle name="Normal 5 2 3 4 2 12" xfId="11644"/>
    <cellStyle name="Normal 5 2 3 4 2 13" xfId="17512"/>
    <cellStyle name="Normal 5 2 3 4 2 14" xfId="17677"/>
    <cellStyle name="Normal 5 2 3 4 2 2" xfId="502"/>
    <cellStyle name="Normal 5 2 3 4 2 2 2" xfId="1343"/>
    <cellStyle name="Normal 5 2 3 4 2 2 2 2" xfId="3875"/>
    <cellStyle name="Normal 5 2 3 4 2 2 2 2 2" xfId="9417"/>
    <cellStyle name="Normal 5 2 3 4 2 2 2 2 3" xfId="14956"/>
    <cellStyle name="Normal 5 2 3 4 2 2 2 3" xfId="4912"/>
    <cellStyle name="Normal 5 2 3 4 2 2 2 3 2" xfId="10451"/>
    <cellStyle name="Normal 5 2 3 4 2 2 2 3 3" xfId="15990"/>
    <cellStyle name="Normal 5 2 3 4 2 2 2 4" xfId="5846"/>
    <cellStyle name="Normal 5 2 3 4 2 2 2 4 2" xfId="11385"/>
    <cellStyle name="Normal 5 2 3 4 2 2 2 4 3" xfId="16924"/>
    <cellStyle name="Normal 5 2 3 4 2 2 2 5" xfId="2548"/>
    <cellStyle name="Normal 5 2 3 4 2 2 2 5 2" xfId="8094"/>
    <cellStyle name="Normal 5 2 3 4 2 2 2 5 3" xfId="13633"/>
    <cellStyle name="Normal 5 2 3 4 2 2 2 6" xfId="6889"/>
    <cellStyle name="Normal 5 2 3 4 2 2 2 7" xfId="12428"/>
    <cellStyle name="Normal 5 2 3 4 2 2 3" xfId="1080"/>
    <cellStyle name="Normal 5 2 3 4 2 2 3 2" xfId="3610"/>
    <cellStyle name="Normal 5 2 3 4 2 2 3 2 2" xfId="9152"/>
    <cellStyle name="Normal 5 2 3 4 2 2 3 2 3" xfId="14691"/>
    <cellStyle name="Normal 5 2 3 4 2 2 3 3" xfId="4647"/>
    <cellStyle name="Normal 5 2 3 4 2 2 3 3 2" xfId="10186"/>
    <cellStyle name="Normal 5 2 3 4 2 2 3 3 3" xfId="15725"/>
    <cellStyle name="Normal 5 2 3 4 2 2 3 4" xfId="5582"/>
    <cellStyle name="Normal 5 2 3 4 2 2 3 4 2" xfId="11121"/>
    <cellStyle name="Normal 5 2 3 4 2 2 3 4 3" xfId="16660"/>
    <cellStyle name="Normal 5 2 3 4 2 2 3 5" xfId="2284"/>
    <cellStyle name="Normal 5 2 3 4 2 2 3 5 2" xfId="7830"/>
    <cellStyle name="Normal 5 2 3 4 2 2 3 5 3" xfId="13369"/>
    <cellStyle name="Normal 5 2 3 4 2 2 3 6" xfId="6625"/>
    <cellStyle name="Normal 5 2 3 4 2 2 3 7" xfId="12164"/>
    <cellStyle name="Normal 5 2 3 4 2 2 4" xfId="3161"/>
    <cellStyle name="Normal 5 2 3 4 2 2 4 2" xfId="8703"/>
    <cellStyle name="Normal 5 2 3 4 2 2 4 3" xfId="14242"/>
    <cellStyle name="Normal 5 2 3 4 2 2 5" xfId="4200"/>
    <cellStyle name="Normal 5 2 3 4 2 2 5 2" xfId="9739"/>
    <cellStyle name="Normal 5 2 3 4 2 2 5 3" xfId="15278"/>
    <cellStyle name="Normal 5 2 3 4 2 2 6" xfId="5161"/>
    <cellStyle name="Normal 5 2 3 4 2 2 6 2" xfId="10700"/>
    <cellStyle name="Normal 5 2 3 4 2 2 6 3" xfId="16239"/>
    <cellStyle name="Normal 5 2 3 4 2 2 7" xfId="1863"/>
    <cellStyle name="Normal 5 2 3 4 2 2 7 2" xfId="7409"/>
    <cellStyle name="Normal 5 2 3 4 2 2 7 3" xfId="12948"/>
    <cellStyle name="Normal 5 2 3 4 2 2 8" xfId="6204"/>
    <cellStyle name="Normal 5 2 3 4 2 2 9" xfId="11743"/>
    <cellStyle name="Normal 5 2 3 4 2 3" xfId="1257"/>
    <cellStyle name="Normal 5 2 3 4 2 3 2" xfId="3787"/>
    <cellStyle name="Normal 5 2 3 4 2 3 2 2" xfId="9329"/>
    <cellStyle name="Normal 5 2 3 4 2 3 2 3" xfId="14868"/>
    <cellStyle name="Normal 5 2 3 4 2 3 3" xfId="4824"/>
    <cellStyle name="Normal 5 2 3 4 2 3 3 2" xfId="10363"/>
    <cellStyle name="Normal 5 2 3 4 2 3 3 3" xfId="15902"/>
    <cellStyle name="Normal 5 2 3 4 2 3 4" xfId="5759"/>
    <cellStyle name="Normal 5 2 3 4 2 3 4 2" xfId="11298"/>
    <cellStyle name="Normal 5 2 3 4 2 3 4 3" xfId="16837"/>
    <cellStyle name="Normal 5 2 3 4 2 3 5" xfId="2461"/>
    <cellStyle name="Normal 5 2 3 4 2 3 5 2" xfId="8007"/>
    <cellStyle name="Normal 5 2 3 4 2 3 5 3" xfId="13546"/>
    <cellStyle name="Normal 5 2 3 4 2 3 6" xfId="6802"/>
    <cellStyle name="Normal 5 2 3 4 2 3 7" xfId="12341"/>
    <cellStyle name="Normal 5 2 3 4 2 4" xfId="822"/>
    <cellStyle name="Normal 5 2 3 4 2 4 2" xfId="3352"/>
    <cellStyle name="Normal 5 2 3 4 2 4 2 2" xfId="8894"/>
    <cellStyle name="Normal 5 2 3 4 2 4 2 3" xfId="14433"/>
    <cellStyle name="Normal 5 2 3 4 2 4 3" xfId="4389"/>
    <cellStyle name="Normal 5 2 3 4 2 4 3 2" xfId="9928"/>
    <cellStyle name="Normal 5 2 3 4 2 4 3 3" xfId="15467"/>
    <cellStyle name="Normal 5 2 3 4 2 4 4" xfId="5324"/>
    <cellStyle name="Normal 5 2 3 4 2 4 4 2" xfId="10863"/>
    <cellStyle name="Normal 5 2 3 4 2 4 4 3" xfId="16402"/>
    <cellStyle name="Normal 5 2 3 4 2 4 5" xfId="2026"/>
    <cellStyle name="Normal 5 2 3 4 2 4 5 2" xfId="7572"/>
    <cellStyle name="Normal 5 2 3 4 2 4 5 3" xfId="13111"/>
    <cellStyle name="Normal 5 2 3 4 2 4 6" xfId="6367"/>
    <cellStyle name="Normal 5 2 3 4 2 4 7" xfId="11906"/>
    <cellStyle name="Normal 5 2 3 4 2 5" xfId="1602"/>
    <cellStyle name="Normal 5 2 3 4 2 5 2" xfId="2807"/>
    <cellStyle name="Normal 5 2 3 4 2 5 2 2" xfId="8353"/>
    <cellStyle name="Normal 5 2 3 4 2 5 2 3" xfId="13892"/>
    <cellStyle name="Normal 5 2 3 4 2 5 3" xfId="7148"/>
    <cellStyle name="Normal 5 2 3 4 2 5 4" xfId="12687"/>
    <cellStyle name="Normal 5 2 3 4 2 6" xfId="2980"/>
    <cellStyle name="Normal 5 2 3 4 2 6 2" xfId="8524"/>
    <cellStyle name="Normal 5 2 3 4 2 6 3" xfId="14063"/>
    <cellStyle name="Normal 5 2 3 4 2 7" xfId="4025"/>
    <cellStyle name="Normal 5 2 3 4 2 7 2" xfId="9567"/>
    <cellStyle name="Normal 5 2 3 4 2 7 3" xfId="15106"/>
    <cellStyle name="Normal 5 2 3 4 2 8" xfId="5062"/>
    <cellStyle name="Normal 5 2 3 4 2 8 2" xfId="10601"/>
    <cellStyle name="Normal 5 2 3 4 2 8 3" xfId="16140"/>
    <cellStyle name="Normal 5 2 3 4 2 9" xfId="1764"/>
    <cellStyle name="Normal 5 2 3 4 2 9 2" xfId="7310"/>
    <cellStyle name="Normal 5 2 3 4 2 9 3" xfId="12849"/>
    <cellStyle name="Normal 5 2 3 4 3" xfId="501"/>
    <cellStyle name="Normal 5 2 3 4 3 2" xfId="1342"/>
    <cellStyle name="Normal 5 2 3 4 3 2 2" xfId="3874"/>
    <cellStyle name="Normal 5 2 3 4 3 2 2 2" xfId="9416"/>
    <cellStyle name="Normal 5 2 3 4 3 2 2 3" xfId="14955"/>
    <cellStyle name="Normal 5 2 3 4 3 2 3" xfId="4911"/>
    <cellStyle name="Normal 5 2 3 4 3 2 3 2" xfId="10450"/>
    <cellStyle name="Normal 5 2 3 4 3 2 3 3" xfId="15989"/>
    <cellStyle name="Normal 5 2 3 4 3 2 4" xfId="5845"/>
    <cellStyle name="Normal 5 2 3 4 3 2 4 2" xfId="11384"/>
    <cellStyle name="Normal 5 2 3 4 3 2 4 3" xfId="16923"/>
    <cellStyle name="Normal 5 2 3 4 3 2 5" xfId="2547"/>
    <cellStyle name="Normal 5 2 3 4 3 2 5 2" xfId="8093"/>
    <cellStyle name="Normal 5 2 3 4 3 2 5 3" xfId="13632"/>
    <cellStyle name="Normal 5 2 3 4 3 2 6" xfId="6888"/>
    <cellStyle name="Normal 5 2 3 4 3 2 7" xfId="12427"/>
    <cellStyle name="Normal 5 2 3 4 3 3" xfId="990"/>
    <cellStyle name="Normal 5 2 3 4 3 3 2" xfId="3520"/>
    <cellStyle name="Normal 5 2 3 4 3 3 2 2" xfId="9062"/>
    <cellStyle name="Normal 5 2 3 4 3 3 2 3" xfId="14601"/>
    <cellStyle name="Normal 5 2 3 4 3 3 3" xfId="4557"/>
    <cellStyle name="Normal 5 2 3 4 3 3 3 2" xfId="10096"/>
    <cellStyle name="Normal 5 2 3 4 3 3 3 3" xfId="15635"/>
    <cellStyle name="Normal 5 2 3 4 3 3 4" xfId="5492"/>
    <cellStyle name="Normal 5 2 3 4 3 3 4 2" xfId="11031"/>
    <cellStyle name="Normal 5 2 3 4 3 3 4 3" xfId="16570"/>
    <cellStyle name="Normal 5 2 3 4 3 3 5" xfId="2194"/>
    <cellStyle name="Normal 5 2 3 4 3 3 5 2" xfId="7740"/>
    <cellStyle name="Normal 5 2 3 4 3 3 5 3" xfId="13279"/>
    <cellStyle name="Normal 5 2 3 4 3 3 6" xfId="6535"/>
    <cellStyle name="Normal 5 2 3 4 3 3 7" xfId="12074"/>
    <cellStyle name="Normal 5 2 3 4 3 4" xfId="3160"/>
    <cellStyle name="Normal 5 2 3 4 3 4 2" xfId="8702"/>
    <cellStyle name="Normal 5 2 3 4 3 4 3" xfId="14241"/>
    <cellStyle name="Normal 5 2 3 4 3 5" xfId="4199"/>
    <cellStyle name="Normal 5 2 3 4 3 5 2" xfId="9738"/>
    <cellStyle name="Normal 5 2 3 4 3 5 3" xfId="15277"/>
    <cellStyle name="Normal 5 2 3 4 3 6" xfId="5160"/>
    <cellStyle name="Normal 5 2 3 4 3 6 2" xfId="10699"/>
    <cellStyle name="Normal 5 2 3 4 3 6 3" xfId="16238"/>
    <cellStyle name="Normal 5 2 3 4 3 7" xfId="1862"/>
    <cellStyle name="Normal 5 2 3 4 3 7 2" xfId="7408"/>
    <cellStyle name="Normal 5 2 3 4 3 7 3" xfId="12947"/>
    <cellStyle name="Normal 5 2 3 4 3 8" xfId="6203"/>
    <cellStyle name="Normal 5 2 3 4 3 9" xfId="11742"/>
    <cellStyle name="Normal 5 2 3 4 4" xfId="1167"/>
    <cellStyle name="Normal 5 2 3 4 4 2" xfId="3697"/>
    <cellStyle name="Normal 5 2 3 4 4 2 2" xfId="9239"/>
    <cellStyle name="Normal 5 2 3 4 4 2 3" xfId="14778"/>
    <cellStyle name="Normal 5 2 3 4 4 3" xfId="4734"/>
    <cellStyle name="Normal 5 2 3 4 4 3 2" xfId="10273"/>
    <cellStyle name="Normal 5 2 3 4 4 3 3" xfId="15812"/>
    <cellStyle name="Normal 5 2 3 4 4 4" xfId="5669"/>
    <cellStyle name="Normal 5 2 3 4 4 4 2" xfId="11208"/>
    <cellStyle name="Normal 5 2 3 4 4 4 3" xfId="16747"/>
    <cellStyle name="Normal 5 2 3 4 4 5" xfId="2371"/>
    <cellStyle name="Normal 5 2 3 4 4 5 2" xfId="7917"/>
    <cellStyle name="Normal 5 2 3 4 4 5 3" xfId="13456"/>
    <cellStyle name="Normal 5 2 3 4 4 6" xfId="6712"/>
    <cellStyle name="Normal 5 2 3 4 4 7" xfId="12251"/>
    <cellStyle name="Normal 5 2 3 4 5" xfId="821"/>
    <cellStyle name="Normal 5 2 3 4 5 2" xfId="3351"/>
    <cellStyle name="Normal 5 2 3 4 5 2 2" xfId="8893"/>
    <cellStyle name="Normal 5 2 3 4 5 2 3" xfId="14432"/>
    <cellStyle name="Normal 5 2 3 4 5 3" xfId="4388"/>
    <cellStyle name="Normal 5 2 3 4 5 3 2" xfId="9927"/>
    <cellStyle name="Normal 5 2 3 4 5 3 3" xfId="15466"/>
    <cellStyle name="Normal 5 2 3 4 5 4" xfId="5323"/>
    <cellStyle name="Normal 5 2 3 4 5 4 2" xfId="10862"/>
    <cellStyle name="Normal 5 2 3 4 5 4 3" xfId="16401"/>
    <cellStyle name="Normal 5 2 3 4 5 5" xfId="2025"/>
    <cellStyle name="Normal 5 2 3 4 5 5 2" xfId="7571"/>
    <cellStyle name="Normal 5 2 3 4 5 5 3" xfId="13110"/>
    <cellStyle name="Normal 5 2 3 4 5 6" xfId="6366"/>
    <cellStyle name="Normal 5 2 3 4 5 7" xfId="11905"/>
    <cellStyle name="Normal 5 2 3 4 6" xfId="1512"/>
    <cellStyle name="Normal 5 2 3 4 6 2" xfId="2717"/>
    <cellStyle name="Normal 5 2 3 4 6 2 2" xfId="8263"/>
    <cellStyle name="Normal 5 2 3 4 6 2 3" xfId="13802"/>
    <cellStyle name="Normal 5 2 3 4 6 3" xfId="7058"/>
    <cellStyle name="Normal 5 2 3 4 6 4" xfId="12597"/>
    <cellStyle name="Normal 5 2 3 4 7" xfId="2890"/>
    <cellStyle name="Normal 5 2 3 4 7 2" xfId="8434"/>
    <cellStyle name="Normal 5 2 3 4 7 3" xfId="13973"/>
    <cellStyle name="Normal 5 2 3 4 8" xfId="3295"/>
    <cellStyle name="Normal 5 2 3 4 8 2" xfId="8837"/>
    <cellStyle name="Normal 5 2 3 4 8 3" xfId="14376"/>
    <cellStyle name="Normal 5 2 3 4 9" xfId="4334"/>
    <cellStyle name="Normal 5 2 3 4 9 2" xfId="9873"/>
    <cellStyle name="Normal 5 2 3 4 9 3" xfId="15412"/>
    <cellStyle name="Normal 5 2 3 5" xfId="304"/>
    <cellStyle name="Normal 5 2 3 5 10" xfId="1710"/>
    <cellStyle name="Normal 5 2 3 5 10 2" xfId="7256"/>
    <cellStyle name="Normal 5 2 3 5 10 3" xfId="12795"/>
    <cellStyle name="Normal 5 2 3 5 11" xfId="6051"/>
    <cellStyle name="Normal 5 2 3 5 11 2" xfId="17129"/>
    <cellStyle name="Normal 5 2 3 5 12" xfId="695"/>
    <cellStyle name="Normal 5 2 3 5 12 2" xfId="17291"/>
    <cellStyle name="Normal 5 2 3 5 13" xfId="11590"/>
    <cellStyle name="Normal 5 2 3 5 14" xfId="17458"/>
    <cellStyle name="Normal 5 2 3 5 15" xfId="17623"/>
    <cellStyle name="Normal 5 2 3 5 2" xfId="305"/>
    <cellStyle name="Normal 5 2 3 5 2 10" xfId="6087"/>
    <cellStyle name="Normal 5 2 3 5 2 10 2" xfId="17165"/>
    <cellStyle name="Normal 5 2 3 5 2 11" xfId="731"/>
    <cellStyle name="Normal 5 2 3 5 2 11 2" xfId="17327"/>
    <cellStyle name="Normal 5 2 3 5 2 12" xfId="11626"/>
    <cellStyle name="Normal 5 2 3 5 2 13" xfId="17494"/>
    <cellStyle name="Normal 5 2 3 5 2 14" xfId="17659"/>
    <cellStyle name="Normal 5 2 3 5 2 2" xfId="504"/>
    <cellStyle name="Normal 5 2 3 5 2 2 2" xfId="1345"/>
    <cellStyle name="Normal 5 2 3 5 2 2 2 2" xfId="3877"/>
    <cellStyle name="Normal 5 2 3 5 2 2 2 2 2" xfId="9419"/>
    <cellStyle name="Normal 5 2 3 5 2 2 2 2 3" xfId="14958"/>
    <cellStyle name="Normal 5 2 3 5 2 2 2 3" xfId="4914"/>
    <cellStyle name="Normal 5 2 3 5 2 2 2 3 2" xfId="10453"/>
    <cellStyle name="Normal 5 2 3 5 2 2 2 3 3" xfId="15992"/>
    <cellStyle name="Normal 5 2 3 5 2 2 2 4" xfId="5848"/>
    <cellStyle name="Normal 5 2 3 5 2 2 2 4 2" xfId="11387"/>
    <cellStyle name="Normal 5 2 3 5 2 2 2 4 3" xfId="16926"/>
    <cellStyle name="Normal 5 2 3 5 2 2 2 5" xfId="2550"/>
    <cellStyle name="Normal 5 2 3 5 2 2 2 5 2" xfId="8096"/>
    <cellStyle name="Normal 5 2 3 5 2 2 2 5 3" xfId="13635"/>
    <cellStyle name="Normal 5 2 3 5 2 2 2 6" xfId="6891"/>
    <cellStyle name="Normal 5 2 3 5 2 2 2 7" xfId="12430"/>
    <cellStyle name="Normal 5 2 3 5 2 2 3" xfId="1062"/>
    <cellStyle name="Normal 5 2 3 5 2 2 3 2" xfId="3592"/>
    <cellStyle name="Normal 5 2 3 5 2 2 3 2 2" xfId="9134"/>
    <cellStyle name="Normal 5 2 3 5 2 2 3 2 3" xfId="14673"/>
    <cellStyle name="Normal 5 2 3 5 2 2 3 3" xfId="4629"/>
    <cellStyle name="Normal 5 2 3 5 2 2 3 3 2" xfId="10168"/>
    <cellStyle name="Normal 5 2 3 5 2 2 3 3 3" xfId="15707"/>
    <cellStyle name="Normal 5 2 3 5 2 2 3 4" xfId="5564"/>
    <cellStyle name="Normal 5 2 3 5 2 2 3 4 2" xfId="11103"/>
    <cellStyle name="Normal 5 2 3 5 2 2 3 4 3" xfId="16642"/>
    <cellStyle name="Normal 5 2 3 5 2 2 3 5" xfId="2266"/>
    <cellStyle name="Normal 5 2 3 5 2 2 3 5 2" xfId="7812"/>
    <cellStyle name="Normal 5 2 3 5 2 2 3 5 3" xfId="13351"/>
    <cellStyle name="Normal 5 2 3 5 2 2 3 6" xfId="6607"/>
    <cellStyle name="Normal 5 2 3 5 2 2 3 7" xfId="12146"/>
    <cellStyle name="Normal 5 2 3 5 2 2 4" xfId="3163"/>
    <cellStyle name="Normal 5 2 3 5 2 2 4 2" xfId="8705"/>
    <cellStyle name="Normal 5 2 3 5 2 2 4 3" xfId="14244"/>
    <cellStyle name="Normal 5 2 3 5 2 2 5" xfId="4202"/>
    <cellStyle name="Normal 5 2 3 5 2 2 5 2" xfId="9741"/>
    <cellStyle name="Normal 5 2 3 5 2 2 5 3" xfId="15280"/>
    <cellStyle name="Normal 5 2 3 5 2 2 6" xfId="5163"/>
    <cellStyle name="Normal 5 2 3 5 2 2 6 2" xfId="10702"/>
    <cellStyle name="Normal 5 2 3 5 2 2 6 3" xfId="16241"/>
    <cellStyle name="Normal 5 2 3 5 2 2 7" xfId="1865"/>
    <cellStyle name="Normal 5 2 3 5 2 2 7 2" xfId="7411"/>
    <cellStyle name="Normal 5 2 3 5 2 2 7 3" xfId="12950"/>
    <cellStyle name="Normal 5 2 3 5 2 2 8" xfId="6206"/>
    <cellStyle name="Normal 5 2 3 5 2 2 9" xfId="11745"/>
    <cellStyle name="Normal 5 2 3 5 2 3" xfId="1239"/>
    <cellStyle name="Normal 5 2 3 5 2 3 2" xfId="3769"/>
    <cellStyle name="Normal 5 2 3 5 2 3 2 2" xfId="9311"/>
    <cellStyle name="Normal 5 2 3 5 2 3 2 3" xfId="14850"/>
    <cellStyle name="Normal 5 2 3 5 2 3 3" xfId="4806"/>
    <cellStyle name="Normal 5 2 3 5 2 3 3 2" xfId="10345"/>
    <cellStyle name="Normal 5 2 3 5 2 3 3 3" xfId="15884"/>
    <cellStyle name="Normal 5 2 3 5 2 3 4" xfId="5741"/>
    <cellStyle name="Normal 5 2 3 5 2 3 4 2" xfId="11280"/>
    <cellStyle name="Normal 5 2 3 5 2 3 4 3" xfId="16819"/>
    <cellStyle name="Normal 5 2 3 5 2 3 5" xfId="2443"/>
    <cellStyle name="Normal 5 2 3 5 2 3 5 2" xfId="7989"/>
    <cellStyle name="Normal 5 2 3 5 2 3 5 3" xfId="13528"/>
    <cellStyle name="Normal 5 2 3 5 2 3 6" xfId="6784"/>
    <cellStyle name="Normal 5 2 3 5 2 3 7" xfId="12323"/>
    <cellStyle name="Normal 5 2 3 5 2 4" xfId="824"/>
    <cellStyle name="Normal 5 2 3 5 2 4 2" xfId="3354"/>
    <cellStyle name="Normal 5 2 3 5 2 4 2 2" xfId="8896"/>
    <cellStyle name="Normal 5 2 3 5 2 4 2 3" xfId="14435"/>
    <cellStyle name="Normal 5 2 3 5 2 4 3" xfId="4391"/>
    <cellStyle name="Normal 5 2 3 5 2 4 3 2" xfId="9930"/>
    <cellStyle name="Normal 5 2 3 5 2 4 3 3" xfId="15469"/>
    <cellStyle name="Normal 5 2 3 5 2 4 4" xfId="5326"/>
    <cellStyle name="Normal 5 2 3 5 2 4 4 2" xfId="10865"/>
    <cellStyle name="Normal 5 2 3 5 2 4 4 3" xfId="16404"/>
    <cellStyle name="Normal 5 2 3 5 2 4 5" xfId="2028"/>
    <cellStyle name="Normal 5 2 3 5 2 4 5 2" xfId="7574"/>
    <cellStyle name="Normal 5 2 3 5 2 4 5 3" xfId="13113"/>
    <cellStyle name="Normal 5 2 3 5 2 4 6" xfId="6369"/>
    <cellStyle name="Normal 5 2 3 5 2 4 7" xfId="11908"/>
    <cellStyle name="Normal 5 2 3 5 2 5" xfId="1584"/>
    <cellStyle name="Normal 5 2 3 5 2 5 2" xfId="2789"/>
    <cellStyle name="Normal 5 2 3 5 2 5 2 2" xfId="8335"/>
    <cellStyle name="Normal 5 2 3 5 2 5 2 3" xfId="13874"/>
    <cellStyle name="Normal 5 2 3 5 2 5 3" xfId="7130"/>
    <cellStyle name="Normal 5 2 3 5 2 5 4" xfId="12669"/>
    <cellStyle name="Normal 5 2 3 5 2 6" xfId="2962"/>
    <cellStyle name="Normal 5 2 3 5 2 6 2" xfId="8506"/>
    <cellStyle name="Normal 5 2 3 5 2 6 3" xfId="14045"/>
    <cellStyle name="Normal 5 2 3 5 2 7" xfId="4007"/>
    <cellStyle name="Normal 5 2 3 5 2 7 2" xfId="9549"/>
    <cellStyle name="Normal 5 2 3 5 2 7 3" xfId="15088"/>
    <cellStyle name="Normal 5 2 3 5 2 8" xfId="5044"/>
    <cellStyle name="Normal 5 2 3 5 2 8 2" xfId="10583"/>
    <cellStyle name="Normal 5 2 3 5 2 8 3" xfId="16122"/>
    <cellStyle name="Normal 5 2 3 5 2 9" xfId="1746"/>
    <cellStyle name="Normal 5 2 3 5 2 9 2" xfId="7292"/>
    <cellStyle name="Normal 5 2 3 5 2 9 3" xfId="12831"/>
    <cellStyle name="Normal 5 2 3 5 3" xfId="503"/>
    <cellStyle name="Normal 5 2 3 5 3 2" xfId="1344"/>
    <cellStyle name="Normal 5 2 3 5 3 2 2" xfId="3876"/>
    <cellStyle name="Normal 5 2 3 5 3 2 2 2" xfId="9418"/>
    <cellStyle name="Normal 5 2 3 5 3 2 2 3" xfId="14957"/>
    <cellStyle name="Normal 5 2 3 5 3 2 3" xfId="4913"/>
    <cellStyle name="Normal 5 2 3 5 3 2 3 2" xfId="10452"/>
    <cellStyle name="Normal 5 2 3 5 3 2 3 3" xfId="15991"/>
    <cellStyle name="Normal 5 2 3 5 3 2 4" xfId="5847"/>
    <cellStyle name="Normal 5 2 3 5 3 2 4 2" xfId="11386"/>
    <cellStyle name="Normal 5 2 3 5 3 2 4 3" xfId="16925"/>
    <cellStyle name="Normal 5 2 3 5 3 2 5" xfId="2549"/>
    <cellStyle name="Normal 5 2 3 5 3 2 5 2" xfId="8095"/>
    <cellStyle name="Normal 5 2 3 5 3 2 5 3" xfId="13634"/>
    <cellStyle name="Normal 5 2 3 5 3 2 6" xfId="6890"/>
    <cellStyle name="Normal 5 2 3 5 3 2 7" xfId="12429"/>
    <cellStyle name="Normal 5 2 3 5 3 3" xfId="1026"/>
    <cellStyle name="Normal 5 2 3 5 3 3 2" xfId="3556"/>
    <cellStyle name="Normal 5 2 3 5 3 3 2 2" xfId="9098"/>
    <cellStyle name="Normal 5 2 3 5 3 3 2 3" xfId="14637"/>
    <cellStyle name="Normal 5 2 3 5 3 3 3" xfId="4593"/>
    <cellStyle name="Normal 5 2 3 5 3 3 3 2" xfId="10132"/>
    <cellStyle name="Normal 5 2 3 5 3 3 3 3" xfId="15671"/>
    <cellStyle name="Normal 5 2 3 5 3 3 4" xfId="5528"/>
    <cellStyle name="Normal 5 2 3 5 3 3 4 2" xfId="11067"/>
    <cellStyle name="Normal 5 2 3 5 3 3 4 3" xfId="16606"/>
    <cellStyle name="Normal 5 2 3 5 3 3 5" xfId="2230"/>
    <cellStyle name="Normal 5 2 3 5 3 3 5 2" xfId="7776"/>
    <cellStyle name="Normal 5 2 3 5 3 3 5 3" xfId="13315"/>
    <cellStyle name="Normal 5 2 3 5 3 3 6" xfId="6571"/>
    <cellStyle name="Normal 5 2 3 5 3 3 7" xfId="12110"/>
    <cellStyle name="Normal 5 2 3 5 3 4" xfId="3162"/>
    <cellStyle name="Normal 5 2 3 5 3 4 2" xfId="8704"/>
    <cellStyle name="Normal 5 2 3 5 3 4 3" xfId="14243"/>
    <cellStyle name="Normal 5 2 3 5 3 5" xfId="4201"/>
    <cellStyle name="Normal 5 2 3 5 3 5 2" xfId="9740"/>
    <cellStyle name="Normal 5 2 3 5 3 5 3" xfId="15279"/>
    <cellStyle name="Normal 5 2 3 5 3 6" xfId="5162"/>
    <cellStyle name="Normal 5 2 3 5 3 6 2" xfId="10701"/>
    <cellStyle name="Normal 5 2 3 5 3 6 3" xfId="16240"/>
    <cellStyle name="Normal 5 2 3 5 3 7" xfId="1864"/>
    <cellStyle name="Normal 5 2 3 5 3 7 2" xfId="7410"/>
    <cellStyle name="Normal 5 2 3 5 3 7 3" xfId="12949"/>
    <cellStyle name="Normal 5 2 3 5 3 8" xfId="6205"/>
    <cellStyle name="Normal 5 2 3 5 3 9" xfId="11744"/>
    <cellStyle name="Normal 5 2 3 5 4" xfId="1203"/>
    <cellStyle name="Normal 5 2 3 5 4 2" xfId="3733"/>
    <cellStyle name="Normal 5 2 3 5 4 2 2" xfId="9275"/>
    <cellStyle name="Normal 5 2 3 5 4 2 3" xfId="14814"/>
    <cellStyle name="Normal 5 2 3 5 4 3" xfId="4770"/>
    <cellStyle name="Normal 5 2 3 5 4 3 2" xfId="10309"/>
    <cellStyle name="Normal 5 2 3 5 4 3 3" xfId="15848"/>
    <cellStyle name="Normal 5 2 3 5 4 4" xfId="5705"/>
    <cellStyle name="Normal 5 2 3 5 4 4 2" xfId="11244"/>
    <cellStyle name="Normal 5 2 3 5 4 4 3" xfId="16783"/>
    <cellStyle name="Normal 5 2 3 5 4 5" xfId="2407"/>
    <cellStyle name="Normal 5 2 3 5 4 5 2" xfId="7953"/>
    <cellStyle name="Normal 5 2 3 5 4 5 3" xfId="13492"/>
    <cellStyle name="Normal 5 2 3 5 4 6" xfId="6748"/>
    <cellStyle name="Normal 5 2 3 5 4 7" xfId="12287"/>
    <cellStyle name="Normal 5 2 3 5 5" xfId="823"/>
    <cellStyle name="Normal 5 2 3 5 5 2" xfId="3353"/>
    <cellStyle name="Normal 5 2 3 5 5 2 2" xfId="8895"/>
    <cellStyle name="Normal 5 2 3 5 5 2 3" xfId="14434"/>
    <cellStyle name="Normal 5 2 3 5 5 3" xfId="4390"/>
    <cellStyle name="Normal 5 2 3 5 5 3 2" xfId="9929"/>
    <cellStyle name="Normal 5 2 3 5 5 3 3" xfId="15468"/>
    <cellStyle name="Normal 5 2 3 5 5 4" xfId="5325"/>
    <cellStyle name="Normal 5 2 3 5 5 4 2" xfId="10864"/>
    <cellStyle name="Normal 5 2 3 5 5 4 3" xfId="16403"/>
    <cellStyle name="Normal 5 2 3 5 5 5" xfId="2027"/>
    <cellStyle name="Normal 5 2 3 5 5 5 2" xfId="7573"/>
    <cellStyle name="Normal 5 2 3 5 5 5 3" xfId="13112"/>
    <cellStyle name="Normal 5 2 3 5 5 6" xfId="6368"/>
    <cellStyle name="Normal 5 2 3 5 5 7" xfId="11907"/>
    <cellStyle name="Normal 5 2 3 5 6" xfId="1548"/>
    <cellStyle name="Normal 5 2 3 5 6 2" xfId="2753"/>
    <cellStyle name="Normal 5 2 3 5 6 2 2" xfId="8299"/>
    <cellStyle name="Normal 5 2 3 5 6 2 3" xfId="13838"/>
    <cellStyle name="Normal 5 2 3 5 6 3" xfId="7094"/>
    <cellStyle name="Normal 5 2 3 5 6 4" xfId="12633"/>
    <cellStyle name="Normal 5 2 3 5 7" xfId="2926"/>
    <cellStyle name="Normal 5 2 3 5 7 2" xfId="8470"/>
    <cellStyle name="Normal 5 2 3 5 7 3" xfId="14009"/>
    <cellStyle name="Normal 5 2 3 5 8" xfId="3049"/>
    <cellStyle name="Normal 5 2 3 5 8 2" xfId="8592"/>
    <cellStyle name="Normal 5 2 3 5 8 3" xfId="14131"/>
    <cellStyle name="Normal 5 2 3 5 9" xfId="4092"/>
    <cellStyle name="Normal 5 2 3 5 9 2" xfId="9633"/>
    <cellStyle name="Normal 5 2 3 5 9 3" xfId="15172"/>
    <cellStyle name="Normal 5 2 3 6" xfId="306"/>
    <cellStyle name="Normal 5 2 3 6 10" xfId="6069"/>
    <cellStyle name="Normal 5 2 3 6 10 2" xfId="17147"/>
    <cellStyle name="Normal 5 2 3 6 11" xfId="713"/>
    <cellStyle name="Normal 5 2 3 6 11 2" xfId="17309"/>
    <cellStyle name="Normal 5 2 3 6 12" xfId="11608"/>
    <cellStyle name="Normal 5 2 3 6 13" xfId="17476"/>
    <cellStyle name="Normal 5 2 3 6 14" xfId="17641"/>
    <cellStyle name="Normal 5 2 3 6 2" xfId="505"/>
    <cellStyle name="Normal 5 2 3 6 2 2" xfId="1346"/>
    <cellStyle name="Normal 5 2 3 6 2 2 2" xfId="3878"/>
    <cellStyle name="Normal 5 2 3 6 2 2 2 2" xfId="9420"/>
    <cellStyle name="Normal 5 2 3 6 2 2 2 3" xfId="14959"/>
    <cellStyle name="Normal 5 2 3 6 2 2 3" xfId="4915"/>
    <cellStyle name="Normal 5 2 3 6 2 2 3 2" xfId="10454"/>
    <cellStyle name="Normal 5 2 3 6 2 2 3 3" xfId="15993"/>
    <cellStyle name="Normal 5 2 3 6 2 2 4" xfId="5849"/>
    <cellStyle name="Normal 5 2 3 6 2 2 4 2" xfId="11388"/>
    <cellStyle name="Normal 5 2 3 6 2 2 4 3" xfId="16927"/>
    <cellStyle name="Normal 5 2 3 6 2 2 5" xfId="2551"/>
    <cellStyle name="Normal 5 2 3 6 2 2 5 2" xfId="8097"/>
    <cellStyle name="Normal 5 2 3 6 2 2 5 3" xfId="13636"/>
    <cellStyle name="Normal 5 2 3 6 2 2 6" xfId="6892"/>
    <cellStyle name="Normal 5 2 3 6 2 2 7" xfId="12431"/>
    <cellStyle name="Normal 5 2 3 6 2 3" xfId="1044"/>
    <cellStyle name="Normal 5 2 3 6 2 3 2" xfId="3574"/>
    <cellStyle name="Normal 5 2 3 6 2 3 2 2" xfId="9116"/>
    <cellStyle name="Normal 5 2 3 6 2 3 2 3" xfId="14655"/>
    <cellStyle name="Normal 5 2 3 6 2 3 3" xfId="4611"/>
    <cellStyle name="Normal 5 2 3 6 2 3 3 2" xfId="10150"/>
    <cellStyle name="Normal 5 2 3 6 2 3 3 3" xfId="15689"/>
    <cellStyle name="Normal 5 2 3 6 2 3 4" xfId="5546"/>
    <cellStyle name="Normal 5 2 3 6 2 3 4 2" xfId="11085"/>
    <cellStyle name="Normal 5 2 3 6 2 3 4 3" xfId="16624"/>
    <cellStyle name="Normal 5 2 3 6 2 3 5" xfId="2248"/>
    <cellStyle name="Normal 5 2 3 6 2 3 5 2" xfId="7794"/>
    <cellStyle name="Normal 5 2 3 6 2 3 5 3" xfId="13333"/>
    <cellStyle name="Normal 5 2 3 6 2 3 6" xfId="6589"/>
    <cellStyle name="Normal 5 2 3 6 2 3 7" xfId="12128"/>
    <cellStyle name="Normal 5 2 3 6 2 4" xfId="3164"/>
    <cellStyle name="Normal 5 2 3 6 2 4 2" xfId="8706"/>
    <cellStyle name="Normal 5 2 3 6 2 4 3" xfId="14245"/>
    <cellStyle name="Normal 5 2 3 6 2 5" xfId="4203"/>
    <cellStyle name="Normal 5 2 3 6 2 5 2" xfId="9742"/>
    <cellStyle name="Normal 5 2 3 6 2 5 3" xfId="15281"/>
    <cellStyle name="Normal 5 2 3 6 2 6" xfId="5164"/>
    <cellStyle name="Normal 5 2 3 6 2 6 2" xfId="10703"/>
    <cellStyle name="Normal 5 2 3 6 2 6 3" xfId="16242"/>
    <cellStyle name="Normal 5 2 3 6 2 7" xfId="1866"/>
    <cellStyle name="Normal 5 2 3 6 2 7 2" xfId="7412"/>
    <cellStyle name="Normal 5 2 3 6 2 7 3" xfId="12951"/>
    <cellStyle name="Normal 5 2 3 6 2 8" xfId="6207"/>
    <cellStyle name="Normal 5 2 3 6 2 9" xfId="11746"/>
    <cellStyle name="Normal 5 2 3 6 3" xfId="1221"/>
    <cellStyle name="Normal 5 2 3 6 3 2" xfId="3751"/>
    <cellStyle name="Normal 5 2 3 6 3 2 2" xfId="9293"/>
    <cellStyle name="Normal 5 2 3 6 3 2 3" xfId="14832"/>
    <cellStyle name="Normal 5 2 3 6 3 3" xfId="4788"/>
    <cellStyle name="Normal 5 2 3 6 3 3 2" xfId="10327"/>
    <cellStyle name="Normal 5 2 3 6 3 3 3" xfId="15866"/>
    <cellStyle name="Normal 5 2 3 6 3 4" xfId="5723"/>
    <cellStyle name="Normal 5 2 3 6 3 4 2" xfId="11262"/>
    <cellStyle name="Normal 5 2 3 6 3 4 3" xfId="16801"/>
    <cellStyle name="Normal 5 2 3 6 3 5" xfId="2425"/>
    <cellStyle name="Normal 5 2 3 6 3 5 2" xfId="7971"/>
    <cellStyle name="Normal 5 2 3 6 3 5 3" xfId="13510"/>
    <cellStyle name="Normal 5 2 3 6 3 6" xfId="6766"/>
    <cellStyle name="Normal 5 2 3 6 3 7" xfId="12305"/>
    <cellStyle name="Normal 5 2 3 6 4" xfId="825"/>
    <cellStyle name="Normal 5 2 3 6 4 2" xfId="3355"/>
    <cellStyle name="Normal 5 2 3 6 4 2 2" xfId="8897"/>
    <cellStyle name="Normal 5 2 3 6 4 2 3" xfId="14436"/>
    <cellStyle name="Normal 5 2 3 6 4 3" xfId="4392"/>
    <cellStyle name="Normal 5 2 3 6 4 3 2" xfId="9931"/>
    <cellStyle name="Normal 5 2 3 6 4 3 3" xfId="15470"/>
    <cellStyle name="Normal 5 2 3 6 4 4" xfId="5327"/>
    <cellStyle name="Normal 5 2 3 6 4 4 2" xfId="10866"/>
    <cellStyle name="Normal 5 2 3 6 4 4 3" xfId="16405"/>
    <cellStyle name="Normal 5 2 3 6 4 5" xfId="2029"/>
    <cellStyle name="Normal 5 2 3 6 4 5 2" xfId="7575"/>
    <cellStyle name="Normal 5 2 3 6 4 5 3" xfId="13114"/>
    <cellStyle name="Normal 5 2 3 6 4 6" xfId="6370"/>
    <cellStyle name="Normal 5 2 3 6 4 7" xfId="11909"/>
    <cellStyle name="Normal 5 2 3 6 5" xfId="1566"/>
    <cellStyle name="Normal 5 2 3 6 5 2" xfId="2771"/>
    <cellStyle name="Normal 5 2 3 6 5 2 2" xfId="8317"/>
    <cellStyle name="Normal 5 2 3 6 5 2 3" xfId="13856"/>
    <cellStyle name="Normal 5 2 3 6 5 3" xfId="7112"/>
    <cellStyle name="Normal 5 2 3 6 5 4" xfId="12651"/>
    <cellStyle name="Normal 5 2 3 6 6" xfId="2944"/>
    <cellStyle name="Normal 5 2 3 6 6 2" xfId="8488"/>
    <cellStyle name="Normal 5 2 3 6 6 3" xfId="14027"/>
    <cellStyle name="Normal 5 2 3 6 7" xfId="3040"/>
    <cellStyle name="Normal 5 2 3 6 7 2" xfId="8583"/>
    <cellStyle name="Normal 5 2 3 6 7 3" xfId="14122"/>
    <cellStyle name="Normal 5 2 3 6 8" xfId="4083"/>
    <cellStyle name="Normal 5 2 3 6 8 2" xfId="9624"/>
    <cellStyle name="Normal 5 2 3 6 8 3" xfId="15163"/>
    <cellStyle name="Normal 5 2 3 6 9" xfId="1728"/>
    <cellStyle name="Normal 5 2 3 6 9 2" xfId="7274"/>
    <cellStyle name="Normal 5 2 3 6 9 3" xfId="12813"/>
    <cellStyle name="Normal 5 2 3 7" xfId="307"/>
    <cellStyle name="Normal 5 2 3 7 10" xfId="5997"/>
    <cellStyle name="Normal 5 2 3 7 10 2" xfId="17075"/>
    <cellStyle name="Normal 5 2 3 7 11" xfId="641"/>
    <cellStyle name="Normal 5 2 3 7 11 2" xfId="17237"/>
    <cellStyle name="Normal 5 2 3 7 12" xfId="11536"/>
    <cellStyle name="Normal 5 2 3 7 13" xfId="17404"/>
    <cellStyle name="Normal 5 2 3 7 14" xfId="17569"/>
    <cellStyle name="Normal 5 2 3 7 2" xfId="506"/>
    <cellStyle name="Normal 5 2 3 7 2 2" xfId="1347"/>
    <cellStyle name="Normal 5 2 3 7 2 2 2" xfId="3879"/>
    <cellStyle name="Normal 5 2 3 7 2 2 2 2" xfId="9421"/>
    <cellStyle name="Normal 5 2 3 7 2 2 2 3" xfId="14960"/>
    <cellStyle name="Normal 5 2 3 7 2 2 3" xfId="4916"/>
    <cellStyle name="Normal 5 2 3 7 2 2 3 2" xfId="10455"/>
    <cellStyle name="Normal 5 2 3 7 2 2 3 3" xfId="15994"/>
    <cellStyle name="Normal 5 2 3 7 2 2 4" xfId="5850"/>
    <cellStyle name="Normal 5 2 3 7 2 2 4 2" xfId="11389"/>
    <cellStyle name="Normal 5 2 3 7 2 2 4 3" xfId="16928"/>
    <cellStyle name="Normal 5 2 3 7 2 2 5" xfId="2552"/>
    <cellStyle name="Normal 5 2 3 7 2 2 5 2" xfId="8098"/>
    <cellStyle name="Normal 5 2 3 7 2 2 5 3" xfId="13637"/>
    <cellStyle name="Normal 5 2 3 7 2 2 6" xfId="6893"/>
    <cellStyle name="Normal 5 2 3 7 2 2 7" xfId="12432"/>
    <cellStyle name="Normal 5 2 3 7 2 3" xfId="972"/>
    <cellStyle name="Normal 5 2 3 7 2 3 2" xfId="3502"/>
    <cellStyle name="Normal 5 2 3 7 2 3 2 2" xfId="9044"/>
    <cellStyle name="Normal 5 2 3 7 2 3 2 3" xfId="14583"/>
    <cellStyle name="Normal 5 2 3 7 2 3 3" xfId="4539"/>
    <cellStyle name="Normal 5 2 3 7 2 3 3 2" xfId="10078"/>
    <cellStyle name="Normal 5 2 3 7 2 3 3 3" xfId="15617"/>
    <cellStyle name="Normal 5 2 3 7 2 3 4" xfId="5474"/>
    <cellStyle name="Normal 5 2 3 7 2 3 4 2" xfId="11013"/>
    <cellStyle name="Normal 5 2 3 7 2 3 4 3" xfId="16552"/>
    <cellStyle name="Normal 5 2 3 7 2 3 5" xfId="2176"/>
    <cellStyle name="Normal 5 2 3 7 2 3 5 2" xfId="7722"/>
    <cellStyle name="Normal 5 2 3 7 2 3 5 3" xfId="13261"/>
    <cellStyle name="Normal 5 2 3 7 2 3 6" xfId="6517"/>
    <cellStyle name="Normal 5 2 3 7 2 3 7" xfId="12056"/>
    <cellStyle name="Normal 5 2 3 7 2 4" xfId="3165"/>
    <cellStyle name="Normal 5 2 3 7 2 4 2" xfId="8707"/>
    <cellStyle name="Normal 5 2 3 7 2 4 3" xfId="14246"/>
    <cellStyle name="Normal 5 2 3 7 2 5" xfId="4204"/>
    <cellStyle name="Normal 5 2 3 7 2 5 2" xfId="9743"/>
    <cellStyle name="Normal 5 2 3 7 2 5 3" xfId="15282"/>
    <cellStyle name="Normal 5 2 3 7 2 6" xfId="5165"/>
    <cellStyle name="Normal 5 2 3 7 2 6 2" xfId="10704"/>
    <cellStyle name="Normal 5 2 3 7 2 6 3" xfId="16243"/>
    <cellStyle name="Normal 5 2 3 7 2 7" xfId="1867"/>
    <cellStyle name="Normal 5 2 3 7 2 7 2" xfId="7413"/>
    <cellStyle name="Normal 5 2 3 7 2 7 3" xfId="12952"/>
    <cellStyle name="Normal 5 2 3 7 2 8" xfId="6208"/>
    <cellStyle name="Normal 5 2 3 7 2 9" xfId="11747"/>
    <cellStyle name="Normal 5 2 3 7 3" xfId="1149"/>
    <cellStyle name="Normal 5 2 3 7 3 2" xfId="3679"/>
    <cellStyle name="Normal 5 2 3 7 3 2 2" xfId="9221"/>
    <cellStyle name="Normal 5 2 3 7 3 2 3" xfId="14760"/>
    <cellStyle name="Normal 5 2 3 7 3 3" xfId="4716"/>
    <cellStyle name="Normal 5 2 3 7 3 3 2" xfId="10255"/>
    <cellStyle name="Normal 5 2 3 7 3 3 3" xfId="15794"/>
    <cellStyle name="Normal 5 2 3 7 3 4" xfId="5651"/>
    <cellStyle name="Normal 5 2 3 7 3 4 2" xfId="11190"/>
    <cellStyle name="Normal 5 2 3 7 3 4 3" xfId="16729"/>
    <cellStyle name="Normal 5 2 3 7 3 5" xfId="2353"/>
    <cellStyle name="Normal 5 2 3 7 3 5 2" xfId="7899"/>
    <cellStyle name="Normal 5 2 3 7 3 5 3" xfId="13438"/>
    <cellStyle name="Normal 5 2 3 7 3 6" xfId="6694"/>
    <cellStyle name="Normal 5 2 3 7 3 7" xfId="12233"/>
    <cellStyle name="Normal 5 2 3 7 4" xfId="826"/>
    <cellStyle name="Normal 5 2 3 7 4 2" xfId="3356"/>
    <cellStyle name="Normal 5 2 3 7 4 2 2" xfId="8898"/>
    <cellStyle name="Normal 5 2 3 7 4 2 3" xfId="14437"/>
    <cellStyle name="Normal 5 2 3 7 4 3" xfId="4393"/>
    <cellStyle name="Normal 5 2 3 7 4 3 2" xfId="9932"/>
    <cellStyle name="Normal 5 2 3 7 4 3 3" xfId="15471"/>
    <cellStyle name="Normal 5 2 3 7 4 4" xfId="5328"/>
    <cellStyle name="Normal 5 2 3 7 4 4 2" xfId="10867"/>
    <cellStyle name="Normal 5 2 3 7 4 4 3" xfId="16406"/>
    <cellStyle name="Normal 5 2 3 7 4 5" xfId="2030"/>
    <cellStyle name="Normal 5 2 3 7 4 5 2" xfId="7576"/>
    <cellStyle name="Normal 5 2 3 7 4 5 3" xfId="13115"/>
    <cellStyle name="Normal 5 2 3 7 4 6" xfId="6371"/>
    <cellStyle name="Normal 5 2 3 7 4 7" xfId="11910"/>
    <cellStyle name="Normal 5 2 3 7 5" xfId="1494"/>
    <cellStyle name="Normal 5 2 3 7 5 2" xfId="2699"/>
    <cellStyle name="Normal 5 2 3 7 5 2 2" xfId="8245"/>
    <cellStyle name="Normal 5 2 3 7 5 2 3" xfId="13784"/>
    <cellStyle name="Normal 5 2 3 7 5 3" xfId="7040"/>
    <cellStyle name="Normal 5 2 3 7 5 4" xfId="12579"/>
    <cellStyle name="Normal 5 2 3 7 6" xfId="2872"/>
    <cellStyle name="Normal 5 2 3 7 6 2" xfId="8416"/>
    <cellStyle name="Normal 5 2 3 7 6 3" xfId="13955"/>
    <cellStyle name="Normal 5 2 3 7 7" xfId="3012"/>
    <cellStyle name="Normal 5 2 3 7 7 2" xfId="8556"/>
    <cellStyle name="Normal 5 2 3 7 7 3" xfId="14095"/>
    <cellStyle name="Normal 5 2 3 7 8" xfId="4057"/>
    <cellStyle name="Normal 5 2 3 7 8 2" xfId="9599"/>
    <cellStyle name="Normal 5 2 3 7 8 3" xfId="15138"/>
    <cellStyle name="Normal 5 2 3 7 9" xfId="1656"/>
    <cellStyle name="Normal 5 2 3 7 9 2" xfId="7202"/>
    <cellStyle name="Normal 5 2 3 7 9 3" xfId="12741"/>
    <cellStyle name="Normal 5 2 3 8" xfId="455"/>
    <cellStyle name="Normal 5 2 3 8 2" xfId="1297"/>
    <cellStyle name="Normal 5 2 3 8 2 2" xfId="3828"/>
    <cellStyle name="Normal 5 2 3 8 2 2 2" xfId="9370"/>
    <cellStyle name="Normal 5 2 3 8 2 2 3" xfId="14909"/>
    <cellStyle name="Normal 5 2 3 8 2 3" xfId="4865"/>
    <cellStyle name="Normal 5 2 3 8 2 3 2" xfId="10404"/>
    <cellStyle name="Normal 5 2 3 8 2 3 3" xfId="15943"/>
    <cellStyle name="Normal 5 2 3 8 2 4" xfId="5800"/>
    <cellStyle name="Normal 5 2 3 8 2 4 2" xfId="11339"/>
    <cellStyle name="Normal 5 2 3 8 2 4 3" xfId="16878"/>
    <cellStyle name="Normal 5 2 3 8 2 5" xfId="2502"/>
    <cellStyle name="Normal 5 2 3 8 2 5 2" xfId="8048"/>
    <cellStyle name="Normal 5 2 3 8 2 5 3" xfId="13587"/>
    <cellStyle name="Normal 5 2 3 8 2 6" xfId="6843"/>
    <cellStyle name="Normal 5 2 3 8 2 7" xfId="12382"/>
    <cellStyle name="Normal 5 2 3 8 3" xfId="954"/>
    <cellStyle name="Normal 5 2 3 8 3 2" xfId="3484"/>
    <cellStyle name="Normal 5 2 3 8 3 2 2" xfId="9026"/>
    <cellStyle name="Normal 5 2 3 8 3 2 3" xfId="14565"/>
    <cellStyle name="Normal 5 2 3 8 3 3" xfId="4521"/>
    <cellStyle name="Normal 5 2 3 8 3 3 2" xfId="10060"/>
    <cellStyle name="Normal 5 2 3 8 3 3 3" xfId="15599"/>
    <cellStyle name="Normal 5 2 3 8 3 4" xfId="5456"/>
    <cellStyle name="Normal 5 2 3 8 3 4 2" xfId="10995"/>
    <cellStyle name="Normal 5 2 3 8 3 4 3" xfId="16534"/>
    <cellStyle name="Normal 5 2 3 8 3 5" xfId="2158"/>
    <cellStyle name="Normal 5 2 3 8 3 5 2" xfId="7704"/>
    <cellStyle name="Normal 5 2 3 8 3 5 3" xfId="13243"/>
    <cellStyle name="Normal 5 2 3 8 3 6" xfId="6499"/>
    <cellStyle name="Normal 5 2 3 8 3 7" xfId="12038"/>
    <cellStyle name="Normal 5 2 3 8 4" xfId="3105"/>
    <cellStyle name="Normal 5 2 3 8 4 2" xfId="8648"/>
    <cellStyle name="Normal 5 2 3 8 4 3" xfId="14187"/>
    <cellStyle name="Normal 5 2 3 8 5" xfId="4148"/>
    <cellStyle name="Normal 5 2 3 8 5 2" xfId="9689"/>
    <cellStyle name="Normal 5 2 3 8 5 3" xfId="15228"/>
    <cellStyle name="Normal 5 2 3 8 6" xfId="5115"/>
    <cellStyle name="Normal 5 2 3 8 6 2" xfId="10654"/>
    <cellStyle name="Normal 5 2 3 8 6 3" xfId="16193"/>
    <cellStyle name="Normal 5 2 3 8 7" xfId="1817"/>
    <cellStyle name="Normal 5 2 3 8 7 2" xfId="7363"/>
    <cellStyle name="Normal 5 2 3 8 7 3" xfId="12902"/>
    <cellStyle name="Normal 5 2 3 8 8" xfId="6158"/>
    <cellStyle name="Normal 5 2 3 8 9" xfId="11697"/>
    <cellStyle name="Normal 5 2 3 9" xfId="1131"/>
    <cellStyle name="Normal 5 2 3 9 2" xfId="3661"/>
    <cellStyle name="Normal 5 2 3 9 2 2" xfId="9203"/>
    <cellStyle name="Normal 5 2 3 9 2 3" xfId="14742"/>
    <cellStyle name="Normal 5 2 3 9 3" xfId="4698"/>
    <cellStyle name="Normal 5 2 3 9 3 2" xfId="10237"/>
    <cellStyle name="Normal 5 2 3 9 3 3" xfId="15776"/>
    <cellStyle name="Normal 5 2 3 9 4" xfId="5633"/>
    <cellStyle name="Normal 5 2 3 9 4 2" xfId="11172"/>
    <cellStyle name="Normal 5 2 3 9 4 3" xfId="16711"/>
    <cellStyle name="Normal 5 2 3 9 5" xfId="2335"/>
    <cellStyle name="Normal 5 2 3 9 5 2" xfId="7881"/>
    <cellStyle name="Normal 5 2 3 9 5 3" xfId="13420"/>
    <cellStyle name="Normal 5 2 3 9 6" xfId="6676"/>
    <cellStyle name="Normal 5 2 3 9 7" xfId="12215"/>
    <cellStyle name="Normal 5 2 4" xfId="252"/>
    <cellStyle name="Normal 5 2 4 10" xfId="1482"/>
    <cellStyle name="Normal 5 2 4 10 2" xfId="2687"/>
    <cellStyle name="Normal 5 2 4 10 2 2" xfId="8233"/>
    <cellStyle name="Normal 5 2 4 10 2 3" xfId="13772"/>
    <cellStyle name="Normal 5 2 4 10 3" xfId="7028"/>
    <cellStyle name="Normal 5 2 4 10 4" xfId="12567"/>
    <cellStyle name="Normal 5 2 4 11" xfId="2860"/>
    <cellStyle name="Normal 5 2 4 11 2" xfId="8404"/>
    <cellStyle name="Normal 5 2 4 11 3" xfId="13943"/>
    <cellStyle name="Normal 5 2 4 12" xfId="2844"/>
    <cellStyle name="Normal 5 2 4 12 2" xfId="8390"/>
    <cellStyle name="Normal 5 2 4 12 3" xfId="13929"/>
    <cellStyle name="Normal 5 2 4 13" xfId="3017"/>
    <cellStyle name="Normal 5 2 4 13 2" xfId="8561"/>
    <cellStyle name="Normal 5 2 4 13 3" xfId="14100"/>
    <cellStyle name="Normal 5 2 4 14" xfId="1644"/>
    <cellStyle name="Normal 5 2 4 14 2" xfId="7190"/>
    <cellStyle name="Normal 5 2 4 14 3" xfId="12729"/>
    <cellStyle name="Normal 5 2 4 15" xfId="5985"/>
    <cellStyle name="Normal 5 2 4 15 2" xfId="17063"/>
    <cellStyle name="Normal 5 2 4 16" xfId="629"/>
    <cellStyle name="Normal 5 2 4 16 2" xfId="17225"/>
    <cellStyle name="Normal 5 2 4 17" xfId="11524"/>
    <cellStyle name="Normal 5 2 4 18" xfId="17392"/>
    <cellStyle name="Normal 5 2 4 19" xfId="17557"/>
    <cellStyle name="Normal 5 2 4 2" xfId="308"/>
    <cellStyle name="Normal 5 2 4 2 10" xfId="1698"/>
    <cellStyle name="Normal 5 2 4 2 10 2" xfId="7244"/>
    <cellStyle name="Normal 5 2 4 2 10 3" xfId="12783"/>
    <cellStyle name="Normal 5 2 4 2 11" xfId="6039"/>
    <cellStyle name="Normal 5 2 4 2 11 2" xfId="17117"/>
    <cellStyle name="Normal 5 2 4 2 12" xfId="683"/>
    <cellStyle name="Normal 5 2 4 2 12 2" xfId="17279"/>
    <cellStyle name="Normal 5 2 4 2 13" xfId="11578"/>
    <cellStyle name="Normal 5 2 4 2 14" xfId="17446"/>
    <cellStyle name="Normal 5 2 4 2 15" xfId="17611"/>
    <cellStyle name="Normal 5 2 4 2 2" xfId="309"/>
    <cellStyle name="Normal 5 2 4 2 2 10" xfId="6129"/>
    <cellStyle name="Normal 5 2 4 2 2 10 2" xfId="17207"/>
    <cellStyle name="Normal 5 2 4 2 2 11" xfId="773"/>
    <cellStyle name="Normal 5 2 4 2 2 11 2" xfId="17369"/>
    <cellStyle name="Normal 5 2 4 2 2 12" xfId="11668"/>
    <cellStyle name="Normal 5 2 4 2 2 13" xfId="17536"/>
    <cellStyle name="Normal 5 2 4 2 2 14" xfId="17701"/>
    <cellStyle name="Normal 5 2 4 2 2 2" xfId="508"/>
    <cellStyle name="Normal 5 2 4 2 2 2 2" xfId="1349"/>
    <cellStyle name="Normal 5 2 4 2 2 2 2 2" xfId="3881"/>
    <cellStyle name="Normal 5 2 4 2 2 2 2 2 2" xfId="9423"/>
    <cellStyle name="Normal 5 2 4 2 2 2 2 2 3" xfId="14962"/>
    <cellStyle name="Normal 5 2 4 2 2 2 2 3" xfId="4918"/>
    <cellStyle name="Normal 5 2 4 2 2 2 2 3 2" xfId="10457"/>
    <cellStyle name="Normal 5 2 4 2 2 2 2 3 3" xfId="15996"/>
    <cellStyle name="Normal 5 2 4 2 2 2 2 4" xfId="5852"/>
    <cellStyle name="Normal 5 2 4 2 2 2 2 4 2" xfId="11391"/>
    <cellStyle name="Normal 5 2 4 2 2 2 2 4 3" xfId="16930"/>
    <cellStyle name="Normal 5 2 4 2 2 2 2 5" xfId="2554"/>
    <cellStyle name="Normal 5 2 4 2 2 2 2 5 2" xfId="8100"/>
    <cellStyle name="Normal 5 2 4 2 2 2 2 5 3" xfId="13639"/>
    <cellStyle name="Normal 5 2 4 2 2 2 2 6" xfId="6895"/>
    <cellStyle name="Normal 5 2 4 2 2 2 2 7" xfId="12434"/>
    <cellStyle name="Normal 5 2 4 2 2 2 3" xfId="1104"/>
    <cellStyle name="Normal 5 2 4 2 2 2 3 2" xfId="3634"/>
    <cellStyle name="Normal 5 2 4 2 2 2 3 2 2" xfId="9176"/>
    <cellStyle name="Normal 5 2 4 2 2 2 3 2 3" xfId="14715"/>
    <cellStyle name="Normal 5 2 4 2 2 2 3 3" xfId="4671"/>
    <cellStyle name="Normal 5 2 4 2 2 2 3 3 2" xfId="10210"/>
    <cellStyle name="Normal 5 2 4 2 2 2 3 3 3" xfId="15749"/>
    <cellStyle name="Normal 5 2 4 2 2 2 3 4" xfId="5606"/>
    <cellStyle name="Normal 5 2 4 2 2 2 3 4 2" xfId="11145"/>
    <cellStyle name="Normal 5 2 4 2 2 2 3 4 3" xfId="16684"/>
    <cellStyle name="Normal 5 2 4 2 2 2 3 5" xfId="2308"/>
    <cellStyle name="Normal 5 2 4 2 2 2 3 5 2" xfId="7854"/>
    <cellStyle name="Normal 5 2 4 2 2 2 3 5 3" xfId="13393"/>
    <cellStyle name="Normal 5 2 4 2 2 2 3 6" xfId="6649"/>
    <cellStyle name="Normal 5 2 4 2 2 2 3 7" xfId="12188"/>
    <cellStyle name="Normal 5 2 4 2 2 2 4" xfId="3167"/>
    <cellStyle name="Normal 5 2 4 2 2 2 4 2" xfId="8709"/>
    <cellStyle name="Normal 5 2 4 2 2 2 4 3" xfId="14248"/>
    <cellStyle name="Normal 5 2 4 2 2 2 5" xfId="4206"/>
    <cellStyle name="Normal 5 2 4 2 2 2 5 2" xfId="9745"/>
    <cellStyle name="Normal 5 2 4 2 2 2 5 3" xfId="15284"/>
    <cellStyle name="Normal 5 2 4 2 2 2 6" xfId="5167"/>
    <cellStyle name="Normal 5 2 4 2 2 2 6 2" xfId="10706"/>
    <cellStyle name="Normal 5 2 4 2 2 2 6 3" xfId="16245"/>
    <cellStyle name="Normal 5 2 4 2 2 2 7" xfId="1869"/>
    <cellStyle name="Normal 5 2 4 2 2 2 7 2" xfId="7415"/>
    <cellStyle name="Normal 5 2 4 2 2 2 7 3" xfId="12954"/>
    <cellStyle name="Normal 5 2 4 2 2 2 8" xfId="6210"/>
    <cellStyle name="Normal 5 2 4 2 2 2 9" xfId="11749"/>
    <cellStyle name="Normal 5 2 4 2 2 3" xfId="1281"/>
    <cellStyle name="Normal 5 2 4 2 2 3 2" xfId="3811"/>
    <cellStyle name="Normal 5 2 4 2 2 3 2 2" xfId="9353"/>
    <cellStyle name="Normal 5 2 4 2 2 3 2 3" xfId="14892"/>
    <cellStyle name="Normal 5 2 4 2 2 3 3" xfId="4848"/>
    <cellStyle name="Normal 5 2 4 2 2 3 3 2" xfId="10387"/>
    <cellStyle name="Normal 5 2 4 2 2 3 3 3" xfId="15926"/>
    <cellStyle name="Normal 5 2 4 2 2 3 4" xfId="5783"/>
    <cellStyle name="Normal 5 2 4 2 2 3 4 2" xfId="11322"/>
    <cellStyle name="Normal 5 2 4 2 2 3 4 3" xfId="16861"/>
    <cellStyle name="Normal 5 2 4 2 2 3 5" xfId="2485"/>
    <cellStyle name="Normal 5 2 4 2 2 3 5 2" xfId="8031"/>
    <cellStyle name="Normal 5 2 4 2 2 3 5 3" xfId="13570"/>
    <cellStyle name="Normal 5 2 4 2 2 3 6" xfId="6826"/>
    <cellStyle name="Normal 5 2 4 2 2 3 7" xfId="12365"/>
    <cellStyle name="Normal 5 2 4 2 2 4" xfId="829"/>
    <cellStyle name="Normal 5 2 4 2 2 4 2" xfId="3359"/>
    <cellStyle name="Normal 5 2 4 2 2 4 2 2" xfId="8901"/>
    <cellStyle name="Normal 5 2 4 2 2 4 2 3" xfId="14440"/>
    <cellStyle name="Normal 5 2 4 2 2 4 3" xfId="4396"/>
    <cellStyle name="Normal 5 2 4 2 2 4 3 2" xfId="9935"/>
    <cellStyle name="Normal 5 2 4 2 2 4 3 3" xfId="15474"/>
    <cellStyle name="Normal 5 2 4 2 2 4 4" xfId="5331"/>
    <cellStyle name="Normal 5 2 4 2 2 4 4 2" xfId="10870"/>
    <cellStyle name="Normal 5 2 4 2 2 4 4 3" xfId="16409"/>
    <cellStyle name="Normal 5 2 4 2 2 4 5" xfId="2033"/>
    <cellStyle name="Normal 5 2 4 2 2 4 5 2" xfId="7579"/>
    <cellStyle name="Normal 5 2 4 2 2 4 5 3" xfId="13118"/>
    <cellStyle name="Normal 5 2 4 2 2 4 6" xfId="6374"/>
    <cellStyle name="Normal 5 2 4 2 2 4 7" xfId="11913"/>
    <cellStyle name="Normal 5 2 4 2 2 5" xfId="1626"/>
    <cellStyle name="Normal 5 2 4 2 2 5 2" xfId="2831"/>
    <cellStyle name="Normal 5 2 4 2 2 5 2 2" xfId="8377"/>
    <cellStyle name="Normal 5 2 4 2 2 5 2 3" xfId="13916"/>
    <cellStyle name="Normal 5 2 4 2 2 5 3" xfId="7172"/>
    <cellStyle name="Normal 5 2 4 2 2 5 4" xfId="12711"/>
    <cellStyle name="Normal 5 2 4 2 2 6" xfId="3004"/>
    <cellStyle name="Normal 5 2 4 2 2 6 2" xfId="8548"/>
    <cellStyle name="Normal 5 2 4 2 2 6 3" xfId="14087"/>
    <cellStyle name="Normal 5 2 4 2 2 7" xfId="4049"/>
    <cellStyle name="Normal 5 2 4 2 2 7 2" xfId="9591"/>
    <cellStyle name="Normal 5 2 4 2 2 7 3" xfId="15130"/>
    <cellStyle name="Normal 5 2 4 2 2 8" xfId="5086"/>
    <cellStyle name="Normal 5 2 4 2 2 8 2" xfId="10625"/>
    <cellStyle name="Normal 5 2 4 2 2 8 3" xfId="16164"/>
    <cellStyle name="Normal 5 2 4 2 2 9" xfId="1788"/>
    <cellStyle name="Normal 5 2 4 2 2 9 2" xfId="7334"/>
    <cellStyle name="Normal 5 2 4 2 2 9 3" xfId="12873"/>
    <cellStyle name="Normal 5 2 4 2 3" xfId="507"/>
    <cellStyle name="Normal 5 2 4 2 3 2" xfId="1348"/>
    <cellStyle name="Normal 5 2 4 2 3 2 2" xfId="3880"/>
    <cellStyle name="Normal 5 2 4 2 3 2 2 2" xfId="9422"/>
    <cellStyle name="Normal 5 2 4 2 3 2 2 3" xfId="14961"/>
    <cellStyle name="Normal 5 2 4 2 3 2 3" xfId="4917"/>
    <cellStyle name="Normal 5 2 4 2 3 2 3 2" xfId="10456"/>
    <cellStyle name="Normal 5 2 4 2 3 2 3 3" xfId="15995"/>
    <cellStyle name="Normal 5 2 4 2 3 2 4" xfId="5851"/>
    <cellStyle name="Normal 5 2 4 2 3 2 4 2" xfId="11390"/>
    <cellStyle name="Normal 5 2 4 2 3 2 4 3" xfId="16929"/>
    <cellStyle name="Normal 5 2 4 2 3 2 5" xfId="2553"/>
    <cellStyle name="Normal 5 2 4 2 3 2 5 2" xfId="8099"/>
    <cellStyle name="Normal 5 2 4 2 3 2 5 3" xfId="13638"/>
    <cellStyle name="Normal 5 2 4 2 3 2 6" xfId="6894"/>
    <cellStyle name="Normal 5 2 4 2 3 2 7" xfId="12433"/>
    <cellStyle name="Normal 5 2 4 2 3 3" xfId="1014"/>
    <cellStyle name="Normal 5 2 4 2 3 3 2" xfId="3544"/>
    <cellStyle name="Normal 5 2 4 2 3 3 2 2" xfId="9086"/>
    <cellStyle name="Normal 5 2 4 2 3 3 2 3" xfId="14625"/>
    <cellStyle name="Normal 5 2 4 2 3 3 3" xfId="4581"/>
    <cellStyle name="Normal 5 2 4 2 3 3 3 2" xfId="10120"/>
    <cellStyle name="Normal 5 2 4 2 3 3 3 3" xfId="15659"/>
    <cellStyle name="Normal 5 2 4 2 3 3 4" xfId="5516"/>
    <cellStyle name="Normal 5 2 4 2 3 3 4 2" xfId="11055"/>
    <cellStyle name="Normal 5 2 4 2 3 3 4 3" xfId="16594"/>
    <cellStyle name="Normal 5 2 4 2 3 3 5" xfId="2218"/>
    <cellStyle name="Normal 5 2 4 2 3 3 5 2" xfId="7764"/>
    <cellStyle name="Normal 5 2 4 2 3 3 5 3" xfId="13303"/>
    <cellStyle name="Normal 5 2 4 2 3 3 6" xfId="6559"/>
    <cellStyle name="Normal 5 2 4 2 3 3 7" xfId="12098"/>
    <cellStyle name="Normal 5 2 4 2 3 4" xfId="3166"/>
    <cellStyle name="Normal 5 2 4 2 3 4 2" xfId="8708"/>
    <cellStyle name="Normal 5 2 4 2 3 4 3" xfId="14247"/>
    <cellStyle name="Normal 5 2 4 2 3 5" xfId="4205"/>
    <cellStyle name="Normal 5 2 4 2 3 5 2" xfId="9744"/>
    <cellStyle name="Normal 5 2 4 2 3 5 3" xfId="15283"/>
    <cellStyle name="Normal 5 2 4 2 3 6" xfId="5166"/>
    <cellStyle name="Normal 5 2 4 2 3 6 2" xfId="10705"/>
    <cellStyle name="Normal 5 2 4 2 3 6 3" xfId="16244"/>
    <cellStyle name="Normal 5 2 4 2 3 7" xfId="1868"/>
    <cellStyle name="Normal 5 2 4 2 3 7 2" xfId="7414"/>
    <cellStyle name="Normal 5 2 4 2 3 7 3" xfId="12953"/>
    <cellStyle name="Normal 5 2 4 2 3 8" xfId="6209"/>
    <cellStyle name="Normal 5 2 4 2 3 9" xfId="11748"/>
    <cellStyle name="Normal 5 2 4 2 4" xfId="1191"/>
    <cellStyle name="Normal 5 2 4 2 4 2" xfId="3721"/>
    <cellStyle name="Normal 5 2 4 2 4 2 2" xfId="9263"/>
    <cellStyle name="Normal 5 2 4 2 4 2 3" xfId="14802"/>
    <cellStyle name="Normal 5 2 4 2 4 3" xfId="4758"/>
    <cellStyle name="Normal 5 2 4 2 4 3 2" xfId="10297"/>
    <cellStyle name="Normal 5 2 4 2 4 3 3" xfId="15836"/>
    <cellStyle name="Normal 5 2 4 2 4 4" xfId="5693"/>
    <cellStyle name="Normal 5 2 4 2 4 4 2" xfId="11232"/>
    <cellStyle name="Normal 5 2 4 2 4 4 3" xfId="16771"/>
    <cellStyle name="Normal 5 2 4 2 4 5" xfId="2395"/>
    <cellStyle name="Normal 5 2 4 2 4 5 2" xfId="7941"/>
    <cellStyle name="Normal 5 2 4 2 4 5 3" xfId="13480"/>
    <cellStyle name="Normal 5 2 4 2 4 6" xfId="6736"/>
    <cellStyle name="Normal 5 2 4 2 4 7" xfId="12275"/>
    <cellStyle name="Normal 5 2 4 2 5" xfId="828"/>
    <cellStyle name="Normal 5 2 4 2 5 2" xfId="3358"/>
    <cellStyle name="Normal 5 2 4 2 5 2 2" xfId="8900"/>
    <cellStyle name="Normal 5 2 4 2 5 2 3" xfId="14439"/>
    <cellStyle name="Normal 5 2 4 2 5 3" xfId="4395"/>
    <cellStyle name="Normal 5 2 4 2 5 3 2" xfId="9934"/>
    <cellStyle name="Normal 5 2 4 2 5 3 3" xfId="15473"/>
    <cellStyle name="Normal 5 2 4 2 5 4" xfId="5330"/>
    <cellStyle name="Normal 5 2 4 2 5 4 2" xfId="10869"/>
    <cellStyle name="Normal 5 2 4 2 5 4 3" xfId="16408"/>
    <cellStyle name="Normal 5 2 4 2 5 5" xfId="2032"/>
    <cellStyle name="Normal 5 2 4 2 5 5 2" xfId="7578"/>
    <cellStyle name="Normal 5 2 4 2 5 5 3" xfId="13117"/>
    <cellStyle name="Normal 5 2 4 2 5 6" xfId="6373"/>
    <cellStyle name="Normal 5 2 4 2 5 7" xfId="11912"/>
    <cellStyle name="Normal 5 2 4 2 6" xfId="1536"/>
    <cellStyle name="Normal 5 2 4 2 6 2" xfId="2741"/>
    <cellStyle name="Normal 5 2 4 2 6 2 2" xfId="8287"/>
    <cellStyle name="Normal 5 2 4 2 6 2 3" xfId="13826"/>
    <cellStyle name="Normal 5 2 4 2 6 3" xfId="7082"/>
    <cellStyle name="Normal 5 2 4 2 6 4" xfId="12621"/>
    <cellStyle name="Normal 5 2 4 2 7" xfId="2914"/>
    <cellStyle name="Normal 5 2 4 2 7 2" xfId="8458"/>
    <cellStyle name="Normal 5 2 4 2 7 3" xfId="13997"/>
    <cellStyle name="Normal 5 2 4 2 8" xfId="3022"/>
    <cellStyle name="Normal 5 2 4 2 8 2" xfId="8566"/>
    <cellStyle name="Normal 5 2 4 2 8 3" xfId="14105"/>
    <cellStyle name="Normal 5 2 4 2 9" xfId="4066"/>
    <cellStyle name="Normal 5 2 4 2 9 2" xfId="9608"/>
    <cellStyle name="Normal 5 2 4 2 9 3" xfId="15147"/>
    <cellStyle name="Normal 5 2 4 3" xfId="310"/>
    <cellStyle name="Normal 5 2 4 3 10" xfId="1680"/>
    <cellStyle name="Normal 5 2 4 3 10 2" xfId="7226"/>
    <cellStyle name="Normal 5 2 4 3 10 3" xfId="12765"/>
    <cellStyle name="Normal 5 2 4 3 11" xfId="6021"/>
    <cellStyle name="Normal 5 2 4 3 11 2" xfId="17099"/>
    <cellStyle name="Normal 5 2 4 3 12" xfId="665"/>
    <cellStyle name="Normal 5 2 4 3 12 2" xfId="17261"/>
    <cellStyle name="Normal 5 2 4 3 13" xfId="11560"/>
    <cellStyle name="Normal 5 2 4 3 14" xfId="17428"/>
    <cellStyle name="Normal 5 2 4 3 15" xfId="17593"/>
    <cellStyle name="Normal 5 2 4 3 2" xfId="311"/>
    <cellStyle name="Normal 5 2 4 3 2 10" xfId="6111"/>
    <cellStyle name="Normal 5 2 4 3 2 10 2" xfId="17189"/>
    <cellStyle name="Normal 5 2 4 3 2 11" xfId="755"/>
    <cellStyle name="Normal 5 2 4 3 2 11 2" xfId="17351"/>
    <cellStyle name="Normal 5 2 4 3 2 12" xfId="11650"/>
    <cellStyle name="Normal 5 2 4 3 2 13" xfId="17518"/>
    <cellStyle name="Normal 5 2 4 3 2 14" xfId="17683"/>
    <cellStyle name="Normal 5 2 4 3 2 2" xfId="510"/>
    <cellStyle name="Normal 5 2 4 3 2 2 2" xfId="1351"/>
    <cellStyle name="Normal 5 2 4 3 2 2 2 2" xfId="3883"/>
    <cellStyle name="Normal 5 2 4 3 2 2 2 2 2" xfId="9425"/>
    <cellStyle name="Normal 5 2 4 3 2 2 2 2 3" xfId="14964"/>
    <cellStyle name="Normal 5 2 4 3 2 2 2 3" xfId="4920"/>
    <cellStyle name="Normal 5 2 4 3 2 2 2 3 2" xfId="10459"/>
    <cellStyle name="Normal 5 2 4 3 2 2 2 3 3" xfId="15998"/>
    <cellStyle name="Normal 5 2 4 3 2 2 2 4" xfId="5854"/>
    <cellStyle name="Normal 5 2 4 3 2 2 2 4 2" xfId="11393"/>
    <cellStyle name="Normal 5 2 4 3 2 2 2 4 3" xfId="16932"/>
    <cellStyle name="Normal 5 2 4 3 2 2 2 5" xfId="2556"/>
    <cellStyle name="Normal 5 2 4 3 2 2 2 5 2" xfId="8102"/>
    <cellStyle name="Normal 5 2 4 3 2 2 2 5 3" xfId="13641"/>
    <cellStyle name="Normal 5 2 4 3 2 2 2 6" xfId="6897"/>
    <cellStyle name="Normal 5 2 4 3 2 2 2 7" xfId="12436"/>
    <cellStyle name="Normal 5 2 4 3 2 2 3" xfId="1086"/>
    <cellStyle name="Normal 5 2 4 3 2 2 3 2" xfId="3616"/>
    <cellStyle name="Normal 5 2 4 3 2 2 3 2 2" xfId="9158"/>
    <cellStyle name="Normal 5 2 4 3 2 2 3 2 3" xfId="14697"/>
    <cellStyle name="Normal 5 2 4 3 2 2 3 3" xfId="4653"/>
    <cellStyle name="Normal 5 2 4 3 2 2 3 3 2" xfId="10192"/>
    <cellStyle name="Normal 5 2 4 3 2 2 3 3 3" xfId="15731"/>
    <cellStyle name="Normal 5 2 4 3 2 2 3 4" xfId="5588"/>
    <cellStyle name="Normal 5 2 4 3 2 2 3 4 2" xfId="11127"/>
    <cellStyle name="Normal 5 2 4 3 2 2 3 4 3" xfId="16666"/>
    <cellStyle name="Normal 5 2 4 3 2 2 3 5" xfId="2290"/>
    <cellStyle name="Normal 5 2 4 3 2 2 3 5 2" xfId="7836"/>
    <cellStyle name="Normal 5 2 4 3 2 2 3 5 3" xfId="13375"/>
    <cellStyle name="Normal 5 2 4 3 2 2 3 6" xfId="6631"/>
    <cellStyle name="Normal 5 2 4 3 2 2 3 7" xfId="12170"/>
    <cellStyle name="Normal 5 2 4 3 2 2 4" xfId="3169"/>
    <cellStyle name="Normal 5 2 4 3 2 2 4 2" xfId="8711"/>
    <cellStyle name="Normal 5 2 4 3 2 2 4 3" xfId="14250"/>
    <cellStyle name="Normal 5 2 4 3 2 2 5" xfId="4208"/>
    <cellStyle name="Normal 5 2 4 3 2 2 5 2" xfId="9747"/>
    <cellStyle name="Normal 5 2 4 3 2 2 5 3" xfId="15286"/>
    <cellStyle name="Normal 5 2 4 3 2 2 6" xfId="5169"/>
    <cellStyle name="Normal 5 2 4 3 2 2 6 2" xfId="10708"/>
    <cellStyle name="Normal 5 2 4 3 2 2 6 3" xfId="16247"/>
    <cellStyle name="Normal 5 2 4 3 2 2 7" xfId="1871"/>
    <cellStyle name="Normal 5 2 4 3 2 2 7 2" xfId="7417"/>
    <cellStyle name="Normal 5 2 4 3 2 2 7 3" xfId="12956"/>
    <cellStyle name="Normal 5 2 4 3 2 2 8" xfId="6212"/>
    <cellStyle name="Normal 5 2 4 3 2 2 9" xfId="11751"/>
    <cellStyle name="Normal 5 2 4 3 2 3" xfId="1263"/>
    <cellStyle name="Normal 5 2 4 3 2 3 2" xfId="3793"/>
    <cellStyle name="Normal 5 2 4 3 2 3 2 2" xfId="9335"/>
    <cellStyle name="Normal 5 2 4 3 2 3 2 3" xfId="14874"/>
    <cellStyle name="Normal 5 2 4 3 2 3 3" xfId="4830"/>
    <cellStyle name="Normal 5 2 4 3 2 3 3 2" xfId="10369"/>
    <cellStyle name="Normal 5 2 4 3 2 3 3 3" xfId="15908"/>
    <cellStyle name="Normal 5 2 4 3 2 3 4" xfId="5765"/>
    <cellStyle name="Normal 5 2 4 3 2 3 4 2" xfId="11304"/>
    <cellStyle name="Normal 5 2 4 3 2 3 4 3" xfId="16843"/>
    <cellStyle name="Normal 5 2 4 3 2 3 5" xfId="2467"/>
    <cellStyle name="Normal 5 2 4 3 2 3 5 2" xfId="8013"/>
    <cellStyle name="Normal 5 2 4 3 2 3 5 3" xfId="13552"/>
    <cellStyle name="Normal 5 2 4 3 2 3 6" xfId="6808"/>
    <cellStyle name="Normal 5 2 4 3 2 3 7" xfId="12347"/>
    <cellStyle name="Normal 5 2 4 3 2 4" xfId="831"/>
    <cellStyle name="Normal 5 2 4 3 2 4 2" xfId="3361"/>
    <cellStyle name="Normal 5 2 4 3 2 4 2 2" xfId="8903"/>
    <cellStyle name="Normal 5 2 4 3 2 4 2 3" xfId="14442"/>
    <cellStyle name="Normal 5 2 4 3 2 4 3" xfId="4398"/>
    <cellStyle name="Normal 5 2 4 3 2 4 3 2" xfId="9937"/>
    <cellStyle name="Normal 5 2 4 3 2 4 3 3" xfId="15476"/>
    <cellStyle name="Normal 5 2 4 3 2 4 4" xfId="5333"/>
    <cellStyle name="Normal 5 2 4 3 2 4 4 2" xfId="10872"/>
    <cellStyle name="Normal 5 2 4 3 2 4 4 3" xfId="16411"/>
    <cellStyle name="Normal 5 2 4 3 2 4 5" xfId="2035"/>
    <cellStyle name="Normal 5 2 4 3 2 4 5 2" xfId="7581"/>
    <cellStyle name="Normal 5 2 4 3 2 4 5 3" xfId="13120"/>
    <cellStyle name="Normal 5 2 4 3 2 4 6" xfId="6376"/>
    <cellStyle name="Normal 5 2 4 3 2 4 7" xfId="11915"/>
    <cellStyle name="Normal 5 2 4 3 2 5" xfId="1608"/>
    <cellStyle name="Normal 5 2 4 3 2 5 2" xfId="2813"/>
    <cellStyle name="Normal 5 2 4 3 2 5 2 2" xfId="8359"/>
    <cellStyle name="Normal 5 2 4 3 2 5 2 3" xfId="13898"/>
    <cellStyle name="Normal 5 2 4 3 2 5 3" xfId="7154"/>
    <cellStyle name="Normal 5 2 4 3 2 5 4" xfId="12693"/>
    <cellStyle name="Normal 5 2 4 3 2 6" xfId="2986"/>
    <cellStyle name="Normal 5 2 4 3 2 6 2" xfId="8530"/>
    <cellStyle name="Normal 5 2 4 3 2 6 3" xfId="14069"/>
    <cellStyle name="Normal 5 2 4 3 2 7" xfId="4031"/>
    <cellStyle name="Normal 5 2 4 3 2 7 2" xfId="9573"/>
    <cellStyle name="Normal 5 2 4 3 2 7 3" xfId="15112"/>
    <cellStyle name="Normal 5 2 4 3 2 8" xfId="5068"/>
    <cellStyle name="Normal 5 2 4 3 2 8 2" xfId="10607"/>
    <cellStyle name="Normal 5 2 4 3 2 8 3" xfId="16146"/>
    <cellStyle name="Normal 5 2 4 3 2 9" xfId="1770"/>
    <cellStyle name="Normal 5 2 4 3 2 9 2" xfId="7316"/>
    <cellStyle name="Normal 5 2 4 3 2 9 3" xfId="12855"/>
    <cellStyle name="Normal 5 2 4 3 3" xfId="509"/>
    <cellStyle name="Normal 5 2 4 3 3 2" xfId="1350"/>
    <cellStyle name="Normal 5 2 4 3 3 2 2" xfId="3882"/>
    <cellStyle name="Normal 5 2 4 3 3 2 2 2" xfId="9424"/>
    <cellStyle name="Normal 5 2 4 3 3 2 2 3" xfId="14963"/>
    <cellStyle name="Normal 5 2 4 3 3 2 3" xfId="4919"/>
    <cellStyle name="Normal 5 2 4 3 3 2 3 2" xfId="10458"/>
    <cellStyle name="Normal 5 2 4 3 3 2 3 3" xfId="15997"/>
    <cellStyle name="Normal 5 2 4 3 3 2 4" xfId="5853"/>
    <cellStyle name="Normal 5 2 4 3 3 2 4 2" xfId="11392"/>
    <cellStyle name="Normal 5 2 4 3 3 2 4 3" xfId="16931"/>
    <cellStyle name="Normal 5 2 4 3 3 2 5" xfId="2555"/>
    <cellStyle name="Normal 5 2 4 3 3 2 5 2" xfId="8101"/>
    <cellStyle name="Normal 5 2 4 3 3 2 5 3" xfId="13640"/>
    <cellStyle name="Normal 5 2 4 3 3 2 6" xfId="6896"/>
    <cellStyle name="Normal 5 2 4 3 3 2 7" xfId="12435"/>
    <cellStyle name="Normal 5 2 4 3 3 3" xfId="996"/>
    <cellStyle name="Normal 5 2 4 3 3 3 2" xfId="3526"/>
    <cellStyle name="Normal 5 2 4 3 3 3 2 2" xfId="9068"/>
    <cellStyle name="Normal 5 2 4 3 3 3 2 3" xfId="14607"/>
    <cellStyle name="Normal 5 2 4 3 3 3 3" xfId="4563"/>
    <cellStyle name="Normal 5 2 4 3 3 3 3 2" xfId="10102"/>
    <cellStyle name="Normal 5 2 4 3 3 3 3 3" xfId="15641"/>
    <cellStyle name="Normal 5 2 4 3 3 3 4" xfId="5498"/>
    <cellStyle name="Normal 5 2 4 3 3 3 4 2" xfId="11037"/>
    <cellStyle name="Normal 5 2 4 3 3 3 4 3" xfId="16576"/>
    <cellStyle name="Normal 5 2 4 3 3 3 5" xfId="2200"/>
    <cellStyle name="Normal 5 2 4 3 3 3 5 2" xfId="7746"/>
    <cellStyle name="Normal 5 2 4 3 3 3 5 3" xfId="13285"/>
    <cellStyle name="Normal 5 2 4 3 3 3 6" xfId="6541"/>
    <cellStyle name="Normal 5 2 4 3 3 3 7" xfId="12080"/>
    <cellStyle name="Normal 5 2 4 3 3 4" xfId="3168"/>
    <cellStyle name="Normal 5 2 4 3 3 4 2" xfId="8710"/>
    <cellStyle name="Normal 5 2 4 3 3 4 3" xfId="14249"/>
    <cellStyle name="Normal 5 2 4 3 3 5" xfId="4207"/>
    <cellStyle name="Normal 5 2 4 3 3 5 2" xfId="9746"/>
    <cellStyle name="Normal 5 2 4 3 3 5 3" xfId="15285"/>
    <cellStyle name="Normal 5 2 4 3 3 6" xfId="5168"/>
    <cellStyle name="Normal 5 2 4 3 3 6 2" xfId="10707"/>
    <cellStyle name="Normal 5 2 4 3 3 6 3" xfId="16246"/>
    <cellStyle name="Normal 5 2 4 3 3 7" xfId="1870"/>
    <cellStyle name="Normal 5 2 4 3 3 7 2" xfId="7416"/>
    <cellStyle name="Normal 5 2 4 3 3 7 3" xfId="12955"/>
    <cellStyle name="Normal 5 2 4 3 3 8" xfId="6211"/>
    <cellStyle name="Normal 5 2 4 3 3 9" xfId="11750"/>
    <cellStyle name="Normal 5 2 4 3 4" xfId="1173"/>
    <cellStyle name="Normal 5 2 4 3 4 2" xfId="3703"/>
    <cellStyle name="Normal 5 2 4 3 4 2 2" xfId="9245"/>
    <cellStyle name="Normal 5 2 4 3 4 2 3" xfId="14784"/>
    <cellStyle name="Normal 5 2 4 3 4 3" xfId="4740"/>
    <cellStyle name="Normal 5 2 4 3 4 3 2" xfId="10279"/>
    <cellStyle name="Normal 5 2 4 3 4 3 3" xfId="15818"/>
    <cellStyle name="Normal 5 2 4 3 4 4" xfId="5675"/>
    <cellStyle name="Normal 5 2 4 3 4 4 2" xfId="11214"/>
    <cellStyle name="Normal 5 2 4 3 4 4 3" xfId="16753"/>
    <cellStyle name="Normal 5 2 4 3 4 5" xfId="2377"/>
    <cellStyle name="Normal 5 2 4 3 4 5 2" xfId="7923"/>
    <cellStyle name="Normal 5 2 4 3 4 5 3" xfId="13462"/>
    <cellStyle name="Normal 5 2 4 3 4 6" xfId="6718"/>
    <cellStyle name="Normal 5 2 4 3 4 7" xfId="12257"/>
    <cellStyle name="Normal 5 2 4 3 5" xfId="830"/>
    <cellStyle name="Normal 5 2 4 3 5 2" xfId="3360"/>
    <cellStyle name="Normal 5 2 4 3 5 2 2" xfId="8902"/>
    <cellStyle name="Normal 5 2 4 3 5 2 3" xfId="14441"/>
    <cellStyle name="Normal 5 2 4 3 5 3" xfId="4397"/>
    <cellStyle name="Normal 5 2 4 3 5 3 2" xfId="9936"/>
    <cellStyle name="Normal 5 2 4 3 5 3 3" xfId="15475"/>
    <cellStyle name="Normal 5 2 4 3 5 4" xfId="5332"/>
    <cellStyle name="Normal 5 2 4 3 5 4 2" xfId="10871"/>
    <cellStyle name="Normal 5 2 4 3 5 4 3" xfId="16410"/>
    <cellStyle name="Normal 5 2 4 3 5 5" xfId="2034"/>
    <cellStyle name="Normal 5 2 4 3 5 5 2" xfId="7580"/>
    <cellStyle name="Normal 5 2 4 3 5 5 3" xfId="13119"/>
    <cellStyle name="Normal 5 2 4 3 5 6" xfId="6375"/>
    <cellStyle name="Normal 5 2 4 3 5 7" xfId="11914"/>
    <cellStyle name="Normal 5 2 4 3 6" xfId="1518"/>
    <cellStyle name="Normal 5 2 4 3 6 2" xfId="2723"/>
    <cellStyle name="Normal 5 2 4 3 6 2 2" xfId="8269"/>
    <cellStyle name="Normal 5 2 4 3 6 2 3" xfId="13808"/>
    <cellStyle name="Normal 5 2 4 3 6 3" xfId="7064"/>
    <cellStyle name="Normal 5 2 4 3 6 4" xfId="12603"/>
    <cellStyle name="Normal 5 2 4 3 7" xfId="2896"/>
    <cellStyle name="Normal 5 2 4 3 7 2" xfId="8440"/>
    <cellStyle name="Normal 5 2 4 3 7 3" xfId="13979"/>
    <cellStyle name="Normal 5 2 4 3 8" xfId="3289"/>
    <cellStyle name="Normal 5 2 4 3 8 2" xfId="8831"/>
    <cellStyle name="Normal 5 2 4 3 8 3" xfId="14370"/>
    <cellStyle name="Normal 5 2 4 3 9" xfId="4328"/>
    <cellStyle name="Normal 5 2 4 3 9 2" xfId="9867"/>
    <cellStyle name="Normal 5 2 4 3 9 3" xfId="15406"/>
    <cellStyle name="Normal 5 2 4 4" xfId="312"/>
    <cellStyle name="Normal 5 2 4 4 10" xfId="1716"/>
    <cellStyle name="Normal 5 2 4 4 10 2" xfId="7262"/>
    <cellStyle name="Normal 5 2 4 4 10 3" xfId="12801"/>
    <cellStyle name="Normal 5 2 4 4 11" xfId="6057"/>
    <cellStyle name="Normal 5 2 4 4 11 2" xfId="17135"/>
    <cellStyle name="Normal 5 2 4 4 12" xfId="701"/>
    <cellStyle name="Normal 5 2 4 4 12 2" xfId="17297"/>
    <cellStyle name="Normal 5 2 4 4 13" xfId="11596"/>
    <cellStyle name="Normal 5 2 4 4 14" xfId="17464"/>
    <cellStyle name="Normal 5 2 4 4 15" xfId="17629"/>
    <cellStyle name="Normal 5 2 4 4 2" xfId="313"/>
    <cellStyle name="Normal 5 2 4 4 2 10" xfId="6093"/>
    <cellStyle name="Normal 5 2 4 4 2 10 2" xfId="17171"/>
    <cellStyle name="Normal 5 2 4 4 2 11" xfId="737"/>
    <cellStyle name="Normal 5 2 4 4 2 11 2" xfId="17333"/>
    <cellStyle name="Normal 5 2 4 4 2 12" xfId="11632"/>
    <cellStyle name="Normal 5 2 4 4 2 13" xfId="17500"/>
    <cellStyle name="Normal 5 2 4 4 2 14" xfId="17665"/>
    <cellStyle name="Normal 5 2 4 4 2 2" xfId="512"/>
    <cellStyle name="Normal 5 2 4 4 2 2 2" xfId="1353"/>
    <cellStyle name="Normal 5 2 4 4 2 2 2 2" xfId="3885"/>
    <cellStyle name="Normal 5 2 4 4 2 2 2 2 2" xfId="9427"/>
    <cellStyle name="Normal 5 2 4 4 2 2 2 2 3" xfId="14966"/>
    <cellStyle name="Normal 5 2 4 4 2 2 2 3" xfId="4922"/>
    <cellStyle name="Normal 5 2 4 4 2 2 2 3 2" xfId="10461"/>
    <cellStyle name="Normal 5 2 4 4 2 2 2 3 3" xfId="16000"/>
    <cellStyle name="Normal 5 2 4 4 2 2 2 4" xfId="5856"/>
    <cellStyle name="Normal 5 2 4 4 2 2 2 4 2" xfId="11395"/>
    <cellStyle name="Normal 5 2 4 4 2 2 2 4 3" xfId="16934"/>
    <cellStyle name="Normal 5 2 4 4 2 2 2 5" xfId="2558"/>
    <cellStyle name="Normal 5 2 4 4 2 2 2 5 2" xfId="8104"/>
    <cellStyle name="Normal 5 2 4 4 2 2 2 5 3" xfId="13643"/>
    <cellStyle name="Normal 5 2 4 4 2 2 2 6" xfId="6899"/>
    <cellStyle name="Normal 5 2 4 4 2 2 2 7" xfId="12438"/>
    <cellStyle name="Normal 5 2 4 4 2 2 3" xfId="1068"/>
    <cellStyle name="Normal 5 2 4 4 2 2 3 2" xfId="3598"/>
    <cellStyle name="Normal 5 2 4 4 2 2 3 2 2" xfId="9140"/>
    <cellStyle name="Normal 5 2 4 4 2 2 3 2 3" xfId="14679"/>
    <cellStyle name="Normal 5 2 4 4 2 2 3 3" xfId="4635"/>
    <cellStyle name="Normal 5 2 4 4 2 2 3 3 2" xfId="10174"/>
    <cellStyle name="Normal 5 2 4 4 2 2 3 3 3" xfId="15713"/>
    <cellStyle name="Normal 5 2 4 4 2 2 3 4" xfId="5570"/>
    <cellStyle name="Normal 5 2 4 4 2 2 3 4 2" xfId="11109"/>
    <cellStyle name="Normal 5 2 4 4 2 2 3 4 3" xfId="16648"/>
    <cellStyle name="Normal 5 2 4 4 2 2 3 5" xfId="2272"/>
    <cellStyle name="Normal 5 2 4 4 2 2 3 5 2" xfId="7818"/>
    <cellStyle name="Normal 5 2 4 4 2 2 3 5 3" xfId="13357"/>
    <cellStyle name="Normal 5 2 4 4 2 2 3 6" xfId="6613"/>
    <cellStyle name="Normal 5 2 4 4 2 2 3 7" xfId="12152"/>
    <cellStyle name="Normal 5 2 4 4 2 2 4" xfId="3171"/>
    <cellStyle name="Normal 5 2 4 4 2 2 4 2" xfId="8713"/>
    <cellStyle name="Normal 5 2 4 4 2 2 4 3" xfId="14252"/>
    <cellStyle name="Normal 5 2 4 4 2 2 5" xfId="4210"/>
    <cellStyle name="Normal 5 2 4 4 2 2 5 2" xfId="9749"/>
    <cellStyle name="Normal 5 2 4 4 2 2 5 3" xfId="15288"/>
    <cellStyle name="Normal 5 2 4 4 2 2 6" xfId="5171"/>
    <cellStyle name="Normal 5 2 4 4 2 2 6 2" xfId="10710"/>
    <cellStyle name="Normal 5 2 4 4 2 2 6 3" xfId="16249"/>
    <cellStyle name="Normal 5 2 4 4 2 2 7" xfId="1873"/>
    <cellStyle name="Normal 5 2 4 4 2 2 7 2" xfId="7419"/>
    <cellStyle name="Normal 5 2 4 4 2 2 7 3" xfId="12958"/>
    <cellStyle name="Normal 5 2 4 4 2 2 8" xfId="6214"/>
    <cellStyle name="Normal 5 2 4 4 2 2 9" xfId="11753"/>
    <cellStyle name="Normal 5 2 4 4 2 3" xfId="1245"/>
    <cellStyle name="Normal 5 2 4 4 2 3 2" xfId="3775"/>
    <cellStyle name="Normal 5 2 4 4 2 3 2 2" xfId="9317"/>
    <cellStyle name="Normal 5 2 4 4 2 3 2 3" xfId="14856"/>
    <cellStyle name="Normal 5 2 4 4 2 3 3" xfId="4812"/>
    <cellStyle name="Normal 5 2 4 4 2 3 3 2" xfId="10351"/>
    <cellStyle name="Normal 5 2 4 4 2 3 3 3" xfId="15890"/>
    <cellStyle name="Normal 5 2 4 4 2 3 4" xfId="5747"/>
    <cellStyle name="Normal 5 2 4 4 2 3 4 2" xfId="11286"/>
    <cellStyle name="Normal 5 2 4 4 2 3 4 3" xfId="16825"/>
    <cellStyle name="Normal 5 2 4 4 2 3 5" xfId="2449"/>
    <cellStyle name="Normal 5 2 4 4 2 3 5 2" xfId="7995"/>
    <cellStyle name="Normal 5 2 4 4 2 3 5 3" xfId="13534"/>
    <cellStyle name="Normal 5 2 4 4 2 3 6" xfId="6790"/>
    <cellStyle name="Normal 5 2 4 4 2 3 7" xfId="12329"/>
    <cellStyle name="Normal 5 2 4 4 2 4" xfId="833"/>
    <cellStyle name="Normal 5 2 4 4 2 4 2" xfId="3363"/>
    <cellStyle name="Normal 5 2 4 4 2 4 2 2" xfId="8905"/>
    <cellStyle name="Normal 5 2 4 4 2 4 2 3" xfId="14444"/>
    <cellStyle name="Normal 5 2 4 4 2 4 3" xfId="4400"/>
    <cellStyle name="Normal 5 2 4 4 2 4 3 2" xfId="9939"/>
    <cellStyle name="Normal 5 2 4 4 2 4 3 3" xfId="15478"/>
    <cellStyle name="Normal 5 2 4 4 2 4 4" xfId="5335"/>
    <cellStyle name="Normal 5 2 4 4 2 4 4 2" xfId="10874"/>
    <cellStyle name="Normal 5 2 4 4 2 4 4 3" xfId="16413"/>
    <cellStyle name="Normal 5 2 4 4 2 4 5" xfId="2037"/>
    <cellStyle name="Normal 5 2 4 4 2 4 5 2" xfId="7583"/>
    <cellStyle name="Normal 5 2 4 4 2 4 5 3" xfId="13122"/>
    <cellStyle name="Normal 5 2 4 4 2 4 6" xfId="6378"/>
    <cellStyle name="Normal 5 2 4 4 2 4 7" xfId="11917"/>
    <cellStyle name="Normal 5 2 4 4 2 5" xfId="1590"/>
    <cellStyle name="Normal 5 2 4 4 2 5 2" xfId="2795"/>
    <cellStyle name="Normal 5 2 4 4 2 5 2 2" xfId="8341"/>
    <cellStyle name="Normal 5 2 4 4 2 5 2 3" xfId="13880"/>
    <cellStyle name="Normal 5 2 4 4 2 5 3" xfId="7136"/>
    <cellStyle name="Normal 5 2 4 4 2 5 4" xfId="12675"/>
    <cellStyle name="Normal 5 2 4 4 2 6" xfId="2968"/>
    <cellStyle name="Normal 5 2 4 4 2 6 2" xfId="8512"/>
    <cellStyle name="Normal 5 2 4 4 2 6 3" xfId="14051"/>
    <cellStyle name="Normal 5 2 4 4 2 7" xfId="4013"/>
    <cellStyle name="Normal 5 2 4 4 2 7 2" xfId="9555"/>
    <cellStyle name="Normal 5 2 4 4 2 7 3" xfId="15094"/>
    <cellStyle name="Normal 5 2 4 4 2 8" xfId="5050"/>
    <cellStyle name="Normal 5 2 4 4 2 8 2" xfId="10589"/>
    <cellStyle name="Normal 5 2 4 4 2 8 3" xfId="16128"/>
    <cellStyle name="Normal 5 2 4 4 2 9" xfId="1752"/>
    <cellStyle name="Normal 5 2 4 4 2 9 2" xfId="7298"/>
    <cellStyle name="Normal 5 2 4 4 2 9 3" xfId="12837"/>
    <cellStyle name="Normal 5 2 4 4 3" xfId="511"/>
    <cellStyle name="Normal 5 2 4 4 3 2" xfId="1352"/>
    <cellStyle name="Normal 5 2 4 4 3 2 2" xfId="3884"/>
    <cellStyle name="Normal 5 2 4 4 3 2 2 2" xfId="9426"/>
    <cellStyle name="Normal 5 2 4 4 3 2 2 3" xfId="14965"/>
    <cellStyle name="Normal 5 2 4 4 3 2 3" xfId="4921"/>
    <cellStyle name="Normal 5 2 4 4 3 2 3 2" xfId="10460"/>
    <cellStyle name="Normal 5 2 4 4 3 2 3 3" xfId="15999"/>
    <cellStyle name="Normal 5 2 4 4 3 2 4" xfId="5855"/>
    <cellStyle name="Normal 5 2 4 4 3 2 4 2" xfId="11394"/>
    <cellStyle name="Normal 5 2 4 4 3 2 4 3" xfId="16933"/>
    <cellStyle name="Normal 5 2 4 4 3 2 5" xfId="2557"/>
    <cellStyle name="Normal 5 2 4 4 3 2 5 2" xfId="8103"/>
    <cellStyle name="Normal 5 2 4 4 3 2 5 3" xfId="13642"/>
    <cellStyle name="Normal 5 2 4 4 3 2 6" xfId="6898"/>
    <cellStyle name="Normal 5 2 4 4 3 2 7" xfId="12437"/>
    <cellStyle name="Normal 5 2 4 4 3 3" xfId="1032"/>
    <cellStyle name="Normal 5 2 4 4 3 3 2" xfId="3562"/>
    <cellStyle name="Normal 5 2 4 4 3 3 2 2" xfId="9104"/>
    <cellStyle name="Normal 5 2 4 4 3 3 2 3" xfId="14643"/>
    <cellStyle name="Normal 5 2 4 4 3 3 3" xfId="4599"/>
    <cellStyle name="Normal 5 2 4 4 3 3 3 2" xfId="10138"/>
    <cellStyle name="Normal 5 2 4 4 3 3 3 3" xfId="15677"/>
    <cellStyle name="Normal 5 2 4 4 3 3 4" xfId="5534"/>
    <cellStyle name="Normal 5 2 4 4 3 3 4 2" xfId="11073"/>
    <cellStyle name="Normal 5 2 4 4 3 3 4 3" xfId="16612"/>
    <cellStyle name="Normal 5 2 4 4 3 3 5" xfId="2236"/>
    <cellStyle name="Normal 5 2 4 4 3 3 5 2" xfId="7782"/>
    <cellStyle name="Normal 5 2 4 4 3 3 5 3" xfId="13321"/>
    <cellStyle name="Normal 5 2 4 4 3 3 6" xfId="6577"/>
    <cellStyle name="Normal 5 2 4 4 3 3 7" xfId="12116"/>
    <cellStyle name="Normal 5 2 4 4 3 4" xfId="3170"/>
    <cellStyle name="Normal 5 2 4 4 3 4 2" xfId="8712"/>
    <cellStyle name="Normal 5 2 4 4 3 4 3" xfId="14251"/>
    <cellStyle name="Normal 5 2 4 4 3 5" xfId="4209"/>
    <cellStyle name="Normal 5 2 4 4 3 5 2" xfId="9748"/>
    <cellStyle name="Normal 5 2 4 4 3 5 3" xfId="15287"/>
    <cellStyle name="Normal 5 2 4 4 3 6" xfId="5170"/>
    <cellStyle name="Normal 5 2 4 4 3 6 2" xfId="10709"/>
    <cellStyle name="Normal 5 2 4 4 3 6 3" xfId="16248"/>
    <cellStyle name="Normal 5 2 4 4 3 7" xfId="1872"/>
    <cellStyle name="Normal 5 2 4 4 3 7 2" xfId="7418"/>
    <cellStyle name="Normal 5 2 4 4 3 7 3" xfId="12957"/>
    <cellStyle name="Normal 5 2 4 4 3 8" xfId="6213"/>
    <cellStyle name="Normal 5 2 4 4 3 9" xfId="11752"/>
    <cellStyle name="Normal 5 2 4 4 4" xfId="1209"/>
    <cellStyle name="Normal 5 2 4 4 4 2" xfId="3739"/>
    <cellStyle name="Normal 5 2 4 4 4 2 2" xfId="9281"/>
    <cellStyle name="Normal 5 2 4 4 4 2 3" xfId="14820"/>
    <cellStyle name="Normal 5 2 4 4 4 3" xfId="4776"/>
    <cellStyle name="Normal 5 2 4 4 4 3 2" xfId="10315"/>
    <cellStyle name="Normal 5 2 4 4 4 3 3" xfId="15854"/>
    <cellStyle name="Normal 5 2 4 4 4 4" xfId="5711"/>
    <cellStyle name="Normal 5 2 4 4 4 4 2" xfId="11250"/>
    <cellStyle name="Normal 5 2 4 4 4 4 3" xfId="16789"/>
    <cellStyle name="Normal 5 2 4 4 4 5" xfId="2413"/>
    <cellStyle name="Normal 5 2 4 4 4 5 2" xfId="7959"/>
    <cellStyle name="Normal 5 2 4 4 4 5 3" xfId="13498"/>
    <cellStyle name="Normal 5 2 4 4 4 6" xfId="6754"/>
    <cellStyle name="Normal 5 2 4 4 4 7" xfId="12293"/>
    <cellStyle name="Normal 5 2 4 4 5" xfId="832"/>
    <cellStyle name="Normal 5 2 4 4 5 2" xfId="3362"/>
    <cellStyle name="Normal 5 2 4 4 5 2 2" xfId="8904"/>
    <cellStyle name="Normal 5 2 4 4 5 2 3" xfId="14443"/>
    <cellStyle name="Normal 5 2 4 4 5 3" xfId="4399"/>
    <cellStyle name="Normal 5 2 4 4 5 3 2" xfId="9938"/>
    <cellStyle name="Normal 5 2 4 4 5 3 3" xfId="15477"/>
    <cellStyle name="Normal 5 2 4 4 5 4" xfId="5334"/>
    <cellStyle name="Normal 5 2 4 4 5 4 2" xfId="10873"/>
    <cellStyle name="Normal 5 2 4 4 5 4 3" xfId="16412"/>
    <cellStyle name="Normal 5 2 4 4 5 5" xfId="2036"/>
    <cellStyle name="Normal 5 2 4 4 5 5 2" xfId="7582"/>
    <cellStyle name="Normal 5 2 4 4 5 5 3" xfId="13121"/>
    <cellStyle name="Normal 5 2 4 4 5 6" xfId="6377"/>
    <cellStyle name="Normal 5 2 4 4 5 7" xfId="11916"/>
    <cellStyle name="Normal 5 2 4 4 6" xfId="1554"/>
    <cellStyle name="Normal 5 2 4 4 6 2" xfId="2759"/>
    <cellStyle name="Normal 5 2 4 4 6 2 2" xfId="8305"/>
    <cellStyle name="Normal 5 2 4 4 6 2 3" xfId="13844"/>
    <cellStyle name="Normal 5 2 4 4 6 3" xfId="7100"/>
    <cellStyle name="Normal 5 2 4 4 6 4" xfId="12639"/>
    <cellStyle name="Normal 5 2 4 4 7" xfId="2932"/>
    <cellStyle name="Normal 5 2 4 4 7 2" xfId="8476"/>
    <cellStyle name="Normal 5 2 4 4 7 3" xfId="14015"/>
    <cellStyle name="Normal 5 2 4 4 8" xfId="3037"/>
    <cellStyle name="Normal 5 2 4 4 8 2" xfId="8580"/>
    <cellStyle name="Normal 5 2 4 4 8 3" xfId="14119"/>
    <cellStyle name="Normal 5 2 4 4 9" xfId="4080"/>
    <cellStyle name="Normal 5 2 4 4 9 2" xfId="9621"/>
    <cellStyle name="Normal 5 2 4 4 9 3" xfId="15160"/>
    <cellStyle name="Normal 5 2 4 5" xfId="314"/>
    <cellStyle name="Normal 5 2 4 5 10" xfId="6075"/>
    <cellStyle name="Normal 5 2 4 5 10 2" xfId="17153"/>
    <cellStyle name="Normal 5 2 4 5 11" xfId="719"/>
    <cellStyle name="Normal 5 2 4 5 11 2" xfId="17315"/>
    <cellStyle name="Normal 5 2 4 5 12" xfId="11614"/>
    <cellStyle name="Normal 5 2 4 5 13" xfId="17482"/>
    <cellStyle name="Normal 5 2 4 5 14" xfId="17647"/>
    <cellStyle name="Normal 5 2 4 5 2" xfId="513"/>
    <cellStyle name="Normal 5 2 4 5 2 2" xfId="1354"/>
    <cellStyle name="Normal 5 2 4 5 2 2 2" xfId="3886"/>
    <cellStyle name="Normal 5 2 4 5 2 2 2 2" xfId="9428"/>
    <cellStyle name="Normal 5 2 4 5 2 2 2 3" xfId="14967"/>
    <cellStyle name="Normal 5 2 4 5 2 2 3" xfId="4923"/>
    <cellStyle name="Normal 5 2 4 5 2 2 3 2" xfId="10462"/>
    <cellStyle name="Normal 5 2 4 5 2 2 3 3" xfId="16001"/>
    <cellStyle name="Normal 5 2 4 5 2 2 4" xfId="5857"/>
    <cellStyle name="Normal 5 2 4 5 2 2 4 2" xfId="11396"/>
    <cellStyle name="Normal 5 2 4 5 2 2 4 3" xfId="16935"/>
    <cellStyle name="Normal 5 2 4 5 2 2 5" xfId="2559"/>
    <cellStyle name="Normal 5 2 4 5 2 2 5 2" xfId="8105"/>
    <cellStyle name="Normal 5 2 4 5 2 2 5 3" xfId="13644"/>
    <cellStyle name="Normal 5 2 4 5 2 2 6" xfId="6900"/>
    <cellStyle name="Normal 5 2 4 5 2 2 7" xfId="12439"/>
    <cellStyle name="Normal 5 2 4 5 2 3" xfId="1050"/>
    <cellStyle name="Normal 5 2 4 5 2 3 2" xfId="3580"/>
    <cellStyle name="Normal 5 2 4 5 2 3 2 2" xfId="9122"/>
    <cellStyle name="Normal 5 2 4 5 2 3 2 3" xfId="14661"/>
    <cellStyle name="Normal 5 2 4 5 2 3 3" xfId="4617"/>
    <cellStyle name="Normal 5 2 4 5 2 3 3 2" xfId="10156"/>
    <cellStyle name="Normal 5 2 4 5 2 3 3 3" xfId="15695"/>
    <cellStyle name="Normal 5 2 4 5 2 3 4" xfId="5552"/>
    <cellStyle name="Normal 5 2 4 5 2 3 4 2" xfId="11091"/>
    <cellStyle name="Normal 5 2 4 5 2 3 4 3" xfId="16630"/>
    <cellStyle name="Normal 5 2 4 5 2 3 5" xfId="2254"/>
    <cellStyle name="Normal 5 2 4 5 2 3 5 2" xfId="7800"/>
    <cellStyle name="Normal 5 2 4 5 2 3 5 3" xfId="13339"/>
    <cellStyle name="Normal 5 2 4 5 2 3 6" xfId="6595"/>
    <cellStyle name="Normal 5 2 4 5 2 3 7" xfId="12134"/>
    <cellStyle name="Normal 5 2 4 5 2 4" xfId="3172"/>
    <cellStyle name="Normal 5 2 4 5 2 4 2" xfId="8714"/>
    <cellStyle name="Normal 5 2 4 5 2 4 3" xfId="14253"/>
    <cellStyle name="Normal 5 2 4 5 2 5" xfId="4211"/>
    <cellStyle name="Normal 5 2 4 5 2 5 2" xfId="9750"/>
    <cellStyle name="Normal 5 2 4 5 2 5 3" xfId="15289"/>
    <cellStyle name="Normal 5 2 4 5 2 6" xfId="5172"/>
    <cellStyle name="Normal 5 2 4 5 2 6 2" xfId="10711"/>
    <cellStyle name="Normal 5 2 4 5 2 6 3" xfId="16250"/>
    <cellStyle name="Normal 5 2 4 5 2 7" xfId="1874"/>
    <cellStyle name="Normal 5 2 4 5 2 7 2" xfId="7420"/>
    <cellStyle name="Normal 5 2 4 5 2 7 3" xfId="12959"/>
    <cellStyle name="Normal 5 2 4 5 2 8" xfId="6215"/>
    <cellStyle name="Normal 5 2 4 5 2 9" xfId="11754"/>
    <cellStyle name="Normal 5 2 4 5 3" xfId="1227"/>
    <cellStyle name="Normal 5 2 4 5 3 2" xfId="3757"/>
    <cellStyle name="Normal 5 2 4 5 3 2 2" xfId="9299"/>
    <cellStyle name="Normal 5 2 4 5 3 2 3" xfId="14838"/>
    <cellStyle name="Normal 5 2 4 5 3 3" xfId="4794"/>
    <cellStyle name="Normal 5 2 4 5 3 3 2" xfId="10333"/>
    <cellStyle name="Normal 5 2 4 5 3 3 3" xfId="15872"/>
    <cellStyle name="Normal 5 2 4 5 3 4" xfId="5729"/>
    <cellStyle name="Normal 5 2 4 5 3 4 2" xfId="11268"/>
    <cellStyle name="Normal 5 2 4 5 3 4 3" xfId="16807"/>
    <cellStyle name="Normal 5 2 4 5 3 5" xfId="2431"/>
    <cellStyle name="Normal 5 2 4 5 3 5 2" xfId="7977"/>
    <cellStyle name="Normal 5 2 4 5 3 5 3" xfId="13516"/>
    <cellStyle name="Normal 5 2 4 5 3 6" xfId="6772"/>
    <cellStyle name="Normal 5 2 4 5 3 7" xfId="12311"/>
    <cellStyle name="Normal 5 2 4 5 4" xfId="834"/>
    <cellStyle name="Normal 5 2 4 5 4 2" xfId="3364"/>
    <cellStyle name="Normal 5 2 4 5 4 2 2" xfId="8906"/>
    <cellStyle name="Normal 5 2 4 5 4 2 3" xfId="14445"/>
    <cellStyle name="Normal 5 2 4 5 4 3" xfId="4401"/>
    <cellStyle name="Normal 5 2 4 5 4 3 2" xfId="9940"/>
    <cellStyle name="Normal 5 2 4 5 4 3 3" xfId="15479"/>
    <cellStyle name="Normal 5 2 4 5 4 4" xfId="5336"/>
    <cellStyle name="Normal 5 2 4 5 4 4 2" xfId="10875"/>
    <cellStyle name="Normal 5 2 4 5 4 4 3" xfId="16414"/>
    <cellStyle name="Normal 5 2 4 5 4 5" xfId="2038"/>
    <cellStyle name="Normal 5 2 4 5 4 5 2" xfId="7584"/>
    <cellStyle name="Normal 5 2 4 5 4 5 3" xfId="13123"/>
    <cellStyle name="Normal 5 2 4 5 4 6" xfId="6379"/>
    <cellStyle name="Normal 5 2 4 5 4 7" xfId="11918"/>
    <cellStyle name="Normal 5 2 4 5 5" xfId="1572"/>
    <cellStyle name="Normal 5 2 4 5 5 2" xfId="2777"/>
    <cellStyle name="Normal 5 2 4 5 5 2 2" xfId="8323"/>
    <cellStyle name="Normal 5 2 4 5 5 2 3" xfId="13862"/>
    <cellStyle name="Normal 5 2 4 5 5 3" xfId="7118"/>
    <cellStyle name="Normal 5 2 4 5 5 4" xfId="12657"/>
    <cellStyle name="Normal 5 2 4 5 6" xfId="2950"/>
    <cellStyle name="Normal 5 2 4 5 6 2" xfId="8494"/>
    <cellStyle name="Normal 5 2 4 5 6 3" xfId="14033"/>
    <cellStyle name="Normal 5 2 4 5 7" xfId="3068"/>
    <cellStyle name="Normal 5 2 4 5 7 2" xfId="8611"/>
    <cellStyle name="Normal 5 2 4 5 7 3" xfId="14150"/>
    <cellStyle name="Normal 5 2 4 5 8" xfId="4111"/>
    <cellStyle name="Normal 5 2 4 5 8 2" xfId="9652"/>
    <cellStyle name="Normal 5 2 4 5 8 3" xfId="15191"/>
    <cellStyle name="Normal 5 2 4 5 9" xfId="1734"/>
    <cellStyle name="Normal 5 2 4 5 9 2" xfId="7280"/>
    <cellStyle name="Normal 5 2 4 5 9 3" xfId="12819"/>
    <cellStyle name="Normal 5 2 4 6" xfId="315"/>
    <cellStyle name="Normal 5 2 4 6 10" xfId="6003"/>
    <cellStyle name="Normal 5 2 4 6 10 2" xfId="17081"/>
    <cellStyle name="Normal 5 2 4 6 11" xfId="647"/>
    <cellStyle name="Normal 5 2 4 6 11 2" xfId="17243"/>
    <cellStyle name="Normal 5 2 4 6 12" xfId="11542"/>
    <cellStyle name="Normal 5 2 4 6 13" xfId="17410"/>
    <cellStyle name="Normal 5 2 4 6 14" xfId="17575"/>
    <cellStyle name="Normal 5 2 4 6 2" xfId="514"/>
    <cellStyle name="Normal 5 2 4 6 2 2" xfId="1355"/>
    <cellStyle name="Normal 5 2 4 6 2 2 2" xfId="3887"/>
    <cellStyle name="Normal 5 2 4 6 2 2 2 2" xfId="9429"/>
    <cellStyle name="Normal 5 2 4 6 2 2 2 3" xfId="14968"/>
    <cellStyle name="Normal 5 2 4 6 2 2 3" xfId="4924"/>
    <cellStyle name="Normal 5 2 4 6 2 2 3 2" xfId="10463"/>
    <cellStyle name="Normal 5 2 4 6 2 2 3 3" xfId="16002"/>
    <cellStyle name="Normal 5 2 4 6 2 2 4" xfId="5858"/>
    <cellStyle name="Normal 5 2 4 6 2 2 4 2" xfId="11397"/>
    <cellStyle name="Normal 5 2 4 6 2 2 4 3" xfId="16936"/>
    <cellStyle name="Normal 5 2 4 6 2 2 5" xfId="2560"/>
    <cellStyle name="Normal 5 2 4 6 2 2 5 2" xfId="8106"/>
    <cellStyle name="Normal 5 2 4 6 2 2 5 3" xfId="13645"/>
    <cellStyle name="Normal 5 2 4 6 2 2 6" xfId="6901"/>
    <cellStyle name="Normal 5 2 4 6 2 2 7" xfId="12440"/>
    <cellStyle name="Normal 5 2 4 6 2 3" xfId="978"/>
    <cellStyle name="Normal 5 2 4 6 2 3 2" xfId="3508"/>
    <cellStyle name="Normal 5 2 4 6 2 3 2 2" xfId="9050"/>
    <cellStyle name="Normal 5 2 4 6 2 3 2 3" xfId="14589"/>
    <cellStyle name="Normal 5 2 4 6 2 3 3" xfId="4545"/>
    <cellStyle name="Normal 5 2 4 6 2 3 3 2" xfId="10084"/>
    <cellStyle name="Normal 5 2 4 6 2 3 3 3" xfId="15623"/>
    <cellStyle name="Normal 5 2 4 6 2 3 4" xfId="5480"/>
    <cellStyle name="Normal 5 2 4 6 2 3 4 2" xfId="11019"/>
    <cellStyle name="Normal 5 2 4 6 2 3 4 3" xfId="16558"/>
    <cellStyle name="Normal 5 2 4 6 2 3 5" xfId="2182"/>
    <cellStyle name="Normal 5 2 4 6 2 3 5 2" xfId="7728"/>
    <cellStyle name="Normal 5 2 4 6 2 3 5 3" xfId="13267"/>
    <cellStyle name="Normal 5 2 4 6 2 3 6" xfId="6523"/>
    <cellStyle name="Normal 5 2 4 6 2 3 7" xfId="12062"/>
    <cellStyle name="Normal 5 2 4 6 2 4" xfId="3173"/>
    <cellStyle name="Normal 5 2 4 6 2 4 2" xfId="8715"/>
    <cellStyle name="Normal 5 2 4 6 2 4 3" xfId="14254"/>
    <cellStyle name="Normal 5 2 4 6 2 5" xfId="4212"/>
    <cellStyle name="Normal 5 2 4 6 2 5 2" xfId="9751"/>
    <cellStyle name="Normal 5 2 4 6 2 5 3" xfId="15290"/>
    <cellStyle name="Normal 5 2 4 6 2 6" xfId="5173"/>
    <cellStyle name="Normal 5 2 4 6 2 6 2" xfId="10712"/>
    <cellStyle name="Normal 5 2 4 6 2 6 3" xfId="16251"/>
    <cellStyle name="Normal 5 2 4 6 2 7" xfId="1875"/>
    <cellStyle name="Normal 5 2 4 6 2 7 2" xfId="7421"/>
    <cellStyle name="Normal 5 2 4 6 2 7 3" xfId="12960"/>
    <cellStyle name="Normal 5 2 4 6 2 8" xfId="6216"/>
    <cellStyle name="Normal 5 2 4 6 2 9" xfId="11755"/>
    <cellStyle name="Normal 5 2 4 6 3" xfId="1155"/>
    <cellStyle name="Normal 5 2 4 6 3 2" xfId="3685"/>
    <cellStyle name="Normal 5 2 4 6 3 2 2" xfId="9227"/>
    <cellStyle name="Normal 5 2 4 6 3 2 3" xfId="14766"/>
    <cellStyle name="Normal 5 2 4 6 3 3" xfId="4722"/>
    <cellStyle name="Normal 5 2 4 6 3 3 2" xfId="10261"/>
    <cellStyle name="Normal 5 2 4 6 3 3 3" xfId="15800"/>
    <cellStyle name="Normal 5 2 4 6 3 4" xfId="5657"/>
    <cellStyle name="Normal 5 2 4 6 3 4 2" xfId="11196"/>
    <cellStyle name="Normal 5 2 4 6 3 4 3" xfId="16735"/>
    <cellStyle name="Normal 5 2 4 6 3 5" xfId="2359"/>
    <cellStyle name="Normal 5 2 4 6 3 5 2" xfId="7905"/>
    <cellStyle name="Normal 5 2 4 6 3 5 3" xfId="13444"/>
    <cellStyle name="Normal 5 2 4 6 3 6" xfId="6700"/>
    <cellStyle name="Normal 5 2 4 6 3 7" xfId="12239"/>
    <cellStyle name="Normal 5 2 4 6 4" xfId="835"/>
    <cellStyle name="Normal 5 2 4 6 4 2" xfId="3365"/>
    <cellStyle name="Normal 5 2 4 6 4 2 2" xfId="8907"/>
    <cellStyle name="Normal 5 2 4 6 4 2 3" xfId="14446"/>
    <cellStyle name="Normal 5 2 4 6 4 3" xfId="4402"/>
    <cellStyle name="Normal 5 2 4 6 4 3 2" xfId="9941"/>
    <cellStyle name="Normal 5 2 4 6 4 3 3" xfId="15480"/>
    <cellStyle name="Normal 5 2 4 6 4 4" xfId="5337"/>
    <cellStyle name="Normal 5 2 4 6 4 4 2" xfId="10876"/>
    <cellStyle name="Normal 5 2 4 6 4 4 3" xfId="16415"/>
    <cellStyle name="Normal 5 2 4 6 4 5" xfId="2039"/>
    <cellStyle name="Normal 5 2 4 6 4 5 2" xfId="7585"/>
    <cellStyle name="Normal 5 2 4 6 4 5 3" xfId="13124"/>
    <cellStyle name="Normal 5 2 4 6 4 6" xfId="6380"/>
    <cellStyle name="Normal 5 2 4 6 4 7" xfId="11919"/>
    <cellStyle name="Normal 5 2 4 6 5" xfId="1500"/>
    <cellStyle name="Normal 5 2 4 6 5 2" xfId="2705"/>
    <cellStyle name="Normal 5 2 4 6 5 2 2" xfId="8251"/>
    <cellStyle name="Normal 5 2 4 6 5 2 3" xfId="13790"/>
    <cellStyle name="Normal 5 2 4 6 5 3" xfId="7046"/>
    <cellStyle name="Normal 5 2 4 6 5 4" xfId="12585"/>
    <cellStyle name="Normal 5 2 4 6 6" xfId="2878"/>
    <cellStyle name="Normal 5 2 4 6 6 2" xfId="8422"/>
    <cellStyle name="Normal 5 2 4 6 6 3" xfId="13961"/>
    <cellStyle name="Normal 5 2 4 6 7" xfId="3317"/>
    <cellStyle name="Normal 5 2 4 6 7 2" xfId="8859"/>
    <cellStyle name="Normal 5 2 4 6 7 3" xfId="14398"/>
    <cellStyle name="Normal 5 2 4 6 8" xfId="4354"/>
    <cellStyle name="Normal 5 2 4 6 8 2" xfId="9893"/>
    <cellStyle name="Normal 5 2 4 6 8 3" xfId="15432"/>
    <cellStyle name="Normal 5 2 4 6 9" xfId="1662"/>
    <cellStyle name="Normal 5 2 4 6 9 2" xfId="7208"/>
    <cellStyle name="Normal 5 2 4 6 9 3" xfId="12747"/>
    <cellStyle name="Normal 5 2 4 7" xfId="457"/>
    <cellStyle name="Normal 5 2 4 7 2" xfId="1299"/>
    <cellStyle name="Normal 5 2 4 7 2 2" xfId="3830"/>
    <cellStyle name="Normal 5 2 4 7 2 2 2" xfId="9372"/>
    <cellStyle name="Normal 5 2 4 7 2 2 3" xfId="14911"/>
    <cellStyle name="Normal 5 2 4 7 2 3" xfId="4867"/>
    <cellStyle name="Normal 5 2 4 7 2 3 2" xfId="10406"/>
    <cellStyle name="Normal 5 2 4 7 2 3 3" xfId="15945"/>
    <cellStyle name="Normal 5 2 4 7 2 4" xfId="5802"/>
    <cellStyle name="Normal 5 2 4 7 2 4 2" xfId="11341"/>
    <cellStyle name="Normal 5 2 4 7 2 4 3" xfId="16880"/>
    <cellStyle name="Normal 5 2 4 7 2 5" xfId="2504"/>
    <cellStyle name="Normal 5 2 4 7 2 5 2" xfId="8050"/>
    <cellStyle name="Normal 5 2 4 7 2 5 3" xfId="13589"/>
    <cellStyle name="Normal 5 2 4 7 2 6" xfId="6845"/>
    <cellStyle name="Normal 5 2 4 7 2 7" xfId="12384"/>
    <cellStyle name="Normal 5 2 4 7 3" xfId="960"/>
    <cellStyle name="Normal 5 2 4 7 3 2" xfId="3490"/>
    <cellStyle name="Normal 5 2 4 7 3 2 2" xfId="9032"/>
    <cellStyle name="Normal 5 2 4 7 3 2 3" xfId="14571"/>
    <cellStyle name="Normal 5 2 4 7 3 3" xfId="4527"/>
    <cellStyle name="Normal 5 2 4 7 3 3 2" xfId="10066"/>
    <cellStyle name="Normal 5 2 4 7 3 3 3" xfId="15605"/>
    <cellStyle name="Normal 5 2 4 7 3 4" xfId="5462"/>
    <cellStyle name="Normal 5 2 4 7 3 4 2" xfId="11001"/>
    <cellStyle name="Normal 5 2 4 7 3 4 3" xfId="16540"/>
    <cellStyle name="Normal 5 2 4 7 3 5" xfId="2164"/>
    <cellStyle name="Normal 5 2 4 7 3 5 2" xfId="7710"/>
    <cellStyle name="Normal 5 2 4 7 3 5 3" xfId="13249"/>
    <cellStyle name="Normal 5 2 4 7 3 6" xfId="6505"/>
    <cellStyle name="Normal 5 2 4 7 3 7" xfId="12044"/>
    <cellStyle name="Normal 5 2 4 7 4" xfId="3107"/>
    <cellStyle name="Normal 5 2 4 7 4 2" xfId="8650"/>
    <cellStyle name="Normal 5 2 4 7 4 3" xfId="14189"/>
    <cellStyle name="Normal 5 2 4 7 5" xfId="4150"/>
    <cellStyle name="Normal 5 2 4 7 5 2" xfId="9691"/>
    <cellStyle name="Normal 5 2 4 7 5 3" xfId="15230"/>
    <cellStyle name="Normal 5 2 4 7 6" xfId="5117"/>
    <cellStyle name="Normal 5 2 4 7 6 2" xfId="10656"/>
    <cellStyle name="Normal 5 2 4 7 6 3" xfId="16195"/>
    <cellStyle name="Normal 5 2 4 7 7" xfId="1819"/>
    <cellStyle name="Normal 5 2 4 7 7 2" xfId="7365"/>
    <cellStyle name="Normal 5 2 4 7 7 3" xfId="12904"/>
    <cellStyle name="Normal 5 2 4 7 8" xfId="6160"/>
    <cellStyle name="Normal 5 2 4 7 9" xfId="11699"/>
    <cellStyle name="Normal 5 2 4 8" xfId="1137"/>
    <cellStyle name="Normal 5 2 4 8 2" xfId="3667"/>
    <cellStyle name="Normal 5 2 4 8 2 2" xfId="9209"/>
    <cellStyle name="Normal 5 2 4 8 2 3" xfId="14748"/>
    <cellStyle name="Normal 5 2 4 8 3" xfId="4704"/>
    <cellStyle name="Normal 5 2 4 8 3 2" xfId="10243"/>
    <cellStyle name="Normal 5 2 4 8 3 3" xfId="15782"/>
    <cellStyle name="Normal 5 2 4 8 4" xfId="5639"/>
    <cellStyle name="Normal 5 2 4 8 4 2" xfId="11178"/>
    <cellStyle name="Normal 5 2 4 8 4 3" xfId="16717"/>
    <cellStyle name="Normal 5 2 4 8 5" xfId="2341"/>
    <cellStyle name="Normal 5 2 4 8 5 2" xfId="7887"/>
    <cellStyle name="Normal 5 2 4 8 5 3" xfId="13426"/>
    <cellStyle name="Normal 5 2 4 8 6" xfId="6682"/>
    <cellStyle name="Normal 5 2 4 8 7" xfId="12221"/>
    <cellStyle name="Normal 5 2 4 9" xfId="827"/>
    <cellStyle name="Normal 5 2 4 9 2" xfId="3357"/>
    <cellStyle name="Normal 5 2 4 9 2 2" xfId="8899"/>
    <cellStyle name="Normal 5 2 4 9 2 3" xfId="14438"/>
    <cellStyle name="Normal 5 2 4 9 3" xfId="4394"/>
    <cellStyle name="Normal 5 2 4 9 3 2" xfId="9933"/>
    <cellStyle name="Normal 5 2 4 9 3 3" xfId="15472"/>
    <cellStyle name="Normal 5 2 4 9 4" xfId="5329"/>
    <cellStyle name="Normal 5 2 4 9 4 2" xfId="10868"/>
    <cellStyle name="Normal 5 2 4 9 4 3" xfId="16407"/>
    <cellStyle name="Normal 5 2 4 9 5" xfId="2031"/>
    <cellStyle name="Normal 5 2 4 9 5 2" xfId="7577"/>
    <cellStyle name="Normal 5 2 4 9 5 3" xfId="13116"/>
    <cellStyle name="Normal 5 2 4 9 6" xfId="6372"/>
    <cellStyle name="Normal 5 2 4 9 7" xfId="11911"/>
    <cellStyle name="Normal 5 2 5" xfId="316"/>
    <cellStyle name="Normal 5 2 5 10" xfId="1690"/>
    <cellStyle name="Normal 5 2 5 10 2" xfId="7236"/>
    <cellStyle name="Normal 5 2 5 10 3" xfId="12775"/>
    <cellStyle name="Normal 5 2 5 11" xfId="6031"/>
    <cellStyle name="Normal 5 2 5 11 2" xfId="17109"/>
    <cellStyle name="Normal 5 2 5 12" xfId="675"/>
    <cellStyle name="Normal 5 2 5 12 2" xfId="17271"/>
    <cellStyle name="Normal 5 2 5 13" xfId="11570"/>
    <cellStyle name="Normal 5 2 5 14" xfId="17438"/>
    <cellStyle name="Normal 5 2 5 15" xfId="17603"/>
    <cellStyle name="Normal 5 2 5 2" xfId="317"/>
    <cellStyle name="Normal 5 2 5 2 10" xfId="6121"/>
    <cellStyle name="Normal 5 2 5 2 10 2" xfId="17199"/>
    <cellStyle name="Normal 5 2 5 2 11" xfId="765"/>
    <cellStyle name="Normal 5 2 5 2 11 2" xfId="17361"/>
    <cellStyle name="Normal 5 2 5 2 12" xfId="11660"/>
    <cellStyle name="Normal 5 2 5 2 13" xfId="17528"/>
    <cellStyle name="Normal 5 2 5 2 14" xfId="17693"/>
    <cellStyle name="Normal 5 2 5 2 2" xfId="516"/>
    <cellStyle name="Normal 5 2 5 2 2 2" xfId="1357"/>
    <cellStyle name="Normal 5 2 5 2 2 2 2" xfId="3889"/>
    <cellStyle name="Normal 5 2 5 2 2 2 2 2" xfId="9431"/>
    <cellStyle name="Normal 5 2 5 2 2 2 2 3" xfId="14970"/>
    <cellStyle name="Normal 5 2 5 2 2 2 3" xfId="4926"/>
    <cellStyle name="Normal 5 2 5 2 2 2 3 2" xfId="10465"/>
    <cellStyle name="Normal 5 2 5 2 2 2 3 3" xfId="16004"/>
    <cellStyle name="Normal 5 2 5 2 2 2 4" xfId="5860"/>
    <cellStyle name="Normal 5 2 5 2 2 2 4 2" xfId="11399"/>
    <cellStyle name="Normal 5 2 5 2 2 2 4 3" xfId="16938"/>
    <cellStyle name="Normal 5 2 5 2 2 2 5" xfId="2562"/>
    <cellStyle name="Normal 5 2 5 2 2 2 5 2" xfId="8108"/>
    <cellStyle name="Normal 5 2 5 2 2 2 5 3" xfId="13647"/>
    <cellStyle name="Normal 5 2 5 2 2 2 6" xfId="6903"/>
    <cellStyle name="Normal 5 2 5 2 2 2 7" xfId="12442"/>
    <cellStyle name="Normal 5 2 5 2 2 3" xfId="1096"/>
    <cellStyle name="Normal 5 2 5 2 2 3 2" xfId="3626"/>
    <cellStyle name="Normal 5 2 5 2 2 3 2 2" xfId="9168"/>
    <cellStyle name="Normal 5 2 5 2 2 3 2 3" xfId="14707"/>
    <cellStyle name="Normal 5 2 5 2 2 3 3" xfId="4663"/>
    <cellStyle name="Normal 5 2 5 2 2 3 3 2" xfId="10202"/>
    <cellStyle name="Normal 5 2 5 2 2 3 3 3" xfId="15741"/>
    <cellStyle name="Normal 5 2 5 2 2 3 4" xfId="5598"/>
    <cellStyle name="Normal 5 2 5 2 2 3 4 2" xfId="11137"/>
    <cellStyle name="Normal 5 2 5 2 2 3 4 3" xfId="16676"/>
    <cellStyle name="Normal 5 2 5 2 2 3 5" xfId="2300"/>
    <cellStyle name="Normal 5 2 5 2 2 3 5 2" xfId="7846"/>
    <cellStyle name="Normal 5 2 5 2 2 3 5 3" xfId="13385"/>
    <cellStyle name="Normal 5 2 5 2 2 3 6" xfId="6641"/>
    <cellStyle name="Normal 5 2 5 2 2 3 7" xfId="12180"/>
    <cellStyle name="Normal 5 2 5 2 2 4" xfId="3175"/>
    <cellStyle name="Normal 5 2 5 2 2 4 2" xfId="8717"/>
    <cellStyle name="Normal 5 2 5 2 2 4 3" xfId="14256"/>
    <cellStyle name="Normal 5 2 5 2 2 5" xfId="4214"/>
    <cellStyle name="Normal 5 2 5 2 2 5 2" xfId="9753"/>
    <cellStyle name="Normal 5 2 5 2 2 5 3" xfId="15292"/>
    <cellStyle name="Normal 5 2 5 2 2 6" xfId="5175"/>
    <cellStyle name="Normal 5 2 5 2 2 6 2" xfId="10714"/>
    <cellStyle name="Normal 5 2 5 2 2 6 3" xfId="16253"/>
    <cellStyle name="Normal 5 2 5 2 2 7" xfId="1877"/>
    <cellStyle name="Normal 5 2 5 2 2 7 2" xfId="7423"/>
    <cellStyle name="Normal 5 2 5 2 2 7 3" xfId="12962"/>
    <cellStyle name="Normal 5 2 5 2 2 8" xfId="6218"/>
    <cellStyle name="Normal 5 2 5 2 2 9" xfId="11757"/>
    <cellStyle name="Normal 5 2 5 2 3" xfId="1273"/>
    <cellStyle name="Normal 5 2 5 2 3 2" xfId="3803"/>
    <cellStyle name="Normal 5 2 5 2 3 2 2" xfId="9345"/>
    <cellStyle name="Normal 5 2 5 2 3 2 3" xfId="14884"/>
    <cellStyle name="Normal 5 2 5 2 3 3" xfId="4840"/>
    <cellStyle name="Normal 5 2 5 2 3 3 2" xfId="10379"/>
    <cellStyle name="Normal 5 2 5 2 3 3 3" xfId="15918"/>
    <cellStyle name="Normal 5 2 5 2 3 4" xfId="5775"/>
    <cellStyle name="Normal 5 2 5 2 3 4 2" xfId="11314"/>
    <cellStyle name="Normal 5 2 5 2 3 4 3" xfId="16853"/>
    <cellStyle name="Normal 5 2 5 2 3 5" xfId="2477"/>
    <cellStyle name="Normal 5 2 5 2 3 5 2" xfId="8023"/>
    <cellStyle name="Normal 5 2 5 2 3 5 3" xfId="13562"/>
    <cellStyle name="Normal 5 2 5 2 3 6" xfId="6818"/>
    <cellStyle name="Normal 5 2 5 2 3 7" xfId="12357"/>
    <cellStyle name="Normal 5 2 5 2 4" xfId="837"/>
    <cellStyle name="Normal 5 2 5 2 4 2" xfId="3367"/>
    <cellStyle name="Normal 5 2 5 2 4 2 2" xfId="8909"/>
    <cellStyle name="Normal 5 2 5 2 4 2 3" xfId="14448"/>
    <cellStyle name="Normal 5 2 5 2 4 3" xfId="4404"/>
    <cellStyle name="Normal 5 2 5 2 4 3 2" xfId="9943"/>
    <cellStyle name="Normal 5 2 5 2 4 3 3" xfId="15482"/>
    <cellStyle name="Normal 5 2 5 2 4 4" xfId="5339"/>
    <cellStyle name="Normal 5 2 5 2 4 4 2" xfId="10878"/>
    <cellStyle name="Normal 5 2 5 2 4 4 3" xfId="16417"/>
    <cellStyle name="Normal 5 2 5 2 4 5" xfId="2041"/>
    <cellStyle name="Normal 5 2 5 2 4 5 2" xfId="7587"/>
    <cellStyle name="Normal 5 2 5 2 4 5 3" xfId="13126"/>
    <cellStyle name="Normal 5 2 5 2 4 6" xfId="6382"/>
    <cellStyle name="Normal 5 2 5 2 4 7" xfId="11921"/>
    <cellStyle name="Normal 5 2 5 2 5" xfId="1618"/>
    <cellStyle name="Normal 5 2 5 2 5 2" xfId="2823"/>
    <cellStyle name="Normal 5 2 5 2 5 2 2" xfId="8369"/>
    <cellStyle name="Normal 5 2 5 2 5 2 3" xfId="13908"/>
    <cellStyle name="Normal 5 2 5 2 5 3" xfId="7164"/>
    <cellStyle name="Normal 5 2 5 2 5 4" xfId="12703"/>
    <cellStyle name="Normal 5 2 5 2 6" xfId="2996"/>
    <cellStyle name="Normal 5 2 5 2 6 2" xfId="8540"/>
    <cellStyle name="Normal 5 2 5 2 6 3" xfId="14079"/>
    <cellStyle name="Normal 5 2 5 2 7" xfId="4041"/>
    <cellStyle name="Normal 5 2 5 2 7 2" xfId="9583"/>
    <cellStyle name="Normal 5 2 5 2 7 3" xfId="15122"/>
    <cellStyle name="Normal 5 2 5 2 8" xfId="5078"/>
    <cellStyle name="Normal 5 2 5 2 8 2" xfId="10617"/>
    <cellStyle name="Normal 5 2 5 2 8 3" xfId="16156"/>
    <cellStyle name="Normal 5 2 5 2 9" xfId="1780"/>
    <cellStyle name="Normal 5 2 5 2 9 2" xfId="7326"/>
    <cellStyle name="Normal 5 2 5 2 9 3" xfId="12865"/>
    <cellStyle name="Normal 5 2 5 3" xfId="515"/>
    <cellStyle name="Normal 5 2 5 3 2" xfId="1356"/>
    <cellStyle name="Normal 5 2 5 3 2 2" xfId="3888"/>
    <cellStyle name="Normal 5 2 5 3 2 2 2" xfId="9430"/>
    <cellStyle name="Normal 5 2 5 3 2 2 3" xfId="14969"/>
    <cellStyle name="Normal 5 2 5 3 2 3" xfId="4925"/>
    <cellStyle name="Normal 5 2 5 3 2 3 2" xfId="10464"/>
    <cellStyle name="Normal 5 2 5 3 2 3 3" xfId="16003"/>
    <cellStyle name="Normal 5 2 5 3 2 4" xfId="5859"/>
    <cellStyle name="Normal 5 2 5 3 2 4 2" xfId="11398"/>
    <cellStyle name="Normal 5 2 5 3 2 4 3" xfId="16937"/>
    <cellStyle name="Normal 5 2 5 3 2 5" xfId="2561"/>
    <cellStyle name="Normal 5 2 5 3 2 5 2" xfId="8107"/>
    <cellStyle name="Normal 5 2 5 3 2 5 3" xfId="13646"/>
    <cellStyle name="Normal 5 2 5 3 2 6" xfId="6902"/>
    <cellStyle name="Normal 5 2 5 3 2 7" xfId="12441"/>
    <cellStyle name="Normal 5 2 5 3 3" xfId="1006"/>
    <cellStyle name="Normal 5 2 5 3 3 2" xfId="3536"/>
    <cellStyle name="Normal 5 2 5 3 3 2 2" xfId="9078"/>
    <cellStyle name="Normal 5 2 5 3 3 2 3" xfId="14617"/>
    <cellStyle name="Normal 5 2 5 3 3 3" xfId="4573"/>
    <cellStyle name="Normal 5 2 5 3 3 3 2" xfId="10112"/>
    <cellStyle name="Normal 5 2 5 3 3 3 3" xfId="15651"/>
    <cellStyle name="Normal 5 2 5 3 3 4" xfId="5508"/>
    <cellStyle name="Normal 5 2 5 3 3 4 2" xfId="11047"/>
    <cellStyle name="Normal 5 2 5 3 3 4 3" xfId="16586"/>
    <cellStyle name="Normal 5 2 5 3 3 5" xfId="2210"/>
    <cellStyle name="Normal 5 2 5 3 3 5 2" xfId="7756"/>
    <cellStyle name="Normal 5 2 5 3 3 5 3" xfId="13295"/>
    <cellStyle name="Normal 5 2 5 3 3 6" xfId="6551"/>
    <cellStyle name="Normal 5 2 5 3 3 7" xfId="12090"/>
    <cellStyle name="Normal 5 2 5 3 4" xfId="3174"/>
    <cellStyle name="Normal 5 2 5 3 4 2" xfId="8716"/>
    <cellStyle name="Normal 5 2 5 3 4 3" xfId="14255"/>
    <cellStyle name="Normal 5 2 5 3 5" xfId="4213"/>
    <cellStyle name="Normal 5 2 5 3 5 2" xfId="9752"/>
    <cellStyle name="Normal 5 2 5 3 5 3" xfId="15291"/>
    <cellStyle name="Normal 5 2 5 3 6" xfId="5174"/>
    <cellStyle name="Normal 5 2 5 3 6 2" xfId="10713"/>
    <cellStyle name="Normal 5 2 5 3 6 3" xfId="16252"/>
    <cellStyle name="Normal 5 2 5 3 7" xfId="1876"/>
    <cellStyle name="Normal 5 2 5 3 7 2" xfId="7422"/>
    <cellStyle name="Normal 5 2 5 3 7 3" xfId="12961"/>
    <cellStyle name="Normal 5 2 5 3 8" xfId="6217"/>
    <cellStyle name="Normal 5 2 5 3 9" xfId="11756"/>
    <cellStyle name="Normal 5 2 5 4" xfId="1183"/>
    <cellStyle name="Normal 5 2 5 4 2" xfId="3713"/>
    <cellStyle name="Normal 5 2 5 4 2 2" xfId="9255"/>
    <cellStyle name="Normal 5 2 5 4 2 3" xfId="14794"/>
    <cellStyle name="Normal 5 2 5 4 3" xfId="4750"/>
    <cellStyle name="Normal 5 2 5 4 3 2" xfId="10289"/>
    <cellStyle name="Normal 5 2 5 4 3 3" xfId="15828"/>
    <cellStyle name="Normal 5 2 5 4 4" xfId="5685"/>
    <cellStyle name="Normal 5 2 5 4 4 2" xfId="11224"/>
    <cellStyle name="Normal 5 2 5 4 4 3" xfId="16763"/>
    <cellStyle name="Normal 5 2 5 4 5" xfId="2387"/>
    <cellStyle name="Normal 5 2 5 4 5 2" xfId="7933"/>
    <cellStyle name="Normal 5 2 5 4 5 3" xfId="13472"/>
    <cellStyle name="Normal 5 2 5 4 6" xfId="6728"/>
    <cellStyle name="Normal 5 2 5 4 7" xfId="12267"/>
    <cellStyle name="Normal 5 2 5 5" xfId="836"/>
    <cellStyle name="Normal 5 2 5 5 2" xfId="3366"/>
    <cellStyle name="Normal 5 2 5 5 2 2" xfId="8908"/>
    <cellStyle name="Normal 5 2 5 5 2 3" xfId="14447"/>
    <cellStyle name="Normal 5 2 5 5 3" xfId="4403"/>
    <cellStyle name="Normal 5 2 5 5 3 2" xfId="9942"/>
    <cellStyle name="Normal 5 2 5 5 3 3" xfId="15481"/>
    <cellStyle name="Normal 5 2 5 5 4" xfId="5338"/>
    <cellStyle name="Normal 5 2 5 5 4 2" xfId="10877"/>
    <cellStyle name="Normal 5 2 5 5 4 3" xfId="16416"/>
    <cellStyle name="Normal 5 2 5 5 5" xfId="2040"/>
    <cellStyle name="Normal 5 2 5 5 5 2" xfId="7586"/>
    <cellStyle name="Normal 5 2 5 5 5 3" xfId="13125"/>
    <cellStyle name="Normal 5 2 5 5 6" xfId="6381"/>
    <cellStyle name="Normal 5 2 5 5 7" xfId="11920"/>
    <cellStyle name="Normal 5 2 5 6" xfId="1528"/>
    <cellStyle name="Normal 5 2 5 6 2" xfId="2733"/>
    <cellStyle name="Normal 5 2 5 6 2 2" xfId="8279"/>
    <cellStyle name="Normal 5 2 5 6 2 3" xfId="13818"/>
    <cellStyle name="Normal 5 2 5 6 3" xfId="7074"/>
    <cellStyle name="Normal 5 2 5 6 4" xfId="12613"/>
    <cellStyle name="Normal 5 2 5 7" xfId="2906"/>
    <cellStyle name="Normal 5 2 5 7 2" xfId="8450"/>
    <cellStyle name="Normal 5 2 5 7 3" xfId="13989"/>
    <cellStyle name="Normal 5 2 5 8" xfId="3021"/>
    <cellStyle name="Normal 5 2 5 8 2" xfId="8565"/>
    <cellStyle name="Normal 5 2 5 8 3" xfId="14104"/>
    <cellStyle name="Normal 5 2 5 9" xfId="4065"/>
    <cellStyle name="Normal 5 2 5 9 2" xfId="9607"/>
    <cellStyle name="Normal 5 2 5 9 3" xfId="15146"/>
    <cellStyle name="Normal 5 2 6" xfId="318"/>
    <cellStyle name="Normal 5 2 6 10" xfId="1672"/>
    <cellStyle name="Normal 5 2 6 10 2" xfId="7218"/>
    <cellStyle name="Normal 5 2 6 10 3" xfId="12757"/>
    <cellStyle name="Normal 5 2 6 11" xfId="6013"/>
    <cellStyle name="Normal 5 2 6 11 2" xfId="17091"/>
    <cellStyle name="Normal 5 2 6 12" xfId="657"/>
    <cellStyle name="Normal 5 2 6 12 2" xfId="17253"/>
    <cellStyle name="Normal 5 2 6 13" xfId="11552"/>
    <cellStyle name="Normal 5 2 6 14" xfId="17420"/>
    <cellStyle name="Normal 5 2 6 15" xfId="17585"/>
    <cellStyle name="Normal 5 2 6 2" xfId="319"/>
    <cellStyle name="Normal 5 2 6 2 10" xfId="6103"/>
    <cellStyle name="Normal 5 2 6 2 10 2" xfId="17181"/>
    <cellStyle name="Normal 5 2 6 2 11" xfId="747"/>
    <cellStyle name="Normal 5 2 6 2 11 2" xfId="17343"/>
    <cellStyle name="Normal 5 2 6 2 12" xfId="11642"/>
    <cellStyle name="Normal 5 2 6 2 13" xfId="17510"/>
    <cellStyle name="Normal 5 2 6 2 14" xfId="17675"/>
    <cellStyle name="Normal 5 2 6 2 2" xfId="518"/>
    <cellStyle name="Normal 5 2 6 2 2 2" xfId="1359"/>
    <cellStyle name="Normal 5 2 6 2 2 2 2" xfId="3891"/>
    <cellStyle name="Normal 5 2 6 2 2 2 2 2" xfId="9433"/>
    <cellStyle name="Normal 5 2 6 2 2 2 2 3" xfId="14972"/>
    <cellStyle name="Normal 5 2 6 2 2 2 3" xfId="4928"/>
    <cellStyle name="Normal 5 2 6 2 2 2 3 2" xfId="10467"/>
    <cellStyle name="Normal 5 2 6 2 2 2 3 3" xfId="16006"/>
    <cellStyle name="Normal 5 2 6 2 2 2 4" xfId="5862"/>
    <cellStyle name="Normal 5 2 6 2 2 2 4 2" xfId="11401"/>
    <cellStyle name="Normal 5 2 6 2 2 2 4 3" xfId="16940"/>
    <cellStyle name="Normal 5 2 6 2 2 2 5" xfId="2564"/>
    <cellStyle name="Normal 5 2 6 2 2 2 5 2" xfId="8110"/>
    <cellStyle name="Normal 5 2 6 2 2 2 5 3" xfId="13649"/>
    <cellStyle name="Normal 5 2 6 2 2 2 6" xfId="6905"/>
    <cellStyle name="Normal 5 2 6 2 2 2 7" xfId="12444"/>
    <cellStyle name="Normal 5 2 6 2 2 3" xfId="1078"/>
    <cellStyle name="Normal 5 2 6 2 2 3 2" xfId="3608"/>
    <cellStyle name="Normal 5 2 6 2 2 3 2 2" xfId="9150"/>
    <cellStyle name="Normal 5 2 6 2 2 3 2 3" xfId="14689"/>
    <cellStyle name="Normal 5 2 6 2 2 3 3" xfId="4645"/>
    <cellStyle name="Normal 5 2 6 2 2 3 3 2" xfId="10184"/>
    <cellStyle name="Normal 5 2 6 2 2 3 3 3" xfId="15723"/>
    <cellStyle name="Normal 5 2 6 2 2 3 4" xfId="5580"/>
    <cellStyle name="Normal 5 2 6 2 2 3 4 2" xfId="11119"/>
    <cellStyle name="Normal 5 2 6 2 2 3 4 3" xfId="16658"/>
    <cellStyle name="Normal 5 2 6 2 2 3 5" xfId="2282"/>
    <cellStyle name="Normal 5 2 6 2 2 3 5 2" xfId="7828"/>
    <cellStyle name="Normal 5 2 6 2 2 3 5 3" xfId="13367"/>
    <cellStyle name="Normal 5 2 6 2 2 3 6" xfId="6623"/>
    <cellStyle name="Normal 5 2 6 2 2 3 7" xfId="12162"/>
    <cellStyle name="Normal 5 2 6 2 2 4" xfId="3177"/>
    <cellStyle name="Normal 5 2 6 2 2 4 2" xfId="8719"/>
    <cellStyle name="Normal 5 2 6 2 2 4 3" xfId="14258"/>
    <cellStyle name="Normal 5 2 6 2 2 5" xfId="4216"/>
    <cellStyle name="Normal 5 2 6 2 2 5 2" xfId="9755"/>
    <cellStyle name="Normal 5 2 6 2 2 5 3" xfId="15294"/>
    <cellStyle name="Normal 5 2 6 2 2 6" xfId="5177"/>
    <cellStyle name="Normal 5 2 6 2 2 6 2" xfId="10716"/>
    <cellStyle name="Normal 5 2 6 2 2 6 3" xfId="16255"/>
    <cellStyle name="Normal 5 2 6 2 2 7" xfId="1879"/>
    <cellStyle name="Normal 5 2 6 2 2 7 2" xfId="7425"/>
    <cellStyle name="Normal 5 2 6 2 2 7 3" xfId="12964"/>
    <cellStyle name="Normal 5 2 6 2 2 8" xfId="6220"/>
    <cellStyle name="Normal 5 2 6 2 2 9" xfId="11759"/>
    <cellStyle name="Normal 5 2 6 2 3" xfId="1255"/>
    <cellStyle name="Normal 5 2 6 2 3 2" xfId="3785"/>
    <cellStyle name="Normal 5 2 6 2 3 2 2" xfId="9327"/>
    <cellStyle name="Normal 5 2 6 2 3 2 3" xfId="14866"/>
    <cellStyle name="Normal 5 2 6 2 3 3" xfId="4822"/>
    <cellStyle name="Normal 5 2 6 2 3 3 2" xfId="10361"/>
    <cellStyle name="Normal 5 2 6 2 3 3 3" xfId="15900"/>
    <cellStyle name="Normal 5 2 6 2 3 4" xfId="5757"/>
    <cellStyle name="Normal 5 2 6 2 3 4 2" xfId="11296"/>
    <cellStyle name="Normal 5 2 6 2 3 4 3" xfId="16835"/>
    <cellStyle name="Normal 5 2 6 2 3 5" xfId="2459"/>
    <cellStyle name="Normal 5 2 6 2 3 5 2" xfId="8005"/>
    <cellStyle name="Normal 5 2 6 2 3 5 3" xfId="13544"/>
    <cellStyle name="Normal 5 2 6 2 3 6" xfId="6800"/>
    <cellStyle name="Normal 5 2 6 2 3 7" xfId="12339"/>
    <cellStyle name="Normal 5 2 6 2 4" xfId="839"/>
    <cellStyle name="Normal 5 2 6 2 4 2" xfId="3369"/>
    <cellStyle name="Normal 5 2 6 2 4 2 2" xfId="8911"/>
    <cellStyle name="Normal 5 2 6 2 4 2 3" xfId="14450"/>
    <cellStyle name="Normal 5 2 6 2 4 3" xfId="4406"/>
    <cellStyle name="Normal 5 2 6 2 4 3 2" xfId="9945"/>
    <cellStyle name="Normal 5 2 6 2 4 3 3" xfId="15484"/>
    <cellStyle name="Normal 5 2 6 2 4 4" xfId="5341"/>
    <cellStyle name="Normal 5 2 6 2 4 4 2" xfId="10880"/>
    <cellStyle name="Normal 5 2 6 2 4 4 3" xfId="16419"/>
    <cellStyle name="Normal 5 2 6 2 4 5" xfId="2043"/>
    <cellStyle name="Normal 5 2 6 2 4 5 2" xfId="7589"/>
    <cellStyle name="Normal 5 2 6 2 4 5 3" xfId="13128"/>
    <cellStyle name="Normal 5 2 6 2 4 6" xfId="6384"/>
    <cellStyle name="Normal 5 2 6 2 4 7" xfId="11923"/>
    <cellStyle name="Normal 5 2 6 2 5" xfId="1600"/>
    <cellStyle name="Normal 5 2 6 2 5 2" xfId="2805"/>
    <cellStyle name="Normal 5 2 6 2 5 2 2" xfId="8351"/>
    <cellStyle name="Normal 5 2 6 2 5 2 3" xfId="13890"/>
    <cellStyle name="Normal 5 2 6 2 5 3" xfId="7146"/>
    <cellStyle name="Normal 5 2 6 2 5 4" xfId="12685"/>
    <cellStyle name="Normal 5 2 6 2 6" xfId="2978"/>
    <cellStyle name="Normal 5 2 6 2 6 2" xfId="8522"/>
    <cellStyle name="Normal 5 2 6 2 6 3" xfId="14061"/>
    <cellStyle name="Normal 5 2 6 2 7" xfId="4023"/>
    <cellStyle name="Normal 5 2 6 2 7 2" xfId="9565"/>
    <cellStyle name="Normal 5 2 6 2 7 3" xfId="15104"/>
    <cellStyle name="Normal 5 2 6 2 8" xfId="5060"/>
    <cellStyle name="Normal 5 2 6 2 8 2" xfId="10599"/>
    <cellStyle name="Normal 5 2 6 2 8 3" xfId="16138"/>
    <cellStyle name="Normal 5 2 6 2 9" xfId="1762"/>
    <cellStyle name="Normal 5 2 6 2 9 2" xfId="7308"/>
    <cellStyle name="Normal 5 2 6 2 9 3" xfId="12847"/>
    <cellStyle name="Normal 5 2 6 3" xfId="517"/>
    <cellStyle name="Normal 5 2 6 3 2" xfId="1358"/>
    <cellStyle name="Normal 5 2 6 3 2 2" xfId="3890"/>
    <cellStyle name="Normal 5 2 6 3 2 2 2" xfId="9432"/>
    <cellStyle name="Normal 5 2 6 3 2 2 3" xfId="14971"/>
    <cellStyle name="Normal 5 2 6 3 2 3" xfId="4927"/>
    <cellStyle name="Normal 5 2 6 3 2 3 2" xfId="10466"/>
    <cellStyle name="Normal 5 2 6 3 2 3 3" xfId="16005"/>
    <cellStyle name="Normal 5 2 6 3 2 4" xfId="5861"/>
    <cellStyle name="Normal 5 2 6 3 2 4 2" xfId="11400"/>
    <cellStyle name="Normal 5 2 6 3 2 4 3" xfId="16939"/>
    <cellStyle name="Normal 5 2 6 3 2 5" xfId="2563"/>
    <cellStyle name="Normal 5 2 6 3 2 5 2" xfId="8109"/>
    <cellStyle name="Normal 5 2 6 3 2 5 3" xfId="13648"/>
    <cellStyle name="Normal 5 2 6 3 2 6" xfId="6904"/>
    <cellStyle name="Normal 5 2 6 3 2 7" xfId="12443"/>
    <cellStyle name="Normal 5 2 6 3 3" xfId="988"/>
    <cellStyle name="Normal 5 2 6 3 3 2" xfId="3518"/>
    <cellStyle name="Normal 5 2 6 3 3 2 2" xfId="9060"/>
    <cellStyle name="Normal 5 2 6 3 3 2 3" xfId="14599"/>
    <cellStyle name="Normal 5 2 6 3 3 3" xfId="4555"/>
    <cellStyle name="Normal 5 2 6 3 3 3 2" xfId="10094"/>
    <cellStyle name="Normal 5 2 6 3 3 3 3" xfId="15633"/>
    <cellStyle name="Normal 5 2 6 3 3 4" xfId="5490"/>
    <cellStyle name="Normal 5 2 6 3 3 4 2" xfId="11029"/>
    <cellStyle name="Normal 5 2 6 3 3 4 3" xfId="16568"/>
    <cellStyle name="Normal 5 2 6 3 3 5" xfId="2192"/>
    <cellStyle name="Normal 5 2 6 3 3 5 2" xfId="7738"/>
    <cellStyle name="Normal 5 2 6 3 3 5 3" xfId="13277"/>
    <cellStyle name="Normal 5 2 6 3 3 6" xfId="6533"/>
    <cellStyle name="Normal 5 2 6 3 3 7" xfId="12072"/>
    <cellStyle name="Normal 5 2 6 3 4" xfId="3176"/>
    <cellStyle name="Normal 5 2 6 3 4 2" xfId="8718"/>
    <cellStyle name="Normal 5 2 6 3 4 3" xfId="14257"/>
    <cellStyle name="Normal 5 2 6 3 5" xfId="4215"/>
    <cellStyle name="Normal 5 2 6 3 5 2" xfId="9754"/>
    <cellStyle name="Normal 5 2 6 3 5 3" xfId="15293"/>
    <cellStyle name="Normal 5 2 6 3 6" xfId="5176"/>
    <cellStyle name="Normal 5 2 6 3 6 2" xfId="10715"/>
    <cellStyle name="Normal 5 2 6 3 6 3" xfId="16254"/>
    <cellStyle name="Normal 5 2 6 3 7" xfId="1878"/>
    <cellStyle name="Normal 5 2 6 3 7 2" xfId="7424"/>
    <cellStyle name="Normal 5 2 6 3 7 3" xfId="12963"/>
    <cellStyle name="Normal 5 2 6 3 8" xfId="6219"/>
    <cellStyle name="Normal 5 2 6 3 9" xfId="11758"/>
    <cellStyle name="Normal 5 2 6 4" xfId="1165"/>
    <cellStyle name="Normal 5 2 6 4 2" xfId="3695"/>
    <cellStyle name="Normal 5 2 6 4 2 2" xfId="9237"/>
    <cellStyle name="Normal 5 2 6 4 2 3" xfId="14776"/>
    <cellStyle name="Normal 5 2 6 4 3" xfId="4732"/>
    <cellStyle name="Normal 5 2 6 4 3 2" xfId="10271"/>
    <cellStyle name="Normal 5 2 6 4 3 3" xfId="15810"/>
    <cellStyle name="Normal 5 2 6 4 4" xfId="5667"/>
    <cellStyle name="Normal 5 2 6 4 4 2" xfId="11206"/>
    <cellStyle name="Normal 5 2 6 4 4 3" xfId="16745"/>
    <cellStyle name="Normal 5 2 6 4 5" xfId="2369"/>
    <cellStyle name="Normal 5 2 6 4 5 2" xfId="7915"/>
    <cellStyle name="Normal 5 2 6 4 5 3" xfId="13454"/>
    <cellStyle name="Normal 5 2 6 4 6" xfId="6710"/>
    <cellStyle name="Normal 5 2 6 4 7" xfId="12249"/>
    <cellStyle name="Normal 5 2 6 5" xfId="838"/>
    <cellStyle name="Normal 5 2 6 5 2" xfId="3368"/>
    <cellStyle name="Normal 5 2 6 5 2 2" xfId="8910"/>
    <cellStyle name="Normal 5 2 6 5 2 3" xfId="14449"/>
    <cellStyle name="Normal 5 2 6 5 3" xfId="4405"/>
    <cellStyle name="Normal 5 2 6 5 3 2" xfId="9944"/>
    <cellStyle name="Normal 5 2 6 5 3 3" xfId="15483"/>
    <cellStyle name="Normal 5 2 6 5 4" xfId="5340"/>
    <cellStyle name="Normal 5 2 6 5 4 2" xfId="10879"/>
    <cellStyle name="Normal 5 2 6 5 4 3" xfId="16418"/>
    <cellStyle name="Normal 5 2 6 5 5" xfId="2042"/>
    <cellStyle name="Normal 5 2 6 5 5 2" xfId="7588"/>
    <cellStyle name="Normal 5 2 6 5 5 3" xfId="13127"/>
    <cellStyle name="Normal 5 2 6 5 6" xfId="6383"/>
    <cellStyle name="Normal 5 2 6 5 7" xfId="11922"/>
    <cellStyle name="Normal 5 2 6 6" xfId="1510"/>
    <cellStyle name="Normal 5 2 6 6 2" xfId="2715"/>
    <cellStyle name="Normal 5 2 6 6 2 2" xfId="8261"/>
    <cellStyle name="Normal 5 2 6 6 2 3" xfId="13800"/>
    <cellStyle name="Normal 5 2 6 6 3" xfId="7056"/>
    <cellStyle name="Normal 5 2 6 6 4" xfId="12595"/>
    <cellStyle name="Normal 5 2 6 7" xfId="2888"/>
    <cellStyle name="Normal 5 2 6 7 2" xfId="8432"/>
    <cellStyle name="Normal 5 2 6 7 3" xfId="13971"/>
    <cellStyle name="Normal 5 2 6 8" xfId="3304"/>
    <cellStyle name="Normal 5 2 6 8 2" xfId="8846"/>
    <cellStyle name="Normal 5 2 6 8 3" xfId="14385"/>
    <cellStyle name="Normal 5 2 6 9" xfId="4341"/>
    <cellStyle name="Normal 5 2 6 9 2" xfId="9880"/>
    <cellStyle name="Normal 5 2 6 9 3" xfId="15419"/>
    <cellStyle name="Normal 5 2 7" xfId="320"/>
    <cellStyle name="Normal 5 2 7 10" xfId="1708"/>
    <cellStyle name="Normal 5 2 7 10 2" xfId="7254"/>
    <cellStyle name="Normal 5 2 7 10 3" xfId="12793"/>
    <cellStyle name="Normal 5 2 7 11" xfId="6049"/>
    <cellStyle name="Normal 5 2 7 11 2" xfId="17127"/>
    <cellStyle name="Normal 5 2 7 12" xfId="693"/>
    <cellStyle name="Normal 5 2 7 12 2" xfId="17289"/>
    <cellStyle name="Normal 5 2 7 13" xfId="11588"/>
    <cellStyle name="Normal 5 2 7 14" xfId="17456"/>
    <cellStyle name="Normal 5 2 7 15" xfId="17621"/>
    <cellStyle name="Normal 5 2 7 2" xfId="321"/>
    <cellStyle name="Normal 5 2 7 2 10" xfId="6085"/>
    <cellStyle name="Normal 5 2 7 2 10 2" xfId="17163"/>
    <cellStyle name="Normal 5 2 7 2 11" xfId="729"/>
    <cellStyle name="Normal 5 2 7 2 11 2" xfId="17325"/>
    <cellStyle name="Normal 5 2 7 2 12" xfId="11624"/>
    <cellStyle name="Normal 5 2 7 2 13" xfId="17492"/>
    <cellStyle name="Normal 5 2 7 2 14" xfId="17657"/>
    <cellStyle name="Normal 5 2 7 2 2" xfId="520"/>
    <cellStyle name="Normal 5 2 7 2 2 2" xfId="1361"/>
    <cellStyle name="Normal 5 2 7 2 2 2 2" xfId="3893"/>
    <cellStyle name="Normal 5 2 7 2 2 2 2 2" xfId="9435"/>
    <cellStyle name="Normal 5 2 7 2 2 2 2 3" xfId="14974"/>
    <cellStyle name="Normal 5 2 7 2 2 2 3" xfId="4930"/>
    <cellStyle name="Normal 5 2 7 2 2 2 3 2" xfId="10469"/>
    <cellStyle name="Normal 5 2 7 2 2 2 3 3" xfId="16008"/>
    <cellStyle name="Normal 5 2 7 2 2 2 4" xfId="5864"/>
    <cellStyle name="Normal 5 2 7 2 2 2 4 2" xfId="11403"/>
    <cellStyle name="Normal 5 2 7 2 2 2 4 3" xfId="16942"/>
    <cellStyle name="Normal 5 2 7 2 2 2 5" xfId="2566"/>
    <cellStyle name="Normal 5 2 7 2 2 2 5 2" xfId="8112"/>
    <cellStyle name="Normal 5 2 7 2 2 2 5 3" xfId="13651"/>
    <cellStyle name="Normal 5 2 7 2 2 2 6" xfId="6907"/>
    <cellStyle name="Normal 5 2 7 2 2 2 7" xfId="12446"/>
    <cellStyle name="Normal 5 2 7 2 2 3" xfId="1060"/>
    <cellStyle name="Normal 5 2 7 2 2 3 2" xfId="3590"/>
    <cellStyle name="Normal 5 2 7 2 2 3 2 2" xfId="9132"/>
    <cellStyle name="Normal 5 2 7 2 2 3 2 3" xfId="14671"/>
    <cellStyle name="Normal 5 2 7 2 2 3 3" xfId="4627"/>
    <cellStyle name="Normal 5 2 7 2 2 3 3 2" xfId="10166"/>
    <cellStyle name="Normal 5 2 7 2 2 3 3 3" xfId="15705"/>
    <cellStyle name="Normal 5 2 7 2 2 3 4" xfId="5562"/>
    <cellStyle name="Normal 5 2 7 2 2 3 4 2" xfId="11101"/>
    <cellStyle name="Normal 5 2 7 2 2 3 4 3" xfId="16640"/>
    <cellStyle name="Normal 5 2 7 2 2 3 5" xfId="2264"/>
    <cellStyle name="Normal 5 2 7 2 2 3 5 2" xfId="7810"/>
    <cellStyle name="Normal 5 2 7 2 2 3 5 3" xfId="13349"/>
    <cellStyle name="Normal 5 2 7 2 2 3 6" xfId="6605"/>
    <cellStyle name="Normal 5 2 7 2 2 3 7" xfId="12144"/>
    <cellStyle name="Normal 5 2 7 2 2 4" xfId="3179"/>
    <cellStyle name="Normal 5 2 7 2 2 4 2" xfId="8721"/>
    <cellStyle name="Normal 5 2 7 2 2 4 3" xfId="14260"/>
    <cellStyle name="Normal 5 2 7 2 2 5" xfId="4218"/>
    <cellStyle name="Normal 5 2 7 2 2 5 2" xfId="9757"/>
    <cellStyle name="Normal 5 2 7 2 2 5 3" xfId="15296"/>
    <cellStyle name="Normal 5 2 7 2 2 6" xfId="5179"/>
    <cellStyle name="Normal 5 2 7 2 2 6 2" xfId="10718"/>
    <cellStyle name="Normal 5 2 7 2 2 6 3" xfId="16257"/>
    <cellStyle name="Normal 5 2 7 2 2 7" xfId="1881"/>
    <cellStyle name="Normal 5 2 7 2 2 7 2" xfId="7427"/>
    <cellStyle name="Normal 5 2 7 2 2 7 3" xfId="12966"/>
    <cellStyle name="Normal 5 2 7 2 2 8" xfId="6222"/>
    <cellStyle name="Normal 5 2 7 2 2 9" xfId="11761"/>
    <cellStyle name="Normal 5 2 7 2 3" xfId="1237"/>
    <cellStyle name="Normal 5 2 7 2 3 2" xfId="3767"/>
    <cellStyle name="Normal 5 2 7 2 3 2 2" xfId="9309"/>
    <cellStyle name="Normal 5 2 7 2 3 2 3" xfId="14848"/>
    <cellStyle name="Normal 5 2 7 2 3 3" xfId="4804"/>
    <cellStyle name="Normal 5 2 7 2 3 3 2" xfId="10343"/>
    <cellStyle name="Normal 5 2 7 2 3 3 3" xfId="15882"/>
    <cellStyle name="Normal 5 2 7 2 3 4" xfId="5739"/>
    <cellStyle name="Normal 5 2 7 2 3 4 2" xfId="11278"/>
    <cellStyle name="Normal 5 2 7 2 3 4 3" xfId="16817"/>
    <cellStyle name="Normal 5 2 7 2 3 5" xfId="2441"/>
    <cellStyle name="Normal 5 2 7 2 3 5 2" xfId="7987"/>
    <cellStyle name="Normal 5 2 7 2 3 5 3" xfId="13526"/>
    <cellStyle name="Normal 5 2 7 2 3 6" xfId="6782"/>
    <cellStyle name="Normal 5 2 7 2 3 7" xfId="12321"/>
    <cellStyle name="Normal 5 2 7 2 4" xfId="841"/>
    <cellStyle name="Normal 5 2 7 2 4 2" xfId="3371"/>
    <cellStyle name="Normal 5 2 7 2 4 2 2" xfId="8913"/>
    <cellStyle name="Normal 5 2 7 2 4 2 3" xfId="14452"/>
    <cellStyle name="Normal 5 2 7 2 4 3" xfId="4408"/>
    <cellStyle name="Normal 5 2 7 2 4 3 2" xfId="9947"/>
    <cellStyle name="Normal 5 2 7 2 4 3 3" xfId="15486"/>
    <cellStyle name="Normal 5 2 7 2 4 4" xfId="5343"/>
    <cellStyle name="Normal 5 2 7 2 4 4 2" xfId="10882"/>
    <cellStyle name="Normal 5 2 7 2 4 4 3" xfId="16421"/>
    <cellStyle name="Normal 5 2 7 2 4 5" xfId="2045"/>
    <cellStyle name="Normal 5 2 7 2 4 5 2" xfId="7591"/>
    <cellStyle name="Normal 5 2 7 2 4 5 3" xfId="13130"/>
    <cellStyle name="Normal 5 2 7 2 4 6" xfId="6386"/>
    <cellStyle name="Normal 5 2 7 2 4 7" xfId="11925"/>
    <cellStyle name="Normal 5 2 7 2 5" xfId="1582"/>
    <cellStyle name="Normal 5 2 7 2 5 2" xfId="2787"/>
    <cellStyle name="Normal 5 2 7 2 5 2 2" xfId="8333"/>
    <cellStyle name="Normal 5 2 7 2 5 2 3" xfId="13872"/>
    <cellStyle name="Normal 5 2 7 2 5 3" xfId="7128"/>
    <cellStyle name="Normal 5 2 7 2 5 4" xfId="12667"/>
    <cellStyle name="Normal 5 2 7 2 6" xfId="2960"/>
    <cellStyle name="Normal 5 2 7 2 6 2" xfId="8504"/>
    <cellStyle name="Normal 5 2 7 2 6 3" xfId="14043"/>
    <cellStyle name="Normal 5 2 7 2 7" xfId="4005"/>
    <cellStyle name="Normal 5 2 7 2 7 2" xfId="9547"/>
    <cellStyle name="Normal 5 2 7 2 7 3" xfId="15086"/>
    <cellStyle name="Normal 5 2 7 2 8" xfId="5042"/>
    <cellStyle name="Normal 5 2 7 2 8 2" xfId="10581"/>
    <cellStyle name="Normal 5 2 7 2 8 3" xfId="16120"/>
    <cellStyle name="Normal 5 2 7 2 9" xfId="1744"/>
    <cellStyle name="Normal 5 2 7 2 9 2" xfId="7290"/>
    <cellStyle name="Normal 5 2 7 2 9 3" xfId="12829"/>
    <cellStyle name="Normal 5 2 7 3" xfId="519"/>
    <cellStyle name="Normal 5 2 7 3 2" xfId="1360"/>
    <cellStyle name="Normal 5 2 7 3 2 2" xfId="3892"/>
    <cellStyle name="Normal 5 2 7 3 2 2 2" xfId="9434"/>
    <cellStyle name="Normal 5 2 7 3 2 2 3" xfId="14973"/>
    <cellStyle name="Normal 5 2 7 3 2 3" xfId="4929"/>
    <cellStyle name="Normal 5 2 7 3 2 3 2" xfId="10468"/>
    <cellStyle name="Normal 5 2 7 3 2 3 3" xfId="16007"/>
    <cellStyle name="Normal 5 2 7 3 2 4" xfId="5863"/>
    <cellStyle name="Normal 5 2 7 3 2 4 2" xfId="11402"/>
    <cellStyle name="Normal 5 2 7 3 2 4 3" xfId="16941"/>
    <cellStyle name="Normal 5 2 7 3 2 5" xfId="2565"/>
    <cellStyle name="Normal 5 2 7 3 2 5 2" xfId="8111"/>
    <cellStyle name="Normal 5 2 7 3 2 5 3" xfId="13650"/>
    <cellStyle name="Normal 5 2 7 3 2 6" xfId="6906"/>
    <cellStyle name="Normal 5 2 7 3 2 7" xfId="12445"/>
    <cellStyle name="Normal 5 2 7 3 3" xfId="1024"/>
    <cellStyle name="Normal 5 2 7 3 3 2" xfId="3554"/>
    <cellStyle name="Normal 5 2 7 3 3 2 2" xfId="9096"/>
    <cellStyle name="Normal 5 2 7 3 3 2 3" xfId="14635"/>
    <cellStyle name="Normal 5 2 7 3 3 3" xfId="4591"/>
    <cellStyle name="Normal 5 2 7 3 3 3 2" xfId="10130"/>
    <cellStyle name="Normal 5 2 7 3 3 3 3" xfId="15669"/>
    <cellStyle name="Normal 5 2 7 3 3 4" xfId="5526"/>
    <cellStyle name="Normal 5 2 7 3 3 4 2" xfId="11065"/>
    <cellStyle name="Normal 5 2 7 3 3 4 3" xfId="16604"/>
    <cellStyle name="Normal 5 2 7 3 3 5" xfId="2228"/>
    <cellStyle name="Normal 5 2 7 3 3 5 2" xfId="7774"/>
    <cellStyle name="Normal 5 2 7 3 3 5 3" xfId="13313"/>
    <cellStyle name="Normal 5 2 7 3 3 6" xfId="6569"/>
    <cellStyle name="Normal 5 2 7 3 3 7" xfId="12108"/>
    <cellStyle name="Normal 5 2 7 3 4" xfId="3178"/>
    <cellStyle name="Normal 5 2 7 3 4 2" xfId="8720"/>
    <cellStyle name="Normal 5 2 7 3 4 3" xfId="14259"/>
    <cellStyle name="Normal 5 2 7 3 5" xfId="4217"/>
    <cellStyle name="Normal 5 2 7 3 5 2" xfId="9756"/>
    <cellStyle name="Normal 5 2 7 3 5 3" xfId="15295"/>
    <cellStyle name="Normal 5 2 7 3 6" xfId="5178"/>
    <cellStyle name="Normal 5 2 7 3 6 2" xfId="10717"/>
    <cellStyle name="Normal 5 2 7 3 6 3" xfId="16256"/>
    <cellStyle name="Normal 5 2 7 3 7" xfId="1880"/>
    <cellStyle name="Normal 5 2 7 3 7 2" xfId="7426"/>
    <cellStyle name="Normal 5 2 7 3 7 3" xfId="12965"/>
    <cellStyle name="Normal 5 2 7 3 8" xfId="6221"/>
    <cellStyle name="Normal 5 2 7 3 9" xfId="11760"/>
    <cellStyle name="Normal 5 2 7 4" xfId="1201"/>
    <cellStyle name="Normal 5 2 7 4 2" xfId="3731"/>
    <cellStyle name="Normal 5 2 7 4 2 2" xfId="9273"/>
    <cellStyle name="Normal 5 2 7 4 2 3" xfId="14812"/>
    <cellStyle name="Normal 5 2 7 4 3" xfId="4768"/>
    <cellStyle name="Normal 5 2 7 4 3 2" xfId="10307"/>
    <cellStyle name="Normal 5 2 7 4 3 3" xfId="15846"/>
    <cellStyle name="Normal 5 2 7 4 4" xfId="5703"/>
    <cellStyle name="Normal 5 2 7 4 4 2" xfId="11242"/>
    <cellStyle name="Normal 5 2 7 4 4 3" xfId="16781"/>
    <cellStyle name="Normal 5 2 7 4 5" xfId="2405"/>
    <cellStyle name="Normal 5 2 7 4 5 2" xfId="7951"/>
    <cellStyle name="Normal 5 2 7 4 5 3" xfId="13490"/>
    <cellStyle name="Normal 5 2 7 4 6" xfId="6746"/>
    <cellStyle name="Normal 5 2 7 4 7" xfId="12285"/>
    <cellStyle name="Normal 5 2 7 5" xfId="840"/>
    <cellStyle name="Normal 5 2 7 5 2" xfId="3370"/>
    <cellStyle name="Normal 5 2 7 5 2 2" xfId="8912"/>
    <cellStyle name="Normal 5 2 7 5 2 3" xfId="14451"/>
    <cellStyle name="Normal 5 2 7 5 3" xfId="4407"/>
    <cellStyle name="Normal 5 2 7 5 3 2" xfId="9946"/>
    <cellStyle name="Normal 5 2 7 5 3 3" xfId="15485"/>
    <cellStyle name="Normal 5 2 7 5 4" xfId="5342"/>
    <cellStyle name="Normal 5 2 7 5 4 2" xfId="10881"/>
    <cellStyle name="Normal 5 2 7 5 4 3" xfId="16420"/>
    <cellStyle name="Normal 5 2 7 5 5" xfId="2044"/>
    <cellStyle name="Normal 5 2 7 5 5 2" xfId="7590"/>
    <cellStyle name="Normal 5 2 7 5 5 3" xfId="13129"/>
    <cellStyle name="Normal 5 2 7 5 6" xfId="6385"/>
    <cellStyle name="Normal 5 2 7 5 7" xfId="11924"/>
    <cellStyle name="Normal 5 2 7 6" xfId="1546"/>
    <cellStyle name="Normal 5 2 7 6 2" xfId="2751"/>
    <cellStyle name="Normal 5 2 7 6 2 2" xfId="8297"/>
    <cellStyle name="Normal 5 2 7 6 2 3" xfId="13836"/>
    <cellStyle name="Normal 5 2 7 6 3" xfId="7092"/>
    <cellStyle name="Normal 5 2 7 6 4" xfId="12631"/>
    <cellStyle name="Normal 5 2 7 7" xfId="2924"/>
    <cellStyle name="Normal 5 2 7 7 2" xfId="8468"/>
    <cellStyle name="Normal 5 2 7 7 3" xfId="14007"/>
    <cellStyle name="Normal 5 2 7 8" xfId="3053"/>
    <cellStyle name="Normal 5 2 7 8 2" xfId="8596"/>
    <cellStyle name="Normal 5 2 7 8 3" xfId="14135"/>
    <cellStyle name="Normal 5 2 7 9" xfId="4096"/>
    <cellStyle name="Normal 5 2 7 9 2" xfId="9637"/>
    <cellStyle name="Normal 5 2 7 9 3" xfId="15176"/>
    <cellStyle name="Normal 5 2 8" xfId="322"/>
    <cellStyle name="Normal 5 2 8 10" xfId="6067"/>
    <cellStyle name="Normal 5 2 8 10 2" xfId="17145"/>
    <cellStyle name="Normal 5 2 8 11" xfId="711"/>
    <cellStyle name="Normal 5 2 8 11 2" xfId="17307"/>
    <cellStyle name="Normal 5 2 8 12" xfId="11606"/>
    <cellStyle name="Normal 5 2 8 13" xfId="17474"/>
    <cellStyle name="Normal 5 2 8 14" xfId="17639"/>
    <cellStyle name="Normal 5 2 8 2" xfId="521"/>
    <cellStyle name="Normal 5 2 8 2 2" xfId="1362"/>
    <cellStyle name="Normal 5 2 8 2 2 2" xfId="3894"/>
    <cellStyle name="Normal 5 2 8 2 2 2 2" xfId="9436"/>
    <cellStyle name="Normal 5 2 8 2 2 2 3" xfId="14975"/>
    <cellStyle name="Normal 5 2 8 2 2 3" xfId="4931"/>
    <cellStyle name="Normal 5 2 8 2 2 3 2" xfId="10470"/>
    <cellStyle name="Normal 5 2 8 2 2 3 3" xfId="16009"/>
    <cellStyle name="Normal 5 2 8 2 2 4" xfId="5865"/>
    <cellStyle name="Normal 5 2 8 2 2 4 2" xfId="11404"/>
    <cellStyle name="Normal 5 2 8 2 2 4 3" xfId="16943"/>
    <cellStyle name="Normal 5 2 8 2 2 5" xfId="2567"/>
    <cellStyle name="Normal 5 2 8 2 2 5 2" xfId="8113"/>
    <cellStyle name="Normal 5 2 8 2 2 5 3" xfId="13652"/>
    <cellStyle name="Normal 5 2 8 2 2 6" xfId="6908"/>
    <cellStyle name="Normal 5 2 8 2 2 7" xfId="12447"/>
    <cellStyle name="Normal 5 2 8 2 3" xfId="1042"/>
    <cellStyle name="Normal 5 2 8 2 3 2" xfId="3572"/>
    <cellStyle name="Normal 5 2 8 2 3 2 2" xfId="9114"/>
    <cellStyle name="Normal 5 2 8 2 3 2 3" xfId="14653"/>
    <cellStyle name="Normal 5 2 8 2 3 3" xfId="4609"/>
    <cellStyle name="Normal 5 2 8 2 3 3 2" xfId="10148"/>
    <cellStyle name="Normal 5 2 8 2 3 3 3" xfId="15687"/>
    <cellStyle name="Normal 5 2 8 2 3 4" xfId="5544"/>
    <cellStyle name="Normal 5 2 8 2 3 4 2" xfId="11083"/>
    <cellStyle name="Normal 5 2 8 2 3 4 3" xfId="16622"/>
    <cellStyle name="Normal 5 2 8 2 3 5" xfId="2246"/>
    <cellStyle name="Normal 5 2 8 2 3 5 2" xfId="7792"/>
    <cellStyle name="Normal 5 2 8 2 3 5 3" xfId="13331"/>
    <cellStyle name="Normal 5 2 8 2 3 6" xfId="6587"/>
    <cellStyle name="Normal 5 2 8 2 3 7" xfId="12126"/>
    <cellStyle name="Normal 5 2 8 2 4" xfId="3180"/>
    <cellStyle name="Normal 5 2 8 2 4 2" xfId="8722"/>
    <cellStyle name="Normal 5 2 8 2 4 3" xfId="14261"/>
    <cellStyle name="Normal 5 2 8 2 5" xfId="4219"/>
    <cellStyle name="Normal 5 2 8 2 5 2" xfId="9758"/>
    <cellStyle name="Normal 5 2 8 2 5 3" xfId="15297"/>
    <cellStyle name="Normal 5 2 8 2 6" xfId="5180"/>
    <cellStyle name="Normal 5 2 8 2 6 2" xfId="10719"/>
    <cellStyle name="Normal 5 2 8 2 6 3" xfId="16258"/>
    <cellStyle name="Normal 5 2 8 2 7" xfId="1882"/>
    <cellStyle name="Normal 5 2 8 2 7 2" xfId="7428"/>
    <cellStyle name="Normal 5 2 8 2 7 3" xfId="12967"/>
    <cellStyle name="Normal 5 2 8 2 8" xfId="6223"/>
    <cellStyle name="Normal 5 2 8 2 9" xfId="11762"/>
    <cellStyle name="Normal 5 2 8 3" xfId="1219"/>
    <cellStyle name="Normal 5 2 8 3 2" xfId="3749"/>
    <cellStyle name="Normal 5 2 8 3 2 2" xfId="9291"/>
    <cellStyle name="Normal 5 2 8 3 2 3" xfId="14830"/>
    <cellStyle name="Normal 5 2 8 3 3" xfId="4786"/>
    <cellStyle name="Normal 5 2 8 3 3 2" xfId="10325"/>
    <cellStyle name="Normal 5 2 8 3 3 3" xfId="15864"/>
    <cellStyle name="Normal 5 2 8 3 4" xfId="5721"/>
    <cellStyle name="Normal 5 2 8 3 4 2" xfId="11260"/>
    <cellStyle name="Normal 5 2 8 3 4 3" xfId="16799"/>
    <cellStyle name="Normal 5 2 8 3 5" xfId="2423"/>
    <cellStyle name="Normal 5 2 8 3 5 2" xfId="7969"/>
    <cellStyle name="Normal 5 2 8 3 5 3" xfId="13508"/>
    <cellStyle name="Normal 5 2 8 3 6" xfId="6764"/>
    <cellStyle name="Normal 5 2 8 3 7" xfId="12303"/>
    <cellStyle name="Normal 5 2 8 4" xfId="842"/>
    <cellStyle name="Normal 5 2 8 4 2" xfId="3372"/>
    <cellStyle name="Normal 5 2 8 4 2 2" xfId="8914"/>
    <cellStyle name="Normal 5 2 8 4 2 3" xfId="14453"/>
    <cellStyle name="Normal 5 2 8 4 3" xfId="4409"/>
    <cellStyle name="Normal 5 2 8 4 3 2" xfId="9948"/>
    <cellStyle name="Normal 5 2 8 4 3 3" xfId="15487"/>
    <cellStyle name="Normal 5 2 8 4 4" xfId="5344"/>
    <cellStyle name="Normal 5 2 8 4 4 2" xfId="10883"/>
    <cellStyle name="Normal 5 2 8 4 4 3" xfId="16422"/>
    <cellStyle name="Normal 5 2 8 4 5" xfId="2046"/>
    <cellStyle name="Normal 5 2 8 4 5 2" xfId="7592"/>
    <cellStyle name="Normal 5 2 8 4 5 3" xfId="13131"/>
    <cellStyle name="Normal 5 2 8 4 6" xfId="6387"/>
    <cellStyle name="Normal 5 2 8 4 7" xfId="11926"/>
    <cellStyle name="Normal 5 2 8 5" xfId="1564"/>
    <cellStyle name="Normal 5 2 8 5 2" xfId="2769"/>
    <cellStyle name="Normal 5 2 8 5 2 2" xfId="8315"/>
    <cellStyle name="Normal 5 2 8 5 2 3" xfId="13854"/>
    <cellStyle name="Normal 5 2 8 5 3" xfId="7110"/>
    <cellStyle name="Normal 5 2 8 5 4" xfId="12649"/>
    <cellStyle name="Normal 5 2 8 6" xfId="2942"/>
    <cellStyle name="Normal 5 2 8 6 2" xfId="8486"/>
    <cellStyle name="Normal 5 2 8 6 3" xfId="14025"/>
    <cellStyle name="Normal 5 2 8 7" xfId="3044"/>
    <cellStyle name="Normal 5 2 8 7 2" xfId="8587"/>
    <cellStyle name="Normal 5 2 8 7 3" xfId="14126"/>
    <cellStyle name="Normal 5 2 8 8" xfId="4087"/>
    <cellStyle name="Normal 5 2 8 8 2" xfId="9628"/>
    <cellStyle name="Normal 5 2 8 8 3" xfId="15167"/>
    <cellStyle name="Normal 5 2 8 9" xfId="1726"/>
    <cellStyle name="Normal 5 2 8 9 2" xfId="7272"/>
    <cellStyle name="Normal 5 2 8 9 3" xfId="12811"/>
    <cellStyle name="Normal 5 2 9" xfId="271"/>
    <cellStyle name="Normal 5 2 9 10" xfId="1654"/>
    <cellStyle name="Normal 5 2 9 10 2" xfId="7200"/>
    <cellStyle name="Normal 5 2 9 10 3" xfId="12739"/>
    <cellStyle name="Normal 5 2 9 11" xfId="5995"/>
    <cellStyle name="Normal 5 2 9 11 2" xfId="17073"/>
    <cellStyle name="Normal 5 2 9 12" xfId="639"/>
    <cellStyle name="Normal 5 2 9 12 2" xfId="17235"/>
    <cellStyle name="Normal 5 2 9 13" xfId="11534"/>
    <cellStyle name="Normal 5 2 9 14" xfId="17402"/>
    <cellStyle name="Normal 5 2 9 15" xfId="17567"/>
    <cellStyle name="Normal 5 2 9 17" xfId="17712"/>
    <cellStyle name="Normal 5 2 9 2" xfId="323"/>
    <cellStyle name="Normal 5 2 9 2 10" xfId="11678"/>
    <cellStyle name="Normal 5 2 9 2 2" xfId="522"/>
    <cellStyle name="Normal 5 2 9 2 2 2" xfId="1363"/>
    <cellStyle name="Normal 5 2 9 2 2 2 2" xfId="3895"/>
    <cellStyle name="Normal 5 2 9 2 2 2 2 2" xfId="9437"/>
    <cellStyle name="Normal 5 2 9 2 2 2 2 3" xfId="14976"/>
    <cellStyle name="Normal 5 2 9 2 2 2 3" xfId="4932"/>
    <cellStyle name="Normal 5 2 9 2 2 2 3 2" xfId="10471"/>
    <cellStyle name="Normal 5 2 9 2 2 2 3 3" xfId="16010"/>
    <cellStyle name="Normal 5 2 9 2 2 2 4" xfId="5866"/>
    <cellStyle name="Normal 5 2 9 2 2 2 4 2" xfId="11405"/>
    <cellStyle name="Normal 5 2 9 2 2 2 4 3" xfId="16944"/>
    <cellStyle name="Normal 5 2 9 2 2 2 5" xfId="2568"/>
    <cellStyle name="Normal 5 2 9 2 2 2 5 2" xfId="8114"/>
    <cellStyle name="Normal 5 2 9 2 2 2 5 3" xfId="13653"/>
    <cellStyle name="Normal 5 2 9 2 2 2 6" xfId="6909"/>
    <cellStyle name="Normal 5 2 9 2 2 2 7" xfId="12448"/>
    <cellStyle name="Normal 5 2 9 2 2 3" xfId="3181"/>
    <cellStyle name="Normal 5 2 9 2 2 3 2" xfId="8723"/>
    <cellStyle name="Normal 5 2 9 2 2 3 3" xfId="14262"/>
    <cellStyle name="Normal 5 2 9 2 2 4" xfId="4220"/>
    <cellStyle name="Normal 5 2 9 2 2 4 2" xfId="9759"/>
    <cellStyle name="Normal 5 2 9 2 2 4 3" xfId="15298"/>
    <cellStyle name="Normal 5 2 9 2 2 5" xfId="5181"/>
    <cellStyle name="Normal 5 2 9 2 2 5 2" xfId="10720"/>
    <cellStyle name="Normal 5 2 9 2 2 5 3" xfId="16259"/>
    <cellStyle name="Normal 5 2 9 2 2 6" xfId="1883"/>
    <cellStyle name="Normal 5 2 9 2 2 6 2" xfId="7429"/>
    <cellStyle name="Normal 5 2 9 2 2 6 3" xfId="12968"/>
    <cellStyle name="Normal 5 2 9 2 2 7" xfId="6224"/>
    <cellStyle name="Normal 5 2 9 2 2 8" xfId="11763"/>
    <cellStyle name="Normal 5 2 9 2 3" xfId="1291"/>
    <cellStyle name="Normal 5 2 9 2 3 2" xfId="3821"/>
    <cellStyle name="Normal 5 2 9 2 3 2 2" xfId="9363"/>
    <cellStyle name="Normal 5 2 9 2 3 2 3" xfId="14902"/>
    <cellStyle name="Normal 5 2 9 2 3 3" xfId="4858"/>
    <cellStyle name="Normal 5 2 9 2 3 3 2" xfId="10397"/>
    <cellStyle name="Normal 5 2 9 2 3 3 3" xfId="15936"/>
    <cellStyle name="Normal 5 2 9 2 3 4" xfId="5793"/>
    <cellStyle name="Normal 5 2 9 2 3 4 2" xfId="11332"/>
    <cellStyle name="Normal 5 2 9 2 3 4 3" xfId="16871"/>
    <cellStyle name="Normal 5 2 9 2 3 5" xfId="2495"/>
    <cellStyle name="Normal 5 2 9 2 3 5 2" xfId="8041"/>
    <cellStyle name="Normal 5 2 9 2 3 5 3" xfId="13580"/>
    <cellStyle name="Normal 5 2 9 2 3 6" xfId="6836"/>
    <cellStyle name="Normal 5 2 9 2 3 7" xfId="12375"/>
    <cellStyle name="Normal 5 2 9 2 4" xfId="1114"/>
    <cellStyle name="Normal 5 2 9 2 4 2" xfId="3644"/>
    <cellStyle name="Normal 5 2 9 2 4 2 2" xfId="9186"/>
    <cellStyle name="Normal 5 2 9 2 4 2 3" xfId="14725"/>
    <cellStyle name="Normal 5 2 9 2 4 3" xfId="4681"/>
    <cellStyle name="Normal 5 2 9 2 4 3 2" xfId="10220"/>
    <cellStyle name="Normal 5 2 9 2 4 3 3" xfId="15759"/>
    <cellStyle name="Normal 5 2 9 2 4 4" xfId="5616"/>
    <cellStyle name="Normal 5 2 9 2 4 4 2" xfId="11155"/>
    <cellStyle name="Normal 5 2 9 2 4 4 3" xfId="16694"/>
    <cellStyle name="Normal 5 2 9 2 4 5" xfId="2318"/>
    <cellStyle name="Normal 5 2 9 2 4 5 2" xfId="7864"/>
    <cellStyle name="Normal 5 2 9 2 4 5 3" xfId="13403"/>
    <cellStyle name="Normal 5 2 9 2 4 6" xfId="6659"/>
    <cellStyle name="Normal 5 2 9 2 4 7" xfId="12198"/>
    <cellStyle name="Normal 5 2 9 2 5" xfId="3016"/>
    <cellStyle name="Normal 5 2 9 2 5 2" xfId="8560"/>
    <cellStyle name="Normal 5 2 9 2 5 3" xfId="14099"/>
    <cellStyle name="Normal 5 2 9 2 6" xfId="4061"/>
    <cellStyle name="Normal 5 2 9 2 6 2" xfId="9603"/>
    <cellStyle name="Normal 5 2 9 2 6 3" xfId="15142"/>
    <cellStyle name="Normal 5 2 9 2 7" xfId="5096"/>
    <cellStyle name="Normal 5 2 9 2 7 2" xfId="10635"/>
    <cellStyle name="Normal 5 2 9 2 7 3" xfId="16174"/>
    <cellStyle name="Normal 5 2 9 2 8" xfId="1798"/>
    <cellStyle name="Normal 5 2 9 2 8 2" xfId="7344"/>
    <cellStyle name="Normal 5 2 9 2 8 3" xfId="12883"/>
    <cellStyle name="Normal 5 2 9 2 9" xfId="6151"/>
    <cellStyle name="Normal 5 2 9 3" xfId="471"/>
    <cellStyle name="Normal 5 2 9 3 2" xfId="1312"/>
    <cellStyle name="Normal 5 2 9 3 2 2" xfId="3844"/>
    <cellStyle name="Normal 5 2 9 3 2 2 2" xfId="9386"/>
    <cellStyle name="Normal 5 2 9 3 2 2 3" xfId="14925"/>
    <cellStyle name="Normal 5 2 9 3 2 3" xfId="4881"/>
    <cellStyle name="Normal 5 2 9 3 2 3 2" xfId="10420"/>
    <cellStyle name="Normal 5 2 9 3 2 3 3" xfId="15959"/>
    <cellStyle name="Normal 5 2 9 3 2 4" xfId="5815"/>
    <cellStyle name="Normal 5 2 9 3 2 4 2" xfId="11354"/>
    <cellStyle name="Normal 5 2 9 3 2 4 3" xfId="16893"/>
    <cellStyle name="Normal 5 2 9 3 2 5" xfId="2517"/>
    <cellStyle name="Normal 5 2 9 3 2 5 2" xfId="8063"/>
    <cellStyle name="Normal 5 2 9 3 2 5 3" xfId="13602"/>
    <cellStyle name="Normal 5 2 9 3 2 6" xfId="6858"/>
    <cellStyle name="Normal 5 2 9 3 2 7" xfId="12397"/>
    <cellStyle name="Normal 5 2 9 3 3" xfId="970"/>
    <cellStyle name="Normal 5 2 9 3 3 2" xfId="3500"/>
    <cellStyle name="Normal 5 2 9 3 3 2 2" xfId="9042"/>
    <cellStyle name="Normal 5 2 9 3 3 2 3" xfId="14581"/>
    <cellStyle name="Normal 5 2 9 3 3 3" xfId="4537"/>
    <cellStyle name="Normal 5 2 9 3 3 3 2" xfId="10076"/>
    <cellStyle name="Normal 5 2 9 3 3 3 3" xfId="15615"/>
    <cellStyle name="Normal 5 2 9 3 3 4" xfId="5472"/>
    <cellStyle name="Normal 5 2 9 3 3 4 2" xfId="11011"/>
    <cellStyle name="Normal 5 2 9 3 3 4 3" xfId="16550"/>
    <cellStyle name="Normal 5 2 9 3 3 5" xfId="2174"/>
    <cellStyle name="Normal 5 2 9 3 3 5 2" xfId="7720"/>
    <cellStyle name="Normal 5 2 9 3 3 5 3" xfId="13259"/>
    <cellStyle name="Normal 5 2 9 3 3 6" xfId="6515"/>
    <cellStyle name="Normal 5 2 9 3 3 7" xfId="12054"/>
    <cellStyle name="Normal 5 2 9 3 4" xfId="3130"/>
    <cellStyle name="Normal 5 2 9 3 4 2" xfId="8672"/>
    <cellStyle name="Normal 5 2 9 3 4 3" xfId="14211"/>
    <cellStyle name="Normal 5 2 9 3 5" xfId="4169"/>
    <cellStyle name="Normal 5 2 9 3 5 2" xfId="9708"/>
    <cellStyle name="Normal 5 2 9 3 5 3" xfId="15247"/>
    <cellStyle name="Normal 5 2 9 3 6" xfId="5130"/>
    <cellStyle name="Normal 5 2 9 3 6 2" xfId="10669"/>
    <cellStyle name="Normal 5 2 9 3 6 3" xfId="16208"/>
    <cellStyle name="Normal 5 2 9 3 7" xfId="1832"/>
    <cellStyle name="Normal 5 2 9 3 7 2" xfId="7378"/>
    <cellStyle name="Normal 5 2 9 3 7 3" xfId="12917"/>
    <cellStyle name="Normal 5 2 9 3 8" xfId="6173"/>
    <cellStyle name="Normal 5 2 9 3 9" xfId="11712"/>
    <cellStyle name="Normal 5 2 9 4" xfId="1147"/>
    <cellStyle name="Normal 5 2 9 4 2" xfId="3677"/>
    <cellStyle name="Normal 5 2 9 4 2 2" xfId="9219"/>
    <cellStyle name="Normal 5 2 9 4 2 3" xfId="14758"/>
    <cellStyle name="Normal 5 2 9 4 3" xfId="4714"/>
    <cellStyle name="Normal 5 2 9 4 3 2" xfId="10253"/>
    <cellStyle name="Normal 5 2 9 4 3 3" xfId="15792"/>
    <cellStyle name="Normal 5 2 9 4 4" xfId="5649"/>
    <cellStyle name="Normal 5 2 9 4 4 2" xfId="11188"/>
    <cellStyle name="Normal 5 2 9 4 4 3" xfId="16727"/>
    <cellStyle name="Normal 5 2 9 4 5" xfId="2351"/>
    <cellStyle name="Normal 5 2 9 4 5 2" xfId="7897"/>
    <cellStyle name="Normal 5 2 9 4 5 3" xfId="13436"/>
    <cellStyle name="Normal 5 2 9 4 6" xfId="6692"/>
    <cellStyle name="Normal 5 2 9 4 7" xfId="12231"/>
    <cellStyle name="Normal 5 2 9 5" xfId="843"/>
    <cellStyle name="Normal 5 2 9 5 2" xfId="3373"/>
    <cellStyle name="Normal 5 2 9 5 2 2" xfId="8915"/>
    <cellStyle name="Normal 5 2 9 5 2 3" xfId="14454"/>
    <cellStyle name="Normal 5 2 9 5 3" xfId="4410"/>
    <cellStyle name="Normal 5 2 9 5 3 2" xfId="9949"/>
    <cellStyle name="Normal 5 2 9 5 3 3" xfId="15488"/>
    <cellStyle name="Normal 5 2 9 5 4" xfId="5345"/>
    <cellStyle name="Normal 5 2 9 5 4 2" xfId="10884"/>
    <cellStyle name="Normal 5 2 9 5 4 3" xfId="16423"/>
    <cellStyle name="Normal 5 2 9 5 5" xfId="2047"/>
    <cellStyle name="Normal 5 2 9 5 5 2" xfId="7593"/>
    <cellStyle name="Normal 5 2 9 5 5 3" xfId="13132"/>
    <cellStyle name="Normal 5 2 9 5 6" xfId="6388"/>
    <cellStyle name="Normal 5 2 9 5 7" xfId="11927"/>
    <cellStyle name="Normal 5 2 9 6" xfId="1492"/>
    <cellStyle name="Normal 5 2 9 6 2" xfId="2697"/>
    <cellStyle name="Normal 5 2 9 6 2 2" xfId="8243"/>
    <cellStyle name="Normal 5 2 9 6 2 3" xfId="13782"/>
    <cellStyle name="Normal 5 2 9 6 3" xfId="7038"/>
    <cellStyle name="Normal 5 2 9 6 4" xfId="12577"/>
    <cellStyle name="Normal 5 2 9 7" xfId="2870"/>
    <cellStyle name="Normal 5 2 9 7 2" xfId="8414"/>
    <cellStyle name="Normal 5 2 9 7 3" xfId="13953"/>
    <cellStyle name="Normal 5 2 9 8" xfId="2842"/>
    <cellStyle name="Normal 5 2 9 8 2" xfId="8388"/>
    <cellStyle name="Normal 5 2 9 8 3" xfId="13927"/>
    <cellStyle name="Normal 5 2 9 9" xfId="3302"/>
    <cellStyle name="Normal 5 2 9 9 2" xfId="8844"/>
    <cellStyle name="Normal 5 2 9 9 3" xfId="14383"/>
    <cellStyle name="Normal 5 20" xfId="1472"/>
    <cellStyle name="Normal 5 20 2" xfId="2677"/>
    <cellStyle name="Normal 5 20 2 2" xfId="8223"/>
    <cellStyle name="Normal 5 20 2 3" xfId="13762"/>
    <cellStyle name="Normal 5 20 3" xfId="7018"/>
    <cellStyle name="Normal 5 20 4" xfId="12557"/>
    <cellStyle name="Normal 5 21" xfId="2841"/>
    <cellStyle name="Normal 5 21 2" xfId="8387"/>
    <cellStyle name="Normal 5 21 3" xfId="13926"/>
    <cellStyle name="Normal 5 22" xfId="3032"/>
    <cellStyle name="Normal 5 22 2" xfId="8575"/>
    <cellStyle name="Normal 5 22 3" xfId="14114"/>
    <cellStyle name="Normal 5 23" xfId="4075"/>
    <cellStyle name="Normal 5 23 2" xfId="9616"/>
    <cellStyle name="Normal 5 23 3" xfId="15155"/>
    <cellStyle name="Normal 5 24" xfId="1634"/>
    <cellStyle name="Normal 5 24 2" xfId="7180"/>
    <cellStyle name="Normal 5 24 3" xfId="12719"/>
    <cellStyle name="Normal 5 25" xfId="5975"/>
    <cellStyle name="Normal 5 25 2" xfId="17053"/>
    <cellStyle name="Normal 5 26" xfId="619"/>
    <cellStyle name="Normal 5 26 2" xfId="17215"/>
    <cellStyle name="Normal 5 27" xfId="11514"/>
    <cellStyle name="Normal 5 28" xfId="17378"/>
    <cellStyle name="Normal 5 29" xfId="17379"/>
    <cellStyle name="Normal 5 3" xfId="154"/>
    <cellStyle name="Normal 5 3 10" xfId="844"/>
    <cellStyle name="Normal 5 3 10 2" xfId="3374"/>
    <cellStyle name="Normal 5 3 10 2 2" xfId="8916"/>
    <cellStyle name="Normal 5 3 10 2 3" xfId="14455"/>
    <cellStyle name="Normal 5 3 10 3" xfId="4411"/>
    <cellStyle name="Normal 5 3 10 3 2" xfId="9950"/>
    <cellStyle name="Normal 5 3 10 3 3" xfId="15489"/>
    <cellStyle name="Normal 5 3 10 4" xfId="5346"/>
    <cellStyle name="Normal 5 3 10 4 2" xfId="10885"/>
    <cellStyle name="Normal 5 3 10 4 3" xfId="16424"/>
    <cellStyle name="Normal 5 3 10 5" xfId="2048"/>
    <cellStyle name="Normal 5 3 10 5 2" xfId="7594"/>
    <cellStyle name="Normal 5 3 10 5 3" xfId="13133"/>
    <cellStyle name="Normal 5 3 10 6" xfId="6389"/>
    <cellStyle name="Normal 5 3 10 7" xfId="11928"/>
    <cellStyle name="Normal 5 3 11" xfId="1478"/>
    <cellStyle name="Normal 5 3 11 2" xfId="2683"/>
    <cellStyle name="Normal 5 3 11 2 2" xfId="8229"/>
    <cellStyle name="Normal 5 3 11 2 3" xfId="13768"/>
    <cellStyle name="Normal 5 3 11 3" xfId="7024"/>
    <cellStyle name="Normal 5 3 11 4" xfId="12563"/>
    <cellStyle name="Normal 5 3 12" xfId="2856"/>
    <cellStyle name="Normal 5 3 12 2" xfId="8400"/>
    <cellStyle name="Normal 5 3 12 3" xfId="13939"/>
    <cellStyle name="Normal 5 3 13" xfId="2852"/>
    <cellStyle name="Normal 5 3 13 2" xfId="8396"/>
    <cellStyle name="Normal 5 3 13 3" xfId="13935"/>
    <cellStyle name="Normal 5 3 14" xfId="3120"/>
    <cellStyle name="Normal 5 3 14 2" xfId="8663"/>
    <cellStyle name="Normal 5 3 14 3" xfId="14202"/>
    <cellStyle name="Normal 5 3 15" xfId="1640"/>
    <cellStyle name="Normal 5 3 15 2" xfId="7186"/>
    <cellStyle name="Normal 5 3 15 3" xfId="12725"/>
    <cellStyle name="Normal 5 3 16" xfId="5981"/>
    <cellStyle name="Normal 5 3 16 2" xfId="17059"/>
    <cellStyle name="Normal 5 3 17" xfId="625"/>
    <cellStyle name="Normal 5 3 17 2" xfId="17221"/>
    <cellStyle name="Normal 5 3 18" xfId="11520"/>
    <cellStyle name="Normal 5 3 19" xfId="17388"/>
    <cellStyle name="Normal 5 3 2" xfId="253"/>
    <cellStyle name="Normal 5 3 2 10" xfId="1485"/>
    <cellStyle name="Normal 5 3 2 10 2" xfId="2690"/>
    <cellStyle name="Normal 5 3 2 10 2 2" xfId="8236"/>
    <cellStyle name="Normal 5 3 2 10 2 3" xfId="13775"/>
    <cellStyle name="Normal 5 3 2 10 3" xfId="7031"/>
    <cellStyle name="Normal 5 3 2 10 4" xfId="12570"/>
    <cellStyle name="Normal 5 3 2 11" xfId="2863"/>
    <cellStyle name="Normal 5 3 2 11 2" xfId="8407"/>
    <cellStyle name="Normal 5 3 2 11 3" xfId="13946"/>
    <cellStyle name="Normal 5 3 2 12" xfId="3311"/>
    <cellStyle name="Normal 5 3 2 12 2" xfId="8853"/>
    <cellStyle name="Normal 5 3 2 12 3" xfId="14392"/>
    <cellStyle name="Normal 5 3 2 13" xfId="4348"/>
    <cellStyle name="Normal 5 3 2 13 2" xfId="9887"/>
    <cellStyle name="Normal 5 3 2 13 3" xfId="15426"/>
    <cellStyle name="Normal 5 3 2 14" xfId="1647"/>
    <cellStyle name="Normal 5 3 2 14 2" xfId="7193"/>
    <cellStyle name="Normal 5 3 2 14 3" xfId="12732"/>
    <cellStyle name="Normal 5 3 2 15" xfId="5988"/>
    <cellStyle name="Normal 5 3 2 15 2" xfId="17066"/>
    <cellStyle name="Normal 5 3 2 16" xfId="632"/>
    <cellStyle name="Normal 5 3 2 16 2" xfId="17228"/>
    <cellStyle name="Normal 5 3 2 17" xfId="11527"/>
    <cellStyle name="Normal 5 3 2 18" xfId="17395"/>
    <cellStyle name="Normal 5 3 2 19" xfId="17560"/>
    <cellStyle name="Normal 5 3 2 2" xfId="324"/>
    <cellStyle name="Normal 5 3 2 2 10" xfId="1701"/>
    <cellStyle name="Normal 5 3 2 2 10 2" xfId="7247"/>
    <cellStyle name="Normal 5 3 2 2 10 3" xfId="12786"/>
    <cellStyle name="Normal 5 3 2 2 11" xfId="6042"/>
    <cellStyle name="Normal 5 3 2 2 11 2" xfId="17120"/>
    <cellStyle name="Normal 5 3 2 2 12" xfId="686"/>
    <cellStyle name="Normal 5 3 2 2 12 2" xfId="17282"/>
    <cellStyle name="Normal 5 3 2 2 13" xfId="11581"/>
    <cellStyle name="Normal 5 3 2 2 14" xfId="17449"/>
    <cellStyle name="Normal 5 3 2 2 15" xfId="17614"/>
    <cellStyle name="Normal 5 3 2 2 2" xfId="325"/>
    <cellStyle name="Normal 5 3 2 2 2 10" xfId="6132"/>
    <cellStyle name="Normal 5 3 2 2 2 10 2" xfId="17210"/>
    <cellStyle name="Normal 5 3 2 2 2 11" xfId="776"/>
    <cellStyle name="Normal 5 3 2 2 2 11 2" xfId="17372"/>
    <cellStyle name="Normal 5 3 2 2 2 12" xfId="11671"/>
    <cellStyle name="Normal 5 3 2 2 2 13" xfId="17539"/>
    <cellStyle name="Normal 5 3 2 2 2 14" xfId="17704"/>
    <cellStyle name="Normal 5 3 2 2 2 2" xfId="524"/>
    <cellStyle name="Normal 5 3 2 2 2 2 2" xfId="1365"/>
    <cellStyle name="Normal 5 3 2 2 2 2 2 2" xfId="3897"/>
    <cellStyle name="Normal 5 3 2 2 2 2 2 2 2" xfId="9439"/>
    <cellStyle name="Normal 5 3 2 2 2 2 2 2 3" xfId="14978"/>
    <cellStyle name="Normal 5 3 2 2 2 2 2 3" xfId="4934"/>
    <cellStyle name="Normal 5 3 2 2 2 2 2 3 2" xfId="10473"/>
    <cellStyle name="Normal 5 3 2 2 2 2 2 3 3" xfId="16012"/>
    <cellStyle name="Normal 5 3 2 2 2 2 2 4" xfId="5868"/>
    <cellStyle name="Normal 5 3 2 2 2 2 2 4 2" xfId="11407"/>
    <cellStyle name="Normal 5 3 2 2 2 2 2 4 3" xfId="16946"/>
    <cellStyle name="Normal 5 3 2 2 2 2 2 5" xfId="2570"/>
    <cellStyle name="Normal 5 3 2 2 2 2 2 5 2" xfId="8116"/>
    <cellStyle name="Normal 5 3 2 2 2 2 2 5 3" xfId="13655"/>
    <cellStyle name="Normal 5 3 2 2 2 2 2 6" xfId="6911"/>
    <cellStyle name="Normal 5 3 2 2 2 2 2 7" xfId="12450"/>
    <cellStyle name="Normal 5 3 2 2 2 2 3" xfId="1107"/>
    <cellStyle name="Normal 5 3 2 2 2 2 3 2" xfId="3637"/>
    <cellStyle name="Normal 5 3 2 2 2 2 3 2 2" xfId="9179"/>
    <cellStyle name="Normal 5 3 2 2 2 2 3 2 3" xfId="14718"/>
    <cellStyle name="Normal 5 3 2 2 2 2 3 3" xfId="4674"/>
    <cellStyle name="Normal 5 3 2 2 2 2 3 3 2" xfId="10213"/>
    <cellStyle name="Normal 5 3 2 2 2 2 3 3 3" xfId="15752"/>
    <cellStyle name="Normal 5 3 2 2 2 2 3 4" xfId="5609"/>
    <cellStyle name="Normal 5 3 2 2 2 2 3 4 2" xfId="11148"/>
    <cellStyle name="Normal 5 3 2 2 2 2 3 4 3" xfId="16687"/>
    <cellStyle name="Normal 5 3 2 2 2 2 3 5" xfId="2311"/>
    <cellStyle name="Normal 5 3 2 2 2 2 3 5 2" xfId="7857"/>
    <cellStyle name="Normal 5 3 2 2 2 2 3 5 3" xfId="13396"/>
    <cellStyle name="Normal 5 3 2 2 2 2 3 6" xfId="6652"/>
    <cellStyle name="Normal 5 3 2 2 2 2 3 7" xfId="12191"/>
    <cellStyle name="Normal 5 3 2 2 2 2 4" xfId="3183"/>
    <cellStyle name="Normal 5 3 2 2 2 2 4 2" xfId="8725"/>
    <cellStyle name="Normal 5 3 2 2 2 2 4 3" xfId="14264"/>
    <cellStyle name="Normal 5 3 2 2 2 2 5" xfId="4222"/>
    <cellStyle name="Normal 5 3 2 2 2 2 5 2" xfId="9761"/>
    <cellStyle name="Normal 5 3 2 2 2 2 5 3" xfId="15300"/>
    <cellStyle name="Normal 5 3 2 2 2 2 6" xfId="5183"/>
    <cellStyle name="Normal 5 3 2 2 2 2 6 2" xfId="10722"/>
    <cellStyle name="Normal 5 3 2 2 2 2 6 3" xfId="16261"/>
    <cellStyle name="Normal 5 3 2 2 2 2 7" xfId="1885"/>
    <cellStyle name="Normal 5 3 2 2 2 2 7 2" xfId="7431"/>
    <cellStyle name="Normal 5 3 2 2 2 2 7 3" xfId="12970"/>
    <cellStyle name="Normal 5 3 2 2 2 2 8" xfId="6226"/>
    <cellStyle name="Normal 5 3 2 2 2 2 9" xfId="11765"/>
    <cellStyle name="Normal 5 3 2 2 2 3" xfId="1284"/>
    <cellStyle name="Normal 5 3 2 2 2 3 2" xfId="3814"/>
    <cellStyle name="Normal 5 3 2 2 2 3 2 2" xfId="9356"/>
    <cellStyle name="Normal 5 3 2 2 2 3 2 3" xfId="14895"/>
    <cellStyle name="Normal 5 3 2 2 2 3 3" xfId="4851"/>
    <cellStyle name="Normal 5 3 2 2 2 3 3 2" xfId="10390"/>
    <cellStyle name="Normal 5 3 2 2 2 3 3 3" xfId="15929"/>
    <cellStyle name="Normal 5 3 2 2 2 3 4" xfId="5786"/>
    <cellStyle name="Normal 5 3 2 2 2 3 4 2" xfId="11325"/>
    <cellStyle name="Normal 5 3 2 2 2 3 4 3" xfId="16864"/>
    <cellStyle name="Normal 5 3 2 2 2 3 5" xfId="2488"/>
    <cellStyle name="Normal 5 3 2 2 2 3 5 2" xfId="8034"/>
    <cellStyle name="Normal 5 3 2 2 2 3 5 3" xfId="13573"/>
    <cellStyle name="Normal 5 3 2 2 2 3 6" xfId="6829"/>
    <cellStyle name="Normal 5 3 2 2 2 3 7" xfId="12368"/>
    <cellStyle name="Normal 5 3 2 2 2 4" xfId="847"/>
    <cellStyle name="Normal 5 3 2 2 2 4 2" xfId="3377"/>
    <cellStyle name="Normal 5 3 2 2 2 4 2 2" xfId="8919"/>
    <cellStyle name="Normal 5 3 2 2 2 4 2 3" xfId="14458"/>
    <cellStyle name="Normal 5 3 2 2 2 4 3" xfId="4414"/>
    <cellStyle name="Normal 5 3 2 2 2 4 3 2" xfId="9953"/>
    <cellStyle name="Normal 5 3 2 2 2 4 3 3" xfId="15492"/>
    <cellStyle name="Normal 5 3 2 2 2 4 4" xfId="5349"/>
    <cellStyle name="Normal 5 3 2 2 2 4 4 2" xfId="10888"/>
    <cellStyle name="Normal 5 3 2 2 2 4 4 3" xfId="16427"/>
    <cellStyle name="Normal 5 3 2 2 2 4 5" xfId="2051"/>
    <cellStyle name="Normal 5 3 2 2 2 4 5 2" xfId="7597"/>
    <cellStyle name="Normal 5 3 2 2 2 4 5 3" xfId="13136"/>
    <cellStyle name="Normal 5 3 2 2 2 4 6" xfId="6392"/>
    <cellStyle name="Normal 5 3 2 2 2 4 7" xfId="11931"/>
    <cellStyle name="Normal 5 3 2 2 2 5" xfId="1629"/>
    <cellStyle name="Normal 5 3 2 2 2 5 2" xfId="2834"/>
    <cellStyle name="Normal 5 3 2 2 2 5 2 2" xfId="8380"/>
    <cellStyle name="Normal 5 3 2 2 2 5 2 3" xfId="13919"/>
    <cellStyle name="Normal 5 3 2 2 2 5 3" xfId="7175"/>
    <cellStyle name="Normal 5 3 2 2 2 5 4" xfId="12714"/>
    <cellStyle name="Normal 5 3 2 2 2 6" xfId="3007"/>
    <cellStyle name="Normal 5 3 2 2 2 6 2" xfId="8551"/>
    <cellStyle name="Normal 5 3 2 2 2 6 3" xfId="14090"/>
    <cellStyle name="Normal 5 3 2 2 2 7" xfId="4052"/>
    <cellStyle name="Normal 5 3 2 2 2 7 2" xfId="9594"/>
    <cellStyle name="Normal 5 3 2 2 2 7 3" xfId="15133"/>
    <cellStyle name="Normal 5 3 2 2 2 8" xfId="5089"/>
    <cellStyle name="Normal 5 3 2 2 2 8 2" xfId="10628"/>
    <cellStyle name="Normal 5 3 2 2 2 8 3" xfId="16167"/>
    <cellStyle name="Normal 5 3 2 2 2 9" xfId="1791"/>
    <cellStyle name="Normal 5 3 2 2 2 9 2" xfId="7337"/>
    <cellStyle name="Normal 5 3 2 2 2 9 3" xfId="12876"/>
    <cellStyle name="Normal 5 3 2 2 3" xfId="523"/>
    <cellStyle name="Normal 5 3 2 2 3 2" xfId="1364"/>
    <cellStyle name="Normal 5 3 2 2 3 2 2" xfId="3896"/>
    <cellStyle name="Normal 5 3 2 2 3 2 2 2" xfId="9438"/>
    <cellStyle name="Normal 5 3 2 2 3 2 2 3" xfId="14977"/>
    <cellStyle name="Normal 5 3 2 2 3 2 3" xfId="4933"/>
    <cellStyle name="Normal 5 3 2 2 3 2 3 2" xfId="10472"/>
    <cellStyle name="Normal 5 3 2 2 3 2 3 3" xfId="16011"/>
    <cellStyle name="Normal 5 3 2 2 3 2 4" xfId="5867"/>
    <cellStyle name="Normal 5 3 2 2 3 2 4 2" xfId="11406"/>
    <cellStyle name="Normal 5 3 2 2 3 2 4 3" xfId="16945"/>
    <cellStyle name="Normal 5 3 2 2 3 2 5" xfId="2569"/>
    <cellStyle name="Normal 5 3 2 2 3 2 5 2" xfId="8115"/>
    <cellStyle name="Normal 5 3 2 2 3 2 5 3" xfId="13654"/>
    <cellStyle name="Normal 5 3 2 2 3 2 6" xfId="6910"/>
    <cellStyle name="Normal 5 3 2 2 3 2 7" xfId="12449"/>
    <cellStyle name="Normal 5 3 2 2 3 3" xfId="1017"/>
    <cellStyle name="Normal 5 3 2 2 3 3 2" xfId="3547"/>
    <cellStyle name="Normal 5 3 2 2 3 3 2 2" xfId="9089"/>
    <cellStyle name="Normal 5 3 2 2 3 3 2 3" xfId="14628"/>
    <cellStyle name="Normal 5 3 2 2 3 3 3" xfId="4584"/>
    <cellStyle name="Normal 5 3 2 2 3 3 3 2" xfId="10123"/>
    <cellStyle name="Normal 5 3 2 2 3 3 3 3" xfId="15662"/>
    <cellStyle name="Normal 5 3 2 2 3 3 4" xfId="5519"/>
    <cellStyle name="Normal 5 3 2 2 3 3 4 2" xfId="11058"/>
    <cellStyle name="Normal 5 3 2 2 3 3 4 3" xfId="16597"/>
    <cellStyle name="Normal 5 3 2 2 3 3 5" xfId="2221"/>
    <cellStyle name="Normal 5 3 2 2 3 3 5 2" xfId="7767"/>
    <cellStyle name="Normal 5 3 2 2 3 3 5 3" xfId="13306"/>
    <cellStyle name="Normal 5 3 2 2 3 3 6" xfId="6562"/>
    <cellStyle name="Normal 5 3 2 2 3 3 7" xfId="12101"/>
    <cellStyle name="Normal 5 3 2 2 3 4" xfId="3182"/>
    <cellStyle name="Normal 5 3 2 2 3 4 2" xfId="8724"/>
    <cellStyle name="Normal 5 3 2 2 3 4 3" xfId="14263"/>
    <cellStyle name="Normal 5 3 2 2 3 5" xfId="4221"/>
    <cellStyle name="Normal 5 3 2 2 3 5 2" xfId="9760"/>
    <cellStyle name="Normal 5 3 2 2 3 5 3" xfId="15299"/>
    <cellStyle name="Normal 5 3 2 2 3 6" xfId="5182"/>
    <cellStyle name="Normal 5 3 2 2 3 6 2" xfId="10721"/>
    <cellStyle name="Normal 5 3 2 2 3 6 3" xfId="16260"/>
    <cellStyle name="Normal 5 3 2 2 3 7" xfId="1884"/>
    <cellStyle name="Normal 5 3 2 2 3 7 2" xfId="7430"/>
    <cellStyle name="Normal 5 3 2 2 3 7 3" xfId="12969"/>
    <cellStyle name="Normal 5 3 2 2 3 8" xfId="6225"/>
    <cellStyle name="Normal 5 3 2 2 3 9" xfId="11764"/>
    <cellStyle name="Normal 5 3 2 2 4" xfId="1194"/>
    <cellStyle name="Normal 5 3 2 2 4 2" xfId="3724"/>
    <cellStyle name="Normal 5 3 2 2 4 2 2" xfId="9266"/>
    <cellStyle name="Normal 5 3 2 2 4 2 3" xfId="14805"/>
    <cellStyle name="Normal 5 3 2 2 4 3" xfId="4761"/>
    <cellStyle name="Normal 5 3 2 2 4 3 2" xfId="10300"/>
    <cellStyle name="Normal 5 3 2 2 4 3 3" xfId="15839"/>
    <cellStyle name="Normal 5 3 2 2 4 4" xfId="5696"/>
    <cellStyle name="Normal 5 3 2 2 4 4 2" xfId="11235"/>
    <cellStyle name="Normal 5 3 2 2 4 4 3" xfId="16774"/>
    <cellStyle name="Normal 5 3 2 2 4 5" xfId="2398"/>
    <cellStyle name="Normal 5 3 2 2 4 5 2" xfId="7944"/>
    <cellStyle name="Normal 5 3 2 2 4 5 3" xfId="13483"/>
    <cellStyle name="Normal 5 3 2 2 4 6" xfId="6739"/>
    <cellStyle name="Normal 5 3 2 2 4 7" xfId="12278"/>
    <cellStyle name="Normal 5 3 2 2 5" xfId="846"/>
    <cellStyle name="Normal 5 3 2 2 5 2" xfId="3376"/>
    <cellStyle name="Normal 5 3 2 2 5 2 2" xfId="8918"/>
    <cellStyle name="Normal 5 3 2 2 5 2 3" xfId="14457"/>
    <cellStyle name="Normal 5 3 2 2 5 3" xfId="4413"/>
    <cellStyle name="Normal 5 3 2 2 5 3 2" xfId="9952"/>
    <cellStyle name="Normal 5 3 2 2 5 3 3" xfId="15491"/>
    <cellStyle name="Normal 5 3 2 2 5 4" xfId="5348"/>
    <cellStyle name="Normal 5 3 2 2 5 4 2" xfId="10887"/>
    <cellStyle name="Normal 5 3 2 2 5 4 3" xfId="16426"/>
    <cellStyle name="Normal 5 3 2 2 5 5" xfId="2050"/>
    <cellStyle name="Normal 5 3 2 2 5 5 2" xfId="7596"/>
    <cellStyle name="Normal 5 3 2 2 5 5 3" xfId="13135"/>
    <cellStyle name="Normal 5 3 2 2 5 6" xfId="6391"/>
    <cellStyle name="Normal 5 3 2 2 5 7" xfId="11930"/>
    <cellStyle name="Normal 5 3 2 2 6" xfId="1539"/>
    <cellStyle name="Normal 5 3 2 2 6 2" xfId="2744"/>
    <cellStyle name="Normal 5 3 2 2 6 2 2" xfId="8290"/>
    <cellStyle name="Normal 5 3 2 2 6 2 3" xfId="13829"/>
    <cellStyle name="Normal 5 3 2 2 6 3" xfId="7085"/>
    <cellStyle name="Normal 5 3 2 2 6 4" xfId="12624"/>
    <cellStyle name="Normal 5 3 2 2 7" xfId="2917"/>
    <cellStyle name="Normal 5 3 2 2 7 2" xfId="8461"/>
    <cellStyle name="Normal 5 3 2 2 7 3" xfId="14000"/>
    <cellStyle name="Normal 5 3 2 2 8" xfId="3086"/>
    <cellStyle name="Normal 5 3 2 2 8 2" xfId="8629"/>
    <cellStyle name="Normal 5 3 2 2 8 3" xfId="14168"/>
    <cellStyle name="Normal 5 3 2 2 9" xfId="4129"/>
    <cellStyle name="Normal 5 3 2 2 9 2" xfId="9670"/>
    <cellStyle name="Normal 5 3 2 2 9 3" xfId="15209"/>
    <cellStyle name="Normal 5 3 2 3" xfId="326"/>
    <cellStyle name="Normal 5 3 2 3 10" xfId="1683"/>
    <cellStyle name="Normal 5 3 2 3 10 2" xfId="7229"/>
    <cellStyle name="Normal 5 3 2 3 10 3" xfId="12768"/>
    <cellStyle name="Normal 5 3 2 3 11" xfId="6024"/>
    <cellStyle name="Normal 5 3 2 3 11 2" xfId="17102"/>
    <cellStyle name="Normal 5 3 2 3 12" xfId="668"/>
    <cellStyle name="Normal 5 3 2 3 12 2" xfId="17264"/>
    <cellStyle name="Normal 5 3 2 3 13" xfId="11563"/>
    <cellStyle name="Normal 5 3 2 3 14" xfId="17431"/>
    <cellStyle name="Normal 5 3 2 3 15" xfId="17596"/>
    <cellStyle name="Normal 5 3 2 3 2" xfId="327"/>
    <cellStyle name="Normal 5 3 2 3 2 10" xfId="6114"/>
    <cellStyle name="Normal 5 3 2 3 2 10 2" xfId="17192"/>
    <cellStyle name="Normal 5 3 2 3 2 11" xfId="758"/>
    <cellStyle name="Normal 5 3 2 3 2 11 2" xfId="17354"/>
    <cellStyle name="Normal 5 3 2 3 2 12" xfId="11653"/>
    <cellStyle name="Normal 5 3 2 3 2 13" xfId="17521"/>
    <cellStyle name="Normal 5 3 2 3 2 14" xfId="17686"/>
    <cellStyle name="Normal 5 3 2 3 2 2" xfId="526"/>
    <cellStyle name="Normal 5 3 2 3 2 2 2" xfId="1367"/>
    <cellStyle name="Normal 5 3 2 3 2 2 2 2" xfId="3899"/>
    <cellStyle name="Normal 5 3 2 3 2 2 2 2 2" xfId="9441"/>
    <cellStyle name="Normal 5 3 2 3 2 2 2 2 3" xfId="14980"/>
    <cellStyle name="Normal 5 3 2 3 2 2 2 3" xfId="4936"/>
    <cellStyle name="Normal 5 3 2 3 2 2 2 3 2" xfId="10475"/>
    <cellStyle name="Normal 5 3 2 3 2 2 2 3 3" xfId="16014"/>
    <cellStyle name="Normal 5 3 2 3 2 2 2 4" xfId="5870"/>
    <cellStyle name="Normal 5 3 2 3 2 2 2 4 2" xfId="11409"/>
    <cellStyle name="Normal 5 3 2 3 2 2 2 4 3" xfId="16948"/>
    <cellStyle name="Normal 5 3 2 3 2 2 2 5" xfId="2572"/>
    <cellStyle name="Normal 5 3 2 3 2 2 2 5 2" xfId="8118"/>
    <cellStyle name="Normal 5 3 2 3 2 2 2 5 3" xfId="13657"/>
    <cellStyle name="Normal 5 3 2 3 2 2 2 6" xfId="6913"/>
    <cellStyle name="Normal 5 3 2 3 2 2 2 7" xfId="12452"/>
    <cellStyle name="Normal 5 3 2 3 2 2 3" xfId="1089"/>
    <cellStyle name="Normal 5 3 2 3 2 2 3 2" xfId="3619"/>
    <cellStyle name="Normal 5 3 2 3 2 2 3 2 2" xfId="9161"/>
    <cellStyle name="Normal 5 3 2 3 2 2 3 2 3" xfId="14700"/>
    <cellStyle name="Normal 5 3 2 3 2 2 3 3" xfId="4656"/>
    <cellStyle name="Normal 5 3 2 3 2 2 3 3 2" xfId="10195"/>
    <cellStyle name="Normal 5 3 2 3 2 2 3 3 3" xfId="15734"/>
    <cellStyle name="Normal 5 3 2 3 2 2 3 4" xfId="5591"/>
    <cellStyle name="Normal 5 3 2 3 2 2 3 4 2" xfId="11130"/>
    <cellStyle name="Normal 5 3 2 3 2 2 3 4 3" xfId="16669"/>
    <cellStyle name="Normal 5 3 2 3 2 2 3 5" xfId="2293"/>
    <cellStyle name="Normal 5 3 2 3 2 2 3 5 2" xfId="7839"/>
    <cellStyle name="Normal 5 3 2 3 2 2 3 5 3" xfId="13378"/>
    <cellStyle name="Normal 5 3 2 3 2 2 3 6" xfId="6634"/>
    <cellStyle name="Normal 5 3 2 3 2 2 3 7" xfId="12173"/>
    <cellStyle name="Normal 5 3 2 3 2 2 4" xfId="3185"/>
    <cellStyle name="Normal 5 3 2 3 2 2 4 2" xfId="8727"/>
    <cellStyle name="Normal 5 3 2 3 2 2 4 3" xfId="14266"/>
    <cellStyle name="Normal 5 3 2 3 2 2 5" xfId="4224"/>
    <cellStyle name="Normal 5 3 2 3 2 2 5 2" xfId="9763"/>
    <cellStyle name="Normal 5 3 2 3 2 2 5 3" xfId="15302"/>
    <cellStyle name="Normal 5 3 2 3 2 2 6" xfId="5185"/>
    <cellStyle name="Normal 5 3 2 3 2 2 6 2" xfId="10724"/>
    <cellStyle name="Normal 5 3 2 3 2 2 6 3" xfId="16263"/>
    <cellStyle name="Normal 5 3 2 3 2 2 7" xfId="1887"/>
    <cellStyle name="Normal 5 3 2 3 2 2 7 2" xfId="7433"/>
    <cellStyle name="Normal 5 3 2 3 2 2 7 3" xfId="12972"/>
    <cellStyle name="Normal 5 3 2 3 2 2 8" xfId="6228"/>
    <cellStyle name="Normal 5 3 2 3 2 2 9" xfId="11767"/>
    <cellStyle name="Normal 5 3 2 3 2 3" xfId="1266"/>
    <cellStyle name="Normal 5 3 2 3 2 3 2" xfId="3796"/>
    <cellStyle name="Normal 5 3 2 3 2 3 2 2" xfId="9338"/>
    <cellStyle name="Normal 5 3 2 3 2 3 2 3" xfId="14877"/>
    <cellStyle name="Normal 5 3 2 3 2 3 3" xfId="4833"/>
    <cellStyle name="Normal 5 3 2 3 2 3 3 2" xfId="10372"/>
    <cellStyle name="Normal 5 3 2 3 2 3 3 3" xfId="15911"/>
    <cellStyle name="Normal 5 3 2 3 2 3 4" xfId="5768"/>
    <cellStyle name="Normal 5 3 2 3 2 3 4 2" xfId="11307"/>
    <cellStyle name="Normal 5 3 2 3 2 3 4 3" xfId="16846"/>
    <cellStyle name="Normal 5 3 2 3 2 3 5" xfId="2470"/>
    <cellStyle name="Normal 5 3 2 3 2 3 5 2" xfId="8016"/>
    <cellStyle name="Normal 5 3 2 3 2 3 5 3" xfId="13555"/>
    <cellStyle name="Normal 5 3 2 3 2 3 6" xfId="6811"/>
    <cellStyle name="Normal 5 3 2 3 2 3 7" xfId="12350"/>
    <cellStyle name="Normal 5 3 2 3 2 4" xfId="849"/>
    <cellStyle name="Normal 5 3 2 3 2 4 2" xfId="3379"/>
    <cellStyle name="Normal 5 3 2 3 2 4 2 2" xfId="8921"/>
    <cellStyle name="Normal 5 3 2 3 2 4 2 3" xfId="14460"/>
    <cellStyle name="Normal 5 3 2 3 2 4 3" xfId="4416"/>
    <cellStyle name="Normal 5 3 2 3 2 4 3 2" xfId="9955"/>
    <cellStyle name="Normal 5 3 2 3 2 4 3 3" xfId="15494"/>
    <cellStyle name="Normal 5 3 2 3 2 4 4" xfId="5351"/>
    <cellStyle name="Normal 5 3 2 3 2 4 4 2" xfId="10890"/>
    <cellStyle name="Normal 5 3 2 3 2 4 4 3" xfId="16429"/>
    <cellStyle name="Normal 5 3 2 3 2 4 5" xfId="2053"/>
    <cellStyle name="Normal 5 3 2 3 2 4 5 2" xfId="7599"/>
    <cellStyle name="Normal 5 3 2 3 2 4 5 3" xfId="13138"/>
    <cellStyle name="Normal 5 3 2 3 2 4 6" xfId="6394"/>
    <cellStyle name="Normal 5 3 2 3 2 4 7" xfId="11933"/>
    <cellStyle name="Normal 5 3 2 3 2 5" xfId="1611"/>
    <cellStyle name="Normal 5 3 2 3 2 5 2" xfId="2816"/>
    <cellStyle name="Normal 5 3 2 3 2 5 2 2" xfId="8362"/>
    <cellStyle name="Normal 5 3 2 3 2 5 2 3" xfId="13901"/>
    <cellStyle name="Normal 5 3 2 3 2 5 3" xfId="7157"/>
    <cellStyle name="Normal 5 3 2 3 2 5 4" xfId="12696"/>
    <cellStyle name="Normal 5 3 2 3 2 6" xfId="2989"/>
    <cellStyle name="Normal 5 3 2 3 2 6 2" xfId="8533"/>
    <cellStyle name="Normal 5 3 2 3 2 6 3" xfId="14072"/>
    <cellStyle name="Normal 5 3 2 3 2 7" xfId="4034"/>
    <cellStyle name="Normal 5 3 2 3 2 7 2" xfId="9576"/>
    <cellStyle name="Normal 5 3 2 3 2 7 3" xfId="15115"/>
    <cellStyle name="Normal 5 3 2 3 2 8" xfId="5071"/>
    <cellStyle name="Normal 5 3 2 3 2 8 2" xfId="10610"/>
    <cellStyle name="Normal 5 3 2 3 2 8 3" xfId="16149"/>
    <cellStyle name="Normal 5 3 2 3 2 9" xfId="1773"/>
    <cellStyle name="Normal 5 3 2 3 2 9 2" xfId="7319"/>
    <cellStyle name="Normal 5 3 2 3 2 9 3" xfId="12858"/>
    <cellStyle name="Normal 5 3 2 3 3" xfId="525"/>
    <cellStyle name="Normal 5 3 2 3 3 2" xfId="1366"/>
    <cellStyle name="Normal 5 3 2 3 3 2 2" xfId="3898"/>
    <cellStyle name="Normal 5 3 2 3 3 2 2 2" xfId="9440"/>
    <cellStyle name="Normal 5 3 2 3 3 2 2 3" xfId="14979"/>
    <cellStyle name="Normal 5 3 2 3 3 2 3" xfId="4935"/>
    <cellStyle name="Normal 5 3 2 3 3 2 3 2" xfId="10474"/>
    <cellStyle name="Normal 5 3 2 3 3 2 3 3" xfId="16013"/>
    <cellStyle name="Normal 5 3 2 3 3 2 4" xfId="5869"/>
    <cellStyle name="Normal 5 3 2 3 3 2 4 2" xfId="11408"/>
    <cellStyle name="Normal 5 3 2 3 3 2 4 3" xfId="16947"/>
    <cellStyle name="Normal 5 3 2 3 3 2 5" xfId="2571"/>
    <cellStyle name="Normal 5 3 2 3 3 2 5 2" xfId="8117"/>
    <cellStyle name="Normal 5 3 2 3 3 2 5 3" xfId="13656"/>
    <cellStyle name="Normal 5 3 2 3 3 2 6" xfId="6912"/>
    <cellStyle name="Normal 5 3 2 3 3 2 7" xfId="12451"/>
    <cellStyle name="Normal 5 3 2 3 3 3" xfId="999"/>
    <cellStyle name="Normal 5 3 2 3 3 3 2" xfId="3529"/>
    <cellStyle name="Normal 5 3 2 3 3 3 2 2" xfId="9071"/>
    <cellStyle name="Normal 5 3 2 3 3 3 2 3" xfId="14610"/>
    <cellStyle name="Normal 5 3 2 3 3 3 3" xfId="4566"/>
    <cellStyle name="Normal 5 3 2 3 3 3 3 2" xfId="10105"/>
    <cellStyle name="Normal 5 3 2 3 3 3 3 3" xfId="15644"/>
    <cellStyle name="Normal 5 3 2 3 3 3 4" xfId="5501"/>
    <cellStyle name="Normal 5 3 2 3 3 3 4 2" xfId="11040"/>
    <cellStyle name="Normal 5 3 2 3 3 3 4 3" xfId="16579"/>
    <cellStyle name="Normal 5 3 2 3 3 3 5" xfId="2203"/>
    <cellStyle name="Normal 5 3 2 3 3 3 5 2" xfId="7749"/>
    <cellStyle name="Normal 5 3 2 3 3 3 5 3" xfId="13288"/>
    <cellStyle name="Normal 5 3 2 3 3 3 6" xfId="6544"/>
    <cellStyle name="Normal 5 3 2 3 3 3 7" xfId="12083"/>
    <cellStyle name="Normal 5 3 2 3 3 4" xfId="3184"/>
    <cellStyle name="Normal 5 3 2 3 3 4 2" xfId="8726"/>
    <cellStyle name="Normal 5 3 2 3 3 4 3" xfId="14265"/>
    <cellStyle name="Normal 5 3 2 3 3 5" xfId="4223"/>
    <cellStyle name="Normal 5 3 2 3 3 5 2" xfId="9762"/>
    <cellStyle name="Normal 5 3 2 3 3 5 3" xfId="15301"/>
    <cellStyle name="Normal 5 3 2 3 3 6" xfId="5184"/>
    <cellStyle name="Normal 5 3 2 3 3 6 2" xfId="10723"/>
    <cellStyle name="Normal 5 3 2 3 3 6 3" xfId="16262"/>
    <cellStyle name="Normal 5 3 2 3 3 7" xfId="1886"/>
    <cellStyle name="Normal 5 3 2 3 3 7 2" xfId="7432"/>
    <cellStyle name="Normal 5 3 2 3 3 7 3" xfId="12971"/>
    <cellStyle name="Normal 5 3 2 3 3 8" xfId="6227"/>
    <cellStyle name="Normal 5 3 2 3 3 9" xfId="11766"/>
    <cellStyle name="Normal 5 3 2 3 4" xfId="1176"/>
    <cellStyle name="Normal 5 3 2 3 4 2" xfId="3706"/>
    <cellStyle name="Normal 5 3 2 3 4 2 2" xfId="9248"/>
    <cellStyle name="Normal 5 3 2 3 4 2 3" xfId="14787"/>
    <cellStyle name="Normal 5 3 2 3 4 3" xfId="4743"/>
    <cellStyle name="Normal 5 3 2 3 4 3 2" xfId="10282"/>
    <cellStyle name="Normal 5 3 2 3 4 3 3" xfId="15821"/>
    <cellStyle name="Normal 5 3 2 3 4 4" xfId="5678"/>
    <cellStyle name="Normal 5 3 2 3 4 4 2" xfId="11217"/>
    <cellStyle name="Normal 5 3 2 3 4 4 3" xfId="16756"/>
    <cellStyle name="Normal 5 3 2 3 4 5" xfId="2380"/>
    <cellStyle name="Normal 5 3 2 3 4 5 2" xfId="7926"/>
    <cellStyle name="Normal 5 3 2 3 4 5 3" xfId="13465"/>
    <cellStyle name="Normal 5 3 2 3 4 6" xfId="6721"/>
    <cellStyle name="Normal 5 3 2 3 4 7" xfId="12260"/>
    <cellStyle name="Normal 5 3 2 3 5" xfId="848"/>
    <cellStyle name="Normal 5 3 2 3 5 2" xfId="3378"/>
    <cellStyle name="Normal 5 3 2 3 5 2 2" xfId="8920"/>
    <cellStyle name="Normal 5 3 2 3 5 2 3" xfId="14459"/>
    <cellStyle name="Normal 5 3 2 3 5 3" xfId="4415"/>
    <cellStyle name="Normal 5 3 2 3 5 3 2" xfId="9954"/>
    <cellStyle name="Normal 5 3 2 3 5 3 3" xfId="15493"/>
    <cellStyle name="Normal 5 3 2 3 5 4" xfId="5350"/>
    <cellStyle name="Normal 5 3 2 3 5 4 2" xfId="10889"/>
    <cellStyle name="Normal 5 3 2 3 5 4 3" xfId="16428"/>
    <cellStyle name="Normal 5 3 2 3 5 5" xfId="2052"/>
    <cellStyle name="Normal 5 3 2 3 5 5 2" xfId="7598"/>
    <cellStyle name="Normal 5 3 2 3 5 5 3" xfId="13137"/>
    <cellStyle name="Normal 5 3 2 3 5 6" xfId="6393"/>
    <cellStyle name="Normal 5 3 2 3 5 7" xfId="11932"/>
    <cellStyle name="Normal 5 3 2 3 6" xfId="1521"/>
    <cellStyle name="Normal 5 3 2 3 6 2" xfId="2726"/>
    <cellStyle name="Normal 5 3 2 3 6 2 2" xfId="8272"/>
    <cellStyle name="Normal 5 3 2 3 6 2 3" xfId="13811"/>
    <cellStyle name="Normal 5 3 2 3 6 3" xfId="7067"/>
    <cellStyle name="Normal 5 3 2 3 6 4" xfId="12606"/>
    <cellStyle name="Normal 5 3 2 3 7" xfId="2899"/>
    <cellStyle name="Normal 5 3 2 3 7 2" xfId="8443"/>
    <cellStyle name="Normal 5 3 2 3 7 3" xfId="13982"/>
    <cellStyle name="Normal 5 3 2 3 8" xfId="3315"/>
    <cellStyle name="Normal 5 3 2 3 8 2" xfId="8857"/>
    <cellStyle name="Normal 5 3 2 3 8 3" xfId="14396"/>
    <cellStyle name="Normal 5 3 2 3 9" xfId="4352"/>
    <cellStyle name="Normal 5 3 2 3 9 2" xfId="9891"/>
    <cellStyle name="Normal 5 3 2 3 9 3" xfId="15430"/>
    <cellStyle name="Normal 5 3 2 4" xfId="328"/>
    <cellStyle name="Normal 5 3 2 4 10" xfId="1719"/>
    <cellStyle name="Normal 5 3 2 4 10 2" xfId="7265"/>
    <cellStyle name="Normal 5 3 2 4 10 3" xfId="12804"/>
    <cellStyle name="Normal 5 3 2 4 11" xfId="6060"/>
    <cellStyle name="Normal 5 3 2 4 11 2" xfId="17138"/>
    <cellStyle name="Normal 5 3 2 4 12" xfId="704"/>
    <cellStyle name="Normal 5 3 2 4 12 2" xfId="17300"/>
    <cellStyle name="Normal 5 3 2 4 13" xfId="11599"/>
    <cellStyle name="Normal 5 3 2 4 14" xfId="17467"/>
    <cellStyle name="Normal 5 3 2 4 15" xfId="17632"/>
    <cellStyle name="Normal 5 3 2 4 2" xfId="329"/>
    <cellStyle name="Normal 5 3 2 4 2 10" xfId="6096"/>
    <cellStyle name="Normal 5 3 2 4 2 10 2" xfId="17174"/>
    <cellStyle name="Normal 5 3 2 4 2 11" xfId="740"/>
    <cellStyle name="Normal 5 3 2 4 2 11 2" xfId="17336"/>
    <cellStyle name="Normal 5 3 2 4 2 12" xfId="11635"/>
    <cellStyle name="Normal 5 3 2 4 2 13" xfId="17503"/>
    <cellStyle name="Normal 5 3 2 4 2 14" xfId="17668"/>
    <cellStyle name="Normal 5 3 2 4 2 2" xfId="528"/>
    <cellStyle name="Normal 5 3 2 4 2 2 2" xfId="1369"/>
    <cellStyle name="Normal 5 3 2 4 2 2 2 2" xfId="3901"/>
    <cellStyle name="Normal 5 3 2 4 2 2 2 2 2" xfId="9443"/>
    <cellStyle name="Normal 5 3 2 4 2 2 2 2 3" xfId="14982"/>
    <cellStyle name="Normal 5 3 2 4 2 2 2 3" xfId="4938"/>
    <cellStyle name="Normal 5 3 2 4 2 2 2 3 2" xfId="10477"/>
    <cellStyle name="Normal 5 3 2 4 2 2 2 3 3" xfId="16016"/>
    <cellStyle name="Normal 5 3 2 4 2 2 2 4" xfId="5872"/>
    <cellStyle name="Normal 5 3 2 4 2 2 2 4 2" xfId="11411"/>
    <cellStyle name="Normal 5 3 2 4 2 2 2 4 3" xfId="16950"/>
    <cellStyle name="Normal 5 3 2 4 2 2 2 5" xfId="2574"/>
    <cellStyle name="Normal 5 3 2 4 2 2 2 5 2" xfId="8120"/>
    <cellStyle name="Normal 5 3 2 4 2 2 2 5 3" xfId="13659"/>
    <cellStyle name="Normal 5 3 2 4 2 2 2 6" xfId="6915"/>
    <cellStyle name="Normal 5 3 2 4 2 2 2 7" xfId="12454"/>
    <cellStyle name="Normal 5 3 2 4 2 2 3" xfId="1071"/>
    <cellStyle name="Normal 5 3 2 4 2 2 3 2" xfId="3601"/>
    <cellStyle name="Normal 5 3 2 4 2 2 3 2 2" xfId="9143"/>
    <cellStyle name="Normal 5 3 2 4 2 2 3 2 3" xfId="14682"/>
    <cellStyle name="Normal 5 3 2 4 2 2 3 3" xfId="4638"/>
    <cellStyle name="Normal 5 3 2 4 2 2 3 3 2" xfId="10177"/>
    <cellStyle name="Normal 5 3 2 4 2 2 3 3 3" xfId="15716"/>
    <cellStyle name="Normal 5 3 2 4 2 2 3 4" xfId="5573"/>
    <cellStyle name="Normal 5 3 2 4 2 2 3 4 2" xfId="11112"/>
    <cellStyle name="Normal 5 3 2 4 2 2 3 4 3" xfId="16651"/>
    <cellStyle name="Normal 5 3 2 4 2 2 3 5" xfId="2275"/>
    <cellStyle name="Normal 5 3 2 4 2 2 3 5 2" xfId="7821"/>
    <cellStyle name="Normal 5 3 2 4 2 2 3 5 3" xfId="13360"/>
    <cellStyle name="Normal 5 3 2 4 2 2 3 6" xfId="6616"/>
    <cellStyle name="Normal 5 3 2 4 2 2 3 7" xfId="12155"/>
    <cellStyle name="Normal 5 3 2 4 2 2 4" xfId="3187"/>
    <cellStyle name="Normal 5 3 2 4 2 2 4 2" xfId="8729"/>
    <cellStyle name="Normal 5 3 2 4 2 2 4 3" xfId="14268"/>
    <cellStyle name="Normal 5 3 2 4 2 2 5" xfId="4226"/>
    <cellStyle name="Normal 5 3 2 4 2 2 5 2" xfId="9765"/>
    <cellStyle name="Normal 5 3 2 4 2 2 5 3" xfId="15304"/>
    <cellStyle name="Normal 5 3 2 4 2 2 6" xfId="5187"/>
    <cellStyle name="Normal 5 3 2 4 2 2 6 2" xfId="10726"/>
    <cellStyle name="Normal 5 3 2 4 2 2 6 3" xfId="16265"/>
    <cellStyle name="Normal 5 3 2 4 2 2 7" xfId="1889"/>
    <cellStyle name="Normal 5 3 2 4 2 2 7 2" xfId="7435"/>
    <cellStyle name="Normal 5 3 2 4 2 2 7 3" xfId="12974"/>
    <cellStyle name="Normal 5 3 2 4 2 2 8" xfId="6230"/>
    <cellStyle name="Normal 5 3 2 4 2 2 9" xfId="11769"/>
    <cellStyle name="Normal 5 3 2 4 2 3" xfId="1248"/>
    <cellStyle name="Normal 5 3 2 4 2 3 2" xfId="3778"/>
    <cellStyle name="Normal 5 3 2 4 2 3 2 2" xfId="9320"/>
    <cellStyle name="Normal 5 3 2 4 2 3 2 3" xfId="14859"/>
    <cellStyle name="Normal 5 3 2 4 2 3 3" xfId="4815"/>
    <cellStyle name="Normal 5 3 2 4 2 3 3 2" xfId="10354"/>
    <cellStyle name="Normal 5 3 2 4 2 3 3 3" xfId="15893"/>
    <cellStyle name="Normal 5 3 2 4 2 3 4" xfId="5750"/>
    <cellStyle name="Normal 5 3 2 4 2 3 4 2" xfId="11289"/>
    <cellStyle name="Normal 5 3 2 4 2 3 4 3" xfId="16828"/>
    <cellStyle name="Normal 5 3 2 4 2 3 5" xfId="2452"/>
    <cellStyle name="Normal 5 3 2 4 2 3 5 2" xfId="7998"/>
    <cellStyle name="Normal 5 3 2 4 2 3 5 3" xfId="13537"/>
    <cellStyle name="Normal 5 3 2 4 2 3 6" xfId="6793"/>
    <cellStyle name="Normal 5 3 2 4 2 3 7" xfId="12332"/>
    <cellStyle name="Normal 5 3 2 4 2 4" xfId="851"/>
    <cellStyle name="Normal 5 3 2 4 2 4 2" xfId="3381"/>
    <cellStyle name="Normal 5 3 2 4 2 4 2 2" xfId="8923"/>
    <cellStyle name="Normal 5 3 2 4 2 4 2 3" xfId="14462"/>
    <cellStyle name="Normal 5 3 2 4 2 4 3" xfId="4418"/>
    <cellStyle name="Normal 5 3 2 4 2 4 3 2" xfId="9957"/>
    <cellStyle name="Normal 5 3 2 4 2 4 3 3" xfId="15496"/>
    <cellStyle name="Normal 5 3 2 4 2 4 4" xfId="5353"/>
    <cellStyle name="Normal 5 3 2 4 2 4 4 2" xfId="10892"/>
    <cellStyle name="Normal 5 3 2 4 2 4 4 3" xfId="16431"/>
    <cellStyle name="Normal 5 3 2 4 2 4 5" xfId="2055"/>
    <cellStyle name="Normal 5 3 2 4 2 4 5 2" xfId="7601"/>
    <cellStyle name="Normal 5 3 2 4 2 4 5 3" xfId="13140"/>
    <cellStyle name="Normal 5 3 2 4 2 4 6" xfId="6396"/>
    <cellStyle name="Normal 5 3 2 4 2 4 7" xfId="11935"/>
    <cellStyle name="Normal 5 3 2 4 2 5" xfId="1593"/>
    <cellStyle name="Normal 5 3 2 4 2 5 2" xfId="2798"/>
    <cellStyle name="Normal 5 3 2 4 2 5 2 2" xfId="8344"/>
    <cellStyle name="Normal 5 3 2 4 2 5 2 3" xfId="13883"/>
    <cellStyle name="Normal 5 3 2 4 2 5 3" xfId="7139"/>
    <cellStyle name="Normal 5 3 2 4 2 5 4" xfId="12678"/>
    <cellStyle name="Normal 5 3 2 4 2 6" xfId="2971"/>
    <cellStyle name="Normal 5 3 2 4 2 6 2" xfId="8515"/>
    <cellStyle name="Normal 5 3 2 4 2 6 3" xfId="14054"/>
    <cellStyle name="Normal 5 3 2 4 2 7" xfId="4016"/>
    <cellStyle name="Normal 5 3 2 4 2 7 2" xfId="9558"/>
    <cellStyle name="Normal 5 3 2 4 2 7 3" xfId="15097"/>
    <cellStyle name="Normal 5 3 2 4 2 8" xfId="5053"/>
    <cellStyle name="Normal 5 3 2 4 2 8 2" xfId="10592"/>
    <cellStyle name="Normal 5 3 2 4 2 8 3" xfId="16131"/>
    <cellStyle name="Normal 5 3 2 4 2 9" xfId="1755"/>
    <cellStyle name="Normal 5 3 2 4 2 9 2" xfId="7301"/>
    <cellStyle name="Normal 5 3 2 4 2 9 3" xfId="12840"/>
    <cellStyle name="Normal 5 3 2 4 3" xfId="527"/>
    <cellStyle name="Normal 5 3 2 4 3 2" xfId="1368"/>
    <cellStyle name="Normal 5 3 2 4 3 2 2" xfId="3900"/>
    <cellStyle name="Normal 5 3 2 4 3 2 2 2" xfId="9442"/>
    <cellStyle name="Normal 5 3 2 4 3 2 2 3" xfId="14981"/>
    <cellStyle name="Normal 5 3 2 4 3 2 3" xfId="4937"/>
    <cellStyle name="Normal 5 3 2 4 3 2 3 2" xfId="10476"/>
    <cellStyle name="Normal 5 3 2 4 3 2 3 3" xfId="16015"/>
    <cellStyle name="Normal 5 3 2 4 3 2 4" xfId="5871"/>
    <cellStyle name="Normal 5 3 2 4 3 2 4 2" xfId="11410"/>
    <cellStyle name="Normal 5 3 2 4 3 2 4 3" xfId="16949"/>
    <cellStyle name="Normal 5 3 2 4 3 2 5" xfId="2573"/>
    <cellStyle name="Normal 5 3 2 4 3 2 5 2" xfId="8119"/>
    <cellStyle name="Normal 5 3 2 4 3 2 5 3" xfId="13658"/>
    <cellStyle name="Normal 5 3 2 4 3 2 6" xfId="6914"/>
    <cellStyle name="Normal 5 3 2 4 3 2 7" xfId="12453"/>
    <cellStyle name="Normal 5 3 2 4 3 3" xfId="1035"/>
    <cellStyle name="Normal 5 3 2 4 3 3 2" xfId="3565"/>
    <cellStyle name="Normal 5 3 2 4 3 3 2 2" xfId="9107"/>
    <cellStyle name="Normal 5 3 2 4 3 3 2 3" xfId="14646"/>
    <cellStyle name="Normal 5 3 2 4 3 3 3" xfId="4602"/>
    <cellStyle name="Normal 5 3 2 4 3 3 3 2" xfId="10141"/>
    <cellStyle name="Normal 5 3 2 4 3 3 3 3" xfId="15680"/>
    <cellStyle name="Normal 5 3 2 4 3 3 4" xfId="5537"/>
    <cellStyle name="Normal 5 3 2 4 3 3 4 2" xfId="11076"/>
    <cellStyle name="Normal 5 3 2 4 3 3 4 3" xfId="16615"/>
    <cellStyle name="Normal 5 3 2 4 3 3 5" xfId="2239"/>
    <cellStyle name="Normal 5 3 2 4 3 3 5 2" xfId="7785"/>
    <cellStyle name="Normal 5 3 2 4 3 3 5 3" xfId="13324"/>
    <cellStyle name="Normal 5 3 2 4 3 3 6" xfId="6580"/>
    <cellStyle name="Normal 5 3 2 4 3 3 7" xfId="12119"/>
    <cellStyle name="Normal 5 3 2 4 3 4" xfId="3186"/>
    <cellStyle name="Normal 5 3 2 4 3 4 2" xfId="8728"/>
    <cellStyle name="Normal 5 3 2 4 3 4 3" xfId="14267"/>
    <cellStyle name="Normal 5 3 2 4 3 5" xfId="4225"/>
    <cellStyle name="Normal 5 3 2 4 3 5 2" xfId="9764"/>
    <cellStyle name="Normal 5 3 2 4 3 5 3" xfId="15303"/>
    <cellStyle name="Normal 5 3 2 4 3 6" xfId="5186"/>
    <cellStyle name="Normal 5 3 2 4 3 6 2" xfId="10725"/>
    <cellStyle name="Normal 5 3 2 4 3 6 3" xfId="16264"/>
    <cellStyle name="Normal 5 3 2 4 3 7" xfId="1888"/>
    <cellStyle name="Normal 5 3 2 4 3 7 2" xfId="7434"/>
    <cellStyle name="Normal 5 3 2 4 3 7 3" xfId="12973"/>
    <cellStyle name="Normal 5 3 2 4 3 8" xfId="6229"/>
    <cellStyle name="Normal 5 3 2 4 3 9" xfId="11768"/>
    <cellStyle name="Normal 5 3 2 4 4" xfId="1212"/>
    <cellStyle name="Normal 5 3 2 4 4 2" xfId="3742"/>
    <cellStyle name="Normal 5 3 2 4 4 2 2" xfId="9284"/>
    <cellStyle name="Normal 5 3 2 4 4 2 3" xfId="14823"/>
    <cellStyle name="Normal 5 3 2 4 4 3" xfId="4779"/>
    <cellStyle name="Normal 5 3 2 4 4 3 2" xfId="10318"/>
    <cellStyle name="Normal 5 3 2 4 4 3 3" xfId="15857"/>
    <cellStyle name="Normal 5 3 2 4 4 4" xfId="5714"/>
    <cellStyle name="Normal 5 3 2 4 4 4 2" xfId="11253"/>
    <cellStyle name="Normal 5 3 2 4 4 4 3" xfId="16792"/>
    <cellStyle name="Normal 5 3 2 4 4 5" xfId="2416"/>
    <cellStyle name="Normal 5 3 2 4 4 5 2" xfId="7962"/>
    <cellStyle name="Normal 5 3 2 4 4 5 3" xfId="13501"/>
    <cellStyle name="Normal 5 3 2 4 4 6" xfId="6757"/>
    <cellStyle name="Normal 5 3 2 4 4 7" xfId="12296"/>
    <cellStyle name="Normal 5 3 2 4 5" xfId="850"/>
    <cellStyle name="Normal 5 3 2 4 5 2" xfId="3380"/>
    <cellStyle name="Normal 5 3 2 4 5 2 2" xfId="8922"/>
    <cellStyle name="Normal 5 3 2 4 5 2 3" xfId="14461"/>
    <cellStyle name="Normal 5 3 2 4 5 3" xfId="4417"/>
    <cellStyle name="Normal 5 3 2 4 5 3 2" xfId="9956"/>
    <cellStyle name="Normal 5 3 2 4 5 3 3" xfId="15495"/>
    <cellStyle name="Normal 5 3 2 4 5 4" xfId="5352"/>
    <cellStyle name="Normal 5 3 2 4 5 4 2" xfId="10891"/>
    <cellStyle name="Normal 5 3 2 4 5 4 3" xfId="16430"/>
    <cellStyle name="Normal 5 3 2 4 5 5" xfId="2054"/>
    <cellStyle name="Normal 5 3 2 4 5 5 2" xfId="7600"/>
    <cellStyle name="Normal 5 3 2 4 5 5 3" xfId="13139"/>
    <cellStyle name="Normal 5 3 2 4 5 6" xfId="6395"/>
    <cellStyle name="Normal 5 3 2 4 5 7" xfId="11934"/>
    <cellStyle name="Normal 5 3 2 4 6" xfId="1557"/>
    <cellStyle name="Normal 5 3 2 4 6 2" xfId="2762"/>
    <cellStyle name="Normal 5 3 2 4 6 2 2" xfId="8308"/>
    <cellStyle name="Normal 5 3 2 4 6 2 3" xfId="13847"/>
    <cellStyle name="Normal 5 3 2 4 6 3" xfId="7103"/>
    <cellStyle name="Normal 5 3 2 4 6 4" xfId="12642"/>
    <cellStyle name="Normal 5 3 2 4 7" xfId="2935"/>
    <cellStyle name="Normal 5 3 2 4 7 2" xfId="8479"/>
    <cellStyle name="Normal 5 3 2 4 7 3" xfId="14018"/>
    <cellStyle name="Normal 5 3 2 4 8" xfId="3077"/>
    <cellStyle name="Normal 5 3 2 4 8 2" xfId="8620"/>
    <cellStyle name="Normal 5 3 2 4 8 3" xfId="14159"/>
    <cellStyle name="Normal 5 3 2 4 9" xfId="4120"/>
    <cellStyle name="Normal 5 3 2 4 9 2" xfId="9661"/>
    <cellStyle name="Normal 5 3 2 4 9 3" xfId="15200"/>
    <cellStyle name="Normal 5 3 2 5" xfId="330"/>
    <cellStyle name="Normal 5 3 2 5 10" xfId="6078"/>
    <cellStyle name="Normal 5 3 2 5 10 2" xfId="17156"/>
    <cellStyle name="Normal 5 3 2 5 11" xfId="722"/>
    <cellStyle name="Normal 5 3 2 5 11 2" xfId="17318"/>
    <cellStyle name="Normal 5 3 2 5 12" xfId="11617"/>
    <cellStyle name="Normal 5 3 2 5 13" xfId="17485"/>
    <cellStyle name="Normal 5 3 2 5 14" xfId="17650"/>
    <cellStyle name="Normal 5 3 2 5 2" xfId="529"/>
    <cellStyle name="Normal 5 3 2 5 2 2" xfId="1370"/>
    <cellStyle name="Normal 5 3 2 5 2 2 2" xfId="3902"/>
    <cellStyle name="Normal 5 3 2 5 2 2 2 2" xfId="9444"/>
    <cellStyle name="Normal 5 3 2 5 2 2 2 3" xfId="14983"/>
    <cellStyle name="Normal 5 3 2 5 2 2 3" xfId="4939"/>
    <cellStyle name="Normal 5 3 2 5 2 2 3 2" xfId="10478"/>
    <cellStyle name="Normal 5 3 2 5 2 2 3 3" xfId="16017"/>
    <cellStyle name="Normal 5 3 2 5 2 2 4" xfId="5873"/>
    <cellStyle name="Normal 5 3 2 5 2 2 4 2" xfId="11412"/>
    <cellStyle name="Normal 5 3 2 5 2 2 4 3" xfId="16951"/>
    <cellStyle name="Normal 5 3 2 5 2 2 5" xfId="2575"/>
    <cellStyle name="Normal 5 3 2 5 2 2 5 2" xfId="8121"/>
    <cellStyle name="Normal 5 3 2 5 2 2 5 3" xfId="13660"/>
    <cellStyle name="Normal 5 3 2 5 2 2 6" xfId="6916"/>
    <cellStyle name="Normal 5 3 2 5 2 2 7" xfId="12455"/>
    <cellStyle name="Normal 5 3 2 5 2 3" xfId="1053"/>
    <cellStyle name="Normal 5 3 2 5 2 3 2" xfId="3583"/>
    <cellStyle name="Normal 5 3 2 5 2 3 2 2" xfId="9125"/>
    <cellStyle name="Normal 5 3 2 5 2 3 2 3" xfId="14664"/>
    <cellStyle name="Normal 5 3 2 5 2 3 3" xfId="4620"/>
    <cellStyle name="Normal 5 3 2 5 2 3 3 2" xfId="10159"/>
    <cellStyle name="Normal 5 3 2 5 2 3 3 3" xfId="15698"/>
    <cellStyle name="Normal 5 3 2 5 2 3 4" xfId="5555"/>
    <cellStyle name="Normal 5 3 2 5 2 3 4 2" xfId="11094"/>
    <cellStyle name="Normal 5 3 2 5 2 3 4 3" xfId="16633"/>
    <cellStyle name="Normal 5 3 2 5 2 3 5" xfId="2257"/>
    <cellStyle name="Normal 5 3 2 5 2 3 5 2" xfId="7803"/>
    <cellStyle name="Normal 5 3 2 5 2 3 5 3" xfId="13342"/>
    <cellStyle name="Normal 5 3 2 5 2 3 6" xfId="6598"/>
    <cellStyle name="Normal 5 3 2 5 2 3 7" xfId="12137"/>
    <cellStyle name="Normal 5 3 2 5 2 4" xfId="3188"/>
    <cellStyle name="Normal 5 3 2 5 2 4 2" xfId="8730"/>
    <cellStyle name="Normal 5 3 2 5 2 4 3" xfId="14269"/>
    <cellStyle name="Normal 5 3 2 5 2 5" xfId="4227"/>
    <cellStyle name="Normal 5 3 2 5 2 5 2" xfId="9766"/>
    <cellStyle name="Normal 5 3 2 5 2 5 3" xfId="15305"/>
    <cellStyle name="Normal 5 3 2 5 2 6" xfId="5188"/>
    <cellStyle name="Normal 5 3 2 5 2 6 2" xfId="10727"/>
    <cellStyle name="Normal 5 3 2 5 2 6 3" xfId="16266"/>
    <cellStyle name="Normal 5 3 2 5 2 7" xfId="1890"/>
    <cellStyle name="Normal 5 3 2 5 2 7 2" xfId="7436"/>
    <cellStyle name="Normal 5 3 2 5 2 7 3" xfId="12975"/>
    <cellStyle name="Normal 5 3 2 5 2 8" xfId="6231"/>
    <cellStyle name="Normal 5 3 2 5 2 9" xfId="11770"/>
    <cellStyle name="Normal 5 3 2 5 3" xfId="1230"/>
    <cellStyle name="Normal 5 3 2 5 3 2" xfId="3760"/>
    <cellStyle name="Normal 5 3 2 5 3 2 2" xfId="9302"/>
    <cellStyle name="Normal 5 3 2 5 3 2 3" xfId="14841"/>
    <cellStyle name="Normal 5 3 2 5 3 3" xfId="4797"/>
    <cellStyle name="Normal 5 3 2 5 3 3 2" xfId="10336"/>
    <cellStyle name="Normal 5 3 2 5 3 3 3" xfId="15875"/>
    <cellStyle name="Normal 5 3 2 5 3 4" xfId="5732"/>
    <cellStyle name="Normal 5 3 2 5 3 4 2" xfId="11271"/>
    <cellStyle name="Normal 5 3 2 5 3 4 3" xfId="16810"/>
    <cellStyle name="Normal 5 3 2 5 3 5" xfId="2434"/>
    <cellStyle name="Normal 5 3 2 5 3 5 2" xfId="7980"/>
    <cellStyle name="Normal 5 3 2 5 3 5 3" xfId="13519"/>
    <cellStyle name="Normal 5 3 2 5 3 6" xfId="6775"/>
    <cellStyle name="Normal 5 3 2 5 3 7" xfId="12314"/>
    <cellStyle name="Normal 5 3 2 5 4" xfId="852"/>
    <cellStyle name="Normal 5 3 2 5 4 2" xfId="3382"/>
    <cellStyle name="Normal 5 3 2 5 4 2 2" xfId="8924"/>
    <cellStyle name="Normal 5 3 2 5 4 2 3" xfId="14463"/>
    <cellStyle name="Normal 5 3 2 5 4 3" xfId="4419"/>
    <cellStyle name="Normal 5 3 2 5 4 3 2" xfId="9958"/>
    <cellStyle name="Normal 5 3 2 5 4 3 3" xfId="15497"/>
    <cellStyle name="Normal 5 3 2 5 4 4" xfId="5354"/>
    <cellStyle name="Normal 5 3 2 5 4 4 2" xfId="10893"/>
    <cellStyle name="Normal 5 3 2 5 4 4 3" xfId="16432"/>
    <cellStyle name="Normal 5 3 2 5 4 5" xfId="2056"/>
    <cellStyle name="Normal 5 3 2 5 4 5 2" xfId="7602"/>
    <cellStyle name="Normal 5 3 2 5 4 5 3" xfId="13141"/>
    <cellStyle name="Normal 5 3 2 5 4 6" xfId="6397"/>
    <cellStyle name="Normal 5 3 2 5 4 7" xfId="11936"/>
    <cellStyle name="Normal 5 3 2 5 5" xfId="1575"/>
    <cellStyle name="Normal 5 3 2 5 5 2" xfId="2780"/>
    <cellStyle name="Normal 5 3 2 5 5 2 2" xfId="8326"/>
    <cellStyle name="Normal 5 3 2 5 5 2 3" xfId="13865"/>
    <cellStyle name="Normal 5 3 2 5 5 3" xfId="7121"/>
    <cellStyle name="Normal 5 3 2 5 5 4" xfId="12660"/>
    <cellStyle name="Normal 5 3 2 5 6" xfId="2953"/>
    <cellStyle name="Normal 5 3 2 5 6 2" xfId="8497"/>
    <cellStyle name="Normal 5 3 2 5 6 3" xfId="14036"/>
    <cellStyle name="Normal 5 3 2 5 7" xfId="3065"/>
    <cellStyle name="Normal 5 3 2 5 7 2" xfId="8608"/>
    <cellStyle name="Normal 5 3 2 5 7 3" xfId="14147"/>
    <cellStyle name="Normal 5 3 2 5 8" xfId="4108"/>
    <cellStyle name="Normal 5 3 2 5 8 2" xfId="9649"/>
    <cellStyle name="Normal 5 3 2 5 8 3" xfId="15188"/>
    <cellStyle name="Normal 5 3 2 5 9" xfId="1737"/>
    <cellStyle name="Normal 5 3 2 5 9 2" xfId="7283"/>
    <cellStyle name="Normal 5 3 2 5 9 3" xfId="12822"/>
    <cellStyle name="Normal 5 3 2 6" xfId="331"/>
    <cellStyle name="Normal 5 3 2 6 10" xfId="6006"/>
    <cellStyle name="Normal 5 3 2 6 10 2" xfId="17084"/>
    <cellStyle name="Normal 5 3 2 6 11" xfId="650"/>
    <cellStyle name="Normal 5 3 2 6 11 2" xfId="17246"/>
    <cellStyle name="Normal 5 3 2 6 12" xfId="11545"/>
    <cellStyle name="Normal 5 3 2 6 13" xfId="17413"/>
    <cellStyle name="Normal 5 3 2 6 14" xfId="17578"/>
    <cellStyle name="Normal 5 3 2 6 2" xfId="530"/>
    <cellStyle name="Normal 5 3 2 6 2 2" xfId="1371"/>
    <cellStyle name="Normal 5 3 2 6 2 2 2" xfId="3903"/>
    <cellStyle name="Normal 5 3 2 6 2 2 2 2" xfId="9445"/>
    <cellStyle name="Normal 5 3 2 6 2 2 2 3" xfId="14984"/>
    <cellStyle name="Normal 5 3 2 6 2 2 3" xfId="4940"/>
    <cellStyle name="Normal 5 3 2 6 2 2 3 2" xfId="10479"/>
    <cellStyle name="Normal 5 3 2 6 2 2 3 3" xfId="16018"/>
    <cellStyle name="Normal 5 3 2 6 2 2 4" xfId="5874"/>
    <cellStyle name="Normal 5 3 2 6 2 2 4 2" xfId="11413"/>
    <cellStyle name="Normal 5 3 2 6 2 2 4 3" xfId="16952"/>
    <cellStyle name="Normal 5 3 2 6 2 2 5" xfId="2576"/>
    <cellStyle name="Normal 5 3 2 6 2 2 5 2" xfId="8122"/>
    <cellStyle name="Normal 5 3 2 6 2 2 5 3" xfId="13661"/>
    <cellStyle name="Normal 5 3 2 6 2 2 6" xfId="6917"/>
    <cellStyle name="Normal 5 3 2 6 2 2 7" xfId="12456"/>
    <cellStyle name="Normal 5 3 2 6 2 3" xfId="981"/>
    <cellStyle name="Normal 5 3 2 6 2 3 2" xfId="3511"/>
    <cellStyle name="Normal 5 3 2 6 2 3 2 2" xfId="9053"/>
    <cellStyle name="Normal 5 3 2 6 2 3 2 3" xfId="14592"/>
    <cellStyle name="Normal 5 3 2 6 2 3 3" xfId="4548"/>
    <cellStyle name="Normal 5 3 2 6 2 3 3 2" xfId="10087"/>
    <cellStyle name="Normal 5 3 2 6 2 3 3 3" xfId="15626"/>
    <cellStyle name="Normal 5 3 2 6 2 3 4" xfId="5483"/>
    <cellStyle name="Normal 5 3 2 6 2 3 4 2" xfId="11022"/>
    <cellStyle name="Normal 5 3 2 6 2 3 4 3" xfId="16561"/>
    <cellStyle name="Normal 5 3 2 6 2 3 5" xfId="2185"/>
    <cellStyle name="Normal 5 3 2 6 2 3 5 2" xfId="7731"/>
    <cellStyle name="Normal 5 3 2 6 2 3 5 3" xfId="13270"/>
    <cellStyle name="Normal 5 3 2 6 2 3 6" xfId="6526"/>
    <cellStyle name="Normal 5 3 2 6 2 3 7" xfId="12065"/>
    <cellStyle name="Normal 5 3 2 6 2 4" xfId="3189"/>
    <cellStyle name="Normal 5 3 2 6 2 4 2" xfId="8731"/>
    <cellStyle name="Normal 5 3 2 6 2 4 3" xfId="14270"/>
    <cellStyle name="Normal 5 3 2 6 2 5" xfId="4228"/>
    <cellStyle name="Normal 5 3 2 6 2 5 2" xfId="9767"/>
    <cellStyle name="Normal 5 3 2 6 2 5 3" xfId="15306"/>
    <cellStyle name="Normal 5 3 2 6 2 6" xfId="5189"/>
    <cellStyle name="Normal 5 3 2 6 2 6 2" xfId="10728"/>
    <cellStyle name="Normal 5 3 2 6 2 6 3" xfId="16267"/>
    <cellStyle name="Normal 5 3 2 6 2 7" xfId="1891"/>
    <cellStyle name="Normal 5 3 2 6 2 7 2" xfId="7437"/>
    <cellStyle name="Normal 5 3 2 6 2 7 3" xfId="12976"/>
    <cellStyle name="Normal 5 3 2 6 2 8" xfId="6232"/>
    <cellStyle name="Normal 5 3 2 6 2 9" xfId="11771"/>
    <cellStyle name="Normal 5 3 2 6 3" xfId="1158"/>
    <cellStyle name="Normal 5 3 2 6 3 2" xfId="3688"/>
    <cellStyle name="Normal 5 3 2 6 3 2 2" xfId="9230"/>
    <cellStyle name="Normal 5 3 2 6 3 2 3" xfId="14769"/>
    <cellStyle name="Normal 5 3 2 6 3 3" xfId="4725"/>
    <cellStyle name="Normal 5 3 2 6 3 3 2" xfId="10264"/>
    <cellStyle name="Normal 5 3 2 6 3 3 3" xfId="15803"/>
    <cellStyle name="Normal 5 3 2 6 3 4" xfId="5660"/>
    <cellStyle name="Normal 5 3 2 6 3 4 2" xfId="11199"/>
    <cellStyle name="Normal 5 3 2 6 3 4 3" xfId="16738"/>
    <cellStyle name="Normal 5 3 2 6 3 5" xfId="2362"/>
    <cellStyle name="Normal 5 3 2 6 3 5 2" xfId="7908"/>
    <cellStyle name="Normal 5 3 2 6 3 5 3" xfId="13447"/>
    <cellStyle name="Normal 5 3 2 6 3 6" xfId="6703"/>
    <cellStyle name="Normal 5 3 2 6 3 7" xfId="12242"/>
    <cellStyle name="Normal 5 3 2 6 4" xfId="853"/>
    <cellStyle name="Normal 5 3 2 6 4 2" xfId="3383"/>
    <cellStyle name="Normal 5 3 2 6 4 2 2" xfId="8925"/>
    <cellStyle name="Normal 5 3 2 6 4 2 3" xfId="14464"/>
    <cellStyle name="Normal 5 3 2 6 4 3" xfId="4420"/>
    <cellStyle name="Normal 5 3 2 6 4 3 2" xfId="9959"/>
    <cellStyle name="Normal 5 3 2 6 4 3 3" xfId="15498"/>
    <cellStyle name="Normal 5 3 2 6 4 4" xfId="5355"/>
    <cellStyle name="Normal 5 3 2 6 4 4 2" xfId="10894"/>
    <cellStyle name="Normal 5 3 2 6 4 4 3" xfId="16433"/>
    <cellStyle name="Normal 5 3 2 6 4 5" xfId="2057"/>
    <cellStyle name="Normal 5 3 2 6 4 5 2" xfId="7603"/>
    <cellStyle name="Normal 5 3 2 6 4 5 3" xfId="13142"/>
    <cellStyle name="Normal 5 3 2 6 4 6" xfId="6398"/>
    <cellStyle name="Normal 5 3 2 6 4 7" xfId="11937"/>
    <cellStyle name="Normal 5 3 2 6 5" xfId="1503"/>
    <cellStyle name="Normal 5 3 2 6 5 2" xfId="2708"/>
    <cellStyle name="Normal 5 3 2 6 5 2 2" xfId="8254"/>
    <cellStyle name="Normal 5 3 2 6 5 2 3" xfId="13793"/>
    <cellStyle name="Normal 5 3 2 6 5 3" xfId="7049"/>
    <cellStyle name="Normal 5 3 2 6 5 4" xfId="12588"/>
    <cellStyle name="Normal 5 3 2 6 6" xfId="2881"/>
    <cellStyle name="Normal 5 3 2 6 6 2" xfId="8425"/>
    <cellStyle name="Normal 5 3 2 6 6 3" xfId="13964"/>
    <cellStyle name="Normal 5 3 2 6 7" xfId="3277"/>
    <cellStyle name="Normal 5 3 2 6 7 2" xfId="8819"/>
    <cellStyle name="Normal 5 3 2 6 7 3" xfId="14358"/>
    <cellStyle name="Normal 5 3 2 6 8" xfId="4316"/>
    <cellStyle name="Normal 5 3 2 6 8 2" xfId="9855"/>
    <cellStyle name="Normal 5 3 2 6 8 3" xfId="15394"/>
    <cellStyle name="Normal 5 3 2 6 9" xfId="1665"/>
    <cellStyle name="Normal 5 3 2 6 9 2" xfId="7211"/>
    <cellStyle name="Normal 5 3 2 6 9 3" xfId="12750"/>
    <cellStyle name="Normal 5 3 2 7" xfId="458"/>
    <cellStyle name="Normal 5 3 2 7 2" xfId="1300"/>
    <cellStyle name="Normal 5 3 2 7 2 2" xfId="3831"/>
    <cellStyle name="Normal 5 3 2 7 2 2 2" xfId="9373"/>
    <cellStyle name="Normal 5 3 2 7 2 2 3" xfId="14912"/>
    <cellStyle name="Normal 5 3 2 7 2 3" xfId="4868"/>
    <cellStyle name="Normal 5 3 2 7 2 3 2" xfId="10407"/>
    <cellStyle name="Normal 5 3 2 7 2 3 3" xfId="15946"/>
    <cellStyle name="Normal 5 3 2 7 2 4" xfId="5803"/>
    <cellStyle name="Normal 5 3 2 7 2 4 2" xfId="11342"/>
    <cellStyle name="Normal 5 3 2 7 2 4 3" xfId="16881"/>
    <cellStyle name="Normal 5 3 2 7 2 5" xfId="2505"/>
    <cellStyle name="Normal 5 3 2 7 2 5 2" xfId="8051"/>
    <cellStyle name="Normal 5 3 2 7 2 5 3" xfId="13590"/>
    <cellStyle name="Normal 5 3 2 7 2 6" xfId="6846"/>
    <cellStyle name="Normal 5 3 2 7 2 7" xfId="12385"/>
    <cellStyle name="Normal 5 3 2 7 3" xfId="963"/>
    <cellStyle name="Normal 5 3 2 7 3 2" xfId="3493"/>
    <cellStyle name="Normal 5 3 2 7 3 2 2" xfId="9035"/>
    <cellStyle name="Normal 5 3 2 7 3 2 3" xfId="14574"/>
    <cellStyle name="Normal 5 3 2 7 3 3" xfId="4530"/>
    <cellStyle name="Normal 5 3 2 7 3 3 2" xfId="10069"/>
    <cellStyle name="Normal 5 3 2 7 3 3 3" xfId="15608"/>
    <cellStyle name="Normal 5 3 2 7 3 4" xfId="5465"/>
    <cellStyle name="Normal 5 3 2 7 3 4 2" xfId="11004"/>
    <cellStyle name="Normal 5 3 2 7 3 4 3" xfId="16543"/>
    <cellStyle name="Normal 5 3 2 7 3 5" xfId="2167"/>
    <cellStyle name="Normal 5 3 2 7 3 5 2" xfId="7713"/>
    <cellStyle name="Normal 5 3 2 7 3 5 3" xfId="13252"/>
    <cellStyle name="Normal 5 3 2 7 3 6" xfId="6508"/>
    <cellStyle name="Normal 5 3 2 7 3 7" xfId="12047"/>
    <cellStyle name="Normal 5 3 2 7 4" xfId="3108"/>
    <cellStyle name="Normal 5 3 2 7 4 2" xfId="8651"/>
    <cellStyle name="Normal 5 3 2 7 4 3" xfId="14190"/>
    <cellStyle name="Normal 5 3 2 7 5" xfId="4151"/>
    <cellStyle name="Normal 5 3 2 7 5 2" xfId="9692"/>
    <cellStyle name="Normal 5 3 2 7 5 3" xfId="15231"/>
    <cellStyle name="Normal 5 3 2 7 6" xfId="5118"/>
    <cellStyle name="Normal 5 3 2 7 6 2" xfId="10657"/>
    <cellStyle name="Normal 5 3 2 7 6 3" xfId="16196"/>
    <cellStyle name="Normal 5 3 2 7 7" xfId="1820"/>
    <cellStyle name="Normal 5 3 2 7 7 2" xfId="7366"/>
    <cellStyle name="Normal 5 3 2 7 7 3" xfId="12905"/>
    <cellStyle name="Normal 5 3 2 7 8" xfId="6161"/>
    <cellStyle name="Normal 5 3 2 7 9" xfId="11700"/>
    <cellStyle name="Normal 5 3 2 8" xfId="1140"/>
    <cellStyle name="Normal 5 3 2 8 2" xfId="3670"/>
    <cellStyle name="Normal 5 3 2 8 2 2" xfId="9212"/>
    <cellStyle name="Normal 5 3 2 8 2 3" xfId="14751"/>
    <cellStyle name="Normal 5 3 2 8 3" xfId="4707"/>
    <cellStyle name="Normal 5 3 2 8 3 2" xfId="10246"/>
    <cellStyle name="Normal 5 3 2 8 3 3" xfId="15785"/>
    <cellStyle name="Normal 5 3 2 8 4" xfId="5642"/>
    <cellStyle name="Normal 5 3 2 8 4 2" xfId="11181"/>
    <cellStyle name="Normal 5 3 2 8 4 3" xfId="16720"/>
    <cellStyle name="Normal 5 3 2 8 5" xfId="2344"/>
    <cellStyle name="Normal 5 3 2 8 5 2" xfId="7890"/>
    <cellStyle name="Normal 5 3 2 8 5 3" xfId="13429"/>
    <cellStyle name="Normal 5 3 2 8 6" xfId="6685"/>
    <cellStyle name="Normal 5 3 2 8 7" xfId="12224"/>
    <cellStyle name="Normal 5 3 2 9" xfId="845"/>
    <cellStyle name="Normal 5 3 2 9 2" xfId="3375"/>
    <cellStyle name="Normal 5 3 2 9 2 2" xfId="8917"/>
    <cellStyle name="Normal 5 3 2 9 2 3" xfId="14456"/>
    <cellStyle name="Normal 5 3 2 9 3" xfId="4412"/>
    <cellStyle name="Normal 5 3 2 9 3 2" xfId="9951"/>
    <cellStyle name="Normal 5 3 2 9 3 3" xfId="15490"/>
    <cellStyle name="Normal 5 3 2 9 4" xfId="5347"/>
    <cellStyle name="Normal 5 3 2 9 4 2" xfId="10886"/>
    <cellStyle name="Normal 5 3 2 9 4 3" xfId="16425"/>
    <cellStyle name="Normal 5 3 2 9 5" xfId="2049"/>
    <cellStyle name="Normal 5 3 2 9 5 2" xfId="7595"/>
    <cellStyle name="Normal 5 3 2 9 5 3" xfId="13134"/>
    <cellStyle name="Normal 5 3 2 9 6" xfId="6390"/>
    <cellStyle name="Normal 5 3 2 9 7" xfId="11929"/>
    <cellStyle name="Normal 5 3 20" xfId="17553"/>
    <cellStyle name="Normal 5 3 3" xfId="332"/>
    <cellStyle name="Normal 5 3 3 10" xfId="1694"/>
    <cellStyle name="Normal 5 3 3 10 2" xfId="7240"/>
    <cellStyle name="Normal 5 3 3 10 3" xfId="12779"/>
    <cellStyle name="Normal 5 3 3 11" xfId="6035"/>
    <cellStyle name="Normal 5 3 3 11 2" xfId="17113"/>
    <cellStyle name="Normal 5 3 3 12" xfId="679"/>
    <cellStyle name="Normal 5 3 3 12 2" xfId="17275"/>
    <cellStyle name="Normal 5 3 3 13" xfId="11574"/>
    <cellStyle name="Normal 5 3 3 14" xfId="17442"/>
    <cellStyle name="Normal 5 3 3 15" xfId="17607"/>
    <cellStyle name="Normal 5 3 3 2" xfId="333"/>
    <cellStyle name="Normal 5 3 3 2 10" xfId="6125"/>
    <cellStyle name="Normal 5 3 3 2 10 2" xfId="17203"/>
    <cellStyle name="Normal 5 3 3 2 11" xfId="769"/>
    <cellStyle name="Normal 5 3 3 2 11 2" xfId="17365"/>
    <cellStyle name="Normal 5 3 3 2 12" xfId="11664"/>
    <cellStyle name="Normal 5 3 3 2 13" xfId="17532"/>
    <cellStyle name="Normal 5 3 3 2 14" xfId="17697"/>
    <cellStyle name="Normal 5 3 3 2 2" xfId="532"/>
    <cellStyle name="Normal 5 3 3 2 2 2" xfId="1373"/>
    <cellStyle name="Normal 5 3 3 2 2 2 2" xfId="3905"/>
    <cellStyle name="Normal 5 3 3 2 2 2 2 2" xfId="9447"/>
    <cellStyle name="Normal 5 3 3 2 2 2 2 3" xfId="14986"/>
    <cellStyle name="Normal 5 3 3 2 2 2 3" xfId="4942"/>
    <cellStyle name="Normal 5 3 3 2 2 2 3 2" xfId="10481"/>
    <cellStyle name="Normal 5 3 3 2 2 2 3 3" xfId="16020"/>
    <cellStyle name="Normal 5 3 3 2 2 2 4" xfId="5876"/>
    <cellStyle name="Normal 5 3 3 2 2 2 4 2" xfId="11415"/>
    <cellStyle name="Normal 5 3 3 2 2 2 4 3" xfId="16954"/>
    <cellStyle name="Normal 5 3 3 2 2 2 5" xfId="2578"/>
    <cellStyle name="Normal 5 3 3 2 2 2 5 2" xfId="8124"/>
    <cellStyle name="Normal 5 3 3 2 2 2 5 3" xfId="13663"/>
    <cellStyle name="Normal 5 3 3 2 2 2 6" xfId="6919"/>
    <cellStyle name="Normal 5 3 3 2 2 2 7" xfId="12458"/>
    <cellStyle name="Normal 5 3 3 2 2 3" xfId="1100"/>
    <cellStyle name="Normal 5 3 3 2 2 3 2" xfId="3630"/>
    <cellStyle name="Normal 5 3 3 2 2 3 2 2" xfId="9172"/>
    <cellStyle name="Normal 5 3 3 2 2 3 2 3" xfId="14711"/>
    <cellStyle name="Normal 5 3 3 2 2 3 3" xfId="4667"/>
    <cellStyle name="Normal 5 3 3 2 2 3 3 2" xfId="10206"/>
    <cellStyle name="Normal 5 3 3 2 2 3 3 3" xfId="15745"/>
    <cellStyle name="Normal 5 3 3 2 2 3 4" xfId="5602"/>
    <cellStyle name="Normal 5 3 3 2 2 3 4 2" xfId="11141"/>
    <cellStyle name="Normal 5 3 3 2 2 3 4 3" xfId="16680"/>
    <cellStyle name="Normal 5 3 3 2 2 3 5" xfId="2304"/>
    <cellStyle name="Normal 5 3 3 2 2 3 5 2" xfId="7850"/>
    <cellStyle name="Normal 5 3 3 2 2 3 5 3" xfId="13389"/>
    <cellStyle name="Normal 5 3 3 2 2 3 6" xfId="6645"/>
    <cellStyle name="Normal 5 3 3 2 2 3 7" xfId="12184"/>
    <cellStyle name="Normal 5 3 3 2 2 4" xfId="3191"/>
    <cellStyle name="Normal 5 3 3 2 2 4 2" xfId="8733"/>
    <cellStyle name="Normal 5 3 3 2 2 4 3" xfId="14272"/>
    <cellStyle name="Normal 5 3 3 2 2 5" xfId="4230"/>
    <cellStyle name="Normal 5 3 3 2 2 5 2" xfId="9769"/>
    <cellStyle name="Normal 5 3 3 2 2 5 3" xfId="15308"/>
    <cellStyle name="Normal 5 3 3 2 2 6" xfId="5191"/>
    <cellStyle name="Normal 5 3 3 2 2 6 2" xfId="10730"/>
    <cellStyle name="Normal 5 3 3 2 2 6 3" xfId="16269"/>
    <cellStyle name="Normal 5 3 3 2 2 7" xfId="1893"/>
    <cellStyle name="Normal 5 3 3 2 2 7 2" xfId="7439"/>
    <cellStyle name="Normal 5 3 3 2 2 7 3" xfId="12978"/>
    <cellStyle name="Normal 5 3 3 2 2 8" xfId="6234"/>
    <cellStyle name="Normal 5 3 3 2 2 9" xfId="11773"/>
    <cellStyle name="Normal 5 3 3 2 3" xfId="1277"/>
    <cellStyle name="Normal 5 3 3 2 3 2" xfId="3807"/>
    <cellStyle name="Normal 5 3 3 2 3 2 2" xfId="9349"/>
    <cellStyle name="Normal 5 3 3 2 3 2 3" xfId="14888"/>
    <cellStyle name="Normal 5 3 3 2 3 3" xfId="4844"/>
    <cellStyle name="Normal 5 3 3 2 3 3 2" xfId="10383"/>
    <cellStyle name="Normal 5 3 3 2 3 3 3" xfId="15922"/>
    <cellStyle name="Normal 5 3 3 2 3 4" xfId="5779"/>
    <cellStyle name="Normal 5 3 3 2 3 4 2" xfId="11318"/>
    <cellStyle name="Normal 5 3 3 2 3 4 3" xfId="16857"/>
    <cellStyle name="Normal 5 3 3 2 3 5" xfId="2481"/>
    <cellStyle name="Normal 5 3 3 2 3 5 2" xfId="8027"/>
    <cellStyle name="Normal 5 3 3 2 3 5 3" xfId="13566"/>
    <cellStyle name="Normal 5 3 3 2 3 6" xfId="6822"/>
    <cellStyle name="Normal 5 3 3 2 3 7" xfId="12361"/>
    <cellStyle name="Normal 5 3 3 2 4" xfId="855"/>
    <cellStyle name="Normal 5 3 3 2 4 2" xfId="3385"/>
    <cellStyle name="Normal 5 3 3 2 4 2 2" xfId="8927"/>
    <cellStyle name="Normal 5 3 3 2 4 2 3" xfId="14466"/>
    <cellStyle name="Normal 5 3 3 2 4 3" xfId="4422"/>
    <cellStyle name="Normal 5 3 3 2 4 3 2" xfId="9961"/>
    <cellStyle name="Normal 5 3 3 2 4 3 3" xfId="15500"/>
    <cellStyle name="Normal 5 3 3 2 4 4" xfId="5357"/>
    <cellStyle name="Normal 5 3 3 2 4 4 2" xfId="10896"/>
    <cellStyle name="Normal 5 3 3 2 4 4 3" xfId="16435"/>
    <cellStyle name="Normal 5 3 3 2 4 5" xfId="2059"/>
    <cellStyle name="Normal 5 3 3 2 4 5 2" xfId="7605"/>
    <cellStyle name="Normal 5 3 3 2 4 5 3" xfId="13144"/>
    <cellStyle name="Normal 5 3 3 2 4 6" xfId="6400"/>
    <cellStyle name="Normal 5 3 3 2 4 7" xfId="11939"/>
    <cellStyle name="Normal 5 3 3 2 5" xfId="1622"/>
    <cellStyle name="Normal 5 3 3 2 5 2" xfId="2827"/>
    <cellStyle name="Normal 5 3 3 2 5 2 2" xfId="8373"/>
    <cellStyle name="Normal 5 3 3 2 5 2 3" xfId="13912"/>
    <cellStyle name="Normal 5 3 3 2 5 3" xfId="7168"/>
    <cellStyle name="Normal 5 3 3 2 5 4" xfId="12707"/>
    <cellStyle name="Normal 5 3 3 2 6" xfId="3000"/>
    <cellStyle name="Normal 5 3 3 2 6 2" xfId="8544"/>
    <cellStyle name="Normal 5 3 3 2 6 3" xfId="14083"/>
    <cellStyle name="Normal 5 3 3 2 7" xfId="4045"/>
    <cellStyle name="Normal 5 3 3 2 7 2" xfId="9587"/>
    <cellStyle name="Normal 5 3 3 2 7 3" xfId="15126"/>
    <cellStyle name="Normal 5 3 3 2 8" xfId="5082"/>
    <cellStyle name="Normal 5 3 3 2 8 2" xfId="10621"/>
    <cellStyle name="Normal 5 3 3 2 8 3" xfId="16160"/>
    <cellStyle name="Normal 5 3 3 2 9" xfId="1784"/>
    <cellStyle name="Normal 5 3 3 2 9 2" xfId="7330"/>
    <cellStyle name="Normal 5 3 3 2 9 3" xfId="12869"/>
    <cellStyle name="Normal 5 3 3 3" xfId="531"/>
    <cellStyle name="Normal 5 3 3 3 2" xfId="1372"/>
    <cellStyle name="Normal 5 3 3 3 2 2" xfId="3904"/>
    <cellStyle name="Normal 5 3 3 3 2 2 2" xfId="9446"/>
    <cellStyle name="Normal 5 3 3 3 2 2 3" xfId="14985"/>
    <cellStyle name="Normal 5 3 3 3 2 3" xfId="4941"/>
    <cellStyle name="Normal 5 3 3 3 2 3 2" xfId="10480"/>
    <cellStyle name="Normal 5 3 3 3 2 3 3" xfId="16019"/>
    <cellStyle name="Normal 5 3 3 3 2 4" xfId="5875"/>
    <cellStyle name="Normal 5 3 3 3 2 4 2" xfId="11414"/>
    <cellStyle name="Normal 5 3 3 3 2 4 3" xfId="16953"/>
    <cellStyle name="Normal 5 3 3 3 2 5" xfId="2577"/>
    <cellStyle name="Normal 5 3 3 3 2 5 2" xfId="8123"/>
    <cellStyle name="Normal 5 3 3 3 2 5 3" xfId="13662"/>
    <cellStyle name="Normal 5 3 3 3 2 6" xfId="6918"/>
    <cellStyle name="Normal 5 3 3 3 2 7" xfId="12457"/>
    <cellStyle name="Normal 5 3 3 3 3" xfId="1010"/>
    <cellStyle name="Normal 5 3 3 3 3 2" xfId="3540"/>
    <cellStyle name="Normal 5 3 3 3 3 2 2" xfId="9082"/>
    <cellStyle name="Normal 5 3 3 3 3 2 3" xfId="14621"/>
    <cellStyle name="Normal 5 3 3 3 3 3" xfId="4577"/>
    <cellStyle name="Normal 5 3 3 3 3 3 2" xfId="10116"/>
    <cellStyle name="Normal 5 3 3 3 3 3 3" xfId="15655"/>
    <cellStyle name="Normal 5 3 3 3 3 4" xfId="5512"/>
    <cellStyle name="Normal 5 3 3 3 3 4 2" xfId="11051"/>
    <cellStyle name="Normal 5 3 3 3 3 4 3" xfId="16590"/>
    <cellStyle name="Normal 5 3 3 3 3 5" xfId="2214"/>
    <cellStyle name="Normal 5 3 3 3 3 5 2" xfId="7760"/>
    <cellStyle name="Normal 5 3 3 3 3 5 3" xfId="13299"/>
    <cellStyle name="Normal 5 3 3 3 3 6" xfId="6555"/>
    <cellStyle name="Normal 5 3 3 3 3 7" xfId="12094"/>
    <cellStyle name="Normal 5 3 3 3 4" xfId="3190"/>
    <cellStyle name="Normal 5 3 3 3 4 2" xfId="8732"/>
    <cellStyle name="Normal 5 3 3 3 4 3" xfId="14271"/>
    <cellStyle name="Normal 5 3 3 3 5" xfId="4229"/>
    <cellStyle name="Normal 5 3 3 3 5 2" xfId="9768"/>
    <cellStyle name="Normal 5 3 3 3 5 3" xfId="15307"/>
    <cellStyle name="Normal 5 3 3 3 6" xfId="5190"/>
    <cellStyle name="Normal 5 3 3 3 6 2" xfId="10729"/>
    <cellStyle name="Normal 5 3 3 3 6 3" xfId="16268"/>
    <cellStyle name="Normal 5 3 3 3 7" xfId="1892"/>
    <cellStyle name="Normal 5 3 3 3 7 2" xfId="7438"/>
    <cellStyle name="Normal 5 3 3 3 7 3" xfId="12977"/>
    <cellStyle name="Normal 5 3 3 3 8" xfId="6233"/>
    <cellStyle name="Normal 5 3 3 3 9" xfId="11772"/>
    <cellStyle name="Normal 5 3 3 4" xfId="1187"/>
    <cellStyle name="Normal 5 3 3 4 2" xfId="3717"/>
    <cellStyle name="Normal 5 3 3 4 2 2" xfId="9259"/>
    <cellStyle name="Normal 5 3 3 4 2 3" xfId="14798"/>
    <cellStyle name="Normal 5 3 3 4 3" xfId="4754"/>
    <cellStyle name="Normal 5 3 3 4 3 2" xfId="10293"/>
    <cellStyle name="Normal 5 3 3 4 3 3" xfId="15832"/>
    <cellStyle name="Normal 5 3 3 4 4" xfId="5689"/>
    <cellStyle name="Normal 5 3 3 4 4 2" xfId="11228"/>
    <cellStyle name="Normal 5 3 3 4 4 3" xfId="16767"/>
    <cellStyle name="Normal 5 3 3 4 5" xfId="2391"/>
    <cellStyle name="Normal 5 3 3 4 5 2" xfId="7937"/>
    <cellStyle name="Normal 5 3 3 4 5 3" xfId="13476"/>
    <cellStyle name="Normal 5 3 3 4 6" xfId="6732"/>
    <cellStyle name="Normal 5 3 3 4 7" xfId="12271"/>
    <cellStyle name="Normal 5 3 3 5" xfId="854"/>
    <cellStyle name="Normal 5 3 3 5 2" xfId="3384"/>
    <cellStyle name="Normal 5 3 3 5 2 2" xfId="8926"/>
    <cellStyle name="Normal 5 3 3 5 2 3" xfId="14465"/>
    <cellStyle name="Normal 5 3 3 5 3" xfId="4421"/>
    <cellStyle name="Normal 5 3 3 5 3 2" xfId="9960"/>
    <cellStyle name="Normal 5 3 3 5 3 3" xfId="15499"/>
    <cellStyle name="Normal 5 3 3 5 4" xfId="5356"/>
    <cellStyle name="Normal 5 3 3 5 4 2" xfId="10895"/>
    <cellStyle name="Normal 5 3 3 5 4 3" xfId="16434"/>
    <cellStyle name="Normal 5 3 3 5 5" xfId="2058"/>
    <cellStyle name="Normal 5 3 3 5 5 2" xfId="7604"/>
    <cellStyle name="Normal 5 3 3 5 5 3" xfId="13143"/>
    <cellStyle name="Normal 5 3 3 5 6" xfId="6399"/>
    <cellStyle name="Normal 5 3 3 5 7" xfId="11938"/>
    <cellStyle name="Normal 5 3 3 6" xfId="1532"/>
    <cellStyle name="Normal 5 3 3 6 2" xfId="2737"/>
    <cellStyle name="Normal 5 3 3 6 2 2" xfId="8283"/>
    <cellStyle name="Normal 5 3 3 6 2 3" xfId="13822"/>
    <cellStyle name="Normal 5 3 3 6 3" xfId="7078"/>
    <cellStyle name="Normal 5 3 3 6 4" xfId="12617"/>
    <cellStyle name="Normal 5 3 3 7" xfId="2910"/>
    <cellStyle name="Normal 5 3 3 7 2" xfId="8454"/>
    <cellStyle name="Normal 5 3 3 7 3" xfId="13993"/>
    <cellStyle name="Normal 5 3 3 8" xfId="3019"/>
    <cellStyle name="Normal 5 3 3 8 2" xfId="8563"/>
    <cellStyle name="Normal 5 3 3 8 3" xfId="14102"/>
    <cellStyle name="Normal 5 3 3 9" xfId="4063"/>
    <cellStyle name="Normal 5 3 3 9 2" xfId="9605"/>
    <cellStyle name="Normal 5 3 3 9 3" xfId="15144"/>
    <cellStyle name="Normal 5 3 4" xfId="334"/>
    <cellStyle name="Normal 5 3 4 10" xfId="1676"/>
    <cellStyle name="Normal 5 3 4 10 2" xfId="7222"/>
    <cellStyle name="Normal 5 3 4 10 3" xfId="12761"/>
    <cellStyle name="Normal 5 3 4 11" xfId="6017"/>
    <cellStyle name="Normal 5 3 4 11 2" xfId="17095"/>
    <cellStyle name="Normal 5 3 4 12" xfId="661"/>
    <cellStyle name="Normal 5 3 4 12 2" xfId="17257"/>
    <cellStyle name="Normal 5 3 4 13" xfId="11556"/>
    <cellStyle name="Normal 5 3 4 14" xfId="17424"/>
    <cellStyle name="Normal 5 3 4 15" xfId="17589"/>
    <cellStyle name="Normal 5 3 4 2" xfId="335"/>
    <cellStyle name="Normal 5 3 4 2 10" xfId="6107"/>
    <cellStyle name="Normal 5 3 4 2 10 2" xfId="17185"/>
    <cellStyle name="Normal 5 3 4 2 11" xfId="751"/>
    <cellStyle name="Normal 5 3 4 2 11 2" xfId="17347"/>
    <cellStyle name="Normal 5 3 4 2 12" xfId="11646"/>
    <cellStyle name="Normal 5 3 4 2 13" xfId="17514"/>
    <cellStyle name="Normal 5 3 4 2 14" xfId="17679"/>
    <cellStyle name="Normal 5 3 4 2 2" xfId="534"/>
    <cellStyle name="Normal 5 3 4 2 2 2" xfId="1375"/>
    <cellStyle name="Normal 5 3 4 2 2 2 2" xfId="3907"/>
    <cellStyle name="Normal 5 3 4 2 2 2 2 2" xfId="9449"/>
    <cellStyle name="Normal 5 3 4 2 2 2 2 3" xfId="14988"/>
    <cellStyle name="Normal 5 3 4 2 2 2 3" xfId="4944"/>
    <cellStyle name="Normal 5 3 4 2 2 2 3 2" xfId="10483"/>
    <cellStyle name="Normal 5 3 4 2 2 2 3 3" xfId="16022"/>
    <cellStyle name="Normal 5 3 4 2 2 2 4" xfId="5878"/>
    <cellStyle name="Normal 5 3 4 2 2 2 4 2" xfId="11417"/>
    <cellStyle name="Normal 5 3 4 2 2 2 4 3" xfId="16956"/>
    <cellStyle name="Normal 5 3 4 2 2 2 5" xfId="2580"/>
    <cellStyle name="Normal 5 3 4 2 2 2 5 2" xfId="8126"/>
    <cellStyle name="Normal 5 3 4 2 2 2 5 3" xfId="13665"/>
    <cellStyle name="Normal 5 3 4 2 2 2 6" xfId="6921"/>
    <cellStyle name="Normal 5 3 4 2 2 2 7" xfId="12460"/>
    <cellStyle name="Normal 5 3 4 2 2 3" xfId="1082"/>
    <cellStyle name="Normal 5 3 4 2 2 3 2" xfId="3612"/>
    <cellStyle name="Normal 5 3 4 2 2 3 2 2" xfId="9154"/>
    <cellStyle name="Normal 5 3 4 2 2 3 2 3" xfId="14693"/>
    <cellStyle name="Normal 5 3 4 2 2 3 3" xfId="4649"/>
    <cellStyle name="Normal 5 3 4 2 2 3 3 2" xfId="10188"/>
    <cellStyle name="Normal 5 3 4 2 2 3 3 3" xfId="15727"/>
    <cellStyle name="Normal 5 3 4 2 2 3 4" xfId="5584"/>
    <cellStyle name="Normal 5 3 4 2 2 3 4 2" xfId="11123"/>
    <cellStyle name="Normal 5 3 4 2 2 3 4 3" xfId="16662"/>
    <cellStyle name="Normal 5 3 4 2 2 3 5" xfId="2286"/>
    <cellStyle name="Normal 5 3 4 2 2 3 5 2" xfId="7832"/>
    <cellStyle name="Normal 5 3 4 2 2 3 5 3" xfId="13371"/>
    <cellStyle name="Normal 5 3 4 2 2 3 6" xfId="6627"/>
    <cellStyle name="Normal 5 3 4 2 2 3 7" xfId="12166"/>
    <cellStyle name="Normal 5 3 4 2 2 4" xfId="3193"/>
    <cellStyle name="Normal 5 3 4 2 2 4 2" xfId="8735"/>
    <cellStyle name="Normal 5 3 4 2 2 4 3" xfId="14274"/>
    <cellStyle name="Normal 5 3 4 2 2 5" xfId="4232"/>
    <cellStyle name="Normal 5 3 4 2 2 5 2" xfId="9771"/>
    <cellStyle name="Normal 5 3 4 2 2 5 3" xfId="15310"/>
    <cellStyle name="Normal 5 3 4 2 2 6" xfId="5193"/>
    <cellStyle name="Normal 5 3 4 2 2 6 2" xfId="10732"/>
    <cellStyle name="Normal 5 3 4 2 2 6 3" xfId="16271"/>
    <cellStyle name="Normal 5 3 4 2 2 7" xfId="1895"/>
    <cellStyle name="Normal 5 3 4 2 2 7 2" xfId="7441"/>
    <cellStyle name="Normal 5 3 4 2 2 7 3" xfId="12980"/>
    <cellStyle name="Normal 5 3 4 2 2 8" xfId="6236"/>
    <cellStyle name="Normal 5 3 4 2 2 9" xfId="11775"/>
    <cellStyle name="Normal 5 3 4 2 3" xfId="1259"/>
    <cellStyle name="Normal 5 3 4 2 3 2" xfId="3789"/>
    <cellStyle name="Normal 5 3 4 2 3 2 2" xfId="9331"/>
    <cellStyle name="Normal 5 3 4 2 3 2 3" xfId="14870"/>
    <cellStyle name="Normal 5 3 4 2 3 3" xfId="4826"/>
    <cellStyle name="Normal 5 3 4 2 3 3 2" xfId="10365"/>
    <cellStyle name="Normal 5 3 4 2 3 3 3" xfId="15904"/>
    <cellStyle name="Normal 5 3 4 2 3 4" xfId="5761"/>
    <cellStyle name="Normal 5 3 4 2 3 4 2" xfId="11300"/>
    <cellStyle name="Normal 5 3 4 2 3 4 3" xfId="16839"/>
    <cellStyle name="Normal 5 3 4 2 3 5" xfId="2463"/>
    <cellStyle name="Normal 5 3 4 2 3 5 2" xfId="8009"/>
    <cellStyle name="Normal 5 3 4 2 3 5 3" xfId="13548"/>
    <cellStyle name="Normal 5 3 4 2 3 6" xfId="6804"/>
    <cellStyle name="Normal 5 3 4 2 3 7" xfId="12343"/>
    <cellStyle name="Normal 5 3 4 2 4" xfId="857"/>
    <cellStyle name="Normal 5 3 4 2 4 2" xfId="3387"/>
    <cellStyle name="Normal 5 3 4 2 4 2 2" xfId="8929"/>
    <cellStyle name="Normal 5 3 4 2 4 2 3" xfId="14468"/>
    <cellStyle name="Normal 5 3 4 2 4 3" xfId="4424"/>
    <cellStyle name="Normal 5 3 4 2 4 3 2" xfId="9963"/>
    <cellStyle name="Normal 5 3 4 2 4 3 3" xfId="15502"/>
    <cellStyle name="Normal 5 3 4 2 4 4" xfId="5359"/>
    <cellStyle name="Normal 5 3 4 2 4 4 2" xfId="10898"/>
    <cellStyle name="Normal 5 3 4 2 4 4 3" xfId="16437"/>
    <cellStyle name="Normal 5 3 4 2 4 5" xfId="2061"/>
    <cellStyle name="Normal 5 3 4 2 4 5 2" xfId="7607"/>
    <cellStyle name="Normal 5 3 4 2 4 5 3" xfId="13146"/>
    <cellStyle name="Normal 5 3 4 2 4 6" xfId="6402"/>
    <cellStyle name="Normal 5 3 4 2 4 7" xfId="11941"/>
    <cellStyle name="Normal 5 3 4 2 5" xfId="1604"/>
    <cellStyle name="Normal 5 3 4 2 5 2" xfId="2809"/>
    <cellStyle name="Normal 5 3 4 2 5 2 2" xfId="8355"/>
    <cellStyle name="Normal 5 3 4 2 5 2 3" xfId="13894"/>
    <cellStyle name="Normal 5 3 4 2 5 3" xfId="7150"/>
    <cellStyle name="Normal 5 3 4 2 5 4" xfId="12689"/>
    <cellStyle name="Normal 5 3 4 2 6" xfId="2982"/>
    <cellStyle name="Normal 5 3 4 2 6 2" xfId="8526"/>
    <cellStyle name="Normal 5 3 4 2 6 3" xfId="14065"/>
    <cellStyle name="Normal 5 3 4 2 7" xfId="4027"/>
    <cellStyle name="Normal 5 3 4 2 7 2" xfId="9569"/>
    <cellStyle name="Normal 5 3 4 2 7 3" xfId="15108"/>
    <cellStyle name="Normal 5 3 4 2 8" xfId="5064"/>
    <cellStyle name="Normal 5 3 4 2 8 2" xfId="10603"/>
    <cellStyle name="Normal 5 3 4 2 8 3" xfId="16142"/>
    <cellStyle name="Normal 5 3 4 2 9" xfId="1766"/>
    <cellStyle name="Normal 5 3 4 2 9 2" xfId="7312"/>
    <cellStyle name="Normal 5 3 4 2 9 3" xfId="12851"/>
    <cellStyle name="Normal 5 3 4 3" xfId="533"/>
    <cellStyle name="Normal 5 3 4 3 2" xfId="1374"/>
    <cellStyle name="Normal 5 3 4 3 2 2" xfId="3906"/>
    <cellStyle name="Normal 5 3 4 3 2 2 2" xfId="9448"/>
    <cellStyle name="Normal 5 3 4 3 2 2 3" xfId="14987"/>
    <cellStyle name="Normal 5 3 4 3 2 3" xfId="4943"/>
    <cellStyle name="Normal 5 3 4 3 2 3 2" xfId="10482"/>
    <cellStyle name="Normal 5 3 4 3 2 3 3" xfId="16021"/>
    <cellStyle name="Normal 5 3 4 3 2 4" xfId="5877"/>
    <cellStyle name="Normal 5 3 4 3 2 4 2" xfId="11416"/>
    <cellStyle name="Normal 5 3 4 3 2 4 3" xfId="16955"/>
    <cellStyle name="Normal 5 3 4 3 2 5" xfId="2579"/>
    <cellStyle name="Normal 5 3 4 3 2 5 2" xfId="8125"/>
    <cellStyle name="Normal 5 3 4 3 2 5 3" xfId="13664"/>
    <cellStyle name="Normal 5 3 4 3 2 6" xfId="6920"/>
    <cellStyle name="Normal 5 3 4 3 2 7" xfId="12459"/>
    <cellStyle name="Normal 5 3 4 3 3" xfId="992"/>
    <cellStyle name="Normal 5 3 4 3 3 2" xfId="3522"/>
    <cellStyle name="Normal 5 3 4 3 3 2 2" xfId="9064"/>
    <cellStyle name="Normal 5 3 4 3 3 2 3" xfId="14603"/>
    <cellStyle name="Normal 5 3 4 3 3 3" xfId="4559"/>
    <cellStyle name="Normal 5 3 4 3 3 3 2" xfId="10098"/>
    <cellStyle name="Normal 5 3 4 3 3 3 3" xfId="15637"/>
    <cellStyle name="Normal 5 3 4 3 3 4" xfId="5494"/>
    <cellStyle name="Normal 5 3 4 3 3 4 2" xfId="11033"/>
    <cellStyle name="Normal 5 3 4 3 3 4 3" xfId="16572"/>
    <cellStyle name="Normal 5 3 4 3 3 5" xfId="2196"/>
    <cellStyle name="Normal 5 3 4 3 3 5 2" xfId="7742"/>
    <cellStyle name="Normal 5 3 4 3 3 5 3" xfId="13281"/>
    <cellStyle name="Normal 5 3 4 3 3 6" xfId="6537"/>
    <cellStyle name="Normal 5 3 4 3 3 7" xfId="12076"/>
    <cellStyle name="Normal 5 3 4 3 4" xfId="3192"/>
    <cellStyle name="Normal 5 3 4 3 4 2" xfId="8734"/>
    <cellStyle name="Normal 5 3 4 3 4 3" xfId="14273"/>
    <cellStyle name="Normal 5 3 4 3 5" xfId="4231"/>
    <cellStyle name="Normal 5 3 4 3 5 2" xfId="9770"/>
    <cellStyle name="Normal 5 3 4 3 5 3" xfId="15309"/>
    <cellStyle name="Normal 5 3 4 3 6" xfId="5192"/>
    <cellStyle name="Normal 5 3 4 3 6 2" xfId="10731"/>
    <cellStyle name="Normal 5 3 4 3 6 3" xfId="16270"/>
    <cellStyle name="Normal 5 3 4 3 7" xfId="1894"/>
    <cellStyle name="Normal 5 3 4 3 7 2" xfId="7440"/>
    <cellStyle name="Normal 5 3 4 3 7 3" xfId="12979"/>
    <cellStyle name="Normal 5 3 4 3 8" xfId="6235"/>
    <cellStyle name="Normal 5 3 4 3 9" xfId="11774"/>
    <cellStyle name="Normal 5 3 4 4" xfId="1169"/>
    <cellStyle name="Normal 5 3 4 4 2" xfId="3699"/>
    <cellStyle name="Normal 5 3 4 4 2 2" xfId="9241"/>
    <cellStyle name="Normal 5 3 4 4 2 3" xfId="14780"/>
    <cellStyle name="Normal 5 3 4 4 3" xfId="4736"/>
    <cellStyle name="Normal 5 3 4 4 3 2" xfId="10275"/>
    <cellStyle name="Normal 5 3 4 4 3 3" xfId="15814"/>
    <cellStyle name="Normal 5 3 4 4 4" xfId="5671"/>
    <cellStyle name="Normal 5 3 4 4 4 2" xfId="11210"/>
    <cellStyle name="Normal 5 3 4 4 4 3" xfId="16749"/>
    <cellStyle name="Normal 5 3 4 4 5" xfId="2373"/>
    <cellStyle name="Normal 5 3 4 4 5 2" xfId="7919"/>
    <cellStyle name="Normal 5 3 4 4 5 3" xfId="13458"/>
    <cellStyle name="Normal 5 3 4 4 6" xfId="6714"/>
    <cellStyle name="Normal 5 3 4 4 7" xfId="12253"/>
    <cellStyle name="Normal 5 3 4 5" xfId="856"/>
    <cellStyle name="Normal 5 3 4 5 2" xfId="3386"/>
    <cellStyle name="Normal 5 3 4 5 2 2" xfId="8928"/>
    <cellStyle name="Normal 5 3 4 5 2 3" xfId="14467"/>
    <cellStyle name="Normal 5 3 4 5 3" xfId="4423"/>
    <cellStyle name="Normal 5 3 4 5 3 2" xfId="9962"/>
    <cellStyle name="Normal 5 3 4 5 3 3" xfId="15501"/>
    <cellStyle name="Normal 5 3 4 5 4" xfId="5358"/>
    <cellStyle name="Normal 5 3 4 5 4 2" xfId="10897"/>
    <cellStyle name="Normal 5 3 4 5 4 3" xfId="16436"/>
    <cellStyle name="Normal 5 3 4 5 5" xfId="2060"/>
    <cellStyle name="Normal 5 3 4 5 5 2" xfId="7606"/>
    <cellStyle name="Normal 5 3 4 5 5 3" xfId="13145"/>
    <cellStyle name="Normal 5 3 4 5 6" xfId="6401"/>
    <cellStyle name="Normal 5 3 4 5 7" xfId="11940"/>
    <cellStyle name="Normal 5 3 4 6" xfId="1514"/>
    <cellStyle name="Normal 5 3 4 6 2" xfId="2719"/>
    <cellStyle name="Normal 5 3 4 6 2 2" xfId="8265"/>
    <cellStyle name="Normal 5 3 4 6 2 3" xfId="13804"/>
    <cellStyle name="Normal 5 3 4 6 3" xfId="7060"/>
    <cellStyle name="Normal 5 3 4 6 4" xfId="12599"/>
    <cellStyle name="Normal 5 3 4 7" xfId="2892"/>
    <cellStyle name="Normal 5 3 4 7 2" xfId="8436"/>
    <cellStyle name="Normal 5 3 4 7 3" xfId="13975"/>
    <cellStyle name="Normal 5 3 4 8" xfId="3028"/>
    <cellStyle name="Normal 5 3 4 8 2" xfId="8571"/>
    <cellStyle name="Normal 5 3 4 8 3" xfId="14110"/>
    <cellStyle name="Normal 5 3 4 9" xfId="4072"/>
    <cellStyle name="Normal 5 3 4 9 2" xfId="9613"/>
    <cellStyle name="Normal 5 3 4 9 3" xfId="15152"/>
    <cellStyle name="Normal 5 3 5" xfId="336"/>
    <cellStyle name="Normal 5 3 5 10" xfId="1712"/>
    <cellStyle name="Normal 5 3 5 10 2" xfId="7258"/>
    <cellStyle name="Normal 5 3 5 10 3" xfId="12797"/>
    <cellStyle name="Normal 5 3 5 11" xfId="6053"/>
    <cellStyle name="Normal 5 3 5 11 2" xfId="17131"/>
    <cellStyle name="Normal 5 3 5 12" xfId="697"/>
    <cellStyle name="Normal 5 3 5 12 2" xfId="17293"/>
    <cellStyle name="Normal 5 3 5 13" xfId="11592"/>
    <cellStyle name="Normal 5 3 5 14" xfId="17460"/>
    <cellStyle name="Normal 5 3 5 15" xfId="17625"/>
    <cellStyle name="Normal 5 3 5 2" xfId="337"/>
    <cellStyle name="Normal 5 3 5 2 10" xfId="6089"/>
    <cellStyle name="Normal 5 3 5 2 10 2" xfId="17167"/>
    <cellStyle name="Normal 5 3 5 2 11" xfId="733"/>
    <cellStyle name="Normal 5 3 5 2 11 2" xfId="17329"/>
    <cellStyle name="Normal 5 3 5 2 12" xfId="11628"/>
    <cellStyle name="Normal 5 3 5 2 13" xfId="17496"/>
    <cellStyle name="Normal 5 3 5 2 14" xfId="17661"/>
    <cellStyle name="Normal 5 3 5 2 2" xfId="536"/>
    <cellStyle name="Normal 5 3 5 2 2 2" xfId="1377"/>
    <cellStyle name="Normal 5 3 5 2 2 2 2" xfId="3909"/>
    <cellStyle name="Normal 5 3 5 2 2 2 2 2" xfId="9451"/>
    <cellStyle name="Normal 5 3 5 2 2 2 2 3" xfId="14990"/>
    <cellStyle name="Normal 5 3 5 2 2 2 3" xfId="4946"/>
    <cellStyle name="Normal 5 3 5 2 2 2 3 2" xfId="10485"/>
    <cellStyle name="Normal 5 3 5 2 2 2 3 3" xfId="16024"/>
    <cellStyle name="Normal 5 3 5 2 2 2 4" xfId="5880"/>
    <cellStyle name="Normal 5 3 5 2 2 2 4 2" xfId="11419"/>
    <cellStyle name="Normal 5 3 5 2 2 2 4 3" xfId="16958"/>
    <cellStyle name="Normal 5 3 5 2 2 2 5" xfId="2582"/>
    <cellStyle name="Normal 5 3 5 2 2 2 5 2" xfId="8128"/>
    <cellStyle name="Normal 5 3 5 2 2 2 5 3" xfId="13667"/>
    <cellStyle name="Normal 5 3 5 2 2 2 6" xfId="6923"/>
    <cellStyle name="Normal 5 3 5 2 2 2 7" xfId="12462"/>
    <cellStyle name="Normal 5 3 5 2 2 3" xfId="1064"/>
    <cellStyle name="Normal 5 3 5 2 2 3 2" xfId="3594"/>
    <cellStyle name="Normal 5 3 5 2 2 3 2 2" xfId="9136"/>
    <cellStyle name="Normal 5 3 5 2 2 3 2 3" xfId="14675"/>
    <cellStyle name="Normal 5 3 5 2 2 3 3" xfId="4631"/>
    <cellStyle name="Normal 5 3 5 2 2 3 3 2" xfId="10170"/>
    <cellStyle name="Normal 5 3 5 2 2 3 3 3" xfId="15709"/>
    <cellStyle name="Normal 5 3 5 2 2 3 4" xfId="5566"/>
    <cellStyle name="Normal 5 3 5 2 2 3 4 2" xfId="11105"/>
    <cellStyle name="Normal 5 3 5 2 2 3 4 3" xfId="16644"/>
    <cellStyle name="Normal 5 3 5 2 2 3 5" xfId="2268"/>
    <cellStyle name="Normal 5 3 5 2 2 3 5 2" xfId="7814"/>
    <cellStyle name="Normal 5 3 5 2 2 3 5 3" xfId="13353"/>
    <cellStyle name="Normal 5 3 5 2 2 3 6" xfId="6609"/>
    <cellStyle name="Normal 5 3 5 2 2 3 7" xfId="12148"/>
    <cellStyle name="Normal 5 3 5 2 2 4" xfId="3195"/>
    <cellStyle name="Normal 5 3 5 2 2 4 2" xfId="8737"/>
    <cellStyle name="Normal 5 3 5 2 2 4 3" xfId="14276"/>
    <cellStyle name="Normal 5 3 5 2 2 5" xfId="4234"/>
    <cellStyle name="Normal 5 3 5 2 2 5 2" xfId="9773"/>
    <cellStyle name="Normal 5 3 5 2 2 5 3" xfId="15312"/>
    <cellStyle name="Normal 5 3 5 2 2 6" xfId="5195"/>
    <cellStyle name="Normal 5 3 5 2 2 6 2" xfId="10734"/>
    <cellStyle name="Normal 5 3 5 2 2 6 3" xfId="16273"/>
    <cellStyle name="Normal 5 3 5 2 2 7" xfId="1897"/>
    <cellStyle name="Normal 5 3 5 2 2 7 2" xfId="7443"/>
    <cellStyle name="Normal 5 3 5 2 2 7 3" xfId="12982"/>
    <cellStyle name="Normal 5 3 5 2 2 8" xfId="6238"/>
    <cellStyle name="Normal 5 3 5 2 2 9" xfId="11777"/>
    <cellStyle name="Normal 5 3 5 2 3" xfId="1241"/>
    <cellStyle name="Normal 5 3 5 2 3 2" xfId="3771"/>
    <cellStyle name="Normal 5 3 5 2 3 2 2" xfId="9313"/>
    <cellStyle name="Normal 5 3 5 2 3 2 3" xfId="14852"/>
    <cellStyle name="Normal 5 3 5 2 3 3" xfId="4808"/>
    <cellStyle name="Normal 5 3 5 2 3 3 2" xfId="10347"/>
    <cellStyle name="Normal 5 3 5 2 3 3 3" xfId="15886"/>
    <cellStyle name="Normal 5 3 5 2 3 4" xfId="5743"/>
    <cellStyle name="Normal 5 3 5 2 3 4 2" xfId="11282"/>
    <cellStyle name="Normal 5 3 5 2 3 4 3" xfId="16821"/>
    <cellStyle name="Normal 5 3 5 2 3 5" xfId="2445"/>
    <cellStyle name="Normal 5 3 5 2 3 5 2" xfId="7991"/>
    <cellStyle name="Normal 5 3 5 2 3 5 3" xfId="13530"/>
    <cellStyle name="Normal 5 3 5 2 3 6" xfId="6786"/>
    <cellStyle name="Normal 5 3 5 2 3 7" xfId="12325"/>
    <cellStyle name="Normal 5 3 5 2 4" xfId="859"/>
    <cellStyle name="Normal 5 3 5 2 4 2" xfId="3389"/>
    <cellStyle name="Normal 5 3 5 2 4 2 2" xfId="8931"/>
    <cellStyle name="Normal 5 3 5 2 4 2 3" xfId="14470"/>
    <cellStyle name="Normal 5 3 5 2 4 3" xfId="4426"/>
    <cellStyle name="Normal 5 3 5 2 4 3 2" xfId="9965"/>
    <cellStyle name="Normal 5 3 5 2 4 3 3" xfId="15504"/>
    <cellStyle name="Normal 5 3 5 2 4 4" xfId="5361"/>
    <cellStyle name="Normal 5 3 5 2 4 4 2" xfId="10900"/>
    <cellStyle name="Normal 5 3 5 2 4 4 3" xfId="16439"/>
    <cellStyle name="Normal 5 3 5 2 4 5" xfId="2063"/>
    <cellStyle name="Normal 5 3 5 2 4 5 2" xfId="7609"/>
    <cellStyle name="Normal 5 3 5 2 4 5 3" xfId="13148"/>
    <cellStyle name="Normal 5 3 5 2 4 6" xfId="6404"/>
    <cellStyle name="Normal 5 3 5 2 4 7" xfId="11943"/>
    <cellStyle name="Normal 5 3 5 2 5" xfId="1586"/>
    <cellStyle name="Normal 5 3 5 2 5 2" xfId="2791"/>
    <cellStyle name="Normal 5 3 5 2 5 2 2" xfId="8337"/>
    <cellStyle name="Normal 5 3 5 2 5 2 3" xfId="13876"/>
    <cellStyle name="Normal 5 3 5 2 5 3" xfId="7132"/>
    <cellStyle name="Normal 5 3 5 2 5 4" xfId="12671"/>
    <cellStyle name="Normal 5 3 5 2 6" xfId="2964"/>
    <cellStyle name="Normal 5 3 5 2 6 2" xfId="8508"/>
    <cellStyle name="Normal 5 3 5 2 6 3" xfId="14047"/>
    <cellStyle name="Normal 5 3 5 2 7" xfId="4009"/>
    <cellStyle name="Normal 5 3 5 2 7 2" xfId="9551"/>
    <cellStyle name="Normal 5 3 5 2 7 3" xfId="15090"/>
    <cellStyle name="Normal 5 3 5 2 8" xfId="5046"/>
    <cellStyle name="Normal 5 3 5 2 8 2" xfId="10585"/>
    <cellStyle name="Normal 5 3 5 2 8 3" xfId="16124"/>
    <cellStyle name="Normal 5 3 5 2 9" xfId="1748"/>
    <cellStyle name="Normal 5 3 5 2 9 2" xfId="7294"/>
    <cellStyle name="Normal 5 3 5 2 9 3" xfId="12833"/>
    <cellStyle name="Normal 5 3 5 3" xfId="535"/>
    <cellStyle name="Normal 5 3 5 3 2" xfId="1376"/>
    <cellStyle name="Normal 5 3 5 3 2 2" xfId="3908"/>
    <cellStyle name="Normal 5 3 5 3 2 2 2" xfId="9450"/>
    <cellStyle name="Normal 5 3 5 3 2 2 3" xfId="14989"/>
    <cellStyle name="Normal 5 3 5 3 2 3" xfId="4945"/>
    <cellStyle name="Normal 5 3 5 3 2 3 2" xfId="10484"/>
    <cellStyle name="Normal 5 3 5 3 2 3 3" xfId="16023"/>
    <cellStyle name="Normal 5 3 5 3 2 4" xfId="5879"/>
    <cellStyle name="Normal 5 3 5 3 2 4 2" xfId="11418"/>
    <cellStyle name="Normal 5 3 5 3 2 4 3" xfId="16957"/>
    <cellStyle name="Normal 5 3 5 3 2 5" xfId="2581"/>
    <cellStyle name="Normal 5 3 5 3 2 5 2" xfId="8127"/>
    <cellStyle name="Normal 5 3 5 3 2 5 3" xfId="13666"/>
    <cellStyle name="Normal 5 3 5 3 2 6" xfId="6922"/>
    <cellStyle name="Normal 5 3 5 3 2 7" xfId="12461"/>
    <cellStyle name="Normal 5 3 5 3 3" xfId="1028"/>
    <cellStyle name="Normal 5 3 5 3 3 2" xfId="3558"/>
    <cellStyle name="Normal 5 3 5 3 3 2 2" xfId="9100"/>
    <cellStyle name="Normal 5 3 5 3 3 2 3" xfId="14639"/>
    <cellStyle name="Normal 5 3 5 3 3 3" xfId="4595"/>
    <cellStyle name="Normal 5 3 5 3 3 3 2" xfId="10134"/>
    <cellStyle name="Normal 5 3 5 3 3 3 3" xfId="15673"/>
    <cellStyle name="Normal 5 3 5 3 3 4" xfId="5530"/>
    <cellStyle name="Normal 5 3 5 3 3 4 2" xfId="11069"/>
    <cellStyle name="Normal 5 3 5 3 3 4 3" xfId="16608"/>
    <cellStyle name="Normal 5 3 5 3 3 5" xfId="2232"/>
    <cellStyle name="Normal 5 3 5 3 3 5 2" xfId="7778"/>
    <cellStyle name="Normal 5 3 5 3 3 5 3" xfId="13317"/>
    <cellStyle name="Normal 5 3 5 3 3 6" xfId="6573"/>
    <cellStyle name="Normal 5 3 5 3 3 7" xfId="12112"/>
    <cellStyle name="Normal 5 3 5 3 4" xfId="3194"/>
    <cellStyle name="Normal 5 3 5 3 4 2" xfId="8736"/>
    <cellStyle name="Normal 5 3 5 3 4 3" xfId="14275"/>
    <cellStyle name="Normal 5 3 5 3 5" xfId="4233"/>
    <cellStyle name="Normal 5 3 5 3 5 2" xfId="9772"/>
    <cellStyle name="Normal 5 3 5 3 5 3" xfId="15311"/>
    <cellStyle name="Normal 5 3 5 3 6" xfId="5194"/>
    <cellStyle name="Normal 5 3 5 3 6 2" xfId="10733"/>
    <cellStyle name="Normal 5 3 5 3 6 3" xfId="16272"/>
    <cellStyle name="Normal 5 3 5 3 7" xfId="1896"/>
    <cellStyle name="Normal 5 3 5 3 7 2" xfId="7442"/>
    <cellStyle name="Normal 5 3 5 3 7 3" xfId="12981"/>
    <cellStyle name="Normal 5 3 5 3 8" xfId="6237"/>
    <cellStyle name="Normal 5 3 5 3 9" xfId="11776"/>
    <cellStyle name="Normal 5 3 5 4" xfId="1205"/>
    <cellStyle name="Normal 5 3 5 4 2" xfId="3735"/>
    <cellStyle name="Normal 5 3 5 4 2 2" xfId="9277"/>
    <cellStyle name="Normal 5 3 5 4 2 3" xfId="14816"/>
    <cellStyle name="Normal 5 3 5 4 3" xfId="4772"/>
    <cellStyle name="Normal 5 3 5 4 3 2" xfId="10311"/>
    <cellStyle name="Normal 5 3 5 4 3 3" xfId="15850"/>
    <cellStyle name="Normal 5 3 5 4 4" xfId="5707"/>
    <cellStyle name="Normal 5 3 5 4 4 2" xfId="11246"/>
    <cellStyle name="Normal 5 3 5 4 4 3" xfId="16785"/>
    <cellStyle name="Normal 5 3 5 4 5" xfId="2409"/>
    <cellStyle name="Normal 5 3 5 4 5 2" xfId="7955"/>
    <cellStyle name="Normal 5 3 5 4 5 3" xfId="13494"/>
    <cellStyle name="Normal 5 3 5 4 6" xfId="6750"/>
    <cellStyle name="Normal 5 3 5 4 7" xfId="12289"/>
    <cellStyle name="Normal 5 3 5 5" xfId="858"/>
    <cellStyle name="Normal 5 3 5 5 2" xfId="3388"/>
    <cellStyle name="Normal 5 3 5 5 2 2" xfId="8930"/>
    <cellStyle name="Normal 5 3 5 5 2 3" xfId="14469"/>
    <cellStyle name="Normal 5 3 5 5 3" xfId="4425"/>
    <cellStyle name="Normal 5 3 5 5 3 2" xfId="9964"/>
    <cellStyle name="Normal 5 3 5 5 3 3" xfId="15503"/>
    <cellStyle name="Normal 5 3 5 5 4" xfId="5360"/>
    <cellStyle name="Normal 5 3 5 5 4 2" xfId="10899"/>
    <cellStyle name="Normal 5 3 5 5 4 3" xfId="16438"/>
    <cellStyle name="Normal 5 3 5 5 5" xfId="2062"/>
    <cellStyle name="Normal 5 3 5 5 5 2" xfId="7608"/>
    <cellStyle name="Normal 5 3 5 5 5 3" xfId="13147"/>
    <cellStyle name="Normal 5 3 5 5 6" xfId="6403"/>
    <cellStyle name="Normal 5 3 5 5 7" xfId="11942"/>
    <cellStyle name="Normal 5 3 5 6" xfId="1550"/>
    <cellStyle name="Normal 5 3 5 6 2" xfId="2755"/>
    <cellStyle name="Normal 5 3 5 6 2 2" xfId="8301"/>
    <cellStyle name="Normal 5 3 5 6 2 3" xfId="13840"/>
    <cellStyle name="Normal 5 3 5 6 3" xfId="7096"/>
    <cellStyle name="Normal 5 3 5 6 4" xfId="12635"/>
    <cellStyle name="Normal 5 3 5 7" xfId="2928"/>
    <cellStyle name="Normal 5 3 5 7 2" xfId="8472"/>
    <cellStyle name="Normal 5 3 5 7 3" xfId="14011"/>
    <cellStyle name="Normal 5 3 5 8" xfId="3045"/>
    <cellStyle name="Normal 5 3 5 8 2" xfId="8588"/>
    <cellStyle name="Normal 5 3 5 8 3" xfId="14127"/>
    <cellStyle name="Normal 5 3 5 9" xfId="4088"/>
    <cellStyle name="Normal 5 3 5 9 2" xfId="9629"/>
    <cellStyle name="Normal 5 3 5 9 3" xfId="15168"/>
    <cellStyle name="Normal 5 3 6" xfId="338"/>
    <cellStyle name="Normal 5 3 6 10" xfId="6071"/>
    <cellStyle name="Normal 5 3 6 10 2" xfId="17149"/>
    <cellStyle name="Normal 5 3 6 11" xfId="715"/>
    <cellStyle name="Normal 5 3 6 11 2" xfId="17311"/>
    <cellStyle name="Normal 5 3 6 12" xfId="11610"/>
    <cellStyle name="Normal 5 3 6 13" xfId="17478"/>
    <cellStyle name="Normal 5 3 6 14" xfId="17643"/>
    <cellStyle name="Normal 5 3 6 2" xfId="537"/>
    <cellStyle name="Normal 5 3 6 2 2" xfId="1378"/>
    <cellStyle name="Normal 5 3 6 2 2 2" xfId="3910"/>
    <cellStyle name="Normal 5 3 6 2 2 2 2" xfId="9452"/>
    <cellStyle name="Normal 5 3 6 2 2 2 3" xfId="14991"/>
    <cellStyle name="Normal 5 3 6 2 2 3" xfId="4947"/>
    <cellStyle name="Normal 5 3 6 2 2 3 2" xfId="10486"/>
    <cellStyle name="Normal 5 3 6 2 2 3 3" xfId="16025"/>
    <cellStyle name="Normal 5 3 6 2 2 4" xfId="5881"/>
    <cellStyle name="Normal 5 3 6 2 2 4 2" xfId="11420"/>
    <cellStyle name="Normal 5 3 6 2 2 4 3" xfId="16959"/>
    <cellStyle name="Normal 5 3 6 2 2 5" xfId="2583"/>
    <cellStyle name="Normal 5 3 6 2 2 5 2" xfId="8129"/>
    <cellStyle name="Normal 5 3 6 2 2 5 3" xfId="13668"/>
    <cellStyle name="Normal 5 3 6 2 2 6" xfId="6924"/>
    <cellStyle name="Normal 5 3 6 2 2 7" xfId="12463"/>
    <cellStyle name="Normal 5 3 6 2 3" xfId="1046"/>
    <cellStyle name="Normal 5 3 6 2 3 2" xfId="3576"/>
    <cellStyle name="Normal 5 3 6 2 3 2 2" xfId="9118"/>
    <cellStyle name="Normal 5 3 6 2 3 2 3" xfId="14657"/>
    <cellStyle name="Normal 5 3 6 2 3 3" xfId="4613"/>
    <cellStyle name="Normal 5 3 6 2 3 3 2" xfId="10152"/>
    <cellStyle name="Normal 5 3 6 2 3 3 3" xfId="15691"/>
    <cellStyle name="Normal 5 3 6 2 3 4" xfId="5548"/>
    <cellStyle name="Normal 5 3 6 2 3 4 2" xfId="11087"/>
    <cellStyle name="Normal 5 3 6 2 3 4 3" xfId="16626"/>
    <cellStyle name="Normal 5 3 6 2 3 5" xfId="2250"/>
    <cellStyle name="Normal 5 3 6 2 3 5 2" xfId="7796"/>
    <cellStyle name="Normal 5 3 6 2 3 5 3" xfId="13335"/>
    <cellStyle name="Normal 5 3 6 2 3 6" xfId="6591"/>
    <cellStyle name="Normal 5 3 6 2 3 7" xfId="12130"/>
    <cellStyle name="Normal 5 3 6 2 4" xfId="3196"/>
    <cellStyle name="Normal 5 3 6 2 4 2" xfId="8738"/>
    <cellStyle name="Normal 5 3 6 2 4 3" xfId="14277"/>
    <cellStyle name="Normal 5 3 6 2 5" xfId="4235"/>
    <cellStyle name="Normal 5 3 6 2 5 2" xfId="9774"/>
    <cellStyle name="Normal 5 3 6 2 5 3" xfId="15313"/>
    <cellStyle name="Normal 5 3 6 2 6" xfId="5196"/>
    <cellStyle name="Normal 5 3 6 2 6 2" xfId="10735"/>
    <cellStyle name="Normal 5 3 6 2 6 3" xfId="16274"/>
    <cellStyle name="Normal 5 3 6 2 7" xfId="1898"/>
    <cellStyle name="Normal 5 3 6 2 7 2" xfId="7444"/>
    <cellStyle name="Normal 5 3 6 2 7 3" xfId="12983"/>
    <cellStyle name="Normal 5 3 6 2 8" xfId="6239"/>
    <cellStyle name="Normal 5 3 6 2 9" xfId="11778"/>
    <cellStyle name="Normal 5 3 6 3" xfId="1223"/>
    <cellStyle name="Normal 5 3 6 3 2" xfId="3753"/>
    <cellStyle name="Normal 5 3 6 3 2 2" xfId="9295"/>
    <cellStyle name="Normal 5 3 6 3 2 3" xfId="14834"/>
    <cellStyle name="Normal 5 3 6 3 3" xfId="4790"/>
    <cellStyle name="Normal 5 3 6 3 3 2" xfId="10329"/>
    <cellStyle name="Normal 5 3 6 3 3 3" xfId="15868"/>
    <cellStyle name="Normal 5 3 6 3 4" xfId="5725"/>
    <cellStyle name="Normal 5 3 6 3 4 2" xfId="11264"/>
    <cellStyle name="Normal 5 3 6 3 4 3" xfId="16803"/>
    <cellStyle name="Normal 5 3 6 3 5" xfId="2427"/>
    <cellStyle name="Normal 5 3 6 3 5 2" xfId="7973"/>
    <cellStyle name="Normal 5 3 6 3 5 3" xfId="13512"/>
    <cellStyle name="Normal 5 3 6 3 6" xfId="6768"/>
    <cellStyle name="Normal 5 3 6 3 7" xfId="12307"/>
    <cellStyle name="Normal 5 3 6 4" xfId="860"/>
    <cellStyle name="Normal 5 3 6 4 2" xfId="3390"/>
    <cellStyle name="Normal 5 3 6 4 2 2" xfId="8932"/>
    <cellStyle name="Normal 5 3 6 4 2 3" xfId="14471"/>
    <cellStyle name="Normal 5 3 6 4 3" xfId="4427"/>
    <cellStyle name="Normal 5 3 6 4 3 2" xfId="9966"/>
    <cellStyle name="Normal 5 3 6 4 3 3" xfId="15505"/>
    <cellStyle name="Normal 5 3 6 4 4" xfId="5362"/>
    <cellStyle name="Normal 5 3 6 4 4 2" xfId="10901"/>
    <cellStyle name="Normal 5 3 6 4 4 3" xfId="16440"/>
    <cellStyle name="Normal 5 3 6 4 5" xfId="2064"/>
    <cellStyle name="Normal 5 3 6 4 5 2" xfId="7610"/>
    <cellStyle name="Normal 5 3 6 4 5 3" xfId="13149"/>
    <cellStyle name="Normal 5 3 6 4 6" xfId="6405"/>
    <cellStyle name="Normal 5 3 6 4 7" xfId="11944"/>
    <cellStyle name="Normal 5 3 6 5" xfId="1568"/>
    <cellStyle name="Normal 5 3 6 5 2" xfId="2773"/>
    <cellStyle name="Normal 5 3 6 5 2 2" xfId="8319"/>
    <cellStyle name="Normal 5 3 6 5 2 3" xfId="13858"/>
    <cellStyle name="Normal 5 3 6 5 3" xfId="7114"/>
    <cellStyle name="Normal 5 3 6 5 4" xfId="12653"/>
    <cellStyle name="Normal 5 3 6 6" xfId="2946"/>
    <cellStyle name="Normal 5 3 6 6 2" xfId="8490"/>
    <cellStyle name="Normal 5 3 6 6 3" xfId="14029"/>
    <cellStyle name="Normal 5 3 6 7" xfId="3036"/>
    <cellStyle name="Normal 5 3 6 7 2" xfId="8579"/>
    <cellStyle name="Normal 5 3 6 7 3" xfId="14118"/>
    <cellStyle name="Normal 5 3 6 8" xfId="4079"/>
    <cellStyle name="Normal 5 3 6 8 2" xfId="9620"/>
    <cellStyle name="Normal 5 3 6 8 3" xfId="15159"/>
    <cellStyle name="Normal 5 3 6 9" xfId="1730"/>
    <cellStyle name="Normal 5 3 6 9 2" xfId="7276"/>
    <cellStyle name="Normal 5 3 6 9 3" xfId="12815"/>
    <cellStyle name="Normal 5 3 7" xfId="339"/>
    <cellStyle name="Normal 5 3 7 10" xfId="5999"/>
    <cellStyle name="Normal 5 3 7 10 2" xfId="17077"/>
    <cellStyle name="Normal 5 3 7 11" xfId="643"/>
    <cellStyle name="Normal 5 3 7 11 2" xfId="17239"/>
    <cellStyle name="Normal 5 3 7 12" xfId="11538"/>
    <cellStyle name="Normal 5 3 7 13" xfId="17406"/>
    <cellStyle name="Normal 5 3 7 14" xfId="17571"/>
    <cellStyle name="Normal 5 3 7 2" xfId="538"/>
    <cellStyle name="Normal 5 3 7 2 2" xfId="1379"/>
    <cellStyle name="Normal 5 3 7 2 2 2" xfId="3911"/>
    <cellStyle name="Normal 5 3 7 2 2 2 2" xfId="9453"/>
    <cellStyle name="Normal 5 3 7 2 2 2 3" xfId="14992"/>
    <cellStyle name="Normal 5 3 7 2 2 3" xfId="4948"/>
    <cellStyle name="Normal 5 3 7 2 2 3 2" xfId="10487"/>
    <cellStyle name="Normal 5 3 7 2 2 3 3" xfId="16026"/>
    <cellStyle name="Normal 5 3 7 2 2 4" xfId="5882"/>
    <cellStyle name="Normal 5 3 7 2 2 4 2" xfId="11421"/>
    <cellStyle name="Normal 5 3 7 2 2 4 3" xfId="16960"/>
    <cellStyle name="Normal 5 3 7 2 2 5" xfId="2584"/>
    <cellStyle name="Normal 5 3 7 2 2 5 2" xfId="8130"/>
    <cellStyle name="Normal 5 3 7 2 2 5 3" xfId="13669"/>
    <cellStyle name="Normal 5 3 7 2 2 6" xfId="6925"/>
    <cellStyle name="Normal 5 3 7 2 2 7" xfId="12464"/>
    <cellStyle name="Normal 5 3 7 2 3" xfId="974"/>
    <cellStyle name="Normal 5 3 7 2 3 2" xfId="3504"/>
    <cellStyle name="Normal 5 3 7 2 3 2 2" xfId="9046"/>
    <cellStyle name="Normal 5 3 7 2 3 2 3" xfId="14585"/>
    <cellStyle name="Normal 5 3 7 2 3 3" xfId="4541"/>
    <cellStyle name="Normal 5 3 7 2 3 3 2" xfId="10080"/>
    <cellStyle name="Normal 5 3 7 2 3 3 3" xfId="15619"/>
    <cellStyle name="Normal 5 3 7 2 3 4" xfId="5476"/>
    <cellStyle name="Normal 5 3 7 2 3 4 2" xfId="11015"/>
    <cellStyle name="Normal 5 3 7 2 3 4 3" xfId="16554"/>
    <cellStyle name="Normal 5 3 7 2 3 5" xfId="2178"/>
    <cellStyle name="Normal 5 3 7 2 3 5 2" xfId="7724"/>
    <cellStyle name="Normal 5 3 7 2 3 5 3" xfId="13263"/>
    <cellStyle name="Normal 5 3 7 2 3 6" xfId="6519"/>
    <cellStyle name="Normal 5 3 7 2 3 7" xfId="12058"/>
    <cellStyle name="Normal 5 3 7 2 4" xfId="3197"/>
    <cellStyle name="Normal 5 3 7 2 4 2" xfId="8739"/>
    <cellStyle name="Normal 5 3 7 2 4 3" xfId="14278"/>
    <cellStyle name="Normal 5 3 7 2 5" xfId="4236"/>
    <cellStyle name="Normal 5 3 7 2 5 2" xfId="9775"/>
    <cellStyle name="Normal 5 3 7 2 5 3" xfId="15314"/>
    <cellStyle name="Normal 5 3 7 2 6" xfId="5197"/>
    <cellStyle name="Normal 5 3 7 2 6 2" xfId="10736"/>
    <cellStyle name="Normal 5 3 7 2 6 3" xfId="16275"/>
    <cellStyle name="Normal 5 3 7 2 7" xfId="1899"/>
    <cellStyle name="Normal 5 3 7 2 7 2" xfId="7445"/>
    <cellStyle name="Normal 5 3 7 2 7 3" xfId="12984"/>
    <cellStyle name="Normal 5 3 7 2 8" xfId="6240"/>
    <cellStyle name="Normal 5 3 7 2 9" xfId="11779"/>
    <cellStyle name="Normal 5 3 7 3" xfId="1151"/>
    <cellStyle name="Normal 5 3 7 3 2" xfId="3681"/>
    <cellStyle name="Normal 5 3 7 3 2 2" xfId="9223"/>
    <cellStyle name="Normal 5 3 7 3 2 3" xfId="14762"/>
    <cellStyle name="Normal 5 3 7 3 3" xfId="4718"/>
    <cellStyle name="Normal 5 3 7 3 3 2" xfId="10257"/>
    <cellStyle name="Normal 5 3 7 3 3 3" xfId="15796"/>
    <cellStyle name="Normal 5 3 7 3 4" xfId="5653"/>
    <cellStyle name="Normal 5 3 7 3 4 2" xfId="11192"/>
    <cellStyle name="Normal 5 3 7 3 4 3" xfId="16731"/>
    <cellStyle name="Normal 5 3 7 3 5" xfId="2355"/>
    <cellStyle name="Normal 5 3 7 3 5 2" xfId="7901"/>
    <cellStyle name="Normal 5 3 7 3 5 3" xfId="13440"/>
    <cellStyle name="Normal 5 3 7 3 6" xfId="6696"/>
    <cellStyle name="Normal 5 3 7 3 7" xfId="12235"/>
    <cellStyle name="Normal 5 3 7 4" xfId="861"/>
    <cellStyle name="Normal 5 3 7 4 2" xfId="3391"/>
    <cellStyle name="Normal 5 3 7 4 2 2" xfId="8933"/>
    <cellStyle name="Normal 5 3 7 4 2 3" xfId="14472"/>
    <cellStyle name="Normal 5 3 7 4 3" xfId="4428"/>
    <cellStyle name="Normal 5 3 7 4 3 2" xfId="9967"/>
    <cellStyle name="Normal 5 3 7 4 3 3" xfId="15506"/>
    <cellStyle name="Normal 5 3 7 4 4" xfId="5363"/>
    <cellStyle name="Normal 5 3 7 4 4 2" xfId="10902"/>
    <cellStyle name="Normal 5 3 7 4 4 3" xfId="16441"/>
    <cellStyle name="Normal 5 3 7 4 5" xfId="2065"/>
    <cellStyle name="Normal 5 3 7 4 5 2" xfId="7611"/>
    <cellStyle name="Normal 5 3 7 4 5 3" xfId="13150"/>
    <cellStyle name="Normal 5 3 7 4 6" xfId="6406"/>
    <cellStyle name="Normal 5 3 7 4 7" xfId="11945"/>
    <cellStyle name="Normal 5 3 7 5" xfId="1496"/>
    <cellStyle name="Normal 5 3 7 5 2" xfId="2701"/>
    <cellStyle name="Normal 5 3 7 5 2 2" xfId="8247"/>
    <cellStyle name="Normal 5 3 7 5 2 3" xfId="13786"/>
    <cellStyle name="Normal 5 3 7 5 3" xfId="7042"/>
    <cellStyle name="Normal 5 3 7 5 4" xfId="12581"/>
    <cellStyle name="Normal 5 3 7 6" xfId="2874"/>
    <cellStyle name="Normal 5 3 7 6 2" xfId="8418"/>
    <cellStyle name="Normal 5 3 7 6 3" xfId="13957"/>
    <cellStyle name="Normal 5 3 7 7" xfId="2840"/>
    <cellStyle name="Normal 5 3 7 7 2" xfId="8386"/>
    <cellStyle name="Normal 5 3 7 7 3" xfId="13925"/>
    <cellStyle name="Normal 5 3 7 8" xfId="3129"/>
    <cellStyle name="Normal 5 3 7 8 2" xfId="8671"/>
    <cellStyle name="Normal 5 3 7 8 3" xfId="14210"/>
    <cellStyle name="Normal 5 3 7 9" xfId="1658"/>
    <cellStyle name="Normal 5 3 7 9 2" xfId="7204"/>
    <cellStyle name="Normal 5 3 7 9 3" xfId="12743"/>
    <cellStyle name="Normal 5 3 8" xfId="446"/>
    <cellStyle name="Normal 5 3 8 2" xfId="1293"/>
    <cellStyle name="Normal 5 3 8 2 2" xfId="3823"/>
    <cellStyle name="Normal 5 3 8 2 2 2" xfId="9365"/>
    <cellStyle name="Normal 5 3 8 2 2 3" xfId="14904"/>
    <cellStyle name="Normal 5 3 8 2 3" xfId="4860"/>
    <cellStyle name="Normal 5 3 8 2 3 2" xfId="10399"/>
    <cellStyle name="Normal 5 3 8 2 3 3" xfId="15938"/>
    <cellStyle name="Normal 5 3 8 2 4" xfId="5795"/>
    <cellStyle name="Normal 5 3 8 2 4 2" xfId="11334"/>
    <cellStyle name="Normal 5 3 8 2 4 3" xfId="16873"/>
    <cellStyle name="Normal 5 3 8 2 5" xfId="2497"/>
    <cellStyle name="Normal 5 3 8 2 5 2" xfId="8043"/>
    <cellStyle name="Normal 5 3 8 2 5 3" xfId="13582"/>
    <cellStyle name="Normal 5 3 8 2 6" xfId="6838"/>
    <cellStyle name="Normal 5 3 8 2 7" xfId="12377"/>
    <cellStyle name="Normal 5 3 8 3" xfId="956"/>
    <cellStyle name="Normal 5 3 8 3 2" xfId="3486"/>
    <cellStyle name="Normal 5 3 8 3 2 2" xfId="9028"/>
    <cellStyle name="Normal 5 3 8 3 2 3" xfId="14567"/>
    <cellStyle name="Normal 5 3 8 3 3" xfId="4523"/>
    <cellStyle name="Normal 5 3 8 3 3 2" xfId="10062"/>
    <cellStyle name="Normal 5 3 8 3 3 3" xfId="15601"/>
    <cellStyle name="Normal 5 3 8 3 4" xfId="5458"/>
    <cellStyle name="Normal 5 3 8 3 4 2" xfId="10997"/>
    <cellStyle name="Normal 5 3 8 3 4 3" xfId="16536"/>
    <cellStyle name="Normal 5 3 8 3 5" xfId="2160"/>
    <cellStyle name="Normal 5 3 8 3 5 2" xfId="7706"/>
    <cellStyle name="Normal 5 3 8 3 5 3" xfId="13245"/>
    <cellStyle name="Normal 5 3 8 3 6" xfId="6501"/>
    <cellStyle name="Normal 5 3 8 3 7" xfId="12040"/>
    <cellStyle name="Normal 5 3 8 4" xfId="3058"/>
    <cellStyle name="Normal 5 3 8 4 2" xfId="8601"/>
    <cellStyle name="Normal 5 3 8 4 3" xfId="14140"/>
    <cellStyle name="Normal 5 3 8 5" xfId="4101"/>
    <cellStyle name="Normal 5 3 8 5 2" xfId="9642"/>
    <cellStyle name="Normal 5 3 8 5 3" xfId="15181"/>
    <cellStyle name="Normal 5 3 8 6" xfId="5110"/>
    <cellStyle name="Normal 5 3 8 6 2" xfId="10649"/>
    <cellStyle name="Normal 5 3 8 6 3" xfId="16188"/>
    <cellStyle name="Normal 5 3 8 7" xfId="1812"/>
    <cellStyle name="Normal 5 3 8 7 2" xfId="7358"/>
    <cellStyle name="Normal 5 3 8 7 3" xfId="12897"/>
    <cellStyle name="Normal 5 3 8 8" xfId="6153"/>
    <cellStyle name="Normal 5 3 8 9" xfId="11692"/>
    <cellStyle name="Normal 5 3 9" xfId="1133"/>
    <cellStyle name="Normal 5 3 9 2" xfId="3663"/>
    <cellStyle name="Normal 5 3 9 2 2" xfId="9205"/>
    <cellStyle name="Normal 5 3 9 2 3" xfId="14744"/>
    <cellStyle name="Normal 5 3 9 3" xfId="4700"/>
    <cellStyle name="Normal 5 3 9 3 2" xfId="10239"/>
    <cellStyle name="Normal 5 3 9 3 3" xfId="15778"/>
    <cellStyle name="Normal 5 3 9 4" xfId="5635"/>
    <cellStyle name="Normal 5 3 9 4 2" xfId="11174"/>
    <cellStyle name="Normal 5 3 9 4 3" xfId="16713"/>
    <cellStyle name="Normal 5 3 9 5" xfId="2337"/>
    <cellStyle name="Normal 5 3 9 5 2" xfId="7883"/>
    <cellStyle name="Normal 5 3 9 5 3" xfId="13422"/>
    <cellStyle name="Normal 5 3 9 6" xfId="6678"/>
    <cellStyle name="Normal 5 3 9 7" xfId="12217"/>
    <cellStyle name="Normal 5 30" xfId="247"/>
    <cellStyle name="Normal 5 4" xfId="254"/>
    <cellStyle name="Normal 5 4 10" xfId="862"/>
    <cellStyle name="Normal 5 4 10 2" xfId="3392"/>
    <cellStyle name="Normal 5 4 10 2 2" xfId="8934"/>
    <cellStyle name="Normal 5 4 10 2 3" xfId="14473"/>
    <cellStyle name="Normal 5 4 10 3" xfId="4429"/>
    <cellStyle name="Normal 5 4 10 3 2" xfId="9968"/>
    <cellStyle name="Normal 5 4 10 3 3" xfId="15507"/>
    <cellStyle name="Normal 5 4 10 4" xfId="5364"/>
    <cellStyle name="Normal 5 4 10 4 2" xfId="10903"/>
    <cellStyle name="Normal 5 4 10 4 3" xfId="16442"/>
    <cellStyle name="Normal 5 4 10 5" xfId="2066"/>
    <cellStyle name="Normal 5 4 10 5 2" xfId="7612"/>
    <cellStyle name="Normal 5 4 10 5 3" xfId="13151"/>
    <cellStyle name="Normal 5 4 10 6" xfId="6407"/>
    <cellStyle name="Normal 5 4 10 7" xfId="11946"/>
    <cellStyle name="Normal 5 4 11" xfId="1475"/>
    <cellStyle name="Normal 5 4 11 2" xfId="2680"/>
    <cellStyle name="Normal 5 4 11 2 2" xfId="8226"/>
    <cellStyle name="Normal 5 4 11 2 3" xfId="13765"/>
    <cellStyle name="Normal 5 4 11 3" xfId="7021"/>
    <cellStyle name="Normal 5 4 11 4" xfId="12560"/>
    <cellStyle name="Normal 5 4 12" xfId="2853"/>
    <cellStyle name="Normal 5 4 12 2" xfId="8397"/>
    <cellStyle name="Normal 5 4 12 3" xfId="13936"/>
    <cellStyle name="Normal 5 4 13" xfId="3119"/>
    <cellStyle name="Normal 5 4 13 2" xfId="8662"/>
    <cellStyle name="Normal 5 4 13 3" xfId="14201"/>
    <cellStyle name="Normal 5 4 14" xfId="4162"/>
    <cellStyle name="Normal 5 4 14 2" xfId="9703"/>
    <cellStyle name="Normal 5 4 14 3" xfId="15242"/>
    <cellStyle name="Normal 5 4 15" xfId="1637"/>
    <cellStyle name="Normal 5 4 15 2" xfId="7183"/>
    <cellStyle name="Normal 5 4 15 3" xfId="12722"/>
    <cellStyle name="Normal 5 4 16" xfId="5978"/>
    <cellStyle name="Normal 5 4 16 2" xfId="17056"/>
    <cellStyle name="Normal 5 4 17" xfId="622"/>
    <cellStyle name="Normal 5 4 17 2" xfId="17218"/>
    <cellStyle name="Normal 5 4 18" xfId="11517"/>
    <cellStyle name="Normal 5 4 19" xfId="17385"/>
    <cellStyle name="Normal 5 4 2" xfId="255"/>
    <cellStyle name="Normal 5 4 2 10" xfId="1486"/>
    <cellStyle name="Normal 5 4 2 10 2" xfId="2691"/>
    <cellStyle name="Normal 5 4 2 10 2 2" xfId="8237"/>
    <cellStyle name="Normal 5 4 2 10 2 3" xfId="13776"/>
    <cellStyle name="Normal 5 4 2 10 3" xfId="7032"/>
    <cellStyle name="Normal 5 4 2 10 4" xfId="12571"/>
    <cellStyle name="Normal 5 4 2 11" xfId="2864"/>
    <cellStyle name="Normal 5 4 2 11 2" xfId="8408"/>
    <cellStyle name="Normal 5 4 2 11 3" xfId="13947"/>
    <cellStyle name="Normal 5 4 2 12" xfId="3292"/>
    <cellStyle name="Normal 5 4 2 12 2" xfId="8834"/>
    <cellStyle name="Normal 5 4 2 12 3" xfId="14373"/>
    <cellStyle name="Normal 5 4 2 13" xfId="4331"/>
    <cellStyle name="Normal 5 4 2 13 2" xfId="9870"/>
    <cellStyle name="Normal 5 4 2 13 3" xfId="15409"/>
    <cellStyle name="Normal 5 4 2 14" xfId="1648"/>
    <cellStyle name="Normal 5 4 2 14 2" xfId="7194"/>
    <cellStyle name="Normal 5 4 2 14 3" xfId="12733"/>
    <cellStyle name="Normal 5 4 2 15" xfId="5989"/>
    <cellStyle name="Normal 5 4 2 15 2" xfId="17067"/>
    <cellStyle name="Normal 5 4 2 16" xfId="633"/>
    <cellStyle name="Normal 5 4 2 16 2" xfId="17229"/>
    <cellStyle name="Normal 5 4 2 17" xfId="11528"/>
    <cellStyle name="Normal 5 4 2 18" xfId="17396"/>
    <cellStyle name="Normal 5 4 2 19" xfId="17561"/>
    <cellStyle name="Normal 5 4 2 2" xfId="340"/>
    <cellStyle name="Normal 5 4 2 2 10" xfId="1702"/>
    <cellStyle name="Normal 5 4 2 2 10 2" xfId="7248"/>
    <cellStyle name="Normal 5 4 2 2 10 3" xfId="12787"/>
    <cellStyle name="Normal 5 4 2 2 11" xfId="6043"/>
    <cellStyle name="Normal 5 4 2 2 11 2" xfId="17121"/>
    <cellStyle name="Normal 5 4 2 2 12" xfId="687"/>
    <cellStyle name="Normal 5 4 2 2 12 2" xfId="17283"/>
    <cellStyle name="Normal 5 4 2 2 13" xfId="11582"/>
    <cellStyle name="Normal 5 4 2 2 14" xfId="17450"/>
    <cellStyle name="Normal 5 4 2 2 15" xfId="17615"/>
    <cellStyle name="Normal 5 4 2 2 2" xfId="341"/>
    <cellStyle name="Normal 5 4 2 2 2 10" xfId="6133"/>
    <cellStyle name="Normal 5 4 2 2 2 10 2" xfId="17211"/>
    <cellStyle name="Normal 5 4 2 2 2 11" xfId="777"/>
    <cellStyle name="Normal 5 4 2 2 2 11 2" xfId="17373"/>
    <cellStyle name="Normal 5 4 2 2 2 12" xfId="11672"/>
    <cellStyle name="Normal 5 4 2 2 2 13" xfId="17540"/>
    <cellStyle name="Normal 5 4 2 2 2 14" xfId="17705"/>
    <cellStyle name="Normal 5 4 2 2 2 2" xfId="540"/>
    <cellStyle name="Normal 5 4 2 2 2 2 2" xfId="1381"/>
    <cellStyle name="Normal 5 4 2 2 2 2 2 2" xfId="3913"/>
    <cellStyle name="Normal 5 4 2 2 2 2 2 2 2" xfId="9455"/>
    <cellStyle name="Normal 5 4 2 2 2 2 2 2 3" xfId="14994"/>
    <cellStyle name="Normal 5 4 2 2 2 2 2 3" xfId="4950"/>
    <cellStyle name="Normal 5 4 2 2 2 2 2 3 2" xfId="10489"/>
    <cellStyle name="Normal 5 4 2 2 2 2 2 3 3" xfId="16028"/>
    <cellStyle name="Normal 5 4 2 2 2 2 2 4" xfId="5884"/>
    <cellStyle name="Normal 5 4 2 2 2 2 2 4 2" xfId="11423"/>
    <cellStyle name="Normal 5 4 2 2 2 2 2 4 3" xfId="16962"/>
    <cellStyle name="Normal 5 4 2 2 2 2 2 5" xfId="2586"/>
    <cellStyle name="Normal 5 4 2 2 2 2 2 5 2" xfId="8132"/>
    <cellStyle name="Normal 5 4 2 2 2 2 2 5 3" xfId="13671"/>
    <cellStyle name="Normal 5 4 2 2 2 2 2 6" xfId="6927"/>
    <cellStyle name="Normal 5 4 2 2 2 2 2 7" xfId="12466"/>
    <cellStyle name="Normal 5 4 2 2 2 2 3" xfId="1108"/>
    <cellStyle name="Normal 5 4 2 2 2 2 3 2" xfId="3638"/>
    <cellStyle name="Normal 5 4 2 2 2 2 3 2 2" xfId="9180"/>
    <cellStyle name="Normal 5 4 2 2 2 2 3 2 3" xfId="14719"/>
    <cellStyle name="Normal 5 4 2 2 2 2 3 3" xfId="4675"/>
    <cellStyle name="Normal 5 4 2 2 2 2 3 3 2" xfId="10214"/>
    <cellStyle name="Normal 5 4 2 2 2 2 3 3 3" xfId="15753"/>
    <cellStyle name="Normal 5 4 2 2 2 2 3 4" xfId="5610"/>
    <cellStyle name="Normal 5 4 2 2 2 2 3 4 2" xfId="11149"/>
    <cellStyle name="Normal 5 4 2 2 2 2 3 4 3" xfId="16688"/>
    <cellStyle name="Normal 5 4 2 2 2 2 3 5" xfId="2312"/>
    <cellStyle name="Normal 5 4 2 2 2 2 3 5 2" xfId="7858"/>
    <cellStyle name="Normal 5 4 2 2 2 2 3 5 3" xfId="13397"/>
    <cellStyle name="Normal 5 4 2 2 2 2 3 6" xfId="6653"/>
    <cellStyle name="Normal 5 4 2 2 2 2 3 7" xfId="12192"/>
    <cellStyle name="Normal 5 4 2 2 2 2 4" xfId="3199"/>
    <cellStyle name="Normal 5 4 2 2 2 2 4 2" xfId="8741"/>
    <cellStyle name="Normal 5 4 2 2 2 2 4 3" xfId="14280"/>
    <cellStyle name="Normal 5 4 2 2 2 2 5" xfId="4238"/>
    <cellStyle name="Normal 5 4 2 2 2 2 5 2" xfId="9777"/>
    <cellStyle name="Normal 5 4 2 2 2 2 5 3" xfId="15316"/>
    <cellStyle name="Normal 5 4 2 2 2 2 6" xfId="5199"/>
    <cellStyle name="Normal 5 4 2 2 2 2 6 2" xfId="10738"/>
    <cellStyle name="Normal 5 4 2 2 2 2 6 3" xfId="16277"/>
    <cellStyle name="Normal 5 4 2 2 2 2 7" xfId="1901"/>
    <cellStyle name="Normal 5 4 2 2 2 2 7 2" xfId="7447"/>
    <cellStyle name="Normal 5 4 2 2 2 2 7 3" xfId="12986"/>
    <cellStyle name="Normal 5 4 2 2 2 2 8" xfId="6242"/>
    <cellStyle name="Normal 5 4 2 2 2 2 9" xfId="11781"/>
    <cellStyle name="Normal 5 4 2 2 2 3" xfId="1285"/>
    <cellStyle name="Normal 5 4 2 2 2 3 2" xfId="3815"/>
    <cellStyle name="Normal 5 4 2 2 2 3 2 2" xfId="9357"/>
    <cellStyle name="Normal 5 4 2 2 2 3 2 3" xfId="14896"/>
    <cellStyle name="Normal 5 4 2 2 2 3 3" xfId="4852"/>
    <cellStyle name="Normal 5 4 2 2 2 3 3 2" xfId="10391"/>
    <cellStyle name="Normal 5 4 2 2 2 3 3 3" xfId="15930"/>
    <cellStyle name="Normal 5 4 2 2 2 3 4" xfId="5787"/>
    <cellStyle name="Normal 5 4 2 2 2 3 4 2" xfId="11326"/>
    <cellStyle name="Normal 5 4 2 2 2 3 4 3" xfId="16865"/>
    <cellStyle name="Normal 5 4 2 2 2 3 5" xfId="2489"/>
    <cellStyle name="Normal 5 4 2 2 2 3 5 2" xfId="8035"/>
    <cellStyle name="Normal 5 4 2 2 2 3 5 3" xfId="13574"/>
    <cellStyle name="Normal 5 4 2 2 2 3 6" xfId="6830"/>
    <cellStyle name="Normal 5 4 2 2 2 3 7" xfId="12369"/>
    <cellStyle name="Normal 5 4 2 2 2 4" xfId="865"/>
    <cellStyle name="Normal 5 4 2 2 2 4 2" xfId="3395"/>
    <cellStyle name="Normal 5 4 2 2 2 4 2 2" xfId="8937"/>
    <cellStyle name="Normal 5 4 2 2 2 4 2 3" xfId="14476"/>
    <cellStyle name="Normal 5 4 2 2 2 4 3" xfId="4432"/>
    <cellStyle name="Normal 5 4 2 2 2 4 3 2" xfId="9971"/>
    <cellStyle name="Normal 5 4 2 2 2 4 3 3" xfId="15510"/>
    <cellStyle name="Normal 5 4 2 2 2 4 4" xfId="5367"/>
    <cellStyle name="Normal 5 4 2 2 2 4 4 2" xfId="10906"/>
    <cellStyle name="Normal 5 4 2 2 2 4 4 3" xfId="16445"/>
    <cellStyle name="Normal 5 4 2 2 2 4 5" xfId="2069"/>
    <cellStyle name="Normal 5 4 2 2 2 4 5 2" xfId="7615"/>
    <cellStyle name="Normal 5 4 2 2 2 4 5 3" xfId="13154"/>
    <cellStyle name="Normal 5 4 2 2 2 4 6" xfId="6410"/>
    <cellStyle name="Normal 5 4 2 2 2 4 7" xfId="11949"/>
    <cellStyle name="Normal 5 4 2 2 2 5" xfId="1630"/>
    <cellStyle name="Normal 5 4 2 2 2 5 2" xfId="2835"/>
    <cellStyle name="Normal 5 4 2 2 2 5 2 2" xfId="8381"/>
    <cellStyle name="Normal 5 4 2 2 2 5 2 3" xfId="13920"/>
    <cellStyle name="Normal 5 4 2 2 2 5 3" xfId="7176"/>
    <cellStyle name="Normal 5 4 2 2 2 5 4" xfId="12715"/>
    <cellStyle name="Normal 5 4 2 2 2 6" xfId="3008"/>
    <cellStyle name="Normal 5 4 2 2 2 6 2" xfId="8552"/>
    <cellStyle name="Normal 5 4 2 2 2 6 3" xfId="14091"/>
    <cellStyle name="Normal 5 4 2 2 2 7" xfId="4053"/>
    <cellStyle name="Normal 5 4 2 2 2 7 2" xfId="9595"/>
    <cellStyle name="Normal 5 4 2 2 2 7 3" xfId="15134"/>
    <cellStyle name="Normal 5 4 2 2 2 8" xfId="5090"/>
    <cellStyle name="Normal 5 4 2 2 2 8 2" xfId="10629"/>
    <cellStyle name="Normal 5 4 2 2 2 8 3" xfId="16168"/>
    <cellStyle name="Normal 5 4 2 2 2 9" xfId="1792"/>
    <cellStyle name="Normal 5 4 2 2 2 9 2" xfId="7338"/>
    <cellStyle name="Normal 5 4 2 2 2 9 3" xfId="12877"/>
    <cellStyle name="Normal 5 4 2 2 3" xfId="539"/>
    <cellStyle name="Normal 5 4 2 2 3 2" xfId="1380"/>
    <cellStyle name="Normal 5 4 2 2 3 2 2" xfId="3912"/>
    <cellStyle name="Normal 5 4 2 2 3 2 2 2" xfId="9454"/>
    <cellStyle name="Normal 5 4 2 2 3 2 2 3" xfId="14993"/>
    <cellStyle name="Normal 5 4 2 2 3 2 3" xfId="4949"/>
    <cellStyle name="Normal 5 4 2 2 3 2 3 2" xfId="10488"/>
    <cellStyle name="Normal 5 4 2 2 3 2 3 3" xfId="16027"/>
    <cellStyle name="Normal 5 4 2 2 3 2 4" xfId="5883"/>
    <cellStyle name="Normal 5 4 2 2 3 2 4 2" xfId="11422"/>
    <cellStyle name="Normal 5 4 2 2 3 2 4 3" xfId="16961"/>
    <cellStyle name="Normal 5 4 2 2 3 2 5" xfId="2585"/>
    <cellStyle name="Normal 5 4 2 2 3 2 5 2" xfId="8131"/>
    <cellStyle name="Normal 5 4 2 2 3 2 5 3" xfId="13670"/>
    <cellStyle name="Normal 5 4 2 2 3 2 6" xfId="6926"/>
    <cellStyle name="Normal 5 4 2 2 3 2 7" xfId="12465"/>
    <cellStyle name="Normal 5 4 2 2 3 3" xfId="1018"/>
    <cellStyle name="Normal 5 4 2 2 3 3 2" xfId="3548"/>
    <cellStyle name="Normal 5 4 2 2 3 3 2 2" xfId="9090"/>
    <cellStyle name="Normal 5 4 2 2 3 3 2 3" xfId="14629"/>
    <cellStyle name="Normal 5 4 2 2 3 3 3" xfId="4585"/>
    <cellStyle name="Normal 5 4 2 2 3 3 3 2" xfId="10124"/>
    <cellStyle name="Normal 5 4 2 2 3 3 3 3" xfId="15663"/>
    <cellStyle name="Normal 5 4 2 2 3 3 4" xfId="5520"/>
    <cellStyle name="Normal 5 4 2 2 3 3 4 2" xfId="11059"/>
    <cellStyle name="Normal 5 4 2 2 3 3 4 3" xfId="16598"/>
    <cellStyle name="Normal 5 4 2 2 3 3 5" xfId="2222"/>
    <cellStyle name="Normal 5 4 2 2 3 3 5 2" xfId="7768"/>
    <cellStyle name="Normal 5 4 2 2 3 3 5 3" xfId="13307"/>
    <cellStyle name="Normal 5 4 2 2 3 3 6" xfId="6563"/>
    <cellStyle name="Normal 5 4 2 2 3 3 7" xfId="12102"/>
    <cellStyle name="Normal 5 4 2 2 3 4" xfId="3198"/>
    <cellStyle name="Normal 5 4 2 2 3 4 2" xfId="8740"/>
    <cellStyle name="Normal 5 4 2 2 3 4 3" xfId="14279"/>
    <cellStyle name="Normal 5 4 2 2 3 5" xfId="4237"/>
    <cellStyle name="Normal 5 4 2 2 3 5 2" xfId="9776"/>
    <cellStyle name="Normal 5 4 2 2 3 5 3" xfId="15315"/>
    <cellStyle name="Normal 5 4 2 2 3 6" xfId="5198"/>
    <cellStyle name="Normal 5 4 2 2 3 6 2" xfId="10737"/>
    <cellStyle name="Normal 5 4 2 2 3 6 3" xfId="16276"/>
    <cellStyle name="Normal 5 4 2 2 3 7" xfId="1900"/>
    <cellStyle name="Normal 5 4 2 2 3 7 2" xfId="7446"/>
    <cellStyle name="Normal 5 4 2 2 3 7 3" xfId="12985"/>
    <cellStyle name="Normal 5 4 2 2 3 8" xfId="6241"/>
    <cellStyle name="Normal 5 4 2 2 3 9" xfId="11780"/>
    <cellStyle name="Normal 5 4 2 2 4" xfId="1195"/>
    <cellStyle name="Normal 5 4 2 2 4 2" xfId="3725"/>
    <cellStyle name="Normal 5 4 2 2 4 2 2" xfId="9267"/>
    <cellStyle name="Normal 5 4 2 2 4 2 3" xfId="14806"/>
    <cellStyle name="Normal 5 4 2 2 4 3" xfId="4762"/>
    <cellStyle name="Normal 5 4 2 2 4 3 2" xfId="10301"/>
    <cellStyle name="Normal 5 4 2 2 4 3 3" xfId="15840"/>
    <cellStyle name="Normal 5 4 2 2 4 4" xfId="5697"/>
    <cellStyle name="Normal 5 4 2 2 4 4 2" xfId="11236"/>
    <cellStyle name="Normal 5 4 2 2 4 4 3" xfId="16775"/>
    <cellStyle name="Normal 5 4 2 2 4 5" xfId="2399"/>
    <cellStyle name="Normal 5 4 2 2 4 5 2" xfId="7945"/>
    <cellStyle name="Normal 5 4 2 2 4 5 3" xfId="13484"/>
    <cellStyle name="Normal 5 4 2 2 4 6" xfId="6740"/>
    <cellStyle name="Normal 5 4 2 2 4 7" xfId="12279"/>
    <cellStyle name="Normal 5 4 2 2 5" xfId="864"/>
    <cellStyle name="Normal 5 4 2 2 5 2" xfId="3394"/>
    <cellStyle name="Normal 5 4 2 2 5 2 2" xfId="8936"/>
    <cellStyle name="Normal 5 4 2 2 5 2 3" xfId="14475"/>
    <cellStyle name="Normal 5 4 2 2 5 3" xfId="4431"/>
    <cellStyle name="Normal 5 4 2 2 5 3 2" xfId="9970"/>
    <cellStyle name="Normal 5 4 2 2 5 3 3" xfId="15509"/>
    <cellStyle name="Normal 5 4 2 2 5 4" xfId="5366"/>
    <cellStyle name="Normal 5 4 2 2 5 4 2" xfId="10905"/>
    <cellStyle name="Normal 5 4 2 2 5 4 3" xfId="16444"/>
    <cellStyle name="Normal 5 4 2 2 5 5" xfId="2068"/>
    <cellStyle name="Normal 5 4 2 2 5 5 2" xfId="7614"/>
    <cellStyle name="Normal 5 4 2 2 5 5 3" xfId="13153"/>
    <cellStyle name="Normal 5 4 2 2 5 6" xfId="6409"/>
    <cellStyle name="Normal 5 4 2 2 5 7" xfId="11948"/>
    <cellStyle name="Normal 5 4 2 2 6" xfId="1540"/>
    <cellStyle name="Normal 5 4 2 2 6 2" xfId="2745"/>
    <cellStyle name="Normal 5 4 2 2 6 2 2" xfId="8291"/>
    <cellStyle name="Normal 5 4 2 2 6 2 3" xfId="13830"/>
    <cellStyle name="Normal 5 4 2 2 6 3" xfId="7086"/>
    <cellStyle name="Normal 5 4 2 2 6 4" xfId="12625"/>
    <cellStyle name="Normal 5 4 2 2 7" xfId="2918"/>
    <cellStyle name="Normal 5 4 2 2 7 2" xfId="8462"/>
    <cellStyle name="Normal 5 4 2 2 7 3" xfId="14001"/>
    <cellStyle name="Normal 5 4 2 2 8" xfId="3029"/>
    <cellStyle name="Normal 5 4 2 2 8 2" xfId="8572"/>
    <cellStyle name="Normal 5 4 2 2 8 3" xfId="14111"/>
    <cellStyle name="Normal 5 4 2 2 9" xfId="4073"/>
    <cellStyle name="Normal 5 4 2 2 9 2" xfId="9614"/>
    <cellStyle name="Normal 5 4 2 2 9 3" xfId="15153"/>
    <cellStyle name="Normal 5 4 2 3" xfId="342"/>
    <cellStyle name="Normal 5 4 2 3 10" xfId="1684"/>
    <cellStyle name="Normal 5 4 2 3 10 2" xfId="7230"/>
    <cellStyle name="Normal 5 4 2 3 10 3" xfId="12769"/>
    <cellStyle name="Normal 5 4 2 3 11" xfId="6025"/>
    <cellStyle name="Normal 5 4 2 3 11 2" xfId="17103"/>
    <cellStyle name="Normal 5 4 2 3 12" xfId="669"/>
    <cellStyle name="Normal 5 4 2 3 12 2" xfId="17265"/>
    <cellStyle name="Normal 5 4 2 3 13" xfId="11564"/>
    <cellStyle name="Normal 5 4 2 3 14" xfId="17432"/>
    <cellStyle name="Normal 5 4 2 3 15" xfId="17597"/>
    <cellStyle name="Normal 5 4 2 3 2" xfId="343"/>
    <cellStyle name="Normal 5 4 2 3 2 10" xfId="6115"/>
    <cellStyle name="Normal 5 4 2 3 2 10 2" xfId="17193"/>
    <cellStyle name="Normal 5 4 2 3 2 11" xfId="759"/>
    <cellStyle name="Normal 5 4 2 3 2 11 2" xfId="17355"/>
    <cellStyle name="Normal 5 4 2 3 2 12" xfId="11654"/>
    <cellStyle name="Normal 5 4 2 3 2 13" xfId="17522"/>
    <cellStyle name="Normal 5 4 2 3 2 14" xfId="17687"/>
    <cellStyle name="Normal 5 4 2 3 2 2" xfId="542"/>
    <cellStyle name="Normal 5 4 2 3 2 2 2" xfId="1383"/>
    <cellStyle name="Normal 5 4 2 3 2 2 2 2" xfId="3915"/>
    <cellStyle name="Normal 5 4 2 3 2 2 2 2 2" xfId="9457"/>
    <cellStyle name="Normal 5 4 2 3 2 2 2 2 3" xfId="14996"/>
    <cellStyle name="Normal 5 4 2 3 2 2 2 3" xfId="4952"/>
    <cellStyle name="Normal 5 4 2 3 2 2 2 3 2" xfId="10491"/>
    <cellStyle name="Normal 5 4 2 3 2 2 2 3 3" xfId="16030"/>
    <cellStyle name="Normal 5 4 2 3 2 2 2 4" xfId="5886"/>
    <cellStyle name="Normal 5 4 2 3 2 2 2 4 2" xfId="11425"/>
    <cellStyle name="Normal 5 4 2 3 2 2 2 4 3" xfId="16964"/>
    <cellStyle name="Normal 5 4 2 3 2 2 2 5" xfId="2588"/>
    <cellStyle name="Normal 5 4 2 3 2 2 2 5 2" xfId="8134"/>
    <cellStyle name="Normal 5 4 2 3 2 2 2 5 3" xfId="13673"/>
    <cellStyle name="Normal 5 4 2 3 2 2 2 6" xfId="6929"/>
    <cellStyle name="Normal 5 4 2 3 2 2 2 7" xfId="12468"/>
    <cellStyle name="Normal 5 4 2 3 2 2 3" xfId="1090"/>
    <cellStyle name="Normal 5 4 2 3 2 2 3 2" xfId="3620"/>
    <cellStyle name="Normal 5 4 2 3 2 2 3 2 2" xfId="9162"/>
    <cellStyle name="Normal 5 4 2 3 2 2 3 2 3" xfId="14701"/>
    <cellStyle name="Normal 5 4 2 3 2 2 3 3" xfId="4657"/>
    <cellStyle name="Normal 5 4 2 3 2 2 3 3 2" xfId="10196"/>
    <cellStyle name="Normal 5 4 2 3 2 2 3 3 3" xfId="15735"/>
    <cellStyle name="Normal 5 4 2 3 2 2 3 4" xfId="5592"/>
    <cellStyle name="Normal 5 4 2 3 2 2 3 4 2" xfId="11131"/>
    <cellStyle name="Normal 5 4 2 3 2 2 3 4 3" xfId="16670"/>
    <cellStyle name="Normal 5 4 2 3 2 2 3 5" xfId="2294"/>
    <cellStyle name="Normal 5 4 2 3 2 2 3 5 2" xfId="7840"/>
    <cellStyle name="Normal 5 4 2 3 2 2 3 5 3" xfId="13379"/>
    <cellStyle name="Normal 5 4 2 3 2 2 3 6" xfId="6635"/>
    <cellStyle name="Normal 5 4 2 3 2 2 3 7" xfId="12174"/>
    <cellStyle name="Normal 5 4 2 3 2 2 4" xfId="3201"/>
    <cellStyle name="Normal 5 4 2 3 2 2 4 2" xfId="8743"/>
    <cellStyle name="Normal 5 4 2 3 2 2 4 3" xfId="14282"/>
    <cellStyle name="Normal 5 4 2 3 2 2 5" xfId="4240"/>
    <cellStyle name="Normal 5 4 2 3 2 2 5 2" xfId="9779"/>
    <cellStyle name="Normal 5 4 2 3 2 2 5 3" xfId="15318"/>
    <cellStyle name="Normal 5 4 2 3 2 2 6" xfId="5201"/>
    <cellStyle name="Normal 5 4 2 3 2 2 6 2" xfId="10740"/>
    <cellStyle name="Normal 5 4 2 3 2 2 6 3" xfId="16279"/>
    <cellStyle name="Normal 5 4 2 3 2 2 7" xfId="1903"/>
    <cellStyle name="Normal 5 4 2 3 2 2 7 2" xfId="7449"/>
    <cellStyle name="Normal 5 4 2 3 2 2 7 3" xfId="12988"/>
    <cellStyle name="Normal 5 4 2 3 2 2 8" xfId="6244"/>
    <cellStyle name="Normal 5 4 2 3 2 2 9" xfId="11783"/>
    <cellStyle name="Normal 5 4 2 3 2 3" xfId="1267"/>
    <cellStyle name="Normal 5 4 2 3 2 3 2" xfId="3797"/>
    <cellStyle name="Normal 5 4 2 3 2 3 2 2" xfId="9339"/>
    <cellStyle name="Normal 5 4 2 3 2 3 2 3" xfId="14878"/>
    <cellStyle name="Normal 5 4 2 3 2 3 3" xfId="4834"/>
    <cellStyle name="Normal 5 4 2 3 2 3 3 2" xfId="10373"/>
    <cellStyle name="Normal 5 4 2 3 2 3 3 3" xfId="15912"/>
    <cellStyle name="Normal 5 4 2 3 2 3 4" xfId="5769"/>
    <cellStyle name="Normal 5 4 2 3 2 3 4 2" xfId="11308"/>
    <cellStyle name="Normal 5 4 2 3 2 3 4 3" xfId="16847"/>
    <cellStyle name="Normal 5 4 2 3 2 3 5" xfId="2471"/>
    <cellStyle name="Normal 5 4 2 3 2 3 5 2" xfId="8017"/>
    <cellStyle name="Normal 5 4 2 3 2 3 5 3" xfId="13556"/>
    <cellStyle name="Normal 5 4 2 3 2 3 6" xfId="6812"/>
    <cellStyle name="Normal 5 4 2 3 2 3 7" xfId="12351"/>
    <cellStyle name="Normal 5 4 2 3 2 4" xfId="867"/>
    <cellStyle name="Normal 5 4 2 3 2 4 2" xfId="3397"/>
    <cellStyle name="Normal 5 4 2 3 2 4 2 2" xfId="8939"/>
    <cellStyle name="Normal 5 4 2 3 2 4 2 3" xfId="14478"/>
    <cellStyle name="Normal 5 4 2 3 2 4 3" xfId="4434"/>
    <cellStyle name="Normal 5 4 2 3 2 4 3 2" xfId="9973"/>
    <cellStyle name="Normal 5 4 2 3 2 4 3 3" xfId="15512"/>
    <cellStyle name="Normal 5 4 2 3 2 4 4" xfId="5369"/>
    <cellStyle name="Normal 5 4 2 3 2 4 4 2" xfId="10908"/>
    <cellStyle name="Normal 5 4 2 3 2 4 4 3" xfId="16447"/>
    <cellStyle name="Normal 5 4 2 3 2 4 5" xfId="2071"/>
    <cellStyle name="Normal 5 4 2 3 2 4 5 2" xfId="7617"/>
    <cellStyle name="Normal 5 4 2 3 2 4 5 3" xfId="13156"/>
    <cellStyle name="Normal 5 4 2 3 2 4 6" xfId="6412"/>
    <cellStyle name="Normal 5 4 2 3 2 4 7" xfId="11951"/>
    <cellStyle name="Normal 5 4 2 3 2 5" xfId="1612"/>
    <cellStyle name="Normal 5 4 2 3 2 5 2" xfId="2817"/>
    <cellStyle name="Normal 5 4 2 3 2 5 2 2" xfId="8363"/>
    <cellStyle name="Normal 5 4 2 3 2 5 2 3" xfId="13902"/>
    <cellStyle name="Normal 5 4 2 3 2 5 3" xfId="7158"/>
    <cellStyle name="Normal 5 4 2 3 2 5 4" xfId="12697"/>
    <cellStyle name="Normal 5 4 2 3 2 6" xfId="2990"/>
    <cellStyle name="Normal 5 4 2 3 2 6 2" xfId="8534"/>
    <cellStyle name="Normal 5 4 2 3 2 6 3" xfId="14073"/>
    <cellStyle name="Normal 5 4 2 3 2 7" xfId="4035"/>
    <cellStyle name="Normal 5 4 2 3 2 7 2" xfId="9577"/>
    <cellStyle name="Normal 5 4 2 3 2 7 3" xfId="15116"/>
    <cellStyle name="Normal 5 4 2 3 2 8" xfId="5072"/>
    <cellStyle name="Normal 5 4 2 3 2 8 2" xfId="10611"/>
    <cellStyle name="Normal 5 4 2 3 2 8 3" xfId="16150"/>
    <cellStyle name="Normal 5 4 2 3 2 9" xfId="1774"/>
    <cellStyle name="Normal 5 4 2 3 2 9 2" xfId="7320"/>
    <cellStyle name="Normal 5 4 2 3 2 9 3" xfId="12859"/>
    <cellStyle name="Normal 5 4 2 3 3" xfId="541"/>
    <cellStyle name="Normal 5 4 2 3 3 2" xfId="1382"/>
    <cellStyle name="Normal 5 4 2 3 3 2 2" xfId="3914"/>
    <cellStyle name="Normal 5 4 2 3 3 2 2 2" xfId="9456"/>
    <cellStyle name="Normal 5 4 2 3 3 2 2 3" xfId="14995"/>
    <cellStyle name="Normal 5 4 2 3 3 2 3" xfId="4951"/>
    <cellStyle name="Normal 5 4 2 3 3 2 3 2" xfId="10490"/>
    <cellStyle name="Normal 5 4 2 3 3 2 3 3" xfId="16029"/>
    <cellStyle name="Normal 5 4 2 3 3 2 4" xfId="5885"/>
    <cellStyle name="Normal 5 4 2 3 3 2 4 2" xfId="11424"/>
    <cellStyle name="Normal 5 4 2 3 3 2 4 3" xfId="16963"/>
    <cellStyle name="Normal 5 4 2 3 3 2 5" xfId="2587"/>
    <cellStyle name="Normal 5 4 2 3 3 2 5 2" xfId="8133"/>
    <cellStyle name="Normal 5 4 2 3 3 2 5 3" xfId="13672"/>
    <cellStyle name="Normal 5 4 2 3 3 2 6" xfId="6928"/>
    <cellStyle name="Normal 5 4 2 3 3 2 7" xfId="12467"/>
    <cellStyle name="Normal 5 4 2 3 3 3" xfId="1000"/>
    <cellStyle name="Normal 5 4 2 3 3 3 2" xfId="3530"/>
    <cellStyle name="Normal 5 4 2 3 3 3 2 2" xfId="9072"/>
    <cellStyle name="Normal 5 4 2 3 3 3 2 3" xfId="14611"/>
    <cellStyle name="Normal 5 4 2 3 3 3 3" xfId="4567"/>
    <cellStyle name="Normal 5 4 2 3 3 3 3 2" xfId="10106"/>
    <cellStyle name="Normal 5 4 2 3 3 3 3 3" xfId="15645"/>
    <cellStyle name="Normal 5 4 2 3 3 3 4" xfId="5502"/>
    <cellStyle name="Normal 5 4 2 3 3 3 4 2" xfId="11041"/>
    <cellStyle name="Normal 5 4 2 3 3 3 4 3" xfId="16580"/>
    <cellStyle name="Normal 5 4 2 3 3 3 5" xfId="2204"/>
    <cellStyle name="Normal 5 4 2 3 3 3 5 2" xfId="7750"/>
    <cellStyle name="Normal 5 4 2 3 3 3 5 3" xfId="13289"/>
    <cellStyle name="Normal 5 4 2 3 3 3 6" xfId="6545"/>
    <cellStyle name="Normal 5 4 2 3 3 3 7" xfId="12084"/>
    <cellStyle name="Normal 5 4 2 3 3 4" xfId="3200"/>
    <cellStyle name="Normal 5 4 2 3 3 4 2" xfId="8742"/>
    <cellStyle name="Normal 5 4 2 3 3 4 3" xfId="14281"/>
    <cellStyle name="Normal 5 4 2 3 3 5" xfId="4239"/>
    <cellStyle name="Normal 5 4 2 3 3 5 2" xfId="9778"/>
    <cellStyle name="Normal 5 4 2 3 3 5 3" xfId="15317"/>
    <cellStyle name="Normal 5 4 2 3 3 6" xfId="5200"/>
    <cellStyle name="Normal 5 4 2 3 3 6 2" xfId="10739"/>
    <cellStyle name="Normal 5 4 2 3 3 6 3" xfId="16278"/>
    <cellStyle name="Normal 5 4 2 3 3 7" xfId="1902"/>
    <cellStyle name="Normal 5 4 2 3 3 7 2" xfId="7448"/>
    <cellStyle name="Normal 5 4 2 3 3 7 3" xfId="12987"/>
    <cellStyle name="Normal 5 4 2 3 3 8" xfId="6243"/>
    <cellStyle name="Normal 5 4 2 3 3 9" xfId="11782"/>
    <cellStyle name="Normal 5 4 2 3 4" xfId="1177"/>
    <cellStyle name="Normal 5 4 2 3 4 2" xfId="3707"/>
    <cellStyle name="Normal 5 4 2 3 4 2 2" xfId="9249"/>
    <cellStyle name="Normal 5 4 2 3 4 2 3" xfId="14788"/>
    <cellStyle name="Normal 5 4 2 3 4 3" xfId="4744"/>
    <cellStyle name="Normal 5 4 2 3 4 3 2" xfId="10283"/>
    <cellStyle name="Normal 5 4 2 3 4 3 3" xfId="15822"/>
    <cellStyle name="Normal 5 4 2 3 4 4" xfId="5679"/>
    <cellStyle name="Normal 5 4 2 3 4 4 2" xfId="11218"/>
    <cellStyle name="Normal 5 4 2 3 4 4 3" xfId="16757"/>
    <cellStyle name="Normal 5 4 2 3 4 5" xfId="2381"/>
    <cellStyle name="Normal 5 4 2 3 4 5 2" xfId="7927"/>
    <cellStyle name="Normal 5 4 2 3 4 5 3" xfId="13466"/>
    <cellStyle name="Normal 5 4 2 3 4 6" xfId="6722"/>
    <cellStyle name="Normal 5 4 2 3 4 7" xfId="12261"/>
    <cellStyle name="Normal 5 4 2 3 5" xfId="866"/>
    <cellStyle name="Normal 5 4 2 3 5 2" xfId="3396"/>
    <cellStyle name="Normal 5 4 2 3 5 2 2" xfId="8938"/>
    <cellStyle name="Normal 5 4 2 3 5 2 3" xfId="14477"/>
    <cellStyle name="Normal 5 4 2 3 5 3" xfId="4433"/>
    <cellStyle name="Normal 5 4 2 3 5 3 2" xfId="9972"/>
    <cellStyle name="Normal 5 4 2 3 5 3 3" xfId="15511"/>
    <cellStyle name="Normal 5 4 2 3 5 4" xfId="5368"/>
    <cellStyle name="Normal 5 4 2 3 5 4 2" xfId="10907"/>
    <cellStyle name="Normal 5 4 2 3 5 4 3" xfId="16446"/>
    <cellStyle name="Normal 5 4 2 3 5 5" xfId="2070"/>
    <cellStyle name="Normal 5 4 2 3 5 5 2" xfId="7616"/>
    <cellStyle name="Normal 5 4 2 3 5 5 3" xfId="13155"/>
    <cellStyle name="Normal 5 4 2 3 5 6" xfId="6411"/>
    <cellStyle name="Normal 5 4 2 3 5 7" xfId="11950"/>
    <cellStyle name="Normal 5 4 2 3 6" xfId="1522"/>
    <cellStyle name="Normal 5 4 2 3 6 2" xfId="2727"/>
    <cellStyle name="Normal 5 4 2 3 6 2 2" xfId="8273"/>
    <cellStyle name="Normal 5 4 2 3 6 2 3" xfId="13812"/>
    <cellStyle name="Normal 5 4 2 3 6 3" xfId="7068"/>
    <cellStyle name="Normal 5 4 2 3 6 4" xfId="12607"/>
    <cellStyle name="Normal 5 4 2 3 7" xfId="2900"/>
    <cellStyle name="Normal 5 4 2 3 7 2" xfId="8444"/>
    <cellStyle name="Normal 5 4 2 3 7 3" xfId="13983"/>
    <cellStyle name="Normal 5 4 2 3 8" xfId="3316"/>
    <cellStyle name="Normal 5 4 2 3 8 2" xfId="8858"/>
    <cellStyle name="Normal 5 4 2 3 8 3" xfId="14397"/>
    <cellStyle name="Normal 5 4 2 3 9" xfId="4353"/>
    <cellStyle name="Normal 5 4 2 3 9 2" xfId="9892"/>
    <cellStyle name="Normal 5 4 2 3 9 3" xfId="15431"/>
    <cellStyle name="Normal 5 4 2 4" xfId="344"/>
    <cellStyle name="Normal 5 4 2 4 10" xfId="1720"/>
    <cellStyle name="Normal 5 4 2 4 10 2" xfId="7266"/>
    <cellStyle name="Normal 5 4 2 4 10 3" xfId="12805"/>
    <cellStyle name="Normal 5 4 2 4 11" xfId="6061"/>
    <cellStyle name="Normal 5 4 2 4 11 2" xfId="17139"/>
    <cellStyle name="Normal 5 4 2 4 12" xfId="705"/>
    <cellStyle name="Normal 5 4 2 4 12 2" xfId="17301"/>
    <cellStyle name="Normal 5 4 2 4 13" xfId="11600"/>
    <cellStyle name="Normal 5 4 2 4 14" xfId="17468"/>
    <cellStyle name="Normal 5 4 2 4 15" xfId="17633"/>
    <cellStyle name="Normal 5 4 2 4 2" xfId="345"/>
    <cellStyle name="Normal 5 4 2 4 2 10" xfId="6097"/>
    <cellStyle name="Normal 5 4 2 4 2 10 2" xfId="17175"/>
    <cellStyle name="Normal 5 4 2 4 2 11" xfId="741"/>
    <cellStyle name="Normal 5 4 2 4 2 11 2" xfId="17337"/>
    <cellStyle name="Normal 5 4 2 4 2 12" xfId="11636"/>
    <cellStyle name="Normal 5 4 2 4 2 13" xfId="17504"/>
    <cellStyle name="Normal 5 4 2 4 2 14" xfId="17669"/>
    <cellStyle name="Normal 5 4 2 4 2 2" xfId="544"/>
    <cellStyle name="Normal 5 4 2 4 2 2 2" xfId="1385"/>
    <cellStyle name="Normal 5 4 2 4 2 2 2 2" xfId="3917"/>
    <cellStyle name="Normal 5 4 2 4 2 2 2 2 2" xfId="9459"/>
    <cellStyle name="Normal 5 4 2 4 2 2 2 2 3" xfId="14998"/>
    <cellStyle name="Normal 5 4 2 4 2 2 2 3" xfId="4954"/>
    <cellStyle name="Normal 5 4 2 4 2 2 2 3 2" xfId="10493"/>
    <cellStyle name="Normal 5 4 2 4 2 2 2 3 3" xfId="16032"/>
    <cellStyle name="Normal 5 4 2 4 2 2 2 4" xfId="5888"/>
    <cellStyle name="Normal 5 4 2 4 2 2 2 4 2" xfId="11427"/>
    <cellStyle name="Normal 5 4 2 4 2 2 2 4 3" xfId="16966"/>
    <cellStyle name="Normal 5 4 2 4 2 2 2 5" xfId="2590"/>
    <cellStyle name="Normal 5 4 2 4 2 2 2 5 2" xfId="8136"/>
    <cellStyle name="Normal 5 4 2 4 2 2 2 5 3" xfId="13675"/>
    <cellStyle name="Normal 5 4 2 4 2 2 2 6" xfId="6931"/>
    <cellStyle name="Normal 5 4 2 4 2 2 2 7" xfId="12470"/>
    <cellStyle name="Normal 5 4 2 4 2 2 3" xfId="1072"/>
    <cellStyle name="Normal 5 4 2 4 2 2 3 2" xfId="3602"/>
    <cellStyle name="Normal 5 4 2 4 2 2 3 2 2" xfId="9144"/>
    <cellStyle name="Normal 5 4 2 4 2 2 3 2 3" xfId="14683"/>
    <cellStyle name="Normal 5 4 2 4 2 2 3 3" xfId="4639"/>
    <cellStyle name="Normal 5 4 2 4 2 2 3 3 2" xfId="10178"/>
    <cellStyle name="Normal 5 4 2 4 2 2 3 3 3" xfId="15717"/>
    <cellStyle name="Normal 5 4 2 4 2 2 3 4" xfId="5574"/>
    <cellStyle name="Normal 5 4 2 4 2 2 3 4 2" xfId="11113"/>
    <cellStyle name="Normal 5 4 2 4 2 2 3 4 3" xfId="16652"/>
    <cellStyle name="Normal 5 4 2 4 2 2 3 5" xfId="2276"/>
    <cellStyle name="Normal 5 4 2 4 2 2 3 5 2" xfId="7822"/>
    <cellStyle name="Normal 5 4 2 4 2 2 3 5 3" xfId="13361"/>
    <cellStyle name="Normal 5 4 2 4 2 2 3 6" xfId="6617"/>
    <cellStyle name="Normal 5 4 2 4 2 2 3 7" xfId="12156"/>
    <cellStyle name="Normal 5 4 2 4 2 2 4" xfId="3203"/>
    <cellStyle name="Normal 5 4 2 4 2 2 4 2" xfId="8745"/>
    <cellStyle name="Normal 5 4 2 4 2 2 4 3" xfId="14284"/>
    <cellStyle name="Normal 5 4 2 4 2 2 5" xfId="4242"/>
    <cellStyle name="Normal 5 4 2 4 2 2 5 2" xfId="9781"/>
    <cellStyle name="Normal 5 4 2 4 2 2 5 3" xfId="15320"/>
    <cellStyle name="Normal 5 4 2 4 2 2 6" xfId="5203"/>
    <cellStyle name="Normal 5 4 2 4 2 2 6 2" xfId="10742"/>
    <cellStyle name="Normal 5 4 2 4 2 2 6 3" xfId="16281"/>
    <cellStyle name="Normal 5 4 2 4 2 2 7" xfId="1905"/>
    <cellStyle name="Normal 5 4 2 4 2 2 7 2" xfId="7451"/>
    <cellStyle name="Normal 5 4 2 4 2 2 7 3" xfId="12990"/>
    <cellStyle name="Normal 5 4 2 4 2 2 8" xfId="6246"/>
    <cellStyle name="Normal 5 4 2 4 2 2 9" xfId="11785"/>
    <cellStyle name="Normal 5 4 2 4 2 3" xfId="1249"/>
    <cellStyle name="Normal 5 4 2 4 2 3 2" xfId="3779"/>
    <cellStyle name="Normal 5 4 2 4 2 3 2 2" xfId="9321"/>
    <cellStyle name="Normal 5 4 2 4 2 3 2 3" xfId="14860"/>
    <cellStyle name="Normal 5 4 2 4 2 3 3" xfId="4816"/>
    <cellStyle name="Normal 5 4 2 4 2 3 3 2" xfId="10355"/>
    <cellStyle name="Normal 5 4 2 4 2 3 3 3" xfId="15894"/>
    <cellStyle name="Normal 5 4 2 4 2 3 4" xfId="5751"/>
    <cellStyle name="Normal 5 4 2 4 2 3 4 2" xfId="11290"/>
    <cellStyle name="Normal 5 4 2 4 2 3 4 3" xfId="16829"/>
    <cellStyle name="Normal 5 4 2 4 2 3 5" xfId="2453"/>
    <cellStyle name="Normal 5 4 2 4 2 3 5 2" xfId="7999"/>
    <cellStyle name="Normal 5 4 2 4 2 3 5 3" xfId="13538"/>
    <cellStyle name="Normal 5 4 2 4 2 3 6" xfId="6794"/>
    <cellStyle name="Normal 5 4 2 4 2 3 7" xfId="12333"/>
    <cellStyle name="Normal 5 4 2 4 2 4" xfId="869"/>
    <cellStyle name="Normal 5 4 2 4 2 4 2" xfId="3399"/>
    <cellStyle name="Normal 5 4 2 4 2 4 2 2" xfId="8941"/>
    <cellStyle name="Normal 5 4 2 4 2 4 2 3" xfId="14480"/>
    <cellStyle name="Normal 5 4 2 4 2 4 3" xfId="4436"/>
    <cellStyle name="Normal 5 4 2 4 2 4 3 2" xfId="9975"/>
    <cellStyle name="Normal 5 4 2 4 2 4 3 3" xfId="15514"/>
    <cellStyle name="Normal 5 4 2 4 2 4 4" xfId="5371"/>
    <cellStyle name="Normal 5 4 2 4 2 4 4 2" xfId="10910"/>
    <cellStyle name="Normal 5 4 2 4 2 4 4 3" xfId="16449"/>
    <cellStyle name="Normal 5 4 2 4 2 4 5" xfId="2073"/>
    <cellStyle name="Normal 5 4 2 4 2 4 5 2" xfId="7619"/>
    <cellStyle name="Normal 5 4 2 4 2 4 5 3" xfId="13158"/>
    <cellStyle name="Normal 5 4 2 4 2 4 6" xfId="6414"/>
    <cellStyle name="Normal 5 4 2 4 2 4 7" xfId="11953"/>
    <cellStyle name="Normal 5 4 2 4 2 5" xfId="1594"/>
    <cellStyle name="Normal 5 4 2 4 2 5 2" xfId="2799"/>
    <cellStyle name="Normal 5 4 2 4 2 5 2 2" xfId="8345"/>
    <cellStyle name="Normal 5 4 2 4 2 5 2 3" xfId="13884"/>
    <cellStyle name="Normal 5 4 2 4 2 5 3" xfId="7140"/>
    <cellStyle name="Normal 5 4 2 4 2 5 4" xfId="12679"/>
    <cellStyle name="Normal 5 4 2 4 2 6" xfId="2972"/>
    <cellStyle name="Normal 5 4 2 4 2 6 2" xfId="8516"/>
    <cellStyle name="Normal 5 4 2 4 2 6 3" xfId="14055"/>
    <cellStyle name="Normal 5 4 2 4 2 7" xfId="4017"/>
    <cellStyle name="Normal 5 4 2 4 2 7 2" xfId="9559"/>
    <cellStyle name="Normal 5 4 2 4 2 7 3" xfId="15098"/>
    <cellStyle name="Normal 5 4 2 4 2 8" xfId="5054"/>
    <cellStyle name="Normal 5 4 2 4 2 8 2" xfId="10593"/>
    <cellStyle name="Normal 5 4 2 4 2 8 3" xfId="16132"/>
    <cellStyle name="Normal 5 4 2 4 2 9" xfId="1756"/>
    <cellStyle name="Normal 5 4 2 4 2 9 2" xfId="7302"/>
    <cellStyle name="Normal 5 4 2 4 2 9 3" xfId="12841"/>
    <cellStyle name="Normal 5 4 2 4 3" xfId="543"/>
    <cellStyle name="Normal 5 4 2 4 3 2" xfId="1384"/>
    <cellStyle name="Normal 5 4 2 4 3 2 2" xfId="3916"/>
    <cellStyle name="Normal 5 4 2 4 3 2 2 2" xfId="9458"/>
    <cellStyle name="Normal 5 4 2 4 3 2 2 3" xfId="14997"/>
    <cellStyle name="Normal 5 4 2 4 3 2 3" xfId="4953"/>
    <cellStyle name="Normal 5 4 2 4 3 2 3 2" xfId="10492"/>
    <cellStyle name="Normal 5 4 2 4 3 2 3 3" xfId="16031"/>
    <cellStyle name="Normal 5 4 2 4 3 2 4" xfId="5887"/>
    <cellStyle name="Normal 5 4 2 4 3 2 4 2" xfId="11426"/>
    <cellStyle name="Normal 5 4 2 4 3 2 4 3" xfId="16965"/>
    <cellStyle name="Normal 5 4 2 4 3 2 5" xfId="2589"/>
    <cellStyle name="Normal 5 4 2 4 3 2 5 2" xfId="8135"/>
    <cellStyle name="Normal 5 4 2 4 3 2 5 3" xfId="13674"/>
    <cellStyle name="Normal 5 4 2 4 3 2 6" xfId="6930"/>
    <cellStyle name="Normal 5 4 2 4 3 2 7" xfId="12469"/>
    <cellStyle name="Normal 5 4 2 4 3 3" xfId="1036"/>
    <cellStyle name="Normal 5 4 2 4 3 3 2" xfId="3566"/>
    <cellStyle name="Normal 5 4 2 4 3 3 2 2" xfId="9108"/>
    <cellStyle name="Normal 5 4 2 4 3 3 2 3" xfId="14647"/>
    <cellStyle name="Normal 5 4 2 4 3 3 3" xfId="4603"/>
    <cellStyle name="Normal 5 4 2 4 3 3 3 2" xfId="10142"/>
    <cellStyle name="Normal 5 4 2 4 3 3 3 3" xfId="15681"/>
    <cellStyle name="Normal 5 4 2 4 3 3 4" xfId="5538"/>
    <cellStyle name="Normal 5 4 2 4 3 3 4 2" xfId="11077"/>
    <cellStyle name="Normal 5 4 2 4 3 3 4 3" xfId="16616"/>
    <cellStyle name="Normal 5 4 2 4 3 3 5" xfId="2240"/>
    <cellStyle name="Normal 5 4 2 4 3 3 5 2" xfId="7786"/>
    <cellStyle name="Normal 5 4 2 4 3 3 5 3" xfId="13325"/>
    <cellStyle name="Normal 5 4 2 4 3 3 6" xfId="6581"/>
    <cellStyle name="Normal 5 4 2 4 3 3 7" xfId="12120"/>
    <cellStyle name="Normal 5 4 2 4 3 4" xfId="3202"/>
    <cellStyle name="Normal 5 4 2 4 3 4 2" xfId="8744"/>
    <cellStyle name="Normal 5 4 2 4 3 4 3" xfId="14283"/>
    <cellStyle name="Normal 5 4 2 4 3 5" xfId="4241"/>
    <cellStyle name="Normal 5 4 2 4 3 5 2" xfId="9780"/>
    <cellStyle name="Normal 5 4 2 4 3 5 3" xfId="15319"/>
    <cellStyle name="Normal 5 4 2 4 3 6" xfId="5202"/>
    <cellStyle name="Normal 5 4 2 4 3 6 2" xfId="10741"/>
    <cellStyle name="Normal 5 4 2 4 3 6 3" xfId="16280"/>
    <cellStyle name="Normal 5 4 2 4 3 7" xfId="1904"/>
    <cellStyle name="Normal 5 4 2 4 3 7 2" xfId="7450"/>
    <cellStyle name="Normal 5 4 2 4 3 7 3" xfId="12989"/>
    <cellStyle name="Normal 5 4 2 4 3 8" xfId="6245"/>
    <cellStyle name="Normal 5 4 2 4 3 9" xfId="11784"/>
    <cellStyle name="Normal 5 4 2 4 4" xfId="1213"/>
    <cellStyle name="Normal 5 4 2 4 4 2" xfId="3743"/>
    <cellStyle name="Normal 5 4 2 4 4 2 2" xfId="9285"/>
    <cellStyle name="Normal 5 4 2 4 4 2 3" xfId="14824"/>
    <cellStyle name="Normal 5 4 2 4 4 3" xfId="4780"/>
    <cellStyle name="Normal 5 4 2 4 4 3 2" xfId="10319"/>
    <cellStyle name="Normal 5 4 2 4 4 3 3" xfId="15858"/>
    <cellStyle name="Normal 5 4 2 4 4 4" xfId="5715"/>
    <cellStyle name="Normal 5 4 2 4 4 4 2" xfId="11254"/>
    <cellStyle name="Normal 5 4 2 4 4 4 3" xfId="16793"/>
    <cellStyle name="Normal 5 4 2 4 4 5" xfId="2417"/>
    <cellStyle name="Normal 5 4 2 4 4 5 2" xfId="7963"/>
    <cellStyle name="Normal 5 4 2 4 4 5 3" xfId="13502"/>
    <cellStyle name="Normal 5 4 2 4 4 6" xfId="6758"/>
    <cellStyle name="Normal 5 4 2 4 4 7" xfId="12297"/>
    <cellStyle name="Normal 5 4 2 4 5" xfId="868"/>
    <cellStyle name="Normal 5 4 2 4 5 2" xfId="3398"/>
    <cellStyle name="Normal 5 4 2 4 5 2 2" xfId="8940"/>
    <cellStyle name="Normal 5 4 2 4 5 2 3" xfId="14479"/>
    <cellStyle name="Normal 5 4 2 4 5 3" xfId="4435"/>
    <cellStyle name="Normal 5 4 2 4 5 3 2" xfId="9974"/>
    <cellStyle name="Normal 5 4 2 4 5 3 3" xfId="15513"/>
    <cellStyle name="Normal 5 4 2 4 5 4" xfId="5370"/>
    <cellStyle name="Normal 5 4 2 4 5 4 2" xfId="10909"/>
    <cellStyle name="Normal 5 4 2 4 5 4 3" xfId="16448"/>
    <cellStyle name="Normal 5 4 2 4 5 5" xfId="2072"/>
    <cellStyle name="Normal 5 4 2 4 5 5 2" xfId="7618"/>
    <cellStyle name="Normal 5 4 2 4 5 5 3" xfId="13157"/>
    <cellStyle name="Normal 5 4 2 4 5 6" xfId="6413"/>
    <cellStyle name="Normal 5 4 2 4 5 7" xfId="11952"/>
    <cellStyle name="Normal 5 4 2 4 6" xfId="1558"/>
    <cellStyle name="Normal 5 4 2 4 6 2" xfId="2763"/>
    <cellStyle name="Normal 5 4 2 4 6 2 2" xfId="8309"/>
    <cellStyle name="Normal 5 4 2 4 6 2 3" xfId="13848"/>
    <cellStyle name="Normal 5 4 2 4 6 3" xfId="7104"/>
    <cellStyle name="Normal 5 4 2 4 6 4" xfId="12643"/>
    <cellStyle name="Normal 5 4 2 4 7" xfId="2936"/>
    <cellStyle name="Normal 5 4 2 4 7 2" xfId="8480"/>
    <cellStyle name="Normal 5 4 2 4 7 3" xfId="14019"/>
    <cellStyle name="Normal 5 4 2 4 8" xfId="3056"/>
    <cellStyle name="Normal 5 4 2 4 8 2" xfId="8599"/>
    <cellStyle name="Normal 5 4 2 4 8 3" xfId="14138"/>
    <cellStyle name="Normal 5 4 2 4 9" xfId="4099"/>
    <cellStyle name="Normal 5 4 2 4 9 2" xfId="9640"/>
    <cellStyle name="Normal 5 4 2 4 9 3" xfId="15179"/>
    <cellStyle name="Normal 5 4 2 5" xfId="346"/>
    <cellStyle name="Normal 5 4 2 5 10" xfId="6079"/>
    <cellStyle name="Normal 5 4 2 5 10 2" xfId="17157"/>
    <cellStyle name="Normal 5 4 2 5 11" xfId="723"/>
    <cellStyle name="Normal 5 4 2 5 11 2" xfId="17319"/>
    <cellStyle name="Normal 5 4 2 5 12" xfId="11618"/>
    <cellStyle name="Normal 5 4 2 5 13" xfId="17486"/>
    <cellStyle name="Normal 5 4 2 5 14" xfId="17651"/>
    <cellStyle name="Normal 5 4 2 5 2" xfId="545"/>
    <cellStyle name="Normal 5 4 2 5 2 2" xfId="1386"/>
    <cellStyle name="Normal 5 4 2 5 2 2 2" xfId="3918"/>
    <cellStyle name="Normal 5 4 2 5 2 2 2 2" xfId="9460"/>
    <cellStyle name="Normal 5 4 2 5 2 2 2 3" xfId="14999"/>
    <cellStyle name="Normal 5 4 2 5 2 2 3" xfId="4955"/>
    <cellStyle name="Normal 5 4 2 5 2 2 3 2" xfId="10494"/>
    <cellStyle name="Normal 5 4 2 5 2 2 3 3" xfId="16033"/>
    <cellStyle name="Normal 5 4 2 5 2 2 4" xfId="5889"/>
    <cellStyle name="Normal 5 4 2 5 2 2 4 2" xfId="11428"/>
    <cellStyle name="Normal 5 4 2 5 2 2 4 3" xfId="16967"/>
    <cellStyle name="Normal 5 4 2 5 2 2 5" xfId="2591"/>
    <cellStyle name="Normal 5 4 2 5 2 2 5 2" xfId="8137"/>
    <cellStyle name="Normal 5 4 2 5 2 2 5 3" xfId="13676"/>
    <cellStyle name="Normal 5 4 2 5 2 2 6" xfId="6932"/>
    <cellStyle name="Normal 5 4 2 5 2 2 7" xfId="12471"/>
    <cellStyle name="Normal 5 4 2 5 2 3" xfId="1054"/>
    <cellStyle name="Normal 5 4 2 5 2 3 2" xfId="3584"/>
    <cellStyle name="Normal 5 4 2 5 2 3 2 2" xfId="9126"/>
    <cellStyle name="Normal 5 4 2 5 2 3 2 3" xfId="14665"/>
    <cellStyle name="Normal 5 4 2 5 2 3 3" xfId="4621"/>
    <cellStyle name="Normal 5 4 2 5 2 3 3 2" xfId="10160"/>
    <cellStyle name="Normal 5 4 2 5 2 3 3 3" xfId="15699"/>
    <cellStyle name="Normal 5 4 2 5 2 3 4" xfId="5556"/>
    <cellStyle name="Normal 5 4 2 5 2 3 4 2" xfId="11095"/>
    <cellStyle name="Normal 5 4 2 5 2 3 4 3" xfId="16634"/>
    <cellStyle name="Normal 5 4 2 5 2 3 5" xfId="2258"/>
    <cellStyle name="Normal 5 4 2 5 2 3 5 2" xfId="7804"/>
    <cellStyle name="Normal 5 4 2 5 2 3 5 3" xfId="13343"/>
    <cellStyle name="Normal 5 4 2 5 2 3 6" xfId="6599"/>
    <cellStyle name="Normal 5 4 2 5 2 3 7" xfId="12138"/>
    <cellStyle name="Normal 5 4 2 5 2 4" xfId="3204"/>
    <cellStyle name="Normal 5 4 2 5 2 4 2" xfId="8746"/>
    <cellStyle name="Normal 5 4 2 5 2 4 3" xfId="14285"/>
    <cellStyle name="Normal 5 4 2 5 2 5" xfId="4243"/>
    <cellStyle name="Normal 5 4 2 5 2 5 2" xfId="9782"/>
    <cellStyle name="Normal 5 4 2 5 2 5 3" xfId="15321"/>
    <cellStyle name="Normal 5 4 2 5 2 6" xfId="5204"/>
    <cellStyle name="Normal 5 4 2 5 2 6 2" xfId="10743"/>
    <cellStyle name="Normal 5 4 2 5 2 6 3" xfId="16282"/>
    <cellStyle name="Normal 5 4 2 5 2 7" xfId="1906"/>
    <cellStyle name="Normal 5 4 2 5 2 7 2" xfId="7452"/>
    <cellStyle name="Normal 5 4 2 5 2 7 3" xfId="12991"/>
    <cellStyle name="Normal 5 4 2 5 2 8" xfId="6247"/>
    <cellStyle name="Normal 5 4 2 5 2 9" xfId="11786"/>
    <cellStyle name="Normal 5 4 2 5 3" xfId="1231"/>
    <cellStyle name="Normal 5 4 2 5 3 2" xfId="3761"/>
    <cellStyle name="Normal 5 4 2 5 3 2 2" xfId="9303"/>
    <cellStyle name="Normal 5 4 2 5 3 2 3" xfId="14842"/>
    <cellStyle name="Normal 5 4 2 5 3 3" xfId="4798"/>
    <cellStyle name="Normal 5 4 2 5 3 3 2" xfId="10337"/>
    <cellStyle name="Normal 5 4 2 5 3 3 3" xfId="15876"/>
    <cellStyle name="Normal 5 4 2 5 3 4" xfId="5733"/>
    <cellStyle name="Normal 5 4 2 5 3 4 2" xfId="11272"/>
    <cellStyle name="Normal 5 4 2 5 3 4 3" xfId="16811"/>
    <cellStyle name="Normal 5 4 2 5 3 5" xfId="2435"/>
    <cellStyle name="Normal 5 4 2 5 3 5 2" xfId="7981"/>
    <cellStyle name="Normal 5 4 2 5 3 5 3" xfId="13520"/>
    <cellStyle name="Normal 5 4 2 5 3 6" xfId="6776"/>
    <cellStyle name="Normal 5 4 2 5 3 7" xfId="12315"/>
    <cellStyle name="Normal 5 4 2 5 4" xfId="870"/>
    <cellStyle name="Normal 5 4 2 5 4 2" xfId="3400"/>
    <cellStyle name="Normal 5 4 2 5 4 2 2" xfId="8942"/>
    <cellStyle name="Normal 5 4 2 5 4 2 3" xfId="14481"/>
    <cellStyle name="Normal 5 4 2 5 4 3" xfId="4437"/>
    <cellStyle name="Normal 5 4 2 5 4 3 2" xfId="9976"/>
    <cellStyle name="Normal 5 4 2 5 4 3 3" xfId="15515"/>
    <cellStyle name="Normal 5 4 2 5 4 4" xfId="5372"/>
    <cellStyle name="Normal 5 4 2 5 4 4 2" xfId="10911"/>
    <cellStyle name="Normal 5 4 2 5 4 4 3" xfId="16450"/>
    <cellStyle name="Normal 5 4 2 5 4 5" xfId="2074"/>
    <cellStyle name="Normal 5 4 2 5 4 5 2" xfId="7620"/>
    <cellStyle name="Normal 5 4 2 5 4 5 3" xfId="13159"/>
    <cellStyle name="Normal 5 4 2 5 4 6" xfId="6415"/>
    <cellStyle name="Normal 5 4 2 5 4 7" xfId="11954"/>
    <cellStyle name="Normal 5 4 2 5 5" xfId="1576"/>
    <cellStyle name="Normal 5 4 2 5 5 2" xfId="2781"/>
    <cellStyle name="Normal 5 4 2 5 5 2 2" xfId="8327"/>
    <cellStyle name="Normal 5 4 2 5 5 2 3" xfId="13866"/>
    <cellStyle name="Normal 5 4 2 5 5 3" xfId="7122"/>
    <cellStyle name="Normal 5 4 2 5 5 4" xfId="12661"/>
    <cellStyle name="Normal 5 4 2 5 6" xfId="2954"/>
    <cellStyle name="Normal 5 4 2 5 6 2" xfId="8498"/>
    <cellStyle name="Normal 5 4 2 5 6 3" xfId="14037"/>
    <cellStyle name="Normal 5 4 2 5 7" xfId="3064"/>
    <cellStyle name="Normal 5 4 2 5 7 2" xfId="8607"/>
    <cellStyle name="Normal 5 4 2 5 7 3" xfId="14146"/>
    <cellStyle name="Normal 5 4 2 5 8" xfId="4107"/>
    <cellStyle name="Normal 5 4 2 5 8 2" xfId="9648"/>
    <cellStyle name="Normal 5 4 2 5 8 3" xfId="15187"/>
    <cellStyle name="Normal 5 4 2 5 9" xfId="1738"/>
    <cellStyle name="Normal 5 4 2 5 9 2" xfId="7284"/>
    <cellStyle name="Normal 5 4 2 5 9 3" xfId="12823"/>
    <cellStyle name="Normal 5 4 2 6" xfId="347"/>
    <cellStyle name="Normal 5 4 2 6 10" xfId="6007"/>
    <cellStyle name="Normal 5 4 2 6 10 2" xfId="17085"/>
    <cellStyle name="Normal 5 4 2 6 11" xfId="651"/>
    <cellStyle name="Normal 5 4 2 6 11 2" xfId="17247"/>
    <cellStyle name="Normal 5 4 2 6 12" xfId="11546"/>
    <cellStyle name="Normal 5 4 2 6 13" xfId="17414"/>
    <cellStyle name="Normal 5 4 2 6 14" xfId="17579"/>
    <cellStyle name="Normal 5 4 2 6 2" xfId="546"/>
    <cellStyle name="Normal 5 4 2 6 2 2" xfId="1387"/>
    <cellStyle name="Normal 5 4 2 6 2 2 2" xfId="3919"/>
    <cellStyle name="Normal 5 4 2 6 2 2 2 2" xfId="9461"/>
    <cellStyle name="Normal 5 4 2 6 2 2 2 3" xfId="15000"/>
    <cellStyle name="Normal 5 4 2 6 2 2 3" xfId="4956"/>
    <cellStyle name="Normal 5 4 2 6 2 2 3 2" xfId="10495"/>
    <cellStyle name="Normal 5 4 2 6 2 2 3 3" xfId="16034"/>
    <cellStyle name="Normal 5 4 2 6 2 2 4" xfId="5890"/>
    <cellStyle name="Normal 5 4 2 6 2 2 4 2" xfId="11429"/>
    <cellStyle name="Normal 5 4 2 6 2 2 4 3" xfId="16968"/>
    <cellStyle name="Normal 5 4 2 6 2 2 5" xfId="2592"/>
    <cellStyle name="Normal 5 4 2 6 2 2 5 2" xfId="8138"/>
    <cellStyle name="Normal 5 4 2 6 2 2 5 3" xfId="13677"/>
    <cellStyle name="Normal 5 4 2 6 2 2 6" xfId="6933"/>
    <cellStyle name="Normal 5 4 2 6 2 2 7" xfId="12472"/>
    <cellStyle name="Normal 5 4 2 6 2 3" xfId="982"/>
    <cellStyle name="Normal 5 4 2 6 2 3 2" xfId="3512"/>
    <cellStyle name="Normal 5 4 2 6 2 3 2 2" xfId="9054"/>
    <cellStyle name="Normal 5 4 2 6 2 3 2 3" xfId="14593"/>
    <cellStyle name="Normal 5 4 2 6 2 3 3" xfId="4549"/>
    <cellStyle name="Normal 5 4 2 6 2 3 3 2" xfId="10088"/>
    <cellStyle name="Normal 5 4 2 6 2 3 3 3" xfId="15627"/>
    <cellStyle name="Normal 5 4 2 6 2 3 4" xfId="5484"/>
    <cellStyle name="Normal 5 4 2 6 2 3 4 2" xfId="11023"/>
    <cellStyle name="Normal 5 4 2 6 2 3 4 3" xfId="16562"/>
    <cellStyle name="Normal 5 4 2 6 2 3 5" xfId="2186"/>
    <cellStyle name="Normal 5 4 2 6 2 3 5 2" xfId="7732"/>
    <cellStyle name="Normal 5 4 2 6 2 3 5 3" xfId="13271"/>
    <cellStyle name="Normal 5 4 2 6 2 3 6" xfId="6527"/>
    <cellStyle name="Normal 5 4 2 6 2 3 7" xfId="12066"/>
    <cellStyle name="Normal 5 4 2 6 2 4" xfId="3205"/>
    <cellStyle name="Normal 5 4 2 6 2 4 2" xfId="8747"/>
    <cellStyle name="Normal 5 4 2 6 2 4 3" xfId="14286"/>
    <cellStyle name="Normal 5 4 2 6 2 5" xfId="4244"/>
    <cellStyle name="Normal 5 4 2 6 2 5 2" xfId="9783"/>
    <cellStyle name="Normal 5 4 2 6 2 5 3" xfId="15322"/>
    <cellStyle name="Normal 5 4 2 6 2 6" xfId="5205"/>
    <cellStyle name="Normal 5 4 2 6 2 6 2" xfId="10744"/>
    <cellStyle name="Normal 5 4 2 6 2 6 3" xfId="16283"/>
    <cellStyle name="Normal 5 4 2 6 2 7" xfId="1907"/>
    <cellStyle name="Normal 5 4 2 6 2 7 2" xfId="7453"/>
    <cellStyle name="Normal 5 4 2 6 2 7 3" xfId="12992"/>
    <cellStyle name="Normal 5 4 2 6 2 8" xfId="6248"/>
    <cellStyle name="Normal 5 4 2 6 2 9" xfId="11787"/>
    <cellStyle name="Normal 5 4 2 6 3" xfId="1159"/>
    <cellStyle name="Normal 5 4 2 6 3 2" xfId="3689"/>
    <cellStyle name="Normal 5 4 2 6 3 2 2" xfId="9231"/>
    <cellStyle name="Normal 5 4 2 6 3 2 3" xfId="14770"/>
    <cellStyle name="Normal 5 4 2 6 3 3" xfId="4726"/>
    <cellStyle name="Normal 5 4 2 6 3 3 2" xfId="10265"/>
    <cellStyle name="Normal 5 4 2 6 3 3 3" xfId="15804"/>
    <cellStyle name="Normal 5 4 2 6 3 4" xfId="5661"/>
    <cellStyle name="Normal 5 4 2 6 3 4 2" xfId="11200"/>
    <cellStyle name="Normal 5 4 2 6 3 4 3" xfId="16739"/>
    <cellStyle name="Normal 5 4 2 6 3 5" xfId="2363"/>
    <cellStyle name="Normal 5 4 2 6 3 5 2" xfId="7909"/>
    <cellStyle name="Normal 5 4 2 6 3 5 3" xfId="13448"/>
    <cellStyle name="Normal 5 4 2 6 3 6" xfId="6704"/>
    <cellStyle name="Normal 5 4 2 6 3 7" xfId="12243"/>
    <cellStyle name="Normal 5 4 2 6 4" xfId="871"/>
    <cellStyle name="Normal 5 4 2 6 4 2" xfId="3401"/>
    <cellStyle name="Normal 5 4 2 6 4 2 2" xfId="8943"/>
    <cellStyle name="Normal 5 4 2 6 4 2 3" xfId="14482"/>
    <cellStyle name="Normal 5 4 2 6 4 3" xfId="4438"/>
    <cellStyle name="Normal 5 4 2 6 4 3 2" xfId="9977"/>
    <cellStyle name="Normal 5 4 2 6 4 3 3" xfId="15516"/>
    <cellStyle name="Normal 5 4 2 6 4 4" xfId="5373"/>
    <cellStyle name="Normal 5 4 2 6 4 4 2" xfId="10912"/>
    <cellStyle name="Normal 5 4 2 6 4 4 3" xfId="16451"/>
    <cellStyle name="Normal 5 4 2 6 4 5" xfId="2075"/>
    <cellStyle name="Normal 5 4 2 6 4 5 2" xfId="7621"/>
    <cellStyle name="Normal 5 4 2 6 4 5 3" xfId="13160"/>
    <cellStyle name="Normal 5 4 2 6 4 6" xfId="6416"/>
    <cellStyle name="Normal 5 4 2 6 4 7" xfId="11955"/>
    <cellStyle name="Normal 5 4 2 6 5" xfId="1504"/>
    <cellStyle name="Normal 5 4 2 6 5 2" xfId="2709"/>
    <cellStyle name="Normal 5 4 2 6 5 2 2" xfId="8255"/>
    <cellStyle name="Normal 5 4 2 6 5 2 3" xfId="13794"/>
    <cellStyle name="Normal 5 4 2 6 5 3" xfId="7050"/>
    <cellStyle name="Normal 5 4 2 6 5 4" xfId="12589"/>
    <cellStyle name="Normal 5 4 2 6 6" xfId="2882"/>
    <cellStyle name="Normal 5 4 2 6 6 2" xfId="8426"/>
    <cellStyle name="Normal 5 4 2 6 6 3" xfId="13965"/>
    <cellStyle name="Normal 5 4 2 6 7" xfId="3097"/>
    <cellStyle name="Normal 5 4 2 6 7 2" xfId="8640"/>
    <cellStyle name="Normal 5 4 2 6 7 3" xfId="14179"/>
    <cellStyle name="Normal 5 4 2 6 8" xfId="4140"/>
    <cellStyle name="Normal 5 4 2 6 8 2" xfId="9681"/>
    <cellStyle name="Normal 5 4 2 6 8 3" xfId="15220"/>
    <cellStyle name="Normal 5 4 2 6 9" xfId="1666"/>
    <cellStyle name="Normal 5 4 2 6 9 2" xfId="7212"/>
    <cellStyle name="Normal 5 4 2 6 9 3" xfId="12751"/>
    <cellStyle name="Normal 5 4 2 7" xfId="460"/>
    <cellStyle name="Normal 5 4 2 7 2" xfId="1302"/>
    <cellStyle name="Normal 5 4 2 7 2 2" xfId="3833"/>
    <cellStyle name="Normal 5 4 2 7 2 2 2" xfId="9375"/>
    <cellStyle name="Normal 5 4 2 7 2 2 3" xfId="14914"/>
    <cellStyle name="Normal 5 4 2 7 2 3" xfId="4870"/>
    <cellStyle name="Normal 5 4 2 7 2 3 2" xfId="10409"/>
    <cellStyle name="Normal 5 4 2 7 2 3 3" xfId="15948"/>
    <cellStyle name="Normal 5 4 2 7 2 4" xfId="5805"/>
    <cellStyle name="Normal 5 4 2 7 2 4 2" xfId="11344"/>
    <cellStyle name="Normal 5 4 2 7 2 4 3" xfId="16883"/>
    <cellStyle name="Normal 5 4 2 7 2 5" xfId="2507"/>
    <cellStyle name="Normal 5 4 2 7 2 5 2" xfId="8053"/>
    <cellStyle name="Normal 5 4 2 7 2 5 3" xfId="13592"/>
    <cellStyle name="Normal 5 4 2 7 2 6" xfId="6848"/>
    <cellStyle name="Normal 5 4 2 7 2 7" xfId="12387"/>
    <cellStyle name="Normal 5 4 2 7 3" xfId="964"/>
    <cellStyle name="Normal 5 4 2 7 3 2" xfId="3494"/>
    <cellStyle name="Normal 5 4 2 7 3 2 2" xfId="9036"/>
    <cellStyle name="Normal 5 4 2 7 3 2 3" xfId="14575"/>
    <cellStyle name="Normal 5 4 2 7 3 3" xfId="4531"/>
    <cellStyle name="Normal 5 4 2 7 3 3 2" xfId="10070"/>
    <cellStyle name="Normal 5 4 2 7 3 3 3" xfId="15609"/>
    <cellStyle name="Normal 5 4 2 7 3 4" xfId="5466"/>
    <cellStyle name="Normal 5 4 2 7 3 4 2" xfId="11005"/>
    <cellStyle name="Normal 5 4 2 7 3 4 3" xfId="16544"/>
    <cellStyle name="Normal 5 4 2 7 3 5" xfId="2168"/>
    <cellStyle name="Normal 5 4 2 7 3 5 2" xfId="7714"/>
    <cellStyle name="Normal 5 4 2 7 3 5 3" xfId="13253"/>
    <cellStyle name="Normal 5 4 2 7 3 6" xfId="6509"/>
    <cellStyle name="Normal 5 4 2 7 3 7" xfId="12048"/>
    <cellStyle name="Normal 5 4 2 7 4" xfId="3110"/>
    <cellStyle name="Normal 5 4 2 7 4 2" xfId="8653"/>
    <cellStyle name="Normal 5 4 2 7 4 3" xfId="14192"/>
    <cellStyle name="Normal 5 4 2 7 5" xfId="4153"/>
    <cellStyle name="Normal 5 4 2 7 5 2" xfId="9694"/>
    <cellStyle name="Normal 5 4 2 7 5 3" xfId="15233"/>
    <cellStyle name="Normal 5 4 2 7 6" xfId="5120"/>
    <cellStyle name="Normal 5 4 2 7 6 2" xfId="10659"/>
    <cellStyle name="Normal 5 4 2 7 6 3" xfId="16198"/>
    <cellStyle name="Normal 5 4 2 7 7" xfId="1822"/>
    <cellStyle name="Normal 5 4 2 7 7 2" xfId="7368"/>
    <cellStyle name="Normal 5 4 2 7 7 3" xfId="12907"/>
    <cellStyle name="Normal 5 4 2 7 8" xfId="6163"/>
    <cellStyle name="Normal 5 4 2 7 9" xfId="11702"/>
    <cellStyle name="Normal 5 4 2 8" xfId="1141"/>
    <cellStyle name="Normal 5 4 2 8 2" xfId="3671"/>
    <cellStyle name="Normal 5 4 2 8 2 2" xfId="9213"/>
    <cellStyle name="Normal 5 4 2 8 2 3" xfId="14752"/>
    <cellStyle name="Normal 5 4 2 8 3" xfId="4708"/>
    <cellStyle name="Normal 5 4 2 8 3 2" xfId="10247"/>
    <cellStyle name="Normal 5 4 2 8 3 3" xfId="15786"/>
    <cellStyle name="Normal 5 4 2 8 4" xfId="5643"/>
    <cellStyle name="Normal 5 4 2 8 4 2" xfId="11182"/>
    <cellStyle name="Normal 5 4 2 8 4 3" xfId="16721"/>
    <cellStyle name="Normal 5 4 2 8 5" xfId="2345"/>
    <cellStyle name="Normal 5 4 2 8 5 2" xfId="7891"/>
    <cellStyle name="Normal 5 4 2 8 5 3" xfId="13430"/>
    <cellStyle name="Normal 5 4 2 8 6" xfId="6686"/>
    <cellStyle name="Normal 5 4 2 8 7" xfId="12225"/>
    <cellStyle name="Normal 5 4 2 9" xfId="863"/>
    <cellStyle name="Normal 5 4 2 9 2" xfId="3393"/>
    <cellStyle name="Normal 5 4 2 9 2 2" xfId="8935"/>
    <cellStyle name="Normal 5 4 2 9 2 3" xfId="14474"/>
    <cellStyle name="Normal 5 4 2 9 3" xfId="4430"/>
    <cellStyle name="Normal 5 4 2 9 3 2" xfId="9969"/>
    <cellStyle name="Normal 5 4 2 9 3 3" xfId="15508"/>
    <cellStyle name="Normal 5 4 2 9 4" xfId="5365"/>
    <cellStyle name="Normal 5 4 2 9 4 2" xfId="10904"/>
    <cellStyle name="Normal 5 4 2 9 4 3" xfId="16443"/>
    <cellStyle name="Normal 5 4 2 9 5" xfId="2067"/>
    <cellStyle name="Normal 5 4 2 9 5 2" xfId="7613"/>
    <cellStyle name="Normal 5 4 2 9 5 3" xfId="13152"/>
    <cellStyle name="Normal 5 4 2 9 6" xfId="6408"/>
    <cellStyle name="Normal 5 4 2 9 7" xfId="11947"/>
    <cellStyle name="Normal 5 4 20" xfId="17550"/>
    <cellStyle name="Normal 5 4 3" xfId="348"/>
    <cellStyle name="Normal 5 4 3 10" xfId="1691"/>
    <cellStyle name="Normal 5 4 3 10 2" xfId="7237"/>
    <cellStyle name="Normal 5 4 3 10 3" xfId="12776"/>
    <cellStyle name="Normal 5 4 3 11" xfId="6032"/>
    <cellStyle name="Normal 5 4 3 11 2" xfId="17110"/>
    <cellStyle name="Normal 5 4 3 12" xfId="676"/>
    <cellStyle name="Normal 5 4 3 12 2" xfId="17272"/>
    <cellStyle name="Normal 5 4 3 13" xfId="11571"/>
    <cellStyle name="Normal 5 4 3 14" xfId="17439"/>
    <cellStyle name="Normal 5 4 3 15" xfId="17604"/>
    <cellStyle name="Normal 5 4 3 2" xfId="349"/>
    <cellStyle name="Normal 5 4 3 2 10" xfId="6122"/>
    <cellStyle name="Normal 5 4 3 2 10 2" xfId="17200"/>
    <cellStyle name="Normal 5 4 3 2 11" xfId="766"/>
    <cellStyle name="Normal 5 4 3 2 11 2" xfId="17362"/>
    <cellStyle name="Normal 5 4 3 2 12" xfId="11661"/>
    <cellStyle name="Normal 5 4 3 2 13" xfId="17529"/>
    <cellStyle name="Normal 5 4 3 2 14" xfId="17694"/>
    <cellStyle name="Normal 5 4 3 2 2" xfId="548"/>
    <cellStyle name="Normal 5 4 3 2 2 2" xfId="1389"/>
    <cellStyle name="Normal 5 4 3 2 2 2 2" xfId="3921"/>
    <cellStyle name="Normal 5 4 3 2 2 2 2 2" xfId="9463"/>
    <cellStyle name="Normal 5 4 3 2 2 2 2 3" xfId="15002"/>
    <cellStyle name="Normal 5 4 3 2 2 2 3" xfId="4958"/>
    <cellStyle name="Normal 5 4 3 2 2 2 3 2" xfId="10497"/>
    <cellStyle name="Normal 5 4 3 2 2 2 3 3" xfId="16036"/>
    <cellStyle name="Normal 5 4 3 2 2 2 4" xfId="5892"/>
    <cellStyle name="Normal 5 4 3 2 2 2 4 2" xfId="11431"/>
    <cellStyle name="Normal 5 4 3 2 2 2 4 3" xfId="16970"/>
    <cellStyle name="Normal 5 4 3 2 2 2 5" xfId="2594"/>
    <cellStyle name="Normal 5 4 3 2 2 2 5 2" xfId="8140"/>
    <cellStyle name="Normal 5 4 3 2 2 2 5 3" xfId="13679"/>
    <cellStyle name="Normal 5 4 3 2 2 2 6" xfId="6935"/>
    <cellStyle name="Normal 5 4 3 2 2 2 7" xfId="12474"/>
    <cellStyle name="Normal 5 4 3 2 2 3" xfId="1097"/>
    <cellStyle name="Normal 5 4 3 2 2 3 2" xfId="3627"/>
    <cellStyle name="Normal 5 4 3 2 2 3 2 2" xfId="9169"/>
    <cellStyle name="Normal 5 4 3 2 2 3 2 3" xfId="14708"/>
    <cellStyle name="Normal 5 4 3 2 2 3 3" xfId="4664"/>
    <cellStyle name="Normal 5 4 3 2 2 3 3 2" xfId="10203"/>
    <cellStyle name="Normal 5 4 3 2 2 3 3 3" xfId="15742"/>
    <cellStyle name="Normal 5 4 3 2 2 3 4" xfId="5599"/>
    <cellStyle name="Normal 5 4 3 2 2 3 4 2" xfId="11138"/>
    <cellStyle name="Normal 5 4 3 2 2 3 4 3" xfId="16677"/>
    <cellStyle name="Normal 5 4 3 2 2 3 5" xfId="2301"/>
    <cellStyle name="Normal 5 4 3 2 2 3 5 2" xfId="7847"/>
    <cellStyle name="Normal 5 4 3 2 2 3 5 3" xfId="13386"/>
    <cellStyle name="Normal 5 4 3 2 2 3 6" xfId="6642"/>
    <cellStyle name="Normal 5 4 3 2 2 3 7" xfId="12181"/>
    <cellStyle name="Normal 5 4 3 2 2 4" xfId="3207"/>
    <cellStyle name="Normal 5 4 3 2 2 4 2" xfId="8749"/>
    <cellStyle name="Normal 5 4 3 2 2 4 3" xfId="14288"/>
    <cellStyle name="Normal 5 4 3 2 2 5" xfId="4246"/>
    <cellStyle name="Normal 5 4 3 2 2 5 2" xfId="9785"/>
    <cellStyle name="Normal 5 4 3 2 2 5 3" xfId="15324"/>
    <cellStyle name="Normal 5 4 3 2 2 6" xfId="5207"/>
    <cellStyle name="Normal 5 4 3 2 2 6 2" xfId="10746"/>
    <cellStyle name="Normal 5 4 3 2 2 6 3" xfId="16285"/>
    <cellStyle name="Normal 5 4 3 2 2 7" xfId="1909"/>
    <cellStyle name="Normal 5 4 3 2 2 7 2" xfId="7455"/>
    <cellStyle name="Normal 5 4 3 2 2 7 3" xfId="12994"/>
    <cellStyle name="Normal 5 4 3 2 2 8" xfId="6250"/>
    <cellStyle name="Normal 5 4 3 2 2 9" xfId="11789"/>
    <cellStyle name="Normal 5 4 3 2 3" xfId="1274"/>
    <cellStyle name="Normal 5 4 3 2 3 2" xfId="3804"/>
    <cellStyle name="Normal 5 4 3 2 3 2 2" xfId="9346"/>
    <cellStyle name="Normal 5 4 3 2 3 2 3" xfId="14885"/>
    <cellStyle name="Normal 5 4 3 2 3 3" xfId="4841"/>
    <cellStyle name="Normal 5 4 3 2 3 3 2" xfId="10380"/>
    <cellStyle name="Normal 5 4 3 2 3 3 3" xfId="15919"/>
    <cellStyle name="Normal 5 4 3 2 3 4" xfId="5776"/>
    <cellStyle name="Normal 5 4 3 2 3 4 2" xfId="11315"/>
    <cellStyle name="Normal 5 4 3 2 3 4 3" xfId="16854"/>
    <cellStyle name="Normal 5 4 3 2 3 5" xfId="2478"/>
    <cellStyle name="Normal 5 4 3 2 3 5 2" xfId="8024"/>
    <cellStyle name="Normal 5 4 3 2 3 5 3" xfId="13563"/>
    <cellStyle name="Normal 5 4 3 2 3 6" xfId="6819"/>
    <cellStyle name="Normal 5 4 3 2 3 7" xfId="12358"/>
    <cellStyle name="Normal 5 4 3 2 4" xfId="873"/>
    <cellStyle name="Normal 5 4 3 2 4 2" xfId="3403"/>
    <cellStyle name="Normal 5 4 3 2 4 2 2" xfId="8945"/>
    <cellStyle name="Normal 5 4 3 2 4 2 3" xfId="14484"/>
    <cellStyle name="Normal 5 4 3 2 4 3" xfId="4440"/>
    <cellStyle name="Normal 5 4 3 2 4 3 2" xfId="9979"/>
    <cellStyle name="Normal 5 4 3 2 4 3 3" xfId="15518"/>
    <cellStyle name="Normal 5 4 3 2 4 4" xfId="5375"/>
    <cellStyle name="Normal 5 4 3 2 4 4 2" xfId="10914"/>
    <cellStyle name="Normal 5 4 3 2 4 4 3" xfId="16453"/>
    <cellStyle name="Normal 5 4 3 2 4 5" xfId="2077"/>
    <cellStyle name="Normal 5 4 3 2 4 5 2" xfId="7623"/>
    <cellStyle name="Normal 5 4 3 2 4 5 3" xfId="13162"/>
    <cellStyle name="Normal 5 4 3 2 4 6" xfId="6418"/>
    <cellStyle name="Normal 5 4 3 2 4 7" xfId="11957"/>
    <cellStyle name="Normal 5 4 3 2 5" xfId="1619"/>
    <cellStyle name="Normal 5 4 3 2 5 2" xfId="2824"/>
    <cellStyle name="Normal 5 4 3 2 5 2 2" xfId="8370"/>
    <cellStyle name="Normal 5 4 3 2 5 2 3" xfId="13909"/>
    <cellStyle name="Normal 5 4 3 2 5 3" xfId="7165"/>
    <cellStyle name="Normal 5 4 3 2 5 4" xfId="12704"/>
    <cellStyle name="Normal 5 4 3 2 6" xfId="2997"/>
    <cellStyle name="Normal 5 4 3 2 6 2" xfId="8541"/>
    <cellStyle name="Normal 5 4 3 2 6 3" xfId="14080"/>
    <cellStyle name="Normal 5 4 3 2 7" xfId="4042"/>
    <cellStyle name="Normal 5 4 3 2 7 2" xfId="9584"/>
    <cellStyle name="Normal 5 4 3 2 7 3" xfId="15123"/>
    <cellStyle name="Normal 5 4 3 2 8" xfId="5079"/>
    <cellStyle name="Normal 5 4 3 2 8 2" xfId="10618"/>
    <cellStyle name="Normal 5 4 3 2 8 3" xfId="16157"/>
    <cellStyle name="Normal 5 4 3 2 9" xfId="1781"/>
    <cellStyle name="Normal 5 4 3 2 9 2" xfId="7327"/>
    <cellStyle name="Normal 5 4 3 2 9 3" xfId="12866"/>
    <cellStyle name="Normal 5 4 3 3" xfId="547"/>
    <cellStyle name="Normal 5 4 3 3 2" xfId="1388"/>
    <cellStyle name="Normal 5 4 3 3 2 2" xfId="3920"/>
    <cellStyle name="Normal 5 4 3 3 2 2 2" xfId="9462"/>
    <cellStyle name="Normal 5 4 3 3 2 2 3" xfId="15001"/>
    <cellStyle name="Normal 5 4 3 3 2 3" xfId="4957"/>
    <cellStyle name="Normal 5 4 3 3 2 3 2" xfId="10496"/>
    <cellStyle name="Normal 5 4 3 3 2 3 3" xfId="16035"/>
    <cellStyle name="Normal 5 4 3 3 2 4" xfId="5891"/>
    <cellStyle name="Normal 5 4 3 3 2 4 2" xfId="11430"/>
    <cellStyle name="Normal 5 4 3 3 2 4 3" xfId="16969"/>
    <cellStyle name="Normal 5 4 3 3 2 5" xfId="2593"/>
    <cellStyle name="Normal 5 4 3 3 2 5 2" xfId="8139"/>
    <cellStyle name="Normal 5 4 3 3 2 5 3" xfId="13678"/>
    <cellStyle name="Normal 5 4 3 3 2 6" xfId="6934"/>
    <cellStyle name="Normal 5 4 3 3 2 7" xfId="12473"/>
    <cellStyle name="Normal 5 4 3 3 3" xfId="1007"/>
    <cellStyle name="Normal 5 4 3 3 3 2" xfId="3537"/>
    <cellStyle name="Normal 5 4 3 3 3 2 2" xfId="9079"/>
    <cellStyle name="Normal 5 4 3 3 3 2 3" xfId="14618"/>
    <cellStyle name="Normal 5 4 3 3 3 3" xfId="4574"/>
    <cellStyle name="Normal 5 4 3 3 3 3 2" xfId="10113"/>
    <cellStyle name="Normal 5 4 3 3 3 3 3" xfId="15652"/>
    <cellStyle name="Normal 5 4 3 3 3 4" xfId="5509"/>
    <cellStyle name="Normal 5 4 3 3 3 4 2" xfId="11048"/>
    <cellStyle name="Normal 5 4 3 3 3 4 3" xfId="16587"/>
    <cellStyle name="Normal 5 4 3 3 3 5" xfId="2211"/>
    <cellStyle name="Normal 5 4 3 3 3 5 2" xfId="7757"/>
    <cellStyle name="Normal 5 4 3 3 3 5 3" xfId="13296"/>
    <cellStyle name="Normal 5 4 3 3 3 6" xfId="6552"/>
    <cellStyle name="Normal 5 4 3 3 3 7" xfId="12091"/>
    <cellStyle name="Normal 5 4 3 3 4" xfId="3206"/>
    <cellStyle name="Normal 5 4 3 3 4 2" xfId="8748"/>
    <cellStyle name="Normal 5 4 3 3 4 3" xfId="14287"/>
    <cellStyle name="Normal 5 4 3 3 5" xfId="4245"/>
    <cellStyle name="Normal 5 4 3 3 5 2" xfId="9784"/>
    <cellStyle name="Normal 5 4 3 3 5 3" xfId="15323"/>
    <cellStyle name="Normal 5 4 3 3 6" xfId="5206"/>
    <cellStyle name="Normal 5 4 3 3 6 2" xfId="10745"/>
    <cellStyle name="Normal 5 4 3 3 6 3" xfId="16284"/>
    <cellStyle name="Normal 5 4 3 3 7" xfId="1908"/>
    <cellStyle name="Normal 5 4 3 3 7 2" xfId="7454"/>
    <cellStyle name="Normal 5 4 3 3 7 3" xfId="12993"/>
    <cellStyle name="Normal 5 4 3 3 8" xfId="6249"/>
    <cellStyle name="Normal 5 4 3 3 9" xfId="11788"/>
    <cellStyle name="Normal 5 4 3 4" xfId="1184"/>
    <cellStyle name="Normal 5 4 3 4 2" xfId="3714"/>
    <cellStyle name="Normal 5 4 3 4 2 2" xfId="9256"/>
    <cellStyle name="Normal 5 4 3 4 2 3" xfId="14795"/>
    <cellStyle name="Normal 5 4 3 4 3" xfId="4751"/>
    <cellStyle name="Normal 5 4 3 4 3 2" xfId="10290"/>
    <cellStyle name="Normal 5 4 3 4 3 3" xfId="15829"/>
    <cellStyle name="Normal 5 4 3 4 4" xfId="5686"/>
    <cellStyle name="Normal 5 4 3 4 4 2" xfId="11225"/>
    <cellStyle name="Normal 5 4 3 4 4 3" xfId="16764"/>
    <cellStyle name="Normal 5 4 3 4 5" xfId="2388"/>
    <cellStyle name="Normal 5 4 3 4 5 2" xfId="7934"/>
    <cellStyle name="Normal 5 4 3 4 5 3" xfId="13473"/>
    <cellStyle name="Normal 5 4 3 4 6" xfId="6729"/>
    <cellStyle name="Normal 5 4 3 4 7" xfId="12268"/>
    <cellStyle name="Normal 5 4 3 5" xfId="872"/>
    <cellStyle name="Normal 5 4 3 5 2" xfId="3402"/>
    <cellStyle name="Normal 5 4 3 5 2 2" xfId="8944"/>
    <cellStyle name="Normal 5 4 3 5 2 3" xfId="14483"/>
    <cellStyle name="Normal 5 4 3 5 3" xfId="4439"/>
    <cellStyle name="Normal 5 4 3 5 3 2" xfId="9978"/>
    <cellStyle name="Normal 5 4 3 5 3 3" xfId="15517"/>
    <cellStyle name="Normal 5 4 3 5 4" xfId="5374"/>
    <cellStyle name="Normal 5 4 3 5 4 2" xfId="10913"/>
    <cellStyle name="Normal 5 4 3 5 4 3" xfId="16452"/>
    <cellStyle name="Normal 5 4 3 5 5" xfId="2076"/>
    <cellStyle name="Normal 5 4 3 5 5 2" xfId="7622"/>
    <cellStyle name="Normal 5 4 3 5 5 3" xfId="13161"/>
    <cellStyle name="Normal 5 4 3 5 6" xfId="6417"/>
    <cellStyle name="Normal 5 4 3 5 7" xfId="11956"/>
    <cellStyle name="Normal 5 4 3 6" xfId="1529"/>
    <cellStyle name="Normal 5 4 3 6 2" xfId="2734"/>
    <cellStyle name="Normal 5 4 3 6 2 2" xfId="8280"/>
    <cellStyle name="Normal 5 4 3 6 2 3" xfId="13819"/>
    <cellStyle name="Normal 5 4 3 6 3" xfId="7075"/>
    <cellStyle name="Normal 5 4 3 6 4" xfId="12614"/>
    <cellStyle name="Normal 5 4 3 7" xfId="2907"/>
    <cellStyle name="Normal 5 4 3 7 2" xfId="8451"/>
    <cellStyle name="Normal 5 4 3 7 3" xfId="13990"/>
    <cellStyle name="Normal 5 4 3 8" xfId="3091"/>
    <cellStyle name="Normal 5 4 3 8 2" xfId="8634"/>
    <cellStyle name="Normal 5 4 3 8 3" xfId="14173"/>
    <cellStyle name="Normal 5 4 3 9" xfId="4134"/>
    <cellStyle name="Normal 5 4 3 9 2" xfId="9675"/>
    <cellStyle name="Normal 5 4 3 9 3" xfId="15214"/>
    <cellStyle name="Normal 5 4 4" xfId="350"/>
    <cellStyle name="Normal 5 4 4 10" xfId="1673"/>
    <cellStyle name="Normal 5 4 4 10 2" xfId="7219"/>
    <cellStyle name="Normal 5 4 4 10 3" xfId="12758"/>
    <cellStyle name="Normal 5 4 4 11" xfId="6014"/>
    <cellStyle name="Normal 5 4 4 11 2" xfId="17092"/>
    <cellStyle name="Normal 5 4 4 12" xfId="658"/>
    <cellStyle name="Normal 5 4 4 12 2" xfId="17254"/>
    <cellStyle name="Normal 5 4 4 13" xfId="11553"/>
    <cellStyle name="Normal 5 4 4 14" xfId="17421"/>
    <cellStyle name="Normal 5 4 4 15" xfId="17586"/>
    <cellStyle name="Normal 5 4 4 2" xfId="351"/>
    <cellStyle name="Normal 5 4 4 2 10" xfId="6104"/>
    <cellStyle name="Normal 5 4 4 2 10 2" xfId="17182"/>
    <cellStyle name="Normal 5 4 4 2 11" xfId="748"/>
    <cellStyle name="Normal 5 4 4 2 11 2" xfId="17344"/>
    <cellStyle name="Normal 5 4 4 2 12" xfId="11643"/>
    <cellStyle name="Normal 5 4 4 2 13" xfId="17511"/>
    <cellStyle name="Normal 5 4 4 2 14" xfId="17676"/>
    <cellStyle name="Normal 5 4 4 2 2" xfId="550"/>
    <cellStyle name="Normal 5 4 4 2 2 2" xfId="1391"/>
    <cellStyle name="Normal 5 4 4 2 2 2 2" xfId="3923"/>
    <cellStyle name="Normal 5 4 4 2 2 2 2 2" xfId="9465"/>
    <cellStyle name="Normal 5 4 4 2 2 2 2 3" xfId="15004"/>
    <cellStyle name="Normal 5 4 4 2 2 2 3" xfId="4960"/>
    <cellStyle name="Normal 5 4 4 2 2 2 3 2" xfId="10499"/>
    <cellStyle name="Normal 5 4 4 2 2 2 3 3" xfId="16038"/>
    <cellStyle name="Normal 5 4 4 2 2 2 4" xfId="5894"/>
    <cellStyle name="Normal 5 4 4 2 2 2 4 2" xfId="11433"/>
    <cellStyle name="Normal 5 4 4 2 2 2 4 3" xfId="16972"/>
    <cellStyle name="Normal 5 4 4 2 2 2 5" xfId="2596"/>
    <cellStyle name="Normal 5 4 4 2 2 2 5 2" xfId="8142"/>
    <cellStyle name="Normal 5 4 4 2 2 2 5 3" xfId="13681"/>
    <cellStyle name="Normal 5 4 4 2 2 2 6" xfId="6937"/>
    <cellStyle name="Normal 5 4 4 2 2 2 7" xfId="12476"/>
    <cellStyle name="Normal 5 4 4 2 2 3" xfId="1079"/>
    <cellStyle name="Normal 5 4 4 2 2 3 2" xfId="3609"/>
    <cellStyle name="Normal 5 4 4 2 2 3 2 2" xfId="9151"/>
    <cellStyle name="Normal 5 4 4 2 2 3 2 3" xfId="14690"/>
    <cellStyle name="Normal 5 4 4 2 2 3 3" xfId="4646"/>
    <cellStyle name="Normal 5 4 4 2 2 3 3 2" xfId="10185"/>
    <cellStyle name="Normal 5 4 4 2 2 3 3 3" xfId="15724"/>
    <cellStyle name="Normal 5 4 4 2 2 3 4" xfId="5581"/>
    <cellStyle name="Normal 5 4 4 2 2 3 4 2" xfId="11120"/>
    <cellStyle name="Normal 5 4 4 2 2 3 4 3" xfId="16659"/>
    <cellStyle name="Normal 5 4 4 2 2 3 5" xfId="2283"/>
    <cellStyle name="Normal 5 4 4 2 2 3 5 2" xfId="7829"/>
    <cellStyle name="Normal 5 4 4 2 2 3 5 3" xfId="13368"/>
    <cellStyle name="Normal 5 4 4 2 2 3 6" xfId="6624"/>
    <cellStyle name="Normal 5 4 4 2 2 3 7" xfId="12163"/>
    <cellStyle name="Normal 5 4 4 2 2 4" xfId="3209"/>
    <cellStyle name="Normal 5 4 4 2 2 4 2" xfId="8751"/>
    <cellStyle name="Normal 5 4 4 2 2 4 3" xfId="14290"/>
    <cellStyle name="Normal 5 4 4 2 2 5" xfId="4248"/>
    <cellStyle name="Normal 5 4 4 2 2 5 2" xfId="9787"/>
    <cellStyle name="Normal 5 4 4 2 2 5 3" xfId="15326"/>
    <cellStyle name="Normal 5 4 4 2 2 6" xfId="5209"/>
    <cellStyle name="Normal 5 4 4 2 2 6 2" xfId="10748"/>
    <cellStyle name="Normal 5 4 4 2 2 6 3" xfId="16287"/>
    <cellStyle name="Normal 5 4 4 2 2 7" xfId="1911"/>
    <cellStyle name="Normal 5 4 4 2 2 7 2" xfId="7457"/>
    <cellStyle name="Normal 5 4 4 2 2 7 3" xfId="12996"/>
    <cellStyle name="Normal 5 4 4 2 2 8" xfId="6252"/>
    <cellStyle name="Normal 5 4 4 2 2 9" xfId="11791"/>
    <cellStyle name="Normal 5 4 4 2 3" xfId="1256"/>
    <cellStyle name="Normal 5 4 4 2 3 2" xfId="3786"/>
    <cellStyle name="Normal 5 4 4 2 3 2 2" xfId="9328"/>
    <cellStyle name="Normal 5 4 4 2 3 2 3" xfId="14867"/>
    <cellStyle name="Normal 5 4 4 2 3 3" xfId="4823"/>
    <cellStyle name="Normal 5 4 4 2 3 3 2" xfId="10362"/>
    <cellStyle name="Normal 5 4 4 2 3 3 3" xfId="15901"/>
    <cellStyle name="Normal 5 4 4 2 3 4" xfId="5758"/>
    <cellStyle name="Normal 5 4 4 2 3 4 2" xfId="11297"/>
    <cellStyle name="Normal 5 4 4 2 3 4 3" xfId="16836"/>
    <cellStyle name="Normal 5 4 4 2 3 5" xfId="2460"/>
    <cellStyle name="Normal 5 4 4 2 3 5 2" xfId="8006"/>
    <cellStyle name="Normal 5 4 4 2 3 5 3" xfId="13545"/>
    <cellStyle name="Normal 5 4 4 2 3 6" xfId="6801"/>
    <cellStyle name="Normal 5 4 4 2 3 7" xfId="12340"/>
    <cellStyle name="Normal 5 4 4 2 4" xfId="875"/>
    <cellStyle name="Normal 5 4 4 2 4 2" xfId="3405"/>
    <cellStyle name="Normal 5 4 4 2 4 2 2" xfId="8947"/>
    <cellStyle name="Normal 5 4 4 2 4 2 3" xfId="14486"/>
    <cellStyle name="Normal 5 4 4 2 4 3" xfId="4442"/>
    <cellStyle name="Normal 5 4 4 2 4 3 2" xfId="9981"/>
    <cellStyle name="Normal 5 4 4 2 4 3 3" xfId="15520"/>
    <cellStyle name="Normal 5 4 4 2 4 4" xfId="5377"/>
    <cellStyle name="Normal 5 4 4 2 4 4 2" xfId="10916"/>
    <cellStyle name="Normal 5 4 4 2 4 4 3" xfId="16455"/>
    <cellStyle name="Normal 5 4 4 2 4 5" xfId="2079"/>
    <cellStyle name="Normal 5 4 4 2 4 5 2" xfId="7625"/>
    <cellStyle name="Normal 5 4 4 2 4 5 3" xfId="13164"/>
    <cellStyle name="Normal 5 4 4 2 4 6" xfId="6420"/>
    <cellStyle name="Normal 5 4 4 2 4 7" xfId="11959"/>
    <cellStyle name="Normal 5 4 4 2 5" xfId="1601"/>
    <cellStyle name="Normal 5 4 4 2 5 2" xfId="2806"/>
    <cellStyle name="Normal 5 4 4 2 5 2 2" xfId="8352"/>
    <cellStyle name="Normal 5 4 4 2 5 2 3" xfId="13891"/>
    <cellStyle name="Normal 5 4 4 2 5 3" xfId="7147"/>
    <cellStyle name="Normal 5 4 4 2 5 4" xfId="12686"/>
    <cellStyle name="Normal 5 4 4 2 6" xfId="2979"/>
    <cellStyle name="Normal 5 4 4 2 6 2" xfId="8523"/>
    <cellStyle name="Normal 5 4 4 2 6 3" xfId="14062"/>
    <cellStyle name="Normal 5 4 4 2 7" xfId="4024"/>
    <cellStyle name="Normal 5 4 4 2 7 2" xfId="9566"/>
    <cellStyle name="Normal 5 4 4 2 7 3" xfId="15105"/>
    <cellStyle name="Normal 5 4 4 2 8" xfId="5061"/>
    <cellStyle name="Normal 5 4 4 2 8 2" xfId="10600"/>
    <cellStyle name="Normal 5 4 4 2 8 3" xfId="16139"/>
    <cellStyle name="Normal 5 4 4 2 9" xfId="1763"/>
    <cellStyle name="Normal 5 4 4 2 9 2" xfId="7309"/>
    <cellStyle name="Normal 5 4 4 2 9 3" xfId="12848"/>
    <cellStyle name="Normal 5 4 4 3" xfId="549"/>
    <cellStyle name="Normal 5 4 4 3 2" xfId="1390"/>
    <cellStyle name="Normal 5 4 4 3 2 2" xfId="3922"/>
    <cellStyle name="Normal 5 4 4 3 2 2 2" xfId="9464"/>
    <cellStyle name="Normal 5 4 4 3 2 2 3" xfId="15003"/>
    <cellStyle name="Normal 5 4 4 3 2 3" xfId="4959"/>
    <cellStyle name="Normal 5 4 4 3 2 3 2" xfId="10498"/>
    <cellStyle name="Normal 5 4 4 3 2 3 3" xfId="16037"/>
    <cellStyle name="Normal 5 4 4 3 2 4" xfId="5893"/>
    <cellStyle name="Normal 5 4 4 3 2 4 2" xfId="11432"/>
    <cellStyle name="Normal 5 4 4 3 2 4 3" xfId="16971"/>
    <cellStyle name="Normal 5 4 4 3 2 5" xfId="2595"/>
    <cellStyle name="Normal 5 4 4 3 2 5 2" xfId="8141"/>
    <cellStyle name="Normal 5 4 4 3 2 5 3" xfId="13680"/>
    <cellStyle name="Normal 5 4 4 3 2 6" xfId="6936"/>
    <cellStyle name="Normal 5 4 4 3 2 7" xfId="12475"/>
    <cellStyle name="Normal 5 4 4 3 3" xfId="989"/>
    <cellStyle name="Normal 5 4 4 3 3 2" xfId="3519"/>
    <cellStyle name="Normal 5 4 4 3 3 2 2" xfId="9061"/>
    <cellStyle name="Normal 5 4 4 3 3 2 3" xfId="14600"/>
    <cellStyle name="Normal 5 4 4 3 3 3" xfId="4556"/>
    <cellStyle name="Normal 5 4 4 3 3 3 2" xfId="10095"/>
    <cellStyle name="Normal 5 4 4 3 3 3 3" xfId="15634"/>
    <cellStyle name="Normal 5 4 4 3 3 4" xfId="5491"/>
    <cellStyle name="Normal 5 4 4 3 3 4 2" xfId="11030"/>
    <cellStyle name="Normal 5 4 4 3 3 4 3" xfId="16569"/>
    <cellStyle name="Normal 5 4 4 3 3 5" xfId="2193"/>
    <cellStyle name="Normal 5 4 4 3 3 5 2" xfId="7739"/>
    <cellStyle name="Normal 5 4 4 3 3 5 3" xfId="13278"/>
    <cellStyle name="Normal 5 4 4 3 3 6" xfId="6534"/>
    <cellStyle name="Normal 5 4 4 3 3 7" xfId="12073"/>
    <cellStyle name="Normal 5 4 4 3 4" xfId="3208"/>
    <cellStyle name="Normal 5 4 4 3 4 2" xfId="8750"/>
    <cellStyle name="Normal 5 4 4 3 4 3" xfId="14289"/>
    <cellStyle name="Normal 5 4 4 3 5" xfId="4247"/>
    <cellStyle name="Normal 5 4 4 3 5 2" xfId="9786"/>
    <cellStyle name="Normal 5 4 4 3 5 3" xfId="15325"/>
    <cellStyle name="Normal 5 4 4 3 6" xfId="5208"/>
    <cellStyle name="Normal 5 4 4 3 6 2" xfId="10747"/>
    <cellStyle name="Normal 5 4 4 3 6 3" xfId="16286"/>
    <cellStyle name="Normal 5 4 4 3 7" xfId="1910"/>
    <cellStyle name="Normal 5 4 4 3 7 2" xfId="7456"/>
    <cellStyle name="Normal 5 4 4 3 7 3" xfId="12995"/>
    <cellStyle name="Normal 5 4 4 3 8" xfId="6251"/>
    <cellStyle name="Normal 5 4 4 3 9" xfId="11790"/>
    <cellStyle name="Normal 5 4 4 4" xfId="1166"/>
    <cellStyle name="Normal 5 4 4 4 2" xfId="3696"/>
    <cellStyle name="Normal 5 4 4 4 2 2" xfId="9238"/>
    <cellStyle name="Normal 5 4 4 4 2 3" xfId="14777"/>
    <cellStyle name="Normal 5 4 4 4 3" xfId="4733"/>
    <cellStyle name="Normal 5 4 4 4 3 2" xfId="10272"/>
    <cellStyle name="Normal 5 4 4 4 3 3" xfId="15811"/>
    <cellStyle name="Normal 5 4 4 4 4" xfId="5668"/>
    <cellStyle name="Normal 5 4 4 4 4 2" xfId="11207"/>
    <cellStyle name="Normal 5 4 4 4 4 3" xfId="16746"/>
    <cellStyle name="Normal 5 4 4 4 5" xfId="2370"/>
    <cellStyle name="Normal 5 4 4 4 5 2" xfId="7916"/>
    <cellStyle name="Normal 5 4 4 4 5 3" xfId="13455"/>
    <cellStyle name="Normal 5 4 4 4 6" xfId="6711"/>
    <cellStyle name="Normal 5 4 4 4 7" xfId="12250"/>
    <cellStyle name="Normal 5 4 4 5" xfId="874"/>
    <cellStyle name="Normal 5 4 4 5 2" xfId="3404"/>
    <cellStyle name="Normal 5 4 4 5 2 2" xfId="8946"/>
    <cellStyle name="Normal 5 4 4 5 2 3" xfId="14485"/>
    <cellStyle name="Normal 5 4 4 5 3" xfId="4441"/>
    <cellStyle name="Normal 5 4 4 5 3 2" xfId="9980"/>
    <cellStyle name="Normal 5 4 4 5 3 3" xfId="15519"/>
    <cellStyle name="Normal 5 4 4 5 4" xfId="5376"/>
    <cellStyle name="Normal 5 4 4 5 4 2" xfId="10915"/>
    <cellStyle name="Normal 5 4 4 5 4 3" xfId="16454"/>
    <cellStyle name="Normal 5 4 4 5 5" xfId="2078"/>
    <cellStyle name="Normal 5 4 4 5 5 2" xfId="7624"/>
    <cellStyle name="Normal 5 4 4 5 5 3" xfId="13163"/>
    <cellStyle name="Normal 5 4 4 5 6" xfId="6419"/>
    <cellStyle name="Normal 5 4 4 5 7" xfId="11958"/>
    <cellStyle name="Normal 5 4 4 6" xfId="1511"/>
    <cellStyle name="Normal 5 4 4 6 2" xfId="2716"/>
    <cellStyle name="Normal 5 4 4 6 2 2" xfId="8262"/>
    <cellStyle name="Normal 5 4 4 6 2 3" xfId="13801"/>
    <cellStyle name="Normal 5 4 4 6 3" xfId="7057"/>
    <cellStyle name="Normal 5 4 4 6 4" xfId="12596"/>
    <cellStyle name="Normal 5 4 4 7" xfId="2889"/>
    <cellStyle name="Normal 5 4 4 7 2" xfId="8433"/>
    <cellStyle name="Normal 5 4 4 7 3" xfId="13972"/>
    <cellStyle name="Normal 5 4 4 8" xfId="3297"/>
    <cellStyle name="Normal 5 4 4 8 2" xfId="8839"/>
    <cellStyle name="Normal 5 4 4 8 3" xfId="14378"/>
    <cellStyle name="Normal 5 4 4 9" xfId="4336"/>
    <cellStyle name="Normal 5 4 4 9 2" xfId="9875"/>
    <cellStyle name="Normal 5 4 4 9 3" xfId="15414"/>
    <cellStyle name="Normal 5 4 5" xfId="352"/>
    <cellStyle name="Normal 5 4 5 10" xfId="1709"/>
    <cellStyle name="Normal 5 4 5 10 2" xfId="7255"/>
    <cellStyle name="Normal 5 4 5 10 3" xfId="12794"/>
    <cellStyle name="Normal 5 4 5 11" xfId="6050"/>
    <cellStyle name="Normal 5 4 5 11 2" xfId="17128"/>
    <cellStyle name="Normal 5 4 5 12" xfId="694"/>
    <cellStyle name="Normal 5 4 5 12 2" xfId="17290"/>
    <cellStyle name="Normal 5 4 5 13" xfId="11589"/>
    <cellStyle name="Normal 5 4 5 14" xfId="17457"/>
    <cellStyle name="Normal 5 4 5 15" xfId="17622"/>
    <cellStyle name="Normal 5 4 5 2" xfId="353"/>
    <cellStyle name="Normal 5 4 5 2 10" xfId="6086"/>
    <cellStyle name="Normal 5 4 5 2 10 2" xfId="17164"/>
    <cellStyle name="Normal 5 4 5 2 11" xfId="730"/>
    <cellStyle name="Normal 5 4 5 2 11 2" xfId="17326"/>
    <cellStyle name="Normal 5 4 5 2 12" xfId="11625"/>
    <cellStyle name="Normal 5 4 5 2 13" xfId="17493"/>
    <cellStyle name="Normal 5 4 5 2 14" xfId="17658"/>
    <cellStyle name="Normal 5 4 5 2 2" xfId="552"/>
    <cellStyle name="Normal 5 4 5 2 2 2" xfId="1393"/>
    <cellStyle name="Normal 5 4 5 2 2 2 2" xfId="3925"/>
    <cellStyle name="Normal 5 4 5 2 2 2 2 2" xfId="9467"/>
    <cellStyle name="Normal 5 4 5 2 2 2 2 3" xfId="15006"/>
    <cellStyle name="Normal 5 4 5 2 2 2 3" xfId="4962"/>
    <cellStyle name="Normal 5 4 5 2 2 2 3 2" xfId="10501"/>
    <cellStyle name="Normal 5 4 5 2 2 2 3 3" xfId="16040"/>
    <cellStyle name="Normal 5 4 5 2 2 2 4" xfId="5896"/>
    <cellStyle name="Normal 5 4 5 2 2 2 4 2" xfId="11435"/>
    <cellStyle name="Normal 5 4 5 2 2 2 4 3" xfId="16974"/>
    <cellStyle name="Normal 5 4 5 2 2 2 5" xfId="2598"/>
    <cellStyle name="Normal 5 4 5 2 2 2 5 2" xfId="8144"/>
    <cellStyle name="Normal 5 4 5 2 2 2 5 3" xfId="13683"/>
    <cellStyle name="Normal 5 4 5 2 2 2 6" xfId="6939"/>
    <cellStyle name="Normal 5 4 5 2 2 2 7" xfId="12478"/>
    <cellStyle name="Normal 5 4 5 2 2 3" xfId="1061"/>
    <cellStyle name="Normal 5 4 5 2 2 3 2" xfId="3591"/>
    <cellStyle name="Normal 5 4 5 2 2 3 2 2" xfId="9133"/>
    <cellStyle name="Normal 5 4 5 2 2 3 2 3" xfId="14672"/>
    <cellStyle name="Normal 5 4 5 2 2 3 3" xfId="4628"/>
    <cellStyle name="Normal 5 4 5 2 2 3 3 2" xfId="10167"/>
    <cellStyle name="Normal 5 4 5 2 2 3 3 3" xfId="15706"/>
    <cellStyle name="Normal 5 4 5 2 2 3 4" xfId="5563"/>
    <cellStyle name="Normal 5 4 5 2 2 3 4 2" xfId="11102"/>
    <cellStyle name="Normal 5 4 5 2 2 3 4 3" xfId="16641"/>
    <cellStyle name="Normal 5 4 5 2 2 3 5" xfId="2265"/>
    <cellStyle name="Normal 5 4 5 2 2 3 5 2" xfId="7811"/>
    <cellStyle name="Normal 5 4 5 2 2 3 5 3" xfId="13350"/>
    <cellStyle name="Normal 5 4 5 2 2 3 6" xfId="6606"/>
    <cellStyle name="Normal 5 4 5 2 2 3 7" xfId="12145"/>
    <cellStyle name="Normal 5 4 5 2 2 4" xfId="3211"/>
    <cellStyle name="Normal 5 4 5 2 2 4 2" xfId="8753"/>
    <cellStyle name="Normal 5 4 5 2 2 4 3" xfId="14292"/>
    <cellStyle name="Normal 5 4 5 2 2 5" xfId="4250"/>
    <cellStyle name="Normal 5 4 5 2 2 5 2" xfId="9789"/>
    <cellStyle name="Normal 5 4 5 2 2 5 3" xfId="15328"/>
    <cellStyle name="Normal 5 4 5 2 2 6" xfId="5211"/>
    <cellStyle name="Normal 5 4 5 2 2 6 2" xfId="10750"/>
    <cellStyle name="Normal 5 4 5 2 2 6 3" xfId="16289"/>
    <cellStyle name="Normal 5 4 5 2 2 7" xfId="1913"/>
    <cellStyle name="Normal 5 4 5 2 2 7 2" xfId="7459"/>
    <cellStyle name="Normal 5 4 5 2 2 7 3" xfId="12998"/>
    <cellStyle name="Normal 5 4 5 2 2 8" xfId="6254"/>
    <cellStyle name="Normal 5 4 5 2 2 9" xfId="11793"/>
    <cellStyle name="Normal 5 4 5 2 3" xfId="1238"/>
    <cellStyle name="Normal 5 4 5 2 3 2" xfId="3768"/>
    <cellStyle name="Normal 5 4 5 2 3 2 2" xfId="9310"/>
    <cellStyle name="Normal 5 4 5 2 3 2 3" xfId="14849"/>
    <cellStyle name="Normal 5 4 5 2 3 3" xfId="4805"/>
    <cellStyle name="Normal 5 4 5 2 3 3 2" xfId="10344"/>
    <cellStyle name="Normal 5 4 5 2 3 3 3" xfId="15883"/>
    <cellStyle name="Normal 5 4 5 2 3 4" xfId="5740"/>
    <cellStyle name="Normal 5 4 5 2 3 4 2" xfId="11279"/>
    <cellStyle name="Normal 5 4 5 2 3 4 3" xfId="16818"/>
    <cellStyle name="Normal 5 4 5 2 3 5" xfId="2442"/>
    <cellStyle name="Normal 5 4 5 2 3 5 2" xfId="7988"/>
    <cellStyle name="Normal 5 4 5 2 3 5 3" xfId="13527"/>
    <cellStyle name="Normal 5 4 5 2 3 6" xfId="6783"/>
    <cellStyle name="Normal 5 4 5 2 3 7" xfId="12322"/>
    <cellStyle name="Normal 5 4 5 2 4" xfId="877"/>
    <cellStyle name="Normal 5 4 5 2 4 2" xfId="3407"/>
    <cellStyle name="Normal 5 4 5 2 4 2 2" xfId="8949"/>
    <cellStyle name="Normal 5 4 5 2 4 2 3" xfId="14488"/>
    <cellStyle name="Normal 5 4 5 2 4 3" xfId="4444"/>
    <cellStyle name="Normal 5 4 5 2 4 3 2" xfId="9983"/>
    <cellStyle name="Normal 5 4 5 2 4 3 3" xfId="15522"/>
    <cellStyle name="Normal 5 4 5 2 4 4" xfId="5379"/>
    <cellStyle name="Normal 5 4 5 2 4 4 2" xfId="10918"/>
    <cellStyle name="Normal 5 4 5 2 4 4 3" xfId="16457"/>
    <cellStyle name="Normal 5 4 5 2 4 5" xfId="2081"/>
    <cellStyle name="Normal 5 4 5 2 4 5 2" xfId="7627"/>
    <cellStyle name="Normal 5 4 5 2 4 5 3" xfId="13166"/>
    <cellStyle name="Normal 5 4 5 2 4 6" xfId="6422"/>
    <cellStyle name="Normal 5 4 5 2 4 7" xfId="11961"/>
    <cellStyle name="Normal 5 4 5 2 5" xfId="1583"/>
    <cellStyle name="Normal 5 4 5 2 5 2" xfId="2788"/>
    <cellStyle name="Normal 5 4 5 2 5 2 2" xfId="8334"/>
    <cellStyle name="Normal 5 4 5 2 5 2 3" xfId="13873"/>
    <cellStyle name="Normal 5 4 5 2 5 3" xfId="7129"/>
    <cellStyle name="Normal 5 4 5 2 5 4" xfId="12668"/>
    <cellStyle name="Normal 5 4 5 2 6" xfId="2961"/>
    <cellStyle name="Normal 5 4 5 2 6 2" xfId="8505"/>
    <cellStyle name="Normal 5 4 5 2 6 3" xfId="14044"/>
    <cellStyle name="Normal 5 4 5 2 7" xfId="4006"/>
    <cellStyle name="Normal 5 4 5 2 7 2" xfId="9548"/>
    <cellStyle name="Normal 5 4 5 2 7 3" xfId="15087"/>
    <cellStyle name="Normal 5 4 5 2 8" xfId="5043"/>
    <cellStyle name="Normal 5 4 5 2 8 2" xfId="10582"/>
    <cellStyle name="Normal 5 4 5 2 8 3" xfId="16121"/>
    <cellStyle name="Normal 5 4 5 2 9" xfId="1745"/>
    <cellStyle name="Normal 5 4 5 2 9 2" xfId="7291"/>
    <cellStyle name="Normal 5 4 5 2 9 3" xfId="12830"/>
    <cellStyle name="Normal 5 4 5 3" xfId="551"/>
    <cellStyle name="Normal 5 4 5 3 2" xfId="1392"/>
    <cellStyle name="Normal 5 4 5 3 2 2" xfId="3924"/>
    <cellStyle name="Normal 5 4 5 3 2 2 2" xfId="9466"/>
    <cellStyle name="Normal 5 4 5 3 2 2 3" xfId="15005"/>
    <cellStyle name="Normal 5 4 5 3 2 3" xfId="4961"/>
    <cellStyle name="Normal 5 4 5 3 2 3 2" xfId="10500"/>
    <cellStyle name="Normal 5 4 5 3 2 3 3" xfId="16039"/>
    <cellStyle name="Normal 5 4 5 3 2 4" xfId="5895"/>
    <cellStyle name="Normal 5 4 5 3 2 4 2" xfId="11434"/>
    <cellStyle name="Normal 5 4 5 3 2 4 3" xfId="16973"/>
    <cellStyle name="Normal 5 4 5 3 2 5" xfId="2597"/>
    <cellStyle name="Normal 5 4 5 3 2 5 2" xfId="8143"/>
    <cellStyle name="Normal 5 4 5 3 2 5 3" xfId="13682"/>
    <cellStyle name="Normal 5 4 5 3 2 6" xfId="6938"/>
    <cellStyle name="Normal 5 4 5 3 2 7" xfId="12477"/>
    <cellStyle name="Normal 5 4 5 3 3" xfId="1025"/>
    <cellStyle name="Normal 5 4 5 3 3 2" xfId="3555"/>
    <cellStyle name="Normal 5 4 5 3 3 2 2" xfId="9097"/>
    <cellStyle name="Normal 5 4 5 3 3 2 3" xfId="14636"/>
    <cellStyle name="Normal 5 4 5 3 3 3" xfId="4592"/>
    <cellStyle name="Normal 5 4 5 3 3 3 2" xfId="10131"/>
    <cellStyle name="Normal 5 4 5 3 3 3 3" xfId="15670"/>
    <cellStyle name="Normal 5 4 5 3 3 4" xfId="5527"/>
    <cellStyle name="Normal 5 4 5 3 3 4 2" xfId="11066"/>
    <cellStyle name="Normal 5 4 5 3 3 4 3" xfId="16605"/>
    <cellStyle name="Normal 5 4 5 3 3 5" xfId="2229"/>
    <cellStyle name="Normal 5 4 5 3 3 5 2" xfId="7775"/>
    <cellStyle name="Normal 5 4 5 3 3 5 3" xfId="13314"/>
    <cellStyle name="Normal 5 4 5 3 3 6" xfId="6570"/>
    <cellStyle name="Normal 5 4 5 3 3 7" xfId="12109"/>
    <cellStyle name="Normal 5 4 5 3 4" xfId="3210"/>
    <cellStyle name="Normal 5 4 5 3 4 2" xfId="8752"/>
    <cellStyle name="Normal 5 4 5 3 4 3" xfId="14291"/>
    <cellStyle name="Normal 5 4 5 3 5" xfId="4249"/>
    <cellStyle name="Normal 5 4 5 3 5 2" xfId="9788"/>
    <cellStyle name="Normal 5 4 5 3 5 3" xfId="15327"/>
    <cellStyle name="Normal 5 4 5 3 6" xfId="5210"/>
    <cellStyle name="Normal 5 4 5 3 6 2" xfId="10749"/>
    <cellStyle name="Normal 5 4 5 3 6 3" xfId="16288"/>
    <cellStyle name="Normal 5 4 5 3 7" xfId="1912"/>
    <cellStyle name="Normal 5 4 5 3 7 2" xfId="7458"/>
    <cellStyle name="Normal 5 4 5 3 7 3" xfId="12997"/>
    <cellStyle name="Normal 5 4 5 3 8" xfId="6253"/>
    <cellStyle name="Normal 5 4 5 3 9" xfId="11792"/>
    <cellStyle name="Normal 5 4 5 4" xfId="1202"/>
    <cellStyle name="Normal 5 4 5 4 2" xfId="3732"/>
    <cellStyle name="Normal 5 4 5 4 2 2" xfId="9274"/>
    <cellStyle name="Normal 5 4 5 4 2 3" xfId="14813"/>
    <cellStyle name="Normal 5 4 5 4 3" xfId="4769"/>
    <cellStyle name="Normal 5 4 5 4 3 2" xfId="10308"/>
    <cellStyle name="Normal 5 4 5 4 3 3" xfId="15847"/>
    <cellStyle name="Normal 5 4 5 4 4" xfId="5704"/>
    <cellStyle name="Normal 5 4 5 4 4 2" xfId="11243"/>
    <cellStyle name="Normal 5 4 5 4 4 3" xfId="16782"/>
    <cellStyle name="Normal 5 4 5 4 5" xfId="2406"/>
    <cellStyle name="Normal 5 4 5 4 5 2" xfId="7952"/>
    <cellStyle name="Normal 5 4 5 4 5 3" xfId="13491"/>
    <cellStyle name="Normal 5 4 5 4 6" xfId="6747"/>
    <cellStyle name="Normal 5 4 5 4 7" xfId="12286"/>
    <cellStyle name="Normal 5 4 5 5" xfId="876"/>
    <cellStyle name="Normal 5 4 5 5 2" xfId="3406"/>
    <cellStyle name="Normal 5 4 5 5 2 2" xfId="8948"/>
    <cellStyle name="Normal 5 4 5 5 2 3" xfId="14487"/>
    <cellStyle name="Normal 5 4 5 5 3" xfId="4443"/>
    <cellStyle name="Normal 5 4 5 5 3 2" xfId="9982"/>
    <cellStyle name="Normal 5 4 5 5 3 3" xfId="15521"/>
    <cellStyle name="Normal 5 4 5 5 4" xfId="5378"/>
    <cellStyle name="Normal 5 4 5 5 4 2" xfId="10917"/>
    <cellStyle name="Normal 5 4 5 5 4 3" xfId="16456"/>
    <cellStyle name="Normal 5 4 5 5 5" xfId="2080"/>
    <cellStyle name="Normal 5 4 5 5 5 2" xfId="7626"/>
    <cellStyle name="Normal 5 4 5 5 5 3" xfId="13165"/>
    <cellStyle name="Normal 5 4 5 5 6" xfId="6421"/>
    <cellStyle name="Normal 5 4 5 5 7" xfId="11960"/>
    <cellStyle name="Normal 5 4 5 6" xfId="1547"/>
    <cellStyle name="Normal 5 4 5 6 2" xfId="2752"/>
    <cellStyle name="Normal 5 4 5 6 2 2" xfId="8298"/>
    <cellStyle name="Normal 5 4 5 6 2 3" xfId="13837"/>
    <cellStyle name="Normal 5 4 5 6 3" xfId="7093"/>
    <cellStyle name="Normal 5 4 5 6 4" xfId="12632"/>
    <cellStyle name="Normal 5 4 5 7" xfId="2925"/>
    <cellStyle name="Normal 5 4 5 7 2" xfId="8469"/>
    <cellStyle name="Normal 5 4 5 7 3" xfId="14008"/>
    <cellStyle name="Normal 5 4 5 8" xfId="3082"/>
    <cellStyle name="Normal 5 4 5 8 2" xfId="8625"/>
    <cellStyle name="Normal 5 4 5 8 3" xfId="14164"/>
    <cellStyle name="Normal 5 4 5 9" xfId="4125"/>
    <cellStyle name="Normal 5 4 5 9 2" xfId="9666"/>
    <cellStyle name="Normal 5 4 5 9 3" xfId="15205"/>
    <cellStyle name="Normal 5 4 6" xfId="354"/>
    <cellStyle name="Normal 5 4 6 10" xfId="6068"/>
    <cellStyle name="Normal 5 4 6 10 2" xfId="17146"/>
    <cellStyle name="Normal 5 4 6 11" xfId="712"/>
    <cellStyle name="Normal 5 4 6 11 2" xfId="17308"/>
    <cellStyle name="Normal 5 4 6 12" xfId="11607"/>
    <cellStyle name="Normal 5 4 6 13" xfId="17475"/>
    <cellStyle name="Normal 5 4 6 14" xfId="17640"/>
    <cellStyle name="Normal 5 4 6 2" xfId="553"/>
    <cellStyle name="Normal 5 4 6 2 2" xfId="1394"/>
    <cellStyle name="Normal 5 4 6 2 2 2" xfId="3926"/>
    <cellStyle name="Normal 5 4 6 2 2 2 2" xfId="9468"/>
    <cellStyle name="Normal 5 4 6 2 2 2 3" xfId="15007"/>
    <cellStyle name="Normal 5 4 6 2 2 3" xfId="4963"/>
    <cellStyle name="Normal 5 4 6 2 2 3 2" xfId="10502"/>
    <cellStyle name="Normal 5 4 6 2 2 3 3" xfId="16041"/>
    <cellStyle name="Normal 5 4 6 2 2 4" xfId="5897"/>
    <cellStyle name="Normal 5 4 6 2 2 4 2" xfId="11436"/>
    <cellStyle name="Normal 5 4 6 2 2 4 3" xfId="16975"/>
    <cellStyle name="Normal 5 4 6 2 2 5" xfId="2599"/>
    <cellStyle name="Normal 5 4 6 2 2 5 2" xfId="8145"/>
    <cellStyle name="Normal 5 4 6 2 2 5 3" xfId="13684"/>
    <cellStyle name="Normal 5 4 6 2 2 6" xfId="6940"/>
    <cellStyle name="Normal 5 4 6 2 2 7" xfId="12479"/>
    <cellStyle name="Normal 5 4 6 2 3" xfId="1043"/>
    <cellStyle name="Normal 5 4 6 2 3 2" xfId="3573"/>
    <cellStyle name="Normal 5 4 6 2 3 2 2" xfId="9115"/>
    <cellStyle name="Normal 5 4 6 2 3 2 3" xfId="14654"/>
    <cellStyle name="Normal 5 4 6 2 3 3" xfId="4610"/>
    <cellStyle name="Normal 5 4 6 2 3 3 2" xfId="10149"/>
    <cellStyle name="Normal 5 4 6 2 3 3 3" xfId="15688"/>
    <cellStyle name="Normal 5 4 6 2 3 4" xfId="5545"/>
    <cellStyle name="Normal 5 4 6 2 3 4 2" xfId="11084"/>
    <cellStyle name="Normal 5 4 6 2 3 4 3" xfId="16623"/>
    <cellStyle name="Normal 5 4 6 2 3 5" xfId="2247"/>
    <cellStyle name="Normal 5 4 6 2 3 5 2" xfId="7793"/>
    <cellStyle name="Normal 5 4 6 2 3 5 3" xfId="13332"/>
    <cellStyle name="Normal 5 4 6 2 3 6" xfId="6588"/>
    <cellStyle name="Normal 5 4 6 2 3 7" xfId="12127"/>
    <cellStyle name="Normal 5 4 6 2 4" xfId="3212"/>
    <cellStyle name="Normal 5 4 6 2 4 2" xfId="8754"/>
    <cellStyle name="Normal 5 4 6 2 4 3" xfId="14293"/>
    <cellStyle name="Normal 5 4 6 2 5" xfId="4251"/>
    <cellStyle name="Normal 5 4 6 2 5 2" xfId="9790"/>
    <cellStyle name="Normal 5 4 6 2 5 3" xfId="15329"/>
    <cellStyle name="Normal 5 4 6 2 6" xfId="5212"/>
    <cellStyle name="Normal 5 4 6 2 6 2" xfId="10751"/>
    <cellStyle name="Normal 5 4 6 2 6 3" xfId="16290"/>
    <cellStyle name="Normal 5 4 6 2 7" xfId="1914"/>
    <cellStyle name="Normal 5 4 6 2 7 2" xfId="7460"/>
    <cellStyle name="Normal 5 4 6 2 7 3" xfId="12999"/>
    <cellStyle name="Normal 5 4 6 2 8" xfId="6255"/>
    <cellStyle name="Normal 5 4 6 2 9" xfId="11794"/>
    <cellStyle name="Normal 5 4 6 3" xfId="1220"/>
    <cellStyle name="Normal 5 4 6 3 2" xfId="3750"/>
    <cellStyle name="Normal 5 4 6 3 2 2" xfId="9292"/>
    <cellStyle name="Normal 5 4 6 3 2 3" xfId="14831"/>
    <cellStyle name="Normal 5 4 6 3 3" xfId="4787"/>
    <cellStyle name="Normal 5 4 6 3 3 2" xfId="10326"/>
    <cellStyle name="Normal 5 4 6 3 3 3" xfId="15865"/>
    <cellStyle name="Normal 5 4 6 3 4" xfId="5722"/>
    <cellStyle name="Normal 5 4 6 3 4 2" xfId="11261"/>
    <cellStyle name="Normal 5 4 6 3 4 3" xfId="16800"/>
    <cellStyle name="Normal 5 4 6 3 5" xfId="2424"/>
    <cellStyle name="Normal 5 4 6 3 5 2" xfId="7970"/>
    <cellStyle name="Normal 5 4 6 3 5 3" xfId="13509"/>
    <cellStyle name="Normal 5 4 6 3 6" xfId="6765"/>
    <cellStyle name="Normal 5 4 6 3 7" xfId="12304"/>
    <cellStyle name="Normal 5 4 6 4" xfId="878"/>
    <cellStyle name="Normal 5 4 6 4 2" xfId="3408"/>
    <cellStyle name="Normal 5 4 6 4 2 2" xfId="8950"/>
    <cellStyle name="Normal 5 4 6 4 2 3" xfId="14489"/>
    <cellStyle name="Normal 5 4 6 4 3" xfId="4445"/>
    <cellStyle name="Normal 5 4 6 4 3 2" xfId="9984"/>
    <cellStyle name="Normal 5 4 6 4 3 3" xfId="15523"/>
    <cellStyle name="Normal 5 4 6 4 4" xfId="5380"/>
    <cellStyle name="Normal 5 4 6 4 4 2" xfId="10919"/>
    <cellStyle name="Normal 5 4 6 4 4 3" xfId="16458"/>
    <cellStyle name="Normal 5 4 6 4 5" xfId="2082"/>
    <cellStyle name="Normal 5 4 6 4 5 2" xfId="7628"/>
    <cellStyle name="Normal 5 4 6 4 5 3" xfId="13167"/>
    <cellStyle name="Normal 5 4 6 4 6" xfId="6423"/>
    <cellStyle name="Normal 5 4 6 4 7" xfId="11962"/>
    <cellStyle name="Normal 5 4 6 5" xfId="1565"/>
    <cellStyle name="Normal 5 4 6 5 2" xfId="2770"/>
    <cellStyle name="Normal 5 4 6 5 2 2" xfId="8316"/>
    <cellStyle name="Normal 5 4 6 5 2 3" xfId="13855"/>
    <cellStyle name="Normal 5 4 6 5 3" xfId="7111"/>
    <cellStyle name="Normal 5 4 6 5 4" xfId="12650"/>
    <cellStyle name="Normal 5 4 6 6" xfId="2943"/>
    <cellStyle name="Normal 5 4 6 6 2" xfId="8487"/>
    <cellStyle name="Normal 5 4 6 6 3" xfId="14026"/>
    <cellStyle name="Normal 5 4 6 7" xfId="3073"/>
    <cellStyle name="Normal 5 4 6 7 2" xfId="8616"/>
    <cellStyle name="Normal 5 4 6 7 3" xfId="14155"/>
    <cellStyle name="Normal 5 4 6 8" xfId="4116"/>
    <cellStyle name="Normal 5 4 6 8 2" xfId="9657"/>
    <cellStyle name="Normal 5 4 6 8 3" xfId="15196"/>
    <cellStyle name="Normal 5 4 6 9" xfId="1727"/>
    <cellStyle name="Normal 5 4 6 9 2" xfId="7273"/>
    <cellStyle name="Normal 5 4 6 9 3" xfId="12812"/>
    <cellStyle name="Normal 5 4 7" xfId="355"/>
    <cellStyle name="Normal 5 4 7 10" xfId="5996"/>
    <cellStyle name="Normal 5 4 7 10 2" xfId="17074"/>
    <cellStyle name="Normal 5 4 7 11" xfId="640"/>
    <cellStyle name="Normal 5 4 7 11 2" xfId="17236"/>
    <cellStyle name="Normal 5 4 7 12" xfId="11535"/>
    <cellStyle name="Normal 5 4 7 13" xfId="17403"/>
    <cellStyle name="Normal 5 4 7 14" xfId="17568"/>
    <cellStyle name="Normal 5 4 7 2" xfId="554"/>
    <cellStyle name="Normal 5 4 7 2 2" xfId="1395"/>
    <cellStyle name="Normal 5 4 7 2 2 2" xfId="3927"/>
    <cellStyle name="Normal 5 4 7 2 2 2 2" xfId="9469"/>
    <cellStyle name="Normal 5 4 7 2 2 2 3" xfId="15008"/>
    <cellStyle name="Normal 5 4 7 2 2 3" xfId="4964"/>
    <cellStyle name="Normal 5 4 7 2 2 3 2" xfId="10503"/>
    <cellStyle name="Normal 5 4 7 2 2 3 3" xfId="16042"/>
    <cellStyle name="Normal 5 4 7 2 2 4" xfId="5898"/>
    <cellStyle name="Normal 5 4 7 2 2 4 2" xfId="11437"/>
    <cellStyle name="Normal 5 4 7 2 2 4 3" xfId="16976"/>
    <cellStyle name="Normal 5 4 7 2 2 5" xfId="2600"/>
    <cellStyle name="Normal 5 4 7 2 2 5 2" xfId="8146"/>
    <cellStyle name="Normal 5 4 7 2 2 5 3" xfId="13685"/>
    <cellStyle name="Normal 5 4 7 2 2 6" xfId="6941"/>
    <cellStyle name="Normal 5 4 7 2 2 7" xfId="12480"/>
    <cellStyle name="Normal 5 4 7 2 3" xfId="971"/>
    <cellStyle name="Normal 5 4 7 2 3 2" xfId="3501"/>
    <cellStyle name="Normal 5 4 7 2 3 2 2" xfId="9043"/>
    <cellStyle name="Normal 5 4 7 2 3 2 3" xfId="14582"/>
    <cellStyle name="Normal 5 4 7 2 3 3" xfId="4538"/>
    <cellStyle name="Normal 5 4 7 2 3 3 2" xfId="10077"/>
    <cellStyle name="Normal 5 4 7 2 3 3 3" xfId="15616"/>
    <cellStyle name="Normal 5 4 7 2 3 4" xfId="5473"/>
    <cellStyle name="Normal 5 4 7 2 3 4 2" xfId="11012"/>
    <cellStyle name="Normal 5 4 7 2 3 4 3" xfId="16551"/>
    <cellStyle name="Normal 5 4 7 2 3 5" xfId="2175"/>
    <cellStyle name="Normal 5 4 7 2 3 5 2" xfId="7721"/>
    <cellStyle name="Normal 5 4 7 2 3 5 3" xfId="13260"/>
    <cellStyle name="Normal 5 4 7 2 3 6" xfId="6516"/>
    <cellStyle name="Normal 5 4 7 2 3 7" xfId="12055"/>
    <cellStyle name="Normal 5 4 7 2 4" xfId="3213"/>
    <cellStyle name="Normal 5 4 7 2 4 2" xfId="8755"/>
    <cellStyle name="Normal 5 4 7 2 4 3" xfId="14294"/>
    <cellStyle name="Normal 5 4 7 2 5" xfId="4252"/>
    <cellStyle name="Normal 5 4 7 2 5 2" xfId="9791"/>
    <cellStyle name="Normal 5 4 7 2 5 3" xfId="15330"/>
    <cellStyle name="Normal 5 4 7 2 6" xfId="5213"/>
    <cellStyle name="Normal 5 4 7 2 6 2" xfId="10752"/>
    <cellStyle name="Normal 5 4 7 2 6 3" xfId="16291"/>
    <cellStyle name="Normal 5 4 7 2 7" xfId="1915"/>
    <cellStyle name="Normal 5 4 7 2 7 2" xfId="7461"/>
    <cellStyle name="Normal 5 4 7 2 7 3" xfId="13000"/>
    <cellStyle name="Normal 5 4 7 2 8" xfId="6256"/>
    <cellStyle name="Normal 5 4 7 2 9" xfId="11795"/>
    <cellStyle name="Normal 5 4 7 3" xfId="1148"/>
    <cellStyle name="Normal 5 4 7 3 2" xfId="3678"/>
    <cellStyle name="Normal 5 4 7 3 2 2" xfId="9220"/>
    <cellStyle name="Normal 5 4 7 3 2 3" xfId="14759"/>
    <cellStyle name="Normal 5 4 7 3 3" xfId="4715"/>
    <cellStyle name="Normal 5 4 7 3 3 2" xfId="10254"/>
    <cellStyle name="Normal 5 4 7 3 3 3" xfId="15793"/>
    <cellStyle name="Normal 5 4 7 3 4" xfId="5650"/>
    <cellStyle name="Normal 5 4 7 3 4 2" xfId="11189"/>
    <cellStyle name="Normal 5 4 7 3 4 3" xfId="16728"/>
    <cellStyle name="Normal 5 4 7 3 5" xfId="2352"/>
    <cellStyle name="Normal 5 4 7 3 5 2" xfId="7898"/>
    <cellStyle name="Normal 5 4 7 3 5 3" xfId="13437"/>
    <cellStyle name="Normal 5 4 7 3 6" xfId="6693"/>
    <cellStyle name="Normal 5 4 7 3 7" xfId="12232"/>
    <cellStyle name="Normal 5 4 7 4" xfId="879"/>
    <cellStyle name="Normal 5 4 7 4 2" xfId="3409"/>
    <cellStyle name="Normal 5 4 7 4 2 2" xfId="8951"/>
    <cellStyle name="Normal 5 4 7 4 2 3" xfId="14490"/>
    <cellStyle name="Normal 5 4 7 4 3" xfId="4446"/>
    <cellStyle name="Normal 5 4 7 4 3 2" xfId="9985"/>
    <cellStyle name="Normal 5 4 7 4 3 3" xfId="15524"/>
    <cellStyle name="Normal 5 4 7 4 4" xfId="5381"/>
    <cellStyle name="Normal 5 4 7 4 4 2" xfId="10920"/>
    <cellStyle name="Normal 5 4 7 4 4 3" xfId="16459"/>
    <cellStyle name="Normal 5 4 7 4 5" xfId="2083"/>
    <cellStyle name="Normal 5 4 7 4 5 2" xfId="7629"/>
    <cellStyle name="Normal 5 4 7 4 5 3" xfId="13168"/>
    <cellStyle name="Normal 5 4 7 4 6" xfId="6424"/>
    <cellStyle name="Normal 5 4 7 4 7" xfId="11963"/>
    <cellStyle name="Normal 5 4 7 5" xfId="1493"/>
    <cellStyle name="Normal 5 4 7 5 2" xfId="2698"/>
    <cellStyle name="Normal 5 4 7 5 2 2" xfId="8244"/>
    <cellStyle name="Normal 5 4 7 5 2 3" xfId="13783"/>
    <cellStyle name="Normal 5 4 7 5 3" xfId="7039"/>
    <cellStyle name="Normal 5 4 7 5 4" xfId="12578"/>
    <cellStyle name="Normal 5 4 7 6" xfId="2871"/>
    <cellStyle name="Normal 5 4 7 6 2" xfId="8415"/>
    <cellStyle name="Normal 5 4 7 6 3" xfId="13954"/>
    <cellStyle name="Normal 5 4 7 7" xfId="2845"/>
    <cellStyle name="Normal 5 4 7 7 2" xfId="8391"/>
    <cellStyle name="Normal 5 4 7 7 3" xfId="13930"/>
    <cellStyle name="Normal 5 4 7 8" xfId="3301"/>
    <cellStyle name="Normal 5 4 7 8 2" xfId="8843"/>
    <cellStyle name="Normal 5 4 7 8 3" xfId="14382"/>
    <cellStyle name="Normal 5 4 7 9" xfId="1655"/>
    <cellStyle name="Normal 5 4 7 9 2" xfId="7201"/>
    <cellStyle name="Normal 5 4 7 9 3" xfId="12740"/>
    <cellStyle name="Normal 5 4 8" xfId="459"/>
    <cellStyle name="Normal 5 4 8 2" xfId="1301"/>
    <cellStyle name="Normal 5 4 8 2 2" xfId="3832"/>
    <cellStyle name="Normal 5 4 8 2 2 2" xfId="9374"/>
    <cellStyle name="Normal 5 4 8 2 2 3" xfId="14913"/>
    <cellStyle name="Normal 5 4 8 2 3" xfId="4869"/>
    <cellStyle name="Normal 5 4 8 2 3 2" xfId="10408"/>
    <cellStyle name="Normal 5 4 8 2 3 3" xfId="15947"/>
    <cellStyle name="Normal 5 4 8 2 4" xfId="5804"/>
    <cellStyle name="Normal 5 4 8 2 4 2" xfId="11343"/>
    <cellStyle name="Normal 5 4 8 2 4 3" xfId="16882"/>
    <cellStyle name="Normal 5 4 8 2 5" xfId="2506"/>
    <cellStyle name="Normal 5 4 8 2 5 2" xfId="8052"/>
    <cellStyle name="Normal 5 4 8 2 5 3" xfId="13591"/>
    <cellStyle name="Normal 5 4 8 2 6" xfId="6847"/>
    <cellStyle name="Normal 5 4 8 2 7" xfId="12386"/>
    <cellStyle name="Normal 5 4 8 3" xfId="953"/>
    <cellStyle name="Normal 5 4 8 3 2" xfId="3483"/>
    <cellStyle name="Normal 5 4 8 3 2 2" xfId="9025"/>
    <cellStyle name="Normal 5 4 8 3 2 3" xfId="14564"/>
    <cellStyle name="Normal 5 4 8 3 3" xfId="4520"/>
    <cellStyle name="Normal 5 4 8 3 3 2" xfId="10059"/>
    <cellStyle name="Normal 5 4 8 3 3 3" xfId="15598"/>
    <cellStyle name="Normal 5 4 8 3 4" xfId="5455"/>
    <cellStyle name="Normal 5 4 8 3 4 2" xfId="10994"/>
    <cellStyle name="Normal 5 4 8 3 4 3" xfId="16533"/>
    <cellStyle name="Normal 5 4 8 3 5" xfId="2157"/>
    <cellStyle name="Normal 5 4 8 3 5 2" xfId="7703"/>
    <cellStyle name="Normal 5 4 8 3 5 3" xfId="13242"/>
    <cellStyle name="Normal 5 4 8 3 6" xfId="6498"/>
    <cellStyle name="Normal 5 4 8 3 7" xfId="12037"/>
    <cellStyle name="Normal 5 4 8 4" xfId="3109"/>
    <cellStyle name="Normal 5 4 8 4 2" xfId="8652"/>
    <cellStyle name="Normal 5 4 8 4 3" xfId="14191"/>
    <cellStyle name="Normal 5 4 8 5" xfId="4152"/>
    <cellStyle name="Normal 5 4 8 5 2" xfId="9693"/>
    <cellStyle name="Normal 5 4 8 5 3" xfId="15232"/>
    <cellStyle name="Normal 5 4 8 6" xfId="5119"/>
    <cellStyle name="Normal 5 4 8 6 2" xfId="10658"/>
    <cellStyle name="Normal 5 4 8 6 3" xfId="16197"/>
    <cellStyle name="Normal 5 4 8 7" xfId="1821"/>
    <cellStyle name="Normal 5 4 8 7 2" xfId="7367"/>
    <cellStyle name="Normal 5 4 8 7 3" xfId="12906"/>
    <cellStyle name="Normal 5 4 8 8" xfId="6162"/>
    <cellStyle name="Normal 5 4 8 9" xfId="11701"/>
    <cellStyle name="Normal 5 4 9" xfId="1130"/>
    <cellStyle name="Normal 5 4 9 2" xfId="3660"/>
    <cellStyle name="Normal 5 4 9 2 2" xfId="9202"/>
    <cellStyle name="Normal 5 4 9 2 3" xfId="14741"/>
    <cellStyle name="Normal 5 4 9 3" xfId="4697"/>
    <cellStyle name="Normal 5 4 9 3 2" xfId="10236"/>
    <cellStyle name="Normal 5 4 9 3 3" xfId="15775"/>
    <cellStyle name="Normal 5 4 9 4" xfId="5632"/>
    <cellStyle name="Normal 5 4 9 4 2" xfId="11171"/>
    <cellStyle name="Normal 5 4 9 4 3" xfId="16710"/>
    <cellStyle name="Normal 5 4 9 5" xfId="2334"/>
    <cellStyle name="Normal 5 4 9 5 2" xfId="7880"/>
    <cellStyle name="Normal 5 4 9 5 3" xfId="13419"/>
    <cellStyle name="Normal 5 4 9 6" xfId="6675"/>
    <cellStyle name="Normal 5 4 9 7" xfId="12214"/>
    <cellStyle name="Normal 5 5" xfId="256"/>
    <cellStyle name="Normal 5 5 10" xfId="1481"/>
    <cellStyle name="Normal 5 5 10 2" xfId="2686"/>
    <cellStyle name="Normal 5 5 10 2 2" xfId="8232"/>
    <cellStyle name="Normal 5 5 10 2 3" xfId="13771"/>
    <cellStyle name="Normal 5 5 10 3" xfId="7027"/>
    <cellStyle name="Normal 5 5 10 4" xfId="12566"/>
    <cellStyle name="Normal 5 5 11" xfId="2859"/>
    <cellStyle name="Normal 5 5 11 2" xfId="8403"/>
    <cellStyle name="Normal 5 5 11 3" xfId="13942"/>
    <cellStyle name="Normal 5 5 12" xfId="3102"/>
    <cellStyle name="Normal 5 5 12 2" xfId="8645"/>
    <cellStyle name="Normal 5 5 12 3" xfId="14184"/>
    <cellStyle name="Normal 5 5 13" xfId="4145"/>
    <cellStyle name="Normal 5 5 13 2" xfId="9686"/>
    <cellStyle name="Normal 5 5 13 3" xfId="15225"/>
    <cellStyle name="Normal 5 5 14" xfId="1643"/>
    <cellStyle name="Normal 5 5 14 2" xfId="7189"/>
    <cellStyle name="Normal 5 5 14 3" xfId="12728"/>
    <cellStyle name="Normal 5 5 15" xfId="5984"/>
    <cellStyle name="Normal 5 5 15 2" xfId="17062"/>
    <cellStyle name="Normal 5 5 16" xfId="628"/>
    <cellStyle name="Normal 5 5 16 2" xfId="17224"/>
    <cellStyle name="Normal 5 5 17" xfId="11523"/>
    <cellStyle name="Normal 5 5 18" xfId="17391"/>
    <cellStyle name="Normal 5 5 19" xfId="17556"/>
    <cellStyle name="Normal 5 5 2" xfId="356"/>
    <cellStyle name="Normal 5 5 2 10" xfId="1697"/>
    <cellStyle name="Normal 5 5 2 10 2" xfId="7243"/>
    <cellStyle name="Normal 5 5 2 10 3" xfId="12782"/>
    <cellStyle name="Normal 5 5 2 11" xfId="6038"/>
    <cellStyle name="Normal 5 5 2 11 2" xfId="17116"/>
    <cellStyle name="Normal 5 5 2 12" xfId="682"/>
    <cellStyle name="Normal 5 5 2 12 2" xfId="17278"/>
    <cellStyle name="Normal 5 5 2 13" xfId="11577"/>
    <cellStyle name="Normal 5 5 2 14" xfId="17445"/>
    <cellStyle name="Normal 5 5 2 15" xfId="17610"/>
    <cellStyle name="Normal 5 5 2 2" xfId="357"/>
    <cellStyle name="Normal 5 5 2 2 10" xfId="6128"/>
    <cellStyle name="Normal 5 5 2 2 10 2" xfId="17206"/>
    <cellStyle name="Normal 5 5 2 2 11" xfId="772"/>
    <cellStyle name="Normal 5 5 2 2 11 2" xfId="17368"/>
    <cellStyle name="Normal 5 5 2 2 12" xfId="11667"/>
    <cellStyle name="Normal 5 5 2 2 13" xfId="17535"/>
    <cellStyle name="Normal 5 5 2 2 14" xfId="17700"/>
    <cellStyle name="Normal 5 5 2 2 2" xfId="556"/>
    <cellStyle name="Normal 5 5 2 2 2 2" xfId="1397"/>
    <cellStyle name="Normal 5 5 2 2 2 2 2" xfId="3929"/>
    <cellStyle name="Normal 5 5 2 2 2 2 2 2" xfId="9471"/>
    <cellStyle name="Normal 5 5 2 2 2 2 2 3" xfId="15010"/>
    <cellStyle name="Normal 5 5 2 2 2 2 3" xfId="4966"/>
    <cellStyle name="Normal 5 5 2 2 2 2 3 2" xfId="10505"/>
    <cellStyle name="Normal 5 5 2 2 2 2 3 3" xfId="16044"/>
    <cellStyle name="Normal 5 5 2 2 2 2 4" xfId="5900"/>
    <cellStyle name="Normal 5 5 2 2 2 2 4 2" xfId="11439"/>
    <cellStyle name="Normal 5 5 2 2 2 2 4 3" xfId="16978"/>
    <cellStyle name="Normal 5 5 2 2 2 2 5" xfId="2602"/>
    <cellStyle name="Normal 5 5 2 2 2 2 5 2" xfId="8148"/>
    <cellStyle name="Normal 5 5 2 2 2 2 5 3" xfId="13687"/>
    <cellStyle name="Normal 5 5 2 2 2 2 6" xfId="6943"/>
    <cellStyle name="Normal 5 5 2 2 2 2 7" xfId="12482"/>
    <cellStyle name="Normal 5 5 2 2 2 3" xfId="1103"/>
    <cellStyle name="Normal 5 5 2 2 2 3 2" xfId="3633"/>
    <cellStyle name="Normal 5 5 2 2 2 3 2 2" xfId="9175"/>
    <cellStyle name="Normal 5 5 2 2 2 3 2 3" xfId="14714"/>
    <cellStyle name="Normal 5 5 2 2 2 3 3" xfId="4670"/>
    <cellStyle name="Normal 5 5 2 2 2 3 3 2" xfId="10209"/>
    <cellStyle name="Normal 5 5 2 2 2 3 3 3" xfId="15748"/>
    <cellStyle name="Normal 5 5 2 2 2 3 4" xfId="5605"/>
    <cellStyle name="Normal 5 5 2 2 2 3 4 2" xfId="11144"/>
    <cellStyle name="Normal 5 5 2 2 2 3 4 3" xfId="16683"/>
    <cellStyle name="Normal 5 5 2 2 2 3 5" xfId="2307"/>
    <cellStyle name="Normal 5 5 2 2 2 3 5 2" xfId="7853"/>
    <cellStyle name="Normal 5 5 2 2 2 3 5 3" xfId="13392"/>
    <cellStyle name="Normal 5 5 2 2 2 3 6" xfId="6648"/>
    <cellStyle name="Normal 5 5 2 2 2 3 7" xfId="12187"/>
    <cellStyle name="Normal 5 5 2 2 2 4" xfId="3215"/>
    <cellStyle name="Normal 5 5 2 2 2 4 2" xfId="8757"/>
    <cellStyle name="Normal 5 5 2 2 2 4 3" xfId="14296"/>
    <cellStyle name="Normal 5 5 2 2 2 5" xfId="4254"/>
    <cellStyle name="Normal 5 5 2 2 2 5 2" xfId="9793"/>
    <cellStyle name="Normal 5 5 2 2 2 5 3" xfId="15332"/>
    <cellStyle name="Normal 5 5 2 2 2 6" xfId="5215"/>
    <cellStyle name="Normal 5 5 2 2 2 6 2" xfId="10754"/>
    <cellStyle name="Normal 5 5 2 2 2 6 3" xfId="16293"/>
    <cellStyle name="Normal 5 5 2 2 2 7" xfId="1917"/>
    <cellStyle name="Normal 5 5 2 2 2 7 2" xfId="7463"/>
    <cellStyle name="Normal 5 5 2 2 2 7 3" xfId="13002"/>
    <cellStyle name="Normal 5 5 2 2 2 8" xfId="6258"/>
    <cellStyle name="Normal 5 5 2 2 2 9" xfId="11797"/>
    <cellStyle name="Normal 5 5 2 2 3" xfId="1280"/>
    <cellStyle name="Normal 5 5 2 2 3 2" xfId="3810"/>
    <cellStyle name="Normal 5 5 2 2 3 2 2" xfId="9352"/>
    <cellStyle name="Normal 5 5 2 2 3 2 3" xfId="14891"/>
    <cellStyle name="Normal 5 5 2 2 3 3" xfId="4847"/>
    <cellStyle name="Normal 5 5 2 2 3 3 2" xfId="10386"/>
    <cellStyle name="Normal 5 5 2 2 3 3 3" xfId="15925"/>
    <cellStyle name="Normal 5 5 2 2 3 4" xfId="5782"/>
    <cellStyle name="Normal 5 5 2 2 3 4 2" xfId="11321"/>
    <cellStyle name="Normal 5 5 2 2 3 4 3" xfId="16860"/>
    <cellStyle name="Normal 5 5 2 2 3 5" xfId="2484"/>
    <cellStyle name="Normal 5 5 2 2 3 5 2" xfId="8030"/>
    <cellStyle name="Normal 5 5 2 2 3 5 3" xfId="13569"/>
    <cellStyle name="Normal 5 5 2 2 3 6" xfId="6825"/>
    <cellStyle name="Normal 5 5 2 2 3 7" xfId="12364"/>
    <cellStyle name="Normal 5 5 2 2 4" xfId="882"/>
    <cellStyle name="Normal 5 5 2 2 4 2" xfId="3412"/>
    <cellStyle name="Normal 5 5 2 2 4 2 2" xfId="8954"/>
    <cellStyle name="Normal 5 5 2 2 4 2 3" xfId="14493"/>
    <cellStyle name="Normal 5 5 2 2 4 3" xfId="4449"/>
    <cellStyle name="Normal 5 5 2 2 4 3 2" xfId="9988"/>
    <cellStyle name="Normal 5 5 2 2 4 3 3" xfId="15527"/>
    <cellStyle name="Normal 5 5 2 2 4 4" xfId="5384"/>
    <cellStyle name="Normal 5 5 2 2 4 4 2" xfId="10923"/>
    <cellStyle name="Normal 5 5 2 2 4 4 3" xfId="16462"/>
    <cellStyle name="Normal 5 5 2 2 4 5" xfId="2086"/>
    <cellStyle name="Normal 5 5 2 2 4 5 2" xfId="7632"/>
    <cellStyle name="Normal 5 5 2 2 4 5 3" xfId="13171"/>
    <cellStyle name="Normal 5 5 2 2 4 6" xfId="6427"/>
    <cellStyle name="Normal 5 5 2 2 4 7" xfId="11966"/>
    <cellStyle name="Normal 5 5 2 2 5" xfId="1625"/>
    <cellStyle name="Normal 5 5 2 2 5 2" xfId="2830"/>
    <cellStyle name="Normal 5 5 2 2 5 2 2" xfId="8376"/>
    <cellStyle name="Normal 5 5 2 2 5 2 3" xfId="13915"/>
    <cellStyle name="Normal 5 5 2 2 5 3" xfId="7171"/>
    <cellStyle name="Normal 5 5 2 2 5 4" xfId="12710"/>
    <cellStyle name="Normal 5 5 2 2 6" xfId="3003"/>
    <cellStyle name="Normal 5 5 2 2 6 2" xfId="8547"/>
    <cellStyle name="Normal 5 5 2 2 6 3" xfId="14086"/>
    <cellStyle name="Normal 5 5 2 2 7" xfId="4048"/>
    <cellStyle name="Normal 5 5 2 2 7 2" xfId="9590"/>
    <cellStyle name="Normal 5 5 2 2 7 3" xfId="15129"/>
    <cellStyle name="Normal 5 5 2 2 8" xfId="5085"/>
    <cellStyle name="Normal 5 5 2 2 8 2" xfId="10624"/>
    <cellStyle name="Normal 5 5 2 2 8 3" xfId="16163"/>
    <cellStyle name="Normal 5 5 2 2 9" xfId="1787"/>
    <cellStyle name="Normal 5 5 2 2 9 2" xfId="7333"/>
    <cellStyle name="Normal 5 5 2 2 9 3" xfId="12872"/>
    <cellStyle name="Normal 5 5 2 3" xfId="555"/>
    <cellStyle name="Normal 5 5 2 3 2" xfId="1396"/>
    <cellStyle name="Normal 5 5 2 3 2 2" xfId="3928"/>
    <cellStyle name="Normal 5 5 2 3 2 2 2" xfId="9470"/>
    <cellStyle name="Normal 5 5 2 3 2 2 3" xfId="15009"/>
    <cellStyle name="Normal 5 5 2 3 2 3" xfId="4965"/>
    <cellStyle name="Normal 5 5 2 3 2 3 2" xfId="10504"/>
    <cellStyle name="Normal 5 5 2 3 2 3 3" xfId="16043"/>
    <cellStyle name="Normal 5 5 2 3 2 4" xfId="5899"/>
    <cellStyle name="Normal 5 5 2 3 2 4 2" xfId="11438"/>
    <cellStyle name="Normal 5 5 2 3 2 4 3" xfId="16977"/>
    <cellStyle name="Normal 5 5 2 3 2 5" xfId="2601"/>
    <cellStyle name="Normal 5 5 2 3 2 5 2" xfId="8147"/>
    <cellStyle name="Normal 5 5 2 3 2 5 3" xfId="13686"/>
    <cellStyle name="Normal 5 5 2 3 2 6" xfId="6942"/>
    <cellStyle name="Normal 5 5 2 3 2 7" xfId="12481"/>
    <cellStyle name="Normal 5 5 2 3 3" xfId="1013"/>
    <cellStyle name="Normal 5 5 2 3 3 2" xfId="3543"/>
    <cellStyle name="Normal 5 5 2 3 3 2 2" xfId="9085"/>
    <cellStyle name="Normal 5 5 2 3 3 2 3" xfId="14624"/>
    <cellStyle name="Normal 5 5 2 3 3 3" xfId="4580"/>
    <cellStyle name="Normal 5 5 2 3 3 3 2" xfId="10119"/>
    <cellStyle name="Normal 5 5 2 3 3 3 3" xfId="15658"/>
    <cellStyle name="Normal 5 5 2 3 3 4" xfId="5515"/>
    <cellStyle name="Normal 5 5 2 3 3 4 2" xfId="11054"/>
    <cellStyle name="Normal 5 5 2 3 3 4 3" xfId="16593"/>
    <cellStyle name="Normal 5 5 2 3 3 5" xfId="2217"/>
    <cellStyle name="Normal 5 5 2 3 3 5 2" xfId="7763"/>
    <cellStyle name="Normal 5 5 2 3 3 5 3" xfId="13302"/>
    <cellStyle name="Normal 5 5 2 3 3 6" xfId="6558"/>
    <cellStyle name="Normal 5 5 2 3 3 7" xfId="12097"/>
    <cellStyle name="Normal 5 5 2 3 4" xfId="3214"/>
    <cellStyle name="Normal 5 5 2 3 4 2" xfId="8756"/>
    <cellStyle name="Normal 5 5 2 3 4 3" xfId="14295"/>
    <cellStyle name="Normal 5 5 2 3 5" xfId="4253"/>
    <cellStyle name="Normal 5 5 2 3 5 2" xfId="9792"/>
    <cellStyle name="Normal 5 5 2 3 5 3" xfId="15331"/>
    <cellStyle name="Normal 5 5 2 3 6" xfId="5214"/>
    <cellStyle name="Normal 5 5 2 3 6 2" xfId="10753"/>
    <cellStyle name="Normal 5 5 2 3 6 3" xfId="16292"/>
    <cellStyle name="Normal 5 5 2 3 7" xfId="1916"/>
    <cellStyle name="Normal 5 5 2 3 7 2" xfId="7462"/>
    <cellStyle name="Normal 5 5 2 3 7 3" xfId="13001"/>
    <cellStyle name="Normal 5 5 2 3 8" xfId="6257"/>
    <cellStyle name="Normal 5 5 2 3 9" xfId="11796"/>
    <cellStyle name="Normal 5 5 2 4" xfId="1190"/>
    <cellStyle name="Normal 5 5 2 4 2" xfId="3720"/>
    <cellStyle name="Normal 5 5 2 4 2 2" xfId="9262"/>
    <cellStyle name="Normal 5 5 2 4 2 3" xfId="14801"/>
    <cellStyle name="Normal 5 5 2 4 3" xfId="4757"/>
    <cellStyle name="Normal 5 5 2 4 3 2" xfId="10296"/>
    <cellStyle name="Normal 5 5 2 4 3 3" xfId="15835"/>
    <cellStyle name="Normal 5 5 2 4 4" xfId="5692"/>
    <cellStyle name="Normal 5 5 2 4 4 2" xfId="11231"/>
    <cellStyle name="Normal 5 5 2 4 4 3" xfId="16770"/>
    <cellStyle name="Normal 5 5 2 4 5" xfId="2394"/>
    <cellStyle name="Normal 5 5 2 4 5 2" xfId="7940"/>
    <cellStyle name="Normal 5 5 2 4 5 3" xfId="13479"/>
    <cellStyle name="Normal 5 5 2 4 6" xfId="6735"/>
    <cellStyle name="Normal 5 5 2 4 7" xfId="12274"/>
    <cellStyle name="Normal 5 5 2 5" xfId="881"/>
    <cellStyle name="Normal 5 5 2 5 2" xfId="3411"/>
    <cellStyle name="Normal 5 5 2 5 2 2" xfId="8953"/>
    <cellStyle name="Normal 5 5 2 5 2 3" xfId="14492"/>
    <cellStyle name="Normal 5 5 2 5 3" xfId="4448"/>
    <cellStyle name="Normal 5 5 2 5 3 2" xfId="9987"/>
    <cellStyle name="Normal 5 5 2 5 3 3" xfId="15526"/>
    <cellStyle name="Normal 5 5 2 5 4" xfId="5383"/>
    <cellStyle name="Normal 5 5 2 5 4 2" xfId="10922"/>
    <cellStyle name="Normal 5 5 2 5 4 3" xfId="16461"/>
    <cellStyle name="Normal 5 5 2 5 5" xfId="2085"/>
    <cellStyle name="Normal 5 5 2 5 5 2" xfId="7631"/>
    <cellStyle name="Normal 5 5 2 5 5 3" xfId="13170"/>
    <cellStyle name="Normal 5 5 2 5 6" xfId="6426"/>
    <cellStyle name="Normal 5 5 2 5 7" xfId="11965"/>
    <cellStyle name="Normal 5 5 2 6" xfId="1535"/>
    <cellStyle name="Normal 5 5 2 6 2" xfId="2740"/>
    <cellStyle name="Normal 5 5 2 6 2 2" xfId="8286"/>
    <cellStyle name="Normal 5 5 2 6 2 3" xfId="13825"/>
    <cellStyle name="Normal 5 5 2 6 3" xfId="7081"/>
    <cellStyle name="Normal 5 5 2 6 4" xfId="12620"/>
    <cellStyle name="Normal 5 5 2 7" xfId="2913"/>
    <cellStyle name="Normal 5 5 2 7 2" xfId="8457"/>
    <cellStyle name="Normal 5 5 2 7 3" xfId="13996"/>
    <cellStyle name="Normal 5 5 2 8" xfId="3088"/>
    <cellStyle name="Normal 5 5 2 8 2" xfId="8631"/>
    <cellStyle name="Normal 5 5 2 8 3" xfId="14170"/>
    <cellStyle name="Normal 5 5 2 9" xfId="4131"/>
    <cellStyle name="Normal 5 5 2 9 2" xfId="9672"/>
    <cellStyle name="Normal 5 5 2 9 3" xfId="15211"/>
    <cellStyle name="Normal 5 5 3" xfId="358"/>
    <cellStyle name="Normal 5 5 3 10" xfId="1679"/>
    <cellStyle name="Normal 5 5 3 10 2" xfId="7225"/>
    <cellStyle name="Normal 5 5 3 10 3" xfId="12764"/>
    <cellStyle name="Normal 5 5 3 11" xfId="6020"/>
    <cellStyle name="Normal 5 5 3 11 2" xfId="17098"/>
    <cellStyle name="Normal 5 5 3 12" xfId="664"/>
    <cellStyle name="Normal 5 5 3 12 2" xfId="17260"/>
    <cellStyle name="Normal 5 5 3 13" xfId="11559"/>
    <cellStyle name="Normal 5 5 3 14" xfId="17427"/>
    <cellStyle name="Normal 5 5 3 15" xfId="17592"/>
    <cellStyle name="Normal 5 5 3 2" xfId="359"/>
    <cellStyle name="Normal 5 5 3 2 10" xfId="6110"/>
    <cellStyle name="Normal 5 5 3 2 10 2" xfId="17188"/>
    <cellStyle name="Normal 5 5 3 2 11" xfId="754"/>
    <cellStyle name="Normal 5 5 3 2 11 2" xfId="17350"/>
    <cellStyle name="Normal 5 5 3 2 12" xfId="11649"/>
    <cellStyle name="Normal 5 5 3 2 13" xfId="17517"/>
    <cellStyle name="Normal 5 5 3 2 14" xfId="17682"/>
    <cellStyle name="Normal 5 5 3 2 2" xfId="558"/>
    <cellStyle name="Normal 5 5 3 2 2 2" xfId="1399"/>
    <cellStyle name="Normal 5 5 3 2 2 2 2" xfId="3931"/>
    <cellStyle name="Normal 5 5 3 2 2 2 2 2" xfId="9473"/>
    <cellStyle name="Normal 5 5 3 2 2 2 2 3" xfId="15012"/>
    <cellStyle name="Normal 5 5 3 2 2 2 3" xfId="4968"/>
    <cellStyle name="Normal 5 5 3 2 2 2 3 2" xfId="10507"/>
    <cellStyle name="Normal 5 5 3 2 2 2 3 3" xfId="16046"/>
    <cellStyle name="Normal 5 5 3 2 2 2 4" xfId="5902"/>
    <cellStyle name="Normal 5 5 3 2 2 2 4 2" xfId="11441"/>
    <cellStyle name="Normal 5 5 3 2 2 2 4 3" xfId="16980"/>
    <cellStyle name="Normal 5 5 3 2 2 2 5" xfId="2604"/>
    <cellStyle name="Normal 5 5 3 2 2 2 5 2" xfId="8150"/>
    <cellStyle name="Normal 5 5 3 2 2 2 5 3" xfId="13689"/>
    <cellStyle name="Normal 5 5 3 2 2 2 6" xfId="6945"/>
    <cellStyle name="Normal 5 5 3 2 2 2 7" xfId="12484"/>
    <cellStyle name="Normal 5 5 3 2 2 3" xfId="1085"/>
    <cellStyle name="Normal 5 5 3 2 2 3 2" xfId="3615"/>
    <cellStyle name="Normal 5 5 3 2 2 3 2 2" xfId="9157"/>
    <cellStyle name="Normal 5 5 3 2 2 3 2 3" xfId="14696"/>
    <cellStyle name="Normal 5 5 3 2 2 3 3" xfId="4652"/>
    <cellStyle name="Normal 5 5 3 2 2 3 3 2" xfId="10191"/>
    <cellStyle name="Normal 5 5 3 2 2 3 3 3" xfId="15730"/>
    <cellStyle name="Normal 5 5 3 2 2 3 4" xfId="5587"/>
    <cellStyle name="Normal 5 5 3 2 2 3 4 2" xfId="11126"/>
    <cellStyle name="Normal 5 5 3 2 2 3 4 3" xfId="16665"/>
    <cellStyle name="Normal 5 5 3 2 2 3 5" xfId="2289"/>
    <cellStyle name="Normal 5 5 3 2 2 3 5 2" xfId="7835"/>
    <cellStyle name="Normal 5 5 3 2 2 3 5 3" xfId="13374"/>
    <cellStyle name="Normal 5 5 3 2 2 3 6" xfId="6630"/>
    <cellStyle name="Normal 5 5 3 2 2 3 7" xfId="12169"/>
    <cellStyle name="Normal 5 5 3 2 2 4" xfId="3217"/>
    <cellStyle name="Normal 5 5 3 2 2 4 2" xfId="8759"/>
    <cellStyle name="Normal 5 5 3 2 2 4 3" xfId="14298"/>
    <cellStyle name="Normal 5 5 3 2 2 5" xfId="4256"/>
    <cellStyle name="Normal 5 5 3 2 2 5 2" xfId="9795"/>
    <cellStyle name="Normal 5 5 3 2 2 5 3" xfId="15334"/>
    <cellStyle name="Normal 5 5 3 2 2 6" xfId="5217"/>
    <cellStyle name="Normal 5 5 3 2 2 6 2" xfId="10756"/>
    <cellStyle name="Normal 5 5 3 2 2 6 3" xfId="16295"/>
    <cellStyle name="Normal 5 5 3 2 2 7" xfId="1919"/>
    <cellStyle name="Normal 5 5 3 2 2 7 2" xfId="7465"/>
    <cellStyle name="Normal 5 5 3 2 2 7 3" xfId="13004"/>
    <cellStyle name="Normal 5 5 3 2 2 8" xfId="6260"/>
    <cellStyle name="Normal 5 5 3 2 2 9" xfId="11799"/>
    <cellStyle name="Normal 5 5 3 2 3" xfId="1262"/>
    <cellStyle name="Normal 5 5 3 2 3 2" xfId="3792"/>
    <cellStyle name="Normal 5 5 3 2 3 2 2" xfId="9334"/>
    <cellStyle name="Normal 5 5 3 2 3 2 3" xfId="14873"/>
    <cellStyle name="Normal 5 5 3 2 3 3" xfId="4829"/>
    <cellStyle name="Normal 5 5 3 2 3 3 2" xfId="10368"/>
    <cellStyle name="Normal 5 5 3 2 3 3 3" xfId="15907"/>
    <cellStyle name="Normal 5 5 3 2 3 4" xfId="5764"/>
    <cellStyle name="Normal 5 5 3 2 3 4 2" xfId="11303"/>
    <cellStyle name="Normal 5 5 3 2 3 4 3" xfId="16842"/>
    <cellStyle name="Normal 5 5 3 2 3 5" xfId="2466"/>
    <cellStyle name="Normal 5 5 3 2 3 5 2" xfId="8012"/>
    <cellStyle name="Normal 5 5 3 2 3 5 3" xfId="13551"/>
    <cellStyle name="Normal 5 5 3 2 3 6" xfId="6807"/>
    <cellStyle name="Normal 5 5 3 2 3 7" xfId="12346"/>
    <cellStyle name="Normal 5 5 3 2 4" xfId="884"/>
    <cellStyle name="Normal 5 5 3 2 4 2" xfId="3414"/>
    <cellStyle name="Normal 5 5 3 2 4 2 2" xfId="8956"/>
    <cellStyle name="Normal 5 5 3 2 4 2 3" xfId="14495"/>
    <cellStyle name="Normal 5 5 3 2 4 3" xfId="4451"/>
    <cellStyle name="Normal 5 5 3 2 4 3 2" xfId="9990"/>
    <cellStyle name="Normal 5 5 3 2 4 3 3" xfId="15529"/>
    <cellStyle name="Normal 5 5 3 2 4 4" xfId="5386"/>
    <cellStyle name="Normal 5 5 3 2 4 4 2" xfId="10925"/>
    <cellStyle name="Normal 5 5 3 2 4 4 3" xfId="16464"/>
    <cellStyle name="Normal 5 5 3 2 4 5" xfId="2088"/>
    <cellStyle name="Normal 5 5 3 2 4 5 2" xfId="7634"/>
    <cellStyle name="Normal 5 5 3 2 4 5 3" xfId="13173"/>
    <cellStyle name="Normal 5 5 3 2 4 6" xfId="6429"/>
    <cellStyle name="Normal 5 5 3 2 4 7" xfId="11968"/>
    <cellStyle name="Normal 5 5 3 2 5" xfId="1607"/>
    <cellStyle name="Normal 5 5 3 2 5 2" xfId="2812"/>
    <cellStyle name="Normal 5 5 3 2 5 2 2" xfId="8358"/>
    <cellStyle name="Normal 5 5 3 2 5 2 3" xfId="13897"/>
    <cellStyle name="Normal 5 5 3 2 5 3" xfId="7153"/>
    <cellStyle name="Normal 5 5 3 2 5 4" xfId="12692"/>
    <cellStyle name="Normal 5 5 3 2 6" xfId="2985"/>
    <cellStyle name="Normal 5 5 3 2 6 2" xfId="8529"/>
    <cellStyle name="Normal 5 5 3 2 6 3" xfId="14068"/>
    <cellStyle name="Normal 5 5 3 2 7" xfId="4030"/>
    <cellStyle name="Normal 5 5 3 2 7 2" xfId="9572"/>
    <cellStyle name="Normal 5 5 3 2 7 3" xfId="15111"/>
    <cellStyle name="Normal 5 5 3 2 8" xfId="5067"/>
    <cellStyle name="Normal 5 5 3 2 8 2" xfId="10606"/>
    <cellStyle name="Normal 5 5 3 2 8 3" xfId="16145"/>
    <cellStyle name="Normal 5 5 3 2 9" xfId="1769"/>
    <cellStyle name="Normal 5 5 3 2 9 2" xfId="7315"/>
    <cellStyle name="Normal 5 5 3 2 9 3" xfId="12854"/>
    <cellStyle name="Normal 5 5 3 3" xfId="557"/>
    <cellStyle name="Normal 5 5 3 3 2" xfId="1398"/>
    <cellStyle name="Normal 5 5 3 3 2 2" xfId="3930"/>
    <cellStyle name="Normal 5 5 3 3 2 2 2" xfId="9472"/>
    <cellStyle name="Normal 5 5 3 3 2 2 3" xfId="15011"/>
    <cellStyle name="Normal 5 5 3 3 2 3" xfId="4967"/>
    <cellStyle name="Normal 5 5 3 3 2 3 2" xfId="10506"/>
    <cellStyle name="Normal 5 5 3 3 2 3 3" xfId="16045"/>
    <cellStyle name="Normal 5 5 3 3 2 4" xfId="5901"/>
    <cellStyle name="Normal 5 5 3 3 2 4 2" xfId="11440"/>
    <cellStyle name="Normal 5 5 3 3 2 4 3" xfId="16979"/>
    <cellStyle name="Normal 5 5 3 3 2 5" xfId="2603"/>
    <cellStyle name="Normal 5 5 3 3 2 5 2" xfId="8149"/>
    <cellStyle name="Normal 5 5 3 3 2 5 3" xfId="13688"/>
    <cellStyle name="Normal 5 5 3 3 2 6" xfId="6944"/>
    <cellStyle name="Normal 5 5 3 3 2 7" xfId="12483"/>
    <cellStyle name="Normal 5 5 3 3 3" xfId="995"/>
    <cellStyle name="Normal 5 5 3 3 3 2" xfId="3525"/>
    <cellStyle name="Normal 5 5 3 3 3 2 2" xfId="9067"/>
    <cellStyle name="Normal 5 5 3 3 3 2 3" xfId="14606"/>
    <cellStyle name="Normal 5 5 3 3 3 3" xfId="4562"/>
    <cellStyle name="Normal 5 5 3 3 3 3 2" xfId="10101"/>
    <cellStyle name="Normal 5 5 3 3 3 3 3" xfId="15640"/>
    <cellStyle name="Normal 5 5 3 3 3 4" xfId="5497"/>
    <cellStyle name="Normal 5 5 3 3 3 4 2" xfId="11036"/>
    <cellStyle name="Normal 5 5 3 3 3 4 3" xfId="16575"/>
    <cellStyle name="Normal 5 5 3 3 3 5" xfId="2199"/>
    <cellStyle name="Normal 5 5 3 3 3 5 2" xfId="7745"/>
    <cellStyle name="Normal 5 5 3 3 3 5 3" xfId="13284"/>
    <cellStyle name="Normal 5 5 3 3 3 6" xfId="6540"/>
    <cellStyle name="Normal 5 5 3 3 3 7" xfId="12079"/>
    <cellStyle name="Normal 5 5 3 3 4" xfId="3216"/>
    <cellStyle name="Normal 5 5 3 3 4 2" xfId="8758"/>
    <cellStyle name="Normal 5 5 3 3 4 3" xfId="14297"/>
    <cellStyle name="Normal 5 5 3 3 5" xfId="4255"/>
    <cellStyle name="Normal 5 5 3 3 5 2" xfId="9794"/>
    <cellStyle name="Normal 5 5 3 3 5 3" xfId="15333"/>
    <cellStyle name="Normal 5 5 3 3 6" xfId="5216"/>
    <cellStyle name="Normal 5 5 3 3 6 2" xfId="10755"/>
    <cellStyle name="Normal 5 5 3 3 6 3" xfId="16294"/>
    <cellStyle name="Normal 5 5 3 3 7" xfId="1918"/>
    <cellStyle name="Normal 5 5 3 3 7 2" xfId="7464"/>
    <cellStyle name="Normal 5 5 3 3 7 3" xfId="13003"/>
    <cellStyle name="Normal 5 5 3 3 8" xfId="6259"/>
    <cellStyle name="Normal 5 5 3 3 9" xfId="11798"/>
    <cellStyle name="Normal 5 5 3 4" xfId="1172"/>
    <cellStyle name="Normal 5 5 3 4 2" xfId="3702"/>
    <cellStyle name="Normal 5 5 3 4 2 2" xfId="9244"/>
    <cellStyle name="Normal 5 5 3 4 2 3" xfId="14783"/>
    <cellStyle name="Normal 5 5 3 4 3" xfId="4739"/>
    <cellStyle name="Normal 5 5 3 4 3 2" xfId="10278"/>
    <cellStyle name="Normal 5 5 3 4 3 3" xfId="15817"/>
    <cellStyle name="Normal 5 5 3 4 4" xfId="5674"/>
    <cellStyle name="Normal 5 5 3 4 4 2" xfId="11213"/>
    <cellStyle name="Normal 5 5 3 4 4 3" xfId="16752"/>
    <cellStyle name="Normal 5 5 3 4 5" xfId="2376"/>
    <cellStyle name="Normal 5 5 3 4 5 2" xfId="7922"/>
    <cellStyle name="Normal 5 5 3 4 5 3" xfId="13461"/>
    <cellStyle name="Normal 5 5 3 4 6" xfId="6717"/>
    <cellStyle name="Normal 5 5 3 4 7" xfId="12256"/>
    <cellStyle name="Normal 5 5 3 5" xfId="883"/>
    <cellStyle name="Normal 5 5 3 5 2" xfId="3413"/>
    <cellStyle name="Normal 5 5 3 5 2 2" xfId="8955"/>
    <cellStyle name="Normal 5 5 3 5 2 3" xfId="14494"/>
    <cellStyle name="Normal 5 5 3 5 3" xfId="4450"/>
    <cellStyle name="Normal 5 5 3 5 3 2" xfId="9989"/>
    <cellStyle name="Normal 5 5 3 5 3 3" xfId="15528"/>
    <cellStyle name="Normal 5 5 3 5 4" xfId="5385"/>
    <cellStyle name="Normal 5 5 3 5 4 2" xfId="10924"/>
    <cellStyle name="Normal 5 5 3 5 4 3" xfId="16463"/>
    <cellStyle name="Normal 5 5 3 5 5" xfId="2087"/>
    <cellStyle name="Normal 5 5 3 5 5 2" xfId="7633"/>
    <cellStyle name="Normal 5 5 3 5 5 3" xfId="13172"/>
    <cellStyle name="Normal 5 5 3 5 6" xfId="6428"/>
    <cellStyle name="Normal 5 5 3 5 7" xfId="11967"/>
    <cellStyle name="Normal 5 5 3 6" xfId="1517"/>
    <cellStyle name="Normal 5 5 3 6 2" xfId="2722"/>
    <cellStyle name="Normal 5 5 3 6 2 2" xfId="8268"/>
    <cellStyle name="Normal 5 5 3 6 2 3" xfId="13807"/>
    <cellStyle name="Normal 5 5 3 6 3" xfId="7063"/>
    <cellStyle name="Normal 5 5 3 6 4" xfId="12602"/>
    <cellStyle name="Normal 5 5 3 7" xfId="2895"/>
    <cellStyle name="Normal 5 5 3 7 2" xfId="8439"/>
    <cellStyle name="Normal 5 5 3 7 3" xfId="13978"/>
    <cellStyle name="Normal 5 5 3 8" xfId="3303"/>
    <cellStyle name="Normal 5 5 3 8 2" xfId="8845"/>
    <cellStyle name="Normal 5 5 3 8 3" xfId="14384"/>
    <cellStyle name="Normal 5 5 3 9" xfId="4340"/>
    <cellStyle name="Normal 5 5 3 9 2" xfId="9879"/>
    <cellStyle name="Normal 5 5 3 9 3" xfId="15418"/>
    <cellStyle name="Normal 5 5 4" xfId="360"/>
    <cellStyle name="Normal 5 5 4 10" xfId="1715"/>
    <cellStyle name="Normal 5 5 4 10 2" xfId="7261"/>
    <cellStyle name="Normal 5 5 4 10 3" xfId="12800"/>
    <cellStyle name="Normal 5 5 4 11" xfId="6056"/>
    <cellStyle name="Normal 5 5 4 11 2" xfId="17134"/>
    <cellStyle name="Normal 5 5 4 12" xfId="700"/>
    <cellStyle name="Normal 5 5 4 12 2" xfId="17296"/>
    <cellStyle name="Normal 5 5 4 13" xfId="11595"/>
    <cellStyle name="Normal 5 5 4 14" xfId="17463"/>
    <cellStyle name="Normal 5 5 4 15" xfId="17628"/>
    <cellStyle name="Normal 5 5 4 2" xfId="361"/>
    <cellStyle name="Normal 5 5 4 2 10" xfId="6092"/>
    <cellStyle name="Normal 5 5 4 2 10 2" xfId="17170"/>
    <cellStyle name="Normal 5 5 4 2 11" xfId="736"/>
    <cellStyle name="Normal 5 5 4 2 11 2" xfId="17332"/>
    <cellStyle name="Normal 5 5 4 2 12" xfId="11631"/>
    <cellStyle name="Normal 5 5 4 2 13" xfId="17499"/>
    <cellStyle name="Normal 5 5 4 2 14" xfId="17664"/>
    <cellStyle name="Normal 5 5 4 2 2" xfId="560"/>
    <cellStyle name="Normal 5 5 4 2 2 2" xfId="1401"/>
    <cellStyle name="Normal 5 5 4 2 2 2 2" xfId="3933"/>
    <cellStyle name="Normal 5 5 4 2 2 2 2 2" xfId="9475"/>
    <cellStyle name="Normal 5 5 4 2 2 2 2 3" xfId="15014"/>
    <cellStyle name="Normal 5 5 4 2 2 2 3" xfId="4970"/>
    <cellStyle name="Normal 5 5 4 2 2 2 3 2" xfId="10509"/>
    <cellStyle name="Normal 5 5 4 2 2 2 3 3" xfId="16048"/>
    <cellStyle name="Normal 5 5 4 2 2 2 4" xfId="5904"/>
    <cellStyle name="Normal 5 5 4 2 2 2 4 2" xfId="11443"/>
    <cellStyle name="Normal 5 5 4 2 2 2 4 3" xfId="16982"/>
    <cellStyle name="Normal 5 5 4 2 2 2 5" xfId="2606"/>
    <cellStyle name="Normal 5 5 4 2 2 2 5 2" xfId="8152"/>
    <cellStyle name="Normal 5 5 4 2 2 2 5 3" xfId="13691"/>
    <cellStyle name="Normal 5 5 4 2 2 2 6" xfId="6947"/>
    <cellStyle name="Normal 5 5 4 2 2 2 7" xfId="12486"/>
    <cellStyle name="Normal 5 5 4 2 2 3" xfId="1067"/>
    <cellStyle name="Normal 5 5 4 2 2 3 2" xfId="3597"/>
    <cellStyle name="Normal 5 5 4 2 2 3 2 2" xfId="9139"/>
    <cellStyle name="Normal 5 5 4 2 2 3 2 3" xfId="14678"/>
    <cellStyle name="Normal 5 5 4 2 2 3 3" xfId="4634"/>
    <cellStyle name="Normal 5 5 4 2 2 3 3 2" xfId="10173"/>
    <cellStyle name="Normal 5 5 4 2 2 3 3 3" xfId="15712"/>
    <cellStyle name="Normal 5 5 4 2 2 3 4" xfId="5569"/>
    <cellStyle name="Normal 5 5 4 2 2 3 4 2" xfId="11108"/>
    <cellStyle name="Normal 5 5 4 2 2 3 4 3" xfId="16647"/>
    <cellStyle name="Normal 5 5 4 2 2 3 5" xfId="2271"/>
    <cellStyle name="Normal 5 5 4 2 2 3 5 2" xfId="7817"/>
    <cellStyle name="Normal 5 5 4 2 2 3 5 3" xfId="13356"/>
    <cellStyle name="Normal 5 5 4 2 2 3 6" xfId="6612"/>
    <cellStyle name="Normal 5 5 4 2 2 3 7" xfId="12151"/>
    <cellStyle name="Normal 5 5 4 2 2 4" xfId="3219"/>
    <cellStyle name="Normal 5 5 4 2 2 4 2" xfId="8761"/>
    <cellStyle name="Normal 5 5 4 2 2 4 3" xfId="14300"/>
    <cellStyle name="Normal 5 5 4 2 2 5" xfId="4258"/>
    <cellStyle name="Normal 5 5 4 2 2 5 2" xfId="9797"/>
    <cellStyle name="Normal 5 5 4 2 2 5 3" xfId="15336"/>
    <cellStyle name="Normal 5 5 4 2 2 6" xfId="5219"/>
    <cellStyle name="Normal 5 5 4 2 2 6 2" xfId="10758"/>
    <cellStyle name="Normal 5 5 4 2 2 6 3" xfId="16297"/>
    <cellStyle name="Normal 5 5 4 2 2 7" xfId="1921"/>
    <cellStyle name="Normal 5 5 4 2 2 7 2" xfId="7467"/>
    <cellStyle name="Normal 5 5 4 2 2 7 3" xfId="13006"/>
    <cellStyle name="Normal 5 5 4 2 2 8" xfId="6262"/>
    <cellStyle name="Normal 5 5 4 2 2 9" xfId="11801"/>
    <cellStyle name="Normal 5 5 4 2 3" xfId="1244"/>
    <cellStyle name="Normal 5 5 4 2 3 2" xfId="3774"/>
    <cellStyle name="Normal 5 5 4 2 3 2 2" xfId="9316"/>
    <cellStyle name="Normal 5 5 4 2 3 2 3" xfId="14855"/>
    <cellStyle name="Normal 5 5 4 2 3 3" xfId="4811"/>
    <cellStyle name="Normal 5 5 4 2 3 3 2" xfId="10350"/>
    <cellStyle name="Normal 5 5 4 2 3 3 3" xfId="15889"/>
    <cellStyle name="Normal 5 5 4 2 3 4" xfId="5746"/>
    <cellStyle name="Normal 5 5 4 2 3 4 2" xfId="11285"/>
    <cellStyle name="Normal 5 5 4 2 3 4 3" xfId="16824"/>
    <cellStyle name="Normal 5 5 4 2 3 5" xfId="2448"/>
    <cellStyle name="Normal 5 5 4 2 3 5 2" xfId="7994"/>
    <cellStyle name="Normal 5 5 4 2 3 5 3" xfId="13533"/>
    <cellStyle name="Normal 5 5 4 2 3 6" xfId="6789"/>
    <cellStyle name="Normal 5 5 4 2 3 7" xfId="12328"/>
    <cellStyle name="Normal 5 5 4 2 4" xfId="886"/>
    <cellStyle name="Normal 5 5 4 2 4 2" xfId="3416"/>
    <cellStyle name="Normal 5 5 4 2 4 2 2" xfId="8958"/>
    <cellStyle name="Normal 5 5 4 2 4 2 3" xfId="14497"/>
    <cellStyle name="Normal 5 5 4 2 4 3" xfId="4453"/>
    <cellStyle name="Normal 5 5 4 2 4 3 2" xfId="9992"/>
    <cellStyle name="Normal 5 5 4 2 4 3 3" xfId="15531"/>
    <cellStyle name="Normal 5 5 4 2 4 4" xfId="5388"/>
    <cellStyle name="Normal 5 5 4 2 4 4 2" xfId="10927"/>
    <cellStyle name="Normal 5 5 4 2 4 4 3" xfId="16466"/>
    <cellStyle name="Normal 5 5 4 2 4 5" xfId="2090"/>
    <cellStyle name="Normal 5 5 4 2 4 5 2" xfId="7636"/>
    <cellStyle name="Normal 5 5 4 2 4 5 3" xfId="13175"/>
    <cellStyle name="Normal 5 5 4 2 4 6" xfId="6431"/>
    <cellStyle name="Normal 5 5 4 2 4 7" xfId="11970"/>
    <cellStyle name="Normal 5 5 4 2 5" xfId="1589"/>
    <cellStyle name="Normal 5 5 4 2 5 2" xfId="2794"/>
    <cellStyle name="Normal 5 5 4 2 5 2 2" xfId="8340"/>
    <cellStyle name="Normal 5 5 4 2 5 2 3" xfId="13879"/>
    <cellStyle name="Normal 5 5 4 2 5 3" xfId="7135"/>
    <cellStyle name="Normal 5 5 4 2 5 4" xfId="12674"/>
    <cellStyle name="Normal 5 5 4 2 6" xfId="2967"/>
    <cellStyle name="Normal 5 5 4 2 6 2" xfId="8511"/>
    <cellStyle name="Normal 5 5 4 2 6 3" xfId="14050"/>
    <cellStyle name="Normal 5 5 4 2 7" xfId="4012"/>
    <cellStyle name="Normal 5 5 4 2 7 2" xfId="9554"/>
    <cellStyle name="Normal 5 5 4 2 7 3" xfId="15093"/>
    <cellStyle name="Normal 5 5 4 2 8" xfId="5049"/>
    <cellStyle name="Normal 5 5 4 2 8 2" xfId="10588"/>
    <cellStyle name="Normal 5 5 4 2 8 3" xfId="16127"/>
    <cellStyle name="Normal 5 5 4 2 9" xfId="1751"/>
    <cellStyle name="Normal 5 5 4 2 9 2" xfId="7297"/>
    <cellStyle name="Normal 5 5 4 2 9 3" xfId="12836"/>
    <cellStyle name="Normal 5 5 4 3" xfId="559"/>
    <cellStyle name="Normal 5 5 4 3 2" xfId="1400"/>
    <cellStyle name="Normal 5 5 4 3 2 2" xfId="3932"/>
    <cellStyle name="Normal 5 5 4 3 2 2 2" xfId="9474"/>
    <cellStyle name="Normal 5 5 4 3 2 2 3" xfId="15013"/>
    <cellStyle name="Normal 5 5 4 3 2 3" xfId="4969"/>
    <cellStyle name="Normal 5 5 4 3 2 3 2" xfId="10508"/>
    <cellStyle name="Normal 5 5 4 3 2 3 3" xfId="16047"/>
    <cellStyle name="Normal 5 5 4 3 2 4" xfId="5903"/>
    <cellStyle name="Normal 5 5 4 3 2 4 2" xfId="11442"/>
    <cellStyle name="Normal 5 5 4 3 2 4 3" xfId="16981"/>
    <cellStyle name="Normal 5 5 4 3 2 5" xfId="2605"/>
    <cellStyle name="Normal 5 5 4 3 2 5 2" xfId="8151"/>
    <cellStyle name="Normal 5 5 4 3 2 5 3" xfId="13690"/>
    <cellStyle name="Normal 5 5 4 3 2 6" xfId="6946"/>
    <cellStyle name="Normal 5 5 4 3 2 7" xfId="12485"/>
    <cellStyle name="Normal 5 5 4 3 3" xfId="1031"/>
    <cellStyle name="Normal 5 5 4 3 3 2" xfId="3561"/>
    <cellStyle name="Normal 5 5 4 3 3 2 2" xfId="9103"/>
    <cellStyle name="Normal 5 5 4 3 3 2 3" xfId="14642"/>
    <cellStyle name="Normal 5 5 4 3 3 3" xfId="4598"/>
    <cellStyle name="Normal 5 5 4 3 3 3 2" xfId="10137"/>
    <cellStyle name="Normal 5 5 4 3 3 3 3" xfId="15676"/>
    <cellStyle name="Normal 5 5 4 3 3 4" xfId="5533"/>
    <cellStyle name="Normal 5 5 4 3 3 4 2" xfId="11072"/>
    <cellStyle name="Normal 5 5 4 3 3 4 3" xfId="16611"/>
    <cellStyle name="Normal 5 5 4 3 3 5" xfId="2235"/>
    <cellStyle name="Normal 5 5 4 3 3 5 2" xfId="7781"/>
    <cellStyle name="Normal 5 5 4 3 3 5 3" xfId="13320"/>
    <cellStyle name="Normal 5 5 4 3 3 6" xfId="6576"/>
    <cellStyle name="Normal 5 5 4 3 3 7" xfId="12115"/>
    <cellStyle name="Normal 5 5 4 3 4" xfId="3218"/>
    <cellStyle name="Normal 5 5 4 3 4 2" xfId="8760"/>
    <cellStyle name="Normal 5 5 4 3 4 3" xfId="14299"/>
    <cellStyle name="Normal 5 5 4 3 5" xfId="4257"/>
    <cellStyle name="Normal 5 5 4 3 5 2" xfId="9796"/>
    <cellStyle name="Normal 5 5 4 3 5 3" xfId="15335"/>
    <cellStyle name="Normal 5 5 4 3 6" xfId="5218"/>
    <cellStyle name="Normal 5 5 4 3 6 2" xfId="10757"/>
    <cellStyle name="Normal 5 5 4 3 6 3" xfId="16296"/>
    <cellStyle name="Normal 5 5 4 3 7" xfId="1920"/>
    <cellStyle name="Normal 5 5 4 3 7 2" xfId="7466"/>
    <cellStyle name="Normal 5 5 4 3 7 3" xfId="13005"/>
    <cellStyle name="Normal 5 5 4 3 8" xfId="6261"/>
    <cellStyle name="Normal 5 5 4 3 9" xfId="11800"/>
    <cellStyle name="Normal 5 5 4 4" xfId="1208"/>
    <cellStyle name="Normal 5 5 4 4 2" xfId="3738"/>
    <cellStyle name="Normal 5 5 4 4 2 2" xfId="9280"/>
    <cellStyle name="Normal 5 5 4 4 2 3" xfId="14819"/>
    <cellStyle name="Normal 5 5 4 4 3" xfId="4775"/>
    <cellStyle name="Normal 5 5 4 4 3 2" xfId="10314"/>
    <cellStyle name="Normal 5 5 4 4 3 3" xfId="15853"/>
    <cellStyle name="Normal 5 5 4 4 4" xfId="5710"/>
    <cellStyle name="Normal 5 5 4 4 4 2" xfId="11249"/>
    <cellStyle name="Normal 5 5 4 4 4 3" xfId="16788"/>
    <cellStyle name="Normal 5 5 4 4 5" xfId="2412"/>
    <cellStyle name="Normal 5 5 4 4 5 2" xfId="7958"/>
    <cellStyle name="Normal 5 5 4 4 5 3" xfId="13497"/>
    <cellStyle name="Normal 5 5 4 4 6" xfId="6753"/>
    <cellStyle name="Normal 5 5 4 4 7" xfId="12292"/>
    <cellStyle name="Normal 5 5 4 5" xfId="885"/>
    <cellStyle name="Normal 5 5 4 5 2" xfId="3415"/>
    <cellStyle name="Normal 5 5 4 5 2 2" xfId="8957"/>
    <cellStyle name="Normal 5 5 4 5 2 3" xfId="14496"/>
    <cellStyle name="Normal 5 5 4 5 3" xfId="4452"/>
    <cellStyle name="Normal 5 5 4 5 3 2" xfId="9991"/>
    <cellStyle name="Normal 5 5 4 5 3 3" xfId="15530"/>
    <cellStyle name="Normal 5 5 4 5 4" xfId="5387"/>
    <cellStyle name="Normal 5 5 4 5 4 2" xfId="10926"/>
    <cellStyle name="Normal 5 5 4 5 4 3" xfId="16465"/>
    <cellStyle name="Normal 5 5 4 5 5" xfId="2089"/>
    <cellStyle name="Normal 5 5 4 5 5 2" xfId="7635"/>
    <cellStyle name="Normal 5 5 4 5 5 3" xfId="13174"/>
    <cellStyle name="Normal 5 5 4 5 6" xfId="6430"/>
    <cellStyle name="Normal 5 5 4 5 7" xfId="11969"/>
    <cellStyle name="Normal 5 5 4 6" xfId="1553"/>
    <cellStyle name="Normal 5 5 4 6 2" xfId="2758"/>
    <cellStyle name="Normal 5 5 4 6 2 2" xfId="8304"/>
    <cellStyle name="Normal 5 5 4 6 2 3" xfId="13843"/>
    <cellStyle name="Normal 5 5 4 6 3" xfId="7099"/>
    <cellStyle name="Normal 5 5 4 6 4" xfId="12638"/>
    <cellStyle name="Normal 5 5 4 7" xfId="2931"/>
    <cellStyle name="Normal 5 5 4 7 2" xfId="8475"/>
    <cellStyle name="Normal 5 5 4 7 3" xfId="14014"/>
    <cellStyle name="Normal 5 5 4 8" xfId="3079"/>
    <cellStyle name="Normal 5 5 4 8 2" xfId="8622"/>
    <cellStyle name="Normal 5 5 4 8 3" xfId="14161"/>
    <cellStyle name="Normal 5 5 4 9" xfId="4122"/>
    <cellStyle name="Normal 5 5 4 9 2" xfId="9663"/>
    <cellStyle name="Normal 5 5 4 9 3" xfId="15202"/>
    <cellStyle name="Normal 5 5 5" xfId="362"/>
    <cellStyle name="Normal 5 5 5 10" xfId="6074"/>
    <cellStyle name="Normal 5 5 5 10 2" xfId="17152"/>
    <cellStyle name="Normal 5 5 5 11" xfId="718"/>
    <cellStyle name="Normal 5 5 5 11 2" xfId="17314"/>
    <cellStyle name="Normal 5 5 5 12" xfId="11613"/>
    <cellStyle name="Normal 5 5 5 13" xfId="17481"/>
    <cellStyle name="Normal 5 5 5 14" xfId="17646"/>
    <cellStyle name="Normal 5 5 5 2" xfId="561"/>
    <cellStyle name="Normal 5 5 5 2 2" xfId="1402"/>
    <cellStyle name="Normal 5 5 5 2 2 2" xfId="3934"/>
    <cellStyle name="Normal 5 5 5 2 2 2 2" xfId="9476"/>
    <cellStyle name="Normal 5 5 5 2 2 2 3" xfId="15015"/>
    <cellStyle name="Normal 5 5 5 2 2 3" xfId="4971"/>
    <cellStyle name="Normal 5 5 5 2 2 3 2" xfId="10510"/>
    <cellStyle name="Normal 5 5 5 2 2 3 3" xfId="16049"/>
    <cellStyle name="Normal 5 5 5 2 2 4" xfId="5905"/>
    <cellStyle name="Normal 5 5 5 2 2 4 2" xfId="11444"/>
    <cellStyle name="Normal 5 5 5 2 2 4 3" xfId="16983"/>
    <cellStyle name="Normal 5 5 5 2 2 5" xfId="2607"/>
    <cellStyle name="Normal 5 5 5 2 2 5 2" xfId="8153"/>
    <cellStyle name="Normal 5 5 5 2 2 5 3" xfId="13692"/>
    <cellStyle name="Normal 5 5 5 2 2 6" xfId="6948"/>
    <cellStyle name="Normal 5 5 5 2 2 7" xfId="12487"/>
    <cellStyle name="Normal 5 5 5 2 3" xfId="1049"/>
    <cellStyle name="Normal 5 5 5 2 3 2" xfId="3579"/>
    <cellStyle name="Normal 5 5 5 2 3 2 2" xfId="9121"/>
    <cellStyle name="Normal 5 5 5 2 3 2 3" xfId="14660"/>
    <cellStyle name="Normal 5 5 5 2 3 3" xfId="4616"/>
    <cellStyle name="Normal 5 5 5 2 3 3 2" xfId="10155"/>
    <cellStyle name="Normal 5 5 5 2 3 3 3" xfId="15694"/>
    <cellStyle name="Normal 5 5 5 2 3 4" xfId="5551"/>
    <cellStyle name="Normal 5 5 5 2 3 4 2" xfId="11090"/>
    <cellStyle name="Normal 5 5 5 2 3 4 3" xfId="16629"/>
    <cellStyle name="Normal 5 5 5 2 3 5" xfId="2253"/>
    <cellStyle name="Normal 5 5 5 2 3 5 2" xfId="7799"/>
    <cellStyle name="Normal 5 5 5 2 3 5 3" xfId="13338"/>
    <cellStyle name="Normal 5 5 5 2 3 6" xfId="6594"/>
    <cellStyle name="Normal 5 5 5 2 3 7" xfId="12133"/>
    <cellStyle name="Normal 5 5 5 2 4" xfId="3220"/>
    <cellStyle name="Normal 5 5 5 2 4 2" xfId="8762"/>
    <cellStyle name="Normal 5 5 5 2 4 3" xfId="14301"/>
    <cellStyle name="Normal 5 5 5 2 5" xfId="4259"/>
    <cellStyle name="Normal 5 5 5 2 5 2" xfId="9798"/>
    <cellStyle name="Normal 5 5 5 2 5 3" xfId="15337"/>
    <cellStyle name="Normal 5 5 5 2 6" xfId="5220"/>
    <cellStyle name="Normal 5 5 5 2 6 2" xfId="10759"/>
    <cellStyle name="Normal 5 5 5 2 6 3" xfId="16298"/>
    <cellStyle name="Normal 5 5 5 2 7" xfId="1922"/>
    <cellStyle name="Normal 5 5 5 2 7 2" xfId="7468"/>
    <cellStyle name="Normal 5 5 5 2 7 3" xfId="13007"/>
    <cellStyle name="Normal 5 5 5 2 8" xfId="6263"/>
    <cellStyle name="Normal 5 5 5 2 9" xfId="11802"/>
    <cellStyle name="Normal 5 5 5 3" xfId="1226"/>
    <cellStyle name="Normal 5 5 5 3 2" xfId="3756"/>
    <cellStyle name="Normal 5 5 5 3 2 2" xfId="9298"/>
    <cellStyle name="Normal 5 5 5 3 2 3" xfId="14837"/>
    <cellStyle name="Normal 5 5 5 3 3" xfId="4793"/>
    <cellStyle name="Normal 5 5 5 3 3 2" xfId="10332"/>
    <cellStyle name="Normal 5 5 5 3 3 3" xfId="15871"/>
    <cellStyle name="Normal 5 5 5 3 4" xfId="5728"/>
    <cellStyle name="Normal 5 5 5 3 4 2" xfId="11267"/>
    <cellStyle name="Normal 5 5 5 3 4 3" xfId="16806"/>
    <cellStyle name="Normal 5 5 5 3 5" xfId="2430"/>
    <cellStyle name="Normal 5 5 5 3 5 2" xfId="7976"/>
    <cellStyle name="Normal 5 5 5 3 5 3" xfId="13515"/>
    <cellStyle name="Normal 5 5 5 3 6" xfId="6771"/>
    <cellStyle name="Normal 5 5 5 3 7" xfId="12310"/>
    <cellStyle name="Normal 5 5 5 4" xfId="887"/>
    <cellStyle name="Normal 5 5 5 4 2" xfId="3417"/>
    <cellStyle name="Normal 5 5 5 4 2 2" xfId="8959"/>
    <cellStyle name="Normal 5 5 5 4 2 3" xfId="14498"/>
    <cellStyle name="Normal 5 5 5 4 3" xfId="4454"/>
    <cellStyle name="Normal 5 5 5 4 3 2" xfId="9993"/>
    <cellStyle name="Normal 5 5 5 4 3 3" xfId="15532"/>
    <cellStyle name="Normal 5 5 5 4 4" xfId="5389"/>
    <cellStyle name="Normal 5 5 5 4 4 2" xfId="10928"/>
    <cellStyle name="Normal 5 5 5 4 4 3" xfId="16467"/>
    <cellStyle name="Normal 5 5 5 4 5" xfId="2091"/>
    <cellStyle name="Normal 5 5 5 4 5 2" xfId="7637"/>
    <cellStyle name="Normal 5 5 5 4 5 3" xfId="13176"/>
    <cellStyle name="Normal 5 5 5 4 6" xfId="6432"/>
    <cellStyle name="Normal 5 5 5 4 7" xfId="11971"/>
    <cellStyle name="Normal 5 5 5 5" xfId="1571"/>
    <cellStyle name="Normal 5 5 5 5 2" xfId="2776"/>
    <cellStyle name="Normal 5 5 5 5 2 2" xfId="8322"/>
    <cellStyle name="Normal 5 5 5 5 2 3" xfId="13861"/>
    <cellStyle name="Normal 5 5 5 5 3" xfId="7117"/>
    <cellStyle name="Normal 5 5 5 5 4" xfId="12656"/>
    <cellStyle name="Normal 5 5 5 6" xfId="2949"/>
    <cellStyle name="Normal 5 5 5 6 2" xfId="8493"/>
    <cellStyle name="Normal 5 5 5 6 3" xfId="14032"/>
    <cellStyle name="Normal 5 5 5 7" xfId="3069"/>
    <cellStyle name="Normal 5 5 5 7 2" xfId="8612"/>
    <cellStyle name="Normal 5 5 5 7 3" xfId="14151"/>
    <cellStyle name="Normal 5 5 5 8" xfId="4112"/>
    <cellStyle name="Normal 5 5 5 8 2" xfId="9653"/>
    <cellStyle name="Normal 5 5 5 8 3" xfId="15192"/>
    <cellStyle name="Normal 5 5 5 9" xfId="1733"/>
    <cellStyle name="Normal 5 5 5 9 2" xfId="7279"/>
    <cellStyle name="Normal 5 5 5 9 3" xfId="12818"/>
    <cellStyle name="Normal 5 5 6" xfId="363"/>
    <cellStyle name="Normal 5 5 6 10" xfId="6002"/>
    <cellStyle name="Normal 5 5 6 10 2" xfId="17080"/>
    <cellStyle name="Normal 5 5 6 11" xfId="646"/>
    <cellStyle name="Normal 5 5 6 11 2" xfId="17242"/>
    <cellStyle name="Normal 5 5 6 12" xfId="11541"/>
    <cellStyle name="Normal 5 5 6 13" xfId="17409"/>
    <cellStyle name="Normal 5 5 6 14" xfId="17574"/>
    <cellStyle name="Normal 5 5 6 2" xfId="562"/>
    <cellStyle name="Normal 5 5 6 2 2" xfId="1403"/>
    <cellStyle name="Normal 5 5 6 2 2 2" xfId="3935"/>
    <cellStyle name="Normal 5 5 6 2 2 2 2" xfId="9477"/>
    <cellStyle name="Normal 5 5 6 2 2 2 3" xfId="15016"/>
    <cellStyle name="Normal 5 5 6 2 2 3" xfId="4972"/>
    <cellStyle name="Normal 5 5 6 2 2 3 2" xfId="10511"/>
    <cellStyle name="Normal 5 5 6 2 2 3 3" xfId="16050"/>
    <cellStyle name="Normal 5 5 6 2 2 4" xfId="5906"/>
    <cellStyle name="Normal 5 5 6 2 2 4 2" xfId="11445"/>
    <cellStyle name="Normal 5 5 6 2 2 4 3" xfId="16984"/>
    <cellStyle name="Normal 5 5 6 2 2 5" xfId="2608"/>
    <cellStyle name="Normal 5 5 6 2 2 5 2" xfId="8154"/>
    <cellStyle name="Normal 5 5 6 2 2 5 3" xfId="13693"/>
    <cellStyle name="Normal 5 5 6 2 2 6" xfId="6949"/>
    <cellStyle name="Normal 5 5 6 2 2 7" xfId="12488"/>
    <cellStyle name="Normal 5 5 6 2 3" xfId="977"/>
    <cellStyle name="Normal 5 5 6 2 3 2" xfId="3507"/>
    <cellStyle name="Normal 5 5 6 2 3 2 2" xfId="9049"/>
    <cellStyle name="Normal 5 5 6 2 3 2 3" xfId="14588"/>
    <cellStyle name="Normal 5 5 6 2 3 3" xfId="4544"/>
    <cellStyle name="Normal 5 5 6 2 3 3 2" xfId="10083"/>
    <cellStyle name="Normal 5 5 6 2 3 3 3" xfId="15622"/>
    <cellStyle name="Normal 5 5 6 2 3 4" xfId="5479"/>
    <cellStyle name="Normal 5 5 6 2 3 4 2" xfId="11018"/>
    <cellStyle name="Normal 5 5 6 2 3 4 3" xfId="16557"/>
    <cellStyle name="Normal 5 5 6 2 3 5" xfId="2181"/>
    <cellStyle name="Normal 5 5 6 2 3 5 2" xfId="7727"/>
    <cellStyle name="Normal 5 5 6 2 3 5 3" xfId="13266"/>
    <cellStyle name="Normal 5 5 6 2 3 6" xfId="6522"/>
    <cellStyle name="Normal 5 5 6 2 3 7" xfId="12061"/>
    <cellStyle name="Normal 5 5 6 2 4" xfId="3221"/>
    <cellStyle name="Normal 5 5 6 2 4 2" xfId="8763"/>
    <cellStyle name="Normal 5 5 6 2 4 3" xfId="14302"/>
    <cellStyle name="Normal 5 5 6 2 5" xfId="4260"/>
    <cellStyle name="Normal 5 5 6 2 5 2" xfId="9799"/>
    <cellStyle name="Normal 5 5 6 2 5 3" xfId="15338"/>
    <cellStyle name="Normal 5 5 6 2 6" xfId="5221"/>
    <cellStyle name="Normal 5 5 6 2 6 2" xfId="10760"/>
    <cellStyle name="Normal 5 5 6 2 6 3" xfId="16299"/>
    <cellStyle name="Normal 5 5 6 2 7" xfId="1923"/>
    <cellStyle name="Normal 5 5 6 2 7 2" xfId="7469"/>
    <cellStyle name="Normal 5 5 6 2 7 3" xfId="13008"/>
    <cellStyle name="Normal 5 5 6 2 8" xfId="6264"/>
    <cellStyle name="Normal 5 5 6 2 9" xfId="11803"/>
    <cellStyle name="Normal 5 5 6 3" xfId="1154"/>
    <cellStyle name="Normal 5 5 6 3 2" xfId="3684"/>
    <cellStyle name="Normal 5 5 6 3 2 2" xfId="9226"/>
    <cellStyle name="Normal 5 5 6 3 2 3" xfId="14765"/>
    <cellStyle name="Normal 5 5 6 3 3" xfId="4721"/>
    <cellStyle name="Normal 5 5 6 3 3 2" xfId="10260"/>
    <cellStyle name="Normal 5 5 6 3 3 3" xfId="15799"/>
    <cellStyle name="Normal 5 5 6 3 4" xfId="5656"/>
    <cellStyle name="Normal 5 5 6 3 4 2" xfId="11195"/>
    <cellStyle name="Normal 5 5 6 3 4 3" xfId="16734"/>
    <cellStyle name="Normal 5 5 6 3 5" xfId="2358"/>
    <cellStyle name="Normal 5 5 6 3 5 2" xfId="7904"/>
    <cellStyle name="Normal 5 5 6 3 5 3" xfId="13443"/>
    <cellStyle name="Normal 5 5 6 3 6" xfId="6699"/>
    <cellStyle name="Normal 5 5 6 3 7" xfId="12238"/>
    <cellStyle name="Normal 5 5 6 4" xfId="888"/>
    <cellStyle name="Normal 5 5 6 4 2" xfId="3418"/>
    <cellStyle name="Normal 5 5 6 4 2 2" xfId="8960"/>
    <cellStyle name="Normal 5 5 6 4 2 3" xfId="14499"/>
    <cellStyle name="Normal 5 5 6 4 3" xfId="4455"/>
    <cellStyle name="Normal 5 5 6 4 3 2" xfId="9994"/>
    <cellStyle name="Normal 5 5 6 4 3 3" xfId="15533"/>
    <cellStyle name="Normal 5 5 6 4 4" xfId="5390"/>
    <cellStyle name="Normal 5 5 6 4 4 2" xfId="10929"/>
    <cellStyle name="Normal 5 5 6 4 4 3" xfId="16468"/>
    <cellStyle name="Normal 5 5 6 4 5" xfId="2092"/>
    <cellStyle name="Normal 5 5 6 4 5 2" xfId="7638"/>
    <cellStyle name="Normal 5 5 6 4 5 3" xfId="13177"/>
    <cellStyle name="Normal 5 5 6 4 6" xfId="6433"/>
    <cellStyle name="Normal 5 5 6 4 7" xfId="11972"/>
    <cellStyle name="Normal 5 5 6 5" xfId="1499"/>
    <cellStyle name="Normal 5 5 6 5 2" xfId="2704"/>
    <cellStyle name="Normal 5 5 6 5 2 2" xfId="8250"/>
    <cellStyle name="Normal 5 5 6 5 2 3" xfId="13789"/>
    <cellStyle name="Normal 5 5 6 5 3" xfId="7045"/>
    <cellStyle name="Normal 5 5 6 5 4" xfId="12584"/>
    <cellStyle name="Normal 5 5 6 6" xfId="2877"/>
    <cellStyle name="Normal 5 5 6 6 2" xfId="8421"/>
    <cellStyle name="Normal 5 5 6 6 3" xfId="13960"/>
    <cellStyle name="Normal 5 5 6 7" xfId="3294"/>
    <cellStyle name="Normal 5 5 6 7 2" xfId="8836"/>
    <cellStyle name="Normal 5 5 6 7 3" xfId="14375"/>
    <cellStyle name="Normal 5 5 6 8" xfId="4333"/>
    <cellStyle name="Normal 5 5 6 8 2" xfId="9872"/>
    <cellStyle name="Normal 5 5 6 8 3" xfId="15411"/>
    <cellStyle name="Normal 5 5 6 9" xfId="1661"/>
    <cellStyle name="Normal 5 5 6 9 2" xfId="7207"/>
    <cellStyle name="Normal 5 5 6 9 3" xfId="12746"/>
    <cellStyle name="Normal 5 5 7" xfId="461"/>
    <cellStyle name="Normal 5 5 7 2" xfId="1303"/>
    <cellStyle name="Normal 5 5 7 2 2" xfId="3834"/>
    <cellStyle name="Normal 5 5 7 2 2 2" xfId="9376"/>
    <cellStyle name="Normal 5 5 7 2 2 3" xfId="14915"/>
    <cellStyle name="Normal 5 5 7 2 3" xfId="4871"/>
    <cellStyle name="Normal 5 5 7 2 3 2" xfId="10410"/>
    <cellStyle name="Normal 5 5 7 2 3 3" xfId="15949"/>
    <cellStyle name="Normal 5 5 7 2 4" xfId="5806"/>
    <cellStyle name="Normal 5 5 7 2 4 2" xfId="11345"/>
    <cellStyle name="Normal 5 5 7 2 4 3" xfId="16884"/>
    <cellStyle name="Normal 5 5 7 2 5" xfId="2508"/>
    <cellStyle name="Normal 5 5 7 2 5 2" xfId="8054"/>
    <cellStyle name="Normal 5 5 7 2 5 3" xfId="13593"/>
    <cellStyle name="Normal 5 5 7 2 6" xfId="6849"/>
    <cellStyle name="Normal 5 5 7 2 7" xfId="12388"/>
    <cellStyle name="Normal 5 5 7 3" xfId="959"/>
    <cellStyle name="Normal 5 5 7 3 2" xfId="3489"/>
    <cellStyle name="Normal 5 5 7 3 2 2" xfId="9031"/>
    <cellStyle name="Normal 5 5 7 3 2 3" xfId="14570"/>
    <cellStyle name="Normal 5 5 7 3 3" xfId="4526"/>
    <cellStyle name="Normal 5 5 7 3 3 2" xfId="10065"/>
    <cellStyle name="Normal 5 5 7 3 3 3" xfId="15604"/>
    <cellStyle name="Normal 5 5 7 3 4" xfId="5461"/>
    <cellStyle name="Normal 5 5 7 3 4 2" xfId="11000"/>
    <cellStyle name="Normal 5 5 7 3 4 3" xfId="16539"/>
    <cellStyle name="Normal 5 5 7 3 5" xfId="2163"/>
    <cellStyle name="Normal 5 5 7 3 5 2" xfId="7709"/>
    <cellStyle name="Normal 5 5 7 3 5 3" xfId="13248"/>
    <cellStyle name="Normal 5 5 7 3 6" xfId="6504"/>
    <cellStyle name="Normal 5 5 7 3 7" xfId="12043"/>
    <cellStyle name="Normal 5 5 7 4" xfId="3111"/>
    <cellStyle name="Normal 5 5 7 4 2" xfId="8654"/>
    <cellStyle name="Normal 5 5 7 4 3" xfId="14193"/>
    <cellStyle name="Normal 5 5 7 5" xfId="4154"/>
    <cellStyle name="Normal 5 5 7 5 2" xfId="9695"/>
    <cellStyle name="Normal 5 5 7 5 3" xfId="15234"/>
    <cellStyle name="Normal 5 5 7 6" xfId="5121"/>
    <cellStyle name="Normal 5 5 7 6 2" xfId="10660"/>
    <cellStyle name="Normal 5 5 7 6 3" xfId="16199"/>
    <cellStyle name="Normal 5 5 7 7" xfId="1823"/>
    <cellStyle name="Normal 5 5 7 7 2" xfId="7369"/>
    <cellStyle name="Normal 5 5 7 7 3" xfId="12908"/>
    <cellStyle name="Normal 5 5 7 8" xfId="6164"/>
    <cellStyle name="Normal 5 5 7 9" xfId="11703"/>
    <cellStyle name="Normal 5 5 8" xfId="1136"/>
    <cellStyle name="Normal 5 5 8 2" xfId="3666"/>
    <cellStyle name="Normal 5 5 8 2 2" xfId="9208"/>
    <cellStyle name="Normal 5 5 8 2 3" xfId="14747"/>
    <cellStyle name="Normal 5 5 8 3" xfId="4703"/>
    <cellStyle name="Normal 5 5 8 3 2" xfId="10242"/>
    <cellStyle name="Normal 5 5 8 3 3" xfId="15781"/>
    <cellStyle name="Normal 5 5 8 4" xfId="5638"/>
    <cellStyle name="Normal 5 5 8 4 2" xfId="11177"/>
    <cellStyle name="Normal 5 5 8 4 3" xfId="16716"/>
    <cellStyle name="Normal 5 5 8 5" xfId="2340"/>
    <cellStyle name="Normal 5 5 8 5 2" xfId="7886"/>
    <cellStyle name="Normal 5 5 8 5 3" xfId="13425"/>
    <cellStyle name="Normal 5 5 8 6" xfId="6681"/>
    <cellStyle name="Normal 5 5 8 7" xfId="12220"/>
    <cellStyle name="Normal 5 5 9" xfId="880"/>
    <cellStyle name="Normal 5 5 9 2" xfId="3410"/>
    <cellStyle name="Normal 5 5 9 2 2" xfId="8952"/>
    <cellStyle name="Normal 5 5 9 2 3" xfId="14491"/>
    <cellStyle name="Normal 5 5 9 3" xfId="4447"/>
    <cellStyle name="Normal 5 5 9 3 2" xfId="9986"/>
    <cellStyle name="Normal 5 5 9 3 3" xfId="15525"/>
    <cellStyle name="Normal 5 5 9 4" xfId="5382"/>
    <cellStyle name="Normal 5 5 9 4 2" xfId="10921"/>
    <cellStyle name="Normal 5 5 9 4 3" xfId="16460"/>
    <cellStyle name="Normal 5 5 9 5" xfId="2084"/>
    <cellStyle name="Normal 5 5 9 5 2" xfId="7630"/>
    <cellStyle name="Normal 5 5 9 5 3" xfId="13169"/>
    <cellStyle name="Normal 5 5 9 6" xfId="6425"/>
    <cellStyle name="Normal 5 5 9 7" xfId="11964"/>
    <cellStyle name="Normal 5 6" xfId="364"/>
    <cellStyle name="Normal 5 6 10" xfId="1688"/>
    <cellStyle name="Normal 5 6 10 2" xfId="7234"/>
    <cellStyle name="Normal 5 6 10 3" xfId="12773"/>
    <cellStyle name="Normal 5 6 11" xfId="6029"/>
    <cellStyle name="Normal 5 6 11 2" xfId="17107"/>
    <cellStyle name="Normal 5 6 12" xfId="673"/>
    <cellStyle name="Normal 5 6 12 2" xfId="17269"/>
    <cellStyle name="Normal 5 6 13" xfId="11568"/>
    <cellStyle name="Normal 5 6 14" xfId="17436"/>
    <cellStyle name="Normal 5 6 15" xfId="17601"/>
    <cellStyle name="Normal 5 6 2" xfId="365"/>
    <cellStyle name="Normal 5 6 2 10" xfId="6119"/>
    <cellStyle name="Normal 5 6 2 10 2" xfId="17197"/>
    <cellStyle name="Normal 5 6 2 11" xfId="763"/>
    <cellStyle name="Normal 5 6 2 11 2" xfId="17359"/>
    <cellStyle name="Normal 5 6 2 12" xfId="11658"/>
    <cellStyle name="Normal 5 6 2 13" xfId="17526"/>
    <cellStyle name="Normal 5 6 2 14" xfId="17691"/>
    <cellStyle name="Normal 5 6 2 2" xfId="564"/>
    <cellStyle name="Normal 5 6 2 2 2" xfId="1405"/>
    <cellStyle name="Normal 5 6 2 2 2 2" xfId="3937"/>
    <cellStyle name="Normal 5 6 2 2 2 2 2" xfId="9479"/>
    <cellStyle name="Normal 5 6 2 2 2 2 3" xfId="15018"/>
    <cellStyle name="Normal 5 6 2 2 2 3" xfId="4974"/>
    <cellStyle name="Normal 5 6 2 2 2 3 2" xfId="10513"/>
    <cellStyle name="Normal 5 6 2 2 2 3 3" xfId="16052"/>
    <cellStyle name="Normal 5 6 2 2 2 4" xfId="5908"/>
    <cellStyle name="Normal 5 6 2 2 2 4 2" xfId="11447"/>
    <cellStyle name="Normal 5 6 2 2 2 4 3" xfId="16986"/>
    <cellStyle name="Normal 5 6 2 2 2 5" xfId="2610"/>
    <cellStyle name="Normal 5 6 2 2 2 5 2" xfId="8156"/>
    <cellStyle name="Normal 5 6 2 2 2 5 3" xfId="13695"/>
    <cellStyle name="Normal 5 6 2 2 2 6" xfId="6951"/>
    <cellStyle name="Normal 5 6 2 2 2 7" xfId="12490"/>
    <cellStyle name="Normal 5 6 2 2 3" xfId="1094"/>
    <cellStyle name="Normal 5 6 2 2 3 2" xfId="3624"/>
    <cellStyle name="Normal 5 6 2 2 3 2 2" xfId="9166"/>
    <cellStyle name="Normal 5 6 2 2 3 2 3" xfId="14705"/>
    <cellStyle name="Normal 5 6 2 2 3 3" xfId="4661"/>
    <cellStyle name="Normal 5 6 2 2 3 3 2" xfId="10200"/>
    <cellStyle name="Normal 5 6 2 2 3 3 3" xfId="15739"/>
    <cellStyle name="Normal 5 6 2 2 3 4" xfId="5596"/>
    <cellStyle name="Normal 5 6 2 2 3 4 2" xfId="11135"/>
    <cellStyle name="Normal 5 6 2 2 3 4 3" xfId="16674"/>
    <cellStyle name="Normal 5 6 2 2 3 5" xfId="2298"/>
    <cellStyle name="Normal 5 6 2 2 3 5 2" xfId="7844"/>
    <cellStyle name="Normal 5 6 2 2 3 5 3" xfId="13383"/>
    <cellStyle name="Normal 5 6 2 2 3 6" xfId="6639"/>
    <cellStyle name="Normal 5 6 2 2 3 7" xfId="12178"/>
    <cellStyle name="Normal 5 6 2 2 4" xfId="3223"/>
    <cellStyle name="Normal 5 6 2 2 4 2" xfId="8765"/>
    <cellStyle name="Normal 5 6 2 2 4 3" xfId="14304"/>
    <cellStyle name="Normal 5 6 2 2 5" xfId="4262"/>
    <cellStyle name="Normal 5 6 2 2 5 2" xfId="9801"/>
    <cellStyle name="Normal 5 6 2 2 5 3" xfId="15340"/>
    <cellStyle name="Normal 5 6 2 2 6" xfId="5223"/>
    <cellStyle name="Normal 5 6 2 2 6 2" xfId="10762"/>
    <cellStyle name="Normal 5 6 2 2 6 3" xfId="16301"/>
    <cellStyle name="Normal 5 6 2 2 7" xfId="1925"/>
    <cellStyle name="Normal 5 6 2 2 7 2" xfId="7471"/>
    <cellStyle name="Normal 5 6 2 2 7 3" xfId="13010"/>
    <cellStyle name="Normal 5 6 2 2 8" xfId="6266"/>
    <cellStyle name="Normal 5 6 2 2 9" xfId="11805"/>
    <cellStyle name="Normal 5 6 2 3" xfId="1271"/>
    <cellStyle name="Normal 5 6 2 3 2" xfId="3801"/>
    <cellStyle name="Normal 5 6 2 3 2 2" xfId="9343"/>
    <cellStyle name="Normal 5 6 2 3 2 3" xfId="14882"/>
    <cellStyle name="Normal 5 6 2 3 3" xfId="4838"/>
    <cellStyle name="Normal 5 6 2 3 3 2" xfId="10377"/>
    <cellStyle name="Normal 5 6 2 3 3 3" xfId="15916"/>
    <cellStyle name="Normal 5 6 2 3 4" xfId="5773"/>
    <cellStyle name="Normal 5 6 2 3 4 2" xfId="11312"/>
    <cellStyle name="Normal 5 6 2 3 4 3" xfId="16851"/>
    <cellStyle name="Normal 5 6 2 3 5" xfId="2475"/>
    <cellStyle name="Normal 5 6 2 3 5 2" xfId="8021"/>
    <cellStyle name="Normal 5 6 2 3 5 3" xfId="13560"/>
    <cellStyle name="Normal 5 6 2 3 6" xfId="6816"/>
    <cellStyle name="Normal 5 6 2 3 7" xfId="12355"/>
    <cellStyle name="Normal 5 6 2 4" xfId="890"/>
    <cellStyle name="Normal 5 6 2 4 2" xfId="3420"/>
    <cellStyle name="Normal 5 6 2 4 2 2" xfId="8962"/>
    <cellStyle name="Normal 5 6 2 4 2 3" xfId="14501"/>
    <cellStyle name="Normal 5 6 2 4 3" xfId="4457"/>
    <cellStyle name="Normal 5 6 2 4 3 2" xfId="9996"/>
    <cellStyle name="Normal 5 6 2 4 3 3" xfId="15535"/>
    <cellStyle name="Normal 5 6 2 4 4" xfId="5392"/>
    <cellStyle name="Normal 5 6 2 4 4 2" xfId="10931"/>
    <cellStyle name="Normal 5 6 2 4 4 3" xfId="16470"/>
    <cellStyle name="Normal 5 6 2 4 5" xfId="2094"/>
    <cellStyle name="Normal 5 6 2 4 5 2" xfId="7640"/>
    <cellStyle name="Normal 5 6 2 4 5 3" xfId="13179"/>
    <cellStyle name="Normal 5 6 2 4 6" xfId="6435"/>
    <cellStyle name="Normal 5 6 2 4 7" xfId="11974"/>
    <cellStyle name="Normal 5 6 2 5" xfId="1616"/>
    <cellStyle name="Normal 5 6 2 5 2" xfId="2821"/>
    <cellStyle name="Normal 5 6 2 5 2 2" xfId="8367"/>
    <cellStyle name="Normal 5 6 2 5 2 3" xfId="13906"/>
    <cellStyle name="Normal 5 6 2 5 3" xfId="7162"/>
    <cellStyle name="Normal 5 6 2 5 4" xfId="12701"/>
    <cellStyle name="Normal 5 6 2 6" xfId="2994"/>
    <cellStyle name="Normal 5 6 2 6 2" xfId="8538"/>
    <cellStyle name="Normal 5 6 2 6 3" xfId="14077"/>
    <cellStyle name="Normal 5 6 2 7" xfId="4039"/>
    <cellStyle name="Normal 5 6 2 7 2" xfId="9581"/>
    <cellStyle name="Normal 5 6 2 7 3" xfId="15120"/>
    <cellStyle name="Normal 5 6 2 8" xfId="5076"/>
    <cellStyle name="Normal 5 6 2 8 2" xfId="10615"/>
    <cellStyle name="Normal 5 6 2 8 3" xfId="16154"/>
    <cellStyle name="Normal 5 6 2 9" xfId="1778"/>
    <cellStyle name="Normal 5 6 2 9 2" xfId="7324"/>
    <cellStyle name="Normal 5 6 2 9 3" xfId="12863"/>
    <cellStyle name="Normal 5 6 3" xfId="563"/>
    <cellStyle name="Normal 5 6 3 2" xfId="1404"/>
    <cellStyle name="Normal 5 6 3 2 2" xfId="3936"/>
    <cellStyle name="Normal 5 6 3 2 2 2" xfId="9478"/>
    <cellStyle name="Normal 5 6 3 2 2 3" xfId="15017"/>
    <cellStyle name="Normal 5 6 3 2 3" xfId="4973"/>
    <cellStyle name="Normal 5 6 3 2 3 2" xfId="10512"/>
    <cellStyle name="Normal 5 6 3 2 3 3" xfId="16051"/>
    <cellStyle name="Normal 5 6 3 2 4" xfId="5907"/>
    <cellStyle name="Normal 5 6 3 2 4 2" xfId="11446"/>
    <cellStyle name="Normal 5 6 3 2 4 3" xfId="16985"/>
    <cellStyle name="Normal 5 6 3 2 5" xfId="2609"/>
    <cellStyle name="Normal 5 6 3 2 5 2" xfId="8155"/>
    <cellStyle name="Normal 5 6 3 2 5 3" xfId="13694"/>
    <cellStyle name="Normal 5 6 3 2 6" xfId="6950"/>
    <cellStyle name="Normal 5 6 3 2 7" xfId="12489"/>
    <cellStyle name="Normal 5 6 3 3" xfId="1004"/>
    <cellStyle name="Normal 5 6 3 3 2" xfId="3534"/>
    <cellStyle name="Normal 5 6 3 3 2 2" xfId="9076"/>
    <cellStyle name="Normal 5 6 3 3 2 3" xfId="14615"/>
    <cellStyle name="Normal 5 6 3 3 3" xfId="4571"/>
    <cellStyle name="Normal 5 6 3 3 3 2" xfId="10110"/>
    <cellStyle name="Normal 5 6 3 3 3 3" xfId="15649"/>
    <cellStyle name="Normal 5 6 3 3 4" xfId="5506"/>
    <cellStyle name="Normal 5 6 3 3 4 2" xfId="11045"/>
    <cellStyle name="Normal 5 6 3 3 4 3" xfId="16584"/>
    <cellStyle name="Normal 5 6 3 3 5" xfId="2208"/>
    <cellStyle name="Normal 5 6 3 3 5 2" xfId="7754"/>
    <cellStyle name="Normal 5 6 3 3 5 3" xfId="13293"/>
    <cellStyle name="Normal 5 6 3 3 6" xfId="6549"/>
    <cellStyle name="Normal 5 6 3 3 7" xfId="12088"/>
    <cellStyle name="Normal 5 6 3 4" xfId="3222"/>
    <cellStyle name="Normal 5 6 3 4 2" xfId="8764"/>
    <cellStyle name="Normal 5 6 3 4 3" xfId="14303"/>
    <cellStyle name="Normal 5 6 3 5" xfId="4261"/>
    <cellStyle name="Normal 5 6 3 5 2" xfId="9800"/>
    <cellStyle name="Normal 5 6 3 5 3" xfId="15339"/>
    <cellStyle name="Normal 5 6 3 6" xfId="5222"/>
    <cellStyle name="Normal 5 6 3 6 2" xfId="10761"/>
    <cellStyle name="Normal 5 6 3 6 3" xfId="16300"/>
    <cellStyle name="Normal 5 6 3 7" xfId="1924"/>
    <cellStyle name="Normal 5 6 3 7 2" xfId="7470"/>
    <cellStyle name="Normal 5 6 3 7 3" xfId="13009"/>
    <cellStyle name="Normal 5 6 3 8" xfId="6265"/>
    <cellStyle name="Normal 5 6 3 9" xfId="11804"/>
    <cellStyle name="Normal 5 6 4" xfId="1181"/>
    <cellStyle name="Normal 5 6 4 2" xfId="3711"/>
    <cellStyle name="Normal 5 6 4 2 2" xfId="9253"/>
    <cellStyle name="Normal 5 6 4 2 3" xfId="14792"/>
    <cellStyle name="Normal 5 6 4 3" xfId="4748"/>
    <cellStyle name="Normal 5 6 4 3 2" xfId="10287"/>
    <cellStyle name="Normal 5 6 4 3 3" xfId="15826"/>
    <cellStyle name="Normal 5 6 4 4" xfId="5683"/>
    <cellStyle name="Normal 5 6 4 4 2" xfId="11222"/>
    <cellStyle name="Normal 5 6 4 4 3" xfId="16761"/>
    <cellStyle name="Normal 5 6 4 5" xfId="2385"/>
    <cellStyle name="Normal 5 6 4 5 2" xfId="7931"/>
    <cellStyle name="Normal 5 6 4 5 3" xfId="13470"/>
    <cellStyle name="Normal 5 6 4 6" xfId="6726"/>
    <cellStyle name="Normal 5 6 4 7" xfId="12265"/>
    <cellStyle name="Normal 5 6 5" xfId="889"/>
    <cellStyle name="Normal 5 6 5 2" xfId="3419"/>
    <cellStyle name="Normal 5 6 5 2 2" xfId="8961"/>
    <cellStyle name="Normal 5 6 5 2 3" xfId="14500"/>
    <cellStyle name="Normal 5 6 5 3" xfId="4456"/>
    <cellStyle name="Normal 5 6 5 3 2" xfId="9995"/>
    <cellStyle name="Normal 5 6 5 3 3" xfId="15534"/>
    <cellStyle name="Normal 5 6 5 4" xfId="5391"/>
    <cellStyle name="Normal 5 6 5 4 2" xfId="10930"/>
    <cellStyle name="Normal 5 6 5 4 3" xfId="16469"/>
    <cellStyle name="Normal 5 6 5 5" xfId="2093"/>
    <cellStyle name="Normal 5 6 5 5 2" xfId="7639"/>
    <cellStyle name="Normal 5 6 5 5 3" xfId="13178"/>
    <cellStyle name="Normal 5 6 5 6" xfId="6434"/>
    <cellStyle name="Normal 5 6 5 7" xfId="11973"/>
    <cellStyle name="Normal 5 6 6" xfId="1526"/>
    <cellStyle name="Normal 5 6 6 2" xfId="2731"/>
    <cellStyle name="Normal 5 6 6 2 2" xfId="8277"/>
    <cellStyle name="Normal 5 6 6 2 3" xfId="13816"/>
    <cellStyle name="Normal 5 6 6 3" xfId="7072"/>
    <cellStyle name="Normal 5 6 6 4" xfId="12611"/>
    <cellStyle name="Normal 5 6 7" xfId="2904"/>
    <cellStyle name="Normal 5 6 7 2" xfId="8448"/>
    <cellStyle name="Normal 5 6 7 3" xfId="13987"/>
    <cellStyle name="Normal 5 6 8" xfId="3093"/>
    <cellStyle name="Normal 5 6 8 2" xfId="8636"/>
    <cellStyle name="Normal 5 6 8 3" xfId="14175"/>
    <cellStyle name="Normal 5 6 9" xfId="4136"/>
    <cellStyle name="Normal 5 6 9 2" xfId="9677"/>
    <cellStyle name="Normal 5 6 9 3" xfId="15216"/>
    <cellStyle name="Normal 5 7" xfId="366"/>
    <cellStyle name="Normal 5 7 10" xfId="1670"/>
    <cellStyle name="Normal 5 7 10 2" xfId="7216"/>
    <cellStyle name="Normal 5 7 10 3" xfId="12755"/>
    <cellStyle name="Normal 5 7 11" xfId="6011"/>
    <cellStyle name="Normal 5 7 11 2" xfId="17089"/>
    <cellStyle name="Normal 5 7 12" xfId="655"/>
    <cellStyle name="Normal 5 7 12 2" xfId="17251"/>
    <cellStyle name="Normal 5 7 13" xfId="11550"/>
    <cellStyle name="Normal 5 7 14" xfId="17418"/>
    <cellStyle name="Normal 5 7 15" xfId="17583"/>
    <cellStyle name="Normal 5 7 2" xfId="367"/>
    <cellStyle name="Normal 5 7 2 10" xfId="6101"/>
    <cellStyle name="Normal 5 7 2 10 2" xfId="17179"/>
    <cellStyle name="Normal 5 7 2 11" xfId="745"/>
    <cellStyle name="Normal 5 7 2 11 2" xfId="17341"/>
    <cellStyle name="Normal 5 7 2 12" xfId="11640"/>
    <cellStyle name="Normal 5 7 2 13" xfId="17508"/>
    <cellStyle name="Normal 5 7 2 14" xfId="17673"/>
    <cellStyle name="Normal 5 7 2 2" xfId="566"/>
    <cellStyle name="Normal 5 7 2 2 2" xfId="1407"/>
    <cellStyle name="Normal 5 7 2 2 2 2" xfId="3939"/>
    <cellStyle name="Normal 5 7 2 2 2 2 2" xfId="9481"/>
    <cellStyle name="Normal 5 7 2 2 2 2 3" xfId="15020"/>
    <cellStyle name="Normal 5 7 2 2 2 3" xfId="4976"/>
    <cellStyle name="Normal 5 7 2 2 2 3 2" xfId="10515"/>
    <cellStyle name="Normal 5 7 2 2 2 3 3" xfId="16054"/>
    <cellStyle name="Normal 5 7 2 2 2 4" xfId="5910"/>
    <cellStyle name="Normal 5 7 2 2 2 4 2" xfId="11449"/>
    <cellStyle name="Normal 5 7 2 2 2 4 3" xfId="16988"/>
    <cellStyle name="Normal 5 7 2 2 2 5" xfId="2612"/>
    <cellStyle name="Normal 5 7 2 2 2 5 2" xfId="8158"/>
    <cellStyle name="Normal 5 7 2 2 2 5 3" xfId="13697"/>
    <cellStyle name="Normal 5 7 2 2 2 6" xfId="6953"/>
    <cellStyle name="Normal 5 7 2 2 2 7" xfId="12492"/>
    <cellStyle name="Normal 5 7 2 2 3" xfId="1076"/>
    <cellStyle name="Normal 5 7 2 2 3 2" xfId="3606"/>
    <cellStyle name="Normal 5 7 2 2 3 2 2" xfId="9148"/>
    <cellStyle name="Normal 5 7 2 2 3 2 3" xfId="14687"/>
    <cellStyle name="Normal 5 7 2 2 3 3" xfId="4643"/>
    <cellStyle name="Normal 5 7 2 2 3 3 2" xfId="10182"/>
    <cellStyle name="Normal 5 7 2 2 3 3 3" xfId="15721"/>
    <cellStyle name="Normal 5 7 2 2 3 4" xfId="5578"/>
    <cellStyle name="Normal 5 7 2 2 3 4 2" xfId="11117"/>
    <cellStyle name="Normal 5 7 2 2 3 4 3" xfId="16656"/>
    <cellStyle name="Normal 5 7 2 2 3 5" xfId="2280"/>
    <cellStyle name="Normal 5 7 2 2 3 5 2" xfId="7826"/>
    <cellStyle name="Normal 5 7 2 2 3 5 3" xfId="13365"/>
    <cellStyle name="Normal 5 7 2 2 3 6" xfId="6621"/>
    <cellStyle name="Normal 5 7 2 2 3 7" xfId="12160"/>
    <cellStyle name="Normal 5 7 2 2 4" xfId="3225"/>
    <cellStyle name="Normal 5 7 2 2 4 2" xfId="8767"/>
    <cellStyle name="Normal 5 7 2 2 4 3" xfId="14306"/>
    <cellStyle name="Normal 5 7 2 2 5" xfId="4264"/>
    <cellStyle name="Normal 5 7 2 2 5 2" xfId="9803"/>
    <cellStyle name="Normal 5 7 2 2 5 3" xfId="15342"/>
    <cellStyle name="Normal 5 7 2 2 6" xfId="5225"/>
    <cellStyle name="Normal 5 7 2 2 6 2" xfId="10764"/>
    <cellStyle name="Normal 5 7 2 2 6 3" xfId="16303"/>
    <cellStyle name="Normal 5 7 2 2 7" xfId="1927"/>
    <cellStyle name="Normal 5 7 2 2 7 2" xfId="7473"/>
    <cellStyle name="Normal 5 7 2 2 7 3" xfId="13012"/>
    <cellStyle name="Normal 5 7 2 2 8" xfId="6268"/>
    <cellStyle name="Normal 5 7 2 2 9" xfId="11807"/>
    <cellStyle name="Normal 5 7 2 3" xfId="1253"/>
    <cellStyle name="Normal 5 7 2 3 2" xfId="3783"/>
    <cellStyle name="Normal 5 7 2 3 2 2" xfId="9325"/>
    <cellStyle name="Normal 5 7 2 3 2 3" xfId="14864"/>
    <cellStyle name="Normal 5 7 2 3 3" xfId="4820"/>
    <cellStyle name="Normal 5 7 2 3 3 2" xfId="10359"/>
    <cellStyle name="Normal 5 7 2 3 3 3" xfId="15898"/>
    <cellStyle name="Normal 5 7 2 3 4" xfId="5755"/>
    <cellStyle name="Normal 5 7 2 3 4 2" xfId="11294"/>
    <cellStyle name="Normal 5 7 2 3 4 3" xfId="16833"/>
    <cellStyle name="Normal 5 7 2 3 5" xfId="2457"/>
    <cellStyle name="Normal 5 7 2 3 5 2" xfId="8003"/>
    <cellStyle name="Normal 5 7 2 3 5 3" xfId="13542"/>
    <cellStyle name="Normal 5 7 2 3 6" xfId="6798"/>
    <cellStyle name="Normal 5 7 2 3 7" xfId="12337"/>
    <cellStyle name="Normal 5 7 2 4" xfId="892"/>
    <cellStyle name="Normal 5 7 2 4 2" xfId="3422"/>
    <cellStyle name="Normal 5 7 2 4 2 2" xfId="8964"/>
    <cellStyle name="Normal 5 7 2 4 2 3" xfId="14503"/>
    <cellStyle name="Normal 5 7 2 4 3" xfId="4459"/>
    <cellStyle name="Normal 5 7 2 4 3 2" xfId="9998"/>
    <cellStyle name="Normal 5 7 2 4 3 3" xfId="15537"/>
    <cellStyle name="Normal 5 7 2 4 4" xfId="5394"/>
    <cellStyle name="Normal 5 7 2 4 4 2" xfId="10933"/>
    <cellStyle name="Normal 5 7 2 4 4 3" xfId="16472"/>
    <cellStyle name="Normal 5 7 2 4 5" xfId="2096"/>
    <cellStyle name="Normal 5 7 2 4 5 2" xfId="7642"/>
    <cellStyle name="Normal 5 7 2 4 5 3" xfId="13181"/>
    <cellStyle name="Normal 5 7 2 4 6" xfId="6437"/>
    <cellStyle name="Normal 5 7 2 4 7" xfId="11976"/>
    <cellStyle name="Normal 5 7 2 5" xfId="1598"/>
    <cellStyle name="Normal 5 7 2 5 2" xfId="2803"/>
    <cellStyle name="Normal 5 7 2 5 2 2" xfId="8349"/>
    <cellStyle name="Normal 5 7 2 5 2 3" xfId="13888"/>
    <cellStyle name="Normal 5 7 2 5 3" xfId="7144"/>
    <cellStyle name="Normal 5 7 2 5 4" xfId="12683"/>
    <cellStyle name="Normal 5 7 2 6" xfId="2976"/>
    <cellStyle name="Normal 5 7 2 6 2" xfId="8520"/>
    <cellStyle name="Normal 5 7 2 6 3" xfId="14059"/>
    <cellStyle name="Normal 5 7 2 7" xfId="4021"/>
    <cellStyle name="Normal 5 7 2 7 2" xfId="9563"/>
    <cellStyle name="Normal 5 7 2 7 3" xfId="15102"/>
    <cellStyle name="Normal 5 7 2 8" xfId="5058"/>
    <cellStyle name="Normal 5 7 2 8 2" xfId="10597"/>
    <cellStyle name="Normal 5 7 2 8 3" xfId="16136"/>
    <cellStyle name="Normal 5 7 2 9" xfId="1760"/>
    <cellStyle name="Normal 5 7 2 9 2" xfId="7306"/>
    <cellStyle name="Normal 5 7 2 9 3" xfId="12845"/>
    <cellStyle name="Normal 5 7 3" xfId="565"/>
    <cellStyle name="Normal 5 7 3 2" xfId="1406"/>
    <cellStyle name="Normal 5 7 3 2 2" xfId="3938"/>
    <cellStyle name="Normal 5 7 3 2 2 2" xfId="9480"/>
    <cellStyle name="Normal 5 7 3 2 2 3" xfId="15019"/>
    <cellStyle name="Normal 5 7 3 2 3" xfId="4975"/>
    <cellStyle name="Normal 5 7 3 2 3 2" xfId="10514"/>
    <cellStyle name="Normal 5 7 3 2 3 3" xfId="16053"/>
    <cellStyle name="Normal 5 7 3 2 4" xfId="5909"/>
    <cellStyle name="Normal 5 7 3 2 4 2" xfId="11448"/>
    <cellStyle name="Normal 5 7 3 2 4 3" xfId="16987"/>
    <cellStyle name="Normal 5 7 3 2 5" xfId="2611"/>
    <cellStyle name="Normal 5 7 3 2 5 2" xfId="8157"/>
    <cellStyle name="Normal 5 7 3 2 5 3" xfId="13696"/>
    <cellStyle name="Normal 5 7 3 2 6" xfId="6952"/>
    <cellStyle name="Normal 5 7 3 2 7" xfId="12491"/>
    <cellStyle name="Normal 5 7 3 3" xfId="986"/>
    <cellStyle name="Normal 5 7 3 3 2" xfId="3516"/>
    <cellStyle name="Normal 5 7 3 3 2 2" xfId="9058"/>
    <cellStyle name="Normal 5 7 3 3 2 3" xfId="14597"/>
    <cellStyle name="Normal 5 7 3 3 3" xfId="4553"/>
    <cellStyle name="Normal 5 7 3 3 3 2" xfId="10092"/>
    <cellStyle name="Normal 5 7 3 3 3 3" xfId="15631"/>
    <cellStyle name="Normal 5 7 3 3 4" xfId="5488"/>
    <cellStyle name="Normal 5 7 3 3 4 2" xfId="11027"/>
    <cellStyle name="Normal 5 7 3 3 4 3" xfId="16566"/>
    <cellStyle name="Normal 5 7 3 3 5" xfId="2190"/>
    <cellStyle name="Normal 5 7 3 3 5 2" xfId="7736"/>
    <cellStyle name="Normal 5 7 3 3 5 3" xfId="13275"/>
    <cellStyle name="Normal 5 7 3 3 6" xfId="6531"/>
    <cellStyle name="Normal 5 7 3 3 7" xfId="12070"/>
    <cellStyle name="Normal 5 7 3 4" xfId="3224"/>
    <cellStyle name="Normal 5 7 3 4 2" xfId="8766"/>
    <cellStyle name="Normal 5 7 3 4 3" xfId="14305"/>
    <cellStyle name="Normal 5 7 3 5" xfId="4263"/>
    <cellStyle name="Normal 5 7 3 5 2" xfId="9802"/>
    <cellStyle name="Normal 5 7 3 5 3" xfId="15341"/>
    <cellStyle name="Normal 5 7 3 6" xfId="5224"/>
    <cellStyle name="Normal 5 7 3 6 2" xfId="10763"/>
    <cellStyle name="Normal 5 7 3 6 3" xfId="16302"/>
    <cellStyle name="Normal 5 7 3 7" xfId="1926"/>
    <cellStyle name="Normal 5 7 3 7 2" xfId="7472"/>
    <cellStyle name="Normal 5 7 3 7 3" xfId="13011"/>
    <cellStyle name="Normal 5 7 3 8" xfId="6267"/>
    <cellStyle name="Normal 5 7 3 9" xfId="11806"/>
    <cellStyle name="Normal 5 7 4" xfId="1163"/>
    <cellStyle name="Normal 5 7 4 2" xfId="3693"/>
    <cellStyle name="Normal 5 7 4 2 2" xfId="9235"/>
    <cellStyle name="Normal 5 7 4 2 3" xfId="14774"/>
    <cellStyle name="Normal 5 7 4 3" xfId="4730"/>
    <cellStyle name="Normal 5 7 4 3 2" xfId="10269"/>
    <cellStyle name="Normal 5 7 4 3 3" xfId="15808"/>
    <cellStyle name="Normal 5 7 4 4" xfId="5665"/>
    <cellStyle name="Normal 5 7 4 4 2" xfId="11204"/>
    <cellStyle name="Normal 5 7 4 4 3" xfId="16743"/>
    <cellStyle name="Normal 5 7 4 5" xfId="2367"/>
    <cellStyle name="Normal 5 7 4 5 2" xfId="7913"/>
    <cellStyle name="Normal 5 7 4 5 3" xfId="13452"/>
    <cellStyle name="Normal 5 7 4 6" xfId="6708"/>
    <cellStyle name="Normal 5 7 4 7" xfId="12247"/>
    <cellStyle name="Normal 5 7 5" xfId="891"/>
    <cellStyle name="Normal 5 7 5 2" xfId="3421"/>
    <cellStyle name="Normal 5 7 5 2 2" xfId="8963"/>
    <cellStyle name="Normal 5 7 5 2 3" xfId="14502"/>
    <cellStyle name="Normal 5 7 5 3" xfId="4458"/>
    <cellStyle name="Normal 5 7 5 3 2" xfId="9997"/>
    <cellStyle name="Normal 5 7 5 3 3" xfId="15536"/>
    <cellStyle name="Normal 5 7 5 4" xfId="5393"/>
    <cellStyle name="Normal 5 7 5 4 2" xfId="10932"/>
    <cellStyle name="Normal 5 7 5 4 3" xfId="16471"/>
    <cellStyle name="Normal 5 7 5 5" xfId="2095"/>
    <cellStyle name="Normal 5 7 5 5 2" xfId="7641"/>
    <cellStyle name="Normal 5 7 5 5 3" xfId="13180"/>
    <cellStyle name="Normal 5 7 5 6" xfId="6436"/>
    <cellStyle name="Normal 5 7 5 7" xfId="11975"/>
    <cellStyle name="Normal 5 7 6" xfId="1508"/>
    <cellStyle name="Normal 5 7 6 2" xfId="2713"/>
    <cellStyle name="Normal 5 7 6 2 2" xfId="8259"/>
    <cellStyle name="Normal 5 7 6 2 3" xfId="13798"/>
    <cellStyle name="Normal 5 7 6 3" xfId="7054"/>
    <cellStyle name="Normal 5 7 6 4" xfId="12593"/>
    <cellStyle name="Normal 5 7 7" xfId="2886"/>
    <cellStyle name="Normal 5 7 7 2" xfId="8430"/>
    <cellStyle name="Normal 5 7 7 3" xfId="13969"/>
    <cellStyle name="Normal 5 7 8" xfId="3298"/>
    <cellStyle name="Normal 5 7 8 2" xfId="8840"/>
    <cellStyle name="Normal 5 7 8 3" xfId="14379"/>
    <cellStyle name="Normal 5 7 9" xfId="4337"/>
    <cellStyle name="Normal 5 7 9 2" xfId="9876"/>
    <cellStyle name="Normal 5 7 9 3" xfId="15415"/>
    <cellStyle name="Normal 5 8" xfId="368"/>
    <cellStyle name="Normal 5 8 10" xfId="1706"/>
    <cellStyle name="Normal 5 8 10 2" xfId="7252"/>
    <cellStyle name="Normal 5 8 10 3" xfId="12791"/>
    <cellStyle name="Normal 5 8 11" xfId="6047"/>
    <cellStyle name="Normal 5 8 11 2" xfId="17125"/>
    <cellStyle name="Normal 5 8 12" xfId="691"/>
    <cellStyle name="Normal 5 8 12 2" xfId="17287"/>
    <cellStyle name="Normal 5 8 13" xfId="11586"/>
    <cellStyle name="Normal 5 8 14" xfId="17454"/>
    <cellStyle name="Normal 5 8 15" xfId="17619"/>
    <cellStyle name="Normal 5 8 2" xfId="369"/>
    <cellStyle name="Normal 5 8 2 10" xfId="6083"/>
    <cellStyle name="Normal 5 8 2 10 2" xfId="17161"/>
    <cellStyle name="Normal 5 8 2 11" xfId="727"/>
    <cellStyle name="Normal 5 8 2 11 2" xfId="17323"/>
    <cellStyle name="Normal 5 8 2 12" xfId="11622"/>
    <cellStyle name="Normal 5 8 2 13" xfId="17490"/>
    <cellStyle name="Normal 5 8 2 14" xfId="17655"/>
    <cellStyle name="Normal 5 8 2 2" xfId="568"/>
    <cellStyle name="Normal 5 8 2 2 2" xfId="1409"/>
    <cellStyle name="Normal 5 8 2 2 2 2" xfId="3941"/>
    <cellStyle name="Normal 5 8 2 2 2 2 2" xfId="9483"/>
    <cellStyle name="Normal 5 8 2 2 2 2 3" xfId="15022"/>
    <cellStyle name="Normal 5 8 2 2 2 3" xfId="4978"/>
    <cellStyle name="Normal 5 8 2 2 2 3 2" xfId="10517"/>
    <cellStyle name="Normal 5 8 2 2 2 3 3" xfId="16056"/>
    <cellStyle name="Normal 5 8 2 2 2 4" xfId="5912"/>
    <cellStyle name="Normal 5 8 2 2 2 4 2" xfId="11451"/>
    <cellStyle name="Normal 5 8 2 2 2 4 3" xfId="16990"/>
    <cellStyle name="Normal 5 8 2 2 2 5" xfId="2614"/>
    <cellStyle name="Normal 5 8 2 2 2 5 2" xfId="8160"/>
    <cellStyle name="Normal 5 8 2 2 2 5 3" xfId="13699"/>
    <cellStyle name="Normal 5 8 2 2 2 6" xfId="6955"/>
    <cellStyle name="Normal 5 8 2 2 2 7" xfId="12494"/>
    <cellStyle name="Normal 5 8 2 2 3" xfId="1058"/>
    <cellStyle name="Normal 5 8 2 2 3 2" xfId="3588"/>
    <cellStyle name="Normal 5 8 2 2 3 2 2" xfId="9130"/>
    <cellStyle name="Normal 5 8 2 2 3 2 3" xfId="14669"/>
    <cellStyle name="Normal 5 8 2 2 3 3" xfId="4625"/>
    <cellStyle name="Normal 5 8 2 2 3 3 2" xfId="10164"/>
    <cellStyle name="Normal 5 8 2 2 3 3 3" xfId="15703"/>
    <cellStyle name="Normal 5 8 2 2 3 4" xfId="5560"/>
    <cellStyle name="Normal 5 8 2 2 3 4 2" xfId="11099"/>
    <cellStyle name="Normal 5 8 2 2 3 4 3" xfId="16638"/>
    <cellStyle name="Normal 5 8 2 2 3 5" xfId="2262"/>
    <cellStyle name="Normal 5 8 2 2 3 5 2" xfId="7808"/>
    <cellStyle name="Normal 5 8 2 2 3 5 3" xfId="13347"/>
    <cellStyle name="Normal 5 8 2 2 3 6" xfId="6603"/>
    <cellStyle name="Normal 5 8 2 2 3 7" xfId="12142"/>
    <cellStyle name="Normal 5 8 2 2 4" xfId="3227"/>
    <cellStyle name="Normal 5 8 2 2 4 2" xfId="8769"/>
    <cellStyle name="Normal 5 8 2 2 4 3" xfId="14308"/>
    <cellStyle name="Normal 5 8 2 2 5" xfId="4266"/>
    <cellStyle name="Normal 5 8 2 2 5 2" xfId="9805"/>
    <cellStyle name="Normal 5 8 2 2 5 3" xfId="15344"/>
    <cellStyle name="Normal 5 8 2 2 6" xfId="5227"/>
    <cellStyle name="Normal 5 8 2 2 6 2" xfId="10766"/>
    <cellStyle name="Normal 5 8 2 2 6 3" xfId="16305"/>
    <cellStyle name="Normal 5 8 2 2 7" xfId="1929"/>
    <cellStyle name="Normal 5 8 2 2 7 2" xfId="7475"/>
    <cellStyle name="Normal 5 8 2 2 7 3" xfId="13014"/>
    <cellStyle name="Normal 5 8 2 2 8" xfId="6270"/>
    <cellStyle name="Normal 5 8 2 2 9" xfId="11809"/>
    <cellStyle name="Normal 5 8 2 3" xfId="1235"/>
    <cellStyle name="Normal 5 8 2 3 2" xfId="3765"/>
    <cellStyle name="Normal 5 8 2 3 2 2" xfId="9307"/>
    <cellStyle name="Normal 5 8 2 3 2 3" xfId="14846"/>
    <cellStyle name="Normal 5 8 2 3 3" xfId="4802"/>
    <cellStyle name="Normal 5 8 2 3 3 2" xfId="10341"/>
    <cellStyle name="Normal 5 8 2 3 3 3" xfId="15880"/>
    <cellStyle name="Normal 5 8 2 3 4" xfId="5737"/>
    <cellStyle name="Normal 5 8 2 3 4 2" xfId="11276"/>
    <cellStyle name="Normal 5 8 2 3 4 3" xfId="16815"/>
    <cellStyle name="Normal 5 8 2 3 5" xfId="2439"/>
    <cellStyle name="Normal 5 8 2 3 5 2" xfId="7985"/>
    <cellStyle name="Normal 5 8 2 3 5 3" xfId="13524"/>
    <cellStyle name="Normal 5 8 2 3 6" xfId="6780"/>
    <cellStyle name="Normal 5 8 2 3 7" xfId="12319"/>
    <cellStyle name="Normal 5 8 2 4" xfId="894"/>
    <cellStyle name="Normal 5 8 2 4 2" xfId="3424"/>
    <cellStyle name="Normal 5 8 2 4 2 2" xfId="8966"/>
    <cellStyle name="Normal 5 8 2 4 2 3" xfId="14505"/>
    <cellStyle name="Normal 5 8 2 4 3" xfId="4461"/>
    <cellStyle name="Normal 5 8 2 4 3 2" xfId="10000"/>
    <cellStyle name="Normal 5 8 2 4 3 3" xfId="15539"/>
    <cellStyle name="Normal 5 8 2 4 4" xfId="5396"/>
    <cellStyle name="Normal 5 8 2 4 4 2" xfId="10935"/>
    <cellStyle name="Normal 5 8 2 4 4 3" xfId="16474"/>
    <cellStyle name="Normal 5 8 2 4 5" xfId="2098"/>
    <cellStyle name="Normal 5 8 2 4 5 2" xfId="7644"/>
    <cellStyle name="Normal 5 8 2 4 5 3" xfId="13183"/>
    <cellStyle name="Normal 5 8 2 4 6" xfId="6439"/>
    <cellStyle name="Normal 5 8 2 4 7" xfId="11978"/>
    <cellStyle name="Normal 5 8 2 5" xfId="1580"/>
    <cellStyle name="Normal 5 8 2 5 2" xfId="2785"/>
    <cellStyle name="Normal 5 8 2 5 2 2" xfId="8331"/>
    <cellStyle name="Normal 5 8 2 5 2 3" xfId="13870"/>
    <cellStyle name="Normal 5 8 2 5 3" xfId="7126"/>
    <cellStyle name="Normal 5 8 2 5 4" xfId="12665"/>
    <cellStyle name="Normal 5 8 2 6" xfId="2958"/>
    <cellStyle name="Normal 5 8 2 6 2" xfId="8502"/>
    <cellStyle name="Normal 5 8 2 6 3" xfId="14041"/>
    <cellStyle name="Normal 5 8 2 7" xfId="3060"/>
    <cellStyle name="Normal 5 8 2 7 2" xfId="8603"/>
    <cellStyle name="Normal 5 8 2 7 3" xfId="14142"/>
    <cellStyle name="Normal 5 8 2 8" xfId="4103"/>
    <cellStyle name="Normal 5 8 2 8 2" xfId="9644"/>
    <cellStyle name="Normal 5 8 2 8 3" xfId="15183"/>
    <cellStyle name="Normal 5 8 2 9" xfId="1742"/>
    <cellStyle name="Normal 5 8 2 9 2" xfId="7288"/>
    <cellStyle name="Normal 5 8 2 9 3" xfId="12827"/>
    <cellStyle name="Normal 5 8 3" xfId="567"/>
    <cellStyle name="Normal 5 8 3 2" xfId="1408"/>
    <cellStyle name="Normal 5 8 3 2 2" xfId="3940"/>
    <cellStyle name="Normal 5 8 3 2 2 2" xfId="9482"/>
    <cellStyle name="Normal 5 8 3 2 2 3" xfId="15021"/>
    <cellStyle name="Normal 5 8 3 2 3" xfId="4977"/>
    <cellStyle name="Normal 5 8 3 2 3 2" xfId="10516"/>
    <cellStyle name="Normal 5 8 3 2 3 3" xfId="16055"/>
    <cellStyle name="Normal 5 8 3 2 4" xfId="5911"/>
    <cellStyle name="Normal 5 8 3 2 4 2" xfId="11450"/>
    <cellStyle name="Normal 5 8 3 2 4 3" xfId="16989"/>
    <cellStyle name="Normal 5 8 3 2 5" xfId="2613"/>
    <cellStyle name="Normal 5 8 3 2 5 2" xfId="8159"/>
    <cellStyle name="Normal 5 8 3 2 5 3" xfId="13698"/>
    <cellStyle name="Normal 5 8 3 2 6" xfId="6954"/>
    <cellStyle name="Normal 5 8 3 2 7" xfId="12493"/>
    <cellStyle name="Normal 5 8 3 3" xfId="1022"/>
    <cellStyle name="Normal 5 8 3 3 2" xfId="3552"/>
    <cellStyle name="Normal 5 8 3 3 2 2" xfId="9094"/>
    <cellStyle name="Normal 5 8 3 3 2 3" xfId="14633"/>
    <cellStyle name="Normal 5 8 3 3 3" xfId="4589"/>
    <cellStyle name="Normal 5 8 3 3 3 2" xfId="10128"/>
    <cellStyle name="Normal 5 8 3 3 3 3" xfId="15667"/>
    <cellStyle name="Normal 5 8 3 3 4" xfId="5524"/>
    <cellStyle name="Normal 5 8 3 3 4 2" xfId="11063"/>
    <cellStyle name="Normal 5 8 3 3 4 3" xfId="16602"/>
    <cellStyle name="Normal 5 8 3 3 5" xfId="2226"/>
    <cellStyle name="Normal 5 8 3 3 5 2" xfId="7772"/>
    <cellStyle name="Normal 5 8 3 3 5 3" xfId="13311"/>
    <cellStyle name="Normal 5 8 3 3 6" xfId="6567"/>
    <cellStyle name="Normal 5 8 3 3 7" xfId="12106"/>
    <cellStyle name="Normal 5 8 3 4" xfId="3226"/>
    <cellStyle name="Normal 5 8 3 4 2" xfId="8768"/>
    <cellStyle name="Normal 5 8 3 4 3" xfId="14307"/>
    <cellStyle name="Normal 5 8 3 5" xfId="4265"/>
    <cellStyle name="Normal 5 8 3 5 2" xfId="9804"/>
    <cellStyle name="Normal 5 8 3 5 3" xfId="15343"/>
    <cellStyle name="Normal 5 8 3 6" xfId="5226"/>
    <cellStyle name="Normal 5 8 3 6 2" xfId="10765"/>
    <cellStyle name="Normal 5 8 3 6 3" xfId="16304"/>
    <cellStyle name="Normal 5 8 3 7" xfId="1928"/>
    <cellStyle name="Normal 5 8 3 7 2" xfId="7474"/>
    <cellStyle name="Normal 5 8 3 7 3" xfId="13013"/>
    <cellStyle name="Normal 5 8 3 8" xfId="6269"/>
    <cellStyle name="Normal 5 8 3 9" xfId="11808"/>
    <cellStyle name="Normal 5 8 4" xfId="1199"/>
    <cellStyle name="Normal 5 8 4 2" xfId="3729"/>
    <cellStyle name="Normal 5 8 4 2 2" xfId="9271"/>
    <cellStyle name="Normal 5 8 4 2 3" xfId="14810"/>
    <cellStyle name="Normal 5 8 4 3" xfId="4766"/>
    <cellStyle name="Normal 5 8 4 3 2" xfId="10305"/>
    <cellStyle name="Normal 5 8 4 3 3" xfId="15844"/>
    <cellStyle name="Normal 5 8 4 4" xfId="5701"/>
    <cellStyle name="Normal 5 8 4 4 2" xfId="11240"/>
    <cellStyle name="Normal 5 8 4 4 3" xfId="16779"/>
    <cellStyle name="Normal 5 8 4 5" xfId="2403"/>
    <cellStyle name="Normal 5 8 4 5 2" xfId="7949"/>
    <cellStyle name="Normal 5 8 4 5 3" xfId="13488"/>
    <cellStyle name="Normal 5 8 4 6" xfId="6744"/>
    <cellStyle name="Normal 5 8 4 7" xfId="12283"/>
    <cellStyle name="Normal 5 8 5" xfId="893"/>
    <cellStyle name="Normal 5 8 5 2" xfId="3423"/>
    <cellStyle name="Normal 5 8 5 2 2" xfId="8965"/>
    <cellStyle name="Normal 5 8 5 2 3" xfId="14504"/>
    <cellStyle name="Normal 5 8 5 3" xfId="4460"/>
    <cellStyle name="Normal 5 8 5 3 2" xfId="9999"/>
    <cellStyle name="Normal 5 8 5 3 3" xfId="15538"/>
    <cellStyle name="Normal 5 8 5 4" xfId="5395"/>
    <cellStyle name="Normal 5 8 5 4 2" xfId="10934"/>
    <cellStyle name="Normal 5 8 5 4 3" xfId="16473"/>
    <cellStyle name="Normal 5 8 5 5" xfId="2097"/>
    <cellStyle name="Normal 5 8 5 5 2" xfId="7643"/>
    <cellStyle name="Normal 5 8 5 5 3" xfId="13182"/>
    <cellStyle name="Normal 5 8 5 6" xfId="6438"/>
    <cellStyle name="Normal 5 8 5 7" xfId="11977"/>
    <cellStyle name="Normal 5 8 6" xfId="1544"/>
    <cellStyle name="Normal 5 8 6 2" xfId="2749"/>
    <cellStyle name="Normal 5 8 6 2 2" xfId="8295"/>
    <cellStyle name="Normal 5 8 6 2 3" xfId="13834"/>
    <cellStyle name="Normal 5 8 6 3" xfId="7090"/>
    <cellStyle name="Normal 5 8 6 4" xfId="12629"/>
    <cellStyle name="Normal 5 8 7" xfId="2922"/>
    <cellStyle name="Normal 5 8 7 2" xfId="8466"/>
    <cellStyle name="Normal 5 8 7 3" xfId="14005"/>
    <cellStyle name="Normal 5 8 8" xfId="3023"/>
    <cellStyle name="Normal 5 8 8 2" xfId="8567"/>
    <cellStyle name="Normal 5 8 8 3" xfId="14106"/>
    <cellStyle name="Normal 5 8 9" xfId="4067"/>
    <cellStyle name="Normal 5 8 9 2" xfId="9609"/>
    <cellStyle name="Normal 5 8 9 3" xfId="15148"/>
    <cellStyle name="Normal 5 9" xfId="370"/>
    <cellStyle name="Normal 5 9 10" xfId="6065"/>
    <cellStyle name="Normal 5 9 10 2" xfId="17143"/>
    <cellStyle name="Normal 5 9 11" xfId="709"/>
    <cellStyle name="Normal 5 9 11 2" xfId="17305"/>
    <cellStyle name="Normal 5 9 12" xfId="11604"/>
    <cellStyle name="Normal 5 9 13" xfId="17472"/>
    <cellStyle name="Normal 5 9 14" xfId="17637"/>
    <cellStyle name="Normal 5 9 2" xfId="569"/>
    <cellStyle name="Normal 5 9 2 2" xfId="1410"/>
    <cellStyle name="Normal 5 9 2 2 2" xfId="3942"/>
    <cellStyle name="Normal 5 9 2 2 2 2" xfId="9484"/>
    <cellStyle name="Normal 5 9 2 2 2 3" xfId="15023"/>
    <cellStyle name="Normal 5 9 2 2 3" xfId="4979"/>
    <cellStyle name="Normal 5 9 2 2 3 2" xfId="10518"/>
    <cellStyle name="Normal 5 9 2 2 3 3" xfId="16057"/>
    <cellStyle name="Normal 5 9 2 2 4" xfId="5913"/>
    <cellStyle name="Normal 5 9 2 2 4 2" xfId="11452"/>
    <cellStyle name="Normal 5 9 2 2 4 3" xfId="16991"/>
    <cellStyle name="Normal 5 9 2 2 5" xfId="2615"/>
    <cellStyle name="Normal 5 9 2 2 5 2" xfId="8161"/>
    <cellStyle name="Normal 5 9 2 2 5 3" xfId="13700"/>
    <cellStyle name="Normal 5 9 2 2 6" xfId="6956"/>
    <cellStyle name="Normal 5 9 2 2 7" xfId="12495"/>
    <cellStyle name="Normal 5 9 2 3" xfId="1040"/>
    <cellStyle name="Normal 5 9 2 3 2" xfId="3570"/>
    <cellStyle name="Normal 5 9 2 3 2 2" xfId="9112"/>
    <cellStyle name="Normal 5 9 2 3 2 3" xfId="14651"/>
    <cellStyle name="Normal 5 9 2 3 3" xfId="4607"/>
    <cellStyle name="Normal 5 9 2 3 3 2" xfId="10146"/>
    <cellStyle name="Normal 5 9 2 3 3 3" xfId="15685"/>
    <cellStyle name="Normal 5 9 2 3 4" xfId="5542"/>
    <cellStyle name="Normal 5 9 2 3 4 2" xfId="11081"/>
    <cellStyle name="Normal 5 9 2 3 4 3" xfId="16620"/>
    <cellStyle name="Normal 5 9 2 3 5" xfId="2244"/>
    <cellStyle name="Normal 5 9 2 3 5 2" xfId="7790"/>
    <cellStyle name="Normal 5 9 2 3 5 3" xfId="13329"/>
    <cellStyle name="Normal 5 9 2 3 6" xfId="6585"/>
    <cellStyle name="Normal 5 9 2 3 7" xfId="12124"/>
    <cellStyle name="Normal 5 9 2 4" xfId="3228"/>
    <cellStyle name="Normal 5 9 2 4 2" xfId="8770"/>
    <cellStyle name="Normal 5 9 2 4 3" xfId="14309"/>
    <cellStyle name="Normal 5 9 2 5" xfId="4267"/>
    <cellStyle name="Normal 5 9 2 5 2" xfId="9806"/>
    <cellStyle name="Normal 5 9 2 5 3" xfId="15345"/>
    <cellStyle name="Normal 5 9 2 6" xfId="5228"/>
    <cellStyle name="Normal 5 9 2 6 2" xfId="10767"/>
    <cellStyle name="Normal 5 9 2 6 3" xfId="16306"/>
    <cellStyle name="Normal 5 9 2 7" xfId="1930"/>
    <cellStyle name="Normal 5 9 2 7 2" xfId="7476"/>
    <cellStyle name="Normal 5 9 2 7 3" xfId="13015"/>
    <cellStyle name="Normal 5 9 2 8" xfId="6271"/>
    <cellStyle name="Normal 5 9 2 9" xfId="11810"/>
    <cellStyle name="Normal 5 9 3" xfId="1217"/>
    <cellStyle name="Normal 5 9 3 2" xfId="3747"/>
    <cellStyle name="Normal 5 9 3 2 2" xfId="9289"/>
    <cellStyle name="Normal 5 9 3 2 3" xfId="14828"/>
    <cellStyle name="Normal 5 9 3 3" xfId="4784"/>
    <cellStyle name="Normal 5 9 3 3 2" xfId="10323"/>
    <cellStyle name="Normal 5 9 3 3 3" xfId="15862"/>
    <cellStyle name="Normal 5 9 3 4" xfId="5719"/>
    <cellStyle name="Normal 5 9 3 4 2" xfId="11258"/>
    <cellStyle name="Normal 5 9 3 4 3" xfId="16797"/>
    <cellStyle name="Normal 5 9 3 5" xfId="2421"/>
    <cellStyle name="Normal 5 9 3 5 2" xfId="7967"/>
    <cellStyle name="Normal 5 9 3 5 3" xfId="13506"/>
    <cellStyle name="Normal 5 9 3 6" xfId="6762"/>
    <cellStyle name="Normal 5 9 3 7" xfId="12301"/>
    <cellStyle name="Normal 5 9 4" xfId="895"/>
    <cellStyle name="Normal 5 9 4 2" xfId="3425"/>
    <cellStyle name="Normal 5 9 4 2 2" xfId="8967"/>
    <cellStyle name="Normal 5 9 4 2 3" xfId="14506"/>
    <cellStyle name="Normal 5 9 4 3" xfId="4462"/>
    <cellStyle name="Normal 5 9 4 3 2" xfId="10001"/>
    <cellStyle name="Normal 5 9 4 3 3" xfId="15540"/>
    <cellStyle name="Normal 5 9 4 4" xfId="5397"/>
    <cellStyle name="Normal 5 9 4 4 2" xfId="10936"/>
    <cellStyle name="Normal 5 9 4 4 3" xfId="16475"/>
    <cellStyle name="Normal 5 9 4 5" xfId="2099"/>
    <cellStyle name="Normal 5 9 4 5 2" xfId="7645"/>
    <cellStyle name="Normal 5 9 4 5 3" xfId="13184"/>
    <cellStyle name="Normal 5 9 4 6" xfId="6440"/>
    <cellStyle name="Normal 5 9 4 7" xfId="11979"/>
    <cellStyle name="Normal 5 9 5" xfId="1562"/>
    <cellStyle name="Normal 5 9 5 2" xfId="2767"/>
    <cellStyle name="Normal 5 9 5 2 2" xfId="8313"/>
    <cellStyle name="Normal 5 9 5 2 3" xfId="13852"/>
    <cellStyle name="Normal 5 9 5 3" xfId="7108"/>
    <cellStyle name="Normal 5 9 5 4" xfId="12647"/>
    <cellStyle name="Normal 5 9 6" xfId="2940"/>
    <cellStyle name="Normal 5 9 6 2" xfId="8484"/>
    <cellStyle name="Normal 5 9 6 3" xfId="14023"/>
    <cellStyle name="Normal 5 9 7" xfId="3048"/>
    <cellStyle name="Normal 5 9 7 2" xfId="8591"/>
    <cellStyle name="Normal 5 9 7 3" xfId="14130"/>
    <cellStyle name="Normal 5 9 8" xfId="4091"/>
    <cellStyle name="Normal 5 9 8 2" xfId="9632"/>
    <cellStyle name="Normal 5 9 8 3" xfId="15171"/>
    <cellStyle name="Normal 5 9 9" xfId="1724"/>
    <cellStyle name="Normal 5 9 9 2" xfId="7270"/>
    <cellStyle name="Normal 5 9 9 3" xfId="12809"/>
    <cellStyle name="Normal 6" xfId="155"/>
    <cellStyle name="Normal 6 2" xfId="156"/>
    <cellStyle name="Normal 6 2 2" xfId="157"/>
    <cellStyle name="Normal 6 3" xfId="158"/>
    <cellStyle name="Normal 6 3 2" xfId="159"/>
    <cellStyle name="Normal 6 3 2 2" xfId="160"/>
    <cellStyle name="Normal 6 3 3" xfId="2850"/>
    <cellStyle name="Normal 6 3 4" xfId="3026"/>
    <cellStyle name="Normal 6 3 5" xfId="4070"/>
    <cellStyle name="Normal 6 3 6" xfId="17383"/>
    <cellStyle name="Normal 6 3 7" xfId="17548"/>
    <cellStyle name="Normal 6 4" xfId="2846"/>
    <cellStyle name="Normal 6 5" xfId="3127"/>
    <cellStyle name="Normal 6 6" xfId="4167"/>
    <cellStyle name="Normal 6 7" xfId="17381"/>
    <cellStyle name="Normal 6 8" xfId="17546"/>
    <cellStyle name="Normal 7" xfId="161"/>
    <cellStyle name="Normal 7 10" xfId="462"/>
    <cellStyle name="Normal 7 10 2" xfId="1304"/>
    <cellStyle name="Normal 7 10 2 2" xfId="3835"/>
    <cellStyle name="Normal 7 10 2 2 2" xfId="9377"/>
    <cellStyle name="Normal 7 10 2 2 3" xfId="14916"/>
    <cellStyle name="Normal 7 10 2 3" xfId="4872"/>
    <cellStyle name="Normal 7 10 2 3 2" xfId="10411"/>
    <cellStyle name="Normal 7 10 2 3 3" xfId="15950"/>
    <cellStyle name="Normal 7 10 2 4" xfId="5807"/>
    <cellStyle name="Normal 7 10 2 4 2" xfId="11346"/>
    <cellStyle name="Normal 7 10 2 4 3" xfId="16885"/>
    <cellStyle name="Normal 7 10 2 5" xfId="2509"/>
    <cellStyle name="Normal 7 10 2 5 2" xfId="8055"/>
    <cellStyle name="Normal 7 10 2 5 3" xfId="13594"/>
    <cellStyle name="Normal 7 10 2 6" xfId="6850"/>
    <cellStyle name="Normal 7 10 2 7" xfId="12389"/>
    <cellStyle name="Normal 7 10 3" xfId="951"/>
    <cellStyle name="Normal 7 10 3 2" xfId="3481"/>
    <cellStyle name="Normal 7 10 3 2 2" xfId="9023"/>
    <cellStyle name="Normal 7 10 3 2 3" xfId="14562"/>
    <cellStyle name="Normal 7 10 3 3" xfId="4518"/>
    <cellStyle name="Normal 7 10 3 3 2" xfId="10057"/>
    <cellStyle name="Normal 7 10 3 3 3" xfId="15596"/>
    <cellStyle name="Normal 7 10 3 4" xfId="5453"/>
    <cellStyle name="Normal 7 10 3 4 2" xfId="10992"/>
    <cellStyle name="Normal 7 10 3 4 3" xfId="16531"/>
    <cellStyle name="Normal 7 10 3 5" xfId="2155"/>
    <cellStyle name="Normal 7 10 3 5 2" xfId="7701"/>
    <cellStyle name="Normal 7 10 3 5 3" xfId="13240"/>
    <cellStyle name="Normal 7 10 3 6" xfId="6496"/>
    <cellStyle name="Normal 7 10 3 7" xfId="12035"/>
    <cellStyle name="Normal 7 10 4" xfId="3112"/>
    <cellStyle name="Normal 7 10 4 2" xfId="8655"/>
    <cellStyle name="Normal 7 10 4 3" xfId="14194"/>
    <cellStyle name="Normal 7 10 5" xfId="4155"/>
    <cellStyle name="Normal 7 10 5 2" xfId="9696"/>
    <cellStyle name="Normal 7 10 5 3" xfId="15235"/>
    <cellStyle name="Normal 7 10 6" xfId="5122"/>
    <cellStyle name="Normal 7 10 6 2" xfId="10661"/>
    <cellStyle name="Normal 7 10 6 3" xfId="16200"/>
    <cellStyle name="Normal 7 10 7" xfId="1824"/>
    <cellStyle name="Normal 7 10 7 2" xfId="7370"/>
    <cellStyle name="Normal 7 10 7 3" xfId="12909"/>
    <cellStyle name="Normal 7 10 8" xfId="6165"/>
    <cellStyle name="Normal 7 10 9" xfId="11704"/>
    <cellStyle name="Normal 7 11" xfId="1128"/>
    <cellStyle name="Normal 7 11 2" xfId="3658"/>
    <cellStyle name="Normal 7 11 2 2" xfId="9200"/>
    <cellStyle name="Normal 7 11 2 3" xfId="14739"/>
    <cellStyle name="Normal 7 11 3" xfId="4695"/>
    <cellStyle name="Normal 7 11 3 2" xfId="10234"/>
    <cellStyle name="Normal 7 11 3 3" xfId="15773"/>
    <cellStyle name="Normal 7 11 4" xfId="5630"/>
    <cellStyle name="Normal 7 11 4 2" xfId="11169"/>
    <cellStyle name="Normal 7 11 4 3" xfId="16708"/>
    <cellStyle name="Normal 7 11 5" xfId="2332"/>
    <cellStyle name="Normal 7 11 5 2" xfId="7878"/>
    <cellStyle name="Normal 7 11 5 3" xfId="13417"/>
    <cellStyle name="Normal 7 11 6" xfId="6673"/>
    <cellStyle name="Normal 7 11 7" xfId="12212"/>
    <cellStyle name="Normal 7 12" xfId="896"/>
    <cellStyle name="Normal 7 12 2" xfId="3426"/>
    <cellStyle name="Normal 7 12 2 2" xfId="8968"/>
    <cellStyle name="Normal 7 12 2 3" xfId="14507"/>
    <cellStyle name="Normal 7 12 3" xfId="4463"/>
    <cellStyle name="Normal 7 12 3 2" xfId="10002"/>
    <cellStyle name="Normal 7 12 3 3" xfId="15541"/>
    <cellStyle name="Normal 7 12 4" xfId="5398"/>
    <cellStyle name="Normal 7 12 4 2" xfId="10937"/>
    <cellStyle name="Normal 7 12 4 3" xfId="16476"/>
    <cellStyle name="Normal 7 12 5" xfId="2100"/>
    <cellStyle name="Normal 7 12 5 2" xfId="7646"/>
    <cellStyle name="Normal 7 12 5 3" xfId="13185"/>
    <cellStyle name="Normal 7 12 6" xfId="6441"/>
    <cellStyle name="Normal 7 12 7" xfId="11980"/>
    <cellStyle name="Normal 7 13" xfId="1473"/>
    <cellStyle name="Normal 7 13 2" xfId="2678"/>
    <cellStyle name="Normal 7 13 2 2" xfId="8224"/>
    <cellStyle name="Normal 7 13 2 3" xfId="13763"/>
    <cellStyle name="Normal 7 13 3" xfId="7019"/>
    <cellStyle name="Normal 7 13 4" xfId="12558"/>
    <cellStyle name="Normal 7 14" xfId="2849"/>
    <cellStyle name="Normal 7 14 2" xfId="8394"/>
    <cellStyle name="Normal 7 14 3" xfId="13933"/>
    <cellStyle name="Normal 7 15" xfId="3124"/>
    <cellStyle name="Normal 7 15 2" xfId="8667"/>
    <cellStyle name="Normal 7 15 3" xfId="14206"/>
    <cellStyle name="Normal 7 16" xfId="4166"/>
    <cellStyle name="Normal 7 16 2" xfId="9707"/>
    <cellStyle name="Normal 7 16 3" xfId="15246"/>
    <cellStyle name="Normal 7 17" xfId="1635"/>
    <cellStyle name="Normal 7 17 2" xfId="7181"/>
    <cellStyle name="Normal 7 17 3" xfId="12720"/>
    <cellStyle name="Normal 7 18" xfId="5976"/>
    <cellStyle name="Normal 7 18 2" xfId="17054"/>
    <cellStyle name="Normal 7 19" xfId="620"/>
    <cellStyle name="Normal 7 19 2" xfId="17216"/>
    <cellStyle name="Normal 7 2" xfId="162"/>
    <cellStyle name="Normal 7 2 10" xfId="897"/>
    <cellStyle name="Normal 7 2 10 2" xfId="3427"/>
    <cellStyle name="Normal 7 2 10 2 2" xfId="8969"/>
    <cellStyle name="Normal 7 2 10 2 3" xfId="14508"/>
    <cellStyle name="Normal 7 2 10 3" xfId="4464"/>
    <cellStyle name="Normal 7 2 10 3 2" xfId="10003"/>
    <cellStyle name="Normal 7 2 10 3 3" xfId="15542"/>
    <cellStyle name="Normal 7 2 10 4" xfId="5399"/>
    <cellStyle name="Normal 7 2 10 4 2" xfId="10938"/>
    <cellStyle name="Normal 7 2 10 4 3" xfId="16477"/>
    <cellStyle name="Normal 7 2 10 5" xfId="2101"/>
    <cellStyle name="Normal 7 2 10 5 2" xfId="7647"/>
    <cellStyle name="Normal 7 2 10 5 3" xfId="13186"/>
    <cellStyle name="Normal 7 2 10 6" xfId="6442"/>
    <cellStyle name="Normal 7 2 10 7" xfId="11981"/>
    <cellStyle name="Normal 7 2 11" xfId="1479"/>
    <cellStyle name="Normal 7 2 11 2" xfId="2684"/>
    <cellStyle name="Normal 7 2 11 2 2" xfId="8230"/>
    <cellStyle name="Normal 7 2 11 2 3" xfId="13769"/>
    <cellStyle name="Normal 7 2 11 3" xfId="7025"/>
    <cellStyle name="Normal 7 2 11 4" xfId="12564"/>
    <cellStyle name="Normal 7 2 12" xfId="2857"/>
    <cellStyle name="Normal 7 2 12 2" xfId="8401"/>
    <cellStyle name="Normal 7 2 12 3" xfId="13940"/>
    <cellStyle name="Normal 7 2 13" xfId="2848"/>
    <cellStyle name="Normal 7 2 13 2" xfId="8393"/>
    <cellStyle name="Normal 7 2 13 3" xfId="13932"/>
    <cellStyle name="Normal 7 2 14" xfId="3125"/>
    <cellStyle name="Normal 7 2 14 2" xfId="8668"/>
    <cellStyle name="Normal 7 2 14 3" xfId="14207"/>
    <cellStyle name="Normal 7 2 15" xfId="1641"/>
    <cellStyle name="Normal 7 2 15 2" xfId="7187"/>
    <cellStyle name="Normal 7 2 15 3" xfId="12726"/>
    <cellStyle name="Normal 7 2 16" xfId="5982"/>
    <cellStyle name="Normal 7 2 16 2" xfId="17060"/>
    <cellStyle name="Normal 7 2 17" xfId="626"/>
    <cellStyle name="Normal 7 2 17 2" xfId="17222"/>
    <cellStyle name="Normal 7 2 18" xfId="11521"/>
    <cellStyle name="Normal 7 2 19" xfId="17389"/>
    <cellStyle name="Normal 7 2 2" xfId="257"/>
    <cellStyle name="Normal 7 2 2 10" xfId="1488"/>
    <cellStyle name="Normal 7 2 2 10 2" xfId="2693"/>
    <cellStyle name="Normal 7 2 2 10 2 2" xfId="8239"/>
    <cellStyle name="Normal 7 2 2 10 2 3" xfId="13778"/>
    <cellStyle name="Normal 7 2 2 10 3" xfId="7034"/>
    <cellStyle name="Normal 7 2 2 10 4" xfId="12573"/>
    <cellStyle name="Normal 7 2 2 11" xfId="2866"/>
    <cellStyle name="Normal 7 2 2 11 2" xfId="8410"/>
    <cellStyle name="Normal 7 2 2 11 3" xfId="13949"/>
    <cellStyle name="Normal 7 2 2 12" xfId="3101"/>
    <cellStyle name="Normal 7 2 2 12 2" xfId="8644"/>
    <cellStyle name="Normal 7 2 2 12 3" xfId="14183"/>
    <cellStyle name="Normal 7 2 2 13" xfId="4144"/>
    <cellStyle name="Normal 7 2 2 13 2" xfId="9685"/>
    <cellStyle name="Normal 7 2 2 13 3" xfId="15224"/>
    <cellStyle name="Normal 7 2 2 14" xfId="1650"/>
    <cellStyle name="Normal 7 2 2 14 2" xfId="7196"/>
    <cellStyle name="Normal 7 2 2 14 3" xfId="12735"/>
    <cellStyle name="Normal 7 2 2 15" xfId="5991"/>
    <cellStyle name="Normal 7 2 2 15 2" xfId="17069"/>
    <cellStyle name="Normal 7 2 2 16" xfId="635"/>
    <cellStyle name="Normal 7 2 2 16 2" xfId="17231"/>
    <cellStyle name="Normal 7 2 2 17" xfId="11530"/>
    <cellStyle name="Normal 7 2 2 18" xfId="17398"/>
    <cellStyle name="Normal 7 2 2 19" xfId="17563"/>
    <cellStyle name="Normal 7 2 2 2" xfId="371"/>
    <cellStyle name="Normal 7 2 2 2 10" xfId="1704"/>
    <cellStyle name="Normal 7 2 2 2 10 2" xfId="7250"/>
    <cellStyle name="Normal 7 2 2 2 10 3" xfId="12789"/>
    <cellStyle name="Normal 7 2 2 2 11" xfId="6045"/>
    <cellStyle name="Normal 7 2 2 2 11 2" xfId="17123"/>
    <cellStyle name="Normal 7 2 2 2 12" xfId="689"/>
    <cellStyle name="Normal 7 2 2 2 12 2" xfId="17285"/>
    <cellStyle name="Normal 7 2 2 2 13" xfId="11584"/>
    <cellStyle name="Normal 7 2 2 2 14" xfId="17452"/>
    <cellStyle name="Normal 7 2 2 2 15" xfId="17617"/>
    <cellStyle name="Normal 7 2 2 2 2" xfId="372"/>
    <cellStyle name="Normal 7 2 2 2 2 10" xfId="6135"/>
    <cellStyle name="Normal 7 2 2 2 2 10 2" xfId="17213"/>
    <cellStyle name="Normal 7 2 2 2 2 11" xfId="779"/>
    <cellStyle name="Normal 7 2 2 2 2 11 2" xfId="17375"/>
    <cellStyle name="Normal 7 2 2 2 2 12" xfId="11674"/>
    <cellStyle name="Normal 7 2 2 2 2 13" xfId="17542"/>
    <cellStyle name="Normal 7 2 2 2 2 14" xfId="17707"/>
    <cellStyle name="Normal 7 2 2 2 2 2" xfId="571"/>
    <cellStyle name="Normal 7 2 2 2 2 2 2" xfId="1412"/>
    <cellStyle name="Normal 7 2 2 2 2 2 2 2" xfId="3944"/>
    <cellStyle name="Normal 7 2 2 2 2 2 2 2 2" xfId="9486"/>
    <cellStyle name="Normal 7 2 2 2 2 2 2 2 3" xfId="15025"/>
    <cellStyle name="Normal 7 2 2 2 2 2 2 3" xfId="4981"/>
    <cellStyle name="Normal 7 2 2 2 2 2 2 3 2" xfId="10520"/>
    <cellStyle name="Normal 7 2 2 2 2 2 2 3 3" xfId="16059"/>
    <cellStyle name="Normal 7 2 2 2 2 2 2 4" xfId="5915"/>
    <cellStyle name="Normal 7 2 2 2 2 2 2 4 2" xfId="11454"/>
    <cellStyle name="Normal 7 2 2 2 2 2 2 4 3" xfId="16993"/>
    <cellStyle name="Normal 7 2 2 2 2 2 2 5" xfId="2617"/>
    <cellStyle name="Normal 7 2 2 2 2 2 2 5 2" xfId="8163"/>
    <cellStyle name="Normal 7 2 2 2 2 2 2 5 3" xfId="13702"/>
    <cellStyle name="Normal 7 2 2 2 2 2 2 6" xfId="6958"/>
    <cellStyle name="Normal 7 2 2 2 2 2 2 7" xfId="12497"/>
    <cellStyle name="Normal 7 2 2 2 2 2 3" xfId="1110"/>
    <cellStyle name="Normal 7 2 2 2 2 2 3 2" xfId="3640"/>
    <cellStyle name="Normal 7 2 2 2 2 2 3 2 2" xfId="9182"/>
    <cellStyle name="Normal 7 2 2 2 2 2 3 2 3" xfId="14721"/>
    <cellStyle name="Normal 7 2 2 2 2 2 3 3" xfId="4677"/>
    <cellStyle name="Normal 7 2 2 2 2 2 3 3 2" xfId="10216"/>
    <cellStyle name="Normal 7 2 2 2 2 2 3 3 3" xfId="15755"/>
    <cellStyle name="Normal 7 2 2 2 2 2 3 4" xfId="5612"/>
    <cellStyle name="Normal 7 2 2 2 2 2 3 4 2" xfId="11151"/>
    <cellStyle name="Normal 7 2 2 2 2 2 3 4 3" xfId="16690"/>
    <cellStyle name="Normal 7 2 2 2 2 2 3 5" xfId="2314"/>
    <cellStyle name="Normal 7 2 2 2 2 2 3 5 2" xfId="7860"/>
    <cellStyle name="Normal 7 2 2 2 2 2 3 5 3" xfId="13399"/>
    <cellStyle name="Normal 7 2 2 2 2 2 3 6" xfId="6655"/>
    <cellStyle name="Normal 7 2 2 2 2 2 3 7" xfId="12194"/>
    <cellStyle name="Normal 7 2 2 2 2 2 4" xfId="3230"/>
    <cellStyle name="Normal 7 2 2 2 2 2 4 2" xfId="8772"/>
    <cellStyle name="Normal 7 2 2 2 2 2 4 3" xfId="14311"/>
    <cellStyle name="Normal 7 2 2 2 2 2 5" xfId="4269"/>
    <cellStyle name="Normal 7 2 2 2 2 2 5 2" xfId="9808"/>
    <cellStyle name="Normal 7 2 2 2 2 2 5 3" xfId="15347"/>
    <cellStyle name="Normal 7 2 2 2 2 2 6" xfId="5230"/>
    <cellStyle name="Normal 7 2 2 2 2 2 6 2" xfId="10769"/>
    <cellStyle name="Normal 7 2 2 2 2 2 6 3" xfId="16308"/>
    <cellStyle name="Normal 7 2 2 2 2 2 7" xfId="1932"/>
    <cellStyle name="Normal 7 2 2 2 2 2 7 2" xfId="7478"/>
    <cellStyle name="Normal 7 2 2 2 2 2 7 3" xfId="13017"/>
    <cellStyle name="Normal 7 2 2 2 2 2 8" xfId="6273"/>
    <cellStyle name="Normal 7 2 2 2 2 2 9" xfId="11812"/>
    <cellStyle name="Normal 7 2 2 2 2 3" xfId="1287"/>
    <cellStyle name="Normal 7 2 2 2 2 3 2" xfId="3817"/>
    <cellStyle name="Normal 7 2 2 2 2 3 2 2" xfId="9359"/>
    <cellStyle name="Normal 7 2 2 2 2 3 2 3" xfId="14898"/>
    <cellStyle name="Normal 7 2 2 2 2 3 3" xfId="4854"/>
    <cellStyle name="Normal 7 2 2 2 2 3 3 2" xfId="10393"/>
    <cellStyle name="Normal 7 2 2 2 2 3 3 3" xfId="15932"/>
    <cellStyle name="Normal 7 2 2 2 2 3 4" xfId="5789"/>
    <cellStyle name="Normal 7 2 2 2 2 3 4 2" xfId="11328"/>
    <cellStyle name="Normal 7 2 2 2 2 3 4 3" xfId="16867"/>
    <cellStyle name="Normal 7 2 2 2 2 3 5" xfId="2491"/>
    <cellStyle name="Normal 7 2 2 2 2 3 5 2" xfId="8037"/>
    <cellStyle name="Normal 7 2 2 2 2 3 5 3" xfId="13576"/>
    <cellStyle name="Normal 7 2 2 2 2 3 6" xfId="6832"/>
    <cellStyle name="Normal 7 2 2 2 2 3 7" xfId="12371"/>
    <cellStyle name="Normal 7 2 2 2 2 4" xfId="900"/>
    <cellStyle name="Normal 7 2 2 2 2 4 2" xfId="3430"/>
    <cellStyle name="Normal 7 2 2 2 2 4 2 2" xfId="8972"/>
    <cellStyle name="Normal 7 2 2 2 2 4 2 3" xfId="14511"/>
    <cellStyle name="Normal 7 2 2 2 2 4 3" xfId="4467"/>
    <cellStyle name="Normal 7 2 2 2 2 4 3 2" xfId="10006"/>
    <cellStyle name="Normal 7 2 2 2 2 4 3 3" xfId="15545"/>
    <cellStyle name="Normal 7 2 2 2 2 4 4" xfId="5402"/>
    <cellStyle name="Normal 7 2 2 2 2 4 4 2" xfId="10941"/>
    <cellStyle name="Normal 7 2 2 2 2 4 4 3" xfId="16480"/>
    <cellStyle name="Normal 7 2 2 2 2 4 5" xfId="2104"/>
    <cellStyle name="Normal 7 2 2 2 2 4 5 2" xfId="7650"/>
    <cellStyle name="Normal 7 2 2 2 2 4 5 3" xfId="13189"/>
    <cellStyle name="Normal 7 2 2 2 2 4 6" xfId="6445"/>
    <cellStyle name="Normal 7 2 2 2 2 4 7" xfId="11984"/>
    <cellStyle name="Normal 7 2 2 2 2 5" xfId="1632"/>
    <cellStyle name="Normal 7 2 2 2 2 5 2" xfId="2837"/>
    <cellStyle name="Normal 7 2 2 2 2 5 2 2" xfId="8383"/>
    <cellStyle name="Normal 7 2 2 2 2 5 2 3" xfId="13922"/>
    <cellStyle name="Normal 7 2 2 2 2 5 3" xfId="7178"/>
    <cellStyle name="Normal 7 2 2 2 2 5 4" xfId="12717"/>
    <cellStyle name="Normal 7 2 2 2 2 6" xfId="3010"/>
    <cellStyle name="Normal 7 2 2 2 2 6 2" xfId="8554"/>
    <cellStyle name="Normal 7 2 2 2 2 6 3" xfId="14093"/>
    <cellStyle name="Normal 7 2 2 2 2 7" xfId="4055"/>
    <cellStyle name="Normal 7 2 2 2 2 7 2" xfId="9597"/>
    <cellStyle name="Normal 7 2 2 2 2 7 3" xfId="15136"/>
    <cellStyle name="Normal 7 2 2 2 2 8" xfId="5092"/>
    <cellStyle name="Normal 7 2 2 2 2 8 2" xfId="10631"/>
    <cellStyle name="Normal 7 2 2 2 2 8 3" xfId="16170"/>
    <cellStyle name="Normal 7 2 2 2 2 9" xfId="1794"/>
    <cellStyle name="Normal 7 2 2 2 2 9 2" xfId="7340"/>
    <cellStyle name="Normal 7 2 2 2 2 9 3" xfId="12879"/>
    <cellStyle name="Normal 7 2 2 2 3" xfId="570"/>
    <cellStyle name="Normal 7 2 2 2 3 2" xfId="1411"/>
    <cellStyle name="Normal 7 2 2 2 3 2 2" xfId="3943"/>
    <cellStyle name="Normal 7 2 2 2 3 2 2 2" xfId="9485"/>
    <cellStyle name="Normal 7 2 2 2 3 2 2 3" xfId="15024"/>
    <cellStyle name="Normal 7 2 2 2 3 2 3" xfId="4980"/>
    <cellStyle name="Normal 7 2 2 2 3 2 3 2" xfId="10519"/>
    <cellStyle name="Normal 7 2 2 2 3 2 3 3" xfId="16058"/>
    <cellStyle name="Normal 7 2 2 2 3 2 4" xfId="5914"/>
    <cellStyle name="Normal 7 2 2 2 3 2 4 2" xfId="11453"/>
    <cellStyle name="Normal 7 2 2 2 3 2 4 3" xfId="16992"/>
    <cellStyle name="Normal 7 2 2 2 3 2 5" xfId="2616"/>
    <cellStyle name="Normal 7 2 2 2 3 2 5 2" xfId="8162"/>
    <cellStyle name="Normal 7 2 2 2 3 2 5 3" xfId="13701"/>
    <cellStyle name="Normal 7 2 2 2 3 2 6" xfId="6957"/>
    <cellStyle name="Normal 7 2 2 2 3 2 7" xfId="12496"/>
    <cellStyle name="Normal 7 2 2 2 3 3" xfId="1020"/>
    <cellStyle name="Normal 7 2 2 2 3 3 2" xfId="3550"/>
    <cellStyle name="Normal 7 2 2 2 3 3 2 2" xfId="9092"/>
    <cellStyle name="Normal 7 2 2 2 3 3 2 3" xfId="14631"/>
    <cellStyle name="Normal 7 2 2 2 3 3 3" xfId="4587"/>
    <cellStyle name="Normal 7 2 2 2 3 3 3 2" xfId="10126"/>
    <cellStyle name="Normal 7 2 2 2 3 3 3 3" xfId="15665"/>
    <cellStyle name="Normal 7 2 2 2 3 3 4" xfId="5522"/>
    <cellStyle name="Normal 7 2 2 2 3 3 4 2" xfId="11061"/>
    <cellStyle name="Normal 7 2 2 2 3 3 4 3" xfId="16600"/>
    <cellStyle name="Normal 7 2 2 2 3 3 5" xfId="2224"/>
    <cellStyle name="Normal 7 2 2 2 3 3 5 2" xfId="7770"/>
    <cellStyle name="Normal 7 2 2 2 3 3 5 3" xfId="13309"/>
    <cellStyle name="Normal 7 2 2 2 3 3 6" xfId="6565"/>
    <cellStyle name="Normal 7 2 2 2 3 3 7" xfId="12104"/>
    <cellStyle name="Normal 7 2 2 2 3 4" xfId="3229"/>
    <cellStyle name="Normal 7 2 2 2 3 4 2" xfId="8771"/>
    <cellStyle name="Normal 7 2 2 2 3 4 3" xfId="14310"/>
    <cellStyle name="Normal 7 2 2 2 3 5" xfId="4268"/>
    <cellStyle name="Normal 7 2 2 2 3 5 2" xfId="9807"/>
    <cellStyle name="Normal 7 2 2 2 3 5 3" xfId="15346"/>
    <cellStyle name="Normal 7 2 2 2 3 6" xfId="5229"/>
    <cellStyle name="Normal 7 2 2 2 3 6 2" xfId="10768"/>
    <cellStyle name="Normal 7 2 2 2 3 6 3" xfId="16307"/>
    <cellStyle name="Normal 7 2 2 2 3 7" xfId="1931"/>
    <cellStyle name="Normal 7 2 2 2 3 7 2" xfId="7477"/>
    <cellStyle name="Normal 7 2 2 2 3 7 3" xfId="13016"/>
    <cellStyle name="Normal 7 2 2 2 3 8" xfId="6272"/>
    <cellStyle name="Normal 7 2 2 2 3 9" xfId="11811"/>
    <cellStyle name="Normal 7 2 2 2 4" xfId="1197"/>
    <cellStyle name="Normal 7 2 2 2 4 2" xfId="3727"/>
    <cellStyle name="Normal 7 2 2 2 4 2 2" xfId="9269"/>
    <cellStyle name="Normal 7 2 2 2 4 2 3" xfId="14808"/>
    <cellStyle name="Normal 7 2 2 2 4 3" xfId="4764"/>
    <cellStyle name="Normal 7 2 2 2 4 3 2" xfId="10303"/>
    <cellStyle name="Normal 7 2 2 2 4 3 3" xfId="15842"/>
    <cellStyle name="Normal 7 2 2 2 4 4" xfId="5699"/>
    <cellStyle name="Normal 7 2 2 2 4 4 2" xfId="11238"/>
    <cellStyle name="Normal 7 2 2 2 4 4 3" xfId="16777"/>
    <cellStyle name="Normal 7 2 2 2 4 5" xfId="2401"/>
    <cellStyle name="Normal 7 2 2 2 4 5 2" xfId="7947"/>
    <cellStyle name="Normal 7 2 2 2 4 5 3" xfId="13486"/>
    <cellStyle name="Normal 7 2 2 2 4 6" xfId="6742"/>
    <cellStyle name="Normal 7 2 2 2 4 7" xfId="12281"/>
    <cellStyle name="Normal 7 2 2 2 5" xfId="899"/>
    <cellStyle name="Normal 7 2 2 2 5 2" xfId="3429"/>
    <cellStyle name="Normal 7 2 2 2 5 2 2" xfId="8971"/>
    <cellStyle name="Normal 7 2 2 2 5 2 3" xfId="14510"/>
    <cellStyle name="Normal 7 2 2 2 5 3" xfId="4466"/>
    <cellStyle name="Normal 7 2 2 2 5 3 2" xfId="10005"/>
    <cellStyle name="Normal 7 2 2 2 5 3 3" xfId="15544"/>
    <cellStyle name="Normal 7 2 2 2 5 4" xfId="5401"/>
    <cellStyle name="Normal 7 2 2 2 5 4 2" xfId="10940"/>
    <cellStyle name="Normal 7 2 2 2 5 4 3" xfId="16479"/>
    <cellStyle name="Normal 7 2 2 2 5 5" xfId="2103"/>
    <cellStyle name="Normal 7 2 2 2 5 5 2" xfId="7649"/>
    <cellStyle name="Normal 7 2 2 2 5 5 3" xfId="13188"/>
    <cellStyle name="Normal 7 2 2 2 5 6" xfId="6444"/>
    <cellStyle name="Normal 7 2 2 2 5 7" xfId="11983"/>
    <cellStyle name="Normal 7 2 2 2 6" xfId="1542"/>
    <cellStyle name="Normal 7 2 2 2 6 2" xfId="2747"/>
    <cellStyle name="Normal 7 2 2 2 6 2 2" xfId="8293"/>
    <cellStyle name="Normal 7 2 2 2 6 2 3" xfId="13832"/>
    <cellStyle name="Normal 7 2 2 2 6 3" xfId="7088"/>
    <cellStyle name="Normal 7 2 2 2 6 4" xfId="12627"/>
    <cellStyle name="Normal 7 2 2 2 7" xfId="2920"/>
    <cellStyle name="Normal 7 2 2 2 7 2" xfId="8464"/>
    <cellStyle name="Normal 7 2 2 2 7 3" xfId="14003"/>
    <cellStyle name="Normal 7 2 2 2 8" xfId="3027"/>
    <cellStyle name="Normal 7 2 2 2 8 2" xfId="8570"/>
    <cellStyle name="Normal 7 2 2 2 8 3" xfId="14109"/>
    <cellStyle name="Normal 7 2 2 2 9" xfId="4071"/>
    <cellStyle name="Normal 7 2 2 2 9 2" xfId="9612"/>
    <cellStyle name="Normal 7 2 2 2 9 3" xfId="15151"/>
    <cellStyle name="Normal 7 2 2 3" xfId="373"/>
    <cellStyle name="Normal 7 2 2 3 10" xfId="1686"/>
    <cellStyle name="Normal 7 2 2 3 10 2" xfId="7232"/>
    <cellStyle name="Normal 7 2 2 3 10 3" xfId="12771"/>
    <cellStyle name="Normal 7 2 2 3 11" xfId="6027"/>
    <cellStyle name="Normal 7 2 2 3 11 2" xfId="17105"/>
    <cellStyle name="Normal 7 2 2 3 12" xfId="671"/>
    <cellStyle name="Normal 7 2 2 3 12 2" xfId="17267"/>
    <cellStyle name="Normal 7 2 2 3 13" xfId="11566"/>
    <cellStyle name="Normal 7 2 2 3 14" xfId="17434"/>
    <cellStyle name="Normal 7 2 2 3 15" xfId="17599"/>
    <cellStyle name="Normal 7 2 2 3 2" xfId="374"/>
    <cellStyle name="Normal 7 2 2 3 2 10" xfId="6117"/>
    <cellStyle name="Normal 7 2 2 3 2 10 2" xfId="17195"/>
    <cellStyle name="Normal 7 2 2 3 2 11" xfId="761"/>
    <cellStyle name="Normal 7 2 2 3 2 11 2" xfId="17357"/>
    <cellStyle name="Normal 7 2 2 3 2 12" xfId="11656"/>
    <cellStyle name="Normal 7 2 2 3 2 13" xfId="17524"/>
    <cellStyle name="Normal 7 2 2 3 2 14" xfId="17689"/>
    <cellStyle name="Normal 7 2 2 3 2 2" xfId="573"/>
    <cellStyle name="Normal 7 2 2 3 2 2 2" xfId="1414"/>
    <cellStyle name="Normal 7 2 2 3 2 2 2 2" xfId="3946"/>
    <cellStyle name="Normal 7 2 2 3 2 2 2 2 2" xfId="9488"/>
    <cellStyle name="Normal 7 2 2 3 2 2 2 2 3" xfId="15027"/>
    <cellStyle name="Normal 7 2 2 3 2 2 2 3" xfId="4983"/>
    <cellStyle name="Normal 7 2 2 3 2 2 2 3 2" xfId="10522"/>
    <cellStyle name="Normal 7 2 2 3 2 2 2 3 3" xfId="16061"/>
    <cellStyle name="Normal 7 2 2 3 2 2 2 4" xfId="5917"/>
    <cellStyle name="Normal 7 2 2 3 2 2 2 4 2" xfId="11456"/>
    <cellStyle name="Normal 7 2 2 3 2 2 2 4 3" xfId="16995"/>
    <cellStyle name="Normal 7 2 2 3 2 2 2 5" xfId="2619"/>
    <cellStyle name="Normal 7 2 2 3 2 2 2 5 2" xfId="8165"/>
    <cellStyle name="Normal 7 2 2 3 2 2 2 5 3" xfId="13704"/>
    <cellStyle name="Normal 7 2 2 3 2 2 2 6" xfId="6960"/>
    <cellStyle name="Normal 7 2 2 3 2 2 2 7" xfId="12499"/>
    <cellStyle name="Normal 7 2 2 3 2 2 3" xfId="1092"/>
    <cellStyle name="Normal 7 2 2 3 2 2 3 2" xfId="3622"/>
    <cellStyle name="Normal 7 2 2 3 2 2 3 2 2" xfId="9164"/>
    <cellStyle name="Normal 7 2 2 3 2 2 3 2 3" xfId="14703"/>
    <cellStyle name="Normal 7 2 2 3 2 2 3 3" xfId="4659"/>
    <cellStyle name="Normal 7 2 2 3 2 2 3 3 2" xfId="10198"/>
    <cellStyle name="Normal 7 2 2 3 2 2 3 3 3" xfId="15737"/>
    <cellStyle name="Normal 7 2 2 3 2 2 3 4" xfId="5594"/>
    <cellStyle name="Normal 7 2 2 3 2 2 3 4 2" xfId="11133"/>
    <cellStyle name="Normal 7 2 2 3 2 2 3 4 3" xfId="16672"/>
    <cellStyle name="Normal 7 2 2 3 2 2 3 5" xfId="2296"/>
    <cellStyle name="Normal 7 2 2 3 2 2 3 5 2" xfId="7842"/>
    <cellStyle name="Normal 7 2 2 3 2 2 3 5 3" xfId="13381"/>
    <cellStyle name="Normal 7 2 2 3 2 2 3 6" xfId="6637"/>
    <cellStyle name="Normal 7 2 2 3 2 2 3 7" xfId="12176"/>
    <cellStyle name="Normal 7 2 2 3 2 2 4" xfId="3232"/>
    <cellStyle name="Normal 7 2 2 3 2 2 4 2" xfId="8774"/>
    <cellStyle name="Normal 7 2 2 3 2 2 4 3" xfId="14313"/>
    <cellStyle name="Normal 7 2 2 3 2 2 5" xfId="4271"/>
    <cellStyle name="Normal 7 2 2 3 2 2 5 2" xfId="9810"/>
    <cellStyle name="Normal 7 2 2 3 2 2 5 3" xfId="15349"/>
    <cellStyle name="Normal 7 2 2 3 2 2 6" xfId="5232"/>
    <cellStyle name="Normal 7 2 2 3 2 2 6 2" xfId="10771"/>
    <cellStyle name="Normal 7 2 2 3 2 2 6 3" xfId="16310"/>
    <cellStyle name="Normal 7 2 2 3 2 2 7" xfId="1934"/>
    <cellStyle name="Normal 7 2 2 3 2 2 7 2" xfId="7480"/>
    <cellStyle name="Normal 7 2 2 3 2 2 7 3" xfId="13019"/>
    <cellStyle name="Normal 7 2 2 3 2 2 8" xfId="6275"/>
    <cellStyle name="Normal 7 2 2 3 2 2 9" xfId="11814"/>
    <cellStyle name="Normal 7 2 2 3 2 3" xfId="1269"/>
    <cellStyle name="Normal 7 2 2 3 2 3 2" xfId="3799"/>
    <cellStyle name="Normal 7 2 2 3 2 3 2 2" xfId="9341"/>
    <cellStyle name="Normal 7 2 2 3 2 3 2 3" xfId="14880"/>
    <cellStyle name="Normal 7 2 2 3 2 3 3" xfId="4836"/>
    <cellStyle name="Normal 7 2 2 3 2 3 3 2" xfId="10375"/>
    <cellStyle name="Normal 7 2 2 3 2 3 3 3" xfId="15914"/>
    <cellStyle name="Normal 7 2 2 3 2 3 4" xfId="5771"/>
    <cellStyle name="Normal 7 2 2 3 2 3 4 2" xfId="11310"/>
    <cellStyle name="Normal 7 2 2 3 2 3 4 3" xfId="16849"/>
    <cellStyle name="Normal 7 2 2 3 2 3 5" xfId="2473"/>
    <cellStyle name="Normal 7 2 2 3 2 3 5 2" xfId="8019"/>
    <cellStyle name="Normal 7 2 2 3 2 3 5 3" xfId="13558"/>
    <cellStyle name="Normal 7 2 2 3 2 3 6" xfId="6814"/>
    <cellStyle name="Normal 7 2 2 3 2 3 7" xfId="12353"/>
    <cellStyle name="Normal 7 2 2 3 2 4" xfId="902"/>
    <cellStyle name="Normal 7 2 2 3 2 4 2" xfId="3432"/>
    <cellStyle name="Normal 7 2 2 3 2 4 2 2" xfId="8974"/>
    <cellStyle name="Normal 7 2 2 3 2 4 2 3" xfId="14513"/>
    <cellStyle name="Normal 7 2 2 3 2 4 3" xfId="4469"/>
    <cellStyle name="Normal 7 2 2 3 2 4 3 2" xfId="10008"/>
    <cellStyle name="Normal 7 2 2 3 2 4 3 3" xfId="15547"/>
    <cellStyle name="Normal 7 2 2 3 2 4 4" xfId="5404"/>
    <cellStyle name="Normal 7 2 2 3 2 4 4 2" xfId="10943"/>
    <cellStyle name="Normal 7 2 2 3 2 4 4 3" xfId="16482"/>
    <cellStyle name="Normal 7 2 2 3 2 4 5" xfId="2106"/>
    <cellStyle name="Normal 7 2 2 3 2 4 5 2" xfId="7652"/>
    <cellStyle name="Normal 7 2 2 3 2 4 5 3" xfId="13191"/>
    <cellStyle name="Normal 7 2 2 3 2 4 6" xfId="6447"/>
    <cellStyle name="Normal 7 2 2 3 2 4 7" xfId="11986"/>
    <cellStyle name="Normal 7 2 2 3 2 5" xfId="1614"/>
    <cellStyle name="Normal 7 2 2 3 2 5 2" xfId="2819"/>
    <cellStyle name="Normal 7 2 2 3 2 5 2 2" xfId="8365"/>
    <cellStyle name="Normal 7 2 2 3 2 5 2 3" xfId="13904"/>
    <cellStyle name="Normal 7 2 2 3 2 5 3" xfId="7160"/>
    <cellStyle name="Normal 7 2 2 3 2 5 4" xfId="12699"/>
    <cellStyle name="Normal 7 2 2 3 2 6" xfId="2992"/>
    <cellStyle name="Normal 7 2 2 3 2 6 2" xfId="8536"/>
    <cellStyle name="Normal 7 2 2 3 2 6 3" xfId="14075"/>
    <cellStyle name="Normal 7 2 2 3 2 7" xfId="4037"/>
    <cellStyle name="Normal 7 2 2 3 2 7 2" xfId="9579"/>
    <cellStyle name="Normal 7 2 2 3 2 7 3" xfId="15118"/>
    <cellStyle name="Normal 7 2 2 3 2 8" xfId="5074"/>
    <cellStyle name="Normal 7 2 2 3 2 8 2" xfId="10613"/>
    <cellStyle name="Normal 7 2 2 3 2 8 3" xfId="16152"/>
    <cellStyle name="Normal 7 2 2 3 2 9" xfId="1776"/>
    <cellStyle name="Normal 7 2 2 3 2 9 2" xfId="7322"/>
    <cellStyle name="Normal 7 2 2 3 2 9 3" xfId="12861"/>
    <cellStyle name="Normal 7 2 2 3 3" xfId="572"/>
    <cellStyle name="Normal 7 2 2 3 3 2" xfId="1413"/>
    <cellStyle name="Normal 7 2 2 3 3 2 2" xfId="3945"/>
    <cellStyle name="Normal 7 2 2 3 3 2 2 2" xfId="9487"/>
    <cellStyle name="Normal 7 2 2 3 3 2 2 3" xfId="15026"/>
    <cellStyle name="Normal 7 2 2 3 3 2 3" xfId="4982"/>
    <cellStyle name="Normal 7 2 2 3 3 2 3 2" xfId="10521"/>
    <cellStyle name="Normal 7 2 2 3 3 2 3 3" xfId="16060"/>
    <cellStyle name="Normal 7 2 2 3 3 2 4" xfId="5916"/>
    <cellStyle name="Normal 7 2 2 3 3 2 4 2" xfId="11455"/>
    <cellStyle name="Normal 7 2 2 3 3 2 4 3" xfId="16994"/>
    <cellStyle name="Normal 7 2 2 3 3 2 5" xfId="2618"/>
    <cellStyle name="Normal 7 2 2 3 3 2 5 2" xfId="8164"/>
    <cellStyle name="Normal 7 2 2 3 3 2 5 3" xfId="13703"/>
    <cellStyle name="Normal 7 2 2 3 3 2 6" xfId="6959"/>
    <cellStyle name="Normal 7 2 2 3 3 2 7" xfId="12498"/>
    <cellStyle name="Normal 7 2 2 3 3 3" xfId="1002"/>
    <cellStyle name="Normal 7 2 2 3 3 3 2" xfId="3532"/>
    <cellStyle name="Normal 7 2 2 3 3 3 2 2" xfId="9074"/>
    <cellStyle name="Normal 7 2 2 3 3 3 2 3" xfId="14613"/>
    <cellStyle name="Normal 7 2 2 3 3 3 3" xfId="4569"/>
    <cellStyle name="Normal 7 2 2 3 3 3 3 2" xfId="10108"/>
    <cellStyle name="Normal 7 2 2 3 3 3 3 3" xfId="15647"/>
    <cellStyle name="Normal 7 2 2 3 3 3 4" xfId="5504"/>
    <cellStyle name="Normal 7 2 2 3 3 3 4 2" xfId="11043"/>
    <cellStyle name="Normal 7 2 2 3 3 3 4 3" xfId="16582"/>
    <cellStyle name="Normal 7 2 2 3 3 3 5" xfId="2206"/>
    <cellStyle name="Normal 7 2 2 3 3 3 5 2" xfId="7752"/>
    <cellStyle name="Normal 7 2 2 3 3 3 5 3" xfId="13291"/>
    <cellStyle name="Normal 7 2 2 3 3 3 6" xfId="6547"/>
    <cellStyle name="Normal 7 2 2 3 3 3 7" xfId="12086"/>
    <cellStyle name="Normal 7 2 2 3 3 4" xfId="3231"/>
    <cellStyle name="Normal 7 2 2 3 3 4 2" xfId="8773"/>
    <cellStyle name="Normal 7 2 2 3 3 4 3" xfId="14312"/>
    <cellStyle name="Normal 7 2 2 3 3 5" xfId="4270"/>
    <cellStyle name="Normal 7 2 2 3 3 5 2" xfId="9809"/>
    <cellStyle name="Normal 7 2 2 3 3 5 3" xfId="15348"/>
    <cellStyle name="Normal 7 2 2 3 3 6" xfId="5231"/>
    <cellStyle name="Normal 7 2 2 3 3 6 2" xfId="10770"/>
    <cellStyle name="Normal 7 2 2 3 3 6 3" xfId="16309"/>
    <cellStyle name="Normal 7 2 2 3 3 7" xfId="1933"/>
    <cellStyle name="Normal 7 2 2 3 3 7 2" xfId="7479"/>
    <cellStyle name="Normal 7 2 2 3 3 7 3" xfId="13018"/>
    <cellStyle name="Normal 7 2 2 3 3 8" xfId="6274"/>
    <cellStyle name="Normal 7 2 2 3 3 9" xfId="11813"/>
    <cellStyle name="Normal 7 2 2 3 4" xfId="1179"/>
    <cellStyle name="Normal 7 2 2 3 4 2" xfId="3709"/>
    <cellStyle name="Normal 7 2 2 3 4 2 2" xfId="9251"/>
    <cellStyle name="Normal 7 2 2 3 4 2 3" xfId="14790"/>
    <cellStyle name="Normal 7 2 2 3 4 3" xfId="4746"/>
    <cellStyle name="Normal 7 2 2 3 4 3 2" xfId="10285"/>
    <cellStyle name="Normal 7 2 2 3 4 3 3" xfId="15824"/>
    <cellStyle name="Normal 7 2 2 3 4 4" xfId="5681"/>
    <cellStyle name="Normal 7 2 2 3 4 4 2" xfId="11220"/>
    <cellStyle name="Normal 7 2 2 3 4 4 3" xfId="16759"/>
    <cellStyle name="Normal 7 2 2 3 4 5" xfId="2383"/>
    <cellStyle name="Normal 7 2 2 3 4 5 2" xfId="7929"/>
    <cellStyle name="Normal 7 2 2 3 4 5 3" xfId="13468"/>
    <cellStyle name="Normal 7 2 2 3 4 6" xfId="6724"/>
    <cellStyle name="Normal 7 2 2 3 4 7" xfId="12263"/>
    <cellStyle name="Normal 7 2 2 3 5" xfId="901"/>
    <cellStyle name="Normal 7 2 2 3 5 2" xfId="3431"/>
    <cellStyle name="Normal 7 2 2 3 5 2 2" xfId="8973"/>
    <cellStyle name="Normal 7 2 2 3 5 2 3" xfId="14512"/>
    <cellStyle name="Normal 7 2 2 3 5 3" xfId="4468"/>
    <cellStyle name="Normal 7 2 2 3 5 3 2" xfId="10007"/>
    <cellStyle name="Normal 7 2 2 3 5 3 3" xfId="15546"/>
    <cellStyle name="Normal 7 2 2 3 5 4" xfId="5403"/>
    <cellStyle name="Normal 7 2 2 3 5 4 2" xfId="10942"/>
    <cellStyle name="Normal 7 2 2 3 5 4 3" xfId="16481"/>
    <cellStyle name="Normal 7 2 2 3 5 5" xfId="2105"/>
    <cellStyle name="Normal 7 2 2 3 5 5 2" xfId="7651"/>
    <cellStyle name="Normal 7 2 2 3 5 5 3" xfId="13190"/>
    <cellStyle name="Normal 7 2 2 3 5 6" xfId="6446"/>
    <cellStyle name="Normal 7 2 2 3 5 7" xfId="11985"/>
    <cellStyle name="Normal 7 2 2 3 6" xfId="1524"/>
    <cellStyle name="Normal 7 2 2 3 6 2" xfId="2729"/>
    <cellStyle name="Normal 7 2 2 3 6 2 2" xfId="8275"/>
    <cellStyle name="Normal 7 2 2 3 6 2 3" xfId="13814"/>
    <cellStyle name="Normal 7 2 2 3 6 3" xfId="7070"/>
    <cellStyle name="Normal 7 2 2 3 6 4" xfId="12609"/>
    <cellStyle name="Normal 7 2 2 3 7" xfId="2902"/>
    <cellStyle name="Normal 7 2 2 3 7 2" xfId="8446"/>
    <cellStyle name="Normal 7 2 2 3 7 3" xfId="13985"/>
    <cellStyle name="Normal 7 2 2 3 8" xfId="3314"/>
    <cellStyle name="Normal 7 2 2 3 8 2" xfId="8856"/>
    <cellStyle name="Normal 7 2 2 3 8 3" xfId="14395"/>
    <cellStyle name="Normal 7 2 2 3 9" xfId="4351"/>
    <cellStyle name="Normal 7 2 2 3 9 2" xfId="9890"/>
    <cellStyle name="Normal 7 2 2 3 9 3" xfId="15429"/>
    <cellStyle name="Normal 7 2 2 4" xfId="375"/>
    <cellStyle name="Normal 7 2 2 4 10" xfId="1722"/>
    <cellStyle name="Normal 7 2 2 4 10 2" xfId="7268"/>
    <cellStyle name="Normal 7 2 2 4 10 3" xfId="12807"/>
    <cellStyle name="Normal 7 2 2 4 11" xfId="6063"/>
    <cellStyle name="Normal 7 2 2 4 11 2" xfId="17141"/>
    <cellStyle name="Normal 7 2 2 4 12" xfId="707"/>
    <cellStyle name="Normal 7 2 2 4 12 2" xfId="17303"/>
    <cellStyle name="Normal 7 2 2 4 13" xfId="11602"/>
    <cellStyle name="Normal 7 2 2 4 14" xfId="17470"/>
    <cellStyle name="Normal 7 2 2 4 15" xfId="17635"/>
    <cellStyle name="Normal 7 2 2 4 2" xfId="376"/>
    <cellStyle name="Normal 7 2 2 4 2 10" xfId="6099"/>
    <cellStyle name="Normal 7 2 2 4 2 10 2" xfId="17177"/>
    <cellStyle name="Normal 7 2 2 4 2 11" xfId="743"/>
    <cellStyle name="Normal 7 2 2 4 2 11 2" xfId="17339"/>
    <cellStyle name="Normal 7 2 2 4 2 12" xfId="11638"/>
    <cellStyle name="Normal 7 2 2 4 2 13" xfId="17506"/>
    <cellStyle name="Normal 7 2 2 4 2 14" xfId="17671"/>
    <cellStyle name="Normal 7 2 2 4 2 2" xfId="575"/>
    <cellStyle name="Normal 7 2 2 4 2 2 2" xfId="1416"/>
    <cellStyle name="Normal 7 2 2 4 2 2 2 2" xfId="3948"/>
    <cellStyle name="Normal 7 2 2 4 2 2 2 2 2" xfId="9490"/>
    <cellStyle name="Normal 7 2 2 4 2 2 2 2 3" xfId="15029"/>
    <cellStyle name="Normal 7 2 2 4 2 2 2 3" xfId="4985"/>
    <cellStyle name="Normal 7 2 2 4 2 2 2 3 2" xfId="10524"/>
    <cellStyle name="Normal 7 2 2 4 2 2 2 3 3" xfId="16063"/>
    <cellStyle name="Normal 7 2 2 4 2 2 2 4" xfId="5919"/>
    <cellStyle name="Normal 7 2 2 4 2 2 2 4 2" xfId="11458"/>
    <cellStyle name="Normal 7 2 2 4 2 2 2 4 3" xfId="16997"/>
    <cellStyle name="Normal 7 2 2 4 2 2 2 5" xfId="2621"/>
    <cellStyle name="Normal 7 2 2 4 2 2 2 5 2" xfId="8167"/>
    <cellStyle name="Normal 7 2 2 4 2 2 2 5 3" xfId="13706"/>
    <cellStyle name="Normal 7 2 2 4 2 2 2 6" xfId="6962"/>
    <cellStyle name="Normal 7 2 2 4 2 2 2 7" xfId="12501"/>
    <cellStyle name="Normal 7 2 2 4 2 2 3" xfId="1074"/>
    <cellStyle name="Normal 7 2 2 4 2 2 3 2" xfId="3604"/>
    <cellStyle name="Normal 7 2 2 4 2 2 3 2 2" xfId="9146"/>
    <cellStyle name="Normal 7 2 2 4 2 2 3 2 3" xfId="14685"/>
    <cellStyle name="Normal 7 2 2 4 2 2 3 3" xfId="4641"/>
    <cellStyle name="Normal 7 2 2 4 2 2 3 3 2" xfId="10180"/>
    <cellStyle name="Normal 7 2 2 4 2 2 3 3 3" xfId="15719"/>
    <cellStyle name="Normal 7 2 2 4 2 2 3 4" xfId="5576"/>
    <cellStyle name="Normal 7 2 2 4 2 2 3 4 2" xfId="11115"/>
    <cellStyle name="Normal 7 2 2 4 2 2 3 4 3" xfId="16654"/>
    <cellStyle name="Normal 7 2 2 4 2 2 3 5" xfId="2278"/>
    <cellStyle name="Normal 7 2 2 4 2 2 3 5 2" xfId="7824"/>
    <cellStyle name="Normal 7 2 2 4 2 2 3 5 3" xfId="13363"/>
    <cellStyle name="Normal 7 2 2 4 2 2 3 6" xfId="6619"/>
    <cellStyle name="Normal 7 2 2 4 2 2 3 7" xfId="12158"/>
    <cellStyle name="Normal 7 2 2 4 2 2 4" xfId="3234"/>
    <cellStyle name="Normal 7 2 2 4 2 2 4 2" xfId="8776"/>
    <cellStyle name="Normal 7 2 2 4 2 2 4 3" xfId="14315"/>
    <cellStyle name="Normal 7 2 2 4 2 2 5" xfId="4273"/>
    <cellStyle name="Normal 7 2 2 4 2 2 5 2" xfId="9812"/>
    <cellStyle name="Normal 7 2 2 4 2 2 5 3" xfId="15351"/>
    <cellStyle name="Normal 7 2 2 4 2 2 6" xfId="5234"/>
    <cellStyle name="Normal 7 2 2 4 2 2 6 2" xfId="10773"/>
    <cellStyle name="Normal 7 2 2 4 2 2 6 3" xfId="16312"/>
    <cellStyle name="Normal 7 2 2 4 2 2 7" xfId="1936"/>
    <cellStyle name="Normal 7 2 2 4 2 2 7 2" xfId="7482"/>
    <cellStyle name="Normal 7 2 2 4 2 2 7 3" xfId="13021"/>
    <cellStyle name="Normal 7 2 2 4 2 2 8" xfId="6277"/>
    <cellStyle name="Normal 7 2 2 4 2 2 9" xfId="11816"/>
    <cellStyle name="Normal 7 2 2 4 2 3" xfId="1251"/>
    <cellStyle name="Normal 7 2 2 4 2 3 2" xfId="3781"/>
    <cellStyle name="Normal 7 2 2 4 2 3 2 2" xfId="9323"/>
    <cellStyle name="Normal 7 2 2 4 2 3 2 3" xfId="14862"/>
    <cellStyle name="Normal 7 2 2 4 2 3 3" xfId="4818"/>
    <cellStyle name="Normal 7 2 2 4 2 3 3 2" xfId="10357"/>
    <cellStyle name="Normal 7 2 2 4 2 3 3 3" xfId="15896"/>
    <cellStyle name="Normal 7 2 2 4 2 3 4" xfId="5753"/>
    <cellStyle name="Normal 7 2 2 4 2 3 4 2" xfId="11292"/>
    <cellStyle name="Normal 7 2 2 4 2 3 4 3" xfId="16831"/>
    <cellStyle name="Normal 7 2 2 4 2 3 5" xfId="2455"/>
    <cellStyle name="Normal 7 2 2 4 2 3 5 2" xfId="8001"/>
    <cellStyle name="Normal 7 2 2 4 2 3 5 3" xfId="13540"/>
    <cellStyle name="Normal 7 2 2 4 2 3 6" xfId="6796"/>
    <cellStyle name="Normal 7 2 2 4 2 3 7" xfId="12335"/>
    <cellStyle name="Normal 7 2 2 4 2 4" xfId="904"/>
    <cellStyle name="Normal 7 2 2 4 2 4 2" xfId="3434"/>
    <cellStyle name="Normal 7 2 2 4 2 4 2 2" xfId="8976"/>
    <cellStyle name="Normal 7 2 2 4 2 4 2 3" xfId="14515"/>
    <cellStyle name="Normal 7 2 2 4 2 4 3" xfId="4471"/>
    <cellStyle name="Normal 7 2 2 4 2 4 3 2" xfId="10010"/>
    <cellStyle name="Normal 7 2 2 4 2 4 3 3" xfId="15549"/>
    <cellStyle name="Normal 7 2 2 4 2 4 4" xfId="5406"/>
    <cellStyle name="Normal 7 2 2 4 2 4 4 2" xfId="10945"/>
    <cellStyle name="Normal 7 2 2 4 2 4 4 3" xfId="16484"/>
    <cellStyle name="Normal 7 2 2 4 2 4 5" xfId="2108"/>
    <cellStyle name="Normal 7 2 2 4 2 4 5 2" xfId="7654"/>
    <cellStyle name="Normal 7 2 2 4 2 4 5 3" xfId="13193"/>
    <cellStyle name="Normal 7 2 2 4 2 4 6" xfId="6449"/>
    <cellStyle name="Normal 7 2 2 4 2 4 7" xfId="11988"/>
    <cellStyle name="Normal 7 2 2 4 2 5" xfId="1596"/>
    <cellStyle name="Normal 7 2 2 4 2 5 2" xfId="2801"/>
    <cellStyle name="Normal 7 2 2 4 2 5 2 2" xfId="8347"/>
    <cellStyle name="Normal 7 2 2 4 2 5 2 3" xfId="13886"/>
    <cellStyle name="Normal 7 2 2 4 2 5 3" xfId="7142"/>
    <cellStyle name="Normal 7 2 2 4 2 5 4" xfId="12681"/>
    <cellStyle name="Normal 7 2 2 4 2 6" xfId="2974"/>
    <cellStyle name="Normal 7 2 2 4 2 6 2" xfId="8518"/>
    <cellStyle name="Normal 7 2 2 4 2 6 3" xfId="14057"/>
    <cellStyle name="Normal 7 2 2 4 2 7" xfId="4019"/>
    <cellStyle name="Normal 7 2 2 4 2 7 2" xfId="9561"/>
    <cellStyle name="Normal 7 2 2 4 2 7 3" xfId="15100"/>
    <cellStyle name="Normal 7 2 2 4 2 8" xfId="5056"/>
    <cellStyle name="Normal 7 2 2 4 2 8 2" xfId="10595"/>
    <cellStyle name="Normal 7 2 2 4 2 8 3" xfId="16134"/>
    <cellStyle name="Normal 7 2 2 4 2 9" xfId="1758"/>
    <cellStyle name="Normal 7 2 2 4 2 9 2" xfId="7304"/>
    <cellStyle name="Normal 7 2 2 4 2 9 3" xfId="12843"/>
    <cellStyle name="Normal 7 2 2 4 3" xfId="574"/>
    <cellStyle name="Normal 7 2 2 4 3 2" xfId="1415"/>
    <cellStyle name="Normal 7 2 2 4 3 2 2" xfId="3947"/>
    <cellStyle name="Normal 7 2 2 4 3 2 2 2" xfId="9489"/>
    <cellStyle name="Normal 7 2 2 4 3 2 2 3" xfId="15028"/>
    <cellStyle name="Normal 7 2 2 4 3 2 3" xfId="4984"/>
    <cellStyle name="Normal 7 2 2 4 3 2 3 2" xfId="10523"/>
    <cellStyle name="Normal 7 2 2 4 3 2 3 3" xfId="16062"/>
    <cellStyle name="Normal 7 2 2 4 3 2 4" xfId="5918"/>
    <cellStyle name="Normal 7 2 2 4 3 2 4 2" xfId="11457"/>
    <cellStyle name="Normal 7 2 2 4 3 2 4 3" xfId="16996"/>
    <cellStyle name="Normal 7 2 2 4 3 2 5" xfId="2620"/>
    <cellStyle name="Normal 7 2 2 4 3 2 5 2" xfId="8166"/>
    <cellStyle name="Normal 7 2 2 4 3 2 5 3" xfId="13705"/>
    <cellStyle name="Normal 7 2 2 4 3 2 6" xfId="6961"/>
    <cellStyle name="Normal 7 2 2 4 3 2 7" xfId="12500"/>
    <cellStyle name="Normal 7 2 2 4 3 3" xfId="1038"/>
    <cellStyle name="Normal 7 2 2 4 3 3 2" xfId="3568"/>
    <cellStyle name="Normal 7 2 2 4 3 3 2 2" xfId="9110"/>
    <cellStyle name="Normal 7 2 2 4 3 3 2 3" xfId="14649"/>
    <cellStyle name="Normal 7 2 2 4 3 3 3" xfId="4605"/>
    <cellStyle name="Normal 7 2 2 4 3 3 3 2" xfId="10144"/>
    <cellStyle name="Normal 7 2 2 4 3 3 3 3" xfId="15683"/>
    <cellStyle name="Normal 7 2 2 4 3 3 4" xfId="5540"/>
    <cellStyle name="Normal 7 2 2 4 3 3 4 2" xfId="11079"/>
    <cellStyle name="Normal 7 2 2 4 3 3 4 3" xfId="16618"/>
    <cellStyle name="Normal 7 2 2 4 3 3 5" xfId="2242"/>
    <cellStyle name="Normal 7 2 2 4 3 3 5 2" xfId="7788"/>
    <cellStyle name="Normal 7 2 2 4 3 3 5 3" xfId="13327"/>
    <cellStyle name="Normal 7 2 2 4 3 3 6" xfId="6583"/>
    <cellStyle name="Normal 7 2 2 4 3 3 7" xfId="12122"/>
    <cellStyle name="Normal 7 2 2 4 3 4" xfId="3233"/>
    <cellStyle name="Normal 7 2 2 4 3 4 2" xfId="8775"/>
    <cellStyle name="Normal 7 2 2 4 3 4 3" xfId="14314"/>
    <cellStyle name="Normal 7 2 2 4 3 5" xfId="4272"/>
    <cellStyle name="Normal 7 2 2 4 3 5 2" xfId="9811"/>
    <cellStyle name="Normal 7 2 2 4 3 5 3" xfId="15350"/>
    <cellStyle name="Normal 7 2 2 4 3 6" xfId="5233"/>
    <cellStyle name="Normal 7 2 2 4 3 6 2" xfId="10772"/>
    <cellStyle name="Normal 7 2 2 4 3 6 3" xfId="16311"/>
    <cellStyle name="Normal 7 2 2 4 3 7" xfId="1935"/>
    <cellStyle name="Normal 7 2 2 4 3 7 2" xfId="7481"/>
    <cellStyle name="Normal 7 2 2 4 3 7 3" xfId="13020"/>
    <cellStyle name="Normal 7 2 2 4 3 8" xfId="6276"/>
    <cellStyle name="Normal 7 2 2 4 3 9" xfId="11815"/>
    <cellStyle name="Normal 7 2 2 4 4" xfId="1215"/>
    <cellStyle name="Normal 7 2 2 4 4 2" xfId="3745"/>
    <cellStyle name="Normal 7 2 2 4 4 2 2" xfId="9287"/>
    <cellStyle name="Normal 7 2 2 4 4 2 3" xfId="14826"/>
    <cellStyle name="Normal 7 2 2 4 4 3" xfId="4782"/>
    <cellStyle name="Normal 7 2 2 4 4 3 2" xfId="10321"/>
    <cellStyle name="Normal 7 2 2 4 4 3 3" xfId="15860"/>
    <cellStyle name="Normal 7 2 2 4 4 4" xfId="5717"/>
    <cellStyle name="Normal 7 2 2 4 4 4 2" xfId="11256"/>
    <cellStyle name="Normal 7 2 2 4 4 4 3" xfId="16795"/>
    <cellStyle name="Normal 7 2 2 4 4 5" xfId="2419"/>
    <cellStyle name="Normal 7 2 2 4 4 5 2" xfId="7965"/>
    <cellStyle name="Normal 7 2 2 4 4 5 3" xfId="13504"/>
    <cellStyle name="Normal 7 2 2 4 4 6" xfId="6760"/>
    <cellStyle name="Normal 7 2 2 4 4 7" xfId="12299"/>
    <cellStyle name="Normal 7 2 2 4 5" xfId="903"/>
    <cellStyle name="Normal 7 2 2 4 5 2" xfId="3433"/>
    <cellStyle name="Normal 7 2 2 4 5 2 2" xfId="8975"/>
    <cellStyle name="Normal 7 2 2 4 5 2 3" xfId="14514"/>
    <cellStyle name="Normal 7 2 2 4 5 3" xfId="4470"/>
    <cellStyle name="Normal 7 2 2 4 5 3 2" xfId="10009"/>
    <cellStyle name="Normal 7 2 2 4 5 3 3" xfId="15548"/>
    <cellStyle name="Normal 7 2 2 4 5 4" xfId="5405"/>
    <cellStyle name="Normal 7 2 2 4 5 4 2" xfId="10944"/>
    <cellStyle name="Normal 7 2 2 4 5 4 3" xfId="16483"/>
    <cellStyle name="Normal 7 2 2 4 5 5" xfId="2107"/>
    <cellStyle name="Normal 7 2 2 4 5 5 2" xfId="7653"/>
    <cellStyle name="Normal 7 2 2 4 5 5 3" xfId="13192"/>
    <cellStyle name="Normal 7 2 2 4 5 6" xfId="6448"/>
    <cellStyle name="Normal 7 2 2 4 5 7" xfId="11987"/>
    <cellStyle name="Normal 7 2 2 4 6" xfId="1560"/>
    <cellStyle name="Normal 7 2 2 4 6 2" xfId="2765"/>
    <cellStyle name="Normal 7 2 2 4 6 2 2" xfId="8311"/>
    <cellStyle name="Normal 7 2 2 4 6 2 3" xfId="13850"/>
    <cellStyle name="Normal 7 2 2 4 6 3" xfId="7106"/>
    <cellStyle name="Normal 7 2 2 4 6 4" xfId="12645"/>
    <cellStyle name="Normal 7 2 2 4 7" xfId="2938"/>
    <cellStyle name="Normal 7 2 2 4 7 2" xfId="8482"/>
    <cellStyle name="Normal 7 2 2 4 7 3" xfId="14021"/>
    <cellStyle name="Normal 7 2 2 4 8" xfId="3052"/>
    <cellStyle name="Normal 7 2 2 4 8 2" xfId="8595"/>
    <cellStyle name="Normal 7 2 2 4 8 3" xfId="14134"/>
    <cellStyle name="Normal 7 2 2 4 9" xfId="4095"/>
    <cellStyle name="Normal 7 2 2 4 9 2" xfId="9636"/>
    <cellStyle name="Normal 7 2 2 4 9 3" xfId="15175"/>
    <cellStyle name="Normal 7 2 2 5" xfId="377"/>
    <cellStyle name="Normal 7 2 2 5 10" xfId="6081"/>
    <cellStyle name="Normal 7 2 2 5 10 2" xfId="17159"/>
    <cellStyle name="Normal 7 2 2 5 11" xfId="725"/>
    <cellStyle name="Normal 7 2 2 5 11 2" xfId="17321"/>
    <cellStyle name="Normal 7 2 2 5 12" xfId="11620"/>
    <cellStyle name="Normal 7 2 2 5 13" xfId="17488"/>
    <cellStyle name="Normal 7 2 2 5 14" xfId="17653"/>
    <cellStyle name="Normal 7 2 2 5 2" xfId="576"/>
    <cellStyle name="Normal 7 2 2 5 2 2" xfId="1417"/>
    <cellStyle name="Normal 7 2 2 5 2 2 2" xfId="3949"/>
    <cellStyle name="Normal 7 2 2 5 2 2 2 2" xfId="9491"/>
    <cellStyle name="Normal 7 2 2 5 2 2 2 3" xfId="15030"/>
    <cellStyle name="Normal 7 2 2 5 2 2 3" xfId="4986"/>
    <cellStyle name="Normal 7 2 2 5 2 2 3 2" xfId="10525"/>
    <cellStyle name="Normal 7 2 2 5 2 2 3 3" xfId="16064"/>
    <cellStyle name="Normal 7 2 2 5 2 2 4" xfId="5920"/>
    <cellStyle name="Normal 7 2 2 5 2 2 4 2" xfId="11459"/>
    <cellStyle name="Normal 7 2 2 5 2 2 4 3" xfId="16998"/>
    <cellStyle name="Normal 7 2 2 5 2 2 5" xfId="2622"/>
    <cellStyle name="Normal 7 2 2 5 2 2 5 2" xfId="8168"/>
    <cellStyle name="Normal 7 2 2 5 2 2 5 3" xfId="13707"/>
    <cellStyle name="Normal 7 2 2 5 2 2 6" xfId="6963"/>
    <cellStyle name="Normal 7 2 2 5 2 2 7" xfId="12502"/>
    <cellStyle name="Normal 7 2 2 5 2 3" xfId="1056"/>
    <cellStyle name="Normal 7 2 2 5 2 3 2" xfId="3586"/>
    <cellStyle name="Normal 7 2 2 5 2 3 2 2" xfId="9128"/>
    <cellStyle name="Normal 7 2 2 5 2 3 2 3" xfId="14667"/>
    <cellStyle name="Normal 7 2 2 5 2 3 3" xfId="4623"/>
    <cellStyle name="Normal 7 2 2 5 2 3 3 2" xfId="10162"/>
    <cellStyle name="Normal 7 2 2 5 2 3 3 3" xfId="15701"/>
    <cellStyle name="Normal 7 2 2 5 2 3 4" xfId="5558"/>
    <cellStyle name="Normal 7 2 2 5 2 3 4 2" xfId="11097"/>
    <cellStyle name="Normal 7 2 2 5 2 3 4 3" xfId="16636"/>
    <cellStyle name="Normal 7 2 2 5 2 3 5" xfId="2260"/>
    <cellStyle name="Normal 7 2 2 5 2 3 5 2" xfId="7806"/>
    <cellStyle name="Normal 7 2 2 5 2 3 5 3" xfId="13345"/>
    <cellStyle name="Normal 7 2 2 5 2 3 6" xfId="6601"/>
    <cellStyle name="Normal 7 2 2 5 2 3 7" xfId="12140"/>
    <cellStyle name="Normal 7 2 2 5 2 4" xfId="3235"/>
    <cellStyle name="Normal 7 2 2 5 2 4 2" xfId="8777"/>
    <cellStyle name="Normal 7 2 2 5 2 4 3" xfId="14316"/>
    <cellStyle name="Normal 7 2 2 5 2 5" xfId="4274"/>
    <cellStyle name="Normal 7 2 2 5 2 5 2" xfId="9813"/>
    <cellStyle name="Normal 7 2 2 5 2 5 3" xfId="15352"/>
    <cellStyle name="Normal 7 2 2 5 2 6" xfId="5235"/>
    <cellStyle name="Normal 7 2 2 5 2 6 2" xfId="10774"/>
    <cellStyle name="Normal 7 2 2 5 2 6 3" xfId="16313"/>
    <cellStyle name="Normal 7 2 2 5 2 7" xfId="1937"/>
    <cellStyle name="Normal 7 2 2 5 2 7 2" xfId="7483"/>
    <cellStyle name="Normal 7 2 2 5 2 7 3" xfId="13022"/>
    <cellStyle name="Normal 7 2 2 5 2 8" xfId="6278"/>
    <cellStyle name="Normal 7 2 2 5 2 9" xfId="11817"/>
    <cellStyle name="Normal 7 2 2 5 3" xfId="1233"/>
    <cellStyle name="Normal 7 2 2 5 3 2" xfId="3763"/>
    <cellStyle name="Normal 7 2 2 5 3 2 2" xfId="9305"/>
    <cellStyle name="Normal 7 2 2 5 3 2 3" xfId="14844"/>
    <cellStyle name="Normal 7 2 2 5 3 3" xfId="4800"/>
    <cellStyle name="Normal 7 2 2 5 3 3 2" xfId="10339"/>
    <cellStyle name="Normal 7 2 2 5 3 3 3" xfId="15878"/>
    <cellStyle name="Normal 7 2 2 5 3 4" xfId="5735"/>
    <cellStyle name="Normal 7 2 2 5 3 4 2" xfId="11274"/>
    <cellStyle name="Normal 7 2 2 5 3 4 3" xfId="16813"/>
    <cellStyle name="Normal 7 2 2 5 3 5" xfId="2437"/>
    <cellStyle name="Normal 7 2 2 5 3 5 2" xfId="7983"/>
    <cellStyle name="Normal 7 2 2 5 3 5 3" xfId="13522"/>
    <cellStyle name="Normal 7 2 2 5 3 6" xfId="6778"/>
    <cellStyle name="Normal 7 2 2 5 3 7" xfId="12317"/>
    <cellStyle name="Normal 7 2 2 5 4" xfId="905"/>
    <cellStyle name="Normal 7 2 2 5 4 2" xfId="3435"/>
    <cellStyle name="Normal 7 2 2 5 4 2 2" xfId="8977"/>
    <cellStyle name="Normal 7 2 2 5 4 2 3" xfId="14516"/>
    <cellStyle name="Normal 7 2 2 5 4 3" xfId="4472"/>
    <cellStyle name="Normal 7 2 2 5 4 3 2" xfId="10011"/>
    <cellStyle name="Normal 7 2 2 5 4 3 3" xfId="15550"/>
    <cellStyle name="Normal 7 2 2 5 4 4" xfId="5407"/>
    <cellStyle name="Normal 7 2 2 5 4 4 2" xfId="10946"/>
    <cellStyle name="Normal 7 2 2 5 4 4 3" xfId="16485"/>
    <cellStyle name="Normal 7 2 2 5 4 5" xfId="2109"/>
    <cellStyle name="Normal 7 2 2 5 4 5 2" xfId="7655"/>
    <cellStyle name="Normal 7 2 2 5 4 5 3" xfId="13194"/>
    <cellStyle name="Normal 7 2 2 5 4 6" xfId="6450"/>
    <cellStyle name="Normal 7 2 2 5 4 7" xfId="11989"/>
    <cellStyle name="Normal 7 2 2 5 5" xfId="1578"/>
    <cellStyle name="Normal 7 2 2 5 5 2" xfId="2783"/>
    <cellStyle name="Normal 7 2 2 5 5 2 2" xfId="8329"/>
    <cellStyle name="Normal 7 2 2 5 5 2 3" xfId="13868"/>
    <cellStyle name="Normal 7 2 2 5 5 3" xfId="7124"/>
    <cellStyle name="Normal 7 2 2 5 5 4" xfId="12663"/>
    <cellStyle name="Normal 7 2 2 5 6" xfId="2956"/>
    <cellStyle name="Normal 7 2 2 5 6 2" xfId="8500"/>
    <cellStyle name="Normal 7 2 2 5 6 3" xfId="14039"/>
    <cellStyle name="Normal 7 2 2 5 7" xfId="3062"/>
    <cellStyle name="Normal 7 2 2 5 7 2" xfId="8605"/>
    <cellStyle name="Normal 7 2 2 5 7 3" xfId="14144"/>
    <cellStyle name="Normal 7 2 2 5 8" xfId="4105"/>
    <cellStyle name="Normal 7 2 2 5 8 2" xfId="9646"/>
    <cellStyle name="Normal 7 2 2 5 8 3" xfId="15185"/>
    <cellStyle name="Normal 7 2 2 5 9" xfId="1740"/>
    <cellStyle name="Normal 7 2 2 5 9 2" xfId="7286"/>
    <cellStyle name="Normal 7 2 2 5 9 3" xfId="12825"/>
    <cellStyle name="Normal 7 2 2 6" xfId="378"/>
    <cellStyle name="Normal 7 2 2 6 10" xfId="6009"/>
    <cellStyle name="Normal 7 2 2 6 10 2" xfId="17087"/>
    <cellStyle name="Normal 7 2 2 6 11" xfId="653"/>
    <cellStyle name="Normal 7 2 2 6 11 2" xfId="17249"/>
    <cellStyle name="Normal 7 2 2 6 12" xfId="11548"/>
    <cellStyle name="Normal 7 2 2 6 13" xfId="17416"/>
    <cellStyle name="Normal 7 2 2 6 14" xfId="17581"/>
    <cellStyle name="Normal 7 2 2 6 2" xfId="577"/>
    <cellStyle name="Normal 7 2 2 6 2 2" xfId="1418"/>
    <cellStyle name="Normal 7 2 2 6 2 2 2" xfId="3950"/>
    <cellStyle name="Normal 7 2 2 6 2 2 2 2" xfId="9492"/>
    <cellStyle name="Normal 7 2 2 6 2 2 2 3" xfId="15031"/>
    <cellStyle name="Normal 7 2 2 6 2 2 3" xfId="4987"/>
    <cellStyle name="Normal 7 2 2 6 2 2 3 2" xfId="10526"/>
    <cellStyle name="Normal 7 2 2 6 2 2 3 3" xfId="16065"/>
    <cellStyle name="Normal 7 2 2 6 2 2 4" xfId="5921"/>
    <cellStyle name="Normal 7 2 2 6 2 2 4 2" xfId="11460"/>
    <cellStyle name="Normal 7 2 2 6 2 2 4 3" xfId="16999"/>
    <cellStyle name="Normal 7 2 2 6 2 2 5" xfId="2623"/>
    <cellStyle name="Normal 7 2 2 6 2 2 5 2" xfId="8169"/>
    <cellStyle name="Normal 7 2 2 6 2 2 5 3" xfId="13708"/>
    <cellStyle name="Normal 7 2 2 6 2 2 6" xfId="6964"/>
    <cellStyle name="Normal 7 2 2 6 2 2 7" xfId="12503"/>
    <cellStyle name="Normal 7 2 2 6 2 3" xfId="984"/>
    <cellStyle name="Normal 7 2 2 6 2 3 2" xfId="3514"/>
    <cellStyle name="Normal 7 2 2 6 2 3 2 2" xfId="9056"/>
    <cellStyle name="Normal 7 2 2 6 2 3 2 3" xfId="14595"/>
    <cellStyle name="Normal 7 2 2 6 2 3 3" xfId="4551"/>
    <cellStyle name="Normal 7 2 2 6 2 3 3 2" xfId="10090"/>
    <cellStyle name="Normal 7 2 2 6 2 3 3 3" xfId="15629"/>
    <cellStyle name="Normal 7 2 2 6 2 3 4" xfId="5486"/>
    <cellStyle name="Normal 7 2 2 6 2 3 4 2" xfId="11025"/>
    <cellStyle name="Normal 7 2 2 6 2 3 4 3" xfId="16564"/>
    <cellStyle name="Normal 7 2 2 6 2 3 5" xfId="2188"/>
    <cellStyle name="Normal 7 2 2 6 2 3 5 2" xfId="7734"/>
    <cellStyle name="Normal 7 2 2 6 2 3 5 3" xfId="13273"/>
    <cellStyle name="Normal 7 2 2 6 2 3 6" xfId="6529"/>
    <cellStyle name="Normal 7 2 2 6 2 3 7" xfId="12068"/>
    <cellStyle name="Normal 7 2 2 6 2 4" xfId="3236"/>
    <cellStyle name="Normal 7 2 2 6 2 4 2" xfId="8778"/>
    <cellStyle name="Normal 7 2 2 6 2 4 3" xfId="14317"/>
    <cellStyle name="Normal 7 2 2 6 2 5" xfId="4275"/>
    <cellStyle name="Normal 7 2 2 6 2 5 2" xfId="9814"/>
    <cellStyle name="Normal 7 2 2 6 2 5 3" xfId="15353"/>
    <cellStyle name="Normal 7 2 2 6 2 6" xfId="5236"/>
    <cellStyle name="Normal 7 2 2 6 2 6 2" xfId="10775"/>
    <cellStyle name="Normal 7 2 2 6 2 6 3" xfId="16314"/>
    <cellStyle name="Normal 7 2 2 6 2 7" xfId="1938"/>
    <cellStyle name="Normal 7 2 2 6 2 7 2" xfId="7484"/>
    <cellStyle name="Normal 7 2 2 6 2 7 3" xfId="13023"/>
    <cellStyle name="Normal 7 2 2 6 2 8" xfId="6279"/>
    <cellStyle name="Normal 7 2 2 6 2 9" xfId="11818"/>
    <cellStyle name="Normal 7 2 2 6 3" xfId="1161"/>
    <cellStyle name="Normal 7 2 2 6 3 2" xfId="3691"/>
    <cellStyle name="Normal 7 2 2 6 3 2 2" xfId="9233"/>
    <cellStyle name="Normal 7 2 2 6 3 2 3" xfId="14772"/>
    <cellStyle name="Normal 7 2 2 6 3 3" xfId="4728"/>
    <cellStyle name="Normal 7 2 2 6 3 3 2" xfId="10267"/>
    <cellStyle name="Normal 7 2 2 6 3 3 3" xfId="15806"/>
    <cellStyle name="Normal 7 2 2 6 3 4" xfId="5663"/>
    <cellStyle name="Normal 7 2 2 6 3 4 2" xfId="11202"/>
    <cellStyle name="Normal 7 2 2 6 3 4 3" xfId="16741"/>
    <cellStyle name="Normal 7 2 2 6 3 5" xfId="2365"/>
    <cellStyle name="Normal 7 2 2 6 3 5 2" xfId="7911"/>
    <cellStyle name="Normal 7 2 2 6 3 5 3" xfId="13450"/>
    <cellStyle name="Normal 7 2 2 6 3 6" xfId="6706"/>
    <cellStyle name="Normal 7 2 2 6 3 7" xfId="12245"/>
    <cellStyle name="Normal 7 2 2 6 4" xfId="906"/>
    <cellStyle name="Normal 7 2 2 6 4 2" xfId="3436"/>
    <cellStyle name="Normal 7 2 2 6 4 2 2" xfId="8978"/>
    <cellStyle name="Normal 7 2 2 6 4 2 3" xfId="14517"/>
    <cellStyle name="Normal 7 2 2 6 4 3" xfId="4473"/>
    <cellStyle name="Normal 7 2 2 6 4 3 2" xfId="10012"/>
    <cellStyle name="Normal 7 2 2 6 4 3 3" xfId="15551"/>
    <cellStyle name="Normal 7 2 2 6 4 4" xfId="5408"/>
    <cellStyle name="Normal 7 2 2 6 4 4 2" xfId="10947"/>
    <cellStyle name="Normal 7 2 2 6 4 4 3" xfId="16486"/>
    <cellStyle name="Normal 7 2 2 6 4 5" xfId="2110"/>
    <cellStyle name="Normal 7 2 2 6 4 5 2" xfId="7656"/>
    <cellStyle name="Normal 7 2 2 6 4 5 3" xfId="13195"/>
    <cellStyle name="Normal 7 2 2 6 4 6" xfId="6451"/>
    <cellStyle name="Normal 7 2 2 6 4 7" xfId="11990"/>
    <cellStyle name="Normal 7 2 2 6 5" xfId="1506"/>
    <cellStyle name="Normal 7 2 2 6 5 2" xfId="2711"/>
    <cellStyle name="Normal 7 2 2 6 5 2 2" xfId="8257"/>
    <cellStyle name="Normal 7 2 2 6 5 2 3" xfId="13796"/>
    <cellStyle name="Normal 7 2 2 6 5 3" xfId="7052"/>
    <cellStyle name="Normal 7 2 2 6 5 4" xfId="12591"/>
    <cellStyle name="Normal 7 2 2 6 6" xfId="2884"/>
    <cellStyle name="Normal 7 2 2 6 6 2" xfId="8428"/>
    <cellStyle name="Normal 7 2 2 6 6 3" xfId="13967"/>
    <cellStyle name="Normal 7 2 2 6 7" xfId="3024"/>
    <cellStyle name="Normal 7 2 2 6 7 2" xfId="8568"/>
    <cellStyle name="Normal 7 2 2 6 7 3" xfId="14107"/>
    <cellStyle name="Normal 7 2 2 6 8" xfId="4068"/>
    <cellStyle name="Normal 7 2 2 6 8 2" xfId="9610"/>
    <cellStyle name="Normal 7 2 2 6 8 3" xfId="15149"/>
    <cellStyle name="Normal 7 2 2 6 9" xfId="1668"/>
    <cellStyle name="Normal 7 2 2 6 9 2" xfId="7214"/>
    <cellStyle name="Normal 7 2 2 6 9 3" xfId="12753"/>
    <cellStyle name="Normal 7 2 2 7" xfId="464"/>
    <cellStyle name="Normal 7 2 2 7 2" xfId="1306"/>
    <cellStyle name="Normal 7 2 2 7 2 2" xfId="3837"/>
    <cellStyle name="Normal 7 2 2 7 2 2 2" xfId="9379"/>
    <cellStyle name="Normal 7 2 2 7 2 2 3" xfId="14918"/>
    <cellStyle name="Normal 7 2 2 7 2 3" xfId="4874"/>
    <cellStyle name="Normal 7 2 2 7 2 3 2" xfId="10413"/>
    <cellStyle name="Normal 7 2 2 7 2 3 3" xfId="15952"/>
    <cellStyle name="Normal 7 2 2 7 2 4" xfId="5809"/>
    <cellStyle name="Normal 7 2 2 7 2 4 2" xfId="11348"/>
    <cellStyle name="Normal 7 2 2 7 2 4 3" xfId="16887"/>
    <cellStyle name="Normal 7 2 2 7 2 5" xfId="2511"/>
    <cellStyle name="Normal 7 2 2 7 2 5 2" xfId="8057"/>
    <cellStyle name="Normal 7 2 2 7 2 5 3" xfId="13596"/>
    <cellStyle name="Normal 7 2 2 7 2 6" xfId="6852"/>
    <cellStyle name="Normal 7 2 2 7 2 7" xfId="12391"/>
    <cellStyle name="Normal 7 2 2 7 3" xfId="966"/>
    <cellStyle name="Normal 7 2 2 7 3 2" xfId="3496"/>
    <cellStyle name="Normal 7 2 2 7 3 2 2" xfId="9038"/>
    <cellStyle name="Normal 7 2 2 7 3 2 3" xfId="14577"/>
    <cellStyle name="Normal 7 2 2 7 3 3" xfId="4533"/>
    <cellStyle name="Normal 7 2 2 7 3 3 2" xfId="10072"/>
    <cellStyle name="Normal 7 2 2 7 3 3 3" xfId="15611"/>
    <cellStyle name="Normal 7 2 2 7 3 4" xfId="5468"/>
    <cellStyle name="Normal 7 2 2 7 3 4 2" xfId="11007"/>
    <cellStyle name="Normal 7 2 2 7 3 4 3" xfId="16546"/>
    <cellStyle name="Normal 7 2 2 7 3 5" xfId="2170"/>
    <cellStyle name="Normal 7 2 2 7 3 5 2" xfId="7716"/>
    <cellStyle name="Normal 7 2 2 7 3 5 3" xfId="13255"/>
    <cellStyle name="Normal 7 2 2 7 3 6" xfId="6511"/>
    <cellStyle name="Normal 7 2 2 7 3 7" xfId="12050"/>
    <cellStyle name="Normal 7 2 2 7 4" xfId="3114"/>
    <cellStyle name="Normal 7 2 2 7 4 2" xfId="8657"/>
    <cellStyle name="Normal 7 2 2 7 4 3" xfId="14196"/>
    <cellStyle name="Normal 7 2 2 7 5" xfId="4157"/>
    <cellStyle name="Normal 7 2 2 7 5 2" xfId="9698"/>
    <cellStyle name="Normal 7 2 2 7 5 3" xfId="15237"/>
    <cellStyle name="Normal 7 2 2 7 6" xfId="5124"/>
    <cellStyle name="Normal 7 2 2 7 6 2" xfId="10663"/>
    <cellStyle name="Normal 7 2 2 7 6 3" xfId="16202"/>
    <cellStyle name="Normal 7 2 2 7 7" xfId="1826"/>
    <cellStyle name="Normal 7 2 2 7 7 2" xfId="7372"/>
    <cellStyle name="Normal 7 2 2 7 7 3" xfId="12911"/>
    <cellStyle name="Normal 7 2 2 7 8" xfId="6167"/>
    <cellStyle name="Normal 7 2 2 7 9" xfId="11706"/>
    <cellStyle name="Normal 7 2 2 8" xfId="1143"/>
    <cellStyle name="Normal 7 2 2 8 2" xfId="3673"/>
    <cellStyle name="Normal 7 2 2 8 2 2" xfId="9215"/>
    <cellStyle name="Normal 7 2 2 8 2 3" xfId="14754"/>
    <cellStyle name="Normal 7 2 2 8 3" xfId="4710"/>
    <cellStyle name="Normal 7 2 2 8 3 2" xfId="10249"/>
    <cellStyle name="Normal 7 2 2 8 3 3" xfId="15788"/>
    <cellStyle name="Normal 7 2 2 8 4" xfId="5645"/>
    <cellStyle name="Normal 7 2 2 8 4 2" xfId="11184"/>
    <cellStyle name="Normal 7 2 2 8 4 3" xfId="16723"/>
    <cellStyle name="Normal 7 2 2 8 5" xfId="2347"/>
    <cellStyle name="Normal 7 2 2 8 5 2" xfId="7893"/>
    <cellStyle name="Normal 7 2 2 8 5 3" xfId="13432"/>
    <cellStyle name="Normal 7 2 2 8 6" xfId="6688"/>
    <cellStyle name="Normal 7 2 2 8 7" xfId="12227"/>
    <cellStyle name="Normal 7 2 2 9" xfId="898"/>
    <cellStyle name="Normal 7 2 2 9 2" xfId="3428"/>
    <cellStyle name="Normal 7 2 2 9 2 2" xfId="8970"/>
    <cellStyle name="Normal 7 2 2 9 2 3" xfId="14509"/>
    <cellStyle name="Normal 7 2 2 9 3" xfId="4465"/>
    <cellStyle name="Normal 7 2 2 9 3 2" xfId="10004"/>
    <cellStyle name="Normal 7 2 2 9 3 3" xfId="15543"/>
    <cellStyle name="Normal 7 2 2 9 4" xfId="5400"/>
    <cellStyle name="Normal 7 2 2 9 4 2" xfId="10939"/>
    <cellStyle name="Normal 7 2 2 9 4 3" xfId="16478"/>
    <cellStyle name="Normal 7 2 2 9 5" xfId="2102"/>
    <cellStyle name="Normal 7 2 2 9 5 2" xfId="7648"/>
    <cellStyle name="Normal 7 2 2 9 5 3" xfId="13187"/>
    <cellStyle name="Normal 7 2 2 9 6" xfId="6443"/>
    <cellStyle name="Normal 7 2 2 9 7" xfId="11982"/>
    <cellStyle name="Normal 7 2 20" xfId="17554"/>
    <cellStyle name="Normal 7 2 3" xfId="379"/>
    <cellStyle name="Normal 7 2 3 10" xfId="1695"/>
    <cellStyle name="Normal 7 2 3 10 2" xfId="7241"/>
    <cellStyle name="Normal 7 2 3 10 3" xfId="12780"/>
    <cellStyle name="Normal 7 2 3 11" xfId="6036"/>
    <cellStyle name="Normal 7 2 3 11 2" xfId="17114"/>
    <cellStyle name="Normal 7 2 3 12" xfId="680"/>
    <cellStyle name="Normal 7 2 3 12 2" xfId="17276"/>
    <cellStyle name="Normal 7 2 3 13" xfId="11575"/>
    <cellStyle name="Normal 7 2 3 14" xfId="17443"/>
    <cellStyle name="Normal 7 2 3 15" xfId="17608"/>
    <cellStyle name="Normal 7 2 3 2" xfId="380"/>
    <cellStyle name="Normal 7 2 3 2 10" xfId="6126"/>
    <cellStyle name="Normal 7 2 3 2 10 2" xfId="17204"/>
    <cellStyle name="Normal 7 2 3 2 11" xfId="770"/>
    <cellStyle name="Normal 7 2 3 2 11 2" xfId="17366"/>
    <cellStyle name="Normal 7 2 3 2 12" xfId="11665"/>
    <cellStyle name="Normal 7 2 3 2 13" xfId="17533"/>
    <cellStyle name="Normal 7 2 3 2 14" xfId="17698"/>
    <cellStyle name="Normal 7 2 3 2 2" xfId="579"/>
    <cellStyle name="Normal 7 2 3 2 2 2" xfId="1420"/>
    <cellStyle name="Normal 7 2 3 2 2 2 2" xfId="3952"/>
    <cellStyle name="Normal 7 2 3 2 2 2 2 2" xfId="9494"/>
    <cellStyle name="Normal 7 2 3 2 2 2 2 3" xfId="15033"/>
    <cellStyle name="Normal 7 2 3 2 2 2 3" xfId="4989"/>
    <cellStyle name="Normal 7 2 3 2 2 2 3 2" xfId="10528"/>
    <cellStyle name="Normal 7 2 3 2 2 2 3 3" xfId="16067"/>
    <cellStyle name="Normal 7 2 3 2 2 2 4" xfId="5923"/>
    <cellStyle name="Normal 7 2 3 2 2 2 4 2" xfId="11462"/>
    <cellStyle name="Normal 7 2 3 2 2 2 4 3" xfId="17001"/>
    <cellStyle name="Normal 7 2 3 2 2 2 5" xfId="2625"/>
    <cellStyle name="Normal 7 2 3 2 2 2 5 2" xfId="8171"/>
    <cellStyle name="Normal 7 2 3 2 2 2 5 3" xfId="13710"/>
    <cellStyle name="Normal 7 2 3 2 2 2 6" xfId="6966"/>
    <cellStyle name="Normal 7 2 3 2 2 2 7" xfId="12505"/>
    <cellStyle name="Normal 7 2 3 2 2 3" xfId="1101"/>
    <cellStyle name="Normal 7 2 3 2 2 3 2" xfId="3631"/>
    <cellStyle name="Normal 7 2 3 2 2 3 2 2" xfId="9173"/>
    <cellStyle name="Normal 7 2 3 2 2 3 2 3" xfId="14712"/>
    <cellStyle name="Normal 7 2 3 2 2 3 3" xfId="4668"/>
    <cellStyle name="Normal 7 2 3 2 2 3 3 2" xfId="10207"/>
    <cellStyle name="Normal 7 2 3 2 2 3 3 3" xfId="15746"/>
    <cellStyle name="Normal 7 2 3 2 2 3 4" xfId="5603"/>
    <cellStyle name="Normal 7 2 3 2 2 3 4 2" xfId="11142"/>
    <cellStyle name="Normal 7 2 3 2 2 3 4 3" xfId="16681"/>
    <cellStyle name="Normal 7 2 3 2 2 3 5" xfId="2305"/>
    <cellStyle name="Normal 7 2 3 2 2 3 5 2" xfId="7851"/>
    <cellStyle name="Normal 7 2 3 2 2 3 5 3" xfId="13390"/>
    <cellStyle name="Normal 7 2 3 2 2 3 6" xfId="6646"/>
    <cellStyle name="Normal 7 2 3 2 2 3 7" xfId="12185"/>
    <cellStyle name="Normal 7 2 3 2 2 4" xfId="3238"/>
    <cellStyle name="Normal 7 2 3 2 2 4 2" xfId="8780"/>
    <cellStyle name="Normal 7 2 3 2 2 4 3" xfId="14319"/>
    <cellStyle name="Normal 7 2 3 2 2 5" xfId="4277"/>
    <cellStyle name="Normal 7 2 3 2 2 5 2" xfId="9816"/>
    <cellStyle name="Normal 7 2 3 2 2 5 3" xfId="15355"/>
    <cellStyle name="Normal 7 2 3 2 2 6" xfId="5238"/>
    <cellStyle name="Normal 7 2 3 2 2 6 2" xfId="10777"/>
    <cellStyle name="Normal 7 2 3 2 2 6 3" xfId="16316"/>
    <cellStyle name="Normal 7 2 3 2 2 7" xfId="1940"/>
    <cellStyle name="Normal 7 2 3 2 2 7 2" xfId="7486"/>
    <cellStyle name="Normal 7 2 3 2 2 7 3" xfId="13025"/>
    <cellStyle name="Normal 7 2 3 2 2 8" xfId="6281"/>
    <cellStyle name="Normal 7 2 3 2 2 9" xfId="11820"/>
    <cellStyle name="Normal 7 2 3 2 3" xfId="1278"/>
    <cellStyle name="Normal 7 2 3 2 3 2" xfId="3808"/>
    <cellStyle name="Normal 7 2 3 2 3 2 2" xfId="9350"/>
    <cellStyle name="Normal 7 2 3 2 3 2 3" xfId="14889"/>
    <cellStyle name="Normal 7 2 3 2 3 3" xfId="4845"/>
    <cellStyle name="Normal 7 2 3 2 3 3 2" xfId="10384"/>
    <cellStyle name="Normal 7 2 3 2 3 3 3" xfId="15923"/>
    <cellStyle name="Normal 7 2 3 2 3 4" xfId="5780"/>
    <cellStyle name="Normal 7 2 3 2 3 4 2" xfId="11319"/>
    <cellStyle name="Normal 7 2 3 2 3 4 3" xfId="16858"/>
    <cellStyle name="Normal 7 2 3 2 3 5" xfId="2482"/>
    <cellStyle name="Normal 7 2 3 2 3 5 2" xfId="8028"/>
    <cellStyle name="Normal 7 2 3 2 3 5 3" xfId="13567"/>
    <cellStyle name="Normal 7 2 3 2 3 6" xfId="6823"/>
    <cellStyle name="Normal 7 2 3 2 3 7" xfId="12362"/>
    <cellStyle name="Normal 7 2 3 2 4" xfId="908"/>
    <cellStyle name="Normal 7 2 3 2 4 2" xfId="3438"/>
    <cellStyle name="Normal 7 2 3 2 4 2 2" xfId="8980"/>
    <cellStyle name="Normal 7 2 3 2 4 2 3" xfId="14519"/>
    <cellStyle name="Normal 7 2 3 2 4 3" xfId="4475"/>
    <cellStyle name="Normal 7 2 3 2 4 3 2" xfId="10014"/>
    <cellStyle name="Normal 7 2 3 2 4 3 3" xfId="15553"/>
    <cellStyle name="Normal 7 2 3 2 4 4" xfId="5410"/>
    <cellStyle name="Normal 7 2 3 2 4 4 2" xfId="10949"/>
    <cellStyle name="Normal 7 2 3 2 4 4 3" xfId="16488"/>
    <cellStyle name="Normal 7 2 3 2 4 5" xfId="2112"/>
    <cellStyle name="Normal 7 2 3 2 4 5 2" xfId="7658"/>
    <cellStyle name="Normal 7 2 3 2 4 5 3" xfId="13197"/>
    <cellStyle name="Normal 7 2 3 2 4 6" xfId="6453"/>
    <cellStyle name="Normal 7 2 3 2 4 7" xfId="11992"/>
    <cellStyle name="Normal 7 2 3 2 5" xfId="1623"/>
    <cellStyle name="Normal 7 2 3 2 5 2" xfId="2828"/>
    <cellStyle name="Normal 7 2 3 2 5 2 2" xfId="8374"/>
    <cellStyle name="Normal 7 2 3 2 5 2 3" xfId="13913"/>
    <cellStyle name="Normal 7 2 3 2 5 3" xfId="7169"/>
    <cellStyle name="Normal 7 2 3 2 5 4" xfId="12708"/>
    <cellStyle name="Normal 7 2 3 2 6" xfId="3001"/>
    <cellStyle name="Normal 7 2 3 2 6 2" xfId="8545"/>
    <cellStyle name="Normal 7 2 3 2 6 3" xfId="14084"/>
    <cellStyle name="Normal 7 2 3 2 7" xfId="4046"/>
    <cellStyle name="Normal 7 2 3 2 7 2" xfId="9588"/>
    <cellStyle name="Normal 7 2 3 2 7 3" xfId="15127"/>
    <cellStyle name="Normal 7 2 3 2 8" xfId="5083"/>
    <cellStyle name="Normal 7 2 3 2 8 2" xfId="10622"/>
    <cellStyle name="Normal 7 2 3 2 8 3" xfId="16161"/>
    <cellStyle name="Normal 7 2 3 2 9" xfId="1785"/>
    <cellStyle name="Normal 7 2 3 2 9 2" xfId="7331"/>
    <cellStyle name="Normal 7 2 3 2 9 3" xfId="12870"/>
    <cellStyle name="Normal 7 2 3 3" xfId="578"/>
    <cellStyle name="Normal 7 2 3 3 2" xfId="1419"/>
    <cellStyle name="Normal 7 2 3 3 2 2" xfId="3951"/>
    <cellStyle name="Normal 7 2 3 3 2 2 2" xfId="9493"/>
    <cellStyle name="Normal 7 2 3 3 2 2 3" xfId="15032"/>
    <cellStyle name="Normal 7 2 3 3 2 3" xfId="4988"/>
    <cellStyle name="Normal 7 2 3 3 2 3 2" xfId="10527"/>
    <cellStyle name="Normal 7 2 3 3 2 3 3" xfId="16066"/>
    <cellStyle name="Normal 7 2 3 3 2 4" xfId="5922"/>
    <cellStyle name="Normal 7 2 3 3 2 4 2" xfId="11461"/>
    <cellStyle name="Normal 7 2 3 3 2 4 3" xfId="17000"/>
    <cellStyle name="Normal 7 2 3 3 2 5" xfId="2624"/>
    <cellStyle name="Normal 7 2 3 3 2 5 2" xfId="8170"/>
    <cellStyle name="Normal 7 2 3 3 2 5 3" xfId="13709"/>
    <cellStyle name="Normal 7 2 3 3 2 6" xfId="6965"/>
    <cellStyle name="Normal 7 2 3 3 2 7" xfId="12504"/>
    <cellStyle name="Normal 7 2 3 3 3" xfId="1011"/>
    <cellStyle name="Normal 7 2 3 3 3 2" xfId="3541"/>
    <cellStyle name="Normal 7 2 3 3 3 2 2" xfId="9083"/>
    <cellStyle name="Normal 7 2 3 3 3 2 3" xfId="14622"/>
    <cellStyle name="Normal 7 2 3 3 3 3" xfId="4578"/>
    <cellStyle name="Normal 7 2 3 3 3 3 2" xfId="10117"/>
    <cellStyle name="Normal 7 2 3 3 3 3 3" xfId="15656"/>
    <cellStyle name="Normal 7 2 3 3 3 4" xfId="5513"/>
    <cellStyle name="Normal 7 2 3 3 3 4 2" xfId="11052"/>
    <cellStyle name="Normal 7 2 3 3 3 4 3" xfId="16591"/>
    <cellStyle name="Normal 7 2 3 3 3 5" xfId="2215"/>
    <cellStyle name="Normal 7 2 3 3 3 5 2" xfId="7761"/>
    <cellStyle name="Normal 7 2 3 3 3 5 3" xfId="13300"/>
    <cellStyle name="Normal 7 2 3 3 3 6" xfId="6556"/>
    <cellStyle name="Normal 7 2 3 3 3 7" xfId="12095"/>
    <cellStyle name="Normal 7 2 3 3 4" xfId="3237"/>
    <cellStyle name="Normal 7 2 3 3 4 2" xfId="8779"/>
    <cellStyle name="Normal 7 2 3 3 4 3" xfId="14318"/>
    <cellStyle name="Normal 7 2 3 3 5" xfId="4276"/>
    <cellStyle name="Normal 7 2 3 3 5 2" xfId="9815"/>
    <cellStyle name="Normal 7 2 3 3 5 3" xfId="15354"/>
    <cellStyle name="Normal 7 2 3 3 6" xfId="5237"/>
    <cellStyle name="Normal 7 2 3 3 6 2" xfId="10776"/>
    <cellStyle name="Normal 7 2 3 3 6 3" xfId="16315"/>
    <cellStyle name="Normal 7 2 3 3 7" xfId="1939"/>
    <cellStyle name="Normal 7 2 3 3 7 2" xfId="7485"/>
    <cellStyle name="Normal 7 2 3 3 7 3" xfId="13024"/>
    <cellStyle name="Normal 7 2 3 3 8" xfId="6280"/>
    <cellStyle name="Normal 7 2 3 3 9" xfId="11819"/>
    <cellStyle name="Normal 7 2 3 4" xfId="1188"/>
    <cellStyle name="Normal 7 2 3 4 2" xfId="3718"/>
    <cellStyle name="Normal 7 2 3 4 2 2" xfId="9260"/>
    <cellStyle name="Normal 7 2 3 4 2 3" xfId="14799"/>
    <cellStyle name="Normal 7 2 3 4 3" xfId="4755"/>
    <cellStyle name="Normal 7 2 3 4 3 2" xfId="10294"/>
    <cellStyle name="Normal 7 2 3 4 3 3" xfId="15833"/>
    <cellStyle name="Normal 7 2 3 4 4" xfId="5690"/>
    <cellStyle name="Normal 7 2 3 4 4 2" xfId="11229"/>
    <cellStyle name="Normal 7 2 3 4 4 3" xfId="16768"/>
    <cellStyle name="Normal 7 2 3 4 5" xfId="2392"/>
    <cellStyle name="Normal 7 2 3 4 5 2" xfId="7938"/>
    <cellStyle name="Normal 7 2 3 4 5 3" xfId="13477"/>
    <cellStyle name="Normal 7 2 3 4 6" xfId="6733"/>
    <cellStyle name="Normal 7 2 3 4 7" xfId="12272"/>
    <cellStyle name="Normal 7 2 3 5" xfId="907"/>
    <cellStyle name="Normal 7 2 3 5 2" xfId="3437"/>
    <cellStyle name="Normal 7 2 3 5 2 2" xfId="8979"/>
    <cellStyle name="Normal 7 2 3 5 2 3" xfId="14518"/>
    <cellStyle name="Normal 7 2 3 5 3" xfId="4474"/>
    <cellStyle name="Normal 7 2 3 5 3 2" xfId="10013"/>
    <cellStyle name="Normal 7 2 3 5 3 3" xfId="15552"/>
    <cellStyle name="Normal 7 2 3 5 4" xfId="5409"/>
    <cellStyle name="Normal 7 2 3 5 4 2" xfId="10948"/>
    <cellStyle name="Normal 7 2 3 5 4 3" xfId="16487"/>
    <cellStyle name="Normal 7 2 3 5 5" xfId="2111"/>
    <cellStyle name="Normal 7 2 3 5 5 2" xfId="7657"/>
    <cellStyle name="Normal 7 2 3 5 5 3" xfId="13196"/>
    <cellStyle name="Normal 7 2 3 5 6" xfId="6452"/>
    <cellStyle name="Normal 7 2 3 5 7" xfId="11991"/>
    <cellStyle name="Normal 7 2 3 6" xfId="1533"/>
    <cellStyle name="Normal 7 2 3 6 2" xfId="2738"/>
    <cellStyle name="Normal 7 2 3 6 2 2" xfId="8284"/>
    <cellStyle name="Normal 7 2 3 6 2 3" xfId="13823"/>
    <cellStyle name="Normal 7 2 3 6 3" xfId="7079"/>
    <cellStyle name="Normal 7 2 3 6 4" xfId="12618"/>
    <cellStyle name="Normal 7 2 3 7" xfId="2911"/>
    <cellStyle name="Normal 7 2 3 7 2" xfId="8455"/>
    <cellStyle name="Normal 7 2 3 7 3" xfId="13994"/>
    <cellStyle name="Normal 7 2 3 8" xfId="3089"/>
    <cellStyle name="Normal 7 2 3 8 2" xfId="8632"/>
    <cellStyle name="Normal 7 2 3 8 3" xfId="14171"/>
    <cellStyle name="Normal 7 2 3 9" xfId="4132"/>
    <cellStyle name="Normal 7 2 3 9 2" xfId="9673"/>
    <cellStyle name="Normal 7 2 3 9 3" xfId="15212"/>
    <cellStyle name="Normal 7 2 4" xfId="381"/>
    <cellStyle name="Normal 7 2 4 10" xfId="1677"/>
    <cellStyle name="Normal 7 2 4 10 2" xfId="7223"/>
    <cellStyle name="Normal 7 2 4 10 3" xfId="12762"/>
    <cellStyle name="Normal 7 2 4 11" xfId="6018"/>
    <cellStyle name="Normal 7 2 4 11 2" xfId="17096"/>
    <cellStyle name="Normal 7 2 4 12" xfId="662"/>
    <cellStyle name="Normal 7 2 4 12 2" xfId="17258"/>
    <cellStyle name="Normal 7 2 4 13" xfId="11557"/>
    <cellStyle name="Normal 7 2 4 14" xfId="17425"/>
    <cellStyle name="Normal 7 2 4 15" xfId="17590"/>
    <cellStyle name="Normal 7 2 4 2" xfId="382"/>
    <cellStyle name="Normal 7 2 4 2 10" xfId="6108"/>
    <cellStyle name="Normal 7 2 4 2 10 2" xfId="17186"/>
    <cellStyle name="Normal 7 2 4 2 11" xfId="752"/>
    <cellStyle name="Normal 7 2 4 2 11 2" xfId="17348"/>
    <cellStyle name="Normal 7 2 4 2 12" xfId="11647"/>
    <cellStyle name="Normal 7 2 4 2 13" xfId="17515"/>
    <cellStyle name="Normal 7 2 4 2 14" xfId="17680"/>
    <cellStyle name="Normal 7 2 4 2 2" xfId="581"/>
    <cellStyle name="Normal 7 2 4 2 2 2" xfId="1422"/>
    <cellStyle name="Normal 7 2 4 2 2 2 2" xfId="3954"/>
    <cellStyle name="Normal 7 2 4 2 2 2 2 2" xfId="9496"/>
    <cellStyle name="Normal 7 2 4 2 2 2 2 3" xfId="15035"/>
    <cellStyle name="Normal 7 2 4 2 2 2 3" xfId="4991"/>
    <cellStyle name="Normal 7 2 4 2 2 2 3 2" xfId="10530"/>
    <cellStyle name="Normal 7 2 4 2 2 2 3 3" xfId="16069"/>
    <cellStyle name="Normal 7 2 4 2 2 2 4" xfId="5925"/>
    <cellStyle name="Normal 7 2 4 2 2 2 4 2" xfId="11464"/>
    <cellStyle name="Normal 7 2 4 2 2 2 4 3" xfId="17003"/>
    <cellStyle name="Normal 7 2 4 2 2 2 5" xfId="2627"/>
    <cellStyle name="Normal 7 2 4 2 2 2 5 2" xfId="8173"/>
    <cellStyle name="Normal 7 2 4 2 2 2 5 3" xfId="13712"/>
    <cellStyle name="Normal 7 2 4 2 2 2 6" xfId="6968"/>
    <cellStyle name="Normal 7 2 4 2 2 2 7" xfId="12507"/>
    <cellStyle name="Normal 7 2 4 2 2 3" xfId="1083"/>
    <cellStyle name="Normal 7 2 4 2 2 3 2" xfId="3613"/>
    <cellStyle name="Normal 7 2 4 2 2 3 2 2" xfId="9155"/>
    <cellStyle name="Normal 7 2 4 2 2 3 2 3" xfId="14694"/>
    <cellStyle name="Normal 7 2 4 2 2 3 3" xfId="4650"/>
    <cellStyle name="Normal 7 2 4 2 2 3 3 2" xfId="10189"/>
    <cellStyle name="Normal 7 2 4 2 2 3 3 3" xfId="15728"/>
    <cellStyle name="Normal 7 2 4 2 2 3 4" xfId="5585"/>
    <cellStyle name="Normal 7 2 4 2 2 3 4 2" xfId="11124"/>
    <cellStyle name="Normal 7 2 4 2 2 3 4 3" xfId="16663"/>
    <cellStyle name="Normal 7 2 4 2 2 3 5" xfId="2287"/>
    <cellStyle name="Normal 7 2 4 2 2 3 5 2" xfId="7833"/>
    <cellStyle name="Normal 7 2 4 2 2 3 5 3" xfId="13372"/>
    <cellStyle name="Normal 7 2 4 2 2 3 6" xfId="6628"/>
    <cellStyle name="Normal 7 2 4 2 2 3 7" xfId="12167"/>
    <cellStyle name="Normal 7 2 4 2 2 4" xfId="3240"/>
    <cellStyle name="Normal 7 2 4 2 2 4 2" xfId="8782"/>
    <cellStyle name="Normal 7 2 4 2 2 4 3" xfId="14321"/>
    <cellStyle name="Normal 7 2 4 2 2 5" xfId="4279"/>
    <cellStyle name="Normal 7 2 4 2 2 5 2" xfId="9818"/>
    <cellStyle name="Normal 7 2 4 2 2 5 3" xfId="15357"/>
    <cellStyle name="Normal 7 2 4 2 2 6" xfId="5240"/>
    <cellStyle name="Normal 7 2 4 2 2 6 2" xfId="10779"/>
    <cellStyle name="Normal 7 2 4 2 2 6 3" xfId="16318"/>
    <cellStyle name="Normal 7 2 4 2 2 7" xfId="1942"/>
    <cellStyle name="Normal 7 2 4 2 2 7 2" xfId="7488"/>
    <cellStyle name="Normal 7 2 4 2 2 7 3" xfId="13027"/>
    <cellStyle name="Normal 7 2 4 2 2 8" xfId="6283"/>
    <cellStyle name="Normal 7 2 4 2 2 9" xfId="11822"/>
    <cellStyle name="Normal 7 2 4 2 3" xfId="1260"/>
    <cellStyle name="Normal 7 2 4 2 3 2" xfId="3790"/>
    <cellStyle name="Normal 7 2 4 2 3 2 2" xfId="9332"/>
    <cellStyle name="Normal 7 2 4 2 3 2 3" xfId="14871"/>
    <cellStyle name="Normal 7 2 4 2 3 3" xfId="4827"/>
    <cellStyle name="Normal 7 2 4 2 3 3 2" xfId="10366"/>
    <cellStyle name="Normal 7 2 4 2 3 3 3" xfId="15905"/>
    <cellStyle name="Normal 7 2 4 2 3 4" xfId="5762"/>
    <cellStyle name="Normal 7 2 4 2 3 4 2" xfId="11301"/>
    <cellStyle name="Normal 7 2 4 2 3 4 3" xfId="16840"/>
    <cellStyle name="Normal 7 2 4 2 3 5" xfId="2464"/>
    <cellStyle name="Normal 7 2 4 2 3 5 2" xfId="8010"/>
    <cellStyle name="Normal 7 2 4 2 3 5 3" xfId="13549"/>
    <cellStyle name="Normal 7 2 4 2 3 6" xfId="6805"/>
    <cellStyle name="Normal 7 2 4 2 3 7" xfId="12344"/>
    <cellStyle name="Normal 7 2 4 2 4" xfId="910"/>
    <cellStyle name="Normal 7 2 4 2 4 2" xfId="3440"/>
    <cellStyle name="Normal 7 2 4 2 4 2 2" xfId="8982"/>
    <cellStyle name="Normal 7 2 4 2 4 2 3" xfId="14521"/>
    <cellStyle name="Normal 7 2 4 2 4 3" xfId="4477"/>
    <cellStyle name="Normal 7 2 4 2 4 3 2" xfId="10016"/>
    <cellStyle name="Normal 7 2 4 2 4 3 3" xfId="15555"/>
    <cellStyle name="Normal 7 2 4 2 4 4" xfId="5412"/>
    <cellStyle name="Normal 7 2 4 2 4 4 2" xfId="10951"/>
    <cellStyle name="Normal 7 2 4 2 4 4 3" xfId="16490"/>
    <cellStyle name="Normal 7 2 4 2 4 5" xfId="2114"/>
    <cellStyle name="Normal 7 2 4 2 4 5 2" xfId="7660"/>
    <cellStyle name="Normal 7 2 4 2 4 5 3" xfId="13199"/>
    <cellStyle name="Normal 7 2 4 2 4 6" xfId="6455"/>
    <cellStyle name="Normal 7 2 4 2 4 7" xfId="11994"/>
    <cellStyle name="Normal 7 2 4 2 5" xfId="1605"/>
    <cellStyle name="Normal 7 2 4 2 5 2" xfId="2810"/>
    <cellStyle name="Normal 7 2 4 2 5 2 2" xfId="8356"/>
    <cellStyle name="Normal 7 2 4 2 5 2 3" xfId="13895"/>
    <cellStyle name="Normal 7 2 4 2 5 3" xfId="7151"/>
    <cellStyle name="Normal 7 2 4 2 5 4" xfId="12690"/>
    <cellStyle name="Normal 7 2 4 2 6" xfId="2983"/>
    <cellStyle name="Normal 7 2 4 2 6 2" xfId="8527"/>
    <cellStyle name="Normal 7 2 4 2 6 3" xfId="14066"/>
    <cellStyle name="Normal 7 2 4 2 7" xfId="4028"/>
    <cellStyle name="Normal 7 2 4 2 7 2" xfId="9570"/>
    <cellStyle name="Normal 7 2 4 2 7 3" xfId="15109"/>
    <cellStyle name="Normal 7 2 4 2 8" xfId="5065"/>
    <cellStyle name="Normal 7 2 4 2 8 2" xfId="10604"/>
    <cellStyle name="Normal 7 2 4 2 8 3" xfId="16143"/>
    <cellStyle name="Normal 7 2 4 2 9" xfId="1767"/>
    <cellStyle name="Normal 7 2 4 2 9 2" xfId="7313"/>
    <cellStyle name="Normal 7 2 4 2 9 3" xfId="12852"/>
    <cellStyle name="Normal 7 2 4 3" xfId="580"/>
    <cellStyle name="Normal 7 2 4 3 2" xfId="1421"/>
    <cellStyle name="Normal 7 2 4 3 2 2" xfId="3953"/>
    <cellStyle name="Normal 7 2 4 3 2 2 2" xfId="9495"/>
    <cellStyle name="Normal 7 2 4 3 2 2 3" xfId="15034"/>
    <cellStyle name="Normal 7 2 4 3 2 3" xfId="4990"/>
    <cellStyle name="Normal 7 2 4 3 2 3 2" xfId="10529"/>
    <cellStyle name="Normal 7 2 4 3 2 3 3" xfId="16068"/>
    <cellStyle name="Normal 7 2 4 3 2 4" xfId="5924"/>
    <cellStyle name="Normal 7 2 4 3 2 4 2" xfId="11463"/>
    <cellStyle name="Normal 7 2 4 3 2 4 3" xfId="17002"/>
    <cellStyle name="Normal 7 2 4 3 2 5" xfId="2626"/>
    <cellStyle name="Normal 7 2 4 3 2 5 2" xfId="8172"/>
    <cellStyle name="Normal 7 2 4 3 2 5 3" xfId="13711"/>
    <cellStyle name="Normal 7 2 4 3 2 6" xfId="6967"/>
    <cellStyle name="Normal 7 2 4 3 2 7" xfId="12506"/>
    <cellStyle name="Normal 7 2 4 3 3" xfId="993"/>
    <cellStyle name="Normal 7 2 4 3 3 2" xfId="3523"/>
    <cellStyle name="Normal 7 2 4 3 3 2 2" xfId="9065"/>
    <cellStyle name="Normal 7 2 4 3 3 2 3" xfId="14604"/>
    <cellStyle name="Normal 7 2 4 3 3 3" xfId="4560"/>
    <cellStyle name="Normal 7 2 4 3 3 3 2" xfId="10099"/>
    <cellStyle name="Normal 7 2 4 3 3 3 3" xfId="15638"/>
    <cellStyle name="Normal 7 2 4 3 3 4" xfId="5495"/>
    <cellStyle name="Normal 7 2 4 3 3 4 2" xfId="11034"/>
    <cellStyle name="Normal 7 2 4 3 3 4 3" xfId="16573"/>
    <cellStyle name="Normal 7 2 4 3 3 5" xfId="2197"/>
    <cellStyle name="Normal 7 2 4 3 3 5 2" xfId="7743"/>
    <cellStyle name="Normal 7 2 4 3 3 5 3" xfId="13282"/>
    <cellStyle name="Normal 7 2 4 3 3 6" xfId="6538"/>
    <cellStyle name="Normal 7 2 4 3 3 7" xfId="12077"/>
    <cellStyle name="Normal 7 2 4 3 4" xfId="3239"/>
    <cellStyle name="Normal 7 2 4 3 4 2" xfId="8781"/>
    <cellStyle name="Normal 7 2 4 3 4 3" xfId="14320"/>
    <cellStyle name="Normal 7 2 4 3 5" xfId="4278"/>
    <cellStyle name="Normal 7 2 4 3 5 2" xfId="9817"/>
    <cellStyle name="Normal 7 2 4 3 5 3" xfId="15356"/>
    <cellStyle name="Normal 7 2 4 3 6" xfId="5239"/>
    <cellStyle name="Normal 7 2 4 3 6 2" xfId="10778"/>
    <cellStyle name="Normal 7 2 4 3 6 3" xfId="16317"/>
    <cellStyle name="Normal 7 2 4 3 7" xfId="1941"/>
    <cellStyle name="Normal 7 2 4 3 7 2" xfId="7487"/>
    <cellStyle name="Normal 7 2 4 3 7 3" xfId="13026"/>
    <cellStyle name="Normal 7 2 4 3 8" xfId="6282"/>
    <cellStyle name="Normal 7 2 4 3 9" xfId="11821"/>
    <cellStyle name="Normal 7 2 4 4" xfId="1170"/>
    <cellStyle name="Normal 7 2 4 4 2" xfId="3700"/>
    <cellStyle name="Normal 7 2 4 4 2 2" xfId="9242"/>
    <cellStyle name="Normal 7 2 4 4 2 3" xfId="14781"/>
    <cellStyle name="Normal 7 2 4 4 3" xfId="4737"/>
    <cellStyle name="Normal 7 2 4 4 3 2" xfId="10276"/>
    <cellStyle name="Normal 7 2 4 4 3 3" xfId="15815"/>
    <cellStyle name="Normal 7 2 4 4 4" xfId="5672"/>
    <cellStyle name="Normal 7 2 4 4 4 2" xfId="11211"/>
    <cellStyle name="Normal 7 2 4 4 4 3" xfId="16750"/>
    <cellStyle name="Normal 7 2 4 4 5" xfId="2374"/>
    <cellStyle name="Normal 7 2 4 4 5 2" xfId="7920"/>
    <cellStyle name="Normal 7 2 4 4 5 3" xfId="13459"/>
    <cellStyle name="Normal 7 2 4 4 6" xfId="6715"/>
    <cellStyle name="Normal 7 2 4 4 7" xfId="12254"/>
    <cellStyle name="Normal 7 2 4 5" xfId="909"/>
    <cellStyle name="Normal 7 2 4 5 2" xfId="3439"/>
    <cellStyle name="Normal 7 2 4 5 2 2" xfId="8981"/>
    <cellStyle name="Normal 7 2 4 5 2 3" xfId="14520"/>
    <cellStyle name="Normal 7 2 4 5 3" xfId="4476"/>
    <cellStyle name="Normal 7 2 4 5 3 2" xfId="10015"/>
    <cellStyle name="Normal 7 2 4 5 3 3" xfId="15554"/>
    <cellStyle name="Normal 7 2 4 5 4" xfId="5411"/>
    <cellStyle name="Normal 7 2 4 5 4 2" xfId="10950"/>
    <cellStyle name="Normal 7 2 4 5 4 3" xfId="16489"/>
    <cellStyle name="Normal 7 2 4 5 5" xfId="2113"/>
    <cellStyle name="Normal 7 2 4 5 5 2" xfId="7659"/>
    <cellStyle name="Normal 7 2 4 5 5 3" xfId="13198"/>
    <cellStyle name="Normal 7 2 4 5 6" xfId="6454"/>
    <cellStyle name="Normal 7 2 4 5 7" xfId="11993"/>
    <cellStyle name="Normal 7 2 4 6" xfId="1515"/>
    <cellStyle name="Normal 7 2 4 6 2" xfId="2720"/>
    <cellStyle name="Normal 7 2 4 6 2 2" xfId="8266"/>
    <cellStyle name="Normal 7 2 4 6 2 3" xfId="13805"/>
    <cellStyle name="Normal 7 2 4 6 3" xfId="7061"/>
    <cellStyle name="Normal 7 2 4 6 4" xfId="12600"/>
    <cellStyle name="Normal 7 2 4 7" xfId="2893"/>
    <cellStyle name="Normal 7 2 4 7 2" xfId="8437"/>
    <cellStyle name="Normal 7 2 4 7 3" xfId="13976"/>
    <cellStyle name="Normal 7 2 4 8" xfId="3308"/>
    <cellStyle name="Normal 7 2 4 8 2" xfId="8850"/>
    <cellStyle name="Normal 7 2 4 8 3" xfId="14389"/>
    <cellStyle name="Normal 7 2 4 9" xfId="4345"/>
    <cellStyle name="Normal 7 2 4 9 2" xfId="9884"/>
    <cellStyle name="Normal 7 2 4 9 3" xfId="15423"/>
    <cellStyle name="Normal 7 2 5" xfId="383"/>
    <cellStyle name="Normal 7 2 5 10" xfId="1713"/>
    <cellStyle name="Normal 7 2 5 10 2" xfId="7259"/>
    <cellStyle name="Normal 7 2 5 10 3" xfId="12798"/>
    <cellStyle name="Normal 7 2 5 11" xfId="6054"/>
    <cellStyle name="Normal 7 2 5 11 2" xfId="17132"/>
    <cellStyle name="Normal 7 2 5 12" xfId="698"/>
    <cellStyle name="Normal 7 2 5 12 2" xfId="17294"/>
    <cellStyle name="Normal 7 2 5 13" xfId="11593"/>
    <cellStyle name="Normal 7 2 5 14" xfId="17461"/>
    <cellStyle name="Normal 7 2 5 15" xfId="17626"/>
    <cellStyle name="Normal 7 2 5 2" xfId="384"/>
    <cellStyle name="Normal 7 2 5 2 10" xfId="6090"/>
    <cellStyle name="Normal 7 2 5 2 10 2" xfId="17168"/>
    <cellStyle name="Normal 7 2 5 2 11" xfId="734"/>
    <cellStyle name="Normal 7 2 5 2 11 2" xfId="17330"/>
    <cellStyle name="Normal 7 2 5 2 12" xfId="11629"/>
    <cellStyle name="Normal 7 2 5 2 13" xfId="17497"/>
    <cellStyle name="Normal 7 2 5 2 14" xfId="17662"/>
    <cellStyle name="Normal 7 2 5 2 2" xfId="583"/>
    <cellStyle name="Normal 7 2 5 2 2 2" xfId="1424"/>
    <cellStyle name="Normal 7 2 5 2 2 2 2" xfId="3956"/>
    <cellStyle name="Normal 7 2 5 2 2 2 2 2" xfId="9498"/>
    <cellStyle name="Normal 7 2 5 2 2 2 2 3" xfId="15037"/>
    <cellStyle name="Normal 7 2 5 2 2 2 3" xfId="4993"/>
    <cellStyle name="Normal 7 2 5 2 2 2 3 2" xfId="10532"/>
    <cellStyle name="Normal 7 2 5 2 2 2 3 3" xfId="16071"/>
    <cellStyle name="Normal 7 2 5 2 2 2 4" xfId="5927"/>
    <cellStyle name="Normal 7 2 5 2 2 2 4 2" xfId="11466"/>
    <cellStyle name="Normal 7 2 5 2 2 2 4 3" xfId="17005"/>
    <cellStyle name="Normal 7 2 5 2 2 2 5" xfId="2629"/>
    <cellStyle name="Normal 7 2 5 2 2 2 5 2" xfId="8175"/>
    <cellStyle name="Normal 7 2 5 2 2 2 5 3" xfId="13714"/>
    <cellStyle name="Normal 7 2 5 2 2 2 6" xfId="6970"/>
    <cellStyle name="Normal 7 2 5 2 2 2 7" xfId="12509"/>
    <cellStyle name="Normal 7 2 5 2 2 3" xfId="1065"/>
    <cellStyle name="Normal 7 2 5 2 2 3 2" xfId="3595"/>
    <cellStyle name="Normal 7 2 5 2 2 3 2 2" xfId="9137"/>
    <cellStyle name="Normal 7 2 5 2 2 3 2 3" xfId="14676"/>
    <cellStyle name="Normal 7 2 5 2 2 3 3" xfId="4632"/>
    <cellStyle name="Normal 7 2 5 2 2 3 3 2" xfId="10171"/>
    <cellStyle name="Normal 7 2 5 2 2 3 3 3" xfId="15710"/>
    <cellStyle name="Normal 7 2 5 2 2 3 4" xfId="5567"/>
    <cellStyle name="Normal 7 2 5 2 2 3 4 2" xfId="11106"/>
    <cellStyle name="Normal 7 2 5 2 2 3 4 3" xfId="16645"/>
    <cellStyle name="Normal 7 2 5 2 2 3 5" xfId="2269"/>
    <cellStyle name="Normal 7 2 5 2 2 3 5 2" xfId="7815"/>
    <cellStyle name="Normal 7 2 5 2 2 3 5 3" xfId="13354"/>
    <cellStyle name="Normal 7 2 5 2 2 3 6" xfId="6610"/>
    <cellStyle name="Normal 7 2 5 2 2 3 7" xfId="12149"/>
    <cellStyle name="Normal 7 2 5 2 2 4" xfId="3242"/>
    <cellStyle name="Normal 7 2 5 2 2 4 2" xfId="8784"/>
    <cellStyle name="Normal 7 2 5 2 2 4 3" xfId="14323"/>
    <cellStyle name="Normal 7 2 5 2 2 5" xfId="4281"/>
    <cellStyle name="Normal 7 2 5 2 2 5 2" xfId="9820"/>
    <cellStyle name="Normal 7 2 5 2 2 5 3" xfId="15359"/>
    <cellStyle name="Normal 7 2 5 2 2 6" xfId="5242"/>
    <cellStyle name="Normal 7 2 5 2 2 6 2" xfId="10781"/>
    <cellStyle name="Normal 7 2 5 2 2 6 3" xfId="16320"/>
    <cellStyle name="Normal 7 2 5 2 2 7" xfId="1944"/>
    <cellStyle name="Normal 7 2 5 2 2 7 2" xfId="7490"/>
    <cellStyle name="Normal 7 2 5 2 2 7 3" xfId="13029"/>
    <cellStyle name="Normal 7 2 5 2 2 8" xfId="6285"/>
    <cellStyle name="Normal 7 2 5 2 2 9" xfId="11824"/>
    <cellStyle name="Normal 7 2 5 2 3" xfId="1242"/>
    <cellStyle name="Normal 7 2 5 2 3 2" xfId="3772"/>
    <cellStyle name="Normal 7 2 5 2 3 2 2" xfId="9314"/>
    <cellStyle name="Normal 7 2 5 2 3 2 3" xfId="14853"/>
    <cellStyle name="Normal 7 2 5 2 3 3" xfId="4809"/>
    <cellStyle name="Normal 7 2 5 2 3 3 2" xfId="10348"/>
    <cellStyle name="Normal 7 2 5 2 3 3 3" xfId="15887"/>
    <cellStyle name="Normal 7 2 5 2 3 4" xfId="5744"/>
    <cellStyle name="Normal 7 2 5 2 3 4 2" xfId="11283"/>
    <cellStyle name="Normal 7 2 5 2 3 4 3" xfId="16822"/>
    <cellStyle name="Normal 7 2 5 2 3 5" xfId="2446"/>
    <cellStyle name="Normal 7 2 5 2 3 5 2" xfId="7992"/>
    <cellStyle name="Normal 7 2 5 2 3 5 3" xfId="13531"/>
    <cellStyle name="Normal 7 2 5 2 3 6" xfId="6787"/>
    <cellStyle name="Normal 7 2 5 2 3 7" xfId="12326"/>
    <cellStyle name="Normal 7 2 5 2 4" xfId="912"/>
    <cellStyle name="Normal 7 2 5 2 4 2" xfId="3442"/>
    <cellStyle name="Normal 7 2 5 2 4 2 2" xfId="8984"/>
    <cellStyle name="Normal 7 2 5 2 4 2 3" xfId="14523"/>
    <cellStyle name="Normal 7 2 5 2 4 3" xfId="4479"/>
    <cellStyle name="Normal 7 2 5 2 4 3 2" xfId="10018"/>
    <cellStyle name="Normal 7 2 5 2 4 3 3" xfId="15557"/>
    <cellStyle name="Normal 7 2 5 2 4 4" xfId="5414"/>
    <cellStyle name="Normal 7 2 5 2 4 4 2" xfId="10953"/>
    <cellStyle name="Normal 7 2 5 2 4 4 3" xfId="16492"/>
    <cellStyle name="Normal 7 2 5 2 4 5" xfId="2116"/>
    <cellStyle name="Normal 7 2 5 2 4 5 2" xfId="7662"/>
    <cellStyle name="Normal 7 2 5 2 4 5 3" xfId="13201"/>
    <cellStyle name="Normal 7 2 5 2 4 6" xfId="6457"/>
    <cellStyle name="Normal 7 2 5 2 4 7" xfId="11996"/>
    <cellStyle name="Normal 7 2 5 2 5" xfId="1587"/>
    <cellStyle name="Normal 7 2 5 2 5 2" xfId="2792"/>
    <cellStyle name="Normal 7 2 5 2 5 2 2" xfId="8338"/>
    <cellStyle name="Normal 7 2 5 2 5 2 3" xfId="13877"/>
    <cellStyle name="Normal 7 2 5 2 5 3" xfId="7133"/>
    <cellStyle name="Normal 7 2 5 2 5 4" xfId="12672"/>
    <cellStyle name="Normal 7 2 5 2 6" xfId="2965"/>
    <cellStyle name="Normal 7 2 5 2 6 2" xfId="8509"/>
    <cellStyle name="Normal 7 2 5 2 6 3" xfId="14048"/>
    <cellStyle name="Normal 7 2 5 2 7" xfId="4010"/>
    <cellStyle name="Normal 7 2 5 2 7 2" xfId="9552"/>
    <cellStyle name="Normal 7 2 5 2 7 3" xfId="15091"/>
    <cellStyle name="Normal 7 2 5 2 8" xfId="5047"/>
    <cellStyle name="Normal 7 2 5 2 8 2" xfId="10586"/>
    <cellStyle name="Normal 7 2 5 2 8 3" xfId="16125"/>
    <cellStyle name="Normal 7 2 5 2 9" xfId="1749"/>
    <cellStyle name="Normal 7 2 5 2 9 2" xfId="7295"/>
    <cellStyle name="Normal 7 2 5 2 9 3" xfId="12834"/>
    <cellStyle name="Normal 7 2 5 3" xfId="582"/>
    <cellStyle name="Normal 7 2 5 3 2" xfId="1423"/>
    <cellStyle name="Normal 7 2 5 3 2 2" xfId="3955"/>
    <cellStyle name="Normal 7 2 5 3 2 2 2" xfId="9497"/>
    <cellStyle name="Normal 7 2 5 3 2 2 3" xfId="15036"/>
    <cellStyle name="Normal 7 2 5 3 2 3" xfId="4992"/>
    <cellStyle name="Normal 7 2 5 3 2 3 2" xfId="10531"/>
    <cellStyle name="Normal 7 2 5 3 2 3 3" xfId="16070"/>
    <cellStyle name="Normal 7 2 5 3 2 4" xfId="5926"/>
    <cellStyle name="Normal 7 2 5 3 2 4 2" xfId="11465"/>
    <cellStyle name="Normal 7 2 5 3 2 4 3" xfId="17004"/>
    <cellStyle name="Normal 7 2 5 3 2 5" xfId="2628"/>
    <cellStyle name="Normal 7 2 5 3 2 5 2" xfId="8174"/>
    <cellStyle name="Normal 7 2 5 3 2 5 3" xfId="13713"/>
    <cellStyle name="Normal 7 2 5 3 2 6" xfId="6969"/>
    <cellStyle name="Normal 7 2 5 3 2 7" xfId="12508"/>
    <cellStyle name="Normal 7 2 5 3 3" xfId="1029"/>
    <cellStyle name="Normal 7 2 5 3 3 2" xfId="3559"/>
    <cellStyle name="Normal 7 2 5 3 3 2 2" xfId="9101"/>
    <cellStyle name="Normal 7 2 5 3 3 2 3" xfId="14640"/>
    <cellStyle name="Normal 7 2 5 3 3 3" xfId="4596"/>
    <cellStyle name="Normal 7 2 5 3 3 3 2" xfId="10135"/>
    <cellStyle name="Normal 7 2 5 3 3 3 3" xfId="15674"/>
    <cellStyle name="Normal 7 2 5 3 3 4" xfId="5531"/>
    <cellStyle name="Normal 7 2 5 3 3 4 2" xfId="11070"/>
    <cellStyle name="Normal 7 2 5 3 3 4 3" xfId="16609"/>
    <cellStyle name="Normal 7 2 5 3 3 5" xfId="2233"/>
    <cellStyle name="Normal 7 2 5 3 3 5 2" xfId="7779"/>
    <cellStyle name="Normal 7 2 5 3 3 5 3" xfId="13318"/>
    <cellStyle name="Normal 7 2 5 3 3 6" xfId="6574"/>
    <cellStyle name="Normal 7 2 5 3 3 7" xfId="12113"/>
    <cellStyle name="Normal 7 2 5 3 4" xfId="3241"/>
    <cellStyle name="Normal 7 2 5 3 4 2" xfId="8783"/>
    <cellStyle name="Normal 7 2 5 3 4 3" xfId="14322"/>
    <cellStyle name="Normal 7 2 5 3 5" xfId="4280"/>
    <cellStyle name="Normal 7 2 5 3 5 2" xfId="9819"/>
    <cellStyle name="Normal 7 2 5 3 5 3" xfId="15358"/>
    <cellStyle name="Normal 7 2 5 3 6" xfId="5241"/>
    <cellStyle name="Normal 7 2 5 3 6 2" xfId="10780"/>
    <cellStyle name="Normal 7 2 5 3 6 3" xfId="16319"/>
    <cellStyle name="Normal 7 2 5 3 7" xfId="1943"/>
    <cellStyle name="Normal 7 2 5 3 7 2" xfId="7489"/>
    <cellStyle name="Normal 7 2 5 3 7 3" xfId="13028"/>
    <cellStyle name="Normal 7 2 5 3 8" xfId="6284"/>
    <cellStyle name="Normal 7 2 5 3 9" xfId="11823"/>
    <cellStyle name="Normal 7 2 5 4" xfId="1206"/>
    <cellStyle name="Normal 7 2 5 4 2" xfId="3736"/>
    <cellStyle name="Normal 7 2 5 4 2 2" xfId="9278"/>
    <cellStyle name="Normal 7 2 5 4 2 3" xfId="14817"/>
    <cellStyle name="Normal 7 2 5 4 3" xfId="4773"/>
    <cellStyle name="Normal 7 2 5 4 3 2" xfId="10312"/>
    <cellStyle name="Normal 7 2 5 4 3 3" xfId="15851"/>
    <cellStyle name="Normal 7 2 5 4 4" xfId="5708"/>
    <cellStyle name="Normal 7 2 5 4 4 2" xfId="11247"/>
    <cellStyle name="Normal 7 2 5 4 4 3" xfId="16786"/>
    <cellStyle name="Normal 7 2 5 4 5" xfId="2410"/>
    <cellStyle name="Normal 7 2 5 4 5 2" xfId="7956"/>
    <cellStyle name="Normal 7 2 5 4 5 3" xfId="13495"/>
    <cellStyle name="Normal 7 2 5 4 6" xfId="6751"/>
    <cellStyle name="Normal 7 2 5 4 7" xfId="12290"/>
    <cellStyle name="Normal 7 2 5 5" xfId="911"/>
    <cellStyle name="Normal 7 2 5 5 2" xfId="3441"/>
    <cellStyle name="Normal 7 2 5 5 2 2" xfId="8983"/>
    <cellStyle name="Normal 7 2 5 5 2 3" xfId="14522"/>
    <cellStyle name="Normal 7 2 5 5 3" xfId="4478"/>
    <cellStyle name="Normal 7 2 5 5 3 2" xfId="10017"/>
    <cellStyle name="Normal 7 2 5 5 3 3" xfId="15556"/>
    <cellStyle name="Normal 7 2 5 5 4" xfId="5413"/>
    <cellStyle name="Normal 7 2 5 5 4 2" xfId="10952"/>
    <cellStyle name="Normal 7 2 5 5 4 3" xfId="16491"/>
    <cellStyle name="Normal 7 2 5 5 5" xfId="2115"/>
    <cellStyle name="Normal 7 2 5 5 5 2" xfId="7661"/>
    <cellStyle name="Normal 7 2 5 5 5 3" xfId="13200"/>
    <cellStyle name="Normal 7 2 5 5 6" xfId="6456"/>
    <cellStyle name="Normal 7 2 5 5 7" xfId="11995"/>
    <cellStyle name="Normal 7 2 5 6" xfId="1551"/>
    <cellStyle name="Normal 7 2 5 6 2" xfId="2756"/>
    <cellStyle name="Normal 7 2 5 6 2 2" xfId="8302"/>
    <cellStyle name="Normal 7 2 5 6 2 3" xfId="13841"/>
    <cellStyle name="Normal 7 2 5 6 3" xfId="7097"/>
    <cellStyle name="Normal 7 2 5 6 4" xfId="12636"/>
    <cellStyle name="Normal 7 2 5 7" xfId="2929"/>
    <cellStyle name="Normal 7 2 5 7 2" xfId="8473"/>
    <cellStyle name="Normal 7 2 5 7 3" xfId="14012"/>
    <cellStyle name="Normal 7 2 5 8" xfId="3080"/>
    <cellStyle name="Normal 7 2 5 8 2" xfId="8623"/>
    <cellStyle name="Normal 7 2 5 8 3" xfId="14162"/>
    <cellStyle name="Normal 7 2 5 9" xfId="4123"/>
    <cellStyle name="Normal 7 2 5 9 2" xfId="9664"/>
    <cellStyle name="Normal 7 2 5 9 3" xfId="15203"/>
    <cellStyle name="Normal 7 2 6" xfId="385"/>
    <cellStyle name="Normal 7 2 6 10" xfId="6072"/>
    <cellStyle name="Normal 7 2 6 10 2" xfId="17150"/>
    <cellStyle name="Normal 7 2 6 11" xfId="716"/>
    <cellStyle name="Normal 7 2 6 11 2" xfId="17312"/>
    <cellStyle name="Normal 7 2 6 12" xfId="11611"/>
    <cellStyle name="Normal 7 2 6 13" xfId="17479"/>
    <cellStyle name="Normal 7 2 6 14" xfId="17644"/>
    <cellStyle name="Normal 7 2 6 2" xfId="584"/>
    <cellStyle name="Normal 7 2 6 2 2" xfId="1425"/>
    <cellStyle name="Normal 7 2 6 2 2 2" xfId="3957"/>
    <cellStyle name="Normal 7 2 6 2 2 2 2" xfId="9499"/>
    <cellStyle name="Normal 7 2 6 2 2 2 3" xfId="15038"/>
    <cellStyle name="Normal 7 2 6 2 2 3" xfId="4994"/>
    <cellStyle name="Normal 7 2 6 2 2 3 2" xfId="10533"/>
    <cellStyle name="Normal 7 2 6 2 2 3 3" xfId="16072"/>
    <cellStyle name="Normal 7 2 6 2 2 4" xfId="5928"/>
    <cellStyle name="Normal 7 2 6 2 2 4 2" xfId="11467"/>
    <cellStyle name="Normal 7 2 6 2 2 4 3" xfId="17006"/>
    <cellStyle name="Normal 7 2 6 2 2 5" xfId="2630"/>
    <cellStyle name="Normal 7 2 6 2 2 5 2" xfId="8176"/>
    <cellStyle name="Normal 7 2 6 2 2 5 3" xfId="13715"/>
    <cellStyle name="Normal 7 2 6 2 2 6" xfId="6971"/>
    <cellStyle name="Normal 7 2 6 2 2 7" xfId="12510"/>
    <cellStyle name="Normal 7 2 6 2 3" xfId="1047"/>
    <cellStyle name="Normal 7 2 6 2 3 2" xfId="3577"/>
    <cellStyle name="Normal 7 2 6 2 3 2 2" xfId="9119"/>
    <cellStyle name="Normal 7 2 6 2 3 2 3" xfId="14658"/>
    <cellStyle name="Normal 7 2 6 2 3 3" xfId="4614"/>
    <cellStyle name="Normal 7 2 6 2 3 3 2" xfId="10153"/>
    <cellStyle name="Normal 7 2 6 2 3 3 3" xfId="15692"/>
    <cellStyle name="Normal 7 2 6 2 3 4" xfId="5549"/>
    <cellStyle name="Normal 7 2 6 2 3 4 2" xfId="11088"/>
    <cellStyle name="Normal 7 2 6 2 3 4 3" xfId="16627"/>
    <cellStyle name="Normal 7 2 6 2 3 5" xfId="2251"/>
    <cellStyle name="Normal 7 2 6 2 3 5 2" xfId="7797"/>
    <cellStyle name="Normal 7 2 6 2 3 5 3" xfId="13336"/>
    <cellStyle name="Normal 7 2 6 2 3 6" xfId="6592"/>
    <cellStyle name="Normal 7 2 6 2 3 7" xfId="12131"/>
    <cellStyle name="Normal 7 2 6 2 4" xfId="3243"/>
    <cellStyle name="Normal 7 2 6 2 4 2" xfId="8785"/>
    <cellStyle name="Normal 7 2 6 2 4 3" xfId="14324"/>
    <cellStyle name="Normal 7 2 6 2 5" xfId="4282"/>
    <cellStyle name="Normal 7 2 6 2 5 2" xfId="9821"/>
    <cellStyle name="Normal 7 2 6 2 5 3" xfId="15360"/>
    <cellStyle name="Normal 7 2 6 2 6" xfId="5243"/>
    <cellStyle name="Normal 7 2 6 2 6 2" xfId="10782"/>
    <cellStyle name="Normal 7 2 6 2 6 3" xfId="16321"/>
    <cellStyle name="Normal 7 2 6 2 7" xfId="1945"/>
    <cellStyle name="Normal 7 2 6 2 7 2" xfId="7491"/>
    <cellStyle name="Normal 7 2 6 2 7 3" xfId="13030"/>
    <cellStyle name="Normal 7 2 6 2 8" xfId="6286"/>
    <cellStyle name="Normal 7 2 6 2 9" xfId="11825"/>
    <cellStyle name="Normal 7 2 6 3" xfId="1224"/>
    <cellStyle name="Normal 7 2 6 3 2" xfId="3754"/>
    <cellStyle name="Normal 7 2 6 3 2 2" xfId="9296"/>
    <cellStyle name="Normal 7 2 6 3 2 3" xfId="14835"/>
    <cellStyle name="Normal 7 2 6 3 3" xfId="4791"/>
    <cellStyle name="Normal 7 2 6 3 3 2" xfId="10330"/>
    <cellStyle name="Normal 7 2 6 3 3 3" xfId="15869"/>
    <cellStyle name="Normal 7 2 6 3 4" xfId="5726"/>
    <cellStyle name="Normal 7 2 6 3 4 2" xfId="11265"/>
    <cellStyle name="Normal 7 2 6 3 4 3" xfId="16804"/>
    <cellStyle name="Normal 7 2 6 3 5" xfId="2428"/>
    <cellStyle name="Normal 7 2 6 3 5 2" xfId="7974"/>
    <cellStyle name="Normal 7 2 6 3 5 3" xfId="13513"/>
    <cellStyle name="Normal 7 2 6 3 6" xfId="6769"/>
    <cellStyle name="Normal 7 2 6 3 7" xfId="12308"/>
    <cellStyle name="Normal 7 2 6 4" xfId="913"/>
    <cellStyle name="Normal 7 2 6 4 2" xfId="3443"/>
    <cellStyle name="Normal 7 2 6 4 2 2" xfId="8985"/>
    <cellStyle name="Normal 7 2 6 4 2 3" xfId="14524"/>
    <cellStyle name="Normal 7 2 6 4 3" xfId="4480"/>
    <cellStyle name="Normal 7 2 6 4 3 2" xfId="10019"/>
    <cellStyle name="Normal 7 2 6 4 3 3" xfId="15558"/>
    <cellStyle name="Normal 7 2 6 4 4" xfId="5415"/>
    <cellStyle name="Normal 7 2 6 4 4 2" xfId="10954"/>
    <cellStyle name="Normal 7 2 6 4 4 3" xfId="16493"/>
    <cellStyle name="Normal 7 2 6 4 5" xfId="2117"/>
    <cellStyle name="Normal 7 2 6 4 5 2" xfId="7663"/>
    <cellStyle name="Normal 7 2 6 4 5 3" xfId="13202"/>
    <cellStyle name="Normal 7 2 6 4 6" xfId="6458"/>
    <cellStyle name="Normal 7 2 6 4 7" xfId="11997"/>
    <cellStyle name="Normal 7 2 6 5" xfId="1569"/>
    <cellStyle name="Normal 7 2 6 5 2" xfId="2774"/>
    <cellStyle name="Normal 7 2 6 5 2 2" xfId="8320"/>
    <cellStyle name="Normal 7 2 6 5 2 3" xfId="13859"/>
    <cellStyle name="Normal 7 2 6 5 3" xfId="7115"/>
    <cellStyle name="Normal 7 2 6 5 4" xfId="12654"/>
    <cellStyle name="Normal 7 2 6 6" xfId="2947"/>
    <cellStyle name="Normal 7 2 6 6 2" xfId="8491"/>
    <cellStyle name="Normal 7 2 6 6 3" xfId="14030"/>
    <cellStyle name="Normal 7 2 6 7" xfId="3071"/>
    <cellStyle name="Normal 7 2 6 7 2" xfId="8614"/>
    <cellStyle name="Normal 7 2 6 7 3" xfId="14153"/>
    <cellStyle name="Normal 7 2 6 8" xfId="4114"/>
    <cellStyle name="Normal 7 2 6 8 2" xfId="9655"/>
    <cellStyle name="Normal 7 2 6 8 3" xfId="15194"/>
    <cellStyle name="Normal 7 2 6 9" xfId="1731"/>
    <cellStyle name="Normal 7 2 6 9 2" xfId="7277"/>
    <cellStyle name="Normal 7 2 6 9 3" xfId="12816"/>
    <cellStyle name="Normal 7 2 7" xfId="386"/>
    <cellStyle name="Normal 7 2 7 10" xfId="6000"/>
    <cellStyle name="Normal 7 2 7 10 2" xfId="17078"/>
    <cellStyle name="Normal 7 2 7 11" xfId="644"/>
    <cellStyle name="Normal 7 2 7 11 2" xfId="17240"/>
    <cellStyle name="Normal 7 2 7 12" xfId="11539"/>
    <cellStyle name="Normal 7 2 7 13" xfId="17407"/>
    <cellStyle name="Normal 7 2 7 14" xfId="17572"/>
    <cellStyle name="Normal 7 2 7 2" xfId="585"/>
    <cellStyle name="Normal 7 2 7 2 2" xfId="1426"/>
    <cellStyle name="Normal 7 2 7 2 2 2" xfId="3958"/>
    <cellStyle name="Normal 7 2 7 2 2 2 2" xfId="9500"/>
    <cellStyle name="Normal 7 2 7 2 2 2 3" xfId="15039"/>
    <cellStyle name="Normal 7 2 7 2 2 3" xfId="4995"/>
    <cellStyle name="Normal 7 2 7 2 2 3 2" xfId="10534"/>
    <cellStyle name="Normal 7 2 7 2 2 3 3" xfId="16073"/>
    <cellStyle name="Normal 7 2 7 2 2 4" xfId="5929"/>
    <cellStyle name="Normal 7 2 7 2 2 4 2" xfId="11468"/>
    <cellStyle name="Normal 7 2 7 2 2 4 3" xfId="17007"/>
    <cellStyle name="Normal 7 2 7 2 2 5" xfId="2631"/>
    <cellStyle name="Normal 7 2 7 2 2 5 2" xfId="8177"/>
    <cellStyle name="Normal 7 2 7 2 2 5 3" xfId="13716"/>
    <cellStyle name="Normal 7 2 7 2 2 6" xfId="6972"/>
    <cellStyle name="Normal 7 2 7 2 2 7" xfId="12511"/>
    <cellStyle name="Normal 7 2 7 2 3" xfId="975"/>
    <cellStyle name="Normal 7 2 7 2 3 2" xfId="3505"/>
    <cellStyle name="Normal 7 2 7 2 3 2 2" xfId="9047"/>
    <cellStyle name="Normal 7 2 7 2 3 2 3" xfId="14586"/>
    <cellStyle name="Normal 7 2 7 2 3 3" xfId="4542"/>
    <cellStyle name="Normal 7 2 7 2 3 3 2" xfId="10081"/>
    <cellStyle name="Normal 7 2 7 2 3 3 3" xfId="15620"/>
    <cellStyle name="Normal 7 2 7 2 3 4" xfId="5477"/>
    <cellStyle name="Normal 7 2 7 2 3 4 2" xfId="11016"/>
    <cellStyle name="Normal 7 2 7 2 3 4 3" xfId="16555"/>
    <cellStyle name="Normal 7 2 7 2 3 5" xfId="2179"/>
    <cellStyle name="Normal 7 2 7 2 3 5 2" xfId="7725"/>
    <cellStyle name="Normal 7 2 7 2 3 5 3" xfId="13264"/>
    <cellStyle name="Normal 7 2 7 2 3 6" xfId="6520"/>
    <cellStyle name="Normal 7 2 7 2 3 7" xfId="12059"/>
    <cellStyle name="Normal 7 2 7 2 4" xfId="3244"/>
    <cellStyle name="Normal 7 2 7 2 4 2" xfId="8786"/>
    <cellStyle name="Normal 7 2 7 2 4 3" xfId="14325"/>
    <cellStyle name="Normal 7 2 7 2 5" xfId="4283"/>
    <cellStyle name="Normal 7 2 7 2 5 2" xfId="9822"/>
    <cellStyle name="Normal 7 2 7 2 5 3" xfId="15361"/>
    <cellStyle name="Normal 7 2 7 2 6" xfId="5244"/>
    <cellStyle name="Normal 7 2 7 2 6 2" xfId="10783"/>
    <cellStyle name="Normal 7 2 7 2 6 3" xfId="16322"/>
    <cellStyle name="Normal 7 2 7 2 7" xfId="1946"/>
    <cellStyle name="Normal 7 2 7 2 7 2" xfId="7492"/>
    <cellStyle name="Normal 7 2 7 2 7 3" xfId="13031"/>
    <cellStyle name="Normal 7 2 7 2 8" xfId="6287"/>
    <cellStyle name="Normal 7 2 7 2 9" xfId="11826"/>
    <cellStyle name="Normal 7 2 7 3" xfId="1152"/>
    <cellStyle name="Normal 7 2 7 3 2" xfId="3682"/>
    <cellStyle name="Normal 7 2 7 3 2 2" xfId="9224"/>
    <cellStyle name="Normal 7 2 7 3 2 3" xfId="14763"/>
    <cellStyle name="Normal 7 2 7 3 3" xfId="4719"/>
    <cellStyle name="Normal 7 2 7 3 3 2" xfId="10258"/>
    <cellStyle name="Normal 7 2 7 3 3 3" xfId="15797"/>
    <cellStyle name="Normal 7 2 7 3 4" xfId="5654"/>
    <cellStyle name="Normal 7 2 7 3 4 2" xfId="11193"/>
    <cellStyle name="Normal 7 2 7 3 4 3" xfId="16732"/>
    <cellStyle name="Normal 7 2 7 3 5" xfId="2356"/>
    <cellStyle name="Normal 7 2 7 3 5 2" xfId="7902"/>
    <cellStyle name="Normal 7 2 7 3 5 3" xfId="13441"/>
    <cellStyle name="Normal 7 2 7 3 6" xfId="6697"/>
    <cellStyle name="Normal 7 2 7 3 7" xfId="12236"/>
    <cellStyle name="Normal 7 2 7 4" xfId="914"/>
    <cellStyle name="Normal 7 2 7 4 2" xfId="3444"/>
    <cellStyle name="Normal 7 2 7 4 2 2" xfId="8986"/>
    <cellStyle name="Normal 7 2 7 4 2 3" xfId="14525"/>
    <cellStyle name="Normal 7 2 7 4 3" xfId="4481"/>
    <cellStyle name="Normal 7 2 7 4 3 2" xfId="10020"/>
    <cellStyle name="Normal 7 2 7 4 3 3" xfId="15559"/>
    <cellStyle name="Normal 7 2 7 4 4" xfId="5416"/>
    <cellStyle name="Normal 7 2 7 4 4 2" xfId="10955"/>
    <cellStyle name="Normal 7 2 7 4 4 3" xfId="16494"/>
    <cellStyle name="Normal 7 2 7 4 5" xfId="2118"/>
    <cellStyle name="Normal 7 2 7 4 5 2" xfId="7664"/>
    <cellStyle name="Normal 7 2 7 4 5 3" xfId="13203"/>
    <cellStyle name="Normal 7 2 7 4 6" xfId="6459"/>
    <cellStyle name="Normal 7 2 7 4 7" xfId="11998"/>
    <cellStyle name="Normal 7 2 7 5" xfId="1497"/>
    <cellStyle name="Normal 7 2 7 5 2" xfId="2702"/>
    <cellStyle name="Normal 7 2 7 5 2 2" xfId="8248"/>
    <cellStyle name="Normal 7 2 7 5 2 3" xfId="13787"/>
    <cellStyle name="Normal 7 2 7 5 3" xfId="7043"/>
    <cellStyle name="Normal 7 2 7 5 4" xfId="12582"/>
    <cellStyle name="Normal 7 2 7 6" xfId="2875"/>
    <cellStyle name="Normal 7 2 7 6 2" xfId="8419"/>
    <cellStyle name="Normal 7 2 7 6 3" xfId="13958"/>
    <cellStyle name="Normal 7 2 7 7" xfId="2839"/>
    <cellStyle name="Normal 7 2 7 7 2" xfId="8385"/>
    <cellStyle name="Normal 7 2 7 7 3" xfId="13924"/>
    <cellStyle name="Normal 7 2 7 8" xfId="3030"/>
    <cellStyle name="Normal 7 2 7 8 2" xfId="8573"/>
    <cellStyle name="Normal 7 2 7 8 3" xfId="14112"/>
    <cellStyle name="Normal 7 2 7 9" xfId="1659"/>
    <cellStyle name="Normal 7 2 7 9 2" xfId="7205"/>
    <cellStyle name="Normal 7 2 7 9 3" xfId="12744"/>
    <cellStyle name="Normal 7 2 8" xfId="463"/>
    <cellStyle name="Normal 7 2 8 2" xfId="1305"/>
    <cellStyle name="Normal 7 2 8 2 2" xfId="3836"/>
    <cellStyle name="Normal 7 2 8 2 2 2" xfId="9378"/>
    <cellStyle name="Normal 7 2 8 2 2 3" xfId="14917"/>
    <cellStyle name="Normal 7 2 8 2 3" xfId="4873"/>
    <cellStyle name="Normal 7 2 8 2 3 2" xfId="10412"/>
    <cellStyle name="Normal 7 2 8 2 3 3" xfId="15951"/>
    <cellStyle name="Normal 7 2 8 2 4" xfId="5808"/>
    <cellStyle name="Normal 7 2 8 2 4 2" xfId="11347"/>
    <cellStyle name="Normal 7 2 8 2 4 3" xfId="16886"/>
    <cellStyle name="Normal 7 2 8 2 5" xfId="2510"/>
    <cellStyle name="Normal 7 2 8 2 5 2" xfId="8056"/>
    <cellStyle name="Normal 7 2 8 2 5 3" xfId="13595"/>
    <cellStyle name="Normal 7 2 8 2 6" xfId="6851"/>
    <cellStyle name="Normal 7 2 8 2 7" xfId="12390"/>
    <cellStyle name="Normal 7 2 8 3" xfId="957"/>
    <cellStyle name="Normal 7 2 8 3 2" xfId="3487"/>
    <cellStyle name="Normal 7 2 8 3 2 2" xfId="9029"/>
    <cellStyle name="Normal 7 2 8 3 2 3" xfId="14568"/>
    <cellStyle name="Normal 7 2 8 3 3" xfId="4524"/>
    <cellStyle name="Normal 7 2 8 3 3 2" xfId="10063"/>
    <cellStyle name="Normal 7 2 8 3 3 3" xfId="15602"/>
    <cellStyle name="Normal 7 2 8 3 4" xfId="5459"/>
    <cellStyle name="Normal 7 2 8 3 4 2" xfId="10998"/>
    <cellStyle name="Normal 7 2 8 3 4 3" xfId="16537"/>
    <cellStyle name="Normal 7 2 8 3 5" xfId="2161"/>
    <cellStyle name="Normal 7 2 8 3 5 2" xfId="7707"/>
    <cellStyle name="Normal 7 2 8 3 5 3" xfId="13246"/>
    <cellStyle name="Normal 7 2 8 3 6" xfId="6502"/>
    <cellStyle name="Normal 7 2 8 3 7" xfId="12041"/>
    <cellStyle name="Normal 7 2 8 4" xfId="3113"/>
    <cellStyle name="Normal 7 2 8 4 2" xfId="8656"/>
    <cellStyle name="Normal 7 2 8 4 3" xfId="14195"/>
    <cellStyle name="Normal 7 2 8 5" xfId="4156"/>
    <cellStyle name="Normal 7 2 8 5 2" xfId="9697"/>
    <cellStyle name="Normal 7 2 8 5 3" xfId="15236"/>
    <cellStyle name="Normal 7 2 8 6" xfId="5123"/>
    <cellStyle name="Normal 7 2 8 6 2" xfId="10662"/>
    <cellStyle name="Normal 7 2 8 6 3" xfId="16201"/>
    <cellStyle name="Normal 7 2 8 7" xfId="1825"/>
    <cellStyle name="Normal 7 2 8 7 2" xfId="7371"/>
    <cellStyle name="Normal 7 2 8 7 3" xfId="12910"/>
    <cellStyle name="Normal 7 2 8 8" xfId="6166"/>
    <cellStyle name="Normal 7 2 8 9" xfId="11705"/>
    <cellStyle name="Normal 7 2 9" xfId="1134"/>
    <cellStyle name="Normal 7 2 9 2" xfId="3664"/>
    <cellStyle name="Normal 7 2 9 2 2" xfId="9206"/>
    <cellStyle name="Normal 7 2 9 2 3" xfId="14745"/>
    <cellStyle name="Normal 7 2 9 3" xfId="4701"/>
    <cellStyle name="Normal 7 2 9 3 2" xfId="10240"/>
    <cellStyle name="Normal 7 2 9 3 3" xfId="15779"/>
    <cellStyle name="Normal 7 2 9 4" xfId="5636"/>
    <cellStyle name="Normal 7 2 9 4 2" xfId="11175"/>
    <cellStyle name="Normal 7 2 9 4 3" xfId="16714"/>
    <cellStyle name="Normal 7 2 9 5" xfId="2338"/>
    <cellStyle name="Normal 7 2 9 5 2" xfId="7884"/>
    <cellStyle name="Normal 7 2 9 5 3" xfId="13423"/>
    <cellStyle name="Normal 7 2 9 6" xfId="6679"/>
    <cellStyle name="Normal 7 2 9 7" xfId="12218"/>
    <cellStyle name="Normal 7 20" xfId="11515"/>
    <cellStyle name="Normal 7 21" xfId="17382"/>
    <cellStyle name="Normal 7 22" xfId="17544"/>
    <cellStyle name="Normal 7 3" xfId="258"/>
    <cellStyle name="Normal 7 3 10" xfId="915"/>
    <cellStyle name="Normal 7 3 10 2" xfId="3445"/>
    <cellStyle name="Normal 7 3 10 2 2" xfId="8987"/>
    <cellStyle name="Normal 7 3 10 2 3" xfId="14526"/>
    <cellStyle name="Normal 7 3 10 3" xfId="4482"/>
    <cellStyle name="Normal 7 3 10 3 2" xfId="10021"/>
    <cellStyle name="Normal 7 3 10 3 3" xfId="15560"/>
    <cellStyle name="Normal 7 3 10 4" xfId="5417"/>
    <cellStyle name="Normal 7 3 10 4 2" xfId="10956"/>
    <cellStyle name="Normal 7 3 10 4 3" xfId="16495"/>
    <cellStyle name="Normal 7 3 10 5" xfId="2119"/>
    <cellStyle name="Normal 7 3 10 5 2" xfId="7665"/>
    <cellStyle name="Normal 7 3 10 5 3" xfId="13204"/>
    <cellStyle name="Normal 7 3 10 6" xfId="6460"/>
    <cellStyle name="Normal 7 3 10 7" xfId="11999"/>
    <cellStyle name="Normal 7 3 11" xfId="1477"/>
    <cellStyle name="Normal 7 3 11 2" xfId="2682"/>
    <cellStyle name="Normal 7 3 11 2 2" xfId="8228"/>
    <cellStyle name="Normal 7 3 11 2 3" xfId="13767"/>
    <cellStyle name="Normal 7 3 11 3" xfId="7023"/>
    <cellStyle name="Normal 7 3 11 4" xfId="12562"/>
    <cellStyle name="Normal 7 3 12" xfId="2855"/>
    <cellStyle name="Normal 7 3 12 2" xfId="8399"/>
    <cellStyle name="Normal 7 3 12 3" xfId="13938"/>
    <cellStyle name="Normal 7 3 13" xfId="3118"/>
    <cellStyle name="Normal 7 3 13 2" xfId="8661"/>
    <cellStyle name="Normal 7 3 13 3" xfId="14200"/>
    <cellStyle name="Normal 7 3 14" xfId="4161"/>
    <cellStyle name="Normal 7 3 14 2" xfId="9702"/>
    <cellStyle name="Normal 7 3 14 3" xfId="15241"/>
    <cellStyle name="Normal 7 3 15" xfId="1639"/>
    <cellStyle name="Normal 7 3 15 2" xfId="7185"/>
    <cellStyle name="Normal 7 3 15 3" xfId="12724"/>
    <cellStyle name="Normal 7 3 16" xfId="5980"/>
    <cellStyle name="Normal 7 3 16 2" xfId="17058"/>
    <cellStyle name="Normal 7 3 17" xfId="624"/>
    <cellStyle name="Normal 7 3 17 2" xfId="17220"/>
    <cellStyle name="Normal 7 3 18" xfId="11519"/>
    <cellStyle name="Normal 7 3 19" xfId="17387"/>
    <cellStyle name="Normal 7 3 2" xfId="259"/>
    <cellStyle name="Normal 7 3 2 10" xfId="1489"/>
    <cellStyle name="Normal 7 3 2 10 2" xfId="2694"/>
    <cellStyle name="Normal 7 3 2 10 2 2" xfId="8240"/>
    <cellStyle name="Normal 7 3 2 10 2 3" xfId="13779"/>
    <cellStyle name="Normal 7 3 2 10 3" xfId="7035"/>
    <cellStyle name="Normal 7 3 2 10 4" xfId="12574"/>
    <cellStyle name="Normal 7 3 2 11" xfId="2867"/>
    <cellStyle name="Normal 7 3 2 11 2" xfId="8411"/>
    <cellStyle name="Normal 7 3 2 11 3" xfId="13950"/>
    <cellStyle name="Normal 7 3 2 12" xfId="2847"/>
    <cellStyle name="Normal 7 3 2 12 2" xfId="8392"/>
    <cellStyle name="Normal 7 3 2 12 3" xfId="13931"/>
    <cellStyle name="Normal 7 3 2 13" xfId="3126"/>
    <cellStyle name="Normal 7 3 2 13 2" xfId="8669"/>
    <cellStyle name="Normal 7 3 2 13 3" xfId="14208"/>
    <cellStyle name="Normal 7 3 2 14" xfId="1651"/>
    <cellStyle name="Normal 7 3 2 14 2" xfId="7197"/>
    <cellStyle name="Normal 7 3 2 14 3" xfId="12736"/>
    <cellStyle name="Normal 7 3 2 15" xfId="5992"/>
    <cellStyle name="Normal 7 3 2 15 2" xfId="17070"/>
    <cellStyle name="Normal 7 3 2 16" xfId="636"/>
    <cellStyle name="Normal 7 3 2 16 2" xfId="17232"/>
    <cellStyle name="Normal 7 3 2 17" xfId="11531"/>
    <cellStyle name="Normal 7 3 2 18" xfId="17399"/>
    <cellStyle name="Normal 7 3 2 19" xfId="17564"/>
    <cellStyle name="Normal 7 3 2 2" xfId="387"/>
    <cellStyle name="Normal 7 3 2 2 10" xfId="1705"/>
    <cellStyle name="Normal 7 3 2 2 10 2" xfId="7251"/>
    <cellStyle name="Normal 7 3 2 2 10 3" xfId="12790"/>
    <cellStyle name="Normal 7 3 2 2 11" xfId="6046"/>
    <cellStyle name="Normal 7 3 2 2 11 2" xfId="17124"/>
    <cellStyle name="Normal 7 3 2 2 12" xfId="690"/>
    <cellStyle name="Normal 7 3 2 2 12 2" xfId="17286"/>
    <cellStyle name="Normal 7 3 2 2 13" xfId="11585"/>
    <cellStyle name="Normal 7 3 2 2 14" xfId="17453"/>
    <cellStyle name="Normal 7 3 2 2 15" xfId="17618"/>
    <cellStyle name="Normal 7 3 2 2 2" xfId="388"/>
    <cellStyle name="Normal 7 3 2 2 2 10" xfId="6136"/>
    <cellStyle name="Normal 7 3 2 2 2 10 2" xfId="17214"/>
    <cellStyle name="Normal 7 3 2 2 2 11" xfId="780"/>
    <cellStyle name="Normal 7 3 2 2 2 11 2" xfId="17376"/>
    <cellStyle name="Normal 7 3 2 2 2 12" xfId="11675"/>
    <cellStyle name="Normal 7 3 2 2 2 13" xfId="17543"/>
    <cellStyle name="Normal 7 3 2 2 2 14" xfId="17708"/>
    <cellStyle name="Normal 7 3 2 2 2 2" xfId="587"/>
    <cellStyle name="Normal 7 3 2 2 2 2 2" xfId="1428"/>
    <cellStyle name="Normal 7 3 2 2 2 2 2 2" xfId="3960"/>
    <cellStyle name="Normal 7 3 2 2 2 2 2 2 2" xfId="9502"/>
    <cellStyle name="Normal 7 3 2 2 2 2 2 2 3" xfId="15041"/>
    <cellStyle name="Normal 7 3 2 2 2 2 2 3" xfId="4997"/>
    <cellStyle name="Normal 7 3 2 2 2 2 2 3 2" xfId="10536"/>
    <cellStyle name="Normal 7 3 2 2 2 2 2 3 3" xfId="16075"/>
    <cellStyle name="Normal 7 3 2 2 2 2 2 4" xfId="5931"/>
    <cellStyle name="Normal 7 3 2 2 2 2 2 4 2" xfId="11470"/>
    <cellStyle name="Normal 7 3 2 2 2 2 2 4 3" xfId="17009"/>
    <cellStyle name="Normal 7 3 2 2 2 2 2 5" xfId="2633"/>
    <cellStyle name="Normal 7 3 2 2 2 2 2 5 2" xfId="8179"/>
    <cellStyle name="Normal 7 3 2 2 2 2 2 5 3" xfId="13718"/>
    <cellStyle name="Normal 7 3 2 2 2 2 2 6" xfId="6974"/>
    <cellStyle name="Normal 7 3 2 2 2 2 2 7" xfId="12513"/>
    <cellStyle name="Normal 7 3 2 2 2 2 3" xfId="1111"/>
    <cellStyle name="Normal 7 3 2 2 2 2 3 2" xfId="3641"/>
    <cellStyle name="Normal 7 3 2 2 2 2 3 2 2" xfId="9183"/>
    <cellStyle name="Normal 7 3 2 2 2 2 3 2 3" xfId="14722"/>
    <cellStyle name="Normal 7 3 2 2 2 2 3 3" xfId="4678"/>
    <cellStyle name="Normal 7 3 2 2 2 2 3 3 2" xfId="10217"/>
    <cellStyle name="Normal 7 3 2 2 2 2 3 3 3" xfId="15756"/>
    <cellStyle name="Normal 7 3 2 2 2 2 3 4" xfId="5613"/>
    <cellStyle name="Normal 7 3 2 2 2 2 3 4 2" xfId="11152"/>
    <cellStyle name="Normal 7 3 2 2 2 2 3 4 3" xfId="16691"/>
    <cellStyle name="Normal 7 3 2 2 2 2 3 5" xfId="2315"/>
    <cellStyle name="Normal 7 3 2 2 2 2 3 5 2" xfId="7861"/>
    <cellStyle name="Normal 7 3 2 2 2 2 3 5 3" xfId="13400"/>
    <cellStyle name="Normal 7 3 2 2 2 2 3 6" xfId="6656"/>
    <cellStyle name="Normal 7 3 2 2 2 2 3 7" xfId="12195"/>
    <cellStyle name="Normal 7 3 2 2 2 2 4" xfId="3246"/>
    <cellStyle name="Normal 7 3 2 2 2 2 4 2" xfId="8788"/>
    <cellStyle name="Normal 7 3 2 2 2 2 4 3" xfId="14327"/>
    <cellStyle name="Normal 7 3 2 2 2 2 5" xfId="4285"/>
    <cellStyle name="Normal 7 3 2 2 2 2 5 2" xfId="9824"/>
    <cellStyle name="Normal 7 3 2 2 2 2 5 3" xfId="15363"/>
    <cellStyle name="Normal 7 3 2 2 2 2 6" xfId="5246"/>
    <cellStyle name="Normal 7 3 2 2 2 2 6 2" xfId="10785"/>
    <cellStyle name="Normal 7 3 2 2 2 2 6 3" xfId="16324"/>
    <cellStyle name="Normal 7 3 2 2 2 2 7" xfId="1948"/>
    <cellStyle name="Normal 7 3 2 2 2 2 7 2" xfId="7494"/>
    <cellStyle name="Normal 7 3 2 2 2 2 7 3" xfId="13033"/>
    <cellStyle name="Normal 7 3 2 2 2 2 8" xfId="6289"/>
    <cellStyle name="Normal 7 3 2 2 2 2 9" xfId="11828"/>
    <cellStyle name="Normal 7 3 2 2 2 3" xfId="1288"/>
    <cellStyle name="Normal 7 3 2 2 2 3 2" xfId="3818"/>
    <cellStyle name="Normal 7 3 2 2 2 3 2 2" xfId="9360"/>
    <cellStyle name="Normal 7 3 2 2 2 3 2 3" xfId="14899"/>
    <cellStyle name="Normal 7 3 2 2 2 3 3" xfId="4855"/>
    <cellStyle name="Normal 7 3 2 2 2 3 3 2" xfId="10394"/>
    <cellStyle name="Normal 7 3 2 2 2 3 3 3" xfId="15933"/>
    <cellStyle name="Normal 7 3 2 2 2 3 4" xfId="5790"/>
    <cellStyle name="Normal 7 3 2 2 2 3 4 2" xfId="11329"/>
    <cellStyle name="Normal 7 3 2 2 2 3 4 3" xfId="16868"/>
    <cellStyle name="Normal 7 3 2 2 2 3 5" xfId="2492"/>
    <cellStyle name="Normal 7 3 2 2 2 3 5 2" xfId="8038"/>
    <cellStyle name="Normal 7 3 2 2 2 3 5 3" xfId="13577"/>
    <cellStyle name="Normal 7 3 2 2 2 3 6" xfId="6833"/>
    <cellStyle name="Normal 7 3 2 2 2 3 7" xfId="12372"/>
    <cellStyle name="Normal 7 3 2 2 2 4" xfId="918"/>
    <cellStyle name="Normal 7 3 2 2 2 4 2" xfId="3448"/>
    <cellStyle name="Normal 7 3 2 2 2 4 2 2" xfId="8990"/>
    <cellStyle name="Normal 7 3 2 2 2 4 2 3" xfId="14529"/>
    <cellStyle name="Normal 7 3 2 2 2 4 3" xfId="4485"/>
    <cellStyle name="Normal 7 3 2 2 2 4 3 2" xfId="10024"/>
    <cellStyle name="Normal 7 3 2 2 2 4 3 3" xfId="15563"/>
    <cellStyle name="Normal 7 3 2 2 2 4 4" xfId="5420"/>
    <cellStyle name="Normal 7 3 2 2 2 4 4 2" xfId="10959"/>
    <cellStyle name="Normal 7 3 2 2 2 4 4 3" xfId="16498"/>
    <cellStyle name="Normal 7 3 2 2 2 4 5" xfId="2122"/>
    <cellStyle name="Normal 7 3 2 2 2 4 5 2" xfId="7668"/>
    <cellStyle name="Normal 7 3 2 2 2 4 5 3" xfId="13207"/>
    <cellStyle name="Normal 7 3 2 2 2 4 6" xfId="6463"/>
    <cellStyle name="Normal 7 3 2 2 2 4 7" xfId="12002"/>
    <cellStyle name="Normal 7 3 2 2 2 5" xfId="1633"/>
    <cellStyle name="Normal 7 3 2 2 2 5 2" xfId="2838"/>
    <cellStyle name="Normal 7 3 2 2 2 5 2 2" xfId="8384"/>
    <cellStyle name="Normal 7 3 2 2 2 5 2 3" xfId="13923"/>
    <cellStyle name="Normal 7 3 2 2 2 5 3" xfId="7179"/>
    <cellStyle name="Normal 7 3 2 2 2 5 4" xfId="12718"/>
    <cellStyle name="Normal 7 3 2 2 2 6" xfId="3011"/>
    <cellStyle name="Normal 7 3 2 2 2 6 2" xfId="8555"/>
    <cellStyle name="Normal 7 3 2 2 2 6 3" xfId="14094"/>
    <cellStyle name="Normal 7 3 2 2 2 7" xfId="4056"/>
    <cellStyle name="Normal 7 3 2 2 2 7 2" xfId="9598"/>
    <cellStyle name="Normal 7 3 2 2 2 7 3" xfId="15137"/>
    <cellStyle name="Normal 7 3 2 2 2 8" xfId="5093"/>
    <cellStyle name="Normal 7 3 2 2 2 8 2" xfId="10632"/>
    <cellStyle name="Normal 7 3 2 2 2 8 3" xfId="16171"/>
    <cellStyle name="Normal 7 3 2 2 2 9" xfId="1795"/>
    <cellStyle name="Normal 7 3 2 2 2 9 2" xfId="7341"/>
    <cellStyle name="Normal 7 3 2 2 2 9 3" xfId="12880"/>
    <cellStyle name="Normal 7 3 2 2 3" xfId="586"/>
    <cellStyle name="Normal 7 3 2 2 3 2" xfId="1427"/>
    <cellStyle name="Normal 7 3 2 2 3 2 2" xfId="3959"/>
    <cellStyle name="Normal 7 3 2 2 3 2 2 2" xfId="9501"/>
    <cellStyle name="Normal 7 3 2 2 3 2 2 3" xfId="15040"/>
    <cellStyle name="Normal 7 3 2 2 3 2 3" xfId="4996"/>
    <cellStyle name="Normal 7 3 2 2 3 2 3 2" xfId="10535"/>
    <cellStyle name="Normal 7 3 2 2 3 2 3 3" xfId="16074"/>
    <cellStyle name="Normal 7 3 2 2 3 2 4" xfId="5930"/>
    <cellStyle name="Normal 7 3 2 2 3 2 4 2" xfId="11469"/>
    <cellStyle name="Normal 7 3 2 2 3 2 4 3" xfId="17008"/>
    <cellStyle name="Normal 7 3 2 2 3 2 5" xfId="2632"/>
    <cellStyle name="Normal 7 3 2 2 3 2 5 2" xfId="8178"/>
    <cellStyle name="Normal 7 3 2 2 3 2 5 3" xfId="13717"/>
    <cellStyle name="Normal 7 3 2 2 3 2 6" xfId="6973"/>
    <cellStyle name="Normal 7 3 2 2 3 2 7" xfId="12512"/>
    <cellStyle name="Normal 7 3 2 2 3 3" xfId="1021"/>
    <cellStyle name="Normal 7 3 2 2 3 3 2" xfId="3551"/>
    <cellStyle name="Normal 7 3 2 2 3 3 2 2" xfId="9093"/>
    <cellStyle name="Normal 7 3 2 2 3 3 2 3" xfId="14632"/>
    <cellStyle name="Normal 7 3 2 2 3 3 3" xfId="4588"/>
    <cellStyle name="Normal 7 3 2 2 3 3 3 2" xfId="10127"/>
    <cellStyle name="Normal 7 3 2 2 3 3 3 3" xfId="15666"/>
    <cellStyle name="Normal 7 3 2 2 3 3 4" xfId="5523"/>
    <cellStyle name="Normal 7 3 2 2 3 3 4 2" xfId="11062"/>
    <cellStyle name="Normal 7 3 2 2 3 3 4 3" xfId="16601"/>
    <cellStyle name="Normal 7 3 2 2 3 3 5" xfId="2225"/>
    <cellStyle name="Normal 7 3 2 2 3 3 5 2" xfId="7771"/>
    <cellStyle name="Normal 7 3 2 2 3 3 5 3" xfId="13310"/>
    <cellStyle name="Normal 7 3 2 2 3 3 6" xfId="6566"/>
    <cellStyle name="Normal 7 3 2 2 3 3 7" xfId="12105"/>
    <cellStyle name="Normal 7 3 2 2 3 4" xfId="3245"/>
    <cellStyle name="Normal 7 3 2 2 3 4 2" xfId="8787"/>
    <cellStyle name="Normal 7 3 2 2 3 4 3" xfId="14326"/>
    <cellStyle name="Normal 7 3 2 2 3 5" xfId="4284"/>
    <cellStyle name="Normal 7 3 2 2 3 5 2" xfId="9823"/>
    <cellStyle name="Normal 7 3 2 2 3 5 3" xfId="15362"/>
    <cellStyle name="Normal 7 3 2 2 3 6" xfId="5245"/>
    <cellStyle name="Normal 7 3 2 2 3 6 2" xfId="10784"/>
    <cellStyle name="Normal 7 3 2 2 3 6 3" xfId="16323"/>
    <cellStyle name="Normal 7 3 2 2 3 7" xfId="1947"/>
    <cellStyle name="Normal 7 3 2 2 3 7 2" xfId="7493"/>
    <cellStyle name="Normal 7 3 2 2 3 7 3" xfId="13032"/>
    <cellStyle name="Normal 7 3 2 2 3 8" xfId="6288"/>
    <cellStyle name="Normal 7 3 2 2 3 9" xfId="11827"/>
    <cellStyle name="Normal 7 3 2 2 4" xfId="1198"/>
    <cellStyle name="Normal 7 3 2 2 4 2" xfId="3728"/>
    <cellStyle name="Normal 7 3 2 2 4 2 2" xfId="9270"/>
    <cellStyle name="Normal 7 3 2 2 4 2 3" xfId="14809"/>
    <cellStyle name="Normal 7 3 2 2 4 3" xfId="4765"/>
    <cellStyle name="Normal 7 3 2 2 4 3 2" xfId="10304"/>
    <cellStyle name="Normal 7 3 2 2 4 3 3" xfId="15843"/>
    <cellStyle name="Normal 7 3 2 2 4 4" xfId="5700"/>
    <cellStyle name="Normal 7 3 2 2 4 4 2" xfId="11239"/>
    <cellStyle name="Normal 7 3 2 2 4 4 3" xfId="16778"/>
    <cellStyle name="Normal 7 3 2 2 4 5" xfId="2402"/>
    <cellStyle name="Normal 7 3 2 2 4 5 2" xfId="7948"/>
    <cellStyle name="Normal 7 3 2 2 4 5 3" xfId="13487"/>
    <cellStyle name="Normal 7 3 2 2 4 6" xfId="6743"/>
    <cellStyle name="Normal 7 3 2 2 4 7" xfId="12282"/>
    <cellStyle name="Normal 7 3 2 2 5" xfId="917"/>
    <cellStyle name="Normal 7 3 2 2 5 2" xfId="3447"/>
    <cellStyle name="Normal 7 3 2 2 5 2 2" xfId="8989"/>
    <cellStyle name="Normal 7 3 2 2 5 2 3" xfId="14528"/>
    <cellStyle name="Normal 7 3 2 2 5 3" xfId="4484"/>
    <cellStyle name="Normal 7 3 2 2 5 3 2" xfId="10023"/>
    <cellStyle name="Normal 7 3 2 2 5 3 3" xfId="15562"/>
    <cellStyle name="Normal 7 3 2 2 5 4" xfId="5419"/>
    <cellStyle name="Normal 7 3 2 2 5 4 2" xfId="10958"/>
    <cellStyle name="Normal 7 3 2 2 5 4 3" xfId="16497"/>
    <cellStyle name="Normal 7 3 2 2 5 5" xfId="2121"/>
    <cellStyle name="Normal 7 3 2 2 5 5 2" xfId="7667"/>
    <cellStyle name="Normal 7 3 2 2 5 5 3" xfId="13206"/>
    <cellStyle name="Normal 7 3 2 2 5 6" xfId="6462"/>
    <cellStyle name="Normal 7 3 2 2 5 7" xfId="12001"/>
    <cellStyle name="Normal 7 3 2 2 6" xfId="1543"/>
    <cellStyle name="Normal 7 3 2 2 6 2" xfId="2748"/>
    <cellStyle name="Normal 7 3 2 2 6 2 2" xfId="8294"/>
    <cellStyle name="Normal 7 3 2 2 6 2 3" xfId="13833"/>
    <cellStyle name="Normal 7 3 2 2 6 3" xfId="7089"/>
    <cellStyle name="Normal 7 3 2 2 6 4" xfId="12628"/>
    <cellStyle name="Normal 7 3 2 2 7" xfId="2921"/>
    <cellStyle name="Normal 7 3 2 2 7 2" xfId="8465"/>
    <cellStyle name="Normal 7 3 2 2 7 3" xfId="14004"/>
    <cellStyle name="Normal 7 3 2 2 8" xfId="3084"/>
    <cellStyle name="Normal 7 3 2 2 8 2" xfId="8627"/>
    <cellStyle name="Normal 7 3 2 2 8 3" xfId="14166"/>
    <cellStyle name="Normal 7 3 2 2 9" xfId="4127"/>
    <cellStyle name="Normal 7 3 2 2 9 2" xfId="9668"/>
    <cellStyle name="Normal 7 3 2 2 9 3" xfId="15207"/>
    <cellStyle name="Normal 7 3 2 3" xfId="389"/>
    <cellStyle name="Normal 7 3 2 3 10" xfId="1687"/>
    <cellStyle name="Normal 7 3 2 3 10 2" xfId="7233"/>
    <cellStyle name="Normal 7 3 2 3 10 3" xfId="12772"/>
    <cellStyle name="Normal 7 3 2 3 11" xfId="6028"/>
    <cellStyle name="Normal 7 3 2 3 11 2" xfId="17106"/>
    <cellStyle name="Normal 7 3 2 3 12" xfId="672"/>
    <cellStyle name="Normal 7 3 2 3 12 2" xfId="17268"/>
    <cellStyle name="Normal 7 3 2 3 13" xfId="11567"/>
    <cellStyle name="Normal 7 3 2 3 14" xfId="17435"/>
    <cellStyle name="Normal 7 3 2 3 15" xfId="17600"/>
    <cellStyle name="Normal 7 3 2 3 2" xfId="390"/>
    <cellStyle name="Normal 7 3 2 3 2 10" xfId="6118"/>
    <cellStyle name="Normal 7 3 2 3 2 10 2" xfId="17196"/>
    <cellStyle name="Normal 7 3 2 3 2 11" xfId="762"/>
    <cellStyle name="Normal 7 3 2 3 2 11 2" xfId="17358"/>
    <cellStyle name="Normal 7 3 2 3 2 12" xfId="11657"/>
    <cellStyle name="Normal 7 3 2 3 2 13" xfId="17525"/>
    <cellStyle name="Normal 7 3 2 3 2 14" xfId="17690"/>
    <cellStyle name="Normal 7 3 2 3 2 2" xfId="589"/>
    <cellStyle name="Normal 7 3 2 3 2 2 2" xfId="1430"/>
    <cellStyle name="Normal 7 3 2 3 2 2 2 2" xfId="3962"/>
    <cellStyle name="Normal 7 3 2 3 2 2 2 2 2" xfId="9504"/>
    <cellStyle name="Normal 7 3 2 3 2 2 2 2 3" xfId="15043"/>
    <cellStyle name="Normal 7 3 2 3 2 2 2 3" xfId="4999"/>
    <cellStyle name="Normal 7 3 2 3 2 2 2 3 2" xfId="10538"/>
    <cellStyle name="Normal 7 3 2 3 2 2 2 3 3" xfId="16077"/>
    <cellStyle name="Normal 7 3 2 3 2 2 2 4" xfId="5933"/>
    <cellStyle name="Normal 7 3 2 3 2 2 2 4 2" xfId="11472"/>
    <cellStyle name="Normal 7 3 2 3 2 2 2 4 3" xfId="17011"/>
    <cellStyle name="Normal 7 3 2 3 2 2 2 5" xfId="2635"/>
    <cellStyle name="Normal 7 3 2 3 2 2 2 5 2" xfId="8181"/>
    <cellStyle name="Normal 7 3 2 3 2 2 2 5 3" xfId="13720"/>
    <cellStyle name="Normal 7 3 2 3 2 2 2 6" xfId="6976"/>
    <cellStyle name="Normal 7 3 2 3 2 2 2 7" xfId="12515"/>
    <cellStyle name="Normal 7 3 2 3 2 2 3" xfId="1093"/>
    <cellStyle name="Normal 7 3 2 3 2 2 3 2" xfId="3623"/>
    <cellStyle name="Normal 7 3 2 3 2 2 3 2 2" xfId="9165"/>
    <cellStyle name="Normal 7 3 2 3 2 2 3 2 3" xfId="14704"/>
    <cellStyle name="Normal 7 3 2 3 2 2 3 3" xfId="4660"/>
    <cellStyle name="Normal 7 3 2 3 2 2 3 3 2" xfId="10199"/>
    <cellStyle name="Normal 7 3 2 3 2 2 3 3 3" xfId="15738"/>
    <cellStyle name="Normal 7 3 2 3 2 2 3 4" xfId="5595"/>
    <cellStyle name="Normal 7 3 2 3 2 2 3 4 2" xfId="11134"/>
    <cellStyle name="Normal 7 3 2 3 2 2 3 4 3" xfId="16673"/>
    <cellStyle name="Normal 7 3 2 3 2 2 3 5" xfId="2297"/>
    <cellStyle name="Normal 7 3 2 3 2 2 3 5 2" xfId="7843"/>
    <cellStyle name="Normal 7 3 2 3 2 2 3 5 3" xfId="13382"/>
    <cellStyle name="Normal 7 3 2 3 2 2 3 6" xfId="6638"/>
    <cellStyle name="Normal 7 3 2 3 2 2 3 7" xfId="12177"/>
    <cellStyle name="Normal 7 3 2 3 2 2 4" xfId="3248"/>
    <cellStyle name="Normal 7 3 2 3 2 2 4 2" xfId="8790"/>
    <cellStyle name="Normal 7 3 2 3 2 2 4 3" xfId="14329"/>
    <cellStyle name="Normal 7 3 2 3 2 2 5" xfId="4287"/>
    <cellStyle name="Normal 7 3 2 3 2 2 5 2" xfId="9826"/>
    <cellStyle name="Normal 7 3 2 3 2 2 5 3" xfId="15365"/>
    <cellStyle name="Normal 7 3 2 3 2 2 6" xfId="5248"/>
    <cellStyle name="Normal 7 3 2 3 2 2 6 2" xfId="10787"/>
    <cellStyle name="Normal 7 3 2 3 2 2 6 3" xfId="16326"/>
    <cellStyle name="Normal 7 3 2 3 2 2 7" xfId="1950"/>
    <cellStyle name="Normal 7 3 2 3 2 2 7 2" xfId="7496"/>
    <cellStyle name="Normal 7 3 2 3 2 2 7 3" xfId="13035"/>
    <cellStyle name="Normal 7 3 2 3 2 2 8" xfId="6291"/>
    <cellStyle name="Normal 7 3 2 3 2 2 9" xfId="11830"/>
    <cellStyle name="Normal 7 3 2 3 2 3" xfId="1270"/>
    <cellStyle name="Normal 7 3 2 3 2 3 2" xfId="3800"/>
    <cellStyle name="Normal 7 3 2 3 2 3 2 2" xfId="9342"/>
    <cellStyle name="Normal 7 3 2 3 2 3 2 3" xfId="14881"/>
    <cellStyle name="Normal 7 3 2 3 2 3 3" xfId="4837"/>
    <cellStyle name="Normal 7 3 2 3 2 3 3 2" xfId="10376"/>
    <cellStyle name="Normal 7 3 2 3 2 3 3 3" xfId="15915"/>
    <cellStyle name="Normal 7 3 2 3 2 3 4" xfId="5772"/>
    <cellStyle name="Normal 7 3 2 3 2 3 4 2" xfId="11311"/>
    <cellStyle name="Normal 7 3 2 3 2 3 4 3" xfId="16850"/>
    <cellStyle name="Normal 7 3 2 3 2 3 5" xfId="2474"/>
    <cellStyle name="Normal 7 3 2 3 2 3 5 2" xfId="8020"/>
    <cellStyle name="Normal 7 3 2 3 2 3 5 3" xfId="13559"/>
    <cellStyle name="Normal 7 3 2 3 2 3 6" xfId="6815"/>
    <cellStyle name="Normal 7 3 2 3 2 3 7" xfId="12354"/>
    <cellStyle name="Normal 7 3 2 3 2 4" xfId="920"/>
    <cellStyle name="Normal 7 3 2 3 2 4 2" xfId="3450"/>
    <cellStyle name="Normal 7 3 2 3 2 4 2 2" xfId="8992"/>
    <cellStyle name="Normal 7 3 2 3 2 4 2 3" xfId="14531"/>
    <cellStyle name="Normal 7 3 2 3 2 4 3" xfId="4487"/>
    <cellStyle name="Normal 7 3 2 3 2 4 3 2" xfId="10026"/>
    <cellStyle name="Normal 7 3 2 3 2 4 3 3" xfId="15565"/>
    <cellStyle name="Normal 7 3 2 3 2 4 4" xfId="5422"/>
    <cellStyle name="Normal 7 3 2 3 2 4 4 2" xfId="10961"/>
    <cellStyle name="Normal 7 3 2 3 2 4 4 3" xfId="16500"/>
    <cellStyle name="Normal 7 3 2 3 2 4 5" xfId="2124"/>
    <cellStyle name="Normal 7 3 2 3 2 4 5 2" xfId="7670"/>
    <cellStyle name="Normal 7 3 2 3 2 4 5 3" xfId="13209"/>
    <cellStyle name="Normal 7 3 2 3 2 4 6" xfId="6465"/>
    <cellStyle name="Normal 7 3 2 3 2 4 7" xfId="12004"/>
    <cellStyle name="Normal 7 3 2 3 2 5" xfId="1615"/>
    <cellStyle name="Normal 7 3 2 3 2 5 2" xfId="2820"/>
    <cellStyle name="Normal 7 3 2 3 2 5 2 2" xfId="8366"/>
    <cellStyle name="Normal 7 3 2 3 2 5 2 3" xfId="13905"/>
    <cellStyle name="Normal 7 3 2 3 2 5 3" xfId="7161"/>
    <cellStyle name="Normal 7 3 2 3 2 5 4" xfId="12700"/>
    <cellStyle name="Normal 7 3 2 3 2 6" xfId="2993"/>
    <cellStyle name="Normal 7 3 2 3 2 6 2" xfId="8537"/>
    <cellStyle name="Normal 7 3 2 3 2 6 3" xfId="14076"/>
    <cellStyle name="Normal 7 3 2 3 2 7" xfId="4038"/>
    <cellStyle name="Normal 7 3 2 3 2 7 2" xfId="9580"/>
    <cellStyle name="Normal 7 3 2 3 2 7 3" xfId="15119"/>
    <cellStyle name="Normal 7 3 2 3 2 8" xfId="5075"/>
    <cellStyle name="Normal 7 3 2 3 2 8 2" xfId="10614"/>
    <cellStyle name="Normal 7 3 2 3 2 8 3" xfId="16153"/>
    <cellStyle name="Normal 7 3 2 3 2 9" xfId="1777"/>
    <cellStyle name="Normal 7 3 2 3 2 9 2" xfId="7323"/>
    <cellStyle name="Normal 7 3 2 3 2 9 3" xfId="12862"/>
    <cellStyle name="Normal 7 3 2 3 3" xfId="588"/>
    <cellStyle name="Normal 7 3 2 3 3 2" xfId="1429"/>
    <cellStyle name="Normal 7 3 2 3 3 2 2" xfId="3961"/>
    <cellStyle name="Normal 7 3 2 3 3 2 2 2" xfId="9503"/>
    <cellStyle name="Normal 7 3 2 3 3 2 2 3" xfId="15042"/>
    <cellStyle name="Normal 7 3 2 3 3 2 3" xfId="4998"/>
    <cellStyle name="Normal 7 3 2 3 3 2 3 2" xfId="10537"/>
    <cellStyle name="Normal 7 3 2 3 3 2 3 3" xfId="16076"/>
    <cellStyle name="Normal 7 3 2 3 3 2 4" xfId="5932"/>
    <cellStyle name="Normal 7 3 2 3 3 2 4 2" xfId="11471"/>
    <cellStyle name="Normal 7 3 2 3 3 2 4 3" xfId="17010"/>
    <cellStyle name="Normal 7 3 2 3 3 2 5" xfId="2634"/>
    <cellStyle name="Normal 7 3 2 3 3 2 5 2" xfId="8180"/>
    <cellStyle name="Normal 7 3 2 3 3 2 5 3" xfId="13719"/>
    <cellStyle name="Normal 7 3 2 3 3 2 6" xfId="6975"/>
    <cellStyle name="Normal 7 3 2 3 3 2 7" xfId="12514"/>
    <cellStyle name="Normal 7 3 2 3 3 3" xfId="1003"/>
    <cellStyle name="Normal 7 3 2 3 3 3 2" xfId="3533"/>
    <cellStyle name="Normal 7 3 2 3 3 3 2 2" xfId="9075"/>
    <cellStyle name="Normal 7 3 2 3 3 3 2 3" xfId="14614"/>
    <cellStyle name="Normal 7 3 2 3 3 3 3" xfId="4570"/>
    <cellStyle name="Normal 7 3 2 3 3 3 3 2" xfId="10109"/>
    <cellStyle name="Normal 7 3 2 3 3 3 3 3" xfId="15648"/>
    <cellStyle name="Normal 7 3 2 3 3 3 4" xfId="5505"/>
    <cellStyle name="Normal 7 3 2 3 3 3 4 2" xfId="11044"/>
    <cellStyle name="Normal 7 3 2 3 3 3 4 3" xfId="16583"/>
    <cellStyle name="Normal 7 3 2 3 3 3 5" xfId="2207"/>
    <cellStyle name="Normal 7 3 2 3 3 3 5 2" xfId="7753"/>
    <cellStyle name="Normal 7 3 2 3 3 3 5 3" xfId="13292"/>
    <cellStyle name="Normal 7 3 2 3 3 3 6" xfId="6548"/>
    <cellStyle name="Normal 7 3 2 3 3 3 7" xfId="12087"/>
    <cellStyle name="Normal 7 3 2 3 3 4" xfId="3247"/>
    <cellStyle name="Normal 7 3 2 3 3 4 2" xfId="8789"/>
    <cellStyle name="Normal 7 3 2 3 3 4 3" xfId="14328"/>
    <cellStyle name="Normal 7 3 2 3 3 5" xfId="4286"/>
    <cellStyle name="Normal 7 3 2 3 3 5 2" xfId="9825"/>
    <cellStyle name="Normal 7 3 2 3 3 5 3" xfId="15364"/>
    <cellStyle name="Normal 7 3 2 3 3 6" xfId="5247"/>
    <cellStyle name="Normal 7 3 2 3 3 6 2" xfId="10786"/>
    <cellStyle name="Normal 7 3 2 3 3 6 3" xfId="16325"/>
    <cellStyle name="Normal 7 3 2 3 3 7" xfId="1949"/>
    <cellStyle name="Normal 7 3 2 3 3 7 2" xfId="7495"/>
    <cellStyle name="Normal 7 3 2 3 3 7 3" xfId="13034"/>
    <cellStyle name="Normal 7 3 2 3 3 8" xfId="6290"/>
    <cellStyle name="Normal 7 3 2 3 3 9" xfId="11829"/>
    <cellStyle name="Normal 7 3 2 3 4" xfId="1180"/>
    <cellStyle name="Normal 7 3 2 3 4 2" xfId="3710"/>
    <cellStyle name="Normal 7 3 2 3 4 2 2" xfId="9252"/>
    <cellStyle name="Normal 7 3 2 3 4 2 3" xfId="14791"/>
    <cellStyle name="Normal 7 3 2 3 4 3" xfId="4747"/>
    <cellStyle name="Normal 7 3 2 3 4 3 2" xfId="10286"/>
    <cellStyle name="Normal 7 3 2 3 4 3 3" xfId="15825"/>
    <cellStyle name="Normal 7 3 2 3 4 4" xfId="5682"/>
    <cellStyle name="Normal 7 3 2 3 4 4 2" xfId="11221"/>
    <cellStyle name="Normal 7 3 2 3 4 4 3" xfId="16760"/>
    <cellStyle name="Normal 7 3 2 3 4 5" xfId="2384"/>
    <cellStyle name="Normal 7 3 2 3 4 5 2" xfId="7930"/>
    <cellStyle name="Normal 7 3 2 3 4 5 3" xfId="13469"/>
    <cellStyle name="Normal 7 3 2 3 4 6" xfId="6725"/>
    <cellStyle name="Normal 7 3 2 3 4 7" xfId="12264"/>
    <cellStyle name="Normal 7 3 2 3 5" xfId="919"/>
    <cellStyle name="Normal 7 3 2 3 5 2" xfId="3449"/>
    <cellStyle name="Normal 7 3 2 3 5 2 2" xfId="8991"/>
    <cellStyle name="Normal 7 3 2 3 5 2 3" xfId="14530"/>
    <cellStyle name="Normal 7 3 2 3 5 3" xfId="4486"/>
    <cellStyle name="Normal 7 3 2 3 5 3 2" xfId="10025"/>
    <cellStyle name="Normal 7 3 2 3 5 3 3" xfId="15564"/>
    <cellStyle name="Normal 7 3 2 3 5 4" xfId="5421"/>
    <cellStyle name="Normal 7 3 2 3 5 4 2" xfId="10960"/>
    <cellStyle name="Normal 7 3 2 3 5 4 3" xfId="16499"/>
    <cellStyle name="Normal 7 3 2 3 5 5" xfId="2123"/>
    <cellStyle name="Normal 7 3 2 3 5 5 2" xfId="7669"/>
    <cellStyle name="Normal 7 3 2 3 5 5 3" xfId="13208"/>
    <cellStyle name="Normal 7 3 2 3 5 6" xfId="6464"/>
    <cellStyle name="Normal 7 3 2 3 5 7" xfId="12003"/>
    <cellStyle name="Normal 7 3 2 3 6" xfId="1525"/>
    <cellStyle name="Normal 7 3 2 3 6 2" xfId="2730"/>
    <cellStyle name="Normal 7 3 2 3 6 2 2" xfId="8276"/>
    <cellStyle name="Normal 7 3 2 3 6 2 3" xfId="13815"/>
    <cellStyle name="Normal 7 3 2 3 6 3" xfId="7071"/>
    <cellStyle name="Normal 7 3 2 3 6 4" xfId="12610"/>
    <cellStyle name="Normal 7 3 2 3 7" xfId="2903"/>
    <cellStyle name="Normal 7 3 2 3 7 2" xfId="8447"/>
    <cellStyle name="Normal 7 3 2 3 7 3" xfId="13986"/>
    <cellStyle name="Normal 7 3 2 3 8" xfId="3296"/>
    <cellStyle name="Normal 7 3 2 3 8 2" xfId="8838"/>
    <cellStyle name="Normal 7 3 2 3 8 3" xfId="14377"/>
    <cellStyle name="Normal 7 3 2 3 9" xfId="4335"/>
    <cellStyle name="Normal 7 3 2 3 9 2" xfId="9874"/>
    <cellStyle name="Normal 7 3 2 3 9 3" xfId="15413"/>
    <cellStyle name="Normal 7 3 2 4" xfId="391"/>
    <cellStyle name="Normal 7 3 2 4 10" xfId="1723"/>
    <cellStyle name="Normal 7 3 2 4 10 2" xfId="7269"/>
    <cellStyle name="Normal 7 3 2 4 10 3" xfId="12808"/>
    <cellStyle name="Normal 7 3 2 4 11" xfId="6064"/>
    <cellStyle name="Normal 7 3 2 4 11 2" xfId="17142"/>
    <cellStyle name="Normal 7 3 2 4 12" xfId="708"/>
    <cellStyle name="Normal 7 3 2 4 12 2" xfId="17304"/>
    <cellStyle name="Normal 7 3 2 4 13" xfId="11603"/>
    <cellStyle name="Normal 7 3 2 4 14" xfId="17471"/>
    <cellStyle name="Normal 7 3 2 4 15" xfId="17636"/>
    <cellStyle name="Normal 7 3 2 4 2" xfId="392"/>
    <cellStyle name="Normal 7 3 2 4 2 10" xfId="6100"/>
    <cellStyle name="Normal 7 3 2 4 2 10 2" xfId="17178"/>
    <cellStyle name="Normal 7 3 2 4 2 11" xfId="744"/>
    <cellStyle name="Normal 7 3 2 4 2 11 2" xfId="17340"/>
    <cellStyle name="Normal 7 3 2 4 2 12" xfId="11639"/>
    <cellStyle name="Normal 7 3 2 4 2 13" xfId="17507"/>
    <cellStyle name="Normal 7 3 2 4 2 14" xfId="17672"/>
    <cellStyle name="Normal 7 3 2 4 2 2" xfId="591"/>
    <cellStyle name="Normal 7 3 2 4 2 2 2" xfId="1432"/>
    <cellStyle name="Normal 7 3 2 4 2 2 2 2" xfId="3964"/>
    <cellStyle name="Normal 7 3 2 4 2 2 2 2 2" xfId="9506"/>
    <cellStyle name="Normal 7 3 2 4 2 2 2 2 3" xfId="15045"/>
    <cellStyle name="Normal 7 3 2 4 2 2 2 3" xfId="5001"/>
    <cellStyle name="Normal 7 3 2 4 2 2 2 3 2" xfId="10540"/>
    <cellStyle name="Normal 7 3 2 4 2 2 2 3 3" xfId="16079"/>
    <cellStyle name="Normal 7 3 2 4 2 2 2 4" xfId="5935"/>
    <cellStyle name="Normal 7 3 2 4 2 2 2 4 2" xfId="11474"/>
    <cellStyle name="Normal 7 3 2 4 2 2 2 4 3" xfId="17013"/>
    <cellStyle name="Normal 7 3 2 4 2 2 2 5" xfId="2637"/>
    <cellStyle name="Normal 7 3 2 4 2 2 2 5 2" xfId="8183"/>
    <cellStyle name="Normal 7 3 2 4 2 2 2 5 3" xfId="13722"/>
    <cellStyle name="Normal 7 3 2 4 2 2 2 6" xfId="6978"/>
    <cellStyle name="Normal 7 3 2 4 2 2 2 7" xfId="12517"/>
    <cellStyle name="Normal 7 3 2 4 2 2 3" xfId="1075"/>
    <cellStyle name="Normal 7 3 2 4 2 2 3 2" xfId="3605"/>
    <cellStyle name="Normal 7 3 2 4 2 2 3 2 2" xfId="9147"/>
    <cellStyle name="Normal 7 3 2 4 2 2 3 2 3" xfId="14686"/>
    <cellStyle name="Normal 7 3 2 4 2 2 3 3" xfId="4642"/>
    <cellStyle name="Normal 7 3 2 4 2 2 3 3 2" xfId="10181"/>
    <cellStyle name="Normal 7 3 2 4 2 2 3 3 3" xfId="15720"/>
    <cellStyle name="Normal 7 3 2 4 2 2 3 4" xfId="5577"/>
    <cellStyle name="Normal 7 3 2 4 2 2 3 4 2" xfId="11116"/>
    <cellStyle name="Normal 7 3 2 4 2 2 3 4 3" xfId="16655"/>
    <cellStyle name="Normal 7 3 2 4 2 2 3 5" xfId="2279"/>
    <cellStyle name="Normal 7 3 2 4 2 2 3 5 2" xfId="7825"/>
    <cellStyle name="Normal 7 3 2 4 2 2 3 5 3" xfId="13364"/>
    <cellStyle name="Normal 7 3 2 4 2 2 3 6" xfId="6620"/>
    <cellStyle name="Normal 7 3 2 4 2 2 3 7" xfId="12159"/>
    <cellStyle name="Normal 7 3 2 4 2 2 4" xfId="3250"/>
    <cellStyle name="Normal 7 3 2 4 2 2 4 2" xfId="8792"/>
    <cellStyle name="Normal 7 3 2 4 2 2 4 3" xfId="14331"/>
    <cellStyle name="Normal 7 3 2 4 2 2 5" xfId="4289"/>
    <cellStyle name="Normal 7 3 2 4 2 2 5 2" xfId="9828"/>
    <cellStyle name="Normal 7 3 2 4 2 2 5 3" xfId="15367"/>
    <cellStyle name="Normal 7 3 2 4 2 2 6" xfId="5250"/>
    <cellStyle name="Normal 7 3 2 4 2 2 6 2" xfId="10789"/>
    <cellStyle name="Normal 7 3 2 4 2 2 6 3" xfId="16328"/>
    <cellStyle name="Normal 7 3 2 4 2 2 7" xfId="1952"/>
    <cellStyle name="Normal 7 3 2 4 2 2 7 2" xfId="7498"/>
    <cellStyle name="Normal 7 3 2 4 2 2 7 3" xfId="13037"/>
    <cellStyle name="Normal 7 3 2 4 2 2 8" xfId="6293"/>
    <cellStyle name="Normal 7 3 2 4 2 2 9" xfId="11832"/>
    <cellStyle name="Normal 7 3 2 4 2 3" xfId="1252"/>
    <cellStyle name="Normal 7 3 2 4 2 3 2" xfId="3782"/>
    <cellStyle name="Normal 7 3 2 4 2 3 2 2" xfId="9324"/>
    <cellStyle name="Normal 7 3 2 4 2 3 2 3" xfId="14863"/>
    <cellStyle name="Normal 7 3 2 4 2 3 3" xfId="4819"/>
    <cellStyle name="Normal 7 3 2 4 2 3 3 2" xfId="10358"/>
    <cellStyle name="Normal 7 3 2 4 2 3 3 3" xfId="15897"/>
    <cellStyle name="Normal 7 3 2 4 2 3 4" xfId="5754"/>
    <cellStyle name="Normal 7 3 2 4 2 3 4 2" xfId="11293"/>
    <cellStyle name="Normal 7 3 2 4 2 3 4 3" xfId="16832"/>
    <cellStyle name="Normal 7 3 2 4 2 3 5" xfId="2456"/>
    <cellStyle name="Normal 7 3 2 4 2 3 5 2" xfId="8002"/>
    <cellStyle name="Normal 7 3 2 4 2 3 5 3" xfId="13541"/>
    <cellStyle name="Normal 7 3 2 4 2 3 6" xfId="6797"/>
    <cellStyle name="Normal 7 3 2 4 2 3 7" xfId="12336"/>
    <cellStyle name="Normal 7 3 2 4 2 4" xfId="922"/>
    <cellStyle name="Normal 7 3 2 4 2 4 2" xfId="3452"/>
    <cellStyle name="Normal 7 3 2 4 2 4 2 2" xfId="8994"/>
    <cellStyle name="Normal 7 3 2 4 2 4 2 3" xfId="14533"/>
    <cellStyle name="Normal 7 3 2 4 2 4 3" xfId="4489"/>
    <cellStyle name="Normal 7 3 2 4 2 4 3 2" xfId="10028"/>
    <cellStyle name="Normal 7 3 2 4 2 4 3 3" xfId="15567"/>
    <cellStyle name="Normal 7 3 2 4 2 4 4" xfId="5424"/>
    <cellStyle name="Normal 7 3 2 4 2 4 4 2" xfId="10963"/>
    <cellStyle name="Normal 7 3 2 4 2 4 4 3" xfId="16502"/>
    <cellStyle name="Normal 7 3 2 4 2 4 5" xfId="2126"/>
    <cellStyle name="Normal 7 3 2 4 2 4 5 2" xfId="7672"/>
    <cellStyle name="Normal 7 3 2 4 2 4 5 3" xfId="13211"/>
    <cellStyle name="Normal 7 3 2 4 2 4 6" xfId="6467"/>
    <cellStyle name="Normal 7 3 2 4 2 4 7" xfId="12006"/>
    <cellStyle name="Normal 7 3 2 4 2 5" xfId="1597"/>
    <cellStyle name="Normal 7 3 2 4 2 5 2" xfId="2802"/>
    <cellStyle name="Normal 7 3 2 4 2 5 2 2" xfId="8348"/>
    <cellStyle name="Normal 7 3 2 4 2 5 2 3" xfId="13887"/>
    <cellStyle name="Normal 7 3 2 4 2 5 3" xfId="7143"/>
    <cellStyle name="Normal 7 3 2 4 2 5 4" xfId="12682"/>
    <cellStyle name="Normal 7 3 2 4 2 6" xfId="2975"/>
    <cellStyle name="Normal 7 3 2 4 2 6 2" xfId="8519"/>
    <cellStyle name="Normal 7 3 2 4 2 6 3" xfId="14058"/>
    <cellStyle name="Normal 7 3 2 4 2 7" xfId="4020"/>
    <cellStyle name="Normal 7 3 2 4 2 7 2" xfId="9562"/>
    <cellStyle name="Normal 7 3 2 4 2 7 3" xfId="15101"/>
    <cellStyle name="Normal 7 3 2 4 2 8" xfId="5057"/>
    <cellStyle name="Normal 7 3 2 4 2 8 2" xfId="10596"/>
    <cellStyle name="Normal 7 3 2 4 2 8 3" xfId="16135"/>
    <cellStyle name="Normal 7 3 2 4 2 9" xfId="1759"/>
    <cellStyle name="Normal 7 3 2 4 2 9 2" xfId="7305"/>
    <cellStyle name="Normal 7 3 2 4 2 9 3" xfId="12844"/>
    <cellStyle name="Normal 7 3 2 4 3" xfId="590"/>
    <cellStyle name="Normal 7 3 2 4 3 2" xfId="1431"/>
    <cellStyle name="Normal 7 3 2 4 3 2 2" xfId="3963"/>
    <cellStyle name="Normal 7 3 2 4 3 2 2 2" xfId="9505"/>
    <cellStyle name="Normal 7 3 2 4 3 2 2 3" xfId="15044"/>
    <cellStyle name="Normal 7 3 2 4 3 2 3" xfId="5000"/>
    <cellStyle name="Normal 7 3 2 4 3 2 3 2" xfId="10539"/>
    <cellStyle name="Normal 7 3 2 4 3 2 3 3" xfId="16078"/>
    <cellStyle name="Normal 7 3 2 4 3 2 4" xfId="5934"/>
    <cellStyle name="Normal 7 3 2 4 3 2 4 2" xfId="11473"/>
    <cellStyle name="Normal 7 3 2 4 3 2 4 3" xfId="17012"/>
    <cellStyle name="Normal 7 3 2 4 3 2 5" xfId="2636"/>
    <cellStyle name="Normal 7 3 2 4 3 2 5 2" xfId="8182"/>
    <cellStyle name="Normal 7 3 2 4 3 2 5 3" xfId="13721"/>
    <cellStyle name="Normal 7 3 2 4 3 2 6" xfId="6977"/>
    <cellStyle name="Normal 7 3 2 4 3 2 7" xfId="12516"/>
    <cellStyle name="Normal 7 3 2 4 3 3" xfId="1039"/>
    <cellStyle name="Normal 7 3 2 4 3 3 2" xfId="3569"/>
    <cellStyle name="Normal 7 3 2 4 3 3 2 2" xfId="9111"/>
    <cellStyle name="Normal 7 3 2 4 3 3 2 3" xfId="14650"/>
    <cellStyle name="Normal 7 3 2 4 3 3 3" xfId="4606"/>
    <cellStyle name="Normal 7 3 2 4 3 3 3 2" xfId="10145"/>
    <cellStyle name="Normal 7 3 2 4 3 3 3 3" xfId="15684"/>
    <cellStyle name="Normal 7 3 2 4 3 3 4" xfId="5541"/>
    <cellStyle name="Normal 7 3 2 4 3 3 4 2" xfId="11080"/>
    <cellStyle name="Normal 7 3 2 4 3 3 4 3" xfId="16619"/>
    <cellStyle name="Normal 7 3 2 4 3 3 5" xfId="2243"/>
    <cellStyle name="Normal 7 3 2 4 3 3 5 2" xfId="7789"/>
    <cellStyle name="Normal 7 3 2 4 3 3 5 3" xfId="13328"/>
    <cellStyle name="Normal 7 3 2 4 3 3 6" xfId="6584"/>
    <cellStyle name="Normal 7 3 2 4 3 3 7" xfId="12123"/>
    <cellStyle name="Normal 7 3 2 4 3 4" xfId="3249"/>
    <cellStyle name="Normal 7 3 2 4 3 4 2" xfId="8791"/>
    <cellStyle name="Normal 7 3 2 4 3 4 3" xfId="14330"/>
    <cellStyle name="Normal 7 3 2 4 3 5" xfId="4288"/>
    <cellStyle name="Normal 7 3 2 4 3 5 2" xfId="9827"/>
    <cellStyle name="Normal 7 3 2 4 3 5 3" xfId="15366"/>
    <cellStyle name="Normal 7 3 2 4 3 6" xfId="5249"/>
    <cellStyle name="Normal 7 3 2 4 3 6 2" xfId="10788"/>
    <cellStyle name="Normal 7 3 2 4 3 6 3" xfId="16327"/>
    <cellStyle name="Normal 7 3 2 4 3 7" xfId="1951"/>
    <cellStyle name="Normal 7 3 2 4 3 7 2" xfId="7497"/>
    <cellStyle name="Normal 7 3 2 4 3 7 3" xfId="13036"/>
    <cellStyle name="Normal 7 3 2 4 3 8" xfId="6292"/>
    <cellStyle name="Normal 7 3 2 4 3 9" xfId="11831"/>
    <cellStyle name="Normal 7 3 2 4 4" xfId="1216"/>
    <cellStyle name="Normal 7 3 2 4 4 2" xfId="3746"/>
    <cellStyle name="Normal 7 3 2 4 4 2 2" xfId="9288"/>
    <cellStyle name="Normal 7 3 2 4 4 2 3" xfId="14827"/>
    <cellStyle name="Normal 7 3 2 4 4 3" xfId="4783"/>
    <cellStyle name="Normal 7 3 2 4 4 3 2" xfId="10322"/>
    <cellStyle name="Normal 7 3 2 4 4 3 3" xfId="15861"/>
    <cellStyle name="Normal 7 3 2 4 4 4" xfId="5718"/>
    <cellStyle name="Normal 7 3 2 4 4 4 2" xfId="11257"/>
    <cellStyle name="Normal 7 3 2 4 4 4 3" xfId="16796"/>
    <cellStyle name="Normal 7 3 2 4 4 5" xfId="2420"/>
    <cellStyle name="Normal 7 3 2 4 4 5 2" xfId="7966"/>
    <cellStyle name="Normal 7 3 2 4 4 5 3" xfId="13505"/>
    <cellStyle name="Normal 7 3 2 4 4 6" xfId="6761"/>
    <cellStyle name="Normal 7 3 2 4 4 7" xfId="12300"/>
    <cellStyle name="Normal 7 3 2 4 5" xfId="921"/>
    <cellStyle name="Normal 7 3 2 4 5 2" xfId="3451"/>
    <cellStyle name="Normal 7 3 2 4 5 2 2" xfId="8993"/>
    <cellStyle name="Normal 7 3 2 4 5 2 3" xfId="14532"/>
    <cellStyle name="Normal 7 3 2 4 5 3" xfId="4488"/>
    <cellStyle name="Normal 7 3 2 4 5 3 2" xfId="10027"/>
    <cellStyle name="Normal 7 3 2 4 5 3 3" xfId="15566"/>
    <cellStyle name="Normal 7 3 2 4 5 4" xfId="5423"/>
    <cellStyle name="Normal 7 3 2 4 5 4 2" xfId="10962"/>
    <cellStyle name="Normal 7 3 2 4 5 4 3" xfId="16501"/>
    <cellStyle name="Normal 7 3 2 4 5 5" xfId="2125"/>
    <cellStyle name="Normal 7 3 2 4 5 5 2" xfId="7671"/>
    <cellStyle name="Normal 7 3 2 4 5 5 3" xfId="13210"/>
    <cellStyle name="Normal 7 3 2 4 5 6" xfId="6466"/>
    <cellStyle name="Normal 7 3 2 4 5 7" xfId="12005"/>
    <cellStyle name="Normal 7 3 2 4 6" xfId="1561"/>
    <cellStyle name="Normal 7 3 2 4 6 2" xfId="2766"/>
    <cellStyle name="Normal 7 3 2 4 6 2 2" xfId="8312"/>
    <cellStyle name="Normal 7 3 2 4 6 2 3" xfId="13851"/>
    <cellStyle name="Normal 7 3 2 4 6 3" xfId="7107"/>
    <cellStyle name="Normal 7 3 2 4 6 4" xfId="12646"/>
    <cellStyle name="Normal 7 3 2 4 7" xfId="2939"/>
    <cellStyle name="Normal 7 3 2 4 7 2" xfId="8483"/>
    <cellStyle name="Normal 7 3 2 4 7 3" xfId="14022"/>
    <cellStyle name="Normal 7 3 2 4 8" xfId="3075"/>
    <cellStyle name="Normal 7 3 2 4 8 2" xfId="8618"/>
    <cellStyle name="Normal 7 3 2 4 8 3" xfId="14157"/>
    <cellStyle name="Normal 7 3 2 4 9" xfId="4118"/>
    <cellStyle name="Normal 7 3 2 4 9 2" xfId="9659"/>
    <cellStyle name="Normal 7 3 2 4 9 3" xfId="15198"/>
    <cellStyle name="Normal 7 3 2 5" xfId="393"/>
    <cellStyle name="Normal 7 3 2 5 10" xfId="6082"/>
    <cellStyle name="Normal 7 3 2 5 10 2" xfId="17160"/>
    <cellStyle name="Normal 7 3 2 5 11" xfId="726"/>
    <cellStyle name="Normal 7 3 2 5 11 2" xfId="17322"/>
    <cellStyle name="Normal 7 3 2 5 12" xfId="11621"/>
    <cellStyle name="Normal 7 3 2 5 13" xfId="17489"/>
    <cellStyle name="Normal 7 3 2 5 14" xfId="17654"/>
    <cellStyle name="Normal 7 3 2 5 2" xfId="592"/>
    <cellStyle name="Normal 7 3 2 5 2 2" xfId="1433"/>
    <cellStyle name="Normal 7 3 2 5 2 2 2" xfId="3965"/>
    <cellStyle name="Normal 7 3 2 5 2 2 2 2" xfId="9507"/>
    <cellStyle name="Normal 7 3 2 5 2 2 2 3" xfId="15046"/>
    <cellStyle name="Normal 7 3 2 5 2 2 3" xfId="5002"/>
    <cellStyle name="Normal 7 3 2 5 2 2 3 2" xfId="10541"/>
    <cellStyle name="Normal 7 3 2 5 2 2 3 3" xfId="16080"/>
    <cellStyle name="Normal 7 3 2 5 2 2 4" xfId="5936"/>
    <cellStyle name="Normal 7 3 2 5 2 2 4 2" xfId="11475"/>
    <cellStyle name="Normal 7 3 2 5 2 2 4 3" xfId="17014"/>
    <cellStyle name="Normal 7 3 2 5 2 2 5" xfId="2638"/>
    <cellStyle name="Normal 7 3 2 5 2 2 5 2" xfId="8184"/>
    <cellStyle name="Normal 7 3 2 5 2 2 5 3" xfId="13723"/>
    <cellStyle name="Normal 7 3 2 5 2 2 6" xfId="6979"/>
    <cellStyle name="Normal 7 3 2 5 2 2 7" xfId="12518"/>
    <cellStyle name="Normal 7 3 2 5 2 3" xfId="1057"/>
    <cellStyle name="Normal 7 3 2 5 2 3 2" xfId="3587"/>
    <cellStyle name="Normal 7 3 2 5 2 3 2 2" xfId="9129"/>
    <cellStyle name="Normal 7 3 2 5 2 3 2 3" xfId="14668"/>
    <cellStyle name="Normal 7 3 2 5 2 3 3" xfId="4624"/>
    <cellStyle name="Normal 7 3 2 5 2 3 3 2" xfId="10163"/>
    <cellStyle name="Normal 7 3 2 5 2 3 3 3" xfId="15702"/>
    <cellStyle name="Normal 7 3 2 5 2 3 4" xfId="5559"/>
    <cellStyle name="Normal 7 3 2 5 2 3 4 2" xfId="11098"/>
    <cellStyle name="Normal 7 3 2 5 2 3 4 3" xfId="16637"/>
    <cellStyle name="Normal 7 3 2 5 2 3 5" xfId="2261"/>
    <cellStyle name="Normal 7 3 2 5 2 3 5 2" xfId="7807"/>
    <cellStyle name="Normal 7 3 2 5 2 3 5 3" xfId="13346"/>
    <cellStyle name="Normal 7 3 2 5 2 3 6" xfId="6602"/>
    <cellStyle name="Normal 7 3 2 5 2 3 7" xfId="12141"/>
    <cellStyle name="Normal 7 3 2 5 2 4" xfId="3251"/>
    <cellStyle name="Normal 7 3 2 5 2 4 2" xfId="8793"/>
    <cellStyle name="Normal 7 3 2 5 2 4 3" xfId="14332"/>
    <cellStyle name="Normal 7 3 2 5 2 5" xfId="4290"/>
    <cellStyle name="Normal 7 3 2 5 2 5 2" xfId="9829"/>
    <cellStyle name="Normal 7 3 2 5 2 5 3" xfId="15368"/>
    <cellStyle name="Normal 7 3 2 5 2 6" xfId="5251"/>
    <cellStyle name="Normal 7 3 2 5 2 6 2" xfId="10790"/>
    <cellStyle name="Normal 7 3 2 5 2 6 3" xfId="16329"/>
    <cellStyle name="Normal 7 3 2 5 2 7" xfId="1953"/>
    <cellStyle name="Normal 7 3 2 5 2 7 2" xfId="7499"/>
    <cellStyle name="Normal 7 3 2 5 2 7 3" xfId="13038"/>
    <cellStyle name="Normal 7 3 2 5 2 8" xfId="6294"/>
    <cellStyle name="Normal 7 3 2 5 2 9" xfId="11833"/>
    <cellStyle name="Normal 7 3 2 5 3" xfId="1234"/>
    <cellStyle name="Normal 7 3 2 5 3 2" xfId="3764"/>
    <cellStyle name="Normal 7 3 2 5 3 2 2" xfId="9306"/>
    <cellStyle name="Normal 7 3 2 5 3 2 3" xfId="14845"/>
    <cellStyle name="Normal 7 3 2 5 3 3" xfId="4801"/>
    <cellStyle name="Normal 7 3 2 5 3 3 2" xfId="10340"/>
    <cellStyle name="Normal 7 3 2 5 3 3 3" xfId="15879"/>
    <cellStyle name="Normal 7 3 2 5 3 4" xfId="5736"/>
    <cellStyle name="Normal 7 3 2 5 3 4 2" xfId="11275"/>
    <cellStyle name="Normal 7 3 2 5 3 4 3" xfId="16814"/>
    <cellStyle name="Normal 7 3 2 5 3 5" xfId="2438"/>
    <cellStyle name="Normal 7 3 2 5 3 5 2" xfId="7984"/>
    <cellStyle name="Normal 7 3 2 5 3 5 3" xfId="13523"/>
    <cellStyle name="Normal 7 3 2 5 3 6" xfId="6779"/>
    <cellStyle name="Normal 7 3 2 5 3 7" xfId="12318"/>
    <cellStyle name="Normal 7 3 2 5 4" xfId="923"/>
    <cellStyle name="Normal 7 3 2 5 4 2" xfId="3453"/>
    <cellStyle name="Normal 7 3 2 5 4 2 2" xfId="8995"/>
    <cellStyle name="Normal 7 3 2 5 4 2 3" xfId="14534"/>
    <cellStyle name="Normal 7 3 2 5 4 3" xfId="4490"/>
    <cellStyle name="Normal 7 3 2 5 4 3 2" xfId="10029"/>
    <cellStyle name="Normal 7 3 2 5 4 3 3" xfId="15568"/>
    <cellStyle name="Normal 7 3 2 5 4 4" xfId="5425"/>
    <cellStyle name="Normal 7 3 2 5 4 4 2" xfId="10964"/>
    <cellStyle name="Normal 7 3 2 5 4 4 3" xfId="16503"/>
    <cellStyle name="Normal 7 3 2 5 4 5" xfId="2127"/>
    <cellStyle name="Normal 7 3 2 5 4 5 2" xfId="7673"/>
    <cellStyle name="Normal 7 3 2 5 4 5 3" xfId="13212"/>
    <cellStyle name="Normal 7 3 2 5 4 6" xfId="6468"/>
    <cellStyle name="Normal 7 3 2 5 4 7" xfId="12007"/>
    <cellStyle name="Normal 7 3 2 5 5" xfId="1579"/>
    <cellStyle name="Normal 7 3 2 5 5 2" xfId="2784"/>
    <cellStyle name="Normal 7 3 2 5 5 2 2" xfId="8330"/>
    <cellStyle name="Normal 7 3 2 5 5 2 3" xfId="13869"/>
    <cellStyle name="Normal 7 3 2 5 5 3" xfId="7125"/>
    <cellStyle name="Normal 7 3 2 5 5 4" xfId="12664"/>
    <cellStyle name="Normal 7 3 2 5 6" xfId="2957"/>
    <cellStyle name="Normal 7 3 2 5 6 2" xfId="8501"/>
    <cellStyle name="Normal 7 3 2 5 6 3" xfId="14040"/>
    <cellStyle name="Normal 7 3 2 5 7" xfId="3061"/>
    <cellStyle name="Normal 7 3 2 5 7 2" xfId="8604"/>
    <cellStyle name="Normal 7 3 2 5 7 3" xfId="14143"/>
    <cellStyle name="Normal 7 3 2 5 8" xfId="4104"/>
    <cellStyle name="Normal 7 3 2 5 8 2" xfId="9645"/>
    <cellStyle name="Normal 7 3 2 5 8 3" xfId="15184"/>
    <cellStyle name="Normal 7 3 2 5 9" xfId="1741"/>
    <cellStyle name="Normal 7 3 2 5 9 2" xfId="7287"/>
    <cellStyle name="Normal 7 3 2 5 9 3" xfId="12826"/>
    <cellStyle name="Normal 7 3 2 6" xfId="394"/>
    <cellStyle name="Normal 7 3 2 6 10" xfId="6010"/>
    <cellStyle name="Normal 7 3 2 6 10 2" xfId="17088"/>
    <cellStyle name="Normal 7 3 2 6 11" xfId="654"/>
    <cellStyle name="Normal 7 3 2 6 11 2" xfId="17250"/>
    <cellStyle name="Normal 7 3 2 6 12" xfId="11549"/>
    <cellStyle name="Normal 7 3 2 6 13" xfId="17417"/>
    <cellStyle name="Normal 7 3 2 6 14" xfId="17582"/>
    <cellStyle name="Normal 7 3 2 6 2" xfId="593"/>
    <cellStyle name="Normal 7 3 2 6 2 2" xfId="1434"/>
    <cellStyle name="Normal 7 3 2 6 2 2 2" xfId="3966"/>
    <cellStyle name="Normal 7 3 2 6 2 2 2 2" xfId="9508"/>
    <cellStyle name="Normal 7 3 2 6 2 2 2 3" xfId="15047"/>
    <cellStyle name="Normal 7 3 2 6 2 2 3" xfId="5003"/>
    <cellStyle name="Normal 7 3 2 6 2 2 3 2" xfId="10542"/>
    <cellStyle name="Normal 7 3 2 6 2 2 3 3" xfId="16081"/>
    <cellStyle name="Normal 7 3 2 6 2 2 4" xfId="5937"/>
    <cellStyle name="Normal 7 3 2 6 2 2 4 2" xfId="11476"/>
    <cellStyle name="Normal 7 3 2 6 2 2 4 3" xfId="17015"/>
    <cellStyle name="Normal 7 3 2 6 2 2 5" xfId="2639"/>
    <cellStyle name="Normal 7 3 2 6 2 2 5 2" xfId="8185"/>
    <cellStyle name="Normal 7 3 2 6 2 2 5 3" xfId="13724"/>
    <cellStyle name="Normal 7 3 2 6 2 2 6" xfId="6980"/>
    <cellStyle name="Normal 7 3 2 6 2 2 7" xfId="12519"/>
    <cellStyle name="Normal 7 3 2 6 2 3" xfId="985"/>
    <cellStyle name="Normal 7 3 2 6 2 3 2" xfId="3515"/>
    <cellStyle name="Normal 7 3 2 6 2 3 2 2" xfId="9057"/>
    <cellStyle name="Normal 7 3 2 6 2 3 2 3" xfId="14596"/>
    <cellStyle name="Normal 7 3 2 6 2 3 3" xfId="4552"/>
    <cellStyle name="Normal 7 3 2 6 2 3 3 2" xfId="10091"/>
    <cellStyle name="Normal 7 3 2 6 2 3 3 3" xfId="15630"/>
    <cellStyle name="Normal 7 3 2 6 2 3 4" xfId="5487"/>
    <cellStyle name="Normal 7 3 2 6 2 3 4 2" xfId="11026"/>
    <cellStyle name="Normal 7 3 2 6 2 3 4 3" xfId="16565"/>
    <cellStyle name="Normal 7 3 2 6 2 3 5" xfId="2189"/>
    <cellStyle name="Normal 7 3 2 6 2 3 5 2" xfId="7735"/>
    <cellStyle name="Normal 7 3 2 6 2 3 5 3" xfId="13274"/>
    <cellStyle name="Normal 7 3 2 6 2 3 6" xfId="6530"/>
    <cellStyle name="Normal 7 3 2 6 2 3 7" xfId="12069"/>
    <cellStyle name="Normal 7 3 2 6 2 4" xfId="3252"/>
    <cellStyle name="Normal 7 3 2 6 2 4 2" xfId="8794"/>
    <cellStyle name="Normal 7 3 2 6 2 4 3" xfId="14333"/>
    <cellStyle name="Normal 7 3 2 6 2 5" xfId="4291"/>
    <cellStyle name="Normal 7 3 2 6 2 5 2" xfId="9830"/>
    <cellStyle name="Normal 7 3 2 6 2 5 3" xfId="15369"/>
    <cellStyle name="Normal 7 3 2 6 2 6" xfId="5252"/>
    <cellStyle name="Normal 7 3 2 6 2 6 2" xfId="10791"/>
    <cellStyle name="Normal 7 3 2 6 2 6 3" xfId="16330"/>
    <cellStyle name="Normal 7 3 2 6 2 7" xfId="1954"/>
    <cellStyle name="Normal 7 3 2 6 2 7 2" xfId="7500"/>
    <cellStyle name="Normal 7 3 2 6 2 7 3" xfId="13039"/>
    <cellStyle name="Normal 7 3 2 6 2 8" xfId="6295"/>
    <cellStyle name="Normal 7 3 2 6 2 9" xfId="11834"/>
    <cellStyle name="Normal 7 3 2 6 3" xfId="1162"/>
    <cellStyle name="Normal 7 3 2 6 3 2" xfId="3692"/>
    <cellStyle name="Normal 7 3 2 6 3 2 2" xfId="9234"/>
    <cellStyle name="Normal 7 3 2 6 3 2 3" xfId="14773"/>
    <cellStyle name="Normal 7 3 2 6 3 3" xfId="4729"/>
    <cellStyle name="Normal 7 3 2 6 3 3 2" xfId="10268"/>
    <cellStyle name="Normal 7 3 2 6 3 3 3" xfId="15807"/>
    <cellStyle name="Normal 7 3 2 6 3 4" xfId="5664"/>
    <cellStyle name="Normal 7 3 2 6 3 4 2" xfId="11203"/>
    <cellStyle name="Normal 7 3 2 6 3 4 3" xfId="16742"/>
    <cellStyle name="Normal 7 3 2 6 3 5" xfId="2366"/>
    <cellStyle name="Normal 7 3 2 6 3 5 2" xfId="7912"/>
    <cellStyle name="Normal 7 3 2 6 3 5 3" xfId="13451"/>
    <cellStyle name="Normal 7 3 2 6 3 6" xfId="6707"/>
    <cellStyle name="Normal 7 3 2 6 3 7" xfId="12246"/>
    <cellStyle name="Normal 7 3 2 6 4" xfId="924"/>
    <cellStyle name="Normal 7 3 2 6 4 2" xfId="3454"/>
    <cellStyle name="Normal 7 3 2 6 4 2 2" xfId="8996"/>
    <cellStyle name="Normal 7 3 2 6 4 2 3" xfId="14535"/>
    <cellStyle name="Normal 7 3 2 6 4 3" xfId="4491"/>
    <cellStyle name="Normal 7 3 2 6 4 3 2" xfId="10030"/>
    <cellStyle name="Normal 7 3 2 6 4 3 3" xfId="15569"/>
    <cellStyle name="Normal 7 3 2 6 4 4" xfId="5426"/>
    <cellStyle name="Normal 7 3 2 6 4 4 2" xfId="10965"/>
    <cellStyle name="Normal 7 3 2 6 4 4 3" xfId="16504"/>
    <cellStyle name="Normal 7 3 2 6 4 5" xfId="2128"/>
    <cellStyle name="Normal 7 3 2 6 4 5 2" xfId="7674"/>
    <cellStyle name="Normal 7 3 2 6 4 5 3" xfId="13213"/>
    <cellStyle name="Normal 7 3 2 6 4 6" xfId="6469"/>
    <cellStyle name="Normal 7 3 2 6 4 7" xfId="12008"/>
    <cellStyle name="Normal 7 3 2 6 5" xfId="1507"/>
    <cellStyle name="Normal 7 3 2 6 5 2" xfId="2712"/>
    <cellStyle name="Normal 7 3 2 6 5 2 2" xfId="8258"/>
    <cellStyle name="Normal 7 3 2 6 5 2 3" xfId="13797"/>
    <cellStyle name="Normal 7 3 2 6 5 3" xfId="7053"/>
    <cellStyle name="Normal 7 3 2 6 5 4" xfId="12592"/>
    <cellStyle name="Normal 7 3 2 6 6" xfId="2885"/>
    <cellStyle name="Normal 7 3 2 6 6 2" xfId="8429"/>
    <cellStyle name="Normal 7 3 2 6 6 3" xfId="13968"/>
    <cellStyle name="Normal 7 3 2 6 7" xfId="3305"/>
    <cellStyle name="Normal 7 3 2 6 7 2" xfId="8847"/>
    <cellStyle name="Normal 7 3 2 6 7 3" xfId="14386"/>
    <cellStyle name="Normal 7 3 2 6 8" xfId="4342"/>
    <cellStyle name="Normal 7 3 2 6 8 2" xfId="9881"/>
    <cellStyle name="Normal 7 3 2 6 8 3" xfId="15420"/>
    <cellStyle name="Normal 7 3 2 6 9" xfId="1669"/>
    <cellStyle name="Normal 7 3 2 6 9 2" xfId="7215"/>
    <cellStyle name="Normal 7 3 2 6 9 3" xfId="12754"/>
    <cellStyle name="Normal 7 3 2 7" xfId="466"/>
    <cellStyle name="Normal 7 3 2 7 2" xfId="1308"/>
    <cellStyle name="Normal 7 3 2 7 2 2" xfId="3839"/>
    <cellStyle name="Normal 7 3 2 7 2 2 2" xfId="9381"/>
    <cellStyle name="Normal 7 3 2 7 2 2 3" xfId="14920"/>
    <cellStyle name="Normal 7 3 2 7 2 3" xfId="4876"/>
    <cellStyle name="Normal 7 3 2 7 2 3 2" xfId="10415"/>
    <cellStyle name="Normal 7 3 2 7 2 3 3" xfId="15954"/>
    <cellStyle name="Normal 7 3 2 7 2 4" xfId="5811"/>
    <cellStyle name="Normal 7 3 2 7 2 4 2" xfId="11350"/>
    <cellStyle name="Normal 7 3 2 7 2 4 3" xfId="16889"/>
    <cellStyle name="Normal 7 3 2 7 2 5" xfId="2513"/>
    <cellStyle name="Normal 7 3 2 7 2 5 2" xfId="8059"/>
    <cellStyle name="Normal 7 3 2 7 2 5 3" xfId="13598"/>
    <cellStyle name="Normal 7 3 2 7 2 6" xfId="6854"/>
    <cellStyle name="Normal 7 3 2 7 2 7" xfId="12393"/>
    <cellStyle name="Normal 7 3 2 7 3" xfId="967"/>
    <cellStyle name="Normal 7 3 2 7 3 2" xfId="3497"/>
    <cellStyle name="Normal 7 3 2 7 3 2 2" xfId="9039"/>
    <cellStyle name="Normal 7 3 2 7 3 2 3" xfId="14578"/>
    <cellStyle name="Normal 7 3 2 7 3 3" xfId="4534"/>
    <cellStyle name="Normal 7 3 2 7 3 3 2" xfId="10073"/>
    <cellStyle name="Normal 7 3 2 7 3 3 3" xfId="15612"/>
    <cellStyle name="Normal 7 3 2 7 3 4" xfId="5469"/>
    <cellStyle name="Normal 7 3 2 7 3 4 2" xfId="11008"/>
    <cellStyle name="Normal 7 3 2 7 3 4 3" xfId="16547"/>
    <cellStyle name="Normal 7 3 2 7 3 5" xfId="2171"/>
    <cellStyle name="Normal 7 3 2 7 3 5 2" xfId="7717"/>
    <cellStyle name="Normal 7 3 2 7 3 5 3" xfId="13256"/>
    <cellStyle name="Normal 7 3 2 7 3 6" xfId="6512"/>
    <cellStyle name="Normal 7 3 2 7 3 7" xfId="12051"/>
    <cellStyle name="Normal 7 3 2 7 4" xfId="3116"/>
    <cellStyle name="Normal 7 3 2 7 4 2" xfId="8659"/>
    <cellStyle name="Normal 7 3 2 7 4 3" xfId="14198"/>
    <cellStyle name="Normal 7 3 2 7 5" xfId="4159"/>
    <cellStyle name="Normal 7 3 2 7 5 2" xfId="9700"/>
    <cellStyle name="Normal 7 3 2 7 5 3" xfId="15239"/>
    <cellStyle name="Normal 7 3 2 7 6" xfId="5126"/>
    <cellStyle name="Normal 7 3 2 7 6 2" xfId="10665"/>
    <cellStyle name="Normal 7 3 2 7 6 3" xfId="16204"/>
    <cellStyle name="Normal 7 3 2 7 7" xfId="1828"/>
    <cellStyle name="Normal 7 3 2 7 7 2" xfId="7374"/>
    <cellStyle name="Normal 7 3 2 7 7 3" xfId="12913"/>
    <cellStyle name="Normal 7 3 2 7 8" xfId="6169"/>
    <cellStyle name="Normal 7 3 2 7 9" xfId="11708"/>
    <cellStyle name="Normal 7 3 2 8" xfId="1144"/>
    <cellStyle name="Normal 7 3 2 8 2" xfId="3674"/>
    <cellStyle name="Normal 7 3 2 8 2 2" xfId="9216"/>
    <cellStyle name="Normal 7 3 2 8 2 3" xfId="14755"/>
    <cellStyle name="Normal 7 3 2 8 3" xfId="4711"/>
    <cellStyle name="Normal 7 3 2 8 3 2" xfId="10250"/>
    <cellStyle name="Normal 7 3 2 8 3 3" xfId="15789"/>
    <cellStyle name="Normal 7 3 2 8 4" xfId="5646"/>
    <cellStyle name="Normal 7 3 2 8 4 2" xfId="11185"/>
    <cellStyle name="Normal 7 3 2 8 4 3" xfId="16724"/>
    <cellStyle name="Normal 7 3 2 8 5" xfId="2348"/>
    <cellStyle name="Normal 7 3 2 8 5 2" xfId="7894"/>
    <cellStyle name="Normal 7 3 2 8 5 3" xfId="13433"/>
    <cellStyle name="Normal 7 3 2 8 6" xfId="6689"/>
    <cellStyle name="Normal 7 3 2 8 7" xfId="12228"/>
    <cellStyle name="Normal 7 3 2 9" xfId="916"/>
    <cellStyle name="Normal 7 3 2 9 2" xfId="3446"/>
    <cellStyle name="Normal 7 3 2 9 2 2" xfId="8988"/>
    <cellStyle name="Normal 7 3 2 9 2 3" xfId="14527"/>
    <cellStyle name="Normal 7 3 2 9 3" xfId="4483"/>
    <cellStyle name="Normal 7 3 2 9 3 2" xfId="10022"/>
    <cellStyle name="Normal 7 3 2 9 3 3" xfId="15561"/>
    <cellStyle name="Normal 7 3 2 9 4" xfId="5418"/>
    <cellStyle name="Normal 7 3 2 9 4 2" xfId="10957"/>
    <cellStyle name="Normal 7 3 2 9 4 3" xfId="16496"/>
    <cellStyle name="Normal 7 3 2 9 5" xfId="2120"/>
    <cellStyle name="Normal 7 3 2 9 5 2" xfId="7666"/>
    <cellStyle name="Normal 7 3 2 9 5 3" xfId="13205"/>
    <cellStyle name="Normal 7 3 2 9 6" xfId="6461"/>
    <cellStyle name="Normal 7 3 2 9 7" xfId="12000"/>
    <cellStyle name="Normal 7 3 20" xfId="17552"/>
    <cellStyle name="Normal 7 3 3" xfId="395"/>
    <cellStyle name="Normal 7 3 3 10" xfId="1693"/>
    <cellStyle name="Normal 7 3 3 10 2" xfId="7239"/>
    <cellStyle name="Normal 7 3 3 10 3" xfId="12778"/>
    <cellStyle name="Normal 7 3 3 11" xfId="6034"/>
    <cellStyle name="Normal 7 3 3 11 2" xfId="17112"/>
    <cellStyle name="Normal 7 3 3 12" xfId="678"/>
    <cellStyle name="Normal 7 3 3 12 2" xfId="17274"/>
    <cellStyle name="Normal 7 3 3 13" xfId="11573"/>
    <cellStyle name="Normal 7 3 3 14" xfId="17441"/>
    <cellStyle name="Normal 7 3 3 15" xfId="17606"/>
    <cellStyle name="Normal 7 3 3 2" xfId="396"/>
    <cellStyle name="Normal 7 3 3 2 10" xfId="6124"/>
    <cellStyle name="Normal 7 3 3 2 10 2" xfId="17202"/>
    <cellStyle name="Normal 7 3 3 2 11" xfId="768"/>
    <cellStyle name="Normal 7 3 3 2 11 2" xfId="17364"/>
    <cellStyle name="Normal 7 3 3 2 12" xfId="11663"/>
    <cellStyle name="Normal 7 3 3 2 13" xfId="17531"/>
    <cellStyle name="Normal 7 3 3 2 14" xfId="17696"/>
    <cellStyle name="Normal 7 3 3 2 2" xfId="595"/>
    <cellStyle name="Normal 7 3 3 2 2 2" xfId="1436"/>
    <cellStyle name="Normal 7 3 3 2 2 2 2" xfId="3968"/>
    <cellStyle name="Normal 7 3 3 2 2 2 2 2" xfId="9510"/>
    <cellStyle name="Normal 7 3 3 2 2 2 2 3" xfId="15049"/>
    <cellStyle name="Normal 7 3 3 2 2 2 3" xfId="5005"/>
    <cellStyle name="Normal 7 3 3 2 2 2 3 2" xfId="10544"/>
    <cellStyle name="Normal 7 3 3 2 2 2 3 3" xfId="16083"/>
    <cellStyle name="Normal 7 3 3 2 2 2 4" xfId="5939"/>
    <cellStyle name="Normal 7 3 3 2 2 2 4 2" xfId="11478"/>
    <cellStyle name="Normal 7 3 3 2 2 2 4 3" xfId="17017"/>
    <cellStyle name="Normal 7 3 3 2 2 2 5" xfId="2641"/>
    <cellStyle name="Normal 7 3 3 2 2 2 5 2" xfId="8187"/>
    <cellStyle name="Normal 7 3 3 2 2 2 5 3" xfId="13726"/>
    <cellStyle name="Normal 7 3 3 2 2 2 6" xfId="6982"/>
    <cellStyle name="Normal 7 3 3 2 2 2 7" xfId="12521"/>
    <cellStyle name="Normal 7 3 3 2 2 3" xfId="1099"/>
    <cellStyle name="Normal 7 3 3 2 2 3 2" xfId="3629"/>
    <cellStyle name="Normal 7 3 3 2 2 3 2 2" xfId="9171"/>
    <cellStyle name="Normal 7 3 3 2 2 3 2 3" xfId="14710"/>
    <cellStyle name="Normal 7 3 3 2 2 3 3" xfId="4666"/>
    <cellStyle name="Normal 7 3 3 2 2 3 3 2" xfId="10205"/>
    <cellStyle name="Normal 7 3 3 2 2 3 3 3" xfId="15744"/>
    <cellStyle name="Normal 7 3 3 2 2 3 4" xfId="5601"/>
    <cellStyle name="Normal 7 3 3 2 2 3 4 2" xfId="11140"/>
    <cellStyle name="Normal 7 3 3 2 2 3 4 3" xfId="16679"/>
    <cellStyle name="Normal 7 3 3 2 2 3 5" xfId="2303"/>
    <cellStyle name="Normal 7 3 3 2 2 3 5 2" xfId="7849"/>
    <cellStyle name="Normal 7 3 3 2 2 3 5 3" xfId="13388"/>
    <cellStyle name="Normal 7 3 3 2 2 3 6" xfId="6644"/>
    <cellStyle name="Normal 7 3 3 2 2 3 7" xfId="12183"/>
    <cellStyle name="Normal 7 3 3 2 2 4" xfId="3254"/>
    <cellStyle name="Normal 7 3 3 2 2 4 2" xfId="8796"/>
    <cellStyle name="Normal 7 3 3 2 2 4 3" xfId="14335"/>
    <cellStyle name="Normal 7 3 3 2 2 5" xfId="4293"/>
    <cellStyle name="Normal 7 3 3 2 2 5 2" xfId="9832"/>
    <cellStyle name="Normal 7 3 3 2 2 5 3" xfId="15371"/>
    <cellStyle name="Normal 7 3 3 2 2 6" xfId="5254"/>
    <cellStyle name="Normal 7 3 3 2 2 6 2" xfId="10793"/>
    <cellStyle name="Normal 7 3 3 2 2 6 3" xfId="16332"/>
    <cellStyle name="Normal 7 3 3 2 2 7" xfId="1956"/>
    <cellStyle name="Normal 7 3 3 2 2 7 2" xfId="7502"/>
    <cellStyle name="Normal 7 3 3 2 2 7 3" xfId="13041"/>
    <cellStyle name="Normal 7 3 3 2 2 8" xfId="6297"/>
    <cellStyle name="Normal 7 3 3 2 2 9" xfId="11836"/>
    <cellStyle name="Normal 7 3 3 2 3" xfId="1276"/>
    <cellStyle name="Normal 7 3 3 2 3 2" xfId="3806"/>
    <cellStyle name="Normal 7 3 3 2 3 2 2" xfId="9348"/>
    <cellStyle name="Normal 7 3 3 2 3 2 3" xfId="14887"/>
    <cellStyle name="Normal 7 3 3 2 3 3" xfId="4843"/>
    <cellStyle name="Normal 7 3 3 2 3 3 2" xfId="10382"/>
    <cellStyle name="Normal 7 3 3 2 3 3 3" xfId="15921"/>
    <cellStyle name="Normal 7 3 3 2 3 4" xfId="5778"/>
    <cellStyle name="Normal 7 3 3 2 3 4 2" xfId="11317"/>
    <cellStyle name="Normal 7 3 3 2 3 4 3" xfId="16856"/>
    <cellStyle name="Normal 7 3 3 2 3 5" xfId="2480"/>
    <cellStyle name="Normal 7 3 3 2 3 5 2" xfId="8026"/>
    <cellStyle name="Normal 7 3 3 2 3 5 3" xfId="13565"/>
    <cellStyle name="Normal 7 3 3 2 3 6" xfId="6821"/>
    <cellStyle name="Normal 7 3 3 2 3 7" xfId="12360"/>
    <cellStyle name="Normal 7 3 3 2 4" xfId="926"/>
    <cellStyle name="Normal 7 3 3 2 4 2" xfId="3456"/>
    <cellStyle name="Normal 7 3 3 2 4 2 2" xfId="8998"/>
    <cellStyle name="Normal 7 3 3 2 4 2 3" xfId="14537"/>
    <cellStyle name="Normal 7 3 3 2 4 3" xfId="4493"/>
    <cellStyle name="Normal 7 3 3 2 4 3 2" xfId="10032"/>
    <cellStyle name="Normal 7 3 3 2 4 3 3" xfId="15571"/>
    <cellStyle name="Normal 7 3 3 2 4 4" xfId="5428"/>
    <cellStyle name="Normal 7 3 3 2 4 4 2" xfId="10967"/>
    <cellStyle name="Normal 7 3 3 2 4 4 3" xfId="16506"/>
    <cellStyle name="Normal 7 3 3 2 4 5" xfId="2130"/>
    <cellStyle name="Normal 7 3 3 2 4 5 2" xfId="7676"/>
    <cellStyle name="Normal 7 3 3 2 4 5 3" xfId="13215"/>
    <cellStyle name="Normal 7 3 3 2 4 6" xfId="6471"/>
    <cellStyle name="Normal 7 3 3 2 4 7" xfId="12010"/>
    <cellStyle name="Normal 7 3 3 2 5" xfId="1621"/>
    <cellStyle name="Normal 7 3 3 2 5 2" xfId="2826"/>
    <cellStyle name="Normal 7 3 3 2 5 2 2" xfId="8372"/>
    <cellStyle name="Normal 7 3 3 2 5 2 3" xfId="13911"/>
    <cellStyle name="Normal 7 3 3 2 5 3" xfId="7167"/>
    <cellStyle name="Normal 7 3 3 2 5 4" xfId="12706"/>
    <cellStyle name="Normal 7 3 3 2 6" xfId="2999"/>
    <cellStyle name="Normal 7 3 3 2 6 2" xfId="8543"/>
    <cellStyle name="Normal 7 3 3 2 6 3" xfId="14082"/>
    <cellStyle name="Normal 7 3 3 2 7" xfId="4044"/>
    <cellStyle name="Normal 7 3 3 2 7 2" xfId="9586"/>
    <cellStyle name="Normal 7 3 3 2 7 3" xfId="15125"/>
    <cellStyle name="Normal 7 3 3 2 8" xfId="5081"/>
    <cellStyle name="Normal 7 3 3 2 8 2" xfId="10620"/>
    <cellStyle name="Normal 7 3 3 2 8 3" xfId="16159"/>
    <cellStyle name="Normal 7 3 3 2 9" xfId="1783"/>
    <cellStyle name="Normal 7 3 3 2 9 2" xfId="7329"/>
    <cellStyle name="Normal 7 3 3 2 9 3" xfId="12868"/>
    <cellStyle name="Normal 7 3 3 3" xfId="594"/>
    <cellStyle name="Normal 7 3 3 3 2" xfId="1435"/>
    <cellStyle name="Normal 7 3 3 3 2 2" xfId="3967"/>
    <cellStyle name="Normal 7 3 3 3 2 2 2" xfId="9509"/>
    <cellStyle name="Normal 7 3 3 3 2 2 3" xfId="15048"/>
    <cellStyle name="Normal 7 3 3 3 2 3" xfId="5004"/>
    <cellStyle name="Normal 7 3 3 3 2 3 2" xfId="10543"/>
    <cellStyle name="Normal 7 3 3 3 2 3 3" xfId="16082"/>
    <cellStyle name="Normal 7 3 3 3 2 4" xfId="5938"/>
    <cellStyle name="Normal 7 3 3 3 2 4 2" xfId="11477"/>
    <cellStyle name="Normal 7 3 3 3 2 4 3" xfId="17016"/>
    <cellStyle name="Normal 7 3 3 3 2 5" xfId="2640"/>
    <cellStyle name="Normal 7 3 3 3 2 5 2" xfId="8186"/>
    <cellStyle name="Normal 7 3 3 3 2 5 3" xfId="13725"/>
    <cellStyle name="Normal 7 3 3 3 2 6" xfId="6981"/>
    <cellStyle name="Normal 7 3 3 3 2 7" xfId="12520"/>
    <cellStyle name="Normal 7 3 3 3 3" xfId="1009"/>
    <cellStyle name="Normal 7 3 3 3 3 2" xfId="3539"/>
    <cellStyle name="Normal 7 3 3 3 3 2 2" xfId="9081"/>
    <cellStyle name="Normal 7 3 3 3 3 2 3" xfId="14620"/>
    <cellStyle name="Normal 7 3 3 3 3 3" xfId="4576"/>
    <cellStyle name="Normal 7 3 3 3 3 3 2" xfId="10115"/>
    <cellStyle name="Normal 7 3 3 3 3 3 3" xfId="15654"/>
    <cellStyle name="Normal 7 3 3 3 3 4" xfId="5511"/>
    <cellStyle name="Normal 7 3 3 3 3 4 2" xfId="11050"/>
    <cellStyle name="Normal 7 3 3 3 3 4 3" xfId="16589"/>
    <cellStyle name="Normal 7 3 3 3 3 5" xfId="2213"/>
    <cellStyle name="Normal 7 3 3 3 3 5 2" xfId="7759"/>
    <cellStyle name="Normal 7 3 3 3 3 5 3" xfId="13298"/>
    <cellStyle name="Normal 7 3 3 3 3 6" xfId="6554"/>
    <cellStyle name="Normal 7 3 3 3 3 7" xfId="12093"/>
    <cellStyle name="Normal 7 3 3 3 4" xfId="3253"/>
    <cellStyle name="Normal 7 3 3 3 4 2" xfId="8795"/>
    <cellStyle name="Normal 7 3 3 3 4 3" xfId="14334"/>
    <cellStyle name="Normal 7 3 3 3 5" xfId="4292"/>
    <cellStyle name="Normal 7 3 3 3 5 2" xfId="9831"/>
    <cellStyle name="Normal 7 3 3 3 5 3" xfId="15370"/>
    <cellStyle name="Normal 7 3 3 3 6" xfId="5253"/>
    <cellStyle name="Normal 7 3 3 3 6 2" xfId="10792"/>
    <cellStyle name="Normal 7 3 3 3 6 3" xfId="16331"/>
    <cellStyle name="Normal 7 3 3 3 7" xfId="1955"/>
    <cellStyle name="Normal 7 3 3 3 7 2" xfId="7501"/>
    <cellStyle name="Normal 7 3 3 3 7 3" xfId="13040"/>
    <cellStyle name="Normal 7 3 3 3 8" xfId="6296"/>
    <cellStyle name="Normal 7 3 3 3 9" xfId="11835"/>
    <cellStyle name="Normal 7 3 3 4" xfId="1186"/>
    <cellStyle name="Normal 7 3 3 4 2" xfId="3716"/>
    <cellStyle name="Normal 7 3 3 4 2 2" xfId="9258"/>
    <cellStyle name="Normal 7 3 3 4 2 3" xfId="14797"/>
    <cellStyle name="Normal 7 3 3 4 3" xfId="4753"/>
    <cellStyle name="Normal 7 3 3 4 3 2" xfId="10292"/>
    <cellStyle name="Normal 7 3 3 4 3 3" xfId="15831"/>
    <cellStyle name="Normal 7 3 3 4 4" xfId="5688"/>
    <cellStyle name="Normal 7 3 3 4 4 2" xfId="11227"/>
    <cellStyle name="Normal 7 3 3 4 4 3" xfId="16766"/>
    <cellStyle name="Normal 7 3 3 4 5" xfId="2390"/>
    <cellStyle name="Normal 7 3 3 4 5 2" xfId="7936"/>
    <cellStyle name="Normal 7 3 3 4 5 3" xfId="13475"/>
    <cellStyle name="Normal 7 3 3 4 6" xfId="6731"/>
    <cellStyle name="Normal 7 3 3 4 7" xfId="12270"/>
    <cellStyle name="Normal 7 3 3 5" xfId="925"/>
    <cellStyle name="Normal 7 3 3 5 2" xfId="3455"/>
    <cellStyle name="Normal 7 3 3 5 2 2" xfId="8997"/>
    <cellStyle name="Normal 7 3 3 5 2 3" xfId="14536"/>
    <cellStyle name="Normal 7 3 3 5 3" xfId="4492"/>
    <cellStyle name="Normal 7 3 3 5 3 2" xfId="10031"/>
    <cellStyle name="Normal 7 3 3 5 3 3" xfId="15570"/>
    <cellStyle name="Normal 7 3 3 5 4" xfId="5427"/>
    <cellStyle name="Normal 7 3 3 5 4 2" xfId="10966"/>
    <cellStyle name="Normal 7 3 3 5 4 3" xfId="16505"/>
    <cellStyle name="Normal 7 3 3 5 5" xfId="2129"/>
    <cellStyle name="Normal 7 3 3 5 5 2" xfId="7675"/>
    <cellStyle name="Normal 7 3 3 5 5 3" xfId="13214"/>
    <cellStyle name="Normal 7 3 3 5 6" xfId="6470"/>
    <cellStyle name="Normal 7 3 3 5 7" xfId="12009"/>
    <cellStyle name="Normal 7 3 3 6" xfId="1531"/>
    <cellStyle name="Normal 7 3 3 6 2" xfId="2736"/>
    <cellStyle name="Normal 7 3 3 6 2 2" xfId="8282"/>
    <cellStyle name="Normal 7 3 3 6 2 3" xfId="13821"/>
    <cellStyle name="Normal 7 3 3 6 3" xfId="7077"/>
    <cellStyle name="Normal 7 3 3 6 4" xfId="12616"/>
    <cellStyle name="Normal 7 3 3 7" xfId="2909"/>
    <cellStyle name="Normal 7 3 3 7 2" xfId="8453"/>
    <cellStyle name="Normal 7 3 3 7 3" xfId="13992"/>
    <cellStyle name="Normal 7 3 3 8" xfId="3090"/>
    <cellStyle name="Normal 7 3 3 8 2" xfId="8633"/>
    <cellStyle name="Normal 7 3 3 8 3" xfId="14172"/>
    <cellStyle name="Normal 7 3 3 9" xfId="4133"/>
    <cellStyle name="Normal 7 3 3 9 2" xfId="9674"/>
    <cellStyle name="Normal 7 3 3 9 3" xfId="15213"/>
    <cellStyle name="Normal 7 3 4" xfId="397"/>
    <cellStyle name="Normal 7 3 4 10" xfId="1675"/>
    <cellStyle name="Normal 7 3 4 10 2" xfId="7221"/>
    <cellStyle name="Normal 7 3 4 10 3" xfId="12760"/>
    <cellStyle name="Normal 7 3 4 11" xfId="6016"/>
    <cellStyle name="Normal 7 3 4 11 2" xfId="17094"/>
    <cellStyle name="Normal 7 3 4 12" xfId="660"/>
    <cellStyle name="Normal 7 3 4 12 2" xfId="17256"/>
    <cellStyle name="Normal 7 3 4 13" xfId="11555"/>
    <cellStyle name="Normal 7 3 4 14" xfId="17423"/>
    <cellStyle name="Normal 7 3 4 15" xfId="17588"/>
    <cellStyle name="Normal 7 3 4 2" xfId="398"/>
    <cellStyle name="Normal 7 3 4 2 10" xfId="6106"/>
    <cellStyle name="Normal 7 3 4 2 10 2" xfId="17184"/>
    <cellStyle name="Normal 7 3 4 2 11" xfId="750"/>
    <cellStyle name="Normal 7 3 4 2 11 2" xfId="17346"/>
    <cellStyle name="Normal 7 3 4 2 12" xfId="11645"/>
    <cellStyle name="Normal 7 3 4 2 13" xfId="17513"/>
    <cellStyle name="Normal 7 3 4 2 14" xfId="17678"/>
    <cellStyle name="Normal 7 3 4 2 2" xfId="597"/>
    <cellStyle name="Normal 7 3 4 2 2 2" xfId="1438"/>
    <cellStyle name="Normal 7 3 4 2 2 2 2" xfId="3970"/>
    <cellStyle name="Normal 7 3 4 2 2 2 2 2" xfId="9512"/>
    <cellStyle name="Normal 7 3 4 2 2 2 2 3" xfId="15051"/>
    <cellStyle name="Normal 7 3 4 2 2 2 3" xfId="5007"/>
    <cellStyle name="Normal 7 3 4 2 2 2 3 2" xfId="10546"/>
    <cellStyle name="Normal 7 3 4 2 2 2 3 3" xfId="16085"/>
    <cellStyle name="Normal 7 3 4 2 2 2 4" xfId="5941"/>
    <cellStyle name="Normal 7 3 4 2 2 2 4 2" xfId="11480"/>
    <cellStyle name="Normal 7 3 4 2 2 2 4 3" xfId="17019"/>
    <cellStyle name="Normal 7 3 4 2 2 2 5" xfId="2643"/>
    <cellStyle name="Normal 7 3 4 2 2 2 5 2" xfId="8189"/>
    <cellStyle name="Normal 7 3 4 2 2 2 5 3" xfId="13728"/>
    <cellStyle name="Normal 7 3 4 2 2 2 6" xfId="6984"/>
    <cellStyle name="Normal 7 3 4 2 2 2 7" xfId="12523"/>
    <cellStyle name="Normal 7 3 4 2 2 3" xfId="1081"/>
    <cellStyle name="Normal 7 3 4 2 2 3 2" xfId="3611"/>
    <cellStyle name="Normal 7 3 4 2 2 3 2 2" xfId="9153"/>
    <cellStyle name="Normal 7 3 4 2 2 3 2 3" xfId="14692"/>
    <cellStyle name="Normal 7 3 4 2 2 3 3" xfId="4648"/>
    <cellStyle name="Normal 7 3 4 2 2 3 3 2" xfId="10187"/>
    <cellStyle name="Normal 7 3 4 2 2 3 3 3" xfId="15726"/>
    <cellStyle name="Normal 7 3 4 2 2 3 4" xfId="5583"/>
    <cellStyle name="Normal 7 3 4 2 2 3 4 2" xfId="11122"/>
    <cellStyle name="Normal 7 3 4 2 2 3 4 3" xfId="16661"/>
    <cellStyle name="Normal 7 3 4 2 2 3 5" xfId="2285"/>
    <cellStyle name="Normal 7 3 4 2 2 3 5 2" xfId="7831"/>
    <cellStyle name="Normal 7 3 4 2 2 3 5 3" xfId="13370"/>
    <cellStyle name="Normal 7 3 4 2 2 3 6" xfId="6626"/>
    <cellStyle name="Normal 7 3 4 2 2 3 7" xfId="12165"/>
    <cellStyle name="Normal 7 3 4 2 2 4" xfId="3256"/>
    <cellStyle name="Normal 7 3 4 2 2 4 2" xfId="8798"/>
    <cellStyle name="Normal 7 3 4 2 2 4 3" xfId="14337"/>
    <cellStyle name="Normal 7 3 4 2 2 5" xfId="4295"/>
    <cellStyle name="Normal 7 3 4 2 2 5 2" xfId="9834"/>
    <cellStyle name="Normal 7 3 4 2 2 5 3" xfId="15373"/>
    <cellStyle name="Normal 7 3 4 2 2 6" xfId="5256"/>
    <cellStyle name="Normal 7 3 4 2 2 6 2" xfId="10795"/>
    <cellStyle name="Normal 7 3 4 2 2 6 3" xfId="16334"/>
    <cellStyle name="Normal 7 3 4 2 2 7" xfId="1958"/>
    <cellStyle name="Normal 7 3 4 2 2 7 2" xfId="7504"/>
    <cellStyle name="Normal 7 3 4 2 2 7 3" xfId="13043"/>
    <cellStyle name="Normal 7 3 4 2 2 8" xfId="6299"/>
    <cellStyle name="Normal 7 3 4 2 2 9" xfId="11838"/>
    <cellStyle name="Normal 7 3 4 2 3" xfId="1258"/>
    <cellStyle name="Normal 7 3 4 2 3 2" xfId="3788"/>
    <cellStyle name="Normal 7 3 4 2 3 2 2" xfId="9330"/>
    <cellStyle name="Normal 7 3 4 2 3 2 3" xfId="14869"/>
    <cellStyle name="Normal 7 3 4 2 3 3" xfId="4825"/>
    <cellStyle name="Normal 7 3 4 2 3 3 2" xfId="10364"/>
    <cellStyle name="Normal 7 3 4 2 3 3 3" xfId="15903"/>
    <cellStyle name="Normal 7 3 4 2 3 4" xfId="5760"/>
    <cellStyle name="Normal 7 3 4 2 3 4 2" xfId="11299"/>
    <cellStyle name="Normal 7 3 4 2 3 4 3" xfId="16838"/>
    <cellStyle name="Normal 7 3 4 2 3 5" xfId="2462"/>
    <cellStyle name="Normal 7 3 4 2 3 5 2" xfId="8008"/>
    <cellStyle name="Normal 7 3 4 2 3 5 3" xfId="13547"/>
    <cellStyle name="Normal 7 3 4 2 3 6" xfId="6803"/>
    <cellStyle name="Normal 7 3 4 2 3 7" xfId="12342"/>
    <cellStyle name="Normal 7 3 4 2 4" xfId="928"/>
    <cellStyle name="Normal 7 3 4 2 4 2" xfId="3458"/>
    <cellStyle name="Normal 7 3 4 2 4 2 2" xfId="9000"/>
    <cellStyle name="Normal 7 3 4 2 4 2 3" xfId="14539"/>
    <cellStyle name="Normal 7 3 4 2 4 3" xfId="4495"/>
    <cellStyle name="Normal 7 3 4 2 4 3 2" xfId="10034"/>
    <cellStyle name="Normal 7 3 4 2 4 3 3" xfId="15573"/>
    <cellStyle name="Normal 7 3 4 2 4 4" xfId="5430"/>
    <cellStyle name="Normal 7 3 4 2 4 4 2" xfId="10969"/>
    <cellStyle name="Normal 7 3 4 2 4 4 3" xfId="16508"/>
    <cellStyle name="Normal 7 3 4 2 4 5" xfId="2132"/>
    <cellStyle name="Normal 7 3 4 2 4 5 2" xfId="7678"/>
    <cellStyle name="Normal 7 3 4 2 4 5 3" xfId="13217"/>
    <cellStyle name="Normal 7 3 4 2 4 6" xfId="6473"/>
    <cellStyle name="Normal 7 3 4 2 4 7" xfId="12012"/>
    <cellStyle name="Normal 7 3 4 2 5" xfId="1603"/>
    <cellStyle name="Normal 7 3 4 2 5 2" xfId="2808"/>
    <cellStyle name="Normal 7 3 4 2 5 2 2" xfId="8354"/>
    <cellStyle name="Normal 7 3 4 2 5 2 3" xfId="13893"/>
    <cellStyle name="Normal 7 3 4 2 5 3" xfId="7149"/>
    <cellStyle name="Normal 7 3 4 2 5 4" xfId="12688"/>
    <cellStyle name="Normal 7 3 4 2 6" xfId="2981"/>
    <cellStyle name="Normal 7 3 4 2 6 2" xfId="8525"/>
    <cellStyle name="Normal 7 3 4 2 6 3" xfId="14064"/>
    <cellStyle name="Normal 7 3 4 2 7" xfId="4026"/>
    <cellStyle name="Normal 7 3 4 2 7 2" xfId="9568"/>
    <cellStyle name="Normal 7 3 4 2 7 3" xfId="15107"/>
    <cellStyle name="Normal 7 3 4 2 8" xfId="5063"/>
    <cellStyle name="Normal 7 3 4 2 8 2" xfId="10602"/>
    <cellStyle name="Normal 7 3 4 2 8 3" xfId="16141"/>
    <cellStyle name="Normal 7 3 4 2 9" xfId="1765"/>
    <cellStyle name="Normal 7 3 4 2 9 2" xfId="7311"/>
    <cellStyle name="Normal 7 3 4 2 9 3" xfId="12850"/>
    <cellStyle name="Normal 7 3 4 3" xfId="596"/>
    <cellStyle name="Normal 7 3 4 3 2" xfId="1437"/>
    <cellStyle name="Normal 7 3 4 3 2 2" xfId="3969"/>
    <cellStyle name="Normal 7 3 4 3 2 2 2" xfId="9511"/>
    <cellStyle name="Normal 7 3 4 3 2 2 3" xfId="15050"/>
    <cellStyle name="Normal 7 3 4 3 2 3" xfId="5006"/>
    <cellStyle name="Normal 7 3 4 3 2 3 2" xfId="10545"/>
    <cellStyle name="Normal 7 3 4 3 2 3 3" xfId="16084"/>
    <cellStyle name="Normal 7 3 4 3 2 4" xfId="5940"/>
    <cellStyle name="Normal 7 3 4 3 2 4 2" xfId="11479"/>
    <cellStyle name="Normal 7 3 4 3 2 4 3" xfId="17018"/>
    <cellStyle name="Normal 7 3 4 3 2 5" xfId="2642"/>
    <cellStyle name="Normal 7 3 4 3 2 5 2" xfId="8188"/>
    <cellStyle name="Normal 7 3 4 3 2 5 3" xfId="13727"/>
    <cellStyle name="Normal 7 3 4 3 2 6" xfId="6983"/>
    <cellStyle name="Normal 7 3 4 3 2 7" xfId="12522"/>
    <cellStyle name="Normal 7 3 4 3 3" xfId="991"/>
    <cellStyle name="Normal 7 3 4 3 3 2" xfId="3521"/>
    <cellStyle name="Normal 7 3 4 3 3 2 2" xfId="9063"/>
    <cellStyle name="Normal 7 3 4 3 3 2 3" xfId="14602"/>
    <cellStyle name="Normal 7 3 4 3 3 3" xfId="4558"/>
    <cellStyle name="Normal 7 3 4 3 3 3 2" xfId="10097"/>
    <cellStyle name="Normal 7 3 4 3 3 3 3" xfId="15636"/>
    <cellStyle name="Normal 7 3 4 3 3 4" xfId="5493"/>
    <cellStyle name="Normal 7 3 4 3 3 4 2" xfId="11032"/>
    <cellStyle name="Normal 7 3 4 3 3 4 3" xfId="16571"/>
    <cellStyle name="Normal 7 3 4 3 3 5" xfId="2195"/>
    <cellStyle name="Normal 7 3 4 3 3 5 2" xfId="7741"/>
    <cellStyle name="Normal 7 3 4 3 3 5 3" xfId="13280"/>
    <cellStyle name="Normal 7 3 4 3 3 6" xfId="6536"/>
    <cellStyle name="Normal 7 3 4 3 3 7" xfId="12075"/>
    <cellStyle name="Normal 7 3 4 3 4" xfId="3255"/>
    <cellStyle name="Normal 7 3 4 3 4 2" xfId="8797"/>
    <cellStyle name="Normal 7 3 4 3 4 3" xfId="14336"/>
    <cellStyle name="Normal 7 3 4 3 5" xfId="4294"/>
    <cellStyle name="Normal 7 3 4 3 5 2" xfId="9833"/>
    <cellStyle name="Normal 7 3 4 3 5 3" xfId="15372"/>
    <cellStyle name="Normal 7 3 4 3 6" xfId="5255"/>
    <cellStyle name="Normal 7 3 4 3 6 2" xfId="10794"/>
    <cellStyle name="Normal 7 3 4 3 6 3" xfId="16333"/>
    <cellStyle name="Normal 7 3 4 3 7" xfId="1957"/>
    <cellStyle name="Normal 7 3 4 3 7 2" xfId="7503"/>
    <cellStyle name="Normal 7 3 4 3 7 3" xfId="13042"/>
    <cellStyle name="Normal 7 3 4 3 8" xfId="6298"/>
    <cellStyle name="Normal 7 3 4 3 9" xfId="11837"/>
    <cellStyle name="Normal 7 3 4 4" xfId="1168"/>
    <cellStyle name="Normal 7 3 4 4 2" xfId="3698"/>
    <cellStyle name="Normal 7 3 4 4 2 2" xfId="9240"/>
    <cellStyle name="Normal 7 3 4 4 2 3" xfId="14779"/>
    <cellStyle name="Normal 7 3 4 4 3" xfId="4735"/>
    <cellStyle name="Normal 7 3 4 4 3 2" xfId="10274"/>
    <cellStyle name="Normal 7 3 4 4 3 3" xfId="15813"/>
    <cellStyle name="Normal 7 3 4 4 4" xfId="5670"/>
    <cellStyle name="Normal 7 3 4 4 4 2" xfId="11209"/>
    <cellStyle name="Normal 7 3 4 4 4 3" xfId="16748"/>
    <cellStyle name="Normal 7 3 4 4 5" xfId="2372"/>
    <cellStyle name="Normal 7 3 4 4 5 2" xfId="7918"/>
    <cellStyle name="Normal 7 3 4 4 5 3" xfId="13457"/>
    <cellStyle name="Normal 7 3 4 4 6" xfId="6713"/>
    <cellStyle name="Normal 7 3 4 4 7" xfId="12252"/>
    <cellStyle name="Normal 7 3 4 5" xfId="927"/>
    <cellStyle name="Normal 7 3 4 5 2" xfId="3457"/>
    <cellStyle name="Normal 7 3 4 5 2 2" xfId="8999"/>
    <cellStyle name="Normal 7 3 4 5 2 3" xfId="14538"/>
    <cellStyle name="Normal 7 3 4 5 3" xfId="4494"/>
    <cellStyle name="Normal 7 3 4 5 3 2" xfId="10033"/>
    <cellStyle name="Normal 7 3 4 5 3 3" xfId="15572"/>
    <cellStyle name="Normal 7 3 4 5 4" xfId="5429"/>
    <cellStyle name="Normal 7 3 4 5 4 2" xfId="10968"/>
    <cellStyle name="Normal 7 3 4 5 4 3" xfId="16507"/>
    <cellStyle name="Normal 7 3 4 5 5" xfId="2131"/>
    <cellStyle name="Normal 7 3 4 5 5 2" xfId="7677"/>
    <cellStyle name="Normal 7 3 4 5 5 3" xfId="13216"/>
    <cellStyle name="Normal 7 3 4 5 6" xfId="6472"/>
    <cellStyle name="Normal 7 3 4 5 7" xfId="12011"/>
    <cellStyle name="Normal 7 3 4 6" xfId="1513"/>
    <cellStyle name="Normal 7 3 4 6 2" xfId="2718"/>
    <cellStyle name="Normal 7 3 4 6 2 2" xfId="8264"/>
    <cellStyle name="Normal 7 3 4 6 2 3" xfId="13803"/>
    <cellStyle name="Normal 7 3 4 6 3" xfId="7059"/>
    <cellStyle name="Normal 7 3 4 6 4" xfId="12598"/>
    <cellStyle name="Normal 7 3 4 7" xfId="2891"/>
    <cellStyle name="Normal 7 3 4 7 2" xfId="8435"/>
    <cellStyle name="Normal 7 3 4 7 3" xfId="13974"/>
    <cellStyle name="Normal 7 3 4 8" xfId="3095"/>
    <cellStyle name="Normal 7 3 4 8 2" xfId="8638"/>
    <cellStyle name="Normal 7 3 4 8 3" xfId="14177"/>
    <cellStyle name="Normal 7 3 4 9" xfId="4138"/>
    <cellStyle name="Normal 7 3 4 9 2" xfId="9679"/>
    <cellStyle name="Normal 7 3 4 9 3" xfId="15218"/>
    <cellStyle name="Normal 7 3 5" xfId="399"/>
    <cellStyle name="Normal 7 3 5 10" xfId="1711"/>
    <cellStyle name="Normal 7 3 5 10 2" xfId="7257"/>
    <cellStyle name="Normal 7 3 5 10 3" xfId="12796"/>
    <cellStyle name="Normal 7 3 5 11" xfId="6052"/>
    <cellStyle name="Normal 7 3 5 11 2" xfId="17130"/>
    <cellStyle name="Normal 7 3 5 12" xfId="696"/>
    <cellStyle name="Normal 7 3 5 12 2" xfId="17292"/>
    <cellStyle name="Normal 7 3 5 13" xfId="11591"/>
    <cellStyle name="Normal 7 3 5 14" xfId="17459"/>
    <cellStyle name="Normal 7 3 5 15" xfId="17624"/>
    <cellStyle name="Normal 7 3 5 2" xfId="400"/>
    <cellStyle name="Normal 7 3 5 2 10" xfId="6088"/>
    <cellStyle name="Normal 7 3 5 2 10 2" xfId="17166"/>
    <cellStyle name="Normal 7 3 5 2 11" xfId="732"/>
    <cellStyle name="Normal 7 3 5 2 11 2" xfId="17328"/>
    <cellStyle name="Normal 7 3 5 2 12" xfId="11627"/>
    <cellStyle name="Normal 7 3 5 2 13" xfId="17495"/>
    <cellStyle name="Normal 7 3 5 2 14" xfId="17660"/>
    <cellStyle name="Normal 7 3 5 2 2" xfId="599"/>
    <cellStyle name="Normal 7 3 5 2 2 2" xfId="1440"/>
    <cellStyle name="Normal 7 3 5 2 2 2 2" xfId="3972"/>
    <cellStyle name="Normal 7 3 5 2 2 2 2 2" xfId="9514"/>
    <cellStyle name="Normal 7 3 5 2 2 2 2 3" xfId="15053"/>
    <cellStyle name="Normal 7 3 5 2 2 2 3" xfId="5009"/>
    <cellStyle name="Normal 7 3 5 2 2 2 3 2" xfId="10548"/>
    <cellStyle name="Normal 7 3 5 2 2 2 3 3" xfId="16087"/>
    <cellStyle name="Normal 7 3 5 2 2 2 4" xfId="5943"/>
    <cellStyle name="Normal 7 3 5 2 2 2 4 2" xfId="11482"/>
    <cellStyle name="Normal 7 3 5 2 2 2 4 3" xfId="17021"/>
    <cellStyle name="Normal 7 3 5 2 2 2 5" xfId="2645"/>
    <cellStyle name="Normal 7 3 5 2 2 2 5 2" xfId="8191"/>
    <cellStyle name="Normal 7 3 5 2 2 2 5 3" xfId="13730"/>
    <cellStyle name="Normal 7 3 5 2 2 2 6" xfId="6986"/>
    <cellStyle name="Normal 7 3 5 2 2 2 7" xfId="12525"/>
    <cellStyle name="Normal 7 3 5 2 2 3" xfId="1063"/>
    <cellStyle name="Normal 7 3 5 2 2 3 2" xfId="3593"/>
    <cellStyle name="Normal 7 3 5 2 2 3 2 2" xfId="9135"/>
    <cellStyle name="Normal 7 3 5 2 2 3 2 3" xfId="14674"/>
    <cellStyle name="Normal 7 3 5 2 2 3 3" xfId="4630"/>
    <cellStyle name="Normal 7 3 5 2 2 3 3 2" xfId="10169"/>
    <cellStyle name="Normal 7 3 5 2 2 3 3 3" xfId="15708"/>
    <cellStyle name="Normal 7 3 5 2 2 3 4" xfId="5565"/>
    <cellStyle name="Normal 7 3 5 2 2 3 4 2" xfId="11104"/>
    <cellStyle name="Normal 7 3 5 2 2 3 4 3" xfId="16643"/>
    <cellStyle name="Normal 7 3 5 2 2 3 5" xfId="2267"/>
    <cellStyle name="Normal 7 3 5 2 2 3 5 2" xfId="7813"/>
    <cellStyle name="Normal 7 3 5 2 2 3 5 3" xfId="13352"/>
    <cellStyle name="Normal 7 3 5 2 2 3 6" xfId="6608"/>
    <cellStyle name="Normal 7 3 5 2 2 3 7" xfId="12147"/>
    <cellStyle name="Normal 7 3 5 2 2 4" xfId="3258"/>
    <cellStyle name="Normal 7 3 5 2 2 4 2" xfId="8800"/>
    <cellStyle name="Normal 7 3 5 2 2 4 3" xfId="14339"/>
    <cellStyle name="Normal 7 3 5 2 2 5" xfId="4297"/>
    <cellStyle name="Normal 7 3 5 2 2 5 2" xfId="9836"/>
    <cellStyle name="Normal 7 3 5 2 2 5 3" xfId="15375"/>
    <cellStyle name="Normal 7 3 5 2 2 6" xfId="5258"/>
    <cellStyle name="Normal 7 3 5 2 2 6 2" xfId="10797"/>
    <cellStyle name="Normal 7 3 5 2 2 6 3" xfId="16336"/>
    <cellStyle name="Normal 7 3 5 2 2 7" xfId="1960"/>
    <cellStyle name="Normal 7 3 5 2 2 7 2" xfId="7506"/>
    <cellStyle name="Normal 7 3 5 2 2 7 3" xfId="13045"/>
    <cellStyle name="Normal 7 3 5 2 2 8" xfId="6301"/>
    <cellStyle name="Normal 7 3 5 2 2 9" xfId="11840"/>
    <cellStyle name="Normal 7 3 5 2 3" xfId="1240"/>
    <cellStyle name="Normal 7 3 5 2 3 2" xfId="3770"/>
    <cellStyle name="Normal 7 3 5 2 3 2 2" xfId="9312"/>
    <cellStyle name="Normal 7 3 5 2 3 2 3" xfId="14851"/>
    <cellStyle name="Normal 7 3 5 2 3 3" xfId="4807"/>
    <cellStyle name="Normal 7 3 5 2 3 3 2" xfId="10346"/>
    <cellStyle name="Normal 7 3 5 2 3 3 3" xfId="15885"/>
    <cellStyle name="Normal 7 3 5 2 3 4" xfId="5742"/>
    <cellStyle name="Normal 7 3 5 2 3 4 2" xfId="11281"/>
    <cellStyle name="Normal 7 3 5 2 3 4 3" xfId="16820"/>
    <cellStyle name="Normal 7 3 5 2 3 5" xfId="2444"/>
    <cellStyle name="Normal 7 3 5 2 3 5 2" xfId="7990"/>
    <cellStyle name="Normal 7 3 5 2 3 5 3" xfId="13529"/>
    <cellStyle name="Normal 7 3 5 2 3 6" xfId="6785"/>
    <cellStyle name="Normal 7 3 5 2 3 7" xfId="12324"/>
    <cellStyle name="Normal 7 3 5 2 4" xfId="930"/>
    <cellStyle name="Normal 7 3 5 2 4 2" xfId="3460"/>
    <cellStyle name="Normal 7 3 5 2 4 2 2" xfId="9002"/>
    <cellStyle name="Normal 7 3 5 2 4 2 3" xfId="14541"/>
    <cellStyle name="Normal 7 3 5 2 4 3" xfId="4497"/>
    <cellStyle name="Normal 7 3 5 2 4 3 2" xfId="10036"/>
    <cellStyle name="Normal 7 3 5 2 4 3 3" xfId="15575"/>
    <cellStyle name="Normal 7 3 5 2 4 4" xfId="5432"/>
    <cellStyle name="Normal 7 3 5 2 4 4 2" xfId="10971"/>
    <cellStyle name="Normal 7 3 5 2 4 4 3" xfId="16510"/>
    <cellStyle name="Normal 7 3 5 2 4 5" xfId="2134"/>
    <cellStyle name="Normal 7 3 5 2 4 5 2" xfId="7680"/>
    <cellStyle name="Normal 7 3 5 2 4 5 3" xfId="13219"/>
    <cellStyle name="Normal 7 3 5 2 4 6" xfId="6475"/>
    <cellStyle name="Normal 7 3 5 2 4 7" xfId="12014"/>
    <cellStyle name="Normal 7 3 5 2 5" xfId="1585"/>
    <cellStyle name="Normal 7 3 5 2 5 2" xfId="2790"/>
    <cellStyle name="Normal 7 3 5 2 5 2 2" xfId="8336"/>
    <cellStyle name="Normal 7 3 5 2 5 2 3" xfId="13875"/>
    <cellStyle name="Normal 7 3 5 2 5 3" xfId="7131"/>
    <cellStyle name="Normal 7 3 5 2 5 4" xfId="12670"/>
    <cellStyle name="Normal 7 3 5 2 6" xfId="2963"/>
    <cellStyle name="Normal 7 3 5 2 6 2" xfId="8507"/>
    <cellStyle name="Normal 7 3 5 2 6 3" xfId="14046"/>
    <cellStyle name="Normal 7 3 5 2 7" xfId="4008"/>
    <cellStyle name="Normal 7 3 5 2 7 2" xfId="9550"/>
    <cellStyle name="Normal 7 3 5 2 7 3" xfId="15089"/>
    <cellStyle name="Normal 7 3 5 2 8" xfId="5045"/>
    <cellStyle name="Normal 7 3 5 2 8 2" xfId="10584"/>
    <cellStyle name="Normal 7 3 5 2 8 3" xfId="16123"/>
    <cellStyle name="Normal 7 3 5 2 9" xfId="1747"/>
    <cellStyle name="Normal 7 3 5 2 9 2" xfId="7293"/>
    <cellStyle name="Normal 7 3 5 2 9 3" xfId="12832"/>
    <cellStyle name="Normal 7 3 5 3" xfId="598"/>
    <cellStyle name="Normal 7 3 5 3 2" xfId="1439"/>
    <cellStyle name="Normal 7 3 5 3 2 2" xfId="3971"/>
    <cellStyle name="Normal 7 3 5 3 2 2 2" xfId="9513"/>
    <cellStyle name="Normal 7 3 5 3 2 2 3" xfId="15052"/>
    <cellStyle name="Normal 7 3 5 3 2 3" xfId="5008"/>
    <cellStyle name="Normal 7 3 5 3 2 3 2" xfId="10547"/>
    <cellStyle name="Normal 7 3 5 3 2 3 3" xfId="16086"/>
    <cellStyle name="Normal 7 3 5 3 2 4" xfId="5942"/>
    <cellStyle name="Normal 7 3 5 3 2 4 2" xfId="11481"/>
    <cellStyle name="Normal 7 3 5 3 2 4 3" xfId="17020"/>
    <cellStyle name="Normal 7 3 5 3 2 5" xfId="2644"/>
    <cellStyle name="Normal 7 3 5 3 2 5 2" xfId="8190"/>
    <cellStyle name="Normal 7 3 5 3 2 5 3" xfId="13729"/>
    <cellStyle name="Normal 7 3 5 3 2 6" xfId="6985"/>
    <cellStyle name="Normal 7 3 5 3 2 7" xfId="12524"/>
    <cellStyle name="Normal 7 3 5 3 3" xfId="1027"/>
    <cellStyle name="Normal 7 3 5 3 3 2" xfId="3557"/>
    <cellStyle name="Normal 7 3 5 3 3 2 2" xfId="9099"/>
    <cellStyle name="Normal 7 3 5 3 3 2 3" xfId="14638"/>
    <cellStyle name="Normal 7 3 5 3 3 3" xfId="4594"/>
    <cellStyle name="Normal 7 3 5 3 3 3 2" xfId="10133"/>
    <cellStyle name="Normal 7 3 5 3 3 3 3" xfId="15672"/>
    <cellStyle name="Normal 7 3 5 3 3 4" xfId="5529"/>
    <cellStyle name="Normal 7 3 5 3 3 4 2" xfId="11068"/>
    <cellStyle name="Normal 7 3 5 3 3 4 3" xfId="16607"/>
    <cellStyle name="Normal 7 3 5 3 3 5" xfId="2231"/>
    <cellStyle name="Normal 7 3 5 3 3 5 2" xfId="7777"/>
    <cellStyle name="Normal 7 3 5 3 3 5 3" xfId="13316"/>
    <cellStyle name="Normal 7 3 5 3 3 6" xfId="6572"/>
    <cellStyle name="Normal 7 3 5 3 3 7" xfId="12111"/>
    <cellStyle name="Normal 7 3 5 3 4" xfId="3257"/>
    <cellStyle name="Normal 7 3 5 3 4 2" xfId="8799"/>
    <cellStyle name="Normal 7 3 5 3 4 3" xfId="14338"/>
    <cellStyle name="Normal 7 3 5 3 5" xfId="4296"/>
    <cellStyle name="Normal 7 3 5 3 5 2" xfId="9835"/>
    <cellStyle name="Normal 7 3 5 3 5 3" xfId="15374"/>
    <cellStyle name="Normal 7 3 5 3 6" xfId="5257"/>
    <cellStyle name="Normal 7 3 5 3 6 2" xfId="10796"/>
    <cellStyle name="Normal 7 3 5 3 6 3" xfId="16335"/>
    <cellStyle name="Normal 7 3 5 3 7" xfId="1959"/>
    <cellStyle name="Normal 7 3 5 3 7 2" xfId="7505"/>
    <cellStyle name="Normal 7 3 5 3 7 3" xfId="13044"/>
    <cellStyle name="Normal 7 3 5 3 8" xfId="6300"/>
    <cellStyle name="Normal 7 3 5 3 9" xfId="11839"/>
    <cellStyle name="Normal 7 3 5 4" xfId="1204"/>
    <cellStyle name="Normal 7 3 5 4 2" xfId="3734"/>
    <cellStyle name="Normal 7 3 5 4 2 2" xfId="9276"/>
    <cellStyle name="Normal 7 3 5 4 2 3" xfId="14815"/>
    <cellStyle name="Normal 7 3 5 4 3" xfId="4771"/>
    <cellStyle name="Normal 7 3 5 4 3 2" xfId="10310"/>
    <cellStyle name="Normal 7 3 5 4 3 3" xfId="15849"/>
    <cellStyle name="Normal 7 3 5 4 4" xfId="5706"/>
    <cellStyle name="Normal 7 3 5 4 4 2" xfId="11245"/>
    <cellStyle name="Normal 7 3 5 4 4 3" xfId="16784"/>
    <cellStyle name="Normal 7 3 5 4 5" xfId="2408"/>
    <cellStyle name="Normal 7 3 5 4 5 2" xfId="7954"/>
    <cellStyle name="Normal 7 3 5 4 5 3" xfId="13493"/>
    <cellStyle name="Normal 7 3 5 4 6" xfId="6749"/>
    <cellStyle name="Normal 7 3 5 4 7" xfId="12288"/>
    <cellStyle name="Normal 7 3 5 5" xfId="929"/>
    <cellStyle name="Normal 7 3 5 5 2" xfId="3459"/>
    <cellStyle name="Normal 7 3 5 5 2 2" xfId="9001"/>
    <cellStyle name="Normal 7 3 5 5 2 3" xfId="14540"/>
    <cellStyle name="Normal 7 3 5 5 3" xfId="4496"/>
    <cellStyle name="Normal 7 3 5 5 3 2" xfId="10035"/>
    <cellStyle name="Normal 7 3 5 5 3 3" xfId="15574"/>
    <cellStyle name="Normal 7 3 5 5 4" xfId="5431"/>
    <cellStyle name="Normal 7 3 5 5 4 2" xfId="10970"/>
    <cellStyle name="Normal 7 3 5 5 4 3" xfId="16509"/>
    <cellStyle name="Normal 7 3 5 5 5" xfId="2133"/>
    <cellStyle name="Normal 7 3 5 5 5 2" xfId="7679"/>
    <cellStyle name="Normal 7 3 5 5 5 3" xfId="13218"/>
    <cellStyle name="Normal 7 3 5 5 6" xfId="6474"/>
    <cellStyle name="Normal 7 3 5 5 7" xfId="12013"/>
    <cellStyle name="Normal 7 3 5 6" xfId="1549"/>
    <cellStyle name="Normal 7 3 5 6 2" xfId="2754"/>
    <cellStyle name="Normal 7 3 5 6 2 2" xfId="8300"/>
    <cellStyle name="Normal 7 3 5 6 2 3" xfId="13839"/>
    <cellStyle name="Normal 7 3 5 6 3" xfId="7095"/>
    <cellStyle name="Normal 7 3 5 6 4" xfId="12634"/>
    <cellStyle name="Normal 7 3 5 7" xfId="2927"/>
    <cellStyle name="Normal 7 3 5 7 2" xfId="8471"/>
    <cellStyle name="Normal 7 3 5 7 3" xfId="14010"/>
    <cellStyle name="Normal 7 3 5 8" xfId="3081"/>
    <cellStyle name="Normal 7 3 5 8 2" xfId="8624"/>
    <cellStyle name="Normal 7 3 5 8 3" xfId="14163"/>
    <cellStyle name="Normal 7 3 5 9" xfId="4124"/>
    <cellStyle name="Normal 7 3 5 9 2" xfId="9665"/>
    <cellStyle name="Normal 7 3 5 9 3" xfId="15204"/>
    <cellStyle name="Normal 7 3 6" xfId="401"/>
    <cellStyle name="Normal 7 3 6 10" xfId="6070"/>
    <cellStyle name="Normal 7 3 6 10 2" xfId="17148"/>
    <cellStyle name="Normal 7 3 6 11" xfId="714"/>
    <cellStyle name="Normal 7 3 6 11 2" xfId="17310"/>
    <cellStyle name="Normal 7 3 6 12" xfId="11609"/>
    <cellStyle name="Normal 7 3 6 13" xfId="17477"/>
    <cellStyle name="Normal 7 3 6 14" xfId="17642"/>
    <cellStyle name="Normal 7 3 6 2" xfId="600"/>
    <cellStyle name="Normal 7 3 6 2 2" xfId="1441"/>
    <cellStyle name="Normal 7 3 6 2 2 2" xfId="3973"/>
    <cellStyle name="Normal 7 3 6 2 2 2 2" xfId="9515"/>
    <cellStyle name="Normal 7 3 6 2 2 2 3" xfId="15054"/>
    <cellStyle name="Normal 7 3 6 2 2 3" xfId="5010"/>
    <cellStyle name="Normal 7 3 6 2 2 3 2" xfId="10549"/>
    <cellStyle name="Normal 7 3 6 2 2 3 3" xfId="16088"/>
    <cellStyle name="Normal 7 3 6 2 2 4" xfId="5944"/>
    <cellStyle name="Normal 7 3 6 2 2 4 2" xfId="11483"/>
    <cellStyle name="Normal 7 3 6 2 2 4 3" xfId="17022"/>
    <cellStyle name="Normal 7 3 6 2 2 5" xfId="2646"/>
    <cellStyle name="Normal 7 3 6 2 2 5 2" xfId="8192"/>
    <cellStyle name="Normal 7 3 6 2 2 5 3" xfId="13731"/>
    <cellStyle name="Normal 7 3 6 2 2 6" xfId="6987"/>
    <cellStyle name="Normal 7 3 6 2 2 7" xfId="12526"/>
    <cellStyle name="Normal 7 3 6 2 3" xfId="1045"/>
    <cellStyle name="Normal 7 3 6 2 3 2" xfId="3575"/>
    <cellStyle name="Normal 7 3 6 2 3 2 2" xfId="9117"/>
    <cellStyle name="Normal 7 3 6 2 3 2 3" xfId="14656"/>
    <cellStyle name="Normal 7 3 6 2 3 3" xfId="4612"/>
    <cellStyle name="Normal 7 3 6 2 3 3 2" xfId="10151"/>
    <cellStyle name="Normal 7 3 6 2 3 3 3" xfId="15690"/>
    <cellStyle name="Normal 7 3 6 2 3 4" xfId="5547"/>
    <cellStyle name="Normal 7 3 6 2 3 4 2" xfId="11086"/>
    <cellStyle name="Normal 7 3 6 2 3 4 3" xfId="16625"/>
    <cellStyle name="Normal 7 3 6 2 3 5" xfId="2249"/>
    <cellStyle name="Normal 7 3 6 2 3 5 2" xfId="7795"/>
    <cellStyle name="Normal 7 3 6 2 3 5 3" xfId="13334"/>
    <cellStyle name="Normal 7 3 6 2 3 6" xfId="6590"/>
    <cellStyle name="Normal 7 3 6 2 3 7" xfId="12129"/>
    <cellStyle name="Normal 7 3 6 2 4" xfId="3259"/>
    <cellStyle name="Normal 7 3 6 2 4 2" xfId="8801"/>
    <cellStyle name="Normal 7 3 6 2 4 3" xfId="14340"/>
    <cellStyle name="Normal 7 3 6 2 5" xfId="4298"/>
    <cellStyle name="Normal 7 3 6 2 5 2" xfId="9837"/>
    <cellStyle name="Normal 7 3 6 2 5 3" xfId="15376"/>
    <cellStyle name="Normal 7 3 6 2 6" xfId="5259"/>
    <cellStyle name="Normal 7 3 6 2 6 2" xfId="10798"/>
    <cellStyle name="Normal 7 3 6 2 6 3" xfId="16337"/>
    <cellStyle name="Normal 7 3 6 2 7" xfId="1961"/>
    <cellStyle name="Normal 7 3 6 2 7 2" xfId="7507"/>
    <cellStyle name="Normal 7 3 6 2 7 3" xfId="13046"/>
    <cellStyle name="Normal 7 3 6 2 8" xfId="6302"/>
    <cellStyle name="Normal 7 3 6 2 9" xfId="11841"/>
    <cellStyle name="Normal 7 3 6 3" xfId="1222"/>
    <cellStyle name="Normal 7 3 6 3 2" xfId="3752"/>
    <cellStyle name="Normal 7 3 6 3 2 2" xfId="9294"/>
    <cellStyle name="Normal 7 3 6 3 2 3" xfId="14833"/>
    <cellStyle name="Normal 7 3 6 3 3" xfId="4789"/>
    <cellStyle name="Normal 7 3 6 3 3 2" xfId="10328"/>
    <cellStyle name="Normal 7 3 6 3 3 3" xfId="15867"/>
    <cellStyle name="Normal 7 3 6 3 4" xfId="5724"/>
    <cellStyle name="Normal 7 3 6 3 4 2" xfId="11263"/>
    <cellStyle name="Normal 7 3 6 3 4 3" xfId="16802"/>
    <cellStyle name="Normal 7 3 6 3 5" xfId="2426"/>
    <cellStyle name="Normal 7 3 6 3 5 2" xfId="7972"/>
    <cellStyle name="Normal 7 3 6 3 5 3" xfId="13511"/>
    <cellStyle name="Normal 7 3 6 3 6" xfId="6767"/>
    <cellStyle name="Normal 7 3 6 3 7" xfId="12306"/>
    <cellStyle name="Normal 7 3 6 4" xfId="931"/>
    <cellStyle name="Normal 7 3 6 4 2" xfId="3461"/>
    <cellStyle name="Normal 7 3 6 4 2 2" xfId="9003"/>
    <cellStyle name="Normal 7 3 6 4 2 3" xfId="14542"/>
    <cellStyle name="Normal 7 3 6 4 3" xfId="4498"/>
    <cellStyle name="Normal 7 3 6 4 3 2" xfId="10037"/>
    <cellStyle name="Normal 7 3 6 4 3 3" xfId="15576"/>
    <cellStyle name="Normal 7 3 6 4 4" xfId="5433"/>
    <cellStyle name="Normal 7 3 6 4 4 2" xfId="10972"/>
    <cellStyle name="Normal 7 3 6 4 4 3" xfId="16511"/>
    <cellStyle name="Normal 7 3 6 4 5" xfId="2135"/>
    <cellStyle name="Normal 7 3 6 4 5 2" xfId="7681"/>
    <cellStyle name="Normal 7 3 6 4 5 3" xfId="13220"/>
    <cellStyle name="Normal 7 3 6 4 6" xfId="6476"/>
    <cellStyle name="Normal 7 3 6 4 7" xfId="12015"/>
    <cellStyle name="Normal 7 3 6 5" xfId="1567"/>
    <cellStyle name="Normal 7 3 6 5 2" xfId="2772"/>
    <cellStyle name="Normal 7 3 6 5 2 2" xfId="8318"/>
    <cellStyle name="Normal 7 3 6 5 2 3" xfId="13857"/>
    <cellStyle name="Normal 7 3 6 5 3" xfId="7113"/>
    <cellStyle name="Normal 7 3 6 5 4" xfId="12652"/>
    <cellStyle name="Normal 7 3 6 6" xfId="2945"/>
    <cellStyle name="Normal 7 3 6 6 2" xfId="8489"/>
    <cellStyle name="Normal 7 3 6 6 3" xfId="14028"/>
    <cellStyle name="Normal 7 3 6 7" xfId="3072"/>
    <cellStyle name="Normal 7 3 6 7 2" xfId="8615"/>
    <cellStyle name="Normal 7 3 6 7 3" xfId="14154"/>
    <cellStyle name="Normal 7 3 6 8" xfId="4115"/>
    <cellStyle name="Normal 7 3 6 8 2" xfId="9656"/>
    <cellStyle name="Normal 7 3 6 8 3" xfId="15195"/>
    <cellStyle name="Normal 7 3 6 9" xfId="1729"/>
    <cellStyle name="Normal 7 3 6 9 2" xfId="7275"/>
    <cellStyle name="Normal 7 3 6 9 3" xfId="12814"/>
    <cellStyle name="Normal 7 3 7" xfId="402"/>
    <cellStyle name="Normal 7 3 7 10" xfId="5998"/>
    <cellStyle name="Normal 7 3 7 10 2" xfId="17076"/>
    <cellStyle name="Normal 7 3 7 11" xfId="642"/>
    <cellStyle name="Normal 7 3 7 11 2" xfId="17238"/>
    <cellStyle name="Normal 7 3 7 12" xfId="11537"/>
    <cellStyle name="Normal 7 3 7 13" xfId="17405"/>
    <cellStyle name="Normal 7 3 7 14" xfId="17570"/>
    <cellStyle name="Normal 7 3 7 2" xfId="601"/>
    <cellStyle name="Normal 7 3 7 2 2" xfId="1442"/>
    <cellStyle name="Normal 7 3 7 2 2 2" xfId="3974"/>
    <cellStyle name="Normal 7 3 7 2 2 2 2" xfId="9516"/>
    <cellStyle name="Normal 7 3 7 2 2 2 3" xfId="15055"/>
    <cellStyle name="Normal 7 3 7 2 2 3" xfId="5011"/>
    <cellStyle name="Normal 7 3 7 2 2 3 2" xfId="10550"/>
    <cellStyle name="Normal 7 3 7 2 2 3 3" xfId="16089"/>
    <cellStyle name="Normal 7 3 7 2 2 4" xfId="5945"/>
    <cellStyle name="Normal 7 3 7 2 2 4 2" xfId="11484"/>
    <cellStyle name="Normal 7 3 7 2 2 4 3" xfId="17023"/>
    <cellStyle name="Normal 7 3 7 2 2 5" xfId="2647"/>
    <cellStyle name="Normal 7 3 7 2 2 5 2" xfId="8193"/>
    <cellStyle name="Normal 7 3 7 2 2 5 3" xfId="13732"/>
    <cellStyle name="Normal 7 3 7 2 2 6" xfId="6988"/>
    <cellStyle name="Normal 7 3 7 2 2 7" xfId="12527"/>
    <cellStyle name="Normal 7 3 7 2 3" xfId="973"/>
    <cellStyle name="Normal 7 3 7 2 3 2" xfId="3503"/>
    <cellStyle name="Normal 7 3 7 2 3 2 2" xfId="9045"/>
    <cellStyle name="Normal 7 3 7 2 3 2 3" xfId="14584"/>
    <cellStyle name="Normal 7 3 7 2 3 3" xfId="4540"/>
    <cellStyle name="Normal 7 3 7 2 3 3 2" xfId="10079"/>
    <cellStyle name="Normal 7 3 7 2 3 3 3" xfId="15618"/>
    <cellStyle name="Normal 7 3 7 2 3 4" xfId="5475"/>
    <cellStyle name="Normal 7 3 7 2 3 4 2" xfId="11014"/>
    <cellStyle name="Normal 7 3 7 2 3 4 3" xfId="16553"/>
    <cellStyle name="Normal 7 3 7 2 3 5" xfId="2177"/>
    <cellStyle name="Normal 7 3 7 2 3 5 2" xfId="7723"/>
    <cellStyle name="Normal 7 3 7 2 3 5 3" xfId="13262"/>
    <cellStyle name="Normal 7 3 7 2 3 6" xfId="6518"/>
    <cellStyle name="Normal 7 3 7 2 3 7" xfId="12057"/>
    <cellStyle name="Normal 7 3 7 2 4" xfId="3260"/>
    <cellStyle name="Normal 7 3 7 2 4 2" xfId="8802"/>
    <cellStyle name="Normal 7 3 7 2 4 3" xfId="14341"/>
    <cellStyle name="Normal 7 3 7 2 5" xfId="4299"/>
    <cellStyle name="Normal 7 3 7 2 5 2" xfId="9838"/>
    <cellStyle name="Normal 7 3 7 2 5 3" xfId="15377"/>
    <cellStyle name="Normal 7 3 7 2 6" xfId="5260"/>
    <cellStyle name="Normal 7 3 7 2 6 2" xfId="10799"/>
    <cellStyle name="Normal 7 3 7 2 6 3" xfId="16338"/>
    <cellStyle name="Normal 7 3 7 2 7" xfId="1962"/>
    <cellStyle name="Normal 7 3 7 2 7 2" xfId="7508"/>
    <cellStyle name="Normal 7 3 7 2 7 3" xfId="13047"/>
    <cellStyle name="Normal 7 3 7 2 8" xfId="6303"/>
    <cellStyle name="Normal 7 3 7 2 9" xfId="11842"/>
    <cellStyle name="Normal 7 3 7 3" xfId="1150"/>
    <cellStyle name="Normal 7 3 7 3 2" xfId="3680"/>
    <cellStyle name="Normal 7 3 7 3 2 2" xfId="9222"/>
    <cellStyle name="Normal 7 3 7 3 2 3" xfId="14761"/>
    <cellStyle name="Normal 7 3 7 3 3" xfId="4717"/>
    <cellStyle name="Normal 7 3 7 3 3 2" xfId="10256"/>
    <cellStyle name="Normal 7 3 7 3 3 3" xfId="15795"/>
    <cellStyle name="Normal 7 3 7 3 4" xfId="5652"/>
    <cellStyle name="Normal 7 3 7 3 4 2" xfId="11191"/>
    <cellStyle name="Normal 7 3 7 3 4 3" xfId="16730"/>
    <cellStyle name="Normal 7 3 7 3 5" xfId="2354"/>
    <cellStyle name="Normal 7 3 7 3 5 2" xfId="7900"/>
    <cellStyle name="Normal 7 3 7 3 5 3" xfId="13439"/>
    <cellStyle name="Normal 7 3 7 3 6" xfId="6695"/>
    <cellStyle name="Normal 7 3 7 3 7" xfId="12234"/>
    <cellStyle name="Normal 7 3 7 4" xfId="932"/>
    <cellStyle name="Normal 7 3 7 4 2" xfId="3462"/>
    <cellStyle name="Normal 7 3 7 4 2 2" xfId="9004"/>
    <cellStyle name="Normal 7 3 7 4 2 3" xfId="14543"/>
    <cellStyle name="Normal 7 3 7 4 3" xfId="4499"/>
    <cellStyle name="Normal 7 3 7 4 3 2" xfId="10038"/>
    <cellStyle name="Normal 7 3 7 4 3 3" xfId="15577"/>
    <cellStyle name="Normal 7 3 7 4 4" xfId="5434"/>
    <cellStyle name="Normal 7 3 7 4 4 2" xfId="10973"/>
    <cellStyle name="Normal 7 3 7 4 4 3" xfId="16512"/>
    <cellStyle name="Normal 7 3 7 4 5" xfId="2136"/>
    <cellStyle name="Normal 7 3 7 4 5 2" xfId="7682"/>
    <cellStyle name="Normal 7 3 7 4 5 3" xfId="13221"/>
    <cellStyle name="Normal 7 3 7 4 6" xfId="6477"/>
    <cellStyle name="Normal 7 3 7 4 7" xfId="12016"/>
    <cellStyle name="Normal 7 3 7 5" xfId="1495"/>
    <cellStyle name="Normal 7 3 7 5 2" xfId="2700"/>
    <cellStyle name="Normal 7 3 7 5 2 2" xfId="8246"/>
    <cellStyle name="Normal 7 3 7 5 2 3" xfId="13785"/>
    <cellStyle name="Normal 7 3 7 5 3" xfId="7041"/>
    <cellStyle name="Normal 7 3 7 5 4" xfId="12580"/>
    <cellStyle name="Normal 7 3 7 6" xfId="2873"/>
    <cellStyle name="Normal 7 3 7 6 2" xfId="8417"/>
    <cellStyle name="Normal 7 3 7 6 3" xfId="13956"/>
    <cellStyle name="Normal 7 3 7 7" xfId="3291"/>
    <cellStyle name="Normal 7 3 7 7 2" xfId="8833"/>
    <cellStyle name="Normal 7 3 7 7 3" xfId="14372"/>
    <cellStyle name="Normal 7 3 7 8" xfId="4330"/>
    <cellStyle name="Normal 7 3 7 8 2" xfId="9869"/>
    <cellStyle name="Normal 7 3 7 8 3" xfId="15408"/>
    <cellStyle name="Normal 7 3 7 9" xfId="1657"/>
    <cellStyle name="Normal 7 3 7 9 2" xfId="7203"/>
    <cellStyle name="Normal 7 3 7 9 3" xfId="12742"/>
    <cellStyle name="Normal 7 3 8" xfId="465"/>
    <cellStyle name="Normal 7 3 8 2" xfId="1307"/>
    <cellStyle name="Normal 7 3 8 2 2" xfId="3838"/>
    <cellStyle name="Normal 7 3 8 2 2 2" xfId="9380"/>
    <cellStyle name="Normal 7 3 8 2 2 3" xfId="14919"/>
    <cellStyle name="Normal 7 3 8 2 3" xfId="4875"/>
    <cellStyle name="Normal 7 3 8 2 3 2" xfId="10414"/>
    <cellStyle name="Normal 7 3 8 2 3 3" xfId="15953"/>
    <cellStyle name="Normal 7 3 8 2 4" xfId="5810"/>
    <cellStyle name="Normal 7 3 8 2 4 2" xfId="11349"/>
    <cellStyle name="Normal 7 3 8 2 4 3" xfId="16888"/>
    <cellStyle name="Normal 7 3 8 2 5" xfId="2512"/>
    <cellStyle name="Normal 7 3 8 2 5 2" xfId="8058"/>
    <cellStyle name="Normal 7 3 8 2 5 3" xfId="13597"/>
    <cellStyle name="Normal 7 3 8 2 6" xfId="6853"/>
    <cellStyle name="Normal 7 3 8 2 7" xfId="12392"/>
    <cellStyle name="Normal 7 3 8 3" xfId="955"/>
    <cellStyle name="Normal 7 3 8 3 2" xfId="3485"/>
    <cellStyle name="Normal 7 3 8 3 2 2" xfId="9027"/>
    <cellStyle name="Normal 7 3 8 3 2 3" xfId="14566"/>
    <cellStyle name="Normal 7 3 8 3 3" xfId="4522"/>
    <cellStyle name="Normal 7 3 8 3 3 2" xfId="10061"/>
    <cellStyle name="Normal 7 3 8 3 3 3" xfId="15600"/>
    <cellStyle name="Normal 7 3 8 3 4" xfId="5457"/>
    <cellStyle name="Normal 7 3 8 3 4 2" xfId="10996"/>
    <cellStyle name="Normal 7 3 8 3 4 3" xfId="16535"/>
    <cellStyle name="Normal 7 3 8 3 5" xfId="2159"/>
    <cellStyle name="Normal 7 3 8 3 5 2" xfId="7705"/>
    <cellStyle name="Normal 7 3 8 3 5 3" xfId="13244"/>
    <cellStyle name="Normal 7 3 8 3 6" xfId="6500"/>
    <cellStyle name="Normal 7 3 8 3 7" xfId="12039"/>
    <cellStyle name="Normal 7 3 8 4" xfId="3115"/>
    <cellStyle name="Normal 7 3 8 4 2" xfId="8658"/>
    <cellStyle name="Normal 7 3 8 4 3" xfId="14197"/>
    <cellStyle name="Normal 7 3 8 5" xfId="4158"/>
    <cellStyle name="Normal 7 3 8 5 2" xfId="9699"/>
    <cellStyle name="Normal 7 3 8 5 3" xfId="15238"/>
    <cellStyle name="Normal 7 3 8 6" xfId="5125"/>
    <cellStyle name="Normal 7 3 8 6 2" xfId="10664"/>
    <cellStyle name="Normal 7 3 8 6 3" xfId="16203"/>
    <cellStyle name="Normal 7 3 8 7" xfId="1827"/>
    <cellStyle name="Normal 7 3 8 7 2" xfId="7373"/>
    <cellStyle name="Normal 7 3 8 7 3" xfId="12912"/>
    <cellStyle name="Normal 7 3 8 8" xfId="6168"/>
    <cellStyle name="Normal 7 3 8 9" xfId="11707"/>
    <cellStyle name="Normal 7 3 9" xfId="1132"/>
    <cellStyle name="Normal 7 3 9 2" xfId="3662"/>
    <cellStyle name="Normal 7 3 9 2 2" xfId="9204"/>
    <cellStyle name="Normal 7 3 9 2 3" xfId="14743"/>
    <cellStyle name="Normal 7 3 9 3" xfId="4699"/>
    <cellStyle name="Normal 7 3 9 3 2" xfId="10238"/>
    <cellStyle name="Normal 7 3 9 3 3" xfId="15777"/>
    <cellStyle name="Normal 7 3 9 4" xfId="5634"/>
    <cellStyle name="Normal 7 3 9 4 2" xfId="11173"/>
    <cellStyle name="Normal 7 3 9 4 3" xfId="16712"/>
    <cellStyle name="Normal 7 3 9 5" xfId="2336"/>
    <cellStyle name="Normal 7 3 9 5 2" xfId="7882"/>
    <cellStyle name="Normal 7 3 9 5 3" xfId="13421"/>
    <cellStyle name="Normal 7 3 9 6" xfId="6677"/>
    <cellStyle name="Normal 7 3 9 7" xfId="12216"/>
    <cellStyle name="Normal 7 4" xfId="260"/>
    <cellStyle name="Normal 7 4 10" xfId="1487"/>
    <cellStyle name="Normal 7 4 10 2" xfId="2692"/>
    <cellStyle name="Normal 7 4 10 2 2" xfId="8238"/>
    <cellStyle name="Normal 7 4 10 2 3" xfId="13777"/>
    <cellStyle name="Normal 7 4 10 3" xfId="7033"/>
    <cellStyle name="Normal 7 4 10 4" xfId="12572"/>
    <cellStyle name="Normal 7 4 11" xfId="2865"/>
    <cellStyle name="Normal 7 4 11 2" xfId="8409"/>
    <cellStyle name="Normal 7 4 11 3" xfId="13948"/>
    <cellStyle name="Normal 7 4 12" xfId="3281"/>
    <cellStyle name="Normal 7 4 12 2" xfId="8823"/>
    <cellStyle name="Normal 7 4 12 3" xfId="14362"/>
    <cellStyle name="Normal 7 4 13" xfId="4320"/>
    <cellStyle name="Normal 7 4 13 2" xfId="9859"/>
    <cellStyle name="Normal 7 4 13 3" xfId="15398"/>
    <cellStyle name="Normal 7 4 14" xfId="1649"/>
    <cellStyle name="Normal 7 4 14 2" xfId="7195"/>
    <cellStyle name="Normal 7 4 14 3" xfId="12734"/>
    <cellStyle name="Normal 7 4 15" xfId="5990"/>
    <cellStyle name="Normal 7 4 15 2" xfId="17068"/>
    <cellStyle name="Normal 7 4 16" xfId="634"/>
    <cellStyle name="Normal 7 4 16 2" xfId="17230"/>
    <cellStyle name="Normal 7 4 17" xfId="11529"/>
    <cellStyle name="Normal 7 4 18" xfId="17397"/>
    <cellStyle name="Normal 7 4 19" xfId="17562"/>
    <cellStyle name="Normal 7 4 2" xfId="403"/>
    <cellStyle name="Normal 7 4 2 10" xfId="1703"/>
    <cellStyle name="Normal 7 4 2 10 2" xfId="7249"/>
    <cellStyle name="Normal 7 4 2 10 3" xfId="12788"/>
    <cellStyle name="Normal 7 4 2 11" xfId="6044"/>
    <cellStyle name="Normal 7 4 2 11 2" xfId="17122"/>
    <cellStyle name="Normal 7 4 2 12" xfId="688"/>
    <cellStyle name="Normal 7 4 2 12 2" xfId="17284"/>
    <cellStyle name="Normal 7 4 2 13" xfId="11583"/>
    <cellStyle name="Normal 7 4 2 14" xfId="17451"/>
    <cellStyle name="Normal 7 4 2 15" xfId="17616"/>
    <cellStyle name="Normal 7 4 2 2" xfId="404"/>
    <cellStyle name="Normal 7 4 2 2 10" xfId="6134"/>
    <cellStyle name="Normal 7 4 2 2 10 2" xfId="17212"/>
    <cellStyle name="Normal 7 4 2 2 11" xfId="778"/>
    <cellStyle name="Normal 7 4 2 2 11 2" xfId="17374"/>
    <cellStyle name="Normal 7 4 2 2 12" xfId="11673"/>
    <cellStyle name="Normal 7 4 2 2 13" xfId="17541"/>
    <cellStyle name="Normal 7 4 2 2 14" xfId="17706"/>
    <cellStyle name="Normal 7 4 2 2 2" xfId="603"/>
    <cellStyle name="Normal 7 4 2 2 2 2" xfId="1444"/>
    <cellStyle name="Normal 7 4 2 2 2 2 2" xfId="3976"/>
    <cellStyle name="Normal 7 4 2 2 2 2 2 2" xfId="9518"/>
    <cellStyle name="Normal 7 4 2 2 2 2 2 3" xfId="15057"/>
    <cellStyle name="Normal 7 4 2 2 2 2 3" xfId="5013"/>
    <cellStyle name="Normal 7 4 2 2 2 2 3 2" xfId="10552"/>
    <cellStyle name="Normal 7 4 2 2 2 2 3 3" xfId="16091"/>
    <cellStyle name="Normal 7 4 2 2 2 2 4" xfId="5947"/>
    <cellStyle name="Normal 7 4 2 2 2 2 4 2" xfId="11486"/>
    <cellStyle name="Normal 7 4 2 2 2 2 4 3" xfId="17025"/>
    <cellStyle name="Normal 7 4 2 2 2 2 5" xfId="2649"/>
    <cellStyle name="Normal 7 4 2 2 2 2 5 2" xfId="8195"/>
    <cellStyle name="Normal 7 4 2 2 2 2 5 3" xfId="13734"/>
    <cellStyle name="Normal 7 4 2 2 2 2 6" xfId="6990"/>
    <cellStyle name="Normal 7 4 2 2 2 2 7" xfId="12529"/>
    <cellStyle name="Normal 7 4 2 2 2 3" xfId="1109"/>
    <cellStyle name="Normal 7 4 2 2 2 3 2" xfId="3639"/>
    <cellStyle name="Normal 7 4 2 2 2 3 2 2" xfId="9181"/>
    <cellStyle name="Normal 7 4 2 2 2 3 2 3" xfId="14720"/>
    <cellStyle name="Normal 7 4 2 2 2 3 3" xfId="4676"/>
    <cellStyle name="Normal 7 4 2 2 2 3 3 2" xfId="10215"/>
    <cellStyle name="Normal 7 4 2 2 2 3 3 3" xfId="15754"/>
    <cellStyle name="Normal 7 4 2 2 2 3 4" xfId="5611"/>
    <cellStyle name="Normal 7 4 2 2 2 3 4 2" xfId="11150"/>
    <cellStyle name="Normal 7 4 2 2 2 3 4 3" xfId="16689"/>
    <cellStyle name="Normal 7 4 2 2 2 3 5" xfId="2313"/>
    <cellStyle name="Normal 7 4 2 2 2 3 5 2" xfId="7859"/>
    <cellStyle name="Normal 7 4 2 2 2 3 5 3" xfId="13398"/>
    <cellStyle name="Normal 7 4 2 2 2 3 6" xfId="6654"/>
    <cellStyle name="Normal 7 4 2 2 2 3 7" xfId="12193"/>
    <cellStyle name="Normal 7 4 2 2 2 4" xfId="3262"/>
    <cellStyle name="Normal 7 4 2 2 2 4 2" xfId="8804"/>
    <cellStyle name="Normal 7 4 2 2 2 4 3" xfId="14343"/>
    <cellStyle name="Normal 7 4 2 2 2 5" xfId="4301"/>
    <cellStyle name="Normal 7 4 2 2 2 5 2" xfId="9840"/>
    <cellStyle name="Normal 7 4 2 2 2 5 3" xfId="15379"/>
    <cellStyle name="Normal 7 4 2 2 2 6" xfId="5262"/>
    <cellStyle name="Normal 7 4 2 2 2 6 2" xfId="10801"/>
    <cellStyle name="Normal 7 4 2 2 2 6 3" xfId="16340"/>
    <cellStyle name="Normal 7 4 2 2 2 7" xfId="1964"/>
    <cellStyle name="Normal 7 4 2 2 2 7 2" xfId="7510"/>
    <cellStyle name="Normal 7 4 2 2 2 7 3" xfId="13049"/>
    <cellStyle name="Normal 7 4 2 2 2 8" xfId="6305"/>
    <cellStyle name="Normal 7 4 2 2 2 9" xfId="11844"/>
    <cellStyle name="Normal 7 4 2 2 3" xfId="1286"/>
    <cellStyle name="Normal 7 4 2 2 3 2" xfId="3816"/>
    <cellStyle name="Normal 7 4 2 2 3 2 2" xfId="9358"/>
    <cellStyle name="Normal 7 4 2 2 3 2 3" xfId="14897"/>
    <cellStyle name="Normal 7 4 2 2 3 3" xfId="4853"/>
    <cellStyle name="Normal 7 4 2 2 3 3 2" xfId="10392"/>
    <cellStyle name="Normal 7 4 2 2 3 3 3" xfId="15931"/>
    <cellStyle name="Normal 7 4 2 2 3 4" xfId="5788"/>
    <cellStyle name="Normal 7 4 2 2 3 4 2" xfId="11327"/>
    <cellStyle name="Normal 7 4 2 2 3 4 3" xfId="16866"/>
    <cellStyle name="Normal 7 4 2 2 3 5" xfId="2490"/>
    <cellStyle name="Normal 7 4 2 2 3 5 2" xfId="8036"/>
    <cellStyle name="Normal 7 4 2 2 3 5 3" xfId="13575"/>
    <cellStyle name="Normal 7 4 2 2 3 6" xfId="6831"/>
    <cellStyle name="Normal 7 4 2 2 3 7" xfId="12370"/>
    <cellStyle name="Normal 7 4 2 2 4" xfId="935"/>
    <cellStyle name="Normal 7 4 2 2 4 2" xfId="3465"/>
    <cellStyle name="Normal 7 4 2 2 4 2 2" xfId="9007"/>
    <cellStyle name="Normal 7 4 2 2 4 2 3" xfId="14546"/>
    <cellStyle name="Normal 7 4 2 2 4 3" xfId="4502"/>
    <cellStyle name="Normal 7 4 2 2 4 3 2" xfId="10041"/>
    <cellStyle name="Normal 7 4 2 2 4 3 3" xfId="15580"/>
    <cellStyle name="Normal 7 4 2 2 4 4" xfId="5437"/>
    <cellStyle name="Normal 7 4 2 2 4 4 2" xfId="10976"/>
    <cellStyle name="Normal 7 4 2 2 4 4 3" xfId="16515"/>
    <cellStyle name="Normal 7 4 2 2 4 5" xfId="2139"/>
    <cellStyle name="Normal 7 4 2 2 4 5 2" xfId="7685"/>
    <cellStyle name="Normal 7 4 2 2 4 5 3" xfId="13224"/>
    <cellStyle name="Normal 7 4 2 2 4 6" xfId="6480"/>
    <cellStyle name="Normal 7 4 2 2 4 7" xfId="12019"/>
    <cellStyle name="Normal 7 4 2 2 5" xfId="1631"/>
    <cellStyle name="Normal 7 4 2 2 5 2" xfId="2836"/>
    <cellStyle name="Normal 7 4 2 2 5 2 2" xfId="8382"/>
    <cellStyle name="Normal 7 4 2 2 5 2 3" xfId="13921"/>
    <cellStyle name="Normal 7 4 2 2 5 3" xfId="7177"/>
    <cellStyle name="Normal 7 4 2 2 5 4" xfId="12716"/>
    <cellStyle name="Normal 7 4 2 2 6" xfId="3009"/>
    <cellStyle name="Normal 7 4 2 2 6 2" xfId="8553"/>
    <cellStyle name="Normal 7 4 2 2 6 3" xfId="14092"/>
    <cellStyle name="Normal 7 4 2 2 7" xfId="4054"/>
    <cellStyle name="Normal 7 4 2 2 7 2" xfId="9596"/>
    <cellStyle name="Normal 7 4 2 2 7 3" xfId="15135"/>
    <cellStyle name="Normal 7 4 2 2 8" xfId="5091"/>
    <cellStyle name="Normal 7 4 2 2 8 2" xfId="10630"/>
    <cellStyle name="Normal 7 4 2 2 8 3" xfId="16169"/>
    <cellStyle name="Normal 7 4 2 2 9" xfId="1793"/>
    <cellStyle name="Normal 7 4 2 2 9 2" xfId="7339"/>
    <cellStyle name="Normal 7 4 2 2 9 3" xfId="12878"/>
    <cellStyle name="Normal 7 4 2 3" xfId="602"/>
    <cellStyle name="Normal 7 4 2 3 2" xfId="1443"/>
    <cellStyle name="Normal 7 4 2 3 2 2" xfId="3975"/>
    <cellStyle name="Normal 7 4 2 3 2 2 2" xfId="9517"/>
    <cellStyle name="Normal 7 4 2 3 2 2 3" xfId="15056"/>
    <cellStyle name="Normal 7 4 2 3 2 3" xfId="5012"/>
    <cellStyle name="Normal 7 4 2 3 2 3 2" xfId="10551"/>
    <cellStyle name="Normal 7 4 2 3 2 3 3" xfId="16090"/>
    <cellStyle name="Normal 7 4 2 3 2 4" xfId="5946"/>
    <cellStyle name="Normal 7 4 2 3 2 4 2" xfId="11485"/>
    <cellStyle name="Normal 7 4 2 3 2 4 3" xfId="17024"/>
    <cellStyle name="Normal 7 4 2 3 2 5" xfId="2648"/>
    <cellStyle name="Normal 7 4 2 3 2 5 2" xfId="8194"/>
    <cellStyle name="Normal 7 4 2 3 2 5 3" xfId="13733"/>
    <cellStyle name="Normal 7 4 2 3 2 6" xfId="6989"/>
    <cellStyle name="Normal 7 4 2 3 2 7" xfId="12528"/>
    <cellStyle name="Normal 7 4 2 3 3" xfId="1019"/>
    <cellStyle name="Normal 7 4 2 3 3 2" xfId="3549"/>
    <cellStyle name="Normal 7 4 2 3 3 2 2" xfId="9091"/>
    <cellStyle name="Normal 7 4 2 3 3 2 3" xfId="14630"/>
    <cellStyle name="Normal 7 4 2 3 3 3" xfId="4586"/>
    <cellStyle name="Normal 7 4 2 3 3 3 2" xfId="10125"/>
    <cellStyle name="Normal 7 4 2 3 3 3 3" xfId="15664"/>
    <cellStyle name="Normal 7 4 2 3 3 4" xfId="5521"/>
    <cellStyle name="Normal 7 4 2 3 3 4 2" xfId="11060"/>
    <cellStyle name="Normal 7 4 2 3 3 4 3" xfId="16599"/>
    <cellStyle name="Normal 7 4 2 3 3 5" xfId="2223"/>
    <cellStyle name="Normal 7 4 2 3 3 5 2" xfId="7769"/>
    <cellStyle name="Normal 7 4 2 3 3 5 3" xfId="13308"/>
    <cellStyle name="Normal 7 4 2 3 3 6" xfId="6564"/>
    <cellStyle name="Normal 7 4 2 3 3 7" xfId="12103"/>
    <cellStyle name="Normal 7 4 2 3 4" xfId="3261"/>
    <cellStyle name="Normal 7 4 2 3 4 2" xfId="8803"/>
    <cellStyle name="Normal 7 4 2 3 4 3" xfId="14342"/>
    <cellStyle name="Normal 7 4 2 3 5" xfId="4300"/>
    <cellStyle name="Normal 7 4 2 3 5 2" xfId="9839"/>
    <cellStyle name="Normal 7 4 2 3 5 3" xfId="15378"/>
    <cellStyle name="Normal 7 4 2 3 6" xfId="5261"/>
    <cellStyle name="Normal 7 4 2 3 6 2" xfId="10800"/>
    <cellStyle name="Normal 7 4 2 3 6 3" xfId="16339"/>
    <cellStyle name="Normal 7 4 2 3 7" xfId="1963"/>
    <cellStyle name="Normal 7 4 2 3 7 2" xfId="7509"/>
    <cellStyle name="Normal 7 4 2 3 7 3" xfId="13048"/>
    <cellStyle name="Normal 7 4 2 3 8" xfId="6304"/>
    <cellStyle name="Normal 7 4 2 3 9" xfId="11843"/>
    <cellStyle name="Normal 7 4 2 4" xfId="1196"/>
    <cellStyle name="Normal 7 4 2 4 2" xfId="3726"/>
    <cellStyle name="Normal 7 4 2 4 2 2" xfId="9268"/>
    <cellStyle name="Normal 7 4 2 4 2 3" xfId="14807"/>
    <cellStyle name="Normal 7 4 2 4 3" xfId="4763"/>
    <cellStyle name="Normal 7 4 2 4 3 2" xfId="10302"/>
    <cellStyle name="Normal 7 4 2 4 3 3" xfId="15841"/>
    <cellStyle name="Normal 7 4 2 4 4" xfId="5698"/>
    <cellStyle name="Normal 7 4 2 4 4 2" xfId="11237"/>
    <cellStyle name="Normal 7 4 2 4 4 3" xfId="16776"/>
    <cellStyle name="Normal 7 4 2 4 5" xfId="2400"/>
    <cellStyle name="Normal 7 4 2 4 5 2" xfId="7946"/>
    <cellStyle name="Normal 7 4 2 4 5 3" xfId="13485"/>
    <cellStyle name="Normal 7 4 2 4 6" xfId="6741"/>
    <cellStyle name="Normal 7 4 2 4 7" xfId="12280"/>
    <cellStyle name="Normal 7 4 2 5" xfId="934"/>
    <cellStyle name="Normal 7 4 2 5 2" xfId="3464"/>
    <cellStyle name="Normal 7 4 2 5 2 2" xfId="9006"/>
    <cellStyle name="Normal 7 4 2 5 2 3" xfId="14545"/>
    <cellStyle name="Normal 7 4 2 5 3" xfId="4501"/>
    <cellStyle name="Normal 7 4 2 5 3 2" xfId="10040"/>
    <cellStyle name="Normal 7 4 2 5 3 3" xfId="15579"/>
    <cellStyle name="Normal 7 4 2 5 4" xfId="5436"/>
    <cellStyle name="Normal 7 4 2 5 4 2" xfId="10975"/>
    <cellStyle name="Normal 7 4 2 5 4 3" xfId="16514"/>
    <cellStyle name="Normal 7 4 2 5 5" xfId="2138"/>
    <cellStyle name="Normal 7 4 2 5 5 2" xfId="7684"/>
    <cellStyle name="Normal 7 4 2 5 5 3" xfId="13223"/>
    <cellStyle name="Normal 7 4 2 5 6" xfId="6479"/>
    <cellStyle name="Normal 7 4 2 5 7" xfId="12018"/>
    <cellStyle name="Normal 7 4 2 6" xfId="1541"/>
    <cellStyle name="Normal 7 4 2 6 2" xfId="2746"/>
    <cellStyle name="Normal 7 4 2 6 2 2" xfId="8292"/>
    <cellStyle name="Normal 7 4 2 6 2 3" xfId="13831"/>
    <cellStyle name="Normal 7 4 2 6 3" xfId="7087"/>
    <cellStyle name="Normal 7 4 2 6 4" xfId="12626"/>
    <cellStyle name="Normal 7 4 2 7" xfId="2919"/>
    <cellStyle name="Normal 7 4 2 7 2" xfId="8463"/>
    <cellStyle name="Normal 7 4 2 7 3" xfId="14002"/>
    <cellStyle name="Normal 7 4 2 8" xfId="3085"/>
    <cellStyle name="Normal 7 4 2 8 2" xfId="8628"/>
    <cellStyle name="Normal 7 4 2 8 3" xfId="14167"/>
    <cellStyle name="Normal 7 4 2 9" xfId="4128"/>
    <cellStyle name="Normal 7 4 2 9 2" xfId="9669"/>
    <cellStyle name="Normal 7 4 2 9 3" xfId="15208"/>
    <cellStyle name="Normal 7 4 3" xfId="405"/>
    <cellStyle name="Normal 7 4 3 10" xfId="1685"/>
    <cellStyle name="Normal 7 4 3 10 2" xfId="7231"/>
    <cellStyle name="Normal 7 4 3 10 3" xfId="12770"/>
    <cellStyle name="Normal 7 4 3 11" xfId="6026"/>
    <cellStyle name="Normal 7 4 3 11 2" xfId="17104"/>
    <cellStyle name="Normal 7 4 3 12" xfId="670"/>
    <cellStyle name="Normal 7 4 3 12 2" xfId="17266"/>
    <cellStyle name="Normal 7 4 3 13" xfId="11565"/>
    <cellStyle name="Normal 7 4 3 14" xfId="17433"/>
    <cellStyle name="Normal 7 4 3 15" xfId="17598"/>
    <cellStyle name="Normal 7 4 3 2" xfId="406"/>
    <cellStyle name="Normal 7 4 3 2 10" xfId="6116"/>
    <cellStyle name="Normal 7 4 3 2 10 2" xfId="17194"/>
    <cellStyle name="Normal 7 4 3 2 11" xfId="760"/>
    <cellStyle name="Normal 7 4 3 2 11 2" xfId="17356"/>
    <cellStyle name="Normal 7 4 3 2 12" xfId="11655"/>
    <cellStyle name="Normal 7 4 3 2 13" xfId="17523"/>
    <cellStyle name="Normal 7 4 3 2 14" xfId="17688"/>
    <cellStyle name="Normal 7 4 3 2 2" xfId="605"/>
    <cellStyle name="Normal 7 4 3 2 2 2" xfId="1446"/>
    <cellStyle name="Normal 7 4 3 2 2 2 2" xfId="3978"/>
    <cellStyle name="Normal 7 4 3 2 2 2 2 2" xfId="9520"/>
    <cellStyle name="Normal 7 4 3 2 2 2 2 3" xfId="15059"/>
    <cellStyle name="Normal 7 4 3 2 2 2 3" xfId="5015"/>
    <cellStyle name="Normal 7 4 3 2 2 2 3 2" xfId="10554"/>
    <cellStyle name="Normal 7 4 3 2 2 2 3 3" xfId="16093"/>
    <cellStyle name="Normal 7 4 3 2 2 2 4" xfId="5949"/>
    <cellStyle name="Normal 7 4 3 2 2 2 4 2" xfId="11488"/>
    <cellStyle name="Normal 7 4 3 2 2 2 4 3" xfId="17027"/>
    <cellStyle name="Normal 7 4 3 2 2 2 5" xfId="2651"/>
    <cellStyle name="Normal 7 4 3 2 2 2 5 2" xfId="8197"/>
    <cellStyle name="Normal 7 4 3 2 2 2 5 3" xfId="13736"/>
    <cellStyle name="Normal 7 4 3 2 2 2 6" xfId="6992"/>
    <cellStyle name="Normal 7 4 3 2 2 2 7" xfId="12531"/>
    <cellStyle name="Normal 7 4 3 2 2 3" xfId="1091"/>
    <cellStyle name="Normal 7 4 3 2 2 3 2" xfId="3621"/>
    <cellStyle name="Normal 7 4 3 2 2 3 2 2" xfId="9163"/>
    <cellStyle name="Normal 7 4 3 2 2 3 2 3" xfId="14702"/>
    <cellStyle name="Normal 7 4 3 2 2 3 3" xfId="4658"/>
    <cellStyle name="Normal 7 4 3 2 2 3 3 2" xfId="10197"/>
    <cellStyle name="Normal 7 4 3 2 2 3 3 3" xfId="15736"/>
    <cellStyle name="Normal 7 4 3 2 2 3 4" xfId="5593"/>
    <cellStyle name="Normal 7 4 3 2 2 3 4 2" xfId="11132"/>
    <cellStyle name="Normal 7 4 3 2 2 3 4 3" xfId="16671"/>
    <cellStyle name="Normal 7 4 3 2 2 3 5" xfId="2295"/>
    <cellStyle name="Normal 7 4 3 2 2 3 5 2" xfId="7841"/>
    <cellStyle name="Normal 7 4 3 2 2 3 5 3" xfId="13380"/>
    <cellStyle name="Normal 7 4 3 2 2 3 6" xfId="6636"/>
    <cellStyle name="Normal 7 4 3 2 2 3 7" xfId="12175"/>
    <cellStyle name="Normal 7 4 3 2 2 4" xfId="3264"/>
    <cellStyle name="Normal 7 4 3 2 2 4 2" xfId="8806"/>
    <cellStyle name="Normal 7 4 3 2 2 4 3" xfId="14345"/>
    <cellStyle name="Normal 7 4 3 2 2 5" xfId="4303"/>
    <cellStyle name="Normal 7 4 3 2 2 5 2" xfId="9842"/>
    <cellStyle name="Normal 7 4 3 2 2 5 3" xfId="15381"/>
    <cellStyle name="Normal 7 4 3 2 2 6" xfId="5264"/>
    <cellStyle name="Normal 7 4 3 2 2 6 2" xfId="10803"/>
    <cellStyle name="Normal 7 4 3 2 2 6 3" xfId="16342"/>
    <cellStyle name="Normal 7 4 3 2 2 7" xfId="1966"/>
    <cellStyle name="Normal 7 4 3 2 2 7 2" xfId="7512"/>
    <cellStyle name="Normal 7 4 3 2 2 7 3" xfId="13051"/>
    <cellStyle name="Normal 7 4 3 2 2 8" xfId="6307"/>
    <cellStyle name="Normal 7 4 3 2 2 9" xfId="11846"/>
    <cellStyle name="Normal 7 4 3 2 3" xfId="1268"/>
    <cellStyle name="Normal 7 4 3 2 3 2" xfId="3798"/>
    <cellStyle name="Normal 7 4 3 2 3 2 2" xfId="9340"/>
    <cellStyle name="Normal 7 4 3 2 3 2 3" xfId="14879"/>
    <cellStyle name="Normal 7 4 3 2 3 3" xfId="4835"/>
    <cellStyle name="Normal 7 4 3 2 3 3 2" xfId="10374"/>
    <cellStyle name="Normal 7 4 3 2 3 3 3" xfId="15913"/>
    <cellStyle name="Normal 7 4 3 2 3 4" xfId="5770"/>
    <cellStyle name="Normal 7 4 3 2 3 4 2" xfId="11309"/>
    <cellStyle name="Normal 7 4 3 2 3 4 3" xfId="16848"/>
    <cellStyle name="Normal 7 4 3 2 3 5" xfId="2472"/>
    <cellStyle name="Normal 7 4 3 2 3 5 2" xfId="8018"/>
    <cellStyle name="Normal 7 4 3 2 3 5 3" xfId="13557"/>
    <cellStyle name="Normal 7 4 3 2 3 6" xfId="6813"/>
    <cellStyle name="Normal 7 4 3 2 3 7" xfId="12352"/>
    <cellStyle name="Normal 7 4 3 2 4" xfId="937"/>
    <cellStyle name="Normal 7 4 3 2 4 2" xfId="3467"/>
    <cellStyle name="Normal 7 4 3 2 4 2 2" xfId="9009"/>
    <cellStyle name="Normal 7 4 3 2 4 2 3" xfId="14548"/>
    <cellStyle name="Normal 7 4 3 2 4 3" xfId="4504"/>
    <cellStyle name="Normal 7 4 3 2 4 3 2" xfId="10043"/>
    <cellStyle name="Normal 7 4 3 2 4 3 3" xfId="15582"/>
    <cellStyle name="Normal 7 4 3 2 4 4" xfId="5439"/>
    <cellStyle name="Normal 7 4 3 2 4 4 2" xfId="10978"/>
    <cellStyle name="Normal 7 4 3 2 4 4 3" xfId="16517"/>
    <cellStyle name="Normal 7 4 3 2 4 5" xfId="2141"/>
    <cellStyle name="Normal 7 4 3 2 4 5 2" xfId="7687"/>
    <cellStyle name="Normal 7 4 3 2 4 5 3" xfId="13226"/>
    <cellStyle name="Normal 7 4 3 2 4 6" xfId="6482"/>
    <cellStyle name="Normal 7 4 3 2 4 7" xfId="12021"/>
    <cellStyle name="Normal 7 4 3 2 5" xfId="1613"/>
    <cellStyle name="Normal 7 4 3 2 5 2" xfId="2818"/>
    <cellStyle name="Normal 7 4 3 2 5 2 2" xfId="8364"/>
    <cellStyle name="Normal 7 4 3 2 5 2 3" xfId="13903"/>
    <cellStyle name="Normal 7 4 3 2 5 3" xfId="7159"/>
    <cellStyle name="Normal 7 4 3 2 5 4" xfId="12698"/>
    <cellStyle name="Normal 7 4 3 2 6" xfId="2991"/>
    <cellStyle name="Normal 7 4 3 2 6 2" xfId="8535"/>
    <cellStyle name="Normal 7 4 3 2 6 3" xfId="14074"/>
    <cellStyle name="Normal 7 4 3 2 7" xfId="4036"/>
    <cellStyle name="Normal 7 4 3 2 7 2" xfId="9578"/>
    <cellStyle name="Normal 7 4 3 2 7 3" xfId="15117"/>
    <cellStyle name="Normal 7 4 3 2 8" xfId="5073"/>
    <cellStyle name="Normal 7 4 3 2 8 2" xfId="10612"/>
    <cellStyle name="Normal 7 4 3 2 8 3" xfId="16151"/>
    <cellStyle name="Normal 7 4 3 2 9" xfId="1775"/>
    <cellStyle name="Normal 7 4 3 2 9 2" xfId="7321"/>
    <cellStyle name="Normal 7 4 3 2 9 3" xfId="12860"/>
    <cellStyle name="Normal 7 4 3 3" xfId="604"/>
    <cellStyle name="Normal 7 4 3 3 2" xfId="1445"/>
    <cellStyle name="Normal 7 4 3 3 2 2" xfId="3977"/>
    <cellStyle name="Normal 7 4 3 3 2 2 2" xfId="9519"/>
    <cellStyle name="Normal 7 4 3 3 2 2 3" xfId="15058"/>
    <cellStyle name="Normal 7 4 3 3 2 3" xfId="5014"/>
    <cellStyle name="Normal 7 4 3 3 2 3 2" xfId="10553"/>
    <cellStyle name="Normal 7 4 3 3 2 3 3" xfId="16092"/>
    <cellStyle name="Normal 7 4 3 3 2 4" xfId="5948"/>
    <cellStyle name="Normal 7 4 3 3 2 4 2" xfId="11487"/>
    <cellStyle name="Normal 7 4 3 3 2 4 3" xfId="17026"/>
    <cellStyle name="Normal 7 4 3 3 2 5" xfId="2650"/>
    <cellStyle name="Normal 7 4 3 3 2 5 2" xfId="8196"/>
    <cellStyle name="Normal 7 4 3 3 2 5 3" xfId="13735"/>
    <cellStyle name="Normal 7 4 3 3 2 6" xfId="6991"/>
    <cellStyle name="Normal 7 4 3 3 2 7" xfId="12530"/>
    <cellStyle name="Normal 7 4 3 3 3" xfId="1001"/>
    <cellStyle name="Normal 7 4 3 3 3 2" xfId="3531"/>
    <cellStyle name="Normal 7 4 3 3 3 2 2" xfId="9073"/>
    <cellStyle name="Normal 7 4 3 3 3 2 3" xfId="14612"/>
    <cellStyle name="Normal 7 4 3 3 3 3" xfId="4568"/>
    <cellStyle name="Normal 7 4 3 3 3 3 2" xfId="10107"/>
    <cellStyle name="Normal 7 4 3 3 3 3 3" xfId="15646"/>
    <cellStyle name="Normal 7 4 3 3 3 4" xfId="5503"/>
    <cellStyle name="Normal 7 4 3 3 3 4 2" xfId="11042"/>
    <cellStyle name="Normal 7 4 3 3 3 4 3" xfId="16581"/>
    <cellStyle name="Normal 7 4 3 3 3 5" xfId="2205"/>
    <cellStyle name="Normal 7 4 3 3 3 5 2" xfId="7751"/>
    <cellStyle name="Normal 7 4 3 3 3 5 3" xfId="13290"/>
    <cellStyle name="Normal 7 4 3 3 3 6" xfId="6546"/>
    <cellStyle name="Normal 7 4 3 3 3 7" xfId="12085"/>
    <cellStyle name="Normal 7 4 3 3 4" xfId="3263"/>
    <cellStyle name="Normal 7 4 3 3 4 2" xfId="8805"/>
    <cellStyle name="Normal 7 4 3 3 4 3" xfId="14344"/>
    <cellStyle name="Normal 7 4 3 3 5" xfId="4302"/>
    <cellStyle name="Normal 7 4 3 3 5 2" xfId="9841"/>
    <cellStyle name="Normal 7 4 3 3 5 3" xfId="15380"/>
    <cellStyle name="Normal 7 4 3 3 6" xfId="5263"/>
    <cellStyle name="Normal 7 4 3 3 6 2" xfId="10802"/>
    <cellStyle name="Normal 7 4 3 3 6 3" xfId="16341"/>
    <cellStyle name="Normal 7 4 3 3 7" xfId="1965"/>
    <cellStyle name="Normal 7 4 3 3 7 2" xfId="7511"/>
    <cellStyle name="Normal 7 4 3 3 7 3" xfId="13050"/>
    <cellStyle name="Normal 7 4 3 3 8" xfId="6306"/>
    <cellStyle name="Normal 7 4 3 3 9" xfId="11845"/>
    <cellStyle name="Normal 7 4 3 4" xfId="1178"/>
    <cellStyle name="Normal 7 4 3 4 2" xfId="3708"/>
    <cellStyle name="Normal 7 4 3 4 2 2" xfId="9250"/>
    <cellStyle name="Normal 7 4 3 4 2 3" xfId="14789"/>
    <cellStyle name="Normal 7 4 3 4 3" xfId="4745"/>
    <cellStyle name="Normal 7 4 3 4 3 2" xfId="10284"/>
    <cellStyle name="Normal 7 4 3 4 3 3" xfId="15823"/>
    <cellStyle name="Normal 7 4 3 4 4" xfId="5680"/>
    <cellStyle name="Normal 7 4 3 4 4 2" xfId="11219"/>
    <cellStyle name="Normal 7 4 3 4 4 3" xfId="16758"/>
    <cellStyle name="Normal 7 4 3 4 5" xfId="2382"/>
    <cellStyle name="Normal 7 4 3 4 5 2" xfId="7928"/>
    <cellStyle name="Normal 7 4 3 4 5 3" xfId="13467"/>
    <cellStyle name="Normal 7 4 3 4 6" xfId="6723"/>
    <cellStyle name="Normal 7 4 3 4 7" xfId="12262"/>
    <cellStyle name="Normal 7 4 3 5" xfId="936"/>
    <cellStyle name="Normal 7 4 3 5 2" xfId="3466"/>
    <cellStyle name="Normal 7 4 3 5 2 2" xfId="9008"/>
    <cellStyle name="Normal 7 4 3 5 2 3" xfId="14547"/>
    <cellStyle name="Normal 7 4 3 5 3" xfId="4503"/>
    <cellStyle name="Normal 7 4 3 5 3 2" xfId="10042"/>
    <cellStyle name="Normal 7 4 3 5 3 3" xfId="15581"/>
    <cellStyle name="Normal 7 4 3 5 4" xfId="5438"/>
    <cellStyle name="Normal 7 4 3 5 4 2" xfId="10977"/>
    <cellStyle name="Normal 7 4 3 5 4 3" xfId="16516"/>
    <cellStyle name="Normal 7 4 3 5 5" xfId="2140"/>
    <cellStyle name="Normal 7 4 3 5 5 2" xfId="7686"/>
    <cellStyle name="Normal 7 4 3 5 5 3" xfId="13225"/>
    <cellStyle name="Normal 7 4 3 5 6" xfId="6481"/>
    <cellStyle name="Normal 7 4 3 5 7" xfId="12020"/>
    <cellStyle name="Normal 7 4 3 6" xfId="1523"/>
    <cellStyle name="Normal 7 4 3 6 2" xfId="2728"/>
    <cellStyle name="Normal 7 4 3 6 2 2" xfId="8274"/>
    <cellStyle name="Normal 7 4 3 6 2 3" xfId="13813"/>
    <cellStyle name="Normal 7 4 3 6 3" xfId="7069"/>
    <cellStyle name="Normal 7 4 3 6 4" xfId="12608"/>
    <cellStyle name="Normal 7 4 3 7" xfId="2901"/>
    <cellStyle name="Normal 7 4 3 7 2" xfId="8445"/>
    <cellStyle name="Normal 7 4 3 7 3" xfId="13984"/>
    <cellStyle name="Normal 7 4 3 8" xfId="3286"/>
    <cellStyle name="Normal 7 4 3 8 2" xfId="8828"/>
    <cellStyle name="Normal 7 4 3 8 3" xfId="14367"/>
    <cellStyle name="Normal 7 4 3 9" xfId="4325"/>
    <cellStyle name="Normal 7 4 3 9 2" xfId="9864"/>
    <cellStyle name="Normal 7 4 3 9 3" xfId="15403"/>
    <cellStyle name="Normal 7 4 4" xfId="407"/>
    <cellStyle name="Normal 7 4 4 10" xfId="1721"/>
    <cellStyle name="Normal 7 4 4 10 2" xfId="7267"/>
    <cellStyle name="Normal 7 4 4 10 3" xfId="12806"/>
    <cellStyle name="Normal 7 4 4 11" xfId="6062"/>
    <cellStyle name="Normal 7 4 4 11 2" xfId="17140"/>
    <cellStyle name="Normal 7 4 4 12" xfId="706"/>
    <cellStyle name="Normal 7 4 4 12 2" xfId="17302"/>
    <cellStyle name="Normal 7 4 4 13" xfId="11601"/>
    <cellStyle name="Normal 7 4 4 14" xfId="17469"/>
    <cellStyle name="Normal 7 4 4 15" xfId="17634"/>
    <cellStyle name="Normal 7 4 4 2" xfId="408"/>
    <cellStyle name="Normal 7 4 4 2 10" xfId="6098"/>
    <cellStyle name="Normal 7 4 4 2 10 2" xfId="17176"/>
    <cellStyle name="Normal 7 4 4 2 11" xfId="742"/>
    <cellStyle name="Normal 7 4 4 2 11 2" xfId="17338"/>
    <cellStyle name="Normal 7 4 4 2 12" xfId="11637"/>
    <cellStyle name="Normal 7 4 4 2 13" xfId="17505"/>
    <cellStyle name="Normal 7 4 4 2 14" xfId="17670"/>
    <cellStyle name="Normal 7 4 4 2 2" xfId="607"/>
    <cellStyle name="Normal 7 4 4 2 2 2" xfId="1448"/>
    <cellStyle name="Normal 7 4 4 2 2 2 2" xfId="3980"/>
    <cellStyle name="Normal 7 4 4 2 2 2 2 2" xfId="9522"/>
    <cellStyle name="Normal 7 4 4 2 2 2 2 3" xfId="15061"/>
    <cellStyle name="Normal 7 4 4 2 2 2 3" xfId="5017"/>
    <cellStyle name="Normal 7 4 4 2 2 2 3 2" xfId="10556"/>
    <cellStyle name="Normal 7 4 4 2 2 2 3 3" xfId="16095"/>
    <cellStyle name="Normal 7 4 4 2 2 2 4" xfId="5951"/>
    <cellStyle name="Normal 7 4 4 2 2 2 4 2" xfId="11490"/>
    <cellStyle name="Normal 7 4 4 2 2 2 4 3" xfId="17029"/>
    <cellStyle name="Normal 7 4 4 2 2 2 5" xfId="2653"/>
    <cellStyle name="Normal 7 4 4 2 2 2 5 2" xfId="8199"/>
    <cellStyle name="Normal 7 4 4 2 2 2 5 3" xfId="13738"/>
    <cellStyle name="Normal 7 4 4 2 2 2 6" xfId="6994"/>
    <cellStyle name="Normal 7 4 4 2 2 2 7" xfId="12533"/>
    <cellStyle name="Normal 7 4 4 2 2 3" xfId="1073"/>
    <cellStyle name="Normal 7 4 4 2 2 3 2" xfId="3603"/>
    <cellStyle name="Normal 7 4 4 2 2 3 2 2" xfId="9145"/>
    <cellStyle name="Normal 7 4 4 2 2 3 2 3" xfId="14684"/>
    <cellStyle name="Normal 7 4 4 2 2 3 3" xfId="4640"/>
    <cellStyle name="Normal 7 4 4 2 2 3 3 2" xfId="10179"/>
    <cellStyle name="Normal 7 4 4 2 2 3 3 3" xfId="15718"/>
    <cellStyle name="Normal 7 4 4 2 2 3 4" xfId="5575"/>
    <cellStyle name="Normal 7 4 4 2 2 3 4 2" xfId="11114"/>
    <cellStyle name="Normal 7 4 4 2 2 3 4 3" xfId="16653"/>
    <cellStyle name="Normal 7 4 4 2 2 3 5" xfId="2277"/>
    <cellStyle name="Normal 7 4 4 2 2 3 5 2" xfId="7823"/>
    <cellStyle name="Normal 7 4 4 2 2 3 5 3" xfId="13362"/>
    <cellStyle name="Normal 7 4 4 2 2 3 6" xfId="6618"/>
    <cellStyle name="Normal 7 4 4 2 2 3 7" xfId="12157"/>
    <cellStyle name="Normal 7 4 4 2 2 4" xfId="3266"/>
    <cellStyle name="Normal 7 4 4 2 2 4 2" xfId="8808"/>
    <cellStyle name="Normal 7 4 4 2 2 4 3" xfId="14347"/>
    <cellStyle name="Normal 7 4 4 2 2 5" xfId="4305"/>
    <cellStyle name="Normal 7 4 4 2 2 5 2" xfId="9844"/>
    <cellStyle name="Normal 7 4 4 2 2 5 3" xfId="15383"/>
    <cellStyle name="Normal 7 4 4 2 2 6" xfId="5266"/>
    <cellStyle name="Normal 7 4 4 2 2 6 2" xfId="10805"/>
    <cellStyle name="Normal 7 4 4 2 2 6 3" xfId="16344"/>
    <cellStyle name="Normal 7 4 4 2 2 7" xfId="1968"/>
    <cellStyle name="Normal 7 4 4 2 2 7 2" xfId="7514"/>
    <cellStyle name="Normal 7 4 4 2 2 7 3" xfId="13053"/>
    <cellStyle name="Normal 7 4 4 2 2 8" xfId="6309"/>
    <cellStyle name="Normal 7 4 4 2 2 9" xfId="11848"/>
    <cellStyle name="Normal 7 4 4 2 3" xfId="1250"/>
    <cellStyle name="Normal 7 4 4 2 3 2" xfId="3780"/>
    <cellStyle name="Normal 7 4 4 2 3 2 2" xfId="9322"/>
    <cellStyle name="Normal 7 4 4 2 3 2 3" xfId="14861"/>
    <cellStyle name="Normal 7 4 4 2 3 3" xfId="4817"/>
    <cellStyle name="Normal 7 4 4 2 3 3 2" xfId="10356"/>
    <cellStyle name="Normal 7 4 4 2 3 3 3" xfId="15895"/>
    <cellStyle name="Normal 7 4 4 2 3 4" xfId="5752"/>
    <cellStyle name="Normal 7 4 4 2 3 4 2" xfId="11291"/>
    <cellStyle name="Normal 7 4 4 2 3 4 3" xfId="16830"/>
    <cellStyle name="Normal 7 4 4 2 3 5" xfId="2454"/>
    <cellStyle name="Normal 7 4 4 2 3 5 2" xfId="8000"/>
    <cellStyle name="Normal 7 4 4 2 3 5 3" xfId="13539"/>
    <cellStyle name="Normal 7 4 4 2 3 6" xfId="6795"/>
    <cellStyle name="Normal 7 4 4 2 3 7" xfId="12334"/>
    <cellStyle name="Normal 7 4 4 2 4" xfId="939"/>
    <cellStyle name="Normal 7 4 4 2 4 2" xfId="3469"/>
    <cellStyle name="Normal 7 4 4 2 4 2 2" xfId="9011"/>
    <cellStyle name="Normal 7 4 4 2 4 2 3" xfId="14550"/>
    <cellStyle name="Normal 7 4 4 2 4 3" xfId="4506"/>
    <cellStyle name="Normal 7 4 4 2 4 3 2" xfId="10045"/>
    <cellStyle name="Normal 7 4 4 2 4 3 3" xfId="15584"/>
    <cellStyle name="Normal 7 4 4 2 4 4" xfId="5441"/>
    <cellStyle name="Normal 7 4 4 2 4 4 2" xfId="10980"/>
    <cellStyle name="Normal 7 4 4 2 4 4 3" xfId="16519"/>
    <cellStyle name="Normal 7 4 4 2 4 5" xfId="2143"/>
    <cellStyle name="Normal 7 4 4 2 4 5 2" xfId="7689"/>
    <cellStyle name="Normal 7 4 4 2 4 5 3" xfId="13228"/>
    <cellStyle name="Normal 7 4 4 2 4 6" xfId="6484"/>
    <cellStyle name="Normal 7 4 4 2 4 7" xfId="12023"/>
    <cellStyle name="Normal 7 4 4 2 5" xfId="1595"/>
    <cellStyle name="Normal 7 4 4 2 5 2" xfId="2800"/>
    <cellStyle name="Normal 7 4 4 2 5 2 2" xfId="8346"/>
    <cellStyle name="Normal 7 4 4 2 5 2 3" xfId="13885"/>
    <cellStyle name="Normal 7 4 4 2 5 3" xfId="7141"/>
    <cellStyle name="Normal 7 4 4 2 5 4" xfId="12680"/>
    <cellStyle name="Normal 7 4 4 2 6" xfId="2973"/>
    <cellStyle name="Normal 7 4 4 2 6 2" xfId="8517"/>
    <cellStyle name="Normal 7 4 4 2 6 3" xfId="14056"/>
    <cellStyle name="Normal 7 4 4 2 7" xfId="4018"/>
    <cellStyle name="Normal 7 4 4 2 7 2" xfId="9560"/>
    <cellStyle name="Normal 7 4 4 2 7 3" xfId="15099"/>
    <cellStyle name="Normal 7 4 4 2 8" xfId="5055"/>
    <cellStyle name="Normal 7 4 4 2 8 2" xfId="10594"/>
    <cellStyle name="Normal 7 4 4 2 8 3" xfId="16133"/>
    <cellStyle name="Normal 7 4 4 2 9" xfId="1757"/>
    <cellStyle name="Normal 7 4 4 2 9 2" xfId="7303"/>
    <cellStyle name="Normal 7 4 4 2 9 3" xfId="12842"/>
    <cellStyle name="Normal 7 4 4 3" xfId="606"/>
    <cellStyle name="Normal 7 4 4 3 2" xfId="1447"/>
    <cellStyle name="Normal 7 4 4 3 2 2" xfId="3979"/>
    <cellStyle name="Normal 7 4 4 3 2 2 2" xfId="9521"/>
    <cellStyle name="Normal 7 4 4 3 2 2 3" xfId="15060"/>
    <cellStyle name="Normal 7 4 4 3 2 3" xfId="5016"/>
    <cellStyle name="Normal 7 4 4 3 2 3 2" xfId="10555"/>
    <cellStyle name="Normal 7 4 4 3 2 3 3" xfId="16094"/>
    <cellStyle name="Normal 7 4 4 3 2 4" xfId="5950"/>
    <cellStyle name="Normal 7 4 4 3 2 4 2" xfId="11489"/>
    <cellStyle name="Normal 7 4 4 3 2 4 3" xfId="17028"/>
    <cellStyle name="Normal 7 4 4 3 2 5" xfId="2652"/>
    <cellStyle name="Normal 7 4 4 3 2 5 2" xfId="8198"/>
    <cellStyle name="Normal 7 4 4 3 2 5 3" xfId="13737"/>
    <cellStyle name="Normal 7 4 4 3 2 6" xfId="6993"/>
    <cellStyle name="Normal 7 4 4 3 2 7" xfId="12532"/>
    <cellStyle name="Normal 7 4 4 3 3" xfId="1037"/>
    <cellStyle name="Normal 7 4 4 3 3 2" xfId="3567"/>
    <cellStyle name="Normal 7 4 4 3 3 2 2" xfId="9109"/>
    <cellStyle name="Normal 7 4 4 3 3 2 3" xfId="14648"/>
    <cellStyle name="Normal 7 4 4 3 3 3" xfId="4604"/>
    <cellStyle name="Normal 7 4 4 3 3 3 2" xfId="10143"/>
    <cellStyle name="Normal 7 4 4 3 3 3 3" xfId="15682"/>
    <cellStyle name="Normal 7 4 4 3 3 4" xfId="5539"/>
    <cellStyle name="Normal 7 4 4 3 3 4 2" xfId="11078"/>
    <cellStyle name="Normal 7 4 4 3 3 4 3" xfId="16617"/>
    <cellStyle name="Normal 7 4 4 3 3 5" xfId="2241"/>
    <cellStyle name="Normal 7 4 4 3 3 5 2" xfId="7787"/>
    <cellStyle name="Normal 7 4 4 3 3 5 3" xfId="13326"/>
    <cellStyle name="Normal 7 4 4 3 3 6" xfId="6582"/>
    <cellStyle name="Normal 7 4 4 3 3 7" xfId="12121"/>
    <cellStyle name="Normal 7 4 4 3 4" xfId="3265"/>
    <cellStyle name="Normal 7 4 4 3 4 2" xfId="8807"/>
    <cellStyle name="Normal 7 4 4 3 4 3" xfId="14346"/>
    <cellStyle name="Normal 7 4 4 3 5" xfId="4304"/>
    <cellStyle name="Normal 7 4 4 3 5 2" xfId="9843"/>
    <cellStyle name="Normal 7 4 4 3 5 3" xfId="15382"/>
    <cellStyle name="Normal 7 4 4 3 6" xfId="5265"/>
    <cellStyle name="Normal 7 4 4 3 6 2" xfId="10804"/>
    <cellStyle name="Normal 7 4 4 3 6 3" xfId="16343"/>
    <cellStyle name="Normal 7 4 4 3 7" xfId="1967"/>
    <cellStyle name="Normal 7 4 4 3 7 2" xfId="7513"/>
    <cellStyle name="Normal 7 4 4 3 7 3" xfId="13052"/>
    <cellStyle name="Normal 7 4 4 3 8" xfId="6308"/>
    <cellStyle name="Normal 7 4 4 3 9" xfId="11847"/>
    <cellStyle name="Normal 7 4 4 4" xfId="1214"/>
    <cellStyle name="Normal 7 4 4 4 2" xfId="3744"/>
    <cellStyle name="Normal 7 4 4 4 2 2" xfId="9286"/>
    <cellStyle name="Normal 7 4 4 4 2 3" xfId="14825"/>
    <cellStyle name="Normal 7 4 4 4 3" xfId="4781"/>
    <cellStyle name="Normal 7 4 4 4 3 2" xfId="10320"/>
    <cellStyle name="Normal 7 4 4 4 3 3" xfId="15859"/>
    <cellStyle name="Normal 7 4 4 4 4" xfId="5716"/>
    <cellStyle name="Normal 7 4 4 4 4 2" xfId="11255"/>
    <cellStyle name="Normal 7 4 4 4 4 3" xfId="16794"/>
    <cellStyle name="Normal 7 4 4 4 5" xfId="2418"/>
    <cellStyle name="Normal 7 4 4 4 5 2" xfId="7964"/>
    <cellStyle name="Normal 7 4 4 4 5 3" xfId="13503"/>
    <cellStyle name="Normal 7 4 4 4 6" xfId="6759"/>
    <cellStyle name="Normal 7 4 4 4 7" xfId="12298"/>
    <cellStyle name="Normal 7 4 4 5" xfId="938"/>
    <cellStyle name="Normal 7 4 4 5 2" xfId="3468"/>
    <cellStyle name="Normal 7 4 4 5 2 2" xfId="9010"/>
    <cellStyle name="Normal 7 4 4 5 2 3" xfId="14549"/>
    <cellStyle name="Normal 7 4 4 5 3" xfId="4505"/>
    <cellStyle name="Normal 7 4 4 5 3 2" xfId="10044"/>
    <cellStyle name="Normal 7 4 4 5 3 3" xfId="15583"/>
    <cellStyle name="Normal 7 4 4 5 4" xfId="5440"/>
    <cellStyle name="Normal 7 4 4 5 4 2" xfId="10979"/>
    <cellStyle name="Normal 7 4 4 5 4 3" xfId="16518"/>
    <cellStyle name="Normal 7 4 4 5 5" xfId="2142"/>
    <cellStyle name="Normal 7 4 4 5 5 2" xfId="7688"/>
    <cellStyle name="Normal 7 4 4 5 5 3" xfId="13227"/>
    <cellStyle name="Normal 7 4 4 5 6" xfId="6483"/>
    <cellStyle name="Normal 7 4 4 5 7" xfId="12022"/>
    <cellStyle name="Normal 7 4 4 6" xfId="1559"/>
    <cellStyle name="Normal 7 4 4 6 2" xfId="2764"/>
    <cellStyle name="Normal 7 4 4 6 2 2" xfId="8310"/>
    <cellStyle name="Normal 7 4 4 6 2 3" xfId="13849"/>
    <cellStyle name="Normal 7 4 4 6 3" xfId="7105"/>
    <cellStyle name="Normal 7 4 4 6 4" xfId="12644"/>
    <cellStyle name="Normal 7 4 4 7" xfId="2937"/>
    <cellStyle name="Normal 7 4 4 7 2" xfId="8481"/>
    <cellStyle name="Normal 7 4 4 7 3" xfId="14020"/>
    <cellStyle name="Normal 7 4 4 8" xfId="3076"/>
    <cellStyle name="Normal 7 4 4 8 2" xfId="8619"/>
    <cellStyle name="Normal 7 4 4 8 3" xfId="14158"/>
    <cellStyle name="Normal 7 4 4 9" xfId="4119"/>
    <cellStyle name="Normal 7 4 4 9 2" xfId="9660"/>
    <cellStyle name="Normal 7 4 4 9 3" xfId="15199"/>
    <cellStyle name="Normal 7 4 5" xfId="409"/>
    <cellStyle name="Normal 7 4 5 10" xfId="6080"/>
    <cellStyle name="Normal 7 4 5 10 2" xfId="17158"/>
    <cellStyle name="Normal 7 4 5 11" xfId="724"/>
    <cellStyle name="Normal 7 4 5 11 2" xfId="17320"/>
    <cellStyle name="Normal 7 4 5 12" xfId="11619"/>
    <cellStyle name="Normal 7 4 5 13" xfId="17487"/>
    <cellStyle name="Normal 7 4 5 14" xfId="17652"/>
    <cellStyle name="Normal 7 4 5 2" xfId="608"/>
    <cellStyle name="Normal 7 4 5 2 2" xfId="1449"/>
    <cellStyle name="Normal 7 4 5 2 2 2" xfId="3981"/>
    <cellStyle name="Normal 7 4 5 2 2 2 2" xfId="9523"/>
    <cellStyle name="Normal 7 4 5 2 2 2 3" xfId="15062"/>
    <cellStyle name="Normal 7 4 5 2 2 3" xfId="5018"/>
    <cellStyle name="Normal 7 4 5 2 2 3 2" xfId="10557"/>
    <cellStyle name="Normal 7 4 5 2 2 3 3" xfId="16096"/>
    <cellStyle name="Normal 7 4 5 2 2 4" xfId="5952"/>
    <cellStyle name="Normal 7 4 5 2 2 4 2" xfId="11491"/>
    <cellStyle name="Normal 7 4 5 2 2 4 3" xfId="17030"/>
    <cellStyle name="Normal 7 4 5 2 2 5" xfId="2654"/>
    <cellStyle name="Normal 7 4 5 2 2 5 2" xfId="8200"/>
    <cellStyle name="Normal 7 4 5 2 2 5 3" xfId="13739"/>
    <cellStyle name="Normal 7 4 5 2 2 6" xfId="6995"/>
    <cellStyle name="Normal 7 4 5 2 2 7" xfId="12534"/>
    <cellStyle name="Normal 7 4 5 2 3" xfId="1055"/>
    <cellStyle name="Normal 7 4 5 2 3 2" xfId="3585"/>
    <cellStyle name="Normal 7 4 5 2 3 2 2" xfId="9127"/>
    <cellStyle name="Normal 7 4 5 2 3 2 3" xfId="14666"/>
    <cellStyle name="Normal 7 4 5 2 3 3" xfId="4622"/>
    <cellStyle name="Normal 7 4 5 2 3 3 2" xfId="10161"/>
    <cellStyle name="Normal 7 4 5 2 3 3 3" xfId="15700"/>
    <cellStyle name="Normal 7 4 5 2 3 4" xfId="5557"/>
    <cellStyle name="Normal 7 4 5 2 3 4 2" xfId="11096"/>
    <cellStyle name="Normal 7 4 5 2 3 4 3" xfId="16635"/>
    <cellStyle name="Normal 7 4 5 2 3 5" xfId="2259"/>
    <cellStyle name="Normal 7 4 5 2 3 5 2" xfId="7805"/>
    <cellStyle name="Normal 7 4 5 2 3 5 3" xfId="13344"/>
    <cellStyle name="Normal 7 4 5 2 3 6" xfId="6600"/>
    <cellStyle name="Normal 7 4 5 2 3 7" xfId="12139"/>
    <cellStyle name="Normal 7 4 5 2 4" xfId="3267"/>
    <cellStyle name="Normal 7 4 5 2 4 2" xfId="8809"/>
    <cellStyle name="Normal 7 4 5 2 4 3" xfId="14348"/>
    <cellStyle name="Normal 7 4 5 2 5" xfId="4306"/>
    <cellStyle name="Normal 7 4 5 2 5 2" xfId="9845"/>
    <cellStyle name="Normal 7 4 5 2 5 3" xfId="15384"/>
    <cellStyle name="Normal 7 4 5 2 6" xfId="5267"/>
    <cellStyle name="Normal 7 4 5 2 6 2" xfId="10806"/>
    <cellStyle name="Normal 7 4 5 2 6 3" xfId="16345"/>
    <cellStyle name="Normal 7 4 5 2 7" xfId="1969"/>
    <cellStyle name="Normal 7 4 5 2 7 2" xfId="7515"/>
    <cellStyle name="Normal 7 4 5 2 7 3" xfId="13054"/>
    <cellStyle name="Normal 7 4 5 2 8" xfId="6310"/>
    <cellStyle name="Normal 7 4 5 2 9" xfId="11849"/>
    <cellStyle name="Normal 7 4 5 3" xfId="1232"/>
    <cellStyle name="Normal 7 4 5 3 2" xfId="3762"/>
    <cellStyle name="Normal 7 4 5 3 2 2" xfId="9304"/>
    <cellStyle name="Normal 7 4 5 3 2 3" xfId="14843"/>
    <cellStyle name="Normal 7 4 5 3 3" xfId="4799"/>
    <cellStyle name="Normal 7 4 5 3 3 2" xfId="10338"/>
    <cellStyle name="Normal 7 4 5 3 3 3" xfId="15877"/>
    <cellStyle name="Normal 7 4 5 3 4" xfId="5734"/>
    <cellStyle name="Normal 7 4 5 3 4 2" xfId="11273"/>
    <cellStyle name="Normal 7 4 5 3 4 3" xfId="16812"/>
    <cellStyle name="Normal 7 4 5 3 5" xfId="2436"/>
    <cellStyle name="Normal 7 4 5 3 5 2" xfId="7982"/>
    <cellStyle name="Normal 7 4 5 3 5 3" xfId="13521"/>
    <cellStyle name="Normal 7 4 5 3 6" xfId="6777"/>
    <cellStyle name="Normal 7 4 5 3 7" xfId="12316"/>
    <cellStyle name="Normal 7 4 5 4" xfId="940"/>
    <cellStyle name="Normal 7 4 5 4 2" xfId="3470"/>
    <cellStyle name="Normal 7 4 5 4 2 2" xfId="9012"/>
    <cellStyle name="Normal 7 4 5 4 2 3" xfId="14551"/>
    <cellStyle name="Normal 7 4 5 4 3" xfId="4507"/>
    <cellStyle name="Normal 7 4 5 4 3 2" xfId="10046"/>
    <cellStyle name="Normal 7 4 5 4 3 3" xfId="15585"/>
    <cellStyle name="Normal 7 4 5 4 4" xfId="5442"/>
    <cellStyle name="Normal 7 4 5 4 4 2" xfId="10981"/>
    <cellStyle name="Normal 7 4 5 4 4 3" xfId="16520"/>
    <cellStyle name="Normal 7 4 5 4 5" xfId="2144"/>
    <cellStyle name="Normal 7 4 5 4 5 2" xfId="7690"/>
    <cellStyle name="Normal 7 4 5 4 5 3" xfId="13229"/>
    <cellStyle name="Normal 7 4 5 4 6" xfId="6485"/>
    <cellStyle name="Normal 7 4 5 4 7" xfId="12024"/>
    <cellStyle name="Normal 7 4 5 5" xfId="1577"/>
    <cellStyle name="Normal 7 4 5 5 2" xfId="2782"/>
    <cellStyle name="Normal 7 4 5 5 2 2" xfId="8328"/>
    <cellStyle name="Normal 7 4 5 5 2 3" xfId="13867"/>
    <cellStyle name="Normal 7 4 5 5 3" xfId="7123"/>
    <cellStyle name="Normal 7 4 5 5 4" xfId="12662"/>
    <cellStyle name="Normal 7 4 5 6" xfId="2955"/>
    <cellStyle name="Normal 7 4 5 6 2" xfId="8499"/>
    <cellStyle name="Normal 7 4 5 6 3" xfId="14038"/>
    <cellStyle name="Normal 7 4 5 7" xfId="3063"/>
    <cellStyle name="Normal 7 4 5 7 2" xfId="8606"/>
    <cellStyle name="Normal 7 4 5 7 3" xfId="14145"/>
    <cellStyle name="Normal 7 4 5 8" xfId="4106"/>
    <cellStyle name="Normal 7 4 5 8 2" xfId="9647"/>
    <cellStyle name="Normal 7 4 5 8 3" xfId="15186"/>
    <cellStyle name="Normal 7 4 5 9" xfId="1739"/>
    <cellStyle name="Normal 7 4 5 9 2" xfId="7285"/>
    <cellStyle name="Normal 7 4 5 9 3" xfId="12824"/>
    <cellStyle name="Normal 7 4 6" xfId="410"/>
    <cellStyle name="Normal 7 4 6 10" xfId="6008"/>
    <cellStyle name="Normal 7 4 6 10 2" xfId="17086"/>
    <cellStyle name="Normal 7 4 6 11" xfId="652"/>
    <cellStyle name="Normal 7 4 6 11 2" xfId="17248"/>
    <cellStyle name="Normal 7 4 6 12" xfId="11547"/>
    <cellStyle name="Normal 7 4 6 13" xfId="17415"/>
    <cellStyle name="Normal 7 4 6 14" xfId="17580"/>
    <cellStyle name="Normal 7 4 6 2" xfId="609"/>
    <cellStyle name="Normal 7 4 6 2 2" xfId="1450"/>
    <cellStyle name="Normal 7 4 6 2 2 2" xfId="3982"/>
    <cellStyle name="Normal 7 4 6 2 2 2 2" xfId="9524"/>
    <cellStyle name="Normal 7 4 6 2 2 2 3" xfId="15063"/>
    <cellStyle name="Normal 7 4 6 2 2 3" xfId="5019"/>
    <cellStyle name="Normal 7 4 6 2 2 3 2" xfId="10558"/>
    <cellStyle name="Normal 7 4 6 2 2 3 3" xfId="16097"/>
    <cellStyle name="Normal 7 4 6 2 2 4" xfId="5953"/>
    <cellStyle name="Normal 7 4 6 2 2 4 2" xfId="11492"/>
    <cellStyle name="Normal 7 4 6 2 2 4 3" xfId="17031"/>
    <cellStyle name="Normal 7 4 6 2 2 5" xfId="2655"/>
    <cellStyle name="Normal 7 4 6 2 2 5 2" xfId="8201"/>
    <cellStyle name="Normal 7 4 6 2 2 5 3" xfId="13740"/>
    <cellStyle name="Normal 7 4 6 2 2 6" xfId="6996"/>
    <cellStyle name="Normal 7 4 6 2 2 7" xfId="12535"/>
    <cellStyle name="Normal 7 4 6 2 3" xfId="983"/>
    <cellStyle name="Normal 7 4 6 2 3 2" xfId="3513"/>
    <cellStyle name="Normal 7 4 6 2 3 2 2" xfId="9055"/>
    <cellStyle name="Normal 7 4 6 2 3 2 3" xfId="14594"/>
    <cellStyle name="Normal 7 4 6 2 3 3" xfId="4550"/>
    <cellStyle name="Normal 7 4 6 2 3 3 2" xfId="10089"/>
    <cellStyle name="Normal 7 4 6 2 3 3 3" xfId="15628"/>
    <cellStyle name="Normal 7 4 6 2 3 4" xfId="5485"/>
    <cellStyle name="Normal 7 4 6 2 3 4 2" xfId="11024"/>
    <cellStyle name="Normal 7 4 6 2 3 4 3" xfId="16563"/>
    <cellStyle name="Normal 7 4 6 2 3 5" xfId="2187"/>
    <cellStyle name="Normal 7 4 6 2 3 5 2" xfId="7733"/>
    <cellStyle name="Normal 7 4 6 2 3 5 3" xfId="13272"/>
    <cellStyle name="Normal 7 4 6 2 3 6" xfId="6528"/>
    <cellStyle name="Normal 7 4 6 2 3 7" xfId="12067"/>
    <cellStyle name="Normal 7 4 6 2 4" xfId="3268"/>
    <cellStyle name="Normal 7 4 6 2 4 2" xfId="8810"/>
    <cellStyle name="Normal 7 4 6 2 4 3" xfId="14349"/>
    <cellStyle name="Normal 7 4 6 2 5" xfId="4307"/>
    <cellStyle name="Normal 7 4 6 2 5 2" xfId="9846"/>
    <cellStyle name="Normal 7 4 6 2 5 3" xfId="15385"/>
    <cellStyle name="Normal 7 4 6 2 6" xfId="5268"/>
    <cellStyle name="Normal 7 4 6 2 6 2" xfId="10807"/>
    <cellStyle name="Normal 7 4 6 2 6 3" xfId="16346"/>
    <cellStyle name="Normal 7 4 6 2 7" xfId="1970"/>
    <cellStyle name="Normal 7 4 6 2 7 2" xfId="7516"/>
    <cellStyle name="Normal 7 4 6 2 7 3" xfId="13055"/>
    <cellStyle name="Normal 7 4 6 2 8" xfId="6311"/>
    <cellStyle name="Normal 7 4 6 2 9" xfId="11850"/>
    <cellStyle name="Normal 7 4 6 3" xfId="1160"/>
    <cellStyle name="Normal 7 4 6 3 2" xfId="3690"/>
    <cellStyle name="Normal 7 4 6 3 2 2" xfId="9232"/>
    <cellStyle name="Normal 7 4 6 3 2 3" xfId="14771"/>
    <cellStyle name="Normal 7 4 6 3 3" xfId="4727"/>
    <cellStyle name="Normal 7 4 6 3 3 2" xfId="10266"/>
    <cellStyle name="Normal 7 4 6 3 3 3" xfId="15805"/>
    <cellStyle name="Normal 7 4 6 3 4" xfId="5662"/>
    <cellStyle name="Normal 7 4 6 3 4 2" xfId="11201"/>
    <cellStyle name="Normal 7 4 6 3 4 3" xfId="16740"/>
    <cellStyle name="Normal 7 4 6 3 5" xfId="2364"/>
    <cellStyle name="Normal 7 4 6 3 5 2" xfId="7910"/>
    <cellStyle name="Normal 7 4 6 3 5 3" xfId="13449"/>
    <cellStyle name="Normal 7 4 6 3 6" xfId="6705"/>
    <cellStyle name="Normal 7 4 6 3 7" xfId="12244"/>
    <cellStyle name="Normal 7 4 6 4" xfId="941"/>
    <cellStyle name="Normal 7 4 6 4 2" xfId="3471"/>
    <cellStyle name="Normal 7 4 6 4 2 2" xfId="9013"/>
    <cellStyle name="Normal 7 4 6 4 2 3" xfId="14552"/>
    <cellStyle name="Normal 7 4 6 4 3" xfId="4508"/>
    <cellStyle name="Normal 7 4 6 4 3 2" xfId="10047"/>
    <cellStyle name="Normal 7 4 6 4 3 3" xfId="15586"/>
    <cellStyle name="Normal 7 4 6 4 4" xfId="5443"/>
    <cellStyle name="Normal 7 4 6 4 4 2" xfId="10982"/>
    <cellStyle name="Normal 7 4 6 4 4 3" xfId="16521"/>
    <cellStyle name="Normal 7 4 6 4 5" xfId="2145"/>
    <cellStyle name="Normal 7 4 6 4 5 2" xfId="7691"/>
    <cellStyle name="Normal 7 4 6 4 5 3" xfId="13230"/>
    <cellStyle name="Normal 7 4 6 4 6" xfId="6486"/>
    <cellStyle name="Normal 7 4 6 4 7" xfId="12025"/>
    <cellStyle name="Normal 7 4 6 5" xfId="1505"/>
    <cellStyle name="Normal 7 4 6 5 2" xfId="2710"/>
    <cellStyle name="Normal 7 4 6 5 2 2" xfId="8256"/>
    <cellStyle name="Normal 7 4 6 5 2 3" xfId="13795"/>
    <cellStyle name="Normal 7 4 6 5 3" xfId="7051"/>
    <cellStyle name="Normal 7 4 6 5 4" xfId="12590"/>
    <cellStyle name="Normal 7 4 6 6" xfId="2883"/>
    <cellStyle name="Normal 7 4 6 6 2" xfId="8427"/>
    <cellStyle name="Normal 7 4 6 6 3" xfId="13966"/>
    <cellStyle name="Normal 7 4 6 7" xfId="3096"/>
    <cellStyle name="Normal 7 4 6 7 2" xfId="8639"/>
    <cellStyle name="Normal 7 4 6 7 3" xfId="14178"/>
    <cellStyle name="Normal 7 4 6 8" xfId="4139"/>
    <cellStyle name="Normal 7 4 6 8 2" xfId="9680"/>
    <cellStyle name="Normal 7 4 6 8 3" xfId="15219"/>
    <cellStyle name="Normal 7 4 6 9" xfId="1667"/>
    <cellStyle name="Normal 7 4 6 9 2" xfId="7213"/>
    <cellStyle name="Normal 7 4 6 9 3" xfId="12752"/>
    <cellStyle name="Normal 7 4 7" xfId="467"/>
    <cellStyle name="Normal 7 4 7 2" xfId="1309"/>
    <cellStyle name="Normal 7 4 7 2 2" xfId="3840"/>
    <cellStyle name="Normal 7 4 7 2 2 2" xfId="9382"/>
    <cellStyle name="Normal 7 4 7 2 2 3" xfId="14921"/>
    <cellStyle name="Normal 7 4 7 2 3" xfId="4877"/>
    <cellStyle name="Normal 7 4 7 2 3 2" xfId="10416"/>
    <cellStyle name="Normal 7 4 7 2 3 3" xfId="15955"/>
    <cellStyle name="Normal 7 4 7 2 4" xfId="5812"/>
    <cellStyle name="Normal 7 4 7 2 4 2" xfId="11351"/>
    <cellStyle name="Normal 7 4 7 2 4 3" xfId="16890"/>
    <cellStyle name="Normal 7 4 7 2 5" xfId="2514"/>
    <cellStyle name="Normal 7 4 7 2 5 2" xfId="8060"/>
    <cellStyle name="Normal 7 4 7 2 5 3" xfId="13599"/>
    <cellStyle name="Normal 7 4 7 2 6" xfId="6855"/>
    <cellStyle name="Normal 7 4 7 2 7" xfId="12394"/>
    <cellStyle name="Normal 7 4 7 3" xfId="965"/>
    <cellStyle name="Normal 7 4 7 3 2" xfId="3495"/>
    <cellStyle name="Normal 7 4 7 3 2 2" xfId="9037"/>
    <cellStyle name="Normal 7 4 7 3 2 3" xfId="14576"/>
    <cellStyle name="Normal 7 4 7 3 3" xfId="4532"/>
    <cellStyle name="Normal 7 4 7 3 3 2" xfId="10071"/>
    <cellStyle name="Normal 7 4 7 3 3 3" xfId="15610"/>
    <cellStyle name="Normal 7 4 7 3 4" xfId="5467"/>
    <cellStyle name="Normal 7 4 7 3 4 2" xfId="11006"/>
    <cellStyle name="Normal 7 4 7 3 4 3" xfId="16545"/>
    <cellStyle name="Normal 7 4 7 3 5" xfId="2169"/>
    <cellStyle name="Normal 7 4 7 3 5 2" xfId="7715"/>
    <cellStyle name="Normal 7 4 7 3 5 3" xfId="13254"/>
    <cellStyle name="Normal 7 4 7 3 6" xfId="6510"/>
    <cellStyle name="Normal 7 4 7 3 7" xfId="12049"/>
    <cellStyle name="Normal 7 4 7 4" xfId="3117"/>
    <cellStyle name="Normal 7 4 7 4 2" xfId="8660"/>
    <cellStyle name="Normal 7 4 7 4 3" xfId="14199"/>
    <cellStyle name="Normal 7 4 7 5" xfId="4160"/>
    <cellStyle name="Normal 7 4 7 5 2" xfId="9701"/>
    <cellStyle name="Normal 7 4 7 5 3" xfId="15240"/>
    <cellStyle name="Normal 7 4 7 6" xfId="5127"/>
    <cellStyle name="Normal 7 4 7 6 2" xfId="10666"/>
    <cellStyle name="Normal 7 4 7 6 3" xfId="16205"/>
    <cellStyle name="Normal 7 4 7 7" xfId="1829"/>
    <cellStyle name="Normal 7 4 7 7 2" xfId="7375"/>
    <cellStyle name="Normal 7 4 7 7 3" xfId="12914"/>
    <cellStyle name="Normal 7 4 7 8" xfId="6170"/>
    <cellStyle name="Normal 7 4 7 9" xfId="11709"/>
    <cellStyle name="Normal 7 4 8" xfId="1142"/>
    <cellStyle name="Normal 7 4 8 2" xfId="3672"/>
    <cellStyle name="Normal 7 4 8 2 2" xfId="9214"/>
    <cellStyle name="Normal 7 4 8 2 3" xfId="14753"/>
    <cellStyle name="Normal 7 4 8 3" xfId="4709"/>
    <cellStyle name="Normal 7 4 8 3 2" xfId="10248"/>
    <cellStyle name="Normal 7 4 8 3 3" xfId="15787"/>
    <cellStyle name="Normal 7 4 8 4" xfId="5644"/>
    <cellStyle name="Normal 7 4 8 4 2" xfId="11183"/>
    <cellStyle name="Normal 7 4 8 4 3" xfId="16722"/>
    <cellStyle name="Normal 7 4 8 5" xfId="2346"/>
    <cellStyle name="Normal 7 4 8 5 2" xfId="7892"/>
    <cellStyle name="Normal 7 4 8 5 3" xfId="13431"/>
    <cellStyle name="Normal 7 4 8 6" xfId="6687"/>
    <cellStyle name="Normal 7 4 8 7" xfId="12226"/>
    <cellStyle name="Normal 7 4 9" xfId="933"/>
    <cellStyle name="Normal 7 4 9 2" xfId="3463"/>
    <cellStyle name="Normal 7 4 9 2 2" xfId="9005"/>
    <cellStyle name="Normal 7 4 9 2 3" xfId="14544"/>
    <cellStyle name="Normal 7 4 9 3" xfId="4500"/>
    <cellStyle name="Normal 7 4 9 3 2" xfId="10039"/>
    <cellStyle name="Normal 7 4 9 3 3" xfId="15578"/>
    <cellStyle name="Normal 7 4 9 4" xfId="5435"/>
    <cellStyle name="Normal 7 4 9 4 2" xfId="10974"/>
    <cellStyle name="Normal 7 4 9 4 3" xfId="16513"/>
    <cellStyle name="Normal 7 4 9 5" xfId="2137"/>
    <cellStyle name="Normal 7 4 9 5 2" xfId="7683"/>
    <cellStyle name="Normal 7 4 9 5 3" xfId="13222"/>
    <cellStyle name="Normal 7 4 9 6" xfId="6478"/>
    <cellStyle name="Normal 7 4 9 7" xfId="12017"/>
    <cellStyle name="Normal 7 5" xfId="411"/>
    <cellStyle name="Normal 7 5 10" xfId="1689"/>
    <cellStyle name="Normal 7 5 10 2" xfId="7235"/>
    <cellStyle name="Normal 7 5 10 3" xfId="12774"/>
    <cellStyle name="Normal 7 5 11" xfId="6030"/>
    <cellStyle name="Normal 7 5 11 2" xfId="17108"/>
    <cellStyle name="Normal 7 5 12" xfId="674"/>
    <cellStyle name="Normal 7 5 12 2" xfId="17270"/>
    <cellStyle name="Normal 7 5 13" xfId="11569"/>
    <cellStyle name="Normal 7 5 14" xfId="17437"/>
    <cellStyle name="Normal 7 5 15" xfId="17602"/>
    <cellStyle name="Normal 7 5 2" xfId="412"/>
    <cellStyle name="Normal 7 5 2 10" xfId="6120"/>
    <cellStyle name="Normal 7 5 2 10 2" xfId="17198"/>
    <cellStyle name="Normal 7 5 2 11" xfId="764"/>
    <cellStyle name="Normal 7 5 2 11 2" xfId="17360"/>
    <cellStyle name="Normal 7 5 2 12" xfId="11659"/>
    <cellStyle name="Normal 7 5 2 13" xfId="17527"/>
    <cellStyle name="Normal 7 5 2 14" xfId="17692"/>
    <cellStyle name="Normal 7 5 2 2" xfId="611"/>
    <cellStyle name="Normal 7 5 2 2 2" xfId="1452"/>
    <cellStyle name="Normal 7 5 2 2 2 2" xfId="3984"/>
    <cellStyle name="Normal 7 5 2 2 2 2 2" xfId="9526"/>
    <cellStyle name="Normal 7 5 2 2 2 2 3" xfId="15065"/>
    <cellStyle name="Normal 7 5 2 2 2 3" xfId="5021"/>
    <cellStyle name="Normal 7 5 2 2 2 3 2" xfId="10560"/>
    <cellStyle name="Normal 7 5 2 2 2 3 3" xfId="16099"/>
    <cellStyle name="Normal 7 5 2 2 2 4" xfId="5955"/>
    <cellStyle name="Normal 7 5 2 2 2 4 2" xfId="11494"/>
    <cellStyle name="Normal 7 5 2 2 2 4 3" xfId="17033"/>
    <cellStyle name="Normal 7 5 2 2 2 5" xfId="2657"/>
    <cellStyle name="Normal 7 5 2 2 2 5 2" xfId="8203"/>
    <cellStyle name="Normal 7 5 2 2 2 5 3" xfId="13742"/>
    <cellStyle name="Normal 7 5 2 2 2 6" xfId="6998"/>
    <cellStyle name="Normal 7 5 2 2 2 7" xfId="12537"/>
    <cellStyle name="Normal 7 5 2 2 3" xfId="1095"/>
    <cellStyle name="Normal 7 5 2 2 3 2" xfId="3625"/>
    <cellStyle name="Normal 7 5 2 2 3 2 2" xfId="9167"/>
    <cellStyle name="Normal 7 5 2 2 3 2 3" xfId="14706"/>
    <cellStyle name="Normal 7 5 2 2 3 3" xfId="4662"/>
    <cellStyle name="Normal 7 5 2 2 3 3 2" xfId="10201"/>
    <cellStyle name="Normal 7 5 2 2 3 3 3" xfId="15740"/>
    <cellStyle name="Normal 7 5 2 2 3 4" xfId="5597"/>
    <cellStyle name="Normal 7 5 2 2 3 4 2" xfId="11136"/>
    <cellStyle name="Normal 7 5 2 2 3 4 3" xfId="16675"/>
    <cellStyle name="Normal 7 5 2 2 3 5" xfId="2299"/>
    <cellStyle name="Normal 7 5 2 2 3 5 2" xfId="7845"/>
    <cellStyle name="Normal 7 5 2 2 3 5 3" xfId="13384"/>
    <cellStyle name="Normal 7 5 2 2 3 6" xfId="6640"/>
    <cellStyle name="Normal 7 5 2 2 3 7" xfId="12179"/>
    <cellStyle name="Normal 7 5 2 2 4" xfId="3270"/>
    <cellStyle name="Normal 7 5 2 2 4 2" xfId="8812"/>
    <cellStyle name="Normal 7 5 2 2 4 3" xfId="14351"/>
    <cellStyle name="Normal 7 5 2 2 5" xfId="4309"/>
    <cellStyle name="Normal 7 5 2 2 5 2" xfId="9848"/>
    <cellStyle name="Normal 7 5 2 2 5 3" xfId="15387"/>
    <cellStyle name="Normal 7 5 2 2 6" xfId="5270"/>
    <cellStyle name="Normal 7 5 2 2 6 2" xfId="10809"/>
    <cellStyle name="Normal 7 5 2 2 6 3" xfId="16348"/>
    <cellStyle name="Normal 7 5 2 2 7" xfId="1972"/>
    <cellStyle name="Normal 7 5 2 2 7 2" xfId="7518"/>
    <cellStyle name="Normal 7 5 2 2 7 3" xfId="13057"/>
    <cellStyle name="Normal 7 5 2 2 8" xfId="6313"/>
    <cellStyle name="Normal 7 5 2 2 9" xfId="11852"/>
    <cellStyle name="Normal 7 5 2 3" xfId="1272"/>
    <cellStyle name="Normal 7 5 2 3 2" xfId="3802"/>
    <cellStyle name="Normal 7 5 2 3 2 2" xfId="9344"/>
    <cellStyle name="Normal 7 5 2 3 2 3" xfId="14883"/>
    <cellStyle name="Normal 7 5 2 3 3" xfId="4839"/>
    <cellStyle name="Normal 7 5 2 3 3 2" xfId="10378"/>
    <cellStyle name="Normal 7 5 2 3 3 3" xfId="15917"/>
    <cellStyle name="Normal 7 5 2 3 4" xfId="5774"/>
    <cellStyle name="Normal 7 5 2 3 4 2" xfId="11313"/>
    <cellStyle name="Normal 7 5 2 3 4 3" xfId="16852"/>
    <cellStyle name="Normal 7 5 2 3 5" xfId="2476"/>
    <cellStyle name="Normal 7 5 2 3 5 2" xfId="8022"/>
    <cellStyle name="Normal 7 5 2 3 5 3" xfId="13561"/>
    <cellStyle name="Normal 7 5 2 3 6" xfId="6817"/>
    <cellStyle name="Normal 7 5 2 3 7" xfId="12356"/>
    <cellStyle name="Normal 7 5 2 4" xfId="943"/>
    <cellStyle name="Normal 7 5 2 4 2" xfId="3473"/>
    <cellStyle name="Normal 7 5 2 4 2 2" xfId="9015"/>
    <cellStyle name="Normal 7 5 2 4 2 3" xfId="14554"/>
    <cellStyle name="Normal 7 5 2 4 3" xfId="4510"/>
    <cellStyle name="Normal 7 5 2 4 3 2" xfId="10049"/>
    <cellStyle name="Normal 7 5 2 4 3 3" xfId="15588"/>
    <cellStyle name="Normal 7 5 2 4 4" xfId="5445"/>
    <cellStyle name="Normal 7 5 2 4 4 2" xfId="10984"/>
    <cellStyle name="Normal 7 5 2 4 4 3" xfId="16523"/>
    <cellStyle name="Normal 7 5 2 4 5" xfId="2147"/>
    <cellStyle name="Normal 7 5 2 4 5 2" xfId="7693"/>
    <cellStyle name="Normal 7 5 2 4 5 3" xfId="13232"/>
    <cellStyle name="Normal 7 5 2 4 6" xfId="6488"/>
    <cellStyle name="Normal 7 5 2 4 7" xfId="12027"/>
    <cellStyle name="Normal 7 5 2 5" xfId="1617"/>
    <cellStyle name="Normal 7 5 2 5 2" xfId="2822"/>
    <cellStyle name="Normal 7 5 2 5 2 2" xfId="8368"/>
    <cellStyle name="Normal 7 5 2 5 2 3" xfId="13907"/>
    <cellStyle name="Normal 7 5 2 5 3" xfId="7163"/>
    <cellStyle name="Normal 7 5 2 5 4" xfId="12702"/>
    <cellStyle name="Normal 7 5 2 6" xfId="2995"/>
    <cellStyle name="Normal 7 5 2 6 2" xfId="8539"/>
    <cellStyle name="Normal 7 5 2 6 3" xfId="14078"/>
    <cellStyle name="Normal 7 5 2 7" xfId="4040"/>
    <cellStyle name="Normal 7 5 2 7 2" xfId="9582"/>
    <cellStyle name="Normal 7 5 2 7 3" xfId="15121"/>
    <cellStyle name="Normal 7 5 2 8" xfId="5077"/>
    <cellStyle name="Normal 7 5 2 8 2" xfId="10616"/>
    <cellStyle name="Normal 7 5 2 8 3" xfId="16155"/>
    <cellStyle name="Normal 7 5 2 9" xfId="1779"/>
    <cellStyle name="Normal 7 5 2 9 2" xfId="7325"/>
    <cellStyle name="Normal 7 5 2 9 3" xfId="12864"/>
    <cellStyle name="Normal 7 5 3" xfId="610"/>
    <cellStyle name="Normal 7 5 3 2" xfId="1451"/>
    <cellStyle name="Normal 7 5 3 2 2" xfId="3983"/>
    <cellStyle name="Normal 7 5 3 2 2 2" xfId="9525"/>
    <cellStyle name="Normal 7 5 3 2 2 3" xfId="15064"/>
    <cellStyle name="Normal 7 5 3 2 3" xfId="5020"/>
    <cellStyle name="Normal 7 5 3 2 3 2" xfId="10559"/>
    <cellStyle name="Normal 7 5 3 2 3 3" xfId="16098"/>
    <cellStyle name="Normal 7 5 3 2 4" xfId="5954"/>
    <cellStyle name="Normal 7 5 3 2 4 2" xfId="11493"/>
    <cellStyle name="Normal 7 5 3 2 4 3" xfId="17032"/>
    <cellStyle name="Normal 7 5 3 2 5" xfId="2656"/>
    <cellStyle name="Normal 7 5 3 2 5 2" xfId="8202"/>
    <cellStyle name="Normal 7 5 3 2 5 3" xfId="13741"/>
    <cellStyle name="Normal 7 5 3 2 6" xfId="6997"/>
    <cellStyle name="Normal 7 5 3 2 7" xfId="12536"/>
    <cellStyle name="Normal 7 5 3 3" xfId="1005"/>
    <cellStyle name="Normal 7 5 3 3 2" xfId="3535"/>
    <cellStyle name="Normal 7 5 3 3 2 2" xfId="9077"/>
    <cellStyle name="Normal 7 5 3 3 2 3" xfId="14616"/>
    <cellStyle name="Normal 7 5 3 3 3" xfId="4572"/>
    <cellStyle name="Normal 7 5 3 3 3 2" xfId="10111"/>
    <cellStyle name="Normal 7 5 3 3 3 3" xfId="15650"/>
    <cellStyle name="Normal 7 5 3 3 4" xfId="5507"/>
    <cellStyle name="Normal 7 5 3 3 4 2" xfId="11046"/>
    <cellStyle name="Normal 7 5 3 3 4 3" xfId="16585"/>
    <cellStyle name="Normal 7 5 3 3 5" xfId="2209"/>
    <cellStyle name="Normal 7 5 3 3 5 2" xfId="7755"/>
    <cellStyle name="Normal 7 5 3 3 5 3" xfId="13294"/>
    <cellStyle name="Normal 7 5 3 3 6" xfId="6550"/>
    <cellStyle name="Normal 7 5 3 3 7" xfId="12089"/>
    <cellStyle name="Normal 7 5 3 4" xfId="3269"/>
    <cellStyle name="Normal 7 5 3 4 2" xfId="8811"/>
    <cellStyle name="Normal 7 5 3 4 3" xfId="14350"/>
    <cellStyle name="Normal 7 5 3 5" xfId="4308"/>
    <cellStyle name="Normal 7 5 3 5 2" xfId="9847"/>
    <cellStyle name="Normal 7 5 3 5 3" xfId="15386"/>
    <cellStyle name="Normal 7 5 3 6" xfId="5269"/>
    <cellStyle name="Normal 7 5 3 6 2" xfId="10808"/>
    <cellStyle name="Normal 7 5 3 6 3" xfId="16347"/>
    <cellStyle name="Normal 7 5 3 7" xfId="1971"/>
    <cellStyle name="Normal 7 5 3 7 2" xfId="7517"/>
    <cellStyle name="Normal 7 5 3 7 3" xfId="13056"/>
    <cellStyle name="Normal 7 5 3 8" xfId="6312"/>
    <cellStyle name="Normal 7 5 3 9" xfId="11851"/>
    <cellStyle name="Normal 7 5 4" xfId="1182"/>
    <cellStyle name="Normal 7 5 4 2" xfId="3712"/>
    <cellStyle name="Normal 7 5 4 2 2" xfId="9254"/>
    <cellStyle name="Normal 7 5 4 2 3" xfId="14793"/>
    <cellStyle name="Normal 7 5 4 3" xfId="4749"/>
    <cellStyle name="Normal 7 5 4 3 2" xfId="10288"/>
    <cellStyle name="Normal 7 5 4 3 3" xfId="15827"/>
    <cellStyle name="Normal 7 5 4 4" xfId="5684"/>
    <cellStyle name="Normal 7 5 4 4 2" xfId="11223"/>
    <cellStyle name="Normal 7 5 4 4 3" xfId="16762"/>
    <cellStyle name="Normal 7 5 4 5" xfId="2386"/>
    <cellStyle name="Normal 7 5 4 5 2" xfId="7932"/>
    <cellStyle name="Normal 7 5 4 5 3" xfId="13471"/>
    <cellStyle name="Normal 7 5 4 6" xfId="6727"/>
    <cellStyle name="Normal 7 5 4 7" xfId="12266"/>
    <cellStyle name="Normal 7 5 5" xfId="942"/>
    <cellStyle name="Normal 7 5 5 2" xfId="3472"/>
    <cellStyle name="Normal 7 5 5 2 2" xfId="9014"/>
    <cellStyle name="Normal 7 5 5 2 3" xfId="14553"/>
    <cellStyle name="Normal 7 5 5 3" xfId="4509"/>
    <cellStyle name="Normal 7 5 5 3 2" xfId="10048"/>
    <cellStyle name="Normal 7 5 5 3 3" xfId="15587"/>
    <cellStyle name="Normal 7 5 5 4" xfId="5444"/>
    <cellStyle name="Normal 7 5 5 4 2" xfId="10983"/>
    <cellStyle name="Normal 7 5 5 4 3" xfId="16522"/>
    <cellStyle name="Normal 7 5 5 5" xfId="2146"/>
    <cellStyle name="Normal 7 5 5 5 2" xfId="7692"/>
    <cellStyle name="Normal 7 5 5 5 3" xfId="13231"/>
    <cellStyle name="Normal 7 5 5 6" xfId="6487"/>
    <cellStyle name="Normal 7 5 5 7" xfId="12026"/>
    <cellStyle name="Normal 7 5 6" xfId="1527"/>
    <cellStyle name="Normal 7 5 6 2" xfId="2732"/>
    <cellStyle name="Normal 7 5 6 2 2" xfId="8278"/>
    <cellStyle name="Normal 7 5 6 2 3" xfId="13817"/>
    <cellStyle name="Normal 7 5 6 3" xfId="7073"/>
    <cellStyle name="Normal 7 5 6 4" xfId="12612"/>
    <cellStyle name="Normal 7 5 7" xfId="2905"/>
    <cellStyle name="Normal 7 5 7 2" xfId="8449"/>
    <cellStyle name="Normal 7 5 7 3" xfId="13988"/>
    <cellStyle name="Normal 7 5 8" xfId="3092"/>
    <cellStyle name="Normal 7 5 8 2" xfId="8635"/>
    <cellStyle name="Normal 7 5 8 3" xfId="14174"/>
    <cellStyle name="Normal 7 5 9" xfId="4135"/>
    <cellStyle name="Normal 7 5 9 2" xfId="9676"/>
    <cellStyle name="Normal 7 5 9 3" xfId="15215"/>
    <cellStyle name="Normal 7 6" xfId="413"/>
    <cellStyle name="Normal 7 6 10" xfId="1671"/>
    <cellStyle name="Normal 7 6 10 2" xfId="7217"/>
    <cellStyle name="Normal 7 6 10 3" xfId="12756"/>
    <cellStyle name="Normal 7 6 11" xfId="6012"/>
    <cellStyle name="Normal 7 6 11 2" xfId="17090"/>
    <cellStyle name="Normal 7 6 12" xfId="656"/>
    <cellStyle name="Normal 7 6 12 2" xfId="17252"/>
    <cellStyle name="Normal 7 6 13" xfId="11551"/>
    <cellStyle name="Normal 7 6 14" xfId="17419"/>
    <cellStyle name="Normal 7 6 15" xfId="17584"/>
    <cellStyle name="Normal 7 6 2" xfId="414"/>
    <cellStyle name="Normal 7 6 2 10" xfId="6102"/>
    <cellStyle name="Normal 7 6 2 10 2" xfId="17180"/>
    <cellStyle name="Normal 7 6 2 11" xfId="746"/>
    <cellStyle name="Normal 7 6 2 11 2" xfId="17342"/>
    <cellStyle name="Normal 7 6 2 12" xfId="11641"/>
    <cellStyle name="Normal 7 6 2 13" xfId="17509"/>
    <cellStyle name="Normal 7 6 2 14" xfId="17674"/>
    <cellStyle name="Normal 7 6 2 2" xfId="613"/>
    <cellStyle name="Normal 7 6 2 2 2" xfId="1454"/>
    <cellStyle name="Normal 7 6 2 2 2 2" xfId="3986"/>
    <cellStyle name="Normal 7 6 2 2 2 2 2" xfId="9528"/>
    <cellStyle name="Normal 7 6 2 2 2 2 3" xfId="15067"/>
    <cellStyle name="Normal 7 6 2 2 2 3" xfId="5023"/>
    <cellStyle name="Normal 7 6 2 2 2 3 2" xfId="10562"/>
    <cellStyle name="Normal 7 6 2 2 2 3 3" xfId="16101"/>
    <cellStyle name="Normal 7 6 2 2 2 4" xfId="5957"/>
    <cellStyle name="Normal 7 6 2 2 2 4 2" xfId="11496"/>
    <cellStyle name="Normal 7 6 2 2 2 4 3" xfId="17035"/>
    <cellStyle name="Normal 7 6 2 2 2 5" xfId="2659"/>
    <cellStyle name="Normal 7 6 2 2 2 5 2" xfId="8205"/>
    <cellStyle name="Normal 7 6 2 2 2 5 3" xfId="13744"/>
    <cellStyle name="Normal 7 6 2 2 2 6" xfId="7000"/>
    <cellStyle name="Normal 7 6 2 2 2 7" xfId="12539"/>
    <cellStyle name="Normal 7 6 2 2 3" xfId="1077"/>
    <cellStyle name="Normal 7 6 2 2 3 2" xfId="3607"/>
    <cellStyle name="Normal 7 6 2 2 3 2 2" xfId="9149"/>
    <cellStyle name="Normal 7 6 2 2 3 2 3" xfId="14688"/>
    <cellStyle name="Normal 7 6 2 2 3 3" xfId="4644"/>
    <cellStyle name="Normal 7 6 2 2 3 3 2" xfId="10183"/>
    <cellStyle name="Normal 7 6 2 2 3 3 3" xfId="15722"/>
    <cellStyle name="Normal 7 6 2 2 3 4" xfId="5579"/>
    <cellStyle name="Normal 7 6 2 2 3 4 2" xfId="11118"/>
    <cellStyle name="Normal 7 6 2 2 3 4 3" xfId="16657"/>
    <cellStyle name="Normal 7 6 2 2 3 5" xfId="2281"/>
    <cellStyle name="Normal 7 6 2 2 3 5 2" xfId="7827"/>
    <cellStyle name="Normal 7 6 2 2 3 5 3" xfId="13366"/>
    <cellStyle name="Normal 7 6 2 2 3 6" xfId="6622"/>
    <cellStyle name="Normal 7 6 2 2 3 7" xfId="12161"/>
    <cellStyle name="Normal 7 6 2 2 4" xfId="3272"/>
    <cellStyle name="Normal 7 6 2 2 4 2" xfId="8814"/>
    <cellStyle name="Normal 7 6 2 2 4 3" xfId="14353"/>
    <cellStyle name="Normal 7 6 2 2 5" xfId="4311"/>
    <cellStyle name="Normal 7 6 2 2 5 2" xfId="9850"/>
    <cellStyle name="Normal 7 6 2 2 5 3" xfId="15389"/>
    <cellStyle name="Normal 7 6 2 2 6" xfId="5272"/>
    <cellStyle name="Normal 7 6 2 2 6 2" xfId="10811"/>
    <cellStyle name="Normal 7 6 2 2 6 3" xfId="16350"/>
    <cellStyle name="Normal 7 6 2 2 7" xfId="1974"/>
    <cellStyle name="Normal 7 6 2 2 7 2" xfId="7520"/>
    <cellStyle name="Normal 7 6 2 2 7 3" xfId="13059"/>
    <cellStyle name="Normal 7 6 2 2 8" xfId="6315"/>
    <cellStyle name="Normal 7 6 2 2 9" xfId="11854"/>
    <cellStyle name="Normal 7 6 2 3" xfId="1254"/>
    <cellStyle name="Normal 7 6 2 3 2" xfId="3784"/>
    <cellStyle name="Normal 7 6 2 3 2 2" xfId="9326"/>
    <cellStyle name="Normal 7 6 2 3 2 3" xfId="14865"/>
    <cellStyle name="Normal 7 6 2 3 3" xfId="4821"/>
    <cellStyle name="Normal 7 6 2 3 3 2" xfId="10360"/>
    <cellStyle name="Normal 7 6 2 3 3 3" xfId="15899"/>
    <cellStyle name="Normal 7 6 2 3 4" xfId="5756"/>
    <cellStyle name="Normal 7 6 2 3 4 2" xfId="11295"/>
    <cellStyle name="Normal 7 6 2 3 4 3" xfId="16834"/>
    <cellStyle name="Normal 7 6 2 3 5" xfId="2458"/>
    <cellStyle name="Normal 7 6 2 3 5 2" xfId="8004"/>
    <cellStyle name="Normal 7 6 2 3 5 3" xfId="13543"/>
    <cellStyle name="Normal 7 6 2 3 6" xfId="6799"/>
    <cellStyle name="Normal 7 6 2 3 7" xfId="12338"/>
    <cellStyle name="Normal 7 6 2 4" xfId="945"/>
    <cellStyle name="Normal 7 6 2 4 2" xfId="3475"/>
    <cellStyle name="Normal 7 6 2 4 2 2" xfId="9017"/>
    <cellStyle name="Normal 7 6 2 4 2 3" xfId="14556"/>
    <cellStyle name="Normal 7 6 2 4 3" xfId="4512"/>
    <cellStyle name="Normal 7 6 2 4 3 2" xfId="10051"/>
    <cellStyle name="Normal 7 6 2 4 3 3" xfId="15590"/>
    <cellStyle name="Normal 7 6 2 4 4" xfId="5447"/>
    <cellStyle name="Normal 7 6 2 4 4 2" xfId="10986"/>
    <cellStyle name="Normal 7 6 2 4 4 3" xfId="16525"/>
    <cellStyle name="Normal 7 6 2 4 5" xfId="2149"/>
    <cellStyle name="Normal 7 6 2 4 5 2" xfId="7695"/>
    <cellStyle name="Normal 7 6 2 4 5 3" xfId="13234"/>
    <cellStyle name="Normal 7 6 2 4 6" xfId="6490"/>
    <cellStyle name="Normal 7 6 2 4 7" xfId="12029"/>
    <cellStyle name="Normal 7 6 2 5" xfId="1599"/>
    <cellStyle name="Normal 7 6 2 5 2" xfId="2804"/>
    <cellStyle name="Normal 7 6 2 5 2 2" xfId="8350"/>
    <cellStyle name="Normal 7 6 2 5 2 3" xfId="13889"/>
    <cellStyle name="Normal 7 6 2 5 3" xfId="7145"/>
    <cellStyle name="Normal 7 6 2 5 4" xfId="12684"/>
    <cellStyle name="Normal 7 6 2 6" xfId="2977"/>
    <cellStyle name="Normal 7 6 2 6 2" xfId="8521"/>
    <cellStyle name="Normal 7 6 2 6 3" xfId="14060"/>
    <cellStyle name="Normal 7 6 2 7" xfId="4022"/>
    <cellStyle name="Normal 7 6 2 7 2" xfId="9564"/>
    <cellStyle name="Normal 7 6 2 7 3" xfId="15103"/>
    <cellStyle name="Normal 7 6 2 8" xfId="5059"/>
    <cellStyle name="Normal 7 6 2 8 2" xfId="10598"/>
    <cellStyle name="Normal 7 6 2 8 3" xfId="16137"/>
    <cellStyle name="Normal 7 6 2 9" xfId="1761"/>
    <cellStyle name="Normal 7 6 2 9 2" xfId="7307"/>
    <cellStyle name="Normal 7 6 2 9 3" xfId="12846"/>
    <cellStyle name="Normal 7 6 3" xfId="612"/>
    <cellStyle name="Normal 7 6 3 2" xfId="1453"/>
    <cellStyle name="Normal 7 6 3 2 2" xfId="3985"/>
    <cellStyle name="Normal 7 6 3 2 2 2" xfId="9527"/>
    <cellStyle name="Normal 7 6 3 2 2 3" xfId="15066"/>
    <cellStyle name="Normal 7 6 3 2 3" xfId="5022"/>
    <cellStyle name="Normal 7 6 3 2 3 2" xfId="10561"/>
    <cellStyle name="Normal 7 6 3 2 3 3" xfId="16100"/>
    <cellStyle name="Normal 7 6 3 2 4" xfId="5956"/>
    <cellStyle name="Normal 7 6 3 2 4 2" xfId="11495"/>
    <cellStyle name="Normal 7 6 3 2 4 3" xfId="17034"/>
    <cellStyle name="Normal 7 6 3 2 5" xfId="2658"/>
    <cellStyle name="Normal 7 6 3 2 5 2" xfId="8204"/>
    <cellStyle name="Normal 7 6 3 2 5 3" xfId="13743"/>
    <cellStyle name="Normal 7 6 3 2 6" xfId="6999"/>
    <cellStyle name="Normal 7 6 3 2 7" xfId="12538"/>
    <cellStyle name="Normal 7 6 3 3" xfId="987"/>
    <cellStyle name="Normal 7 6 3 3 2" xfId="3517"/>
    <cellStyle name="Normal 7 6 3 3 2 2" xfId="9059"/>
    <cellStyle name="Normal 7 6 3 3 2 3" xfId="14598"/>
    <cellStyle name="Normal 7 6 3 3 3" xfId="4554"/>
    <cellStyle name="Normal 7 6 3 3 3 2" xfId="10093"/>
    <cellStyle name="Normal 7 6 3 3 3 3" xfId="15632"/>
    <cellStyle name="Normal 7 6 3 3 4" xfId="5489"/>
    <cellStyle name="Normal 7 6 3 3 4 2" xfId="11028"/>
    <cellStyle name="Normal 7 6 3 3 4 3" xfId="16567"/>
    <cellStyle name="Normal 7 6 3 3 5" xfId="2191"/>
    <cellStyle name="Normal 7 6 3 3 5 2" xfId="7737"/>
    <cellStyle name="Normal 7 6 3 3 5 3" xfId="13276"/>
    <cellStyle name="Normal 7 6 3 3 6" xfId="6532"/>
    <cellStyle name="Normal 7 6 3 3 7" xfId="12071"/>
    <cellStyle name="Normal 7 6 3 4" xfId="3271"/>
    <cellStyle name="Normal 7 6 3 4 2" xfId="8813"/>
    <cellStyle name="Normal 7 6 3 4 3" xfId="14352"/>
    <cellStyle name="Normal 7 6 3 5" xfId="4310"/>
    <cellStyle name="Normal 7 6 3 5 2" xfId="9849"/>
    <cellStyle name="Normal 7 6 3 5 3" xfId="15388"/>
    <cellStyle name="Normal 7 6 3 6" xfId="5271"/>
    <cellStyle name="Normal 7 6 3 6 2" xfId="10810"/>
    <cellStyle name="Normal 7 6 3 6 3" xfId="16349"/>
    <cellStyle name="Normal 7 6 3 7" xfId="1973"/>
    <cellStyle name="Normal 7 6 3 7 2" xfId="7519"/>
    <cellStyle name="Normal 7 6 3 7 3" xfId="13058"/>
    <cellStyle name="Normal 7 6 3 8" xfId="6314"/>
    <cellStyle name="Normal 7 6 3 9" xfId="11853"/>
    <cellStyle name="Normal 7 6 4" xfId="1164"/>
    <cellStyle name="Normal 7 6 4 2" xfId="3694"/>
    <cellStyle name="Normal 7 6 4 2 2" xfId="9236"/>
    <cellStyle name="Normal 7 6 4 2 3" xfId="14775"/>
    <cellStyle name="Normal 7 6 4 3" xfId="4731"/>
    <cellStyle name="Normal 7 6 4 3 2" xfId="10270"/>
    <cellStyle name="Normal 7 6 4 3 3" xfId="15809"/>
    <cellStyle name="Normal 7 6 4 4" xfId="5666"/>
    <cellStyle name="Normal 7 6 4 4 2" xfId="11205"/>
    <cellStyle name="Normal 7 6 4 4 3" xfId="16744"/>
    <cellStyle name="Normal 7 6 4 5" xfId="2368"/>
    <cellStyle name="Normal 7 6 4 5 2" xfId="7914"/>
    <cellStyle name="Normal 7 6 4 5 3" xfId="13453"/>
    <cellStyle name="Normal 7 6 4 6" xfId="6709"/>
    <cellStyle name="Normal 7 6 4 7" xfId="12248"/>
    <cellStyle name="Normal 7 6 5" xfId="944"/>
    <cellStyle name="Normal 7 6 5 2" xfId="3474"/>
    <cellStyle name="Normal 7 6 5 2 2" xfId="9016"/>
    <cellStyle name="Normal 7 6 5 2 3" xfId="14555"/>
    <cellStyle name="Normal 7 6 5 3" xfId="4511"/>
    <cellStyle name="Normal 7 6 5 3 2" xfId="10050"/>
    <cellStyle name="Normal 7 6 5 3 3" xfId="15589"/>
    <cellStyle name="Normal 7 6 5 4" xfId="5446"/>
    <cellStyle name="Normal 7 6 5 4 2" xfId="10985"/>
    <cellStyle name="Normal 7 6 5 4 3" xfId="16524"/>
    <cellStyle name="Normal 7 6 5 5" xfId="2148"/>
    <cellStyle name="Normal 7 6 5 5 2" xfId="7694"/>
    <cellStyle name="Normal 7 6 5 5 3" xfId="13233"/>
    <cellStyle name="Normal 7 6 5 6" xfId="6489"/>
    <cellStyle name="Normal 7 6 5 7" xfId="12028"/>
    <cellStyle name="Normal 7 6 6" xfId="1509"/>
    <cellStyle name="Normal 7 6 6 2" xfId="2714"/>
    <cellStyle name="Normal 7 6 6 2 2" xfId="8260"/>
    <cellStyle name="Normal 7 6 6 2 3" xfId="13799"/>
    <cellStyle name="Normal 7 6 6 3" xfId="7055"/>
    <cellStyle name="Normal 7 6 6 4" xfId="12594"/>
    <cellStyle name="Normal 7 6 7" xfId="2887"/>
    <cellStyle name="Normal 7 6 7 2" xfId="8431"/>
    <cellStyle name="Normal 7 6 7 3" xfId="13970"/>
    <cellStyle name="Normal 7 6 8" xfId="3300"/>
    <cellStyle name="Normal 7 6 8 2" xfId="8842"/>
    <cellStyle name="Normal 7 6 8 3" xfId="14381"/>
    <cellStyle name="Normal 7 6 9" xfId="4339"/>
    <cellStyle name="Normal 7 6 9 2" xfId="9878"/>
    <cellStyle name="Normal 7 6 9 3" xfId="15417"/>
    <cellStyle name="Normal 7 7" xfId="415"/>
    <cellStyle name="Normal 7 7 10" xfId="1707"/>
    <cellStyle name="Normal 7 7 10 2" xfId="7253"/>
    <cellStyle name="Normal 7 7 10 3" xfId="12792"/>
    <cellStyle name="Normal 7 7 11" xfId="6048"/>
    <cellStyle name="Normal 7 7 11 2" xfId="17126"/>
    <cellStyle name="Normal 7 7 12" xfId="692"/>
    <cellStyle name="Normal 7 7 12 2" xfId="17288"/>
    <cellStyle name="Normal 7 7 13" xfId="11587"/>
    <cellStyle name="Normal 7 7 14" xfId="17455"/>
    <cellStyle name="Normal 7 7 15" xfId="17620"/>
    <cellStyle name="Normal 7 7 2" xfId="416"/>
    <cellStyle name="Normal 7 7 2 10" xfId="6084"/>
    <cellStyle name="Normal 7 7 2 10 2" xfId="17162"/>
    <cellStyle name="Normal 7 7 2 11" xfId="728"/>
    <cellStyle name="Normal 7 7 2 11 2" xfId="17324"/>
    <cellStyle name="Normal 7 7 2 12" xfId="11623"/>
    <cellStyle name="Normal 7 7 2 13" xfId="17491"/>
    <cellStyle name="Normal 7 7 2 14" xfId="17656"/>
    <cellStyle name="Normal 7 7 2 2" xfId="615"/>
    <cellStyle name="Normal 7 7 2 2 2" xfId="1456"/>
    <cellStyle name="Normal 7 7 2 2 2 2" xfId="3988"/>
    <cellStyle name="Normal 7 7 2 2 2 2 2" xfId="9530"/>
    <cellStyle name="Normal 7 7 2 2 2 2 3" xfId="15069"/>
    <cellStyle name="Normal 7 7 2 2 2 3" xfId="5025"/>
    <cellStyle name="Normal 7 7 2 2 2 3 2" xfId="10564"/>
    <cellStyle name="Normal 7 7 2 2 2 3 3" xfId="16103"/>
    <cellStyle name="Normal 7 7 2 2 2 4" xfId="5959"/>
    <cellStyle name="Normal 7 7 2 2 2 4 2" xfId="11498"/>
    <cellStyle name="Normal 7 7 2 2 2 4 3" xfId="17037"/>
    <cellStyle name="Normal 7 7 2 2 2 5" xfId="2661"/>
    <cellStyle name="Normal 7 7 2 2 2 5 2" xfId="8207"/>
    <cellStyle name="Normal 7 7 2 2 2 5 3" xfId="13746"/>
    <cellStyle name="Normal 7 7 2 2 2 6" xfId="7002"/>
    <cellStyle name="Normal 7 7 2 2 2 7" xfId="12541"/>
    <cellStyle name="Normal 7 7 2 2 3" xfId="1059"/>
    <cellStyle name="Normal 7 7 2 2 3 2" xfId="3589"/>
    <cellStyle name="Normal 7 7 2 2 3 2 2" xfId="9131"/>
    <cellStyle name="Normal 7 7 2 2 3 2 3" xfId="14670"/>
    <cellStyle name="Normal 7 7 2 2 3 3" xfId="4626"/>
    <cellStyle name="Normal 7 7 2 2 3 3 2" xfId="10165"/>
    <cellStyle name="Normal 7 7 2 2 3 3 3" xfId="15704"/>
    <cellStyle name="Normal 7 7 2 2 3 4" xfId="5561"/>
    <cellStyle name="Normal 7 7 2 2 3 4 2" xfId="11100"/>
    <cellStyle name="Normal 7 7 2 2 3 4 3" xfId="16639"/>
    <cellStyle name="Normal 7 7 2 2 3 5" xfId="2263"/>
    <cellStyle name="Normal 7 7 2 2 3 5 2" xfId="7809"/>
    <cellStyle name="Normal 7 7 2 2 3 5 3" xfId="13348"/>
    <cellStyle name="Normal 7 7 2 2 3 6" xfId="6604"/>
    <cellStyle name="Normal 7 7 2 2 3 7" xfId="12143"/>
    <cellStyle name="Normal 7 7 2 2 4" xfId="3274"/>
    <cellStyle name="Normal 7 7 2 2 4 2" xfId="8816"/>
    <cellStyle name="Normal 7 7 2 2 4 3" xfId="14355"/>
    <cellStyle name="Normal 7 7 2 2 5" xfId="4313"/>
    <cellStyle name="Normal 7 7 2 2 5 2" xfId="9852"/>
    <cellStyle name="Normal 7 7 2 2 5 3" xfId="15391"/>
    <cellStyle name="Normal 7 7 2 2 6" xfId="5274"/>
    <cellStyle name="Normal 7 7 2 2 6 2" xfId="10813"/>
    <cellStyle name="Normal 7 7 2 2 6 3" xfId="16352"/>
    <cellStyle name="Normal 7 7 2 2 7" xfId="1976"/>
    <cellStyle name="Normal 7 7 2 2 7 2" xfId="7522"/>
    <cellStyle name="Normal 7 7 2 2 7 3" xfId="13061"/>
    <cellStyle name="Normal 7 7 2 2 8" xfId="6317"/>
    <cellStyle name="Normal 7 7 2 2 9" xfId="11856"/>
    <cellStyle name="Normal 7 7 2 3" xfId="1236"/>
    <cellStyle name="Normal 7 7 2 3 2" xfId="3766"/>
    <cellStyle name="Normal 7 7 2 3 2 2" xfId="9308"/>
    <cellStyle name="Normal 7 7 2 3 2 3" xfId="14847"/>
    <cellStyle name="Normal 7 7 2 3 3" xfId="4803"/>
    <cellStyle name="Normal 7 7 2 3 3 2" xfId="10342"/>
    <cellStyle name="Normal 7 7 2 3 3 3" xfId="15881"/>
    <cellStyle name="Normal 7 7 2 3 4" xfId="5738"/>
    <cellStyle name="Normal 7 7 2 3 4 2" xfId="11277"/>
    <cellStyle name="Normal 7 7 2 3 4 3" xfId="16816"/>
    <cellStyle name="Normal 7 7 2 3 5" xfId="2440"/>
    <cellStyle name="Normal 7 7 2 3 5 2" xfId="7986"/>
    <cellStyle name="Normal 7 7 2 3 5 3" xfId="13525"/>
    <cellStyle name="Normal 7 7 2 3 6" xfId="6781"/>
    <cellStyle name="Normal 7 7 2 3 7" xfId="12320"/>
    <cellStyle name="Normal 7 7 2 4" xfId="947"/>
    <cellStyle name="Normal 7 7 2 4 2" xfId="3477"/>
    <cellStyle name="Normal 7 7 2 4 2 2" xfId="9019"/>
    <cellStyle name="Normal 7 7 2 4 2 3" xfId="14558"/>
    <cellStyle name="Normal 7 7 2 4 3" xfId="4514"/>
    <cellStyle name="Normal 7 7 2 4 3 2" xfId="10053"/>
    <cellStyle name="Normal 7 7 2 4 3 3" xfId="15592"/>
    <cellStyle name="Normal 7 7 2 4 4" xfId="5449"/>
    <cellStyle name="Normal 7 7 2 4 4 2" xfId="10988"/>
    <cellStyle name="Normal 7 7 2 4 4 3" xfId="16527"/>
    <cellStyle name="Normal 7 7 2 4 5" xfId="2151"/>
    <cellStyle name="Normal 7 7 2 4 5 2" xfId="7697"/>
    <cellStyle name="Normal 7 7 2 4 5 3" xfId="13236"/>
    <cellStyle name="Normal 7 7 2 4 6" xfId="6492"/>
    <cellStyle name="Normal 7 7 2 4 7" xfId="12031"/>
    <cellStyle name="Normal 7 7 2 5" xfId="1581"/>
    <cellStyle name="Normal 7 7 2 5 2" xfId="2786"/>
    <cellStyle name="Normal 7 7 2 5 2 2" xfId="8332"/>
    <cellStyle name="Normal 7 7 2 5 2 3" xfId="13871"/>
    <cellStyle name="Normal 7 7 2 5 3" xfId="7127"/>
    <cellStyle name="Normal 7 7 2 5 4" xfId="12666"/>
    <cellStyle name="Normal 7 7 2 6" xfId="2959"/>
    <cellStyle name="Normal 7 7 2 6 2" xfId="8503"/>
    <cellStyle name="Normal 7 7 2 6 3" xfId="14042"/>
    <cellStyle name="Normal 7 7 2 7" xfId="4004"/>
    <cellStyle name="Normal 7 7 2 7 2" xfId="9546"/>
    <cellStyle name="Normal 7 7 2 7 3" xfId="15085"/>
    <cellStyle name="Normal 7 7 2 8" xfId="5041"/>
    <cellStyle name="Normal 7 7 2 8 2" xfId="10580"/>
    <cellStyle name="Normal 7 7 2 8 3" xfId="16119"/>
    <cellStyle name="Normal 7 7 2 9" xfId="1743"/>
    <cellStyle name="Normal 7 7 2 9 2" xfId="7289"/>
    <cellStyle name="Normal 7 7 2 9 3" xfId="12828"/>
    <cellStyle name="Normal 7 7 3" xfId="614"/>
    <cellStyle name="Normal 7 7 3 2" xfId="1455"/>
    <cellStyle name="Normal 7 7 3 2 2" xfId="3987"/>
    <cellStyle name="Normal 7 7 3 2 2 2" xfId="9529"/>
    <cellStyle name="Normal 7 7 3 2 2 3" xfId="15068"/>
    <cellStyle name="Normal 7 7 3 2 3" xfId="5024"/>
    <cellStyle name="Normal 7 7 3 2 3 2" xfId="10563"/>
    <cellStyle name="Normal 7 7 3 2 3 3" xfId="16102"/>
    <cellStyle name="Normal 7 7 3 2 4" xfId="5958"/>
    <cellStyle name="Normal 7 7 3 2 4 2" xfId="11497"/>
    <cellStyle name="Normal 7 7 3 2 4 3" xfId="17036"/>
    <cellStyle name="Normal 7 7 3 2 5" xfId="2660"/>
    <cellStyle name="Normal 7 7 3 2 5 2" xfId="8206"/>
    <cellStyle name="Normal 7 7 3 2 5 3" xfId="13745"/>
    <cellStyle name="Normal 7 7 3 2 6" xfId="7001"/>
    <cellStyle name="Normal 7 7 3 2 7" xfId="12540"/>
    <cellStyle name="Normal 7 7 3 3" xfId="1023"/>
    <cellStyle name="Normal 7 7 3 3 2" xfId="3553"/>
    <cellStyle name="Normal 7 7 3 3 2 2" xfId="9095"/>
    <cellStyle name="Normal 7 7 3 3 2 3" xfId="14634"/>
    <cellStyle name="Normal 7 7 3 3 3" xfId="4590"/>
    <cellStyle name="Normal 7 7 3 3 3 2" xfId="10129"/>
    <cellStyle name="Normal 7 7 3 3 3 3" xfId="15668"/>
    <cellStyle name="Normal 7 7 3 3 4" xfId="5525"/>
    <cellStyle name="Normal 7 7 3 3 4 2" xfId="11064"/>
    <cellStyle name="Normal 7 7 3 3 4 3" xfId="16603"/>
    <cellStyle name="Normal 7 7 3 3 5" xfId="2227"/>
    <cellStyle name="Normal 7 7 3 3 5 2" xfId="7773"/>
    <cellStyle name="Normal 7 7 3 3 5 3" xfId="13312"/>
    <cellStyle name="Normal 7 7 3 3 6" xfId="6568"/>
    <cellStyle name="Normal 7 7 3 3 7" xfId="12107"/>
    <cellStyle name="Normal 7 7 3 4" xfId="3273"/>
    <cellStyle name="Normal 7 7 3 4 2" xfId="8815"/>
    <cellStyle name="Normal 7 7 3 4 3" xfId="14354"/>
    <cellStyle name="Normal 7 7 3 5" xfId="4312"/>
    <cellStyle name="Normal 7 7 3 5 2" xfId="9851"/>
    <cellStyle name="Normal 7 7 3 5 3" xfId="15390"/>
    <cellStyle name="Normal 7 7 3 6" xfId="5273"/>
    <cellStyle name="Normal 7 7 3 6 2" xfId="10812"/>
    <cellStyle name="Normal 7 7 3 6 3" xfId="16351"/>
    <cellStyle name="Normal 7 7 3 7" xfId="1975"/>
    <cellStyle name="Normal 7 7 3 7 2" xfId="7521"/>
    <cellStyle name="Normal 7 7 3 7 3" xfId="13060"/>
    <cellStyle name="Normal 7 7 3 8" xfId="6316"/>
    <cellStyle name="Normal 7 7 3 9" xfId="11855"/>
    <cellStyle name="Normal 7 7 4" xfId="1200"/>
    <cellStyle name="Normal 7 7 4 2" xfId="3730"/>
    <cellStyle name="Normal 7 7 4 2 2" xfId="9272"/>
    <cellStyle name="Normal 7 7 4 2 3" xfId="14811"/>
    <cellStyle name="Normal 7 7 4 3" xfId="4767"/>
    <cellStyle name="Normal 7 7 4 3 2" xfId="10306"/>
    <cellStyle name="Normal 7 7 4 3 3" xfId="15845"/>
    <cellStyle name="Normal 7 7 4 4" xfId="5702"/>
    <cellStyle name="Normal 7 7 4 4 2" xfId="11241"/>
    <cellStyle name="Normal 7 7 4 4 3" xfId="16780"/>
    <cellStyle name="Normal 7 7 4 5" xfId="2404"/>
    <cellStyle name="Normal 7 7 4 5 2" xfId="7950"/>
    <cellStyle name="Normal 7 7 4 5 3" xfId="13489"/>
    <cellStyle name="Normal 7 7 4 6" xfId="6745"/>
    <cellStyle name="Normal 7 7 4 7" xfId="12284"/>
    <cellStyle name="Normal 7 7 5" xfId="946"/>
    <cellStyle name="Normal 7 7 5 2" xfId="3476"/>
    <cellStyle name="Normal 7 7 5 2 2" xfId="9018"/>
    <cellStyle name="Normal 7 7 5 2 3" xfId="14557"/>
    <cellStyle name="Normal 7 7 5 3" xfId="4513"/>
    <cellStyle name="Normal 7 7 5 3 2" xfId="10052"/>
    <cellStyle name="Normal 7 7 5 3 3" xfId="15591"/>
    <cellStyle name="Normal 7 7 5 4" xfId="5448"/>
    <cellStyle name="Normal 7 7 5 4 2" xfId="10987"/>
    <cellStyle name="Normal 7 7 5 4 3" xfId="16526"/>
    <cellStyle name="Normal 7 7 5 5" xfId="2150"/>
    <cellStyle name="Normal 7 7 5 5 2" xfId="7696"/>
    <cellStyle name="Normal 7 7 5 5 3" xfId="13235"/>
    <cellStyle name="Normal 7 7 5 6" xfId="6491"/>
    <cellStyle name="Normal 7 7 5 7" xfId="12030"/>
    <cellStyle name="Normal 7 7 6" xfId="1545"/>
    <cellStyle name="Normal 7 7 6 2" xfId="2750"/>
    <cellStyle name="Normal 7 7 6 2 2" xfId="8296"/>
    <cellStyle name="Normal 7 7 6 2 3" xfId="13835"/>
    <cellStyle name="Normal 7 7 6 3" xfId="7091"/>
    <cellStyle name="Normal 7 7 6 4" xfId="12630"/>
    <cellStyle name="Normal 7 7 7" xfId="2923"/>
    <cellStyle name="Normal 7 7 7 2" xfId="8467"/>
    <cellStyle name="Normal 7 7 7 3" xfId="14006"/>
    <cellStyle name="Normal 7 7 8" xfId="3083"/>
    <cellStyle name="Normal 7 7 8 2" xfId="8626"/>
    <cellStyle name="Normal 7 7 8 3" xfId="14165"/>
    <cellStyle name="Normal 7 7 9" xfId="4126"/>
    <cellStyle name="Normal 7 7 9 2" xfId="9667"/>
    <cellStyle name="Normal 7 7 9 3" xfId="15206"/>
    <cellStyle name="Normal 7 8" xfId="417"/>
    <cellStyle name="Normal 7 8 10" xfId="6066"/>
    <cellStyle name="Normal 7 8 10 2" xfId="17144"/>
    <cellStyle name="Normal 7 8 11" xfId="710"/>
    <cellStyle name="Normal 7 8 11 2" xfId="17306"/>
    <cellStyle name="Normal 7 8 12" xfId="11605"/>
    <cellStyle name="Normal 7 8 13" xfId="17473"/>
    <cellStyle name="Normal 7 8 14" xfId="17638"/>
    <cellStyle name="Normal 7 8 2" xfId="616"/>
    <cellStyle name="Normal 7 8 2 2" xfId="1457"/>
    <cellStyle name="Normal 7 8 2 2 2" xfId="3989"/>
    <cellStyle name="Normal 7 8 2 2 2 2" xfId="9531"/>
    <cellStyle name="Normal 7 8 2 2 2 3" xfId="15070"/>
    <cellStyle name="Normal 7 8 2 2 3" xfId="5026"/>
    <cellStyle name="Normal 7 8 2 2 3 2" xfId="10565"/>
    <cellStyle name="Normal 7 8 2 2 3 3" xfId="16104"/>
    <cellStyle name="Normal 7 8 2 2 4" xfId="5960"/>
    <cellStyle name="Normal 7 8 2 2 4 2" xfId="11499"/>
    <cellStyle name="Normal 7 8 2 2 4 3" xfId="17038"/>
    <cellStyle name="Normal 7 8 2 2 5" xfId="2662"/>
    <cellStyle name="Normal 7 8 2 2 5 2" xfId="8208"/>
    <cellStyle name="Normal 7 8 2 2 5 3" xfId="13747"/>
    <cellStyle name="Normal 7 8 2 2 6" xfId="7003"/>
    <cellStyle name="Normal 7 8 2 2 7" xfId="12542"/>
    <cellStyle name="Normal 7 8 2 3" xfId="1041"/>
    <cellStyle name="Normal 7 8 2 3 2" xfId="3571"/>
    <cellStyle name="Normal 7 8 2 3 2 2" xfId="9113"/>
    <cellStyle name="Normal 7 8 2 3 2 3" xfId="14652"/>
    <cellStyle name="Normal 7 8 2 3 3" xfId="4608"/>
    <cellStyle name="Normal 7 8 2 3 3 2" xfId="10147"/>
    <cellStyle name="Normal 7 8 2 3 3 3" xfId="15686"/>
    <cellStyle name="Normal 7 8 2 3 4" xfId="5543"/>
    <cellStyle name="Normal 7 8 2 3 4 2" xfId="11082"/>
    <cellStyle name="Normal 7 8 2 3 4 3" xfId="16621"/>
    <cellStyle name="Normal 7 8 2 3 5" xfId="2245"/>
    <cellStyle name="Normal 7 8 2 3 5 2" xfId="7791"/>
    <cellStyle name="Normal 7 8 2 3 5 3" xfId="13330"/>
    <cellStyle name="Normal 7 8 2 3 6" xfId="6586"/>
    <cellStyle name="Normal 7 8 2 3 7" xfId="12125"/>
    <cellStyle name="Normal 7 8 2 4" xfId="3275"/>
    <cellStyle name="Normal 7 8 2 4 2" xfId="8817"/>
    <cellStyle name="Normal 7 8 2 4 3" xfId="14356"/>
    <cellStyle name="Normal 7 8 2 5" xfId="4314"/>
    <cellStyle name="Normal 7 8 2 5 2" xfId="9853"/>
    <cellStyle name="Normal 7 8 2 5 3" xfId="15392"/>
    <cellStyle name="Normal 7 8 2 6" xfId="5275"/>
    <cellStyle name="Normal 7 8 2 6 2" xfId="10814"/>
    <cellStyle name="Normal 7 8 2 6 3" xfId="16353"/>
    <cellStyle name="Normal 7 8 2 7" xfId="1977"/>
    <cellStyle name="Normal 7 8 2 7 2" xfId="7523"/>
    <cellStyle name="Normal 7 8 2 7 3" xfId="13062"/>
    <cellStyle name="Normal 7 8 2 8" xfId="6318"/>
    <cellStyle name="Normal 7 8 2 9" xfId="11857"/>
    <cellStyle name="Normal 7 8 3" xfId="1218"/>
    <cellStyle name="Normal 7 8 3 2" xfId="3748"/>
    <cellStyle name="Normal 7 8 3 2 2" xfId="9290"/>
    <cellStyle name="Normal 7 8 3 2 3" xfId="14829"/>
    <cellStyle name="Normal 7 8 3 3" xfId="4785"/>
    <cellStyle name="Normal 7 8 3 3 2" xfId="10324"/>
    <cellStyle name="Normal 7 8 3 3 3" xfId="15863"/>
    <cellStyle name="Normal 7 8 3 4" xfId="5720"/>
    <cellStyle name="Normal 7 8 3 4 2" xfId="11259"/>
    <cellStyle name="Normal 7 8 3 4 3" xfId="16798"/>
    <cellStyle name="Normal 7 8 3 5" xfId="2422"/>
    <cellStyle name="Normal 7 8 3 5 2" xfId="7968"/>
    <cellStyle name="Normal 7 8 3 5 3" xfId="13507"/>
    <cellStyle name="Normal 7 8 3 6" xfId="6763"/>
    <cellStyle name="Normal 7 8 3 7" xfId="12302"/>
    <cellStyle name="Normal 7 8 4" xfId="948"/>
    <cellStyle name="Normal 7 8 4 2" xfId="3478"/>
    <cellStyle name="Normal 7 8 4 2 2" xfId="9020"/>
    <cellStyle name="Normal 7 8 4 2 3" xfId="14559"/>
    <cellStyle name="Normal 7 8 4 3" xfId="4515"/>
    <cellStyle name="Normal 7 8 4 3 2" xfId="10054"/>
    <cellStyle name="Normal 7 8 4 3 3" xfId="15593"/>
    <cellStyle name="Normal 7 8 4 4" xfId="5450"/>
    <cellStyle name="Normal 7 8 4 4 2" xfId="10989"/>
    <cellStyle name="Normal 7 8 4 4 3" xfId="16528"/>
    <cellStyle name="Normal 7 8 4 5" xfId="2152"/>
    <cellStyle name="Normal 7 8 4 5 2" xfId="7698"/>
    <cellStyle name="Normal 7 8 4 5 3" xfId="13237"/>
    <cellStyle name="Normal 7 8 4 6" xfId="6493"/>
    <cellStyle name="Normal 7 8 4 7" xfId="12032"/>
    <cellStyle name="Normal 7 8 5" xfId="1563"/>
    <cellStyle name="Normal 7 8 5 2" xfId="2768"/>
    <cellStyle name="Normal 7 8 5 2 2" xfId="8314"/>
    <cellStyle name="Normal 7 8 5 2 3" xfId="13853"/>
    <cellStyle name="Normal 7 8 5 3" xfId="7109"/>
    <cellStyle name="Normal 7 8 5 4" xfId="12648"/>
    <cellStyle name="Normal 7 8 6" xfId="2941"/>
    <cellStyle name="Normal 7 8 6 2" xfId="8485"/>
    <cellStyle name="Normal 7 8 6 3" xfId="14024"/>
    <cellStyle name="Normal 7 8 7" xfId="3074"/>
    <cellStyle name="Normal 7 8 7 2" xfId="8617"/>
    <cellStyle name="Normal 7 8 7 3" xfId="14156"/>
    <cellStyle name="Normal 7 8 8" xfId="4117"/>
    <cellStyle name="Normal 7 8 8 2" xfId="9658"/>
    <cellStyle name="Normal 7 8 8 3" xfId="15197"/>
    <cellStyle name="Normal 7 8 9" xfId="1725"/>
    <cellStyle name="Normal 7 8 9 2" xfId="7271"/>
    <cellStyle name="Normal 7 8 9 3" xfId="12810"/>
    <cellStyle name="Normal 7 9" xfId="418"/>
    <cellStyle name="Normal 7 9 10" xfId="5994"/>
    <cellStyle name="Normal 7 9 10 2" xfId="17072"/>
    <cellStyle name="Normal 7 9 11" xfId="638"/>
    <cellStyle name="Normal 7 9 11 2" xfId="17234"/>
    <cellStyle name="Normal 7 9 12" xfId="11533"/>
    <cellStyle name="Normal 7 9 13" xfId="17401"/>
    <cellStyle name="Normal 7 9 14" xfId="17566"/>
    <cellStyle name="Normal 7 9 2" xfId="617"/>
    <cellStyle name="Normal 7 9 2 2" xfId="1458"/>
    <cellStyle name="Normal 7 9 2 2 2" xfId="3990"/>
    <cellStyle name="Normal 7 9 2 2 2 2" xfId="9532"/>
    <cellStyle name="Normal 7 9 2 2 2 3" xfId="15071"/>
    <cellStyle name="Normal 7 9 2 2 3" xfId="5027"/>
    <cellStyle name="Normal 7 9 2 2 3 2" xfId="10566"/>
    <cellStyle name="Normal 7 9 2 2 3 3" xfId="16105"/>
    <cellStyle name="Normal 7 9 2 2 4" xfId="5961"/>
    <cellStyle name="Normal 7 9 2 2 4 2" xfId="11500"/>
    <cellStyle name="Normal 7 9 2 2 4 3" xfId="17039"/>
    <cellStyle name="Normal 7 9 2 2 5" xfId="2663"/>
    <cellStyle name="Normal 7 9 2 2 5 2" xfId="8209"/>
    <cellStyle name="Normal 7 9 2 2 5 3" xfId="13748"/>
    <cellStyle name="Normal 7 9 2 2 6" xfId="7004"/>
    <cellStyle name="Normal 7 9 2 2 7" xfId="12543"/>
    <cellStyle name="Normal 7 9 2 3" xfId="969"/>
    <cellStyle name="Normal 7 9 2 3 2" xfId="3499"/>
    <cellStyle name="Normal 7 9 2 3 2 2" xfId="9041"/>
    <cellStyle name="Normal 7 9 2 3 2 3" xfId="14580"/>
    <cellStyle name="Normal 7 9 2 3 3" xfId="4536"/>
    <cellStyle name="Normal 7 9 2 3 3 2" xfId="10075"/>
    <cellStyle name="Normal 7 9 2 3 3 3" xfId="15614"/>
    <cellStyle name="Normal 7 9 2 3 4" xfId="5471"/>
    <cellStyle name="Normal 7 9 2 3 4 2" xfId="11010"/>
    <cellStyle name="Normal 7 9 2 3 4 3" xfId="16549"/>
    <cellStyle name="Normal 7 9 2 3 5" xfId="2173"/>
    <cellStyle name="Normal 7 9 2 3 5 2" xfId="7719"/>
    <cellStyle name="Normal 7 9 2 3 5 3" xfId="13258"/>
    <cellStyle name="Normal 7 9 2 3 6" xfId="6514"/>
    <cellStyle name="Normal 7 9 2 3 7" xfId="12053"/>
    <cellStyle name="Normal 7 9 2 4" xfId="3276"/>
    <cellStyle name="Normal 7 9 2 4 2" xfId="8818"/>
    <cellStyle name="Normal 7 9 2 4 3" xfId="14357"/>
    <cellStyle name="Normal 7 9 2 5" xfId="4315"/>
    <cellStyle name="Normal 7 9 2 5 2" xfId="9854"/>
    <cellStyle name="Normal 7 9 2 5 3" xfId="15393"/>
    <cellStyle name="Normal 7 9 2 6" xfId="5276"/>
    <cellStyle name="Normal 7 9 2 6 2" xfId="10815"/>
    <cellStyle name="Normal 7 9 2 6 3" xfId="16354"/>
    <cellStyle name="Normal 7 9 2 7" xfId="1978"/>
    <cellStyle name="Normal 7 9 2 7 2" xfId="7524"/>
    <cellStyle name="Normal 7 9 2 7 3" xfId="13063"/>
    <cellStyle name="Normal 7 9 2 8" xfId="6319"/>
    <cellStyle name="Normal 7 9 2 9" xfId="11858"/>
    <cellStyle name="Normal 7 9 3" xfId="1146"/>
    <cellStyle name="Normal 7 9 3 2" xfId="3676"/>
    <cellStyle name="Normal 7 9 3 2 2" xfId="9218"/>
    <cellStyle name="Normal 7 9 3 2 3" xfId="14757"/>
    <cellStyle name="Normal 7 9 3 3" xfId="4713"/>
    <cellStyle name="Normal 7 9 3 3 2" xfId="10252"/>
    <cellStyle name="Normal 7 9 3 3 3" xfId="15791"/>
    <cellStyle name="Normal 7 9 3 4" xfId="5648"/>
    <cellStyle name="Normal 7 9 3 4 2" xfId="11187"/>
    <cellStyle name="Normal 7 9 3 4 3" xfId="16726"/>
    <cellStyle name="Normal 7 9 3 5" xfId="2350"/>
    <cellStyle name="Normal 7 9 3 5 2" xfId="7896"/>
    <cellStyle name="Normal 7 9 3 5 3" xfId="13435"/>
    <cellStyle name="Normal 7 9 3 6" xfId="6691"/>
    <cellStyle name="Normal 7 9 3 7" xfId="12230"/>
    <cellStyle name="Normal 7 9 4" xfId="949"/>
    <cellStyle name="Normal 7 9 4 2" xfId="3479"/>
    <cellStyle name="Normal 7 9 4 2 2" xfId="9021"/>
    <cellStyle name="Normal 7 9 4 2 3" xfId="14560"/>
    <cellStyle name="Normal 7 9 4 3" xfId="4516"/>
    <cellStyle name="Normal 7 9 4 3 2" xfId="10055"/>
    <cellStyle name="Normal 7 9 4 3 3" xfId="15594"/>
    <cellStyle name="Normal 7 9 4 4" xfId="5451"/>
    <cellStyle name="Normal 7 9 4 4 2" xfId="10990"/>
    <cellStyle name="Normal 7 9 4 4 3" xfId="16529"/>
    <cellStyle name="Normal 7 9 4 5" xfId="2153"/>
    <cellStyle name="Normal 7 9 4 5 2" xfId="7699"/>
    <cellStyle name="Normal 7 9 4 5 3" xfId="13238"/>
    <cellStyle name="Normal 7 9 4 6" xfId="6494"/>
    <cellStyle name="Normal 7 9 4 7" xfId="12033"/>
    <cellStyle name="Normal 7 9 5" xfId="1491"/>
    <cellStyle name="Normal 7 9 5 2" xfId="2696"/>
    <cellStyle name="Normal 7 9 5 2 2" xfId="8242"/>
    <cellStyle name="Normal 7 9 5 2 3" xfId="13781"/>
    <cellStyle name="Normal 7 9 5 3" xfId="7037"/>
    <cellStyle name="Normal 7 9 5 4" xfId="12576"/>
    <cellStyle name="Normal 7 9 6" xfId="2869"/>
    <cellStyle name="Normal 7 9 6 2" xfId="8413"/>
    <cellStyle name="Normal 7 9 6 3" xfId="13952"/>
    <cellStyle name="Normal 7 9 7" xfId="3098"/>
    <cellStyle name="Normal 7 9 7 2" xfId="8641"/>
    <cellStyle name="Normal 7 9 7 3" xfId="14180"/>
    <cellStyle name="Normal 7 9 8" xfId="4141"/>
    <cellStyle name="Normal 7 9 8 2" xfId="9682"/>
    <cellStyle name="Normal 7 9 8 3" xfId="15221"/>
    <cellStyle name="Normal 7 9 9" xfId="1653"/>
    <cellStyle name="Normal 7 9 9 2" xfId="7199"/>
    <cellStyle name="Normal 7 9 9 3" xfId="12738"/>
    <cellStyle name="Normal 8" xfId="163"/>
    <cellStyle name="Normal 8 2" xfId="212"/>
    <cellStyle name="Normal 8 3" xfId="17547"/>
    <cellStyle name="Normal 8 4" xfId="17710"/>
    <cellStyle name="Normal 9" xfId="164"/>
    <cellStyle name="Normal 9 2" xfId="262"/>
    <cellStyle name="Normal 9 3" xfId="261"/>
    <cellStyle name="Note 2" xfId="263"/>
    <cellStyle name="Note 2 2" xfId="264"/>
    <cellStyle name="Note 2 2 2" xfId="1310"/>
    <cellStyle name="Note 2 2 2 2" xfId="3842"/>
    <cellStyle name="Note 2 2 2 2 2" xfId="9384"/>
    <cellStyle name="Note 2 2 2 2 3" xfId="14923"/>
    <cellStyle name="Note 2 2 2 3" xfId="4879"/>
    <cellStyle name="Note 2 2 2 3 2" xfId="10418"/>
    <cellStyle name="Note 2 2 2 3 3" xfId="15957"/>
    <cellStyle name="Note 2 2 2 4" xfId="5813"/>
    <cellStyle name="Note 2 2 2 4 2" xfId="11352"/>
    <cellStyle name="Note 2 2 2 4 3" xfId="16891"/>
    <cellStyle name="Note 2 2 2 5" xfId="2515"/>
    <cellStyle name="Note 2 2 2 5 2" xfId="8061"/>
    <cellStyle name="Note 2 2 2 5 3" xfId="13600"/>
    <cellStyle name="Note 2 2 2 6" xfId="6856"/>
    <cellStyle name="Note 2 2 2 7" xfId="12395"/>
    <cellStyle name="Note 2 2 3" xfId="3122"/>
    <cellStyle name="Note 2 2 3 2" xfId="8665"/>
    <cellStyle name="Note 2 2 3 3" xfId="14204"/>
    <cellStyle name="Note 2 2 4" xfId="4164"/>
    <cellStyle name="Note 2 2 4 2" xfId="9705"/>
    <cellStyle name="Note 2 2 4 3" xfId="15244"/>
    <cellStyle name="Note 2 2 5" xfId="5128"/>
    <cellStyle name="Note 2 2 5 2" xfId="10667"/>
    <cellStyle name="Note 2 2 5 3" xfId="16206"/>
    <cellStyle name="Note 2 2 6" xfId="1830"/>
    <cellStyle name="Note 2 2 6 2" xfId="7376"/>
    <cellStyle name="Note 2 2 6 3" xfId="12915"/>
    <cellStyle name="Note 2 2 7" xfId="6171"/>
    <cellStyle name="Note 2 2 8" xfId="11710"/>
    <cellStyle name="Note 2 3" xfId="468"/>
    <cellStyle name="Note 2 3 2" xfId="17847"/>
    <cellStyle name="Note 2 3 2 2" xfId="17933"/>
    <cellStyle name="Note 2 3 3" xfId="17884"/>
    <cellStyle name="Note 2 3 4" xfId="17918"/>
    <cellStyle name="Note 2 4" xfId="783"/>
    <cellStyle name="Note 2 4 2" xfId="17856"/>
    <cellStyle name="Note 2 4 2 2" xfId="17942"/>
    <cellStyle name="Note 2 4 3" xfId="17869"/>
    <cellStyle name="Note 2 4 4" xfId="17924"/>
    <cellStyle name="Note 2 5" xfId="17848"/>
    <cellStyle name="Note 2 5 2" xfId="17934"/>
    <cellStyle name="Note 2 6" xfId="17872"/>
    <cellStyle name="Note 2 7" xfId="17914"/>
    <cellStyle name="Note 3" xfId="265"/>
    <cellStyle name="Note 3 2" xfId="1311"/>
    <cellStyle name="Note 3 2 2" xfId="3843"/>
    <cellStyle name="Note 3 2 2 2" xfId="9385"/>
    <cellStyle name="Note 3 2 2 3" xfId="14924"/>
    <cellStyle name="Note 3 2 3" xfId="4880"/>
    <cellStyle name="Note 3 2 3 2" xfId="10419"/>
    <cellStyle name="Note 3 2 3 3" xfId="15958"/>
    <cellStyle name="Note 3 2 4" xfId="5814"/>
    <cellStyle name="Note 3 2 4 2" xfId="11353"/>
    <cellStyle name="Note 3 2 4 3" xfId="16892"/>
    <cellStyle name="Note 3 2 5" xfId="2516"/>
    <cellStyle name="Note 3 2 5 2" xfId="8062"/>
    <cellStyle name="Note 3 2 5 3" xfId="13601"/>
    <cellStyle name="Note 3 2 6" xfId="6857"/>
    <cellStyle name="Note 3 2 7" xfId="12396"/>
    <cellStyle name="Note 3 3" xfId="3123"/>
    <cellStyle name="Note 3 3 2" xfId="8666"/>
    <cellStyle name="Note 3 3 3" xfId="14205"/>
    <cellStyle name="Note 3 4" xfId="4165"/>
    <cellStyle name="Note 3 4 2" xfId="9706"/>
    <cellStyle name="Note 3 4 3" xfId="15245"/>
    <cellStyle name="Note 3 5" xfId="5129"/>
    <cellStyle name="Note 3 5 2" xfId="10668"/>
    <cellStyle name="Note 3 5 3" xfId="16207"/>
    <cellStyle name="Note 3 6" xfId="1831"/>
    <cellStyle name="Note 3 6 2" xfId="7377"/>
    <cellStyle name="Note 3 6 3" xfId="12916"/>
    <cellStyle name="Note 3 7" xfId="6172"/>
    <cellStyle name="Note 3 8" xfId="11711"/>
    <cellStyle name="Output 2" xfId="266"/>
    <cellStyle name="Output 2 2" xfId="469"/>
    <cellStyle name="Output 2 2 2" xfId="17859"/>
    <cellStyle name="Output 2 2 2 2" xfId="17945"/>
    <cellStyle name="Output 2 2 3" xfId="17887"/>
    <cellStyle name="Output 2 2 4" xfId="17919"/>
    <cellStyle name="Output 2 3" xfId="784"/>
    <cellStyle name="Output 2 3 2" xfId="17855"/>
    <cellStyle name="Output 2 3 2 2" xfId="17941"/>
    <cellStyle name="Output 2 3 3" xfId="17879"/>
    <cellStyle name="Output 2 3 4" xfId="17925"/>
    <cellStyle name="Output 2 4" xfId="17852"/>
    <cellStyle name="Output 2 4 2" xfId="17938"/>
    <cellStyle name="Output 2 5" xfId="17875"/>
    <cellStyle name="Output 2 6" xfId="17915"/>
    <cellStyle name="Percent 2" xfId="267"/>
    <cellStyle name="Pourcentage 2" xfId="165"/>
    <cellStyle name="Pourcentage 2 2" xfId="17837"/>
    <cellStyle name="Pourcentage 2 3" xfId="17841"/>
    <cellStyle name="Pourcentage 3" xfId="268"/>
    <cellStyle name="Procent 2" xfId="17833"/>
    <cellStyle name="Procent 3" xfId="17840"/>
    <cellStyle name="Result" xfId="17811"/>
    <cellStyle name="Result2" xfId="17812"/>
    <cellStyle name="Satisfaisant" xfId="15" builtinId="26" customBuiltin="1"/>
    <cellStyle name="Satisfaisant 2" xfId="202"/>
    <cellStyle name="Sortie" xfId="19" builtinId="21" customBuiltin="1"/>
    <cellStyle name="Sortie 2" xfId="203"/>
    <cellStyle name="Sortie 2 2" xfId="17854"/>
    <cellStyle name="Sortie 2 2 2" xfId="17940"/>
    <cellStyle name="Sortie 2 3" xfId="17883"/>
    <cellStyle name="Sortie 2 4" xfId="17902"/>
    <cellStyle name="Sortie 2 5" xfId="17898"/>
    <cellStyle name="Sortie 2 6" xfId="17910"/>
    <cellStyle name="Sortie 2 7" xfId="17996"/>
    <cellStyle name="Standaard 2" xfId="17830"/>
    <cellStyle name="Standaard 3" xfId="17839"/>
    <cellStyle name="Tableau" xfId="7"/>
    <cellStyle name="Tableau 2" xfId="166"/>
    <cellStyle name="Tableau 2 2" xfId="17896"/>
    <cellStyle name="Tableau 2 3" xfId="17905"/>
    <cellStyle name="Tableau 3" xfId="786"/>
    <cellStyle name="Tableau 3 2" xfId="17927"/>
    <cellStyle name="Tableau 4" xfId="17891"/>
    <cellStyle name="Tableau 5" xfId="17904"/>
    <cellStyle name="TableStyleLight1" xfId="17814"/>
    <cellStyle name="TableStyleLight1 2" xfId="17929"/>
    <cellStyle name="Texte explicatif" xfId="25" builtinId="53" customBuiltin="1"/>
    <cellStyle name="Texte explicatif 2" xfId="204"/>
    <cellStyle name="Title 2" xfId="269"/>
    <cellStyle name="Titre" xfId="10" builtinId="15" customBuiltin="1"/>
    <cellStyle name="Titre 2" xfId="167"/>
    <cellStyle name="Titre 2 2" xfId="168"/>
    <cellStyle name="Titre 2 2 2" xfId="205"/>
    <cellStyle name="Titre 2 2 2 2" xfId="17813"/>
    <cellStyle name="Titre 2 2 3" xfId="618"/>
    <cellStyle name="Titre 2 2 3 2" xfId="17921"/>
    <cellStyle name="Titre 2 2 4" xfId="17805"/>
    <cellStyle name="Titre 2 3" xfId="787"/>
    <cellStyle name="Titre 2 3 2" xfId="17928"/>
    <cellStyle name="Titre 2 4" xfId="17892"/>
    <cellStyle name="Titre 2 5" xfId="17906"/>
    <cellStyle name="Titre 1" xfId="11" builtinId="16" customBuiltin="1"/>
    <cellStyle name="Titre 1 2" xfId="206"/>
    <cellStyle name="Titre 2" xfId="12" builtinId="17" customBuiltin="1"/>
    <cellStyle name="Titre 2 2" xfId="207"/>
    <cellStyle name="Titre 3" xfId="13" builtinId="18" customBuiltin="1"/>
    <cellStyle name="Titre 3 2" xfId="208"/>
    <cellStyle name="Titre 3 2 2" xfId="17828"/>
    <cellStyle name="Titre 3 2 2 2" xfId="17865"/>
    <cellStyle name="Titre 3 2 2 2 2" xfId="17951"/>
    <cellStyle name="Titre 3 2 2 3" xfId="17888"/>
    <cellStyle name="Titre 3 2 3" xfId="17843"/>
    <cellStyle name="Titre 3 2 3 2" xfId="17889"/>
    <cellStyle name="Titre 3 2 4" xfId="17890"/>
    <cellStyle name="Titre 3 2 5" xfId="17866"/>
    <cellStyle name="Titre 4" xfId="14" builtinId="19" customBuiltin="1"/>
    <cellStyle name="Titre 4 2" xfId="209"/>
    <cellStyle name="Total" xfId="26" builtinId="25" customBuiltin="1"/>
    <cellStyle name="Total 2" xfId="210"/>
    <cellStyle name="Total 2 2" xfId="470"/>
    <cellStyle name="Total 2 2 2" xfId="17858"/>
    <cellStyle name="Total 2 2 2 2" xfId="17944"/>
    <cellStyle name="Total 2 2 3" xfId="17886"/>
    <cellStyle name="Total 2 2 4" xfId="17920"/>
    <cellStyle name="Total 2 3" xfId="785"/>
    <cellStyle name="Total 2 3 2" xfId="17857"/>
    <cellStyle name="Total 2 3 2 2" xfId="17943"/>
    <cellStyle name="Total 2 3 3" xfId="17873"/>
    <cellStyle name="Total 2 3 4" xfId="17926"/>
    <cellStyle name="Total 2 4" xfId="17863"/>
    <cellStyle name="Total 2 4 2" xfId="17949"/>
    <cellStyle name="Total 2 5" xfId="17871"/>
    <cellStyle name="Total 2 6" xfId="17903"/>
    <cellStyle name="Total 2 7" xfId="17894"/>
    <cellStyle name="Total 2 8" xfId="17911"/>
    <cellStyle name="Total 2 9" xfId="17997"/>
    <cellStyle name="Vérification" xfId="22" builtinId="23" customBuiltin="1"/>
    <cellStyle name="Vérification 2" xfId="211"/>
    <cellStyle name="Warning Text 2" xfId="27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5" dropStyle="combo" dx="16" fmlaLink="NAMES!$A$48" fmlaRange="LIST!$J$1:$J$22" noThreeD="1" sel="2" val="0"/>
</file>

<file path=xl/ctrlProps/ctrlProp2.xml><?xml version="1.0" encoding="utf-8"?>
<formControlPr xmlns="http://schemas.microsoft.com/office/spreadsheetml/2009/9/main" objectType="Drop" dropLines="15" dropStyle="combo" dx="16" fmlaLink="NAMES!$A$52" fmlaRange="Formules!$D$40:$D$49" noThreeD="1" sel="5" val="0"/>
</file>

<file path=xl/ctrlProps/ctrlProp3.xml><?xml version="1.0" encoding="utf-8"?>
<formControlPr xmlns="http://schemas.microsoft.com/office/spreadsheetml/2009/9/main" objectType="Drop" dropLines="15" dropStyle="combo" dx="16" fmlaLink="NAMES!$A$57" fmlaRange="Formules!$D$40:$D$49" noThreeD="1" sel="1" val="0"/>
</file>

<file path=xl/ctrlProps/ctrlProp4.xml><?xml version="1.0" encoding="utf-8"?>
<formControlPr xmlns="http://schemas.microsoft.com/office/spreadsheetml/2009/9/main" objectType="Drop" dropLines="30" dropStyle="combo" dx="16" fmlaLink="APPORTEURS!$A$1" fmlaRange="APPORTEURS!$C$4:$C$300" noThreeD="1" sel="73" val="63"/>
</file>

<file path=xl/ctrlProps/ctrlProp5.xml><?xml version="1.0" encoding="utf-8"?>
<formControlPr xmlns="http://schemas.microsoft.com/office/spreadsheetml/2009/9/main" objectType="Drop" dropLines="80" dropStyle="combo" dx="16" fmlaLink="USER!$A$1" fmlaRange="USER!$C$4:$C$300" noThreeD="1" sel="105" val="91"/>
</file>

<file path=xl/ctrlProps/ctrlProp6.xml><?xml version="1.0" encoding="utf-8"?>
<formControlPr xmlns="http://schemas.microsoft.com/office/spreadsheetml/2009/9/main" objectType="Drop" dropLines="70" dropStyle="combo" dx="16" fmlaLink="APPORTEURS!$A$2" fmlaRange="APPORTEURS!$D$4:$D$300" noThreeD="1" sel="32" val="25"/>
</file>

<file path=xl/ctrlProps/ctrlProp7.xml><?xml version="1.0" encoding="utf-8"?>
<formControlPr xmlns="http://schemas.microsoft.com/office/spreadsheetml/2009/9/main" objectType="Drop" dropLines="20" dropStyle="combo" dx="16" fmlaLink="USER!$A$2" fmlaRange="USER!$D$4:$D$300" noThreeD="1" sel="253" val="175"/>
</file>

<file path=xl/ctrlProps/ctrlProp8.xml><?xml version="1.0" encoding="utf-8"?>
<formControlPr xmlns="http://schemas.microsoft.com/office/spreadsheetml/2009/9/main" objectType="Drop" dropLines="15" dropStyle="combo" dx="16" fmlaLink="NAMES!$A$53" fmlaRange="LIST!$J$1:$J$22" noThreeD="1" sel="1" val="0"/>
</file>

<file path=xl/ctrlProps/ctrlProp9.xml><?xml version="1.0" encoding="utf-8"?>
<formControlPr xmlns="http://schemas.microsoft.com/office/spreadsheetml/2009/9/main" objectType="Drop" dropLines="15" dropStyle="combo" dx="16" fmlaLink="NAMES!$A$43" fmlaRange="LIST!$J$1:$J$23" noThreeD="1" sel="2" val="0"/>
</file>

<file path=xl/ctrlProps/ctrlProp10.xml><?xml version="1.0" encoding="utf-8"?>
<formControlPr xmlns="http://schemas.microsoft.com/office/spreadsheetml/2009/9/main" objectType="Drop" dropStyle="combo" dx="16" fmlaLink="LISTES!$A$58" fmlaRange="LISTES!$C$59:$C$63" noThreeD="1" sel="2" val="0"/>
</file>

<file path=xl/ctrlProps/ctrlProp11.xml><?xml version="1.0" encoding="utf-8"?>
<formControlPr xmlns="http://schemas.microsoft.com/office/spreadsheetml/2009/9/main" objectType="Drop" dropStyle="combo" dx="16" fmlaLink="LISTES!$A$112" fmlaRange="LISTES!$C$113:$C$116" noThreeD="1" sel="1" val="0"/>
</file>

<file path=xl/ctrlProps/ctrlProp12.xml><?xml version="1.0" encoding="utf-8"?>
<formControlPr xmlns="http://schemas.microsoft.com/office/spreadsheetml/2009/9/main" objectType="Drop" dropStyle="combo" dx="16" fmlaLink="LISTES!$A$119" fmlaRange="LISTES!$C$120:$C$123" noThreeD="1" sel="1" val="0"/>
</file>

<file path=xl/ctrlProps/ctrlProp13.xml><?xml version="1.0" encoding="utf-8"?>
<formControlPr xmlns="http://schemas.microsoft.com/office/spreadsheetml/2009/9/main" objectType="CheckBox" checked="Checked" fmlaLink="NAMES!$B$9" lockText="1" noThreeD="1"/>
</file>

<file path=xl/ctrlProps/ctrlProp14.xml><?xml version="1.0" encoding="utf-8"?>
<formControlPr xmlns="http://schemas.microsoft.com/office/spreadsheetml/2009/9/main" objectType="Drop" dropLines="15" dropStyle="combo" dx="16" fmlaLink="NAMES!$A$62" fmlaRange="Formules!$D$40:$D$49" noThreeD="1" sel="6" val="0"/>
</file>

<file path=xl/ctrlProps/ctrlProp15.xml><?xml version="1.0" encoding="utf-8"?>
<formControlPr xmlns="http://schemas.microsoft.com/office/spreadsheetml/2009/9/main" objectType="Drop" dropLines="15" dropStyle="combo" dx="16" fmlaLink="NAMES!$A$58" fmlaRange="LIST!$J$1:$J$22" noThreeD="1" sel="7" val="5"/>
</file>

<file path=xl/ctrlProps/ctrlProp16.xml><?xml version="1.0" encoding="utf-8"?>
<formControlPr xmlns="http://schemas.microsoft.com/office/spreadsheetml/2009/9/main" objectType="CheckBox" fmlaLink="ALLTHESAME" lockText="1" noThreeD="1"/>
</file>

<file path=xl/ctrlProps/ctrlProp17.xml><?xml version="1.0" encoding="utf-8"?>
<formControlPr xmlns="http://schemas.microsoft.com/office/spreadsheetml/2009/9/main" objectType="CheckBox" checked="Checked" fmlaLink="NAMES!$B$10" lockText="1" noThreeD="1"/>
</file>

<file path=xl/ctrlProps/ctrlProp18.xml><?xml version="1.0" encoding="utf-8"?>
<formControlPr xmlns="http://schemas.microsoft.com/office/spreadsheetml/2009/9/main" objectType="Drop" dropStyle="combo" dx="16" fmlaLink="LISTES!$A$17" fmlaRange="LISTES!$C$18:$C$21" noThreeD="1" sel="3" val="0"/>
</file>

<file path=xl/ctrlProps/ctrlProp19.xml><?xml version="1.0" encoding="utf-8"?>
<formControlPr xmlns="http://schemas.microsoft.com/office/spreadsheetml/2009/9/main" objectType="CheckBox" fmlaLink="NAMES!$B$8" lockText="1" noThreeD="1"/>
</file>

<file path=xl/ctrlProps/ctrlProp20.xml><?xml version="1.0" encoding="utf-8"?>
<formControlPr xmlns="http://schemas.microsoft.com/office/spreadsheetml/2009/9/main" objectType="CheckBox" checked="Checked" fmlaLink="$A$6" lockText="1" noThreeD="1"/>
</file>

<file path=xl/ctrlProps/ctrlProp21.xml><?xml version="1.0" encoding="utf-8"?>
<formControlPr xmlns="http://schemas.microsoft.com/office/spreadsheetml/2009/9/main" objectType="Drop" dropStyle="combo" dx="16" fmlaLink="LISTES!$A$45" fmlaRange="LISTES!$C$46:$C$55" noThreeD="1" sel="4"/>
</file>

<file path=xl/ctrlProps/ctrlProp22.xml><?xml version="1.0" encoding="utf-8"?>
<formControlPr xmlns="http://schemas.microsoft.com/office/spreadsheetml/2009/9/main" objectType="Drop" dropStyle="combo" dx="16" fmlaLink="LISTES!$A$95" fmlaRange="LISTES!$C$97:$C$100" noThreeD="1" sel="1" val="0"/>
</file>

<file path=xl/ctrlProps/ctrlProp23.xml><?xml version="1.0" encoding="utf-8"?>
<formControlPr xmlns="http://schemas.microsoft.com/office/spreadsheetml/2009/9/main" objectType="Drop" dropStyle="combo" dx="16" fmlaLink="LISTES!$A$96" fmlaRange="LISTES!$C$97:$C$100" noThreeD="1" sel="4" val="0"/>
</file>

<file path=xl/ctrlProps/ctrlProp24.xml><?xml version="1.0" encoding="utf-8"?>
<formControlPr xmlns="http://schemas.microsoft.com/office/spreadsheetml/2009/9/main" objectType="CheckBox" checked="Checked" fmlaLink="$I$48" lockText="1" noThreeD="1"/>
</file>

<file path=xl/ctrlProps/ctrlProp25.xml><?xml version="1.0" encoding="utf-8"?>
<formControlPr xmlns="http://schemas.microsoft.com/office/spreadsheetml/2009/9/main" objectType="CheckBox" fmlaLink="$I$50" lockText="1" noThreeD="1"/>
</file>

<file path=xl/ctrlProps/ctrlProp26.xml><?xml version="1.0" encoding="utf-8"?>
<formControlPr xmlns="http://schemas.microsoft.com/office/spreadsheetml/2009/9/main" objectType="CheckBox" checked="Checked" fmlaLink="$I$52" lockText="1" noThreeD="1"/>
</file>

<file path=xl/ctrlProps/ctrlProp27.xml><?xml version="1.0" encoding="utf-8"?>
<formControlPr xmlns="http://schemas.microsoft.com/office/spreadsheetml/2009/9/main" objectType="Drop" dropStyle="combo" dx="16" fmlaLink="$B$3" fmlaRange="$D$5:$D$10" noThreeD="1" sel="2" val="0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55</xdr:row>
          <xdr:rowOff>38100</xdr:rowOff>
        </xdr:from>
        <xdr:to>
          <xdr:col>1</xdr:col>
          <xdr:colOff>3400425</xdr:colOff>
          <xdr:row>55</xdr:row>
          <xdr:rowOff>304800</xdr:rowOff>
        </xdr:to>
        <xdr:sp macro="" textlink="">
          <xdr:nvSpPr>
            <xdr:cNvPr id="4098" name="Drop Dow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56</xdr:row>
          <xdr:rowOff>57150</xdr:rowOff>
        </xdr:from>
        <xdr:to>
          <xdr:col>1</xdr:col>
          <xdr:colOff>3419475</xdr:colOff>
          <xdr:row>56</xdr:row>
          <xdr:rowOff>285750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81</xdr:row>
          <xdr:rowOff>38100</xdr:rowOff>
        </xdr:from>
        <xdr:to>
          <xdr:col>1</xdr:col>
          <xdr:colOff>3267075</xdr:colOff>
          <xdr:row>81</xdr:row>
          <xdr:rowOff>257175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10</xdr:row>
          <xdr:rowOff>57150</xdr:rowOff>
        </xdr:from>
        <xdr:to>
          <xdr:col>1</xdr:col>
          <xdr:colOff>3648075</xdr:colOff>
          <xdr:row>10</xdr:row>
          <xdr:rowOff>381000</xdr:rowOff>
        </xdr:to>
        <xdr:sp macro="" textlink="">
          <xdr:nvSpPr>
            <xdr:cNvPr id="4109" name="Drop Dow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28575</xdr:rowOff>
        </xdr:from>
        <xdr:to>
          <xdr:col>1</xdr:col>
          <xdr:colOff>3619500</xdr:colOff>
          <xdr:row>12</xdr:row>
          <xdr:rowOff>342900</xdr:rowOff>
        </xdr:to>
        <xdr:sp macro="" textlink="">
          <xdr:nvSpPr>
            <xdr:cNvPr id="4110" name="Drop Dow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85725</xdr:rowOff>
        </xdr:from>
        <xdr:to>
          <xdr:col>1</xdr:col>
          <xdr:colOff>3629025</xdr:colOff>
          <xdr:row>11</xdr:row>
          <xdr:rowOff>419100</xdr:rowOff>
        </xdr:to>
        <xdr:sp macro="" textlink="">
          <xdr:nvSpPr>
            <xdr:cNvPr id="4116" name="Drop Dow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66675</xdr:rowOff>
        </xdr:from>
        <xdr:to>
          <xdr:col>1</xdr:col>
          <xdr:colOff>3619500</xdr:colOff>
          <xdr:row>13</xdr:row>
          <xdr:rowOff>342900</xdr:rowOff>
        </xdr:to>
        <xdr:sp macro="" textlink="">
          <xdr:nvSpPr>
            <xdr:cNvPr id="4117" name="Drop Down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80</xdr:row>
          <xdr:rowOff>76200</xdr:rowOff>
        </xdr:from>
        <xdr:to>
          <xdr:col>1</xdr:col>
          <xdr:colOff>3248025</xdr:colOff>
          <xdr:row>80</xdr:row>
          <xdr:rowOff>295275</xdr:rowOff>
        </xdr:to>
        <xdr:sp macro="" textlink="">
          <xdr:nvSpPr>
            <xdr:cNvPr id="4119" name="Drop Down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41</xdr:row>
          <xdr:rowOff>38100</xdr:rowOff>
        </xdr:from>
        <xdr:to>
          <xdr:col>1</xdr:col>
          <xdr:colOff>3228975</xdr:colOff>
          <xdr:row>41</xdr:row>
          <xdr:rowOff>304800</xdr:rowOff>
        </xdr:to>
        <xdr:sp macro="" textlink="">
          <xdr:nvSpPr>
            <xdr:cNvPr id="4123" name="Drop Down 27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5</xdr:row>
          <xdr:rowOff>38100</xdr:rowOff>
        </xdr:from>
        <xdr:to>
          <xdr:col>1</xdr:col>
          <xdr:colOff>1362075</xdr:colOff>
          <xdr:row>5</xdr:row>
          <xdr:rowOff>333375</xdr:rowOff>
        </xdr:to>
        <xdr:sp macro="" textlink="">
          <xdr:nvSpPr>
            <xdr:cNvPr id="4125" name="Drop Down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26</xdr:row>
          <xdr:rowOff>38100</xdr:rowOff>
        </xdr:from>
        <xdr:to>
          <xdr:col>1</xdr:col>
          <xdr:colOff>3219450</xdr:colOff>
          <xdr:row>26</xdr:row>
          <xdr:rowOff>342900</xdr:rowOff>
        </xdr:to>
        <xdr:sp macro="" textlink="">
          <xdr:nvSpPr>
            <xdr:cNvPr id="4126" name="Drop Down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27</xdr:row>
          <xdr:rowOff>47625</xdr:rowOff>
        </xdr:from>
        <xdr:to>
          <xdr:col>1</xdr:col>
          <xdr:colOff>3190875</xdr:colOff>
          <xdr:row>27</xdr:row>
          <xdr:rowOff>295275</xdr:rowOff>
        </xdr:to>
        <xdr:sp macro="" textlink="">
          <xdr:nvSpPr>
            <xdr:cNvPr id="4127" name="Drop Down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28</xdr:row>
          <xdr:rowOff>66675</xdr:rowOff>
        </xdr:from>
        <xdr:to>
          <xdr:col>1</xdr:col>
          <xdr:colOff>1666875</xdr:colOff>
          <xdr:row>28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Calculer ou mettre à vide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107</xdr:row>
          <xdr:rowOff>38100</xdr:rowOff>
        </xdr:from>
        <xdr:to>
          <xdr:col>1</xdr:col>
          <xdr:colOff>3267075</xdr:colOff>
          <xdr:row>107</xdr:row>
          <xdr:rowOff>257175</xdr:rowOff>
        </xdr:to>
        <xdr:sp macro="" textlink="">
          <xdr:nvSpPr>
            <xdr:cNvPr id="4133" name="Drop Down 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106</xdr:row>
          <xdr:rowOff>76200</xdr:rowOff>
        </xdr:from>
        <xdr:to>
          <xdr:col>1</xdr:col>
          <xdr:colOff>3248025</xdr:colOff>
          <xdr:row>106</xdr:row>
          <xdr:rowOff>295275</xdr:rowOff>
        </xdr:to>
        <xdr:sp macro="" textlink="">
          <xdr:nvSpPr>
            <xdr:cNvPr id="4134" name="Drop Down 38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2</xdr:row>
          <xdr:rowOff>133350</xdr:rowOff>
        </xdr:from>
        <xdr:to>
          <xdr:col>5</xdr:col>
          <xdr:colOff>209550</xdr:colOff>
          <xdr:row>3</xdr:row>
          <xdr:rowOff>66675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Tout le monde de la meme façon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200025</xdr:rowOff>
        </xdr:from>
        <xdr:to>
          <xdr:col>5</xdr:col>
          <xdr:colOff>438150</xdr:colOff>
          <xdr:row>4</xdr:row>
          <xdr:rowOff>419100</xdr:rowOff>
        </xdr:to>
        <xdr:sp macro="" textlink="">
          <xdr:nvSpPr>
            <xdr:cNvPr id="5169" name="Check Box 49" hidden="1">
              <a:extLst>
                <a:ext uri="{63B3BB69-23CF-44E3-9099-C40C66FF867C}">
                  <a14:compatExt spid="_x0000_s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crewlist OUI/detail plateforme NON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3</xdr:row>
          <xdr:rowOff>104775</xdr:rowOff>
        </xdr:from>
        <xdr:to>
          <xdr:col>5</xdr:col>
          <xdr:colOff>285750</xdr:colOff>
          <xdr:row>4</xdr:row>
          <xdr:rowOff>85725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5</xdr:row>
          <xdr:rowOff>76200</xdr:rowOff>
        </xdr:from>
        <xdr:to>
          <xdr:col>5</xdr:col>
          <xdr:colOff>114300</xdr:colOff>
          <xdr:row>6</xdr:row>
          <xdr:rowOff>152400</xdr:rowOff>
        </xdr:to>
        <xdr:sp macro="" textlink="">
          <xdr:nvSpPr>
            <xdr:cNvPr id="5172" name="Check Box 52" hidden="1">
              <a:extLst>
                <a:ext uri="{63B3BB69-23CF-44E3-9099-C40C66FF867C}">
                  <a14:compatExt spid="_x0000_s5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old Rates (2015)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152400</xdr:rowOff>
        </xdr:from>
        <xdr:to>
          <xdr:col>1</xdr:col>
          <xdr:colOff>1781175</xdr:colOff>
          <xdr:row>5</xdr:row>
          <xdr:rowOff>85725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Calcul selon 2015-2016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167524</xdr:colOff>
      <xdr:row>0</xdr:row>
      <xdr:rowOff>38101</xdr:rowOff>
    </xdr:from>
    <xdr:to>
      <xdr:col>2</xdr:col>
      <xdr:colOff>457200</xdr:colOff>
      <xdr:row>4</xdr:row>
      <xdr:rowOff>35358</xdr:rowOff>
    </xdr:to>
    <xdr:pic>
      <xdr:nvPicPr>
        <xdr:cNvPr id="2" name="Image 1" descr="logo_wycc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7524" y="38101"/>
          <a:ext cx="1061201" cy="692582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1</xdr:row>
      <xdr:rowOff>76200</xdr:rowOff>
    </xdr:from>
    <xdr:to>
      <xdr:col>4</xdr:col>
      <xdr:colOff>371474</xdr:colOff>
      <xdr:row>3</xdr:row>
      <xdr:rowOff>111166</xdr:rowOff>
    </xdr:to>
    <xdr:pic>
      <xdr:nvPicPr>
        <xdr:cNvPr id="3" name="Image 2" descr="logo_wc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04975" y="238125"/>
          <a:ext cx="1371599" cy="40644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167524</xdr:colOff>
      <xdr:row>0</xdr:row>
      <xdr:rowOff>38101</xdr:rowOff>
    </xdr:from>
    <xdr:to>
      <xdr:col>2</xdr:col>
      <xdr:colOff>419100</xdr:colOff>
      <xdr:row>4</xdr:row>
      <xdr:rowOff>35358</xdr:rowOff>
    </xdr:to>
    <xdr:pic>
      <xdr:nvPicPr>
        <xdr:cNvPr id="2" name="Image 1" descr="logo_wycc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7524" y="38101"/>
          <a:ext cx="1061201" cy="697874"/>
        </a:xfrm>
        <a:prstGeom prst="rect">
          <a:avLst/>
        </a:prstGeom>
      </xdr:spPr>
    </xdr:pic>
    <xdr:clientData/>
  </xdr:twoCellAnchor>
  <xdr:twoCellAnchor editAs="oneCell">
    <xdr:from>
      <xdr:col>3</xdr:col>
      <xdr:colOff>123825</xdr:colOff>
      <xdr:row>1</xdr:row>
      <xdr:rowOff>76200</xdr:rowOff>
    </xdr:from>
    <xdr:to>
      <xdr:col>4</xdr:col>
      <xdr:colOff>685799</xdr:colOff>
      <xdr:row>3</xdr:row>
      <xdr:rowOff>111166</xdr:rowOff>
    </xdr:to>
    <xdr:pic>
      <xdr:nvPicPr>
        <xdr:cNvPr id="3" name="Image 2" descr="logo_wc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743075" y="266700"/>
          <a:ext cx="1371599" cy="4149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</xdr:colOff>
      <xdr:row>40</xdr:row>
      <xdr:rowOff>142876</xdr:rowOff>
    </xdr:from>
    <xdr:to>
      <xdr:col>1</xdr:col>
      <xdr:colOff>962026</xdr:colOff>
      <xdr:row>44</xdr:row>
      <xdr:rowOff>155476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9152" y="6972301"/>
          <a:ext cx="962024" cy="6507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47625</xdr:colOff>
      <xdr:row>0</xdr:row>
      <xdr:rowOff>76201</xdr:rowOff>
    </xdr:from>
    <xdr:to>
      <xdr:col>5</xdr:col>
      <xdr:colOff>228601</xdr:colOff>
      <xdr:row>5</xdr:row>
      <xdr:rowOff>130928</xdr:rowOff>
    </xdr:to>
    <xdr:pic>
      <xdr:nvPicPr>
        <xdr:cNvPr id="2" name="Image 1" descr="ICS_LOGO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47725" y="76201"/>
          <a:ext cx="3876676" cy="8167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66675</xdr:colOff>
          <xdr:row>12</xdr:row>
          <xdr:rowOff>47625</xdr:rowOff>
        </xdr:from>
        <xdr:to>
          <xdr:col>14</xdr:col>
          <xdr:colOff>485775</xdr:colOff>
          <xdr:row>15</xdr:row>
          <xdr:rowOff>19050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6</xdr:row>
          <xdr:rowOff>9525</xdr:rowOff>
        </xdr:from>
        <xdr:to>
          <xdr:col>14</xdr:col>
          <xdr:colOff>466725</xdr:colOff>
          <xdr:row>8</xdr:row>
          <xdr:rowOff>133350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9</xdr:row>
          <xdr:rowOff>9525</xdr:rowOff>
        </xdr:from>
        <xdr:to>
          <xdr:col>14</xdr:col>
          <xdr:colOff>466725</xdr:colOff>
          <xdr:row>11</xdr:row>
          <xdr:rowOff>133350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685800</xdr:colOff>
          <xdr:row>46</xdr:row>
          <xdr:rowOff>28575</xdr:rowOff>
        </xdr:from>
        <xdr:to>
          <xdr:col>12</xdr:col>
          <xdr:colOff>657225</xdr:colOff>
          <xdr:row>48</xdr:row>
          <xdr:rowOff>9525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Choix de la valeur plateforme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48</xdr:row>
          <xdr:rowOff>95250</xdr:rowOff>
        </xdr:from>
        <xdr:to>
          <xdr:col>12</xdr:col>
          <xdr:colOff>542925</xdr:colOff>
          <xdr:row>50</xdr:row>
          <xdr:rowOff>9525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Discount / remise accordée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51</xdr:row>
          <xdr:rowOff>0</xdr:rowOff>
        </xdr:from>
        <xdr:to>
          <xdr:col>12</xdr:col>
          <xdr:colOff>295275</xdr:colOff>
          <xdr:row>52</xdr:row>
          <xdr:rowOff>57150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Réassurance/ surcommission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0</xdr:row>
          <xdr:rowOff>66675</xdr:rowOff>
        </xdr:from>
        <xdr:to>
          <xdr:col>4</xdr:col>
          <xdr:colOff>19050</xdr:colOff>
          <xdr:row>1</xdr:row>
          <xdr:rowOff>104775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hyperlink" Target="mailto:gilles@monacoequipage.com" TargetMode="External"/><Relationship Id="rId18" Type="http://schemas.openxmlformats.org/officeDocument/2006/relationships/hyperlink" Target="mailto:s.marissi@groupeaddoha.com" TargetMode="External"/><Relationship Id="rId26" Type="http://schemas.openxmlformats.org/officeDocument/2006/relationships/hyperlink" Target="mailto:general@meriv.fr" TargetMode="External"/><Relationship Id="rId39" Type="http://schemas.openxmlformats.org/officeDocument/2006/relationships/hyperlink" Target="mailto:m.cluis@salvo-assurances.com" TargetMode="External"/><Relationship Id="rId21" Type="http://schemas.openxmlformats.org/officeDocument/2006/relationships/hyperlink" Target="mailto:crew@lngroup.lu" TargetMode="External"/><Relationship Id="rId34" Type="http://schemas.openxmlformats.org/officeDocument/2006/relationships/hyperlink" Target="mailto:Manuel.Saporita@ascoma.com" TargetMode="External"/><Relationship Id="rId42" Type="http://schemas.openxmlformats.org/officeDocument/2006/relationships/hyperlink" Target="mailto:production@isisglobalsolutions.com" TargetMode="External"/><Relationship Id="rId47" Type="http://schemas.openxmlformats.org/officeDocument/2006/relationships/hyperlink" Target="mailto:solange.campion@jgm.fr" TargetMode="External"/><Relationship Id="rId50" Type="http://schemas.openxmlformats.org/officeDocument/2006/relationships/hyperlink" Target="mailto:cdezerbi@onlyyacht.com" TargetMode="External"/><Relationship Id="rId55" Type="http://schemas.openxmlformats.org/officeDocument/2006/relationships/hyperlink" Target="mailto:kemal.dincer@grassavoye.com.tr" TargetMode="External"/><Relationship Id="rId63" Type="http://schemas.openxmlformats.org/officeDocument/2006/relationships/hyperlink" Target="mailto:colin@wilsoneurope.com" TargetMode="External"/><Relationship Id="rId68" Type="http://schemas.openxmlformats.org/officeDocument/2006/relationships/hyperlink" Target="mailto:laurie.van.bets@junge-antwerp.be" TargetMode="External"/><Relationship Id="rId76" Type="http://schemas.openxmlformats.org/officeDocument/2006/relationships/hyperlink" Target="mailto:ksagitova@lms.lu" TargetMode="External"/><Relationship Id="rId7" Type="http://schemas.openxmlformats.org/officeDocument/2006/relationships/hyperlink" Target="mailto:editat@fenfar.gr" TargetMode="External"/><Relationship Id="rId71" Type="http://schemas.openxmlformats.org/officeDocument/2006/relationships/hyperlink" Target="mailto:lucas.henry@wycc-insurance.com" TargetMode="External"/><Relationship Id="rId2" Type="http://schemas.openxmlformats.org/officeDocument/2006/relationships/hyperlink" Target="mailto:gregory.vanmeenin@jgm.fr%3E" TargetMode="External"/><Relationship Id="rId16" Type="http://schemas.openxmlformats.org/officeDocument/2006/relationships/hyperlink" Target="mailto:jpdewolf@lms.lu" TargetMode="External"/><Relationship Id="rId29" Type="http://schemas.openxmlformats.org/officeDocument/2006/relationships/hyperlink" Target="mailto:fraco@onlyyacht.com" TargetMode="External"/><Relationship Id="rId11" Type="http://schemas.openxmlformats.org/officeDocument/2006/relationships/hyperlink" Target="mailto:caroline.nouamria@mtaic.com" TargetMode="External"/><Relationship Id="rId24" Type="http://schemas.openxmlformats.org/officeDocument/2006/relationships/hyperlink" Target="mailto:HMANANCOURT@navilux.net" TargetMode="External"/><Relationship Id="rId32" Type="http://schemas.openxmlformats.org/officeDocument/2006/relationships/hyperlink" Target="mailto:tgervais@groupama-transport.com%20&#160;" TargetMode="External"/><Relationship Id="rId37" Type="http://schemas.openxmlformats.org/officeDocument/2006/relationships/hyperlink" Target="mailto:mziane@suisscourtage.com" TargetMode="External"/><Relationship Id="rId40" Type="http://schemas.openxmlformats.org/officeDocument/2006/relationships/hyperlink" Target="tel:%2B%2033%20%280%29970%20444%20165" TargetMode="External"/><Relationship Id="rId45" Type="http://schemas.openxmlformats.org/officeDocument/2006/relationships/hyperlink" Target="mailto:bmillet@suisscourtage.mc" TargetMode="External"/><Relationship Id="rId53" Type="http://schemas.openxmlformats.org/officeDocument/2006/relationships/hyperlink" Target="mailto:ealbin@suisscourtage.com" TargetMode="External"/><Relationship Id="rId58" Type="http://schemas.openxmlformats.org/officeDocument/2006/relationships/hyperlink" Target="mailto:jihad@premiumbroking.com" TargetMode="External"/><Relationship Id="rId66" Type="http://schemas.openxmlformats.org/officeDocument/2006/relationships/hyperlink" Target="mailto:soazic@gecarcannes.com" TargetMode="External"/><Relationship Id="rId74" Type="http://schemas.openxmlformats.org/officeDocument/2006/relationships/hyperlink" Target="mailto:ekenter@intramar.nl" TargetMode="External"/><Relationship Id="rId5" Type="http://schemas.openxmlformats.org/officeDocument/2006/relationships/hyperlink" Target="mailto:kim.hamilton@sarniayachts.com" TargetMode="External"/><Relationship Id="rId15" Type="http://schemas.openxmlformats.org/officeDocument/2006/relationships/hyperlink" Target="mailto:guillaume.grunberg@wycc-insurance.com" TargetMode="External"/><Relationship Id="rId23" Type="http://schemas.openxmlformats.org/officeDocument/2006/relationships/hyperlink" Target="mailto:maltanauticmanagement@gmail.com" TargetMode="External"/><Relationship Id="rId28" Type="http://schemas.openxmlformats.org/officeDocument/2006/relationships/hyperlink" Target="mailto:leila.labaz@mtaic.com" TargetMode="External"/><Relationship Id="rId36" Type="http://schemas.openxmlformats.org/officeDocument/2006/relationships/hyperlink" Target="tel:%2B377%2097%2097%2044%2024" TargetMode="External"/><Relationship Id="rId49" Type="http://schemas.openxmlformats.org/officeDocument/2006/relationships/hyperlink" Target="mailto:jihad.aboumrad@nkfrance.com" TargetMode="External"/><Relationship Id="rId57" Type="http://schemas.openxmlformats.org/officeDocument/2006/relationships/hyperlink" Target="tel:%2B33%20640%20614%20601" TargetMode="External"/><Relationship Id="rId61" Type="http://schemas.openxmlformats.org/officeDocument/2006/relationships/hyperlink" Target="mailto:Jaramillo@gesmaritime.com" TargetMode="External"/><Relationship Id="rId10" Type="http://schemas.openxmlformats.org/officeDocument/2006/relationships/hyperlink" Target="mailto:fnaffouti@navilux.net" TargetMode="External"/><Relationship Id="rId19" Type="http://schemas.openxmlformats.org/officeDocument/2006/relationships/hyperlink" Target="mailto:amayou@mcmnewport.com" TargetMode="External"/><Relationship Id="rId31" Type="http://schemas.openxmlformats.org/officeDocument/2006/relationships/hyperlink" Target="mailto:pascal.guillet@grassavoye-asc.com" TargetMode="External"/><Relationship Id="rId44" Type="http://schemas.openxmlformats.org/officeDocument/2006/relationships/hyperlink" Target="mailto:Koenraad.Maes@belgibo.be" TargetMode="External"/><Relationship Id="rId52" Type="http://schemas.openxmlformats.org/officeDocument/2006/relationships/hyperlink" Target="mailto:info@sudeurocourtage.com" TargetMode="External"/><Relationship Id="rId60" Type="http://schemas.openxmlformats.org/officeDocument/2006/relationships/hyperlink" Target="mailto:charles.flournoy@worthaminsurance.com" TargetMode="External"/><Relationship Id="rId65" Type="http://schemas.openxmlformats.org/officeDocument/2006/relationships/hyperlink" Target="mailto:agence.maestracci@axa.fr" TargetMode="External"/><Relationship Id="rId73" Type="http://schemas.openxmlformats.org/officeDocument/2006/relationships/hyperlink" Target="mailto:christian.hudeck@wycc-insurance.com" TargetMode="External"/><Relationship Id="rId4" Type="http://schemas.openxmlformats.org/officeDocument/2006/relationships/hyperlink" Target="mailto:cannes@agence.generali.fr" TargetMode="External"/><Relationship Id="rId9" Type="http://schemas.openxmlformats.org/officeDocument/2006/relationships/hyperlink" Target="mailto:v.leonardi@g-eyssautier.com" TargetMode="External"/><Relationship Id="rId14" Type="http://schemas.openxmlformats.org/officeDocument/2006/relationships/hyperlink" Target="mailto:Jacqueline.BAYLE@april.com" TargetMode="External"/><Relationship Id="rId22" Type="http://schemas.openxmlformats.org/officeDocument/2006/relationships/hyperlink" Target="mailto:christel@naturallyyachting.com" TargetMode="External"/><Relationship Id="rId27" Type="http://schemas.openxmlformats.org/officeDocument/2006/relationships/hyperlink" Target="mailto:agence.isaia@axa.fr" TargetMode="External"/><Relationship Id="rId30" Type="http://schemas.openxmlformats.org/officeDocument/2006/relationships/hyperlink" Target="mailto:mlcordray@agence.generali.fr" TargetMode="External"/><Relationship Id="rId35" Type="http://schemas.openxmlformats.org/officeDocument/2006/relationships/hyperlink" Target="tel:%2B377%2097%2097%2044%2025" TargetMode="External"/><Relationship Id="rId43" Type="http://schemas.openxmlformats.org/officeDocument/2006/relationships/hyperlink" Target="mailto:david.fournier@mer-yacht.com" TargetMode="External"/><Relationship Id="rId48" Type="http://schemas.openxmlformats.org/officeDocument/2006/relationships/hyperlink" Target="mailto:cgros@francepandi.com" TargetMode="External"/><Relationship Id="rId56" Type="http://schemas.openxmlformats.org/officeDocument/2006/relationships/hyperlink" Target="mailto:maxence.soyer@nkfrance.com" TargetMode="External"/><Relationship Id="rId64" Type="http://schemas.openxmlformats.org/officeDocument/2006/relationships/hyperlink" Target="mailto:contact@top-charter.com" TargetMode="External"/><Relationship Id="rId69" Type="http://schemas.openxmlformats.org/officeDocument/2006/relationships/hyperlink" Target="mailto:mariechristine.peylet@axa-cs.com" TargetMode="External"/><Relationship Id="rId77" Type="http://schemas.openxmlformats.org/officeDocument/2006/relationships/hyperlink" Target="mailto:charles.croce-spinelli@asnone.ch" TargetMode="External"/><Relationship Id="rId8" Type="http://schemas.openxmlformats.org/officeDocument/2006/relationships/hyperlink" Target="mailto:rafat.faris@fenfar.gr" TargetMode="External"/><Relationship Id="rId51" Type="http://schemas.openxmlformats.org/officeDocument/2006/relationships/hyperlink" Target="mailto:contact@poggio-assurinvest.com" TargetMode="External"/><Relationship Id="rId72" Type="http://schemas.openxmlformats.org/officeDocument/2006/relationships/hyperlink" Target="mailto:martine.henry@wycc-insurance.com" TargetMode="External"/><Relationship Id="rId3" Type="http://schemas.openxmlformats.org/officeDocument/2006/relationships/hyperlink" Target="mailto:gregory.vanmeenin@jgm.fr" TargetMode="External"/><Relationship Id="rId12" Type="http://schemas.openxmlformats.org/officeDocument/2006/relationships/hyperlink" Target="mailto:st&#233;phanie@monacoequipage.com" TargetMode="External"/><Relationship Id="rId17" Type="http://schemas.openxmlformats.org/officeDocument/2006/relationships/hyperlink" Target="mailto:pascalsadouet@gmail.com" TargetMode="External"/><Relationship Id="rId25" Type="http://schemas.openxmlformats.org/officeDocument/2006/relationships/hyperlink" Target="mailto:maritime@ascoma.com" TargetMode="External"/><Relationship Id="rId33" Type="http://schemas.openxmlformats.org/officeDocument/2006/relationships/hyperlink" Target="mailto:atouati@suisscourtage.com" TargetMode="External"/><Relationship Id="rId38" Type="http://schemas.openxmlformats.org/officeDocument/2006/relationships/hyperlink" Target="mailto:emichaut@suisscourtage.mc" TargetMode="External"/><Relationship Id="rId46" Type="http://schemas.openxmlformats.org/officeDocument/2006/relationships/hyperlink" Target="mailto:m.delattre@gecarcannes.com" TargetMode="External"/><Relationship Id="rId59" Type="http://schemas.openxmlformats.org/officeDocument/2006/relationships/hyperlink" Target="mailto:agence.levaconkermali@axa.fr" TargetMode="External"/><Relationship Id="rId67" Type="http://schemas.openxmlformats.org/officeDocument/2006/relationships/hyperlink" Target="mailto:s@smithents.com" TargetMode="External"/><Relationship Id="rId20" Type="http://schemas.openxmlformats.org/officeDocument/2006/relationships/hyperlink" Target="mailto:lfadda@m1group.com" TargetMode="External"/><Relationship Id="rId41" Type="http://schemas.openxmlformats.org/officeDocument/2006/relationships/hyperlink" Target="mailto:c.gard@luxinsure.com" TargetMode="External"/><Relationship Id="rId54" Type="http://schemas.openxmlformats.org/officeDocument/2006/relationships/hyperlink" Target="mailto:inp.marine@yahoo.fr" TargetMode="External"/><Relationship Id="rId62" Type="http://schemas.openxmlformats.org/officeDocument/2006/relationships/hyperlink" Target="mailto:guillaume.grunberg@yachting-insurance.com" TargetMode="External"/><Relationship Id="rId70" Type="http://schemas.openxmlformats.org/officeDocument/2006/relationships/hyperlink" Target="mailto:christian.henry@wycc-insurance.com" TargetMode="External"/><Relationship Id="rId75" Type="http://schemas.openxmlformats.org/officeDocument/2006/relationships/hyperlink" Target="mailto:dsteckar@boatinfrance.com" TargetMode="External"/><Relationship Id="rId1" Type="http://schemas.openxmlformats.org/officeDocument/2006/relationships/hyperlink" Target="mailto:patricia.croquet@mtaic.com" TargetMode="External"/><Relationship Id="rId6" Type="http://schemas.openxmlformats.org/officeDocument/2006/relationships/hyperlink" Target="mailto:atouati@suisscourtage.com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FF0000"/>
  </sheetPr>
  <dimension ref="A1:W134"/>
  <sheetViews>
    <sheetView tabSelected="1" view="pageBreakPreview" zoomScaleSheetLayoutView="100" workbookViewId="0">
      <selection activeCell="B65" sqref="B65"/>
    </sheetView>
  </sheetViews>
  <sheetFormatPr baseColWidth="10" defaultColWidth="11.42578125" defaultRowHeight="15"/>
  <cols>
    <col min="1" max="1" width="14.42578125" customWidth="1"/>
    <col min="2" max="2" width="55.42578125" customWidth="1"/>
    <col min="3" max="3" width="14.28515625" customWidth="1"/>
    <col min="4" max="4" width="20.42578125" customWidth="1"/>
    <col min="5" max="5" width="20.140625" style="1018" customWidth="1"/>
    <col min="6" max="6" width="11.5703125" style="1018" customWidth="1"/>
    <col min="7" max="7" width="10.7109375" customWidth="1"/>
    <col min="8" max="8" width="12.85546875" style="1079" customWidth="1"/>
    <col min="9" max="9" width="12.85546875" style="1018" customWidth="1"/>
    <col min="10" max="10" width="11.140625" style="1018" customWidth="1"/>
    <col min="11" max="11" width="10" style="1018" customWidth="1"/>
    <col min="12" max="12" width="12.85546875" style="1079" customWidth="1"/>
    <col min="13" max="13" width="9.5703125" style="1018" customWidth="1"/>
    <col min="14" max="14" width="10.42578125" style="1018" customWidth="1"/>
  </cols>
  <sheetData>
    <row r="1" spans="1:16" ht="17.25" customHeight="1">
      <c r="A1" s="1055"/>
      <c r="B1" s="53"/>
      <c r="C1" s="52"/>
      <c r="D1" s="50"/>
      <c r="E1" s="50"/>
      <c r="F1" s="938"/>
      <c r="G1" s="52"/>
      <c r="H1" s="1061"/>
      <c r="I1" s="1061"/>
      <c r="J1" s="1061"/>
      <c r="K1" s="1061"/>
      <c r="L1" s="1061"/>
      <c r="M1" s="1061"/>
      <c r="N1" s="1061"/>
    </row>
    <row r="2" spans="1:16" s="815" customFormat="1" ht="27.95" customHeight="1">
      <c r="A2" s="1046" t="s">
        <v>182</v>
      </c>
      <c r="B2" s="1119" t="s">
        <v>2873</v>
      </c>
      <c r="C2" s="1058"/>
      <c r="D2" s="1075" t="s">
        <v>194</v>
      </c>
      <c r="E2" s="1335" t="s">
        <v>2982</v>
      </c>
      <c r="G2" s="938" t="s">
        <v>2710</v>
      </c>
      <c r="H2" s="1464"/>
      <c r="I2" s="1465"/>
      <c r="J2" s="1465"/>
      <c r="K2" s="1465"/>
      <c r="L2" s="1465"/>
      <c r="M2" s="1465"/>
      <c r="N2" s="1466"/>
      <c r="P2" s="1172" t="s">
        <v>2770</v>
      </c>
    </row>
    <row r="3" spans="1:16" s="1018" customFormat="1" ht="27.95" customHeight="1" thickBot="1">
      <c r="A3" s="1046" t="s">
        <v>181</v>
      </c>
      <c r="B3" s="1122"/>
      <c r="C3" s="1058"/>
      <c r="D3" s="1075" t="s">
        <v>2717</v>
      </c>
      <c r="E3" s="1336"/>
      <c r="F3" s="939"/>
      <c r="G3" s="1079"/>
      <c r="H3" s="1467"/>
      <c r="I3" s="1468"/>
      <c r="J3" s="1468"/>
      <c r="K3" s="1468"/>
      <c r="L3" s="1468"/>
      <c r="M3" s="1468"/>
      <c r="N3" s="1469"/>
      <c r="P3" s="1172" t="s">
        <v>2773</v>
      </c>
    </row>
    <row r="4" spans="1:16" s="1018" customFormat="1" ht="27.95" customHeight="1">
      <c r="A4" s="1046" t="s">
        <v>188</v>
      </c>
      <c r="B4" s="1122" t="s">
        <v>2874</v>
      </c>
      <c r="C4" s="1058"/>
      <c r="D4" s="1075" t="s">
        <v>35</v>
      </c>
      <c r="E4" s="1966">
        <v>41955</v>
      </c>
      <c r="F4" s="939"/>
      <c r="G4" s="1079"/>
      <c r="H4" s="1467"/>
      <c r="I4" s="1468"/>
      <c r="J4" s="1468"/>
      <c r="K4" s="1468"/>
      <c r="L4" s="1468"/>
      <c r="M4" s="1468"/>
      <c r="N4" s="1469"/>
    </row>
    <row r="5" spans="1:16" ht="27.95" customHeight="1">
      <c r="A5" s="1046" t="s">
        <v>184</v>
      </c>
      <c r="B5" s="55" t="s">
        <v>2563</v>
      </c>
      <c r="D5" s="1075" t="s">
        <v>185</v>
      </c>
      <c r="E5" s="1974">
        <v>43050</v>
      </c>
      <c r="F5" s="939"/>
      <c r="G5" s="1079"/>
      <c r="H5" s="1467"/>
      <c r="I5" s="1468"/>
      <c r="J5" s="1468"/>
      <c r="K5" s="1468"/>
      <c r="L5" s="1468"/>
      <c r="M5" s="1468"/>
      <c r="N5" s="1469"/>
    </row>
    <row r="6" spans="1:16" ht="27.95" customHeight="1">
      <c r="A6" s="1046" t="s">
        <v>183</v>
      </c>
      <c r="B6" s="718"/>
      <c r="C6" s="1053"/>
      <c r="D6" s="1075" t="s">
        <v>186</v>
      </c>
      <c r="E6" s="1334"/>
      <c r="F6" s="939"/>
      <c r="G6" s="1079"/>
      <c r="H6" s="1470"/>
      <c r="I6" s="1471"/>
      <c r="J6" s="1471"/>
      <c r="K6" s="1471"/>
      <c r="L6" s="1471"/>
      <c r="M6" s="1471"/>
      <c r="N6" s="1472"/>
    </row>
    <row r="7" spans="1:16" ht="27.95" customHeight="1">
      <c r="A7" s="1046" t="s">
        <v>187</v>
      </c>
      <c r="B7" s="718"/>
      <c r="C7" s="1053"/>
      <c r="D7" s="1053"/>
      <c r="E7" s="718"/>
      <c r="F7" s="939"/>
      <c r="G7" s="1079"/>
      <c r="I7" s="1079"/>
      <c r="J7" s="1079"/>
      <c r="K7" s="1079"/>
      <c r="M7" s="1079"/>
      <c r="N7" s="1079"/>
    </row>
    <row r="8" spans="1:16" s="1079" customFormat="1" ht="27.95" customHeight="1">
      <c r="A8" s="1053"/>
      <c r="B8" s="1123" t="s">
        <v>2733</v>
      </c>
      <c r="C8" s="1485" t="s">
        <v>2734</v>
      </c>
      <c r="D8" s="1486"/>
      <c r="E8" s="1486"/>
      <c r="F8" s="1486"/>
      <c r="G8" s="1487"/>
      <c r="H8" s="1198" t="s">
        <v>215</v>
      </c>
      <c r="I8" s="1485" t="s">
        <v>2709</v>
      </c>
      <c r="J8" s="1486"/>
      <c r="K8" s="1487"/>
      <c r="L8" s="1477" t="s">
        <v>2203</v>
      </c>
      <c r="M8" s="1477"/>
    </row>
    <row r="9" spans="1:16" s="1079" customFormat="1" ht="27.95" customHeight="1">
      <c r="A9" s="54" t="s">
        <v>189</v>
      </c>
      <c r="B9" s="1222" t="s">
        <v>2995</v>
      </c>
      <c r="C9" s="1489" t="s">
        <v>2996</v>
      </c>
      <c r="D9" s="1489"/>
      <c r="E9" s="1489"/>
      <c r="F9" s="1489"/>
      <c r="G9" s="1489"/>
      <c r="H9" s="1418" t="s">
        <v>2997</v>
      </c>
      <c r="I9" s="1478" t="s">
        <v>2998</v>
      </c>
      <c r="J9" s="1478"/>
      <c r="K9" s="1478"/>
      <c r="L9" s="1478" t="s">
        <v>1543</v>
      </c>
      <c r="M9" s="1479"/>
    </row>
    <row r="10" spans="1:16" s="1079" customFormat="1" ht="27.95" customHeight="1">
      <c r="A10" s="54" t="s">
        <v>190</v>
      </c>
      <c r="B10" s="1054"/>
      <c r="C10" s="1484"/>
      <c r="D10" s="1484"/>
      <c r="E10" s="1484"/>
      <c r="F10" s="1484"/>
      <c r="G10" s="1484"/>
      <c r="H10" s="1223"/>
      <c r="I10" s="1484"/>
      <c r="J10" s="1484"/>
      <c r="K10" s="1484"/>
      <c r="L10" s="1480"/>
      <c r="M10" s="1481"/>
    </row>
    <row r="11" spans="1:16" s="1079" customFormat="1" ht="39.950000000000003" customHeight="1">
      <c r="A11" s="54" t="s">
        <v>192</v>
      </c>
      <c r="B11" s="1056"/>
      <c r="C11" s="1488" t="str">
        <f>APPORTEURS!H1</f>
        <v>Centre Mercure -Avenue de la Gare, 41</v>
      </c>
      <c r="D11" s="1488"/>
      <c r="E11" s="1488"/>
      <c r="F11" s="1488"/>
      <c r="G11" s="1488"/>
      <c r="H11" s="1220" t="str">
        <f>APPORTEURS!I1</f>
        <v>L-1611</v>
      </c>
      <c r="I11" s="1488" t="str">
        <f>APPORTEURS!J1</f>
        <v>Luxembourg</v>
      </c>
      <c r="J11" s="1488"/>
      <c r="K11" s="1488"/>
      <c r="L11" s="1482" t="str">
        <f>APPORTEURS!K1</f>
        <v>LUXEMBOURG</v>
      </c>
      <c r="M11" s="1483"/>
    </row>
    <row r="12" spans="1:16" s="1079" customFormat="1" ht="39.950000000000003" customHeight="1">
      <c r="A12" s="54" t="s">
        <v>193</v>
      </c>
      <c r="B12" s="1056"/>
      <c r="C12" s="1484" t="str">
        <f>APPORTEURS!H2</f>
        <v>Rua Nova do Pina, n.º 4-B</v>
      </c>
      <c r="D12" s="1484"/>
      <c r="E12" s="1484"/>
      <c r="F12" s="1484"/>
      <c r="G12" s="1484"/>
      <c r="H12" s="1223" t="str">
        <f>APPORTEURS!I2</f>
        <v xml:space="preserve">P-9000 - 068 </v>
      </c>
      <c r="I12" s="1484" t="str">
        <f>APPORTEURS!J2</f>
        <v>FUNCHAL, MADEIRA</v>
      </c>
      <c r="J12" s="1484"/>
      <c r="K12" s="1484"/>
      <c r="L12" s="1480" t="str">
        <f>APPORTEURS!K2</f>
        <v>Portugal</v>
      </c>
      <c r="M12" s="1481"/>
    </row>
    <row r="13" spans="1:16" s="1018" customFormat="1" ht="39.950000000000003" customHeight="1">
      <c r="A13" s="1047"/>
      <c r="B13" s="1056"/>
      <c r="C13" s="1454" t="str">
        <f>USER!M1</f>
        <v>(00352) 27 44 54-13</v>
      </c>
      <c r="D13" s="1454"/>
      <c r="E13" s="1454"/>
      <c r="F13" s="1454"/>
      <c r="G13" s="1452" t="str">
        <f>USER!J1</f>
        <v>martine.henry@wycc-insurance.com</v>
      </c>
      <c r="H13" s="1452"/>
      <c r="I13" s="1452"/>
      <c r="J13" s="1452"/>
      <c r="K13" s="1452"/>
      <c r="L13" s="1473" t="str">
        <f>USER!K1</f>
        <v>mamathjade</v>
      </c>
      <c r="M13" s="1474"/>
      <c r="N13" s="1079"/>
    </row>
    <row r="14" spans="1:16" s="1018" customFormat="1" ht="39.950000000000003" customHeight="1">
      <c r="A14" s="1047"/>
      <c r="B14" s="1057"/>
      <c r="C14" s="1455">
        <f>USER!M2</f>
        <v>0</v>
      </c>
      <c r="D14" s="1455"/>
      <c r="E14" s="1455"/>
      <c r="F14" s="1455"/>
      <c r="G14" s="1453">
        <f>USER!J2</f>
        <v>0</v>
      </c>
      <c r="H14" s="1453"/>
      <c r="I14" s="1453"/>
      <c r="J14" s="1453"/>
      <c r="K14" s="1453"/>
      <c r="L14" s="1475">
        <f>USER!K2</f>
        <v>0</v>
      </c>
      <c r="M14" s="1476"/>
      <c r="N14" s="1079"/>
    </row>
    <row r="15" spans="1:16" s="1018" customFormat="1" ht="27.95" customHeight="1">
      <c r="A15" s="1080"/>
      <c r="B15" s="526"/>
      <c r="C15" s="526"/>
      <c r="D15" s="526"/>
      <c r="E15" s="526"/>
      <c r="F15" s="526"/>
      <c r="G15" s="1081"/>
      <c r="H15" s="1096"/>
      <c r="I15" s="938"/>
      <c r="J15" s="938"/>
      <c r="K15" s="938"/>
      <c r="L15" s="938"/>
      <c r="M15" s="1096"/>
      <c r="N15" s="1096"/>
    </row>
    <row r="16" spans="1:16" s="1018" customFormat="1" ht="27.95" customHeight="1" thickBot="1">
      <c r="A16" s="1451" t="s">
        <v>2735</v>
      </c>
      <c r="B16" s="1451"/>
      <c r="C16" s="1451"/>
      <c r="D16" s="1451"/>
      <c r="E16" s="1451"/>
      <c r="F16" s="1451"/>
      <c r="G16" s="1061"/>
      <c r="H16" s="1492" t="s">
        <v>2711</v>
      </c>
      <c r="I16" s="1492"/>
      <c r="J16" s="1492"/>
      <c r="K16" s="1492"/>
      <c r="L16" s="1492"/>
      <c r="M16" s="1492"/>
      <c r="N16" s="1492"/>
    </row>
    <row r="17" spans="1:16" s="1018" customFormat="1" ht="27.95" customHeight="1">
      <c r="A17" s="1129" t="str">
        <f>HISTORY!G6</f>
        <v>L2022479</v>
      </c>
      <c r="B17" s="1505" t="str">
        <f>HISTORY!H6</f>
        <v>Perfect for All Crew members, except day workers</v>
      </c>
      <c r="C17" s="1505"/>
      <c r="D17" s="1505"/>
      <c r="E17" s="1214"/>
      <c r="F17" s="1215"/>
      <c r="G17" s="1435">
        <v>0</v>
      </c>
      <c r="H17" s="1436">
        <v>41955</v>
      </c>
      <c r="I17" s="1493"/>
      <c r="J17" s="1494"/>
      <c r="K17" s="1494"/>
      <c r="L17" s="1494"/>
      <c r="M17" s="1494"/>
      <c r="N17" s="1495"/>
    </row>
    <row r="18" spans="1:16" s="1018" customFormat="1" ht="27.95" customHeight="1">
      <c r="A18" s="1130" t="str">
        <f>HISTORY!G7</f>
        <v/>
      </c>
      <c r="B18" s="1463" t="str">
        <f>HISTORY!H7</f>
        <v/>
      </c>
      <c r="C18" s="1463"/>
      <c r="D18" s="1463"/>
      <c r="E18" s="1216"/>
      <c r="F18" s="1217"/>
      <c r="G18" s="1435">
        <v>1</v>
      </c>
      <c r="H18" s="1434">
        <v>42167</v>
      </c>
      <c r="I18" s="1456"/>
      <c r="J18" s="1457"/>
      <c r="K18" s="1457"/>
      <c r="L18" s="1457"/>
      <c r="M18" s="1457"/>
      <c r="N18" s="1458"/>
    </row>
    <row r="19" spans="1:16" s="1018" customFormat="1" ht="27.95" customHeight="1">
      <c r="A19" s="1130">
        <f>HISTORY!G8</f>
        <v>140494</v>
      </c>
      <c r="B19" s="1463" t="str">
        <f>HISTORY!H8</f>
        <v>Medical Excellent and Homeland for Day Workers</v>
      </c>
      <c r="C19" s="1463"/>
      <c r="D19" s="1463"/>
      <c r="E19" s="1216"/>
      <c r="F19" s="1217"/>
      <c r="G19" s="1435">
        <v>1</v>
      </c>
      <c r="H19" s="1434">
        <v>42686</v>
      </c>
      <c r="I19" s="1457" t="s">
        <v>2639</v>
      </c>
      <c r="J19" s="1457"/>
      <c r="K19" s="1457"/>
      <c r="L19" s="1457"/>
      <c r="M19" s="1457"/>
      <c r="N19" s="1458"/>
    </row>
    <row r="20" spans="1:16" s="1018" customFormat="1" ht="27.95" customHeight="1">
      <c r="A20" s="1130" t="str">
        <f>HISTORY!G9</f>
        <v/>
      </c>
      <c r="B20" s="1463" t="str">
        <f>HISTORY!H9</f>
        <v/>
      </c>
      <c r="C20" s="1463"/>
      <c r="D20" s="1463"/>
      <c r="E20" s="1216"/>
      <c r="F20" s="1217"/>
      <c r="G20" s="939"/>
      <c r="H20" s="1348"/>
      <c r="I20" s="1457"/>
      <c r="J20" s="1457"/>
      <c r="K20" s="1457"/>
      <c r="L20" s="1457"/>
      <c r="M20" s="1457"/>
      <c r="N20" s="1458"/>
    </row>
    <row r="21" spans="1:16" s="1018" customFormat="1" ht="27.95" customHeight="1">
      <c r="A21" s="1130" t="str">
        <f>HISTORY!G10</f>
        <v/>
      </c>
      <c r="B21" s="1463" t="str">
        <f>HISTORY!H10</f>
        <v/>
      </c>
      <c r="C21" s="1463"/>
      <c r="D21" s="1463"/>
      <c r="E21" s="1216"/>
      <c r="F21" s="1217"/>
      <c r="G21" s="939"/>
      <c r="H21" s="1120"/>
      <c r="I21" s="1459"/>
      <c r="J21" s="1459"/>
      <c r="K21" s="1459"/>
      <c r="L21" s="1459"/>
      <c r="M21" s="1459"/>
      <c r="N21" s="1460"/>
    </row>
    <row r="22" spans="1:16" s="1018" customFormat="1" ht="45.75" customHeight="1">
      <c r="A22" s="1130">
        <f>HISTORY!G11</f>
        <v>240322</v>
      </c>
      <c r="B22" s="1463" t="str">
        <f>HISTORY!H11</f>
        <v>Formula 3: LOL&amp;PTD 300% annual salary  , 100% annual salary   for All Crew members, except day workers</v>
      </c>
      <c r="C22" s="1463"/>
      <c r="D22" s="1463"/>
      <c r="E22" s="1216"/>
      <c r="F22" s="1217"/>
      <c r="G22" s="939"/>
      <c r="H22" s="1120"/>
      <c r="I22" s="1459"/>
      <c r="J22" s="1459"/>
      <c r="K22" s="1459"/>
      <c r="L22" s="1459"/>
      <c r="M22" s="1459"/>
      <c r="N22" s="1460"/>
    </row>
    <row r="23" spans="1:16" s="1018" customFormat="1" ht="35.25" customHeight="1">
      <c r="A23" s="1130" t="str">
        <f>HISTORY!G12</f>
        <v/>
      </c>
      <c r="B23" s="1503" t="str">
        <f>HISTORY!H12</f>
        <v/>
      </c>
      <c r="C23" s="1503"/>
      <c r="D23" s="1503"/>
      <c r="E23" s="1216"/>
      <c r="F23" s="1217"/>
      <c r="G23" s="939"/>
      <c r="H23" s="1120"/>
      <c r="I23" s="1459"/>
      <c r="J23" s="1459"/>
      <c r="K23" s="1459"/>
      <c r="L23" s="1459"/>
      <c r="M23" s="1459"/>
      <c r="N23" s="1460"/>
    </row>
    <row r="24" spans="1:16" s="1018" customFormat="1" ht="27.95" customHeight="1">
      <c r="A24" s="1131">
        <f>HISTORY!G13</f>
        <v>140494</v>
      </c>
      <c r="B24" s="1504" t="str">
        <f>HISTORY!H13</f>
        <v>Formula Day Worker: LOL&amp;PTD 50000 EUR ,  for Day Workers</v>
      </c>
      <c r="C24" s="1504"/>
      <c r="D24" s="1504"/>
      <c r="E24" s="1218"/>
      <c r="F24" s="1219"/>
      <c r="G24" s="939"/>
      <c r="H24" s="1121"/>
      <c r="I24" s="1499"/>
      <c r="J24" s="1499"/>
      <c r="K24" s="1499"/>
      <c r="L24" s="1499"/>
      <c r="M24" s="1499"/>
      <c r="N24" s="1500"/>
    </row>
    <row r="25" spans="1:16" s="1018" customFormat="1" ht="26.25" customHeight="1" thickBot="1">
      <c r="A25" s="1052"/>
      <c r="B25" s="718"/>
      <c r="C25" s="1053"/>
      <c r="D25" s="718"/>
      <c r="E25" s="718"/>
      <c r="F25" s="1060"/>
      <c r="G25" s="1049"/>
      <c r="H25" s="1049"/>
      <c r="I25" s="1049"/>
      <c r="J25" s="1049"/>
      <c r="K25" s="1049"/>
      <c r="L25" s="1049"/>
      <c r="M25" s="1049"/>
      <c r="N25" s="1049"/>
    </row>
    <row r="26" spans="1:16" ht="36.75" customHeight="1">
      <c r="A26" s="1270"/>
      <c r="B26" s="1271" t="str">
        <f>YACHTNAME</f>
        <v xml:space="preserve">HUTIANE            </v>
      </c>
      <c r="C26" s="1272"/>
      <c r="D26" s="1308" t="s">
        <v>2174</v>
      </c>
      <c r="E26" s="1308" t="s">
        <v>2721</v>
      </c>
      <c r="F26" s="1308" t="s">
        <v>2736</v>
      </c>
      <c r="G26" s="1308" t="s">
        <v>2737</v>
      </c>
      <c r="H26" s="1308" t="s">
        <v>2765</v>
      </c>
      <c r="I26" s="1308" t="s">
        <v>2766</v>
      </c>
      <c r="J26" s="1305" t="s">
        <v>2767</v>
      </c>
      <c r="K26" s="1319" t="s">
        <v>2601</v>
      </c>
      <c r="L26" s="1273" t="s">
        <v>2170</v>
      </c>
      <c r="M26" s="1274" t="s">
        <v>27</v>
      </c>
      <c r="N26" s="1275" t="s">
        <v>2143</v>
      </c>
    </row>
    <row r="27" spans="1:16" s="1079" customFormat="1" ht="27.95" customHeight="1">
      <c r="A27" s="1276" t="s">
        <v>2722</v>
      </c>
      <c r="B27" s="1048"/>
      <c r="C27" s="1048"/>
      <c r="D27" s="1312">
        <v>42675</v>
      </c>
      <c r="E27" s="1306">
        <v>43039</v>
      </c>
      <c r="F27" s="1311">
        <f>DATEDIF(D27,E27,"M")+1</f>
        <v>12</v>
      </c>
      <c r="G27" s="1313">
        <f>IF((DATEDIF(D27,E27,"D")+1)&gt;365,365,DATEDIF(D27,E27,"D")+1)</f>
        <v>365</v>
      </c>
      <c r="H27" s="1081"/>
      <c r="I27" s="1081"/>
      <c r="J27" s="1330"/>
      <c r="L27" s="1049" t="s">
        <v>2006</v>
      </c>
      <c r="M27" s="1310">
        <f>(M64+M89+M115)</f>
        <v>2711.5384615384614</v>
      </c>
      <c r="N27" s="1310">
        <f>(N64+N89+N115)</f>
        <v>2884</v>
      </c>
    </row>
    <row r="28" spans="1:16" s="1079" customFormat="1" ht="27.95" customHeight="1">
      <c r="A28" s="1276" t="s">
        <v>2553</v>
      </c>
      <c r="B28" s="1048"/>
      <c r="C28" s="1158" t="s">
        <v>2763</v>
      </c>
      <c r="D28" s="1221">
        <f>IF(E28=0%,1,(1+E28))</f>
        <v>1.04</v>
      </c>
      <c r="E28" s="1118">
        <v>0.04</v>
      </c>
      <c r="F28" s="1145">
        <f>MAXMONTHS</f>
        <v>12</v>
      </c>
      <c r="G28" s="1264">
        <f>MAXDAYS</f>
        <v>365</v>
      </c>
      <c r="H28" s="1081"/>
      <c r="I28" s="1081"/>
      <c r="J28" s="1319"/>
      <c r="L28" s="1049" t="s">
        <v>2822</v>
      </c>
      <c r="M28" s="1310">
        <f>M46+M50</f>
        <v>0</v>
      </c>
      <c r="N28" s="1310">
        <f>N46+N50</f>
        <v>0</v>
      </c>
      <c r="P28" s="1079" t="s">
        <v>2764</v>
      </c>
    </row>
    <row r="29" spans="1:16" s="1079" customFormat="1" ht="27.95" customHeight="1">
      <c r="A29" s="1276"/>
      <c r="B29" s="1048"/>
      <c r="C29" s="1088"/>
      <c r="D29" s="1277" t="s">
        <v>2762</v>
      </c>
      <c r="E29" s="1278"/>
      <c r="F29" s="1279">
        <f>Cotations!N11</f>
        <v>24</v>
      </c>
      <c r="G29" s="1265">
        <f>Cotations!P11</f>
        <v>730</v>
      </c>
      <c r="H29" s="1081"/>
      <c r="I29" s="1081"/>
      <c r="J29" s="1304">
        <f>Calcul!AA10</f>
        <v>120000</v>
      </c>
      <c r="L29" s="1049" t="s">
        <v>2556</v>
      </c>
      <c r="M29" s="1310">
        <f>M73+M99+M125</f>
        <v>3835.3655172413792</v>
      </c>
      <c r="N29" s="1310">
        <f>N73+N99+N125</f>
        <v>3988.780137931034</v>
      </c>
      <c r="P29" s="1157">
        <f>Cotations!V11</f>
        <v>7938.903172413794</v>
      </c>
    </row>
    <row r="30" spans="1:16" s="1079" customFormat="1" ht="27.95" customHeight="1">
      <c r="A30" s="1276"/>
      <c r="B30" s="1080"/>
      <c r="C30" s="1280" t="s">
        <v>2763</v>
      </c>
      <c r="D30" s="819"/>
      <c r="E30" s="1281" t="s">
        <v>1981</v>
      </c>
      <c r="F30" s="1145">
        <f>SUMIF(Cotations!$U$15:$U$120,Admin!E30,Cotations!$N$15:$N$120)</f>
        <v>24</v>
      </c>
      <c r="G30" s="1264">
        <f>SUMIF(Cotations!$U$15:$U$120,Admin!E30,Cotations!$P$15:$P$120)</f>
        <v>730</v>
      </c>
      <c r="H30" s="1081"/>
      <c r="I30" s="1081"/>
      <c r="J30" s="1304">
        <f>SUMIF(Cotations!$U$15:$U$120,Admin!E30,Calcul!$AA$15:$AA$120)</f>
        <v>120000</v>
      </c>
      <c r="K30" s="1304">
        <f>SUMIF(Cotations!$U$15:$U$120,Admin!E30,Calcul!$AG$15:$AG$120)</f>
        <v>120000</v>
      </c>
      <c r="L30" s="1049" t="s">
        <v>199</v>
      </c>
      <c r="M30" s="1310">
        <f>M77+M103+M129</f>
        <v>2919.7241379310349</v>
      </c>
      <c r="N30" s="1310">
        <f>N77+N103+N129</f>
        <v>3036.5131034482765</v>
      </c>
    </row>
    <row r="31" spans="1:16" s="1082" customFormat="1" ht="27.95" customHeight="1">
      <c r="A31" s="1282"/>
      <c r="B31" s="1081"/>
      <c r="C31" s="1280" t="s">
        <v>2763</v>
      </c>
      <c r="D31" s="1328"/>
      <c r="E31" s="1281" t="s">
        <v>1984</v>
      </c>
      <c r="F31" s="1145">
        <f>SUMIF(Cotations!$U$15:$U$120,Admin!E31,Cotations!$N$15:$N$120)</f>
        <v>0</v>
      </c>
      <c r="G31" s="1264">
        <f>SUMIF(Cotations!$U$15:$U$120,Admin!E31,Cotations!$P$15:$P$120)</f>
        <v>0</v>
      </c>
      <c r="H31" s="1081"/>
      <c r="I31" s="1081"/>
      <c r="J31" s="1304">
        <f>SUMIF(Cotations!$U$15:$U$120,Admin!E31,Calcul!$AA$15:$AA$120)</f>
        <v>0</v>
      </c>
      <c r="K31" s="1304">
        <f>SUMIF(Cotations!$U$15:$U$120,Admin!E31,Calcul!$AG$15:$AG$120)</f>
        <v>0</v>
      </c>
      <c r="L31" s="1049" t="s">
        <v>1</v>
      </c>
      <c r="M31" s="1049"/>
      <c r="N31" s="1314">
        <f>D57+D82+D108</f>
        <v>24</v>
      </c>
    </row>
    <row r="32" spans="1:16" s="1082" customFormat="1" ht="27.95" customHeight="1">
      <c r="A32" s="1282"/>
      <c r="B32" s="231"/>
      <c r="C32" s="1117"/>
      <c r="D32" s="1081"/>
      <c r="E32" s="1281" t="s">
        <v>2839</v>
      </c>
      <c r="F32" s="1145">
        <f>SUMIF(Cotations!$U$15:$U$120,Admin!E32,Cotations!$N$15:$N$120)</f>
        <v>0</v>
      </c>
      <c r="G32" s="1264">
        <f>SUMIF(Cotations!$U$15:$U$120,Admin!E32,Cotations!$P$15:$P$120)</f>
        <v>0</v>
      </c>
      <c r="H32" s="1081"/>
      <c r="I32" s="1067"/>
      <c r="J32" s="1304">
        <f>SUMIF(Cotations!$U$15:$U$120,Admin!E32,Calcul!$AA$15:$AA$120)</f>
        <v>0</v>
      </c>
      <c r="K32" s="1304">
        <f>SUMIF(Cotations!$U$15:$U$120,Admin!E32,Calcul!$AG$15:$AG$120)</f>
        <v>0</v>
      </c>
      <c r="L32" s="1049"/>
      <c r="M32" s="1309">
        <f>SUM(M27:M30)</f>
        <v>9466.6281167108755</v>
      </c>
      <c r="N32" s="1309">
        <f>SUM(N27:N30)+N31</f>
        <v>9933.2932413793096</v>
      </c>
    </row>
    <row r="33" spans="1:14" s="1082" customFormat="1" ht="27.95" customHeight="1">
      <c r="A33" s="1282"/>
      <c r="B33" s="231"/>
      <c r="C33" s="1117"/>
      <c r="D33" s="1081"/>
      <c r="E33" s="1088"/>
      <c r="F33" s="1169"/>
      <c r="G33" s="1169"/>
      <c r="H33" s="1081"/>
      <c r="I33" s="1067"/>
      <c r="J33" s="1081"/>
      <c r="K33" s="1081"/>
      <c r="L33" s="1049"/>
    </row>
    <row r="34" spans="1:14" s="1082" customFormat="1" ht="27.95" customHeight="1">
      <c r="A34" s="1282"/>
      <c r="B34" s="231"/>
      <c r="C34" s="1117"/>
      <c r="D34" s="1081"/>
      <c r="E34" s="1088"/>
      <c r="F34" s="1169"/>
      <c r="G34" s="1169"/>
      <c r="H34" s="1081"/>
      <c r="I34" s="1067"/>
      <c r="J34" s="1081"/>
      <c r="K34" s="1081"/>
      <c r="L34" s="1049"/>
    </row>
    <row r="35" spans="1:14" s="1082" customFormat="1" ht="27.95" customHeight="1">
      <c r="A35" s="1282"/>
      <c r="B35" s="231"/>
      <c r="C35" s="1117"/>
      <c r="D35" s="1081"/>
      <c r="E35" s="1088"/>
      <c r="F35" s="1169"/>
      <c r="G35" s="1169"/>
      <c r="H35" s="1081"/>
      <c r="I35" s="1067"/>
      <c r="J35" s="1081"/>
      <c r="K35" s="1081"/>
      <c r="L35" s="1049"/>
      <c r="M35" s="1049"/>
      <c r="N35" s="418"/>
    </row>
    <row r="36" spans="1:14" s="1082" customFormat="1" ht="27.95" customHeight="1">
      <c r="A36" s="1282"/>
      <c r="B36" s="231"/>
      <c r="C36" s="1117"/>
      <c r="D36" s="1081"/>
      <c r="E36" s="1088"/>
      <c r="F36" s="1169"/>
      <c r="G36" s="1169"/>
      <c r="H36" s="1081"/>
      <c r="I36" s="1067"/>
      <c r="J36" s="1081"/>
      <c r="K36" s="1081"/>
      <c r="L36" s="1049"/>
      <c r="M36" s="1049"/>
      <c r="N36" s="418"/>
    </row>
    <row r="37" spans="1:14" s="1082" customFormat="1" ht="27.95" customHeight="1">
      <c r="A37" s="1282"/>
      <c r="B37" s="231"/>
      <c r="C37" s="1117"/>
      <c r="D37" s="1081"/>
      <c r="E37" s="1088"/>
      <c r="F37" s="1169"/>
      <c r="G37" s="1169"/>
      <c r="H37" s="1081"/>
      <c r="I37" s="1049"/>
      <c r="J37" s="1081"/>
      <c r="K37" s="1081"/>
      <c r="L37" s="1049"/>
      <c r="M37" s="1049"/>
      <c r="N37" s="418"/>
    </row>
    <row r="38" spans="1:14" s="1082" customFormat="1" ht="27.95" customHeight="1">
      <c r="A38" s="1282"/>
      <c r="B38" s="231"/>
      <c r="C38" s="1117"/>
      <c r="D38" s="1201"/>
      <c r="E38" s="1088"/>
      <c r="F38" s="1169"/>
      <c r="G38" s="1169"/>
      <c r="H38" s="1081"/>
      <c r="I38" s="1049"/>
      <c r="J38" s="1081"/>
      <c r="K38" s="1081"/>
      <c r="L38" s="1049"/>
      <c r="M38" s="1049"/>
      <c r="N38" s="418"/>
    </row>
    <row r="39" spans="1:14" s="1082" customFormat="1" ht="27.95" customHeight="1" thickBot="1">
      <c r="A39" s="1283"/>
      <c r="B39" s="1284"/>
      <c r="C39" s="1285"/>
      <c r="D39" s="1286"/>
      <c r="E39" s="1287"/>
      <c r="F39" s="1288"/>
      <c r="G39" s="1288"/>
      <c r="H39" s="1289"/>
      <c r="I39" s="1289"/>
      <c r="J39" s="1290"/>
      <c r="K39" s="1290"/>
      <c r="L39" s="1289"/>
      <c r="M39" s="1289"/>
      <c r="N39" s="1291"/>
    </row>
    <row r="40" spans="1:14" ht="27.95" customHeight="1">
      <c r="A40" s="1266"/>
      <c r="B40" s="1267"/>
      <c r="C40" s="1268" t="s">
        <v>2771</v>
      </c>
      <c r="D40" s="1268"/>
      <c r="E40" s="1268"/>
      <c r="F40" s="1268"/>
      <c r="G40" s="1268"/>
      <c r="H40" s="1268"/>
      <c r="I40" s="1268"/>
      <c r="J40" s="1268"/>
      <c r="K40" s="1268"/>
      <c r="L40" s="1268"/>
      <c r="M40" s="1268"/>
      <c r="N40" s="1269"/>
    </row>
    <row r="41" spans="1:14" s="1159" customFormat="1" ht="27.95" customHeight="1">
      <c r="A41" s="1510" t="s">
        <v>2812</v>
      </c>
      <c r="B41" s="1175"/>
      <c r="C41" s="1501" t="s">
        <v>2729</v>
      </c>
      <c r="D41" s="1502"/>
      <c r="E41" s="1173"/>
      <c r="F41" s="1173"/>
      <c r="G41" s="1173"/>
      <c r="H41" s="1173"/>
      <c r="I41" s="1173"/>
      <c r="J41" s="1173"/>
      <c r="K41" s="1173"/>
      <c r="L41" s="1173"/>
      <c r="M41" s="1173"/>
      <c r="N41" s="1174"/>
    </row>
    <row r="42" spans="1:14" s="1159" customFormat="1" ht="27.95" customHeight="1">
      <c r="A42" s="1511"/>
      <c r="B42" s="1175"/>
      <c r="C42" s="1059" t="s">
        <v>2715</v>
      </c>
      <c r="D42" s="1092">
        <f>G29</f>
        <v>730</v>
      </c>
      <c r="E42" s="1173"/>
      <c r="F42" s="1173"/>
      <c r="G42" s="1173"/>
      <c r="H42" s="1173"/>
      <c r="I42" s="1173"/>
      <c r="J42" s="1173"/>
      <c r="K42" s="1173"/>
      <c r="L42" s="1173"/>
      <c r="M42" s="1173"/>
      <c r="N42" s="1174"/>
    </row>
    <row r="43" spans="1:14" s="1159" customFormat="1" ht="27.95" customHeight="1">
      <c r="A43" s="1512"/>
      <c r="B43" s="1175"/>
      <c r="C43" s="1059" t="s">
        <v>2716</v>
      </c>
      <c r="D43" s="1092">
        <f>F29</f>
        <v>24</v>
      </c>
      <c r="E43" s="1207"/>
      <c r="F43" s="1207"/>
      <c r="G43" s="1207"/>
      <c r="H43" s="1173"/>
      <c r="I43" s="1173"/>
      <c r="J43" s="1173"/>
      <c r="K43" s="1173"/>
      <c r="L43" s="1173"/>
      <c r="M43" s="1173"/>
      <c r="N43" s="1174"/>
    </row>
    <row r="44" spans="1:14" s="1099" customFormat="1" ht="40.5" customHeight="1">
      <c r="A44" s="1097" t="s">
        <v>2712</v>
      </c>
      <c r="B44" s="1098" t="s">
        <v>195</v>
      </c>
      <c r="C44" s="1497" t="s">
        <v>2719</v>
      </c>
      <c r="D44" s="1498"/>
      <c r="E44" s="1198" t="s">
        <v>2732</v>
      </c>
      <c r="F44" s="1198" t="s">
        <v>2731</v>
      </c>
      <c r="G44" s="1198" t="s">
        <v>2718</v>
      </c>
      <c r="H44" s="1212" t="s">
        <v>2257</v>
      </c>
      <c r="I44" s="1198" t="s">
        <v>2714</v>
      </c>
      <c r="J44" s="1162" t="s">
        <v>2284</v>
      </c>
      <c r="K44" s="1162" t="s">
        <v>2713</v>
      </c>
      <c r="L44" s="1162" t="s">
        <v>2728</v>
      </c>
      <c r="M44" s="1162" t="s">
        <v>27</v>
      </c>
      <c r="N44" s="1162" t="s">
        <v>2143</v>
      </c>
    </row>
    <row r="45" spans="1:14" s="1018" customFormat="1" ht="27.95" customHeight="1">
      <c r="A45" s="1462"/>
      <c r="B45" s="1072" t="s">
        <v>2236</v>
      </c>
      <c r="C45" s="1059" t="s">
        <v>34</v>
      </c>
      <c r="D45" s="1203" t="str">
        <f>INDEX(colCurrency,MATCH(B63,colchoice,0))</f>
        <v>EUR</v>
      </c>
      <c r="E45" s="938"/>
      <c r="F45" s="1208"/>
      <c r="G45" s="1208"/>
      <c r="H45" s="1076"/>
      <c r="I45" s="1078">
        <f>IF(B45="N/A",0,INDEX(colRatesHT,MATCH(B45,colchoice,0)))</f>
        <v>0</v>
      </c>
      <c r="J45" s="1078">
        <f>(I45*(1-$D$48))</f>
        <v>0</v>
      </c>
      <c r="K45" s="1091">
        <v>0</v>
      </c>
      <c r="L45" s="1110">
        <f>IF($D$46="monthly",K45/12*$D$43,K45/365*$D$42)</f>
        <v>0</v>
      </c>
      <c r="M45" s="1091">
        <f>IF($D$46="monthly",J45/12*D43,J45/365*D42)</f>
        <v>0</v>
      </c>
      <c r="N45" s="1091">
        <f>(M45*TAXE)+(L45)</f>
        <v>0</v>
      </c>
    </row>
    <row r="46" spans="1:14" s="1079" customFormat="1" ht="27.95" customHeight="1">
      <c r="A46" s="1462"/>
      <c r="B46" s="1045"/>
      <c r="C46" s="1059" t="s">
        <v>2242</v>
      </c>
      <c r="D46" s="1204" t="s">
        <v>2277</v>
      </c>
      <c r="E46" s="938"/>
      <c r="F46" s="1208"/>
      <c r="G46" s="1208"/>
      <c r="H46" s="1076"/>
      <c r="I46" s="1076"/>
      <c r="J46" s="1093"/>
      <c r="K46" s="1093"/>
      <c r="L46" s="1093"/>
      <c r="M46" s="1094">
        <f>M45</f>
        <v>0</v>
      </c>
      <c r="N46" s="1094">
        <f>N45</f>
        <v>0</v>
      </c>
    </row>
    <row r="47" spans="1:14" s="1079" customFormat="1" ht="27.95" customHeight="1">
      <c r="A47" s="1462"/>
      <c r="B47" s="1045"/>
      <c r="C47" s="1176" t="s">
        <v>2371</v>
      </c>
      <c r="D47" s="1205" t="s">
        <v>2236</v>
      </c>
      <c r="E47" s="938"/>
      <c r="F47" s="1208"/>
      <c r="G47" s="1208"/>
      <c r="H47" s="1080"/>
      <c r="I47" s="1080"/>
      <c r="J47" s="1080"/>
      <c r="K47" s="1080"/>
      <c r="L47" s="1080"/>
      <c r="M47" s="1080"/>
    </row>
    <row r="48" spans="1:14" s="1079" customFormat="1" ht="27.95" customHeight="1">
      <c r="A48" s="1060"/>
      <c r="B48" s="1045"/>
      <c r="C48" s="1097" t="s">
        <v>2580</v>
      </c>
      <c r="D48" s="1206">
        <v>0</v>
      </c>
      <c r="E48" s="938"/>
      <c r="F48" s="1208"/>
      <c r="G48" s="1208"/>
      <c r="H48" s="1080"/>
      <c r="I48" s="1080"/>
      <c r="J48" s="1080"/>
      <c r="K48" s="1080"/>
      <c r="L48" s="1080"/>
    </row>
    <row r="49" spans="1:14" ht="27.95" customHeight="1">
      <c r="A49" s="1462"/>
      <c r="B49" s="1072" t="s">
        <v>2236</v>
      </c>
      <c r="C49" s="1059" t="s">
        <v>34</v>
      </c>
      <c r="D49" s="1203" t="str">
        <f>INDEX(colCurrency,MATCH(B70,colchoice,0))</f>
        <v>EUR</v>
      </c>
      <c r="E49" s="938"/>
      <c r="F49" s="1208"/>
      <c r="G49" s="1208"/>
      <c r="H49" s="1076"/>
      <c r="I49" s="1078">
        <f>IF(B49="N/A",0,INDEX(colRatesHT,MATCH(B49,colchoice,0)))</f>
        <v>0</v>
      </c>
      <c r="J49" s="1078">
        <f>(I49*(1-$D$52))</f>
        <v>0</v>
      </c>
      <c r="K49" s="1091">
        <v>0</v>
      </c>
      <c r="L49" s="1110">
        <f>IF(D50="monthly",K49/12*D43,K49/365*D42)</f>
        <v>0</v>
      </c>
      <c r="M49" s="1091">
        <f>IF($D$50="monthly",J49/12*D43,J49/365*D42)</f>
        <v>0</v>
      </c>
      <c r="N49" s="1091">
        <f>(M49*TAXE)+(L49)</f>
        <v>0</v>
      </c>
    </row>
    <row r="50" spans="1:14" s="1079" customFormat="1" ht="27.95" customHeight="1">
      <c r="A50" s="1462"/>
      <c r="B50" s="1045"/>
      <c r="C50" s="1059" t="s">
        <v>2242</v>
      </c>
      <c r="D50" s="1204" t="s">
        <v>2277</v>
      </c>
      <c r="E50" s="938"/>
      <c r="F50" s="1208"/>
      <c r="G50" s="1208"/>
      <c r="H50" s="1076"/>
      <c r="I50" s="1093"/>
      <c r="J50" s="1093"/>
      <c r="K50" s="1093"/>
      <c r="L50" s="1093"/>
      <c r="M50" s="1094">
        <f>M49</f>
        <v>0</v>
      </c>
      <c r="N50" s="1094">
        <f>N49</f>
        <v>0</v>
      </c>
    </row>
    <row r="51" spans="1:14" s="1079" customFormat="1" ht="27.95" customHeight="1">
      <c r="A51" s="1462"/>
      <c r="B51" s="1045"/>
      <c r="C51" s="1176" t="s">
        <v>2371</v>
      </c>
      <c r="D51" s="1205" t="s">
        <v>2236</v>
      </c>
      <c r="E51" s="1045"/>
      <c r="F51" s="1197"/>
      <c r="G51" s="1080"/>
      <c r="H51" s="1080"/>
      <c r="I51" s="1080"/>
      <c r="J51" s="1080"/>
      <c r="K51" s="1080"/>
      <c r="L51" s="1080"/>
      <c r="M51" s="1080"/>
    </row>
    <row r="52" spans="1:14" s="1079" customFormat="1" ht="27.95" customHeight="1">
      <c r="A52" s="1065"/>
      <c r="B52" s="1045"/>
      <c r="C52" s="1162" t="s">
        <v>2580</v>
      </c>
      <c r="D52" s="1107">
        <v>0</v>
      </c>
      <c r="E52" s="1159"/>
      <c r="F52" s="1061"/>
      <c r="G52" s="1080"/>
      <c r="H52" s="1080"/>
      <c r="I52" s="1080"/>
      <c r="J52" s="1080"/>
      <c r="K52" s="1080"/>
      <c r="L52" s="1080"/>
      <c r="M52" s="1095"/>
      <c r="N52" s="1095"/>
    </row>
    <row r="53" spans="1:14" s="1082" customFormat="1" ht="27.95" customHeight="1">
      <c r="A53" s="1236"/>
      <c r="B53" s="1259"/>
      <c r="C53" s="1237"/>
      <c r="D53" s="1196"/>
      <c r="F53" s="1238"/>
      <c r="G53" s="1081"/>
      <c r="H53" s="1081"/>
      <c r="I53" s="1081"/>
      <c r="J53" s="1081"/>
      <c r="K53" s="1081"/>
      <c r="L53" s="1081"/>
      <c r="M53" s="1095"/>
      <c r="N53" s="1095"/>
    </row>
    <row r="54" spans="1:14" ht="27.95" customHeight="1">
      <c r="A54" s="571"/>
      <c r="B54" s="571"/>
      <c r="C54" s="571"/>
      <c r="D54" s="571"/>
      <c r="E54" s="571"/>
      <c r="F54" s="571"/>
      <c r="G54" s="571"/>
      <c r="H54" s="571"/>
      <c r="I54" s="571"/>
      <c r="J54" s="571"/>
      <c r="K54" s="571"/>
      <c r="L54" s="571"/>
      <c r="M54" s="571"/>
      <c r="N54" s="571"/>
    </row>
    <row r="55" spans="1:14" s="1159" customFormat="1" ht="27.95" customHeight="1">
      <c r="A55" s="1461" t="s">
        <v>2813</v>
      </c>
      <c r="C55" s="1501" t="s">
        <v>2729</v>
      </c>
      <c r="D55" s="1502"/>
    </row>
    <row r="56" spans="1:14" s="1159" customFormat="1" ht="27.95" customHeight="1">
      <c r="A56" s="1461"/>
      <c r="C56" s="1059" t="s">
        <v>2715</v>
      </c>
      <c r="D56" s="1069">
        <f>REALDAYS1</f>
        <v>730</v>
      </c>
    </row>
    <row r="57" spans="1:14" s="1082" customFormat="1" ht="27.95" customHeight="1">
      <c r="A57" s="1461"/>
      <c r="C57" s="1059" t="s">
        <v>2716</v>
      </c>
      <c r="D57" s="1069">
        <f>REALMONTHS1</f>
        <v>24</v>
      </c>
      <c r="E57" s="1088"/>
      <c r="F57" s="1169"/>
      <c r="G57" s="1169"/>
      <c r="H57" s="1081"/>
      <c r="I57" s="1081"/>
      <c r="J57" s="1170"/>
      <c r="K57" s="1171"/>
      <c r="L57" s="1049"/>
      <c r="M57" s="1049"/>
      <c r="N57" s="1081"/>
    </row>
    <row r="58" spans="1:14" s="1082" customFormat="1" ht="17.25" customHeight="1">
      <c r="A58" s="1259"/>
      <c r="B58" s="1081"/>
      <c r="C58" s="1164"/>
      <c r="D58" s="1261"/>
      <c r="E58" s="231"/>
      <c r="F58" s="1169"/>
      <c r="G58" s="1169"/>
      <c r="H58" s="1081"/>
      <c r="I58" s="1081"/>
      <c r="J58" s="1170"/>
      <c r="K58" s="1171"/>
      <c r="L58" s="1049"/>
      <c r="M58" s="1049"/>
      <c r="N58" s="1081"/>
    </row>
    <row r="59" spans="1:14" s="1082" customFormat="1" ht="18" customHeight="1">
      <c r="A59" s="1259"/>
      <c r="B59" s="1081"/>
      <c r="C59" s="1164"/>
      <c r="D59" s="1261"/>
      <c r="E59" s="231"/>
      <c r="F59" s="1169"/>
      <c r="G59" s="1169"/>
      <c r="H59" s="1081"/>
      <c r="I59" s="1081"/>
      <c r="J59" s="1170"/>
      <c r="K59" s="1171"/>
      <c r="L59" s="1049"/>
      <c r="M59" s="1049"/>
      <c r="N59" s="1081"/>
    </row>
    <row r="60" spans="1:14" s="1082" customFormat="1" ht="17.25" customHeight="1">
      <c r="A60" s="1259"/>
      <c r="B60" s="1081"/>
      <c r="C60" s="1164"/>
      <c r="D60" s="1261"/>
      <c r="E60" s="231"/>
      <c r="F60" s="1169"/>
      <c r="G60" s="1169"/>
      <c r="H60" s="1081"/>
      <c r="I60" s="1081"/>
      <c r="J60" s="1170"/>
      <c r="K60" s="1171"/>
      <c r="L60" s="1049"/>
      <c r="M60" s="1049"/>
      <c r="N60" s="1081"/>
    </row>
    <row r="61" spans="1:14" s="1099" customFormat="1" ht="27.95" customHeight="1">
      <c r="A61" s="1097" t="s">
        <v>2712</v>
      </c>
      <c r="B61" s="1262" t="s">
        <v>2775</v>
      </c>
      <c r="C61" s="1496" t="s">
        <v>2719</v>
      </c>
      <c r="D61" s="1496"/>
      <c r="E61" s="1260" t="s">
        <v>2732</v>
      </c>
      <c r="F61" s="1198" t="s">
        <v>2731</v>
      </c>
      <c r="G61" s="1198" t="s">
        <v>2718</v>
      </c>
      <c r="H61" s="1212" t="s">
        <v>2257</v>
      </c>
      <c r="I61" s="1198" t="s">
        <v>2714</v>
      </c>
      <c r="J61" s="1162" t="s">
        <v>2284</v>
      </c>
      <c r="K61" s="1162" t="s">
        <v>2713</v>
      </c>
      <c r="L61" s="1162" t="s">
        <v>2728</v>
      </c>
      <c r="M61" s="1162" t="s">
        <v>27</v>
      </c>
      <c r="N61" s="1162" t="s">
        <v>2143</v>
      </c>
    </row>
    <row r="62" spans="1:14" ht="27.95" customHeight="1">
      <c r="A62" s="1513" t="s">
        <v>2909</v>
      </c>
      <c r="B62" s="1072" t="s">
        <v>2991</v>
      </c>
      <c r="C62" s="1059" t="s">
        <v>20</v>
      </c>
      <c r="D62" s="1109" t="str">
        <f>lig1_Formula_MED</f>
        <v>Perfect</v>
      </c>
      <c r="E62" s="1088"/>
      <c r="F62" s="1169"/>
      <c r="G62" s="1169"/>
      <c r="H62" s="1081"/>
      <c r="I62" s="1078">
        <f>IF(B62="N/A",0,INDEX(colRatesHT,MATCH(B62,colchoice,0)))</f>
        <v>1165.3846153846152</v>
      </c>
      <c r="J62" s="1089">
        <f>(I62*(1-$D$66))</f>
        <v>1165.3846153846152</v>
      </c>
      <c r="K62" s="1090">
        <v>32</v>
      </c>
      <c r="L62" s="264">
        <f>IF($D$64="monthly",K62/12*$D$57,K62/365*$D$56)</f>
        <v>64</v>
      </c>
      <c r="M62" s="1109">
        <f>IF($D$64="monthly",J62/12*$D$57,J62/365*$D$56)</f>
        <v>2330.7692307692305</v>
      </c>
      <c r="N62" s="1109">
        <f>(M62*TAXE)+(L62)</f>
        <v>2488</v>
      </c>
    </row>
    <row r="63" spans="1:14" s="1018" customFormat="1" ht="27.95" customHeight="1">
      <c r="A63" s="1514"/>
      <c r="B63" s="1071" t="s">
        <v>2992</v>
      </c>
      <c r="C63" s="1059" t="s">
        <v>34</v>
      </c>
      <c r="D63" s="1109" t="str">
        <f>INDEX(colCurrency,MATCH(B62,colchoice,0))</f>
        <v>EUR</v>
      </c>
      <c r="E63" s="1088"/>
      <c r="F63" s="1169"/>
      <c r="G63" s="1169"/>
      <c r="H63" s="1081"/>
      <c r="I63" s="1078">
        <f>IF(B63="N/A",0,INDEX(colRatesHT,MATCH(B63,colchoice,0)))</f>
        <v>190.38461538461539</v>
      </c>
      <c r="J63" s="1077">
        <f>(I63*(1-$D$66))</f>
        <v>190.38461538461539</v>
      </c>
      <c r="K63" s="1070">
        <v>0</v>
      </c>
      <c r="L63" s="264">
        <f>IF($D$64="monthly",K63/12*$D$57,K63/365*$D$56)</f>
        <v>0</v>
      </c>
      <c r="M63" s="1109">
        <f>IF($D$64="monthly",J63/12*$D$57,J63/365*$D$56)</f>
        <v>380.76923076923077</v>
      </c>
      <c r="N63" s="1109">
        <f>(M63*TAXE)+(L63)</f>
        <v>396</v>
      </c>
    </row>
    <row r="64" spans="1:14" s="1018" customFormat="1" ht="27.95" customHeight="1">
      <c r="A64" s="1514"/>
      <c r="B64" s="1125" t="str">
        <f>IF(INDEX(colAssureur,MATCH(B62,colchoice,0))=INDEX(colAssureur,MATCH(B63,colchoice,0)),INDEX(colAssureur,MATCH(B62,colchoice,0)), "FAUX PARAMETRAGE")</f>
        <v>AIG Luxembourg</v>
      </c>
      <c r="C64" s="1177" t="s">
        <v>2242</v>
      </c>
      <c r="D64" s="1178" t="s">
        <v>2277</v>
      </c>
      <c r="E64" s="1088"/>
      <c r="F64" s="1169"/>
      <c r="G64" s="1169"/>
      <c r="H64" s="1199" t="s">
        <v>60</v>
      </c>
      <c r="I64" s="1078">
        <f t="shared" ref="I64:N64" si="0">I62+I63</f>
        <v>1355.7692307692307</v>
      </c>
      <c r="J64" s="1078">
        <f t="shared" si="0"/>
        <v>1355.7692307692307</v>
      </c>
      <c r="K64" s="1078">
        <f t="shared" si="0"/>
        <v>32</v>
      </c>
      <c r="L64" s="1078">
        <f t="shared" si="0"/>
        <v>64</v>
      </c>
      <c r="M64" s="1094">
        <f t="shared" si="0"/>
        <v>2711.5384615384614</v>
      </c>
      <c r="N64" s="1094">
        <f t="shared" si="0"/>
        <v>2884</v>
      </c>
    </row>
    <row r="65" spans="1:23" s="1079" customFormat="1" ht="27.95" customHeight="1">
      <c r="A65" s="55"/>
      <c r="B65" s="55"/>
      <c r="C65" s="1177" t="s">
        <v>2371</v>
      </c>
      <c r="D65" s="1179" t="s">
        <v>2358</v>
      </c>
      <c r="F65" s="1053"/>
      <c r="G65" s="1076"/>
      <c r="H65" s="1076"/>
      <c r="I65" s="1067"/>
      <c r="J65" s="1067"/>
      <c r="K65" s="1067"/>
      <c r="L65" s="1067"/>
      <c r="M65" s="1067"/>
      <c r="N65" s="1095">
        <f>N64+D57</f>
        <v>2908</v>
      </c>
    </row>
    <row r="66" spans="1:23" s="1159" customFormat="1" ht="27.95" customHeight="1">
      <c r="A66" s="55"/>
      <c r="B66" s="55"/>
      <c r="C66" s="1180" t="s">
        <v>2580</v>
      </c>
      <c r="D66" s="1427">
        <v>0</v>
      </c>
      <c r="F66" s="1160"/>
      <c r="G66" s="1076"/>
      <c r="H66" s="1076"/>
      <c r="I66" s="1067"/>
      <c r="J66" s="1067"/>
      <c r="K66" s="1067"/>
      <c r="L66" s="1067"/>
      <c r="M66" s="1067"/>
      <c r="N66" s="1067"/>
    </row>
    <row r="67" spans="1:23" s="1018" customFormat="1" ht="27.95" customHeight="1">
      <c r="A67" s="1200"/>
      <c r="B67" s="1200"/>
      <c r="F67" s="1061"/>
      <c r="G67" s="1080"/>
      <c r="H67" s="1080"/>
      <c r="I67" s="1080"/>
      <c r="J67" s="1080"/>
      <c r="K67" s="1080"/>
      <c r="L67" s="1080"/>
      <c r="M67" s="1079"/>
      <c r="N67" s="1079"/>
    </row>
    <row r="68" spans="1:23" s="1018" customFormat="1" ht="27.95" customHeight="1">
      <c r="A68" s="1102" t="s">
        <v>2712</v>
      </c>
      <c r="B68" s="1193" t="s">
        <v>2774</v>
      </c>
      <c r="C68" s="1497" t="s">
        <v>2719</v>
      </c>
      <c r="D68" s="1498"/>
      <c r="E68" s="1198" t="s">
        <v>2732</v>
      </c>
      <c r="F68" s="1198" t="s">
        <v>2731</v>
      </c>
      <c r="G68" s="1198" t="s">
        <v>2718</v>
      </c>
      <c r="H68" s="1211" t="s">
        <v>2257</v>
      </c>
      <c r="I68" s="1198" t="s">
        <v>2714</v>
      </c>
      <c r="J68" s="1162" t="s">
        <v>2284</v>
      </c>
      <c r="K68" s="1162" t="s">
        <v>2713</v>
      </c>
      <c r="L68" s="1162" t="s">
        <v>2728</v>
      </c>
      <c r="M68" s="1162" t="s">
        <v>27</v>
      </c>
      <c r="N68" s="1162" t="s">
        <v>2143</v>
      </c>
      <c r="O68" s="1159"/>
      <c r="P68" s="1159"/>
      <c r="Q68" s="1159"/>
      <c r="S68" s="1079"/>
      <c r="T68" s="1079"/>
      <c r="U68" s="1079"/>
      <c r="V68" s="1079"/>
      <c r="W68" s="1079"/>
    </row>
    <row r="69" spans="1:23" ht="27.95" customHeight="1">
      <c r="A69" s="1513">
        <v>240322</v>
      </c>
      <c r="B69" s="1142" t="s">
        <v>2861</v>
      </c>
      <c r="C69" s="1059" t="s">
        <v>34</v>
      </c>
      <c r="D69" s="1109" t="str">
        <f>INDEX(colCurrency,MATCH(B69,colchoice,0))</f>
        <v>EUR</v>
      </c>
      <c r="E69" s="1105">
        <v>0</v>
      </c>
      <c r="F69" s="1108">
        <v>3</v>
      </c>
      <c r="G69" s="1105">
        <v>0</v>
      </c>
      <c r="H69" s="1112">
        <f>IF(B69="N/A",0,IF(G69=0,IF($D$72="FIXE",E69,IF(G69&gt;F69*$J$30,G69,F69*$J$30)),G69))</f>
        <v>360000</v>
      </c>
      <c r="I69" s="1104">
        <f>IF(B69="N/A",0,INDEX(colRatesHT,MATCH(B69,colchoice,0)))</f>
        <v>6.9103448275862072E-4</v>
      </c>
      <c r="J69" s="1068">
        <f>H69*I69</f>
        <v>248.77241379310345</v>
      </c>
      <c r="K69" s="1090">
        <v>0</v>
      </c>
      <c r="L69" s="264">
        <f>IF($D$70="monthly",K69/12*$D$57,K69/365*$D$56)</f>
        <v>0</v>
      </c>
      <c r="M69" s="1091">
        <f>IF($D$70="monthly",J69/12*$D$57,J69/365*$D$56)</f>
        <v>497.54482758620691</v>
      </c>
      <c r="N69" s="1091">
        <f>(M69*TAXE)+(L69)</f>
        <v>517.44662068965522</v>
      </c>
      <c r="O69" s="1159"/>
      <c r="P69" s="1159"/>
      <c r="Q69" s="1159"/>
      <c r="S69" s="1079"/>
      <c r="T69" s="1079"/>
      <c r="U69" s="1079"/>
      <c r="V69" s="1079"/>
      <c r="W69" s="1079"/>
    </row>
    <row r="70" spans="1:23" s="1079" customFormat="1" ht="27.95" customHeight="1">
      <c r="A70" s="1514"/>
      <c r="B70" s="1142" t="s">
        <v>2867</v>
      </c>
      <c r="C70" s="1059" t="s">
        <v>2242</v>
      </c>
      <c r="D70" s="1168" t="s">
        <v>2278</v>
      </c>
      <c r="E70" s="1105">
        <v>0</v>
      </c>
      <c r="F70" s="1108">
        <v>3</v>
      </c>
      <c r="G70" s="1105">
        <v>0</v>
      </c>
      <c r="H70" s="1112">
        <f t="shared" ref="H70:H72" si="1">IF(B70="N/A",0,IF(G70=0,IF($D$72="FIXE",E70,IF(G70&gt;F70*$J$30,G70,F70*$J$30)),G70))</f>
        <v>360000</v>
      </c>
      <c r="I70" s="1101">
        <f>IF(B70="N/A",0,INDEX(colRatesHT,MATCH(B70,colchoice,0)))</f>
        <v>1.7282758620689655E-3</v>
      </c>
      <c r="J70" s="1068">
        <f>H70*I70</f>
        <v>622.17931034482763</v>
      </c>
      <c r="K70" s="1070">
        <v>0</v>
      </c>
      <c r="L70" s="264">
        <f t="shared" ref="L70:L72" si="2">IF($D$70="monthly",K70/12*$D$57,K70/365*$D$56)</f>
        <v>0</v>
      </c>
      <c r="M70" s="1091">
        <f t="shared" ref="M70:M72" si="3">IF($D$70="monthly",J70/12*$D$57,J70/365*$D$56)</f>
        <v>1244.3586206896553</v>
      </c>
      <c r="N70" s="1091">
        <f>(M70*TAXE)+(L70)</f>
        <v>1294.1329655172415</v>
      </c>
      <c r="O70" s="1159"/>
      <c r="P70" s="1159"/>
      <c r="Q70" s="1159"/>
    </row>
    <row r="71" spans="1:23" s="1018" customFormat="1" ht="27.95" customHeight="1">
      <c r="A71" s="1514"/>
      <c r="B71" s="1142" t="s">
        <v>2862</v>
      </c>
      <c r="C71" s="1176" t="s">
        <v>2371</v>
      </c>
      <c r="D71" s="1062" t="s">
        <v>2236</v>
      </c>
      <c r="E71" s="1105">
        <v>0</v>
      </c>
      <c r="F71" s="1108">
        <v>3</v>
      </c>
      <c r="G71" s="1105">
        <v>0</v>
      </c>
      <c r="H71" s="1112">
        <f t="shared" si="1"/>
        <v>360000</v>
      </c>
      <c r="I71" s="1101">
        <f>IF(B71="N/A",0,INDEX(colRatesHT,MATCH(B71,colchoice,0)))</f>
        <v>8.5379310344827581E-4</v>
      </c>
      <c r="J71" s="1068">
        <f>H71*I71</f>
        <v>307.36551724137928</v>
      </c>
      <c r="K71" s="1070">
        <v>0</v>
      </c>
      <c r="L71" s="264">
        <f t="shared" si="2"/>
        <v>0</v>
      </c>
      <c r="M71" s="1091">
        <f t="shared" si="3"/>
        <v>614.73103448275856</v>
      </c>
      <c r="N71" s="1091">
        <f>(M71*TAXE)+(L71)</f>
        <v>639.32027586206891</v>
      </c>
      <c r="O71" s="1159"/>
      <c r="P71" s="1159"/>
      <c r="Q71" s="1159"/>
      <c r="S71" s="1079"/>
      <c r="T71" s="1079"/>
      <c r="U71" s="1079"/>
      <c r="V71" s="1079"/>
      <c r="W71" s="1079"/>
    </row>
    <row r="72" spans="1:23" s="1018" customFormat="1" ht="27.95" customHeight="1">
      <c r="A72" s="1515"/>
      <c r="B72" s="1142" t="s">
        <v>2868</v>
      </c>
      <c r="C72" s="1177" t="s">
        <v>2730</v>
      </c>
      <c r="D72" s="1183" t="s">
        <v>2147</v>
      </c>
      <c r="E72" s="1105">
        <v>0</v>
      </c>
      <c r="F72" s="1108">
        <v>3</v>
      </c>
      <c r="G72" s="1105">
        <v>0</v>
      </c>
      <c r="H72" s="1112">
        <f t="shared" si="1"/>
        <v>360000</v>
      </c>
      <c r="I72" s="1101">
        <f>IF(B72="N/A",0,INDEX(colRatesHT,MATCH(B72,colchoice,0)))</f>
        <v>2.0537931034482759E-3</v>
      </c>
      <c r="J72" s="1068">
        <f>H72*I72</f>
        <v>739.36551724137928</v>
      </c>
      <c r="K72" s="1070">
        <v>0</v>
      </c>
      <c r="L72" s="264">
        <f t="shared" si="2"/>
        <v>0</v>
      </c>
      <c r="M72" s="1091">
        <f t="shared" si="3"/>
        <v>1478.7310344827583</v>
      </c>
      <c r="N72" s="1091">
        <f>(M72*TAXE)+(L72)</f>
        <v>1537.8802758620686</v>
      </c>
      <c r="O72" s="1159"/>
      <c r="P72" s="1159"/>
      <c r="Q72" s="1159"/>
      <c r="S72" s="1079"/>
      <c r="T72" s="1079"/>
      <c r="U72" s="1079"/>
      <c r="V72" s="1079"/>
      <c r="W72" s="1079"/>
    </row>
    <row r="73" spans="1:23" s="1018" customFormat="1" ht="27.95" customHeight="1">
      <c r="A73" s="55"/>
      <c r="B73" s="1125" t="str">
        <f>IF(INDEX(colAssureur,MATCH(B69,colchoice,0))=INDEX(colAssureur,MATCH(B70,colchoice,0)),INDEX(colAssureur,MATCH(B70,colchoice,0)), "FAUX PARAMETRAGE")</f>
        <v>Anker Verzekeringen n.v.</v>
      </c>
      <c r="F73" s="1053"/>
      <c r="G73" s="1079"/>
      <c r="I73" s="1307">
        <f>SUM(I69:I72)</f>
        <v>5.326896551724138E-3</v>
      </c>
      <c r="J73" s="1079"/>
      <c r="K73" s="1079"/>
      <c r="L73" s="1079"/>
      <c r="M73" s="1181">
        <f>SUM(M69:M72)</f>
        <v>3835.3655172413792</v>
      </c>
      <c r="N73" s="1181">
        <f>SUM(N69:N72)</f>
        <v>3988.780137931034</v>
      </c>
      <c r="R73" s="1079"/>
      <c r="S73" s="1079"/>
      <c r="T73" s="1079"/>
      <c r="U73" s="1079"/>
      <c r="V73" s="1079"/>
      <c r="W73" s="1079"/>
    </row>
    <row r="74" spans="1:23" s="1159" customFormat="1" ht="27.95" customHeight="1">
      <c r="A74" s="55"/>
      <c r="B74" s="1193" t="s">
        <v>199</v>
      </c>
      <c r="C74" s="1490" t="s">
        <v>2719</v>
      </c>
      <c r="D74" s="1491"/>
      <c r="E74" s="1106" t="s">
        <v>2732</v>
      </c>
      <c r="F74" s="1106" t="s">
        <v>2731</v>
      </c>
      <c r="G74" s="1106" t="s">
        <v>2718</v>
      </c>
      <c r="H74" s="1111" t="s">
        <v>2257</v>
      </c>
      <c r="I74" s="1106" t="s">
        <v>2714</v>
      </c>
      <c r="J74" s="1162" t="s">
        <v>2284</v>
      </c>
      <c r="K74" s="1162" t="s">
        <v>2713</v>
      </c>
      <c r="L74" s="1162" t="s">
        <v>2728</v>
      </c>
      <c r="M74" s="1162" t="s">
        <v>27</v>
      </c>
      <c r="N74" s="1162" t="s">
        <v>2143</v>
      </c>
    </row>
    <row r="75" spans="1:23" ht="27.95" customHeight="1">
      <c r="A75" s="55"/>
      <c r="B75" s="1185" t="s">
        <v>2863</v>
      </c>
      <c r="C75" s="1177" t="s">
        <v>2371</v>
      </c>
      <c r="D75" s="1179" t="s">
        <v>2236</v>
      </c>
      <c r="E75" s="1202">
        <f>$K$30</f>
        <v>120000</v>
      </c>
      <c r="F75" s="1188">
        <v>1</v>
      </c>
      <c r="G75" s="1105">
        <v>0</v>
      </c>
      <c r="H75" s="1112">
        <f>IF(G75=0,IF($D$72="FIXE",E75,IF(G75&gt;F75*$J$30,G75,F75*$J$30)),G75)</f>
        <v>120000</v>
      </c>
      <c r="I75" s="1187">
        <f>IF(B75="N/A",0,INDEX(colRatesHT,MATCH(B75,colchoice,0)))</f>
        <v>8.1144827586206898E-3</v>
      </c>
      <c r="J75" s="1189">
        <f>H75*I75</f>
        <v>973.73793103448281</v>
      </c>
      <c r="K75" s="1190">
        <v>0</v>
      </c>
      <c r="L75" s="1191">
        <f>IF($D$70="monthly",K75/12*MAXMONTHS,K75/365*MAXDAYS)</f>
        <v>0</v>
      </c>
      <c r="M75" s="1192">
        <f>IF($D$70="monthly",J75/12*MAXMONTHS,J75/365*MAXDAYS)</f>
        <v>973.73793103448281</v>
      </c>
      <c r="N75" s="1192">
        <f>(M75*TAXE)+(L75)</f>
        <v>1012.6874482758622</v>
      </c>
      <c r="O75" s="1159"/>
      <c r="P75" s="1159"/>
      <c r="S75">
        <f>E75*I75</f>
        <v>973.73793103448281</v>
      </c>
    </row>
    <row r="76" spans="1:23" s="1018" customFormat="1" ht="27.95" customHeight="1">
      <c r="A76" s="55"/>
      <c r="B76" s="1185" t="s">
        <v>2864</v>
      </c>
      <c r="C76" s="1182" t="s">
        <v>2730</v>
      </c>
      <c r="D76" s="1183" t="s">
        <v>2147</v>
      </c>
      <c r="E76" s="1202">
        <f>$K$30</f>
        <v>120000</v>
      </c>
      <c r="F76" s="1188">
        <v>1</v>
      </c>
      <c r="G76" s="1105">
        <v>0</v>
      </c>
      <c r="H76" s="1112">
        <f>IF(G76=0,IF($D$72="FIXE",E76,IF(G76&gt;F76*$J$30,G76,F76*$J$30)),G76)</f>
        <v>120000</v>
      </c>
      <c r="I76" s="1187">
        <f>IF(B76="N/A",0,INDEX(colRatesHT,MATCH(B76,colchoice,0)))</f>
        <v>1.6216551724137933E-2</v>
      </c>
      <c r="J76" s="1189">
        <f>H76*I76</f>
        <v>1945.9862068965519</v>
      </c>
      <c r="K76" s="1190">
        <v>0</v>
      </c>
      <c r="L76" s="1191">
        <f>IF($D$70="monthly",K76/12*MAXMONTHS,K76/365*MAXDAYS)</f>
        <v>0</v>
      </c>
      <c r="M76" s="1190">
        <f>IF($D$70="monthly",J76/12*MAXMONTHS,J76/365*MAXDAYS)</f>
        <v>1945.9862068965519</v>
      </c>
      <c r="N76" s="1190">
        <f>(M76*TAXE)+(L76)</f>
        <v>2023.8256551724141</v>
      </c>
      <c r="O76" s="1159"/>
      <c r="P76" s="1159"/>
      <c r="S76" s="1159">
        <f>E76*I76</f>
        <v>1945.9862068965519</v>
      </c>
    </row>
    <row r="77" spans="1:23" s="1018" customFormat="1" ht="27.95" customHeight="1">
      <c r="A77" s="55"/>
      <c r="B77" s="1125" t="str">
        <f>IF(INDEX(colAssureur,MATCH(B75,colchoice,0))=INDEX(colAssureur,MATCH(B76,colchoice,0)),INDEX(colAssureur,MATCH(B76,colchoice,0)), "FAUX PARAMETRAGE")</f>
        <v>Anker Verzekeringen n.v.</v>
      </c>
      <c r="C77" s="1160"/>
      <c r="D77" s="1161"/>
      <c r="E77" s="1081"/>
      <c r="F77" s="1113"/>
      <c r="G77" s="1114"/>
      <c r="H77" s="1113"/>
      <c r="I77" s="1307">
        <f>SUM(I75:I76)</f>
        <v>2.4331034482758623E-2</v>
      </c>
      <c r="J77" s="1115"/>
      <c r="K77" s="262"/>
      <c r="L77" s="262"/>
      <c r="M77" s="1184">
        <f>SUM(M75:M76)</f>
        <v>2919.7241379310349</v>
      </c>
      <c r="N77" s="1184">
        <f>SUM(N75:N76)</f>
        <v>3036.5131034482765</v>
      </c>
      <c r="O77" s="1159"/>
      <c r="P77" s="1159"/>
      <c r="Q77" s="1116"/>
    </row>
    <row r="78" spans="1:23" s="1018" customFormat="1" ht="27.95" customHeight="1">
      <c r="A78" s="55"/>
      <c r="B78" s="1125"/>
      <c r="C78" s="1160"/>
      <c r="D78" s="1195"/>
      <c r="E78" s="1196"/>
      <c r="F78" s="1053"/>
      <c r="G78" s="1144"/>
      <c r="H78" s="1144"/>
      <c r="I78" s="1144"/>
      <c r="J78" s="1144"/>
      <c r="K78" s="1144"/>
      <c r="L78" s="1081"/>
      <c r="O78" s="1080"/>
      <c r="P78" s="1080"/>
      <c r="Q78" s="1080"/>
    </row>
    <row r="79" spans="1:23" s="1159" customFormat="1" ht="27.95" customHeight="1">
      <c r="A79" s="1253"/>
      <c r="B79" s="1254"/>
      <c r="C79" s="1255"/>
      <c r="D79" s="1256"/>
      <c r="E79" s="1257"/>
      <c r="F79" s="1255"/>
      <c r="G79" s="1258"/>
      <c r="H79" s="1258"/>
      <c r="I79" s="1258"/>
      <c r="J79" s="1258"/>
      <c r="K79" s="1258"/>
      <c r="L79" s="565"/>
      <c r="M79" s="571"/>
      <c r="N79" s="571"/>
      <c r="O79" s="1080"/>
      <c r="P79" s="1080"/>
      <c r="Q79" s="1080"/>
    </row>
    <row r="80" spans="1:23" s="1018" customFormat="1" ht="27.95" customHeight="1">
      <c r="A80" s="1461" t="s">
        <v>2772</v>
      </c>
      <c r="C80" s="1501" t="s">
        <v>2729</v>
      </c>
      <c r="D80" s="1502"/>
      <c r="E80" s="1081"/>
      <c r="F80" s="1053"/>
      <c r="H80" s="1079"/>
      <c r="L80" s="1079"/>
    </row>
    <row r="81" spans="1:17" ht="27.95" customHeight="1">
      <c r="A81" s="1461"/>
      <c r="C81" s="1059" t="s">
        <v>2715</v>
      </c>
      <c r="D81" s="1069">
        <f>G31</f>
        <v>0</v>
      </c>
    </row>
    <row r="82" spans="1:17" s="1159" customFormat="1" ht="27.95" customHeight="1">
      <c r="A82" s="1461"/>
      <c r="C82" s="1059" t="s">
        <v>2716</v>
      </c>
      <c r="D82" s="1069">
        <f>F31</f>
        <v>0</v>
      </c>
    </row>
    <row r="83" spans="1:17" s="1082" customFormat="1" ht="18" customHeight="1">
      <c r="A83" s="1259"/>
      <c r="B83" s="1081"/>
      <c r="C83" s="1164"/>
      <c r="D83" s="1261"/>
      <c r="E83" s="231"/>
      <c r="F83" s="1169"/>
      <c r="G83" s="1169"/>
      <c r="H83" s="1081"/>
      <c r="I83" s="1081"/>
      <c r="J83" s="1170"/>
      <c r="K83" s="1171"/>
      <c r="L83" s="1049"/>
      <c r="M83" s="1049"/>
      <c r="N83" s="1081"/>
    </row>
    <row r="84" spans="1:17" s="1082" customFormat="1" ht="18.75" customHeight="1">
      <c r="A84" s="1259"/>
      <c r="B84" s="1081"/>
      <c r="C84" s="1164"/>
      <c r="D84" s="1261"/>
      <c r="E84" s="231"/>
      <c r="F84" s="1169"/>
      <c r="G84" s="1169"/>
      <c r="H84" s="1081"/>
      <c r="I84" s="1081"/>
      <c r="J84" s="1170"/>
      <c r="K84" s="1171"/>
      <c r="L84" s="1049"/>
      <c r="M84" s="1049"/>
      <c r="N84" s="1081"/>
    </row>
    <row r="85" spans="1:17" s="1082" customFormat="1" ht="15.75" customHeight="1">
      <c r="A85" s="1259"/>
      <c r="B85" s="1081"/>
      <c r="C85" s="1164"/>
      <c r="D85" s="1261"/>
      <c r="E85" s="231"/>
      <c r="F85" s="1169"/>
      <c r="G85" s="1169"/>
      <c r="H85" s="1081"/>
      <c r="I85" s="1081"/>
      <c r="J85" s="1170"/>
      <c r="K85" s="1171"/>
      <c r="L85" s="1049"/>
      <c r="M85" s="1049"/>
      <c r="N85" s="1081"/>
    </row>
    <row r="86" spans="1:17" s="1100" customFormat="1" ht="27.95" customHeight="1">
      <c r="A86" s="1097" t="s">
        <v>2712</v>
      </c>
      <c r="B86" s="1194" t="s">
        <v>2775</v>
      </c>
      <c r="C86" s="1497" t="s">
        <v>2719</v>
      </c>
      <c r="D86" s="1498"/>
      <c r="E86" s="1106" t="s">
        <v>2732</v>
      </c>
      <c r="F86" s="1106" t="s">
        <v>2731</v>
      </c>
      <c r="G86" s="1106" t="s">
        <v>2718</v>
      </c>
      <c r="H86" s="1210" t="s">
        <v>2257</v>
      </c>
      <c r="I86" s="1199" t="s">
        <v>2714</v>
      </c>
      <c r="J86" s="1162" t="s">
        <v>2720</v>
      </c>
      <c r="K86" s="1162" t="s">
        <v>2713</v>
      </c>
      <c r="L86" s="1162" t="s">
        <v>2728</v>
      </c>
      <c r="M86" s="1162" t="s">
        <v>27</v>
      </c>
      <c r="N86" s="1162" t="s">
        <v>2143</v>
      </c>
    </row>
    <row r="87" spans="1:17" ht="27.95" customHeight="1">
      <c r="A87" s="1513"/>
      <c r="B87" s="1074" t="s">
        <v>2236</v>
      </c>
      <c r="C87" s="1059" t="s">
        <v>20</v>
      </c>
      <c r="D87" s="1109" t="str">
        <f>IF(B87="N/A","",INDEX(colProduct,MATCH(B87,colchoice,0)))</f>
        <v/>
      </c>
      <c r="E87" s="1088"/>
      <c r="F87" s="1169"/>
      <c r="G87" s="1169"/>
      <c r="H87" s="1081"/>
      <c r="I87" s="1078">
        <f>IF(B87="N/A",0,INDEX(colRatesHT,MATCH(B87,colchoice,0)))</f>
        <v>0</v>
      </c>
      <c r="J87" s="1089">
        <f>(I87*(1-$D$91))</f>
        <v>0</v>
      </c>
      <c r="K87" s="1090">
        <v>32</v>
      </c>
      <c r="L87" s="264">
        <f>IF($D$89="monthly",K87/12*$D$82,K87/365*$D$81)</f>
        <v>0</v>
      </c>
      <c r="M87" s="1109">
        <f>IF($D$89="monthly",J87/12*$D$82,J87/365*$D$81)</f>
        <v>0</v>
      </c>
      <c r="N87" s="1109">
        <f>(M87*TAXE)+(L87)</f>
        <v>0</v>
      </c>
    </row>
    <row r="88" spans="1:17" s="1018" customFormat="1" ht="27.95" customHeight="1">
      <c r="A88" s="1514"/>
      <c r="B88" s="1073" t="s">
        <v>2236</v>
      </c>
      <c r="C88" s="1059" t="s">
        <v>34</v>
      </c>
      <c r="D88" s="1109" t="str">
        <f>IF(B87="N/A","",INDEX(colCurrency,MATCH(B87,colchoice,0)))</f>
        <v/>
      </c>
      <c r="E88" s="1088"/>
      <c r="F88" s="1169"/>
      <c r="G88" s="1169"/>
      <c r="H88" s="1081"/>
      <c r="I88" s="1078">
        <f>IF(B88="N/A",0,INDEX(colRatesHT,MATCH(B88,colchoice,0)))</f>
        <v>0</v>
      </c>
      <c r="J88" s="1089">
        <f>(I88*(1-$D$91))</f>
        <v>0</v>
      </c>
      <c r="K88" s="1070">
        <v>0</v>
      </c>
      <c r="L88" s="264">
        <f>IF($D$89="monthly",K88/12*$D$82,K88/365*$D$81)</f>
        <v>0</v>
      </c>
      <c r="M88" s="1109">
        <f>IF($D$89="monthly",J88/12*$D$82,J88/365*$D$81)</f>
        <v>0</v>
      </c>
      <c r="N88" s="1109">
        <f>(M88*TAXE)+(L88)</f>
        <v>0</v>
      </c>
    </row>
    <row r="89" spans="1:17" s="1018" customFormat="1" ht="27.95" customHeight="1">
      <c r="A89" s="1515"/>
      <c r="B89" s="1125" t="str">
        <f>IF(INDEX(colAssureur,MATCH(B87,colchoice,0))=INDEX(colAssureur,MATCH(B88,colchoice,0)),INDEX(colAssureur,MATCH(B87,colchoice,0)), "FAUX PARAMETRAGE")</f>
        <v>N/A</v>
      </c>
      <c r="C89" s="1177" t="s">
        <v>2242</v>
      </c>
      <c r="D89" s="1178" t="s">
        <v>2277</v>
      </c>
      <c r="E89" s="1088"/>
      <c r="F89" s="1169"/>
      <c r="G89" s="1169"/>
      <c r="H89" s="1199" t="s">
        <v>60</v>
      </c>
      <c r="I89" s="1078">
        <f t="shared" ref="I89:N89" si="4">I87+I88</f>
        <v>0</v>
      </c>
      <c r="J89" s="1078">
        <f t="shared" si="4"/>
        <v>0</v>
      </c>
      <c r="K89" s="1078">
        <f t="shared" si="4"/>
        <v>32</v>
      </c>
      <c r="L89" s="1078">
        <f t="shared" si="4"/>
        <v>0</v>
      </c>
      <c r="M89" s="1094">
        <f t="shared" si="4"/>
        <v>0</v>
      </c>
      <c r="N89" s="1094">
        <f t="shared" si="4"/>
        <v>0</v>
      </c>
    </row>
    <row r="90" spans="1:17" s="716" customFormat="1" ht="27.95" customHeight="1">
      <c r="A90" s="1506"/>
      <c r="B90" s="1507"/>
      <c r="C90" s="1177" t="s">
        <v>2371</v>
      </c>
      <c r="D90" s="1179" t="s">
        <v>2358</v>
      </c>
      <c r="E90" s="1159"/>
      <c r="F90" s="1164"/>
      <c r="G90" s="1076"/>
      <c r="H90" s="1076"/>
      <c r="I90" s="1067"/>
      <c r="J90" s="1067"/>
      <c r="K90" s="1067"/>
      <c r="L90" s="1067"/>
      <c r="M90" s="1067"/>
      <c r="N90" s="1067"/>
    </row>
    <row r="91" spans="1:17" s="1082" customFormat="1" ht="27.95" customHeight="1">
      <c r="A91" s="1508"/>
      <c r="B91" s="1509"/>
      <c r="C91" s="1180" t="s">
        <v>2580</v>
      </c>
      <c r="D91" s="1427">
        <v>0</v>
      </c>
      <c r="E91" s="1159"/>
      <c r="F91" s="1164"/>
      <c r="G91" s="1076"/>
      <c r="H91" s="1076"/>
      <c r="I91" s="1067"/>
      <c r="J91" s="1067"/>
      <c r="K91" s="1067"/>
      <c r="L91" s="1067"/>
      <c r="M91" s="1067"/>
      <c r="N91" s="1067"/>
    </row>
    <row r="92" spans="1:17" ht="19.5" customHeight="1"/>
    <row r="93" spans="1:17" ht="18" customHeight="1">
      <c r="O93" s="1159"/>
      <c r="P93" s="1159"/>
      <c r="Q93" s="1159"/>
    </row>
    <row r="94" spans="1:17" s="1099" customFormat="1" ht="27.95" customHeight="1">
      <c r="A94" s="1180" t="s">
        <v>2712</v>
      </c>
      <c r="B94" s="1193" t="s">
        <v>2774</v>
      </c>
      <c r="C94" s="1490" t="s">
        <v>2719</v>
      </c>
      <c r="D94" s="1491"/>
      <c r="E94" s="1106" t="s">
        <v>2732</v>
      </c>
      <c r="F94" s="1106" t="s">
        <v>2731</v>
      </c>
      <c r="G94" s="1106" t="s">
        <v>2718</v>
      </c>
      <c r="H94" s="1111" t="s">
        <v>2257</v>
      </c>
      <c r="I94" s="1106" t="s">
        <v>2714</v>
      </c>
      <c r="J94" s="1162" t="s">
        <v>2284</v>
      </c>
      <c r="K94" s="1162" t="s">
        <v>2713</v>
      </c>
      <c r="L94" s="1162" t="s">
        <v>2728</v>
      </c>
      <c r="M94" s="1162" t="s">
        <v>27</v>
      </c>
      <c r="N94" s="1162" t="s">
        <v>2143</v>
      </c>
      <c r="O94" s="1159"/>
      <c r="P94" s="1159"/>
      <c r="Q94" s="1159"/>
    </row>
    <row r="95" spans="1:17" ht="27.95" customHeight="1">
      <c r="A95" s="1513"/>
      <c r="B95" s="1142" t="s">
        <v>2236</v>
      </c>
      <c r="C95" s="1059" t="s">
        <v>34</v>
      </c>
      <c r="D95" s="1109" t="str">
        <f>IF(B95="N/A","",INDEX(colCurrency,MATCH(B95,colchoice,0)))</f>
        <v/>
      </c>
      <c r="E95" s="1105">
        <v>100000</v>
      </c>
      <c r="F95" s="1108">
        <v>3</v>
      </c>
      <c r="G95" s="1105">
        <v>0</v>
      </c>
      <c r="H95" s="1112">
        <f>IF(G95=0,IF($D$98="FIXE",E95,IF(G95&gt;F95*$J$31,G95,F95*$J$31)),G95)</f>
        <v>0</v>
      </c>
      <c r="I95" s="1104">
        <f>IF(B95="N/A",0,INDEX(colRatesHT,MATCH(B95,colchoice,0)))</f>
        <v>0</v>
      </c>
      <c r="J95" s="1068">
        <f>H95*I95</f>
        <v>0</v>
      </c>
      <c r="K95" s="1090">
        <v>0</v>
      </c>
      <c r="L95" s="264">
        <f>IF($D$96="monthly",K95/12*$D$82,K95/365*$D$81)</f>
        <v>0</v>
      </c>
      <c r="M95" s="1091">
        <f>IF($D$96="monthly",J95/12*$D$82,J95/365*$D$81)</f>
        <v>0</v>
      </c>
      <c r="N95" s="1091">
        <f>(M95*TAXE)+(L95)</f>
        <v>0</v>
      </c>
      <c r="O95" s="1159"/>
      <c r="P95" s="1159"/>
      <c r="Q95" s="1159"/>
    </row>
    <row r="96" spans="1:17" s="1018" customFormat="1" ht="27.95" customHeight="1">
      <c r="A96" s="1514"/>
      <c r="B96" s="1142" t="s">
        <v>2236</v>
      </c>
      <c r="C96" s="1059" t="s">
        <v>2242</v>
      </c>
      <c r="D96" s="1168" t="s">
        <v>2278</v>
      </c>
      <c r="E96" s="1105">
        <v>100000</v>
      </c>
      <c r="F96" s="1108">
        <v>3</v>
      </c>
      <c r="G96" s="1105">
        <v>0</v>
      </c>
      <c r="H96" s="1112">
        <f>IF(G96=0,IF($D$98="FIXE",E96,IF(G96&gt;F96*$J$31,G96,F96*$J$31)),G96)</f>
        <v>0</v>
      </c>
      <c r="I96" s="1101">
        <f>IF(B96="N/A",0,INDEX(colRatesHT,MATCH(B96,colchoice,0)))</f>
        <v>0</v>
      </c>
      <c r="J96" s="1068">
        <f>H96*I96</f>
        <v>0</v>
      </c>
      <c r="K96" s="1070">
        <v>0</v>
      </c>
      <c r="L96" s="264">
        <f t="shared" ref="L96:L98" si="5">IF($D$96="monthly",K96/12*$D$82,K96/365*$D$81)</f>
        <v>0</v>
      </c>
      <c r="M96" s="1091">
        <f t="shared" ref="M96:M98" si="6">IF($D$96="monthly",J96/12*$D$82,J96/365*$D$81)</f>
        <v>0</v>
      </c>
      <c r="N96" s="1091">
        <f>(M96*TAXE)+(L96)</f>
        <v>0</v>
      </c>
      <c r="O96" s="1159"/>
      <c r="P96" s="1159"/>
      <c r="Q96" s="1159"/>
    </row>
    <row r="97" spans="1:17" s="1018" customFormat="1" ht="27.95" customHeight="1">
      <c r="A97" s="1514"/>
      <c r="B97" s="1142" t="s">
        <v>2236</v>
      </c>
      <c r="C97" s="1176" t="s">
        <v>2371</v>
      </c>
      <c r="D97" s="1062" t="s">
        <v>2236</v>
      </c>
      <c r="E97" s="1105">
        <v>100000</v>
      </c>
      <c r="F97" s="1108">
        <v>3</v>
      </c>
      <c r="G97" s="1105">
        <v>0</v>
      </c>
      <c r="H97" s="1112">
        <f>IF(G97=0,IF($D$98="FIXE",E97,IF(G97&gt;F97*$J$31,G97,F97*$J$31)),G97)</f>
        <v>0</v>
      </c>
      <c r="I97" s="1101">
        <f>IF(B97="N/A",0,INDEX(colRatesHT,MATCH(B97,colchoice,0)))</f>
        <v>0</v>
      </c>
      <c r="J97" s="1068">
        <f>H97*I97</f>
        <v>0</v>
      </c>
      <c r="K97" s="1070">
        <v>0</v>
      </c>
      <c r="L97" s="264">
        <f t="shared" si="5"/>
        <v>0</v>
      </c>
      <c r="M97" s="1091">
        <f t="shared" si="6"/>
        <v>0</v>
      </c>
      <c r="N97" s="1091">
        <f>(M97*TAXE)+(L97)</f>
        <v>0</v>
      </c>
      <c r="O97" s="1159"/>
      <c r="P97" s="1159"/>
      <c r="Q97" s="1159"/>
    </row>
    <row r="98" spans="1:17" s="1018" customFormat="1" ht="27.95" customHeight="1">
      <c r="A98" s="1515"/>
      <c r="B98" s="1142" t="s">
        <v>2236</v>
      </c>
      <c r="C98" s="1177" t="s">
        <v>2730</v>
      </c>
      <c r="D98" s="1213" t="s">
        <v>2147</v>
      </c>
      <c r="E98" s="1105">
        <v>100000</v>
      </c>
      <c r="F98" s="1108">
        <v>3</v>
      </c>
      <c r="G98" s="1105">
        <v>0</v>
      </c>
      <c r="H98" s="1112">
        <f>IF(G98=0,IF($D$98="FIXE",E98,IF(G98&gt;F98*$J$31,G98,F98*$J$31)),G98)</f>
        <v>0</v>
      </c>
      <c r="I98" s="1101">
        <f>IF(B98="N/A",0,INDEX(colRatesHT,MATCH(B98,colchoice,0)))</f>
        <v>0</v>
      </c>
      <c r="J98" s="1068">
        <f>H98*I98</f>
        <v>0</v>
      </c>
      <c r="K98" s="1070">
        <v>0</v>
      </c>
      <c r="L98" s="264">
        <f t="shared" si="5"/>
        <v>0</v>
      </c>
      <c r="M98" s="1091">
        <f t="shared" si="6"/>
        <v>0</v>
      </c>
      <c r="N98" s="1091">
        <f>(M98*TAXE)+(L98)</f>
        <v>0</v>
      </c>
      <c r="O98" s="1159"/>
      <c r="P98" s="1159"/>
      <c r="Q98" s="1159"/>
    </row>
    <row r="99" spans="1:17" s="1018" customFormat="1" ht="27.95" customHeight="1">
      <c r="A99" s="55"/>
      <c r="B99" s="1125" t="str">
        <f>IF(INDEX(colAssureur,MATCH(B95,colchoice,0))=INDEX(colAssureur,MATCH(B96,colchoice,0)),INDEX(colAssureur,MATCH(B96,colchoice,0)), "FAUX PARAMETRAGE")</f>
        <v>N/A</v>
      </c>
      <c r="C99" s="1159"/>
      <c r="D99" s="1159"/>
      <c r="E99" s="1159"/>
      <c r="F99" s="1164"/>
      <c r="G99" s="1159"/>
      <c r="H99" s="1159"/>
      <c r="I99" s="1307">
        <f>SUM(I95:I98)</f>
        <v>0</v>
      </c>
      <c r="J99" s="1159"/>
      <c r="K99" s="1159"/>
      <c r="L99" s="1159"/>
      <c r="M99" s="1181">
        <f>SUM(M95:M98)</f>
        <v>0</v>
      </c>
      <c r="N99" s="1181">
        <f>SUM(N95:N98)</f>
        <v>0</v>
      </c>
      <c r="O99" s="1159"/>
      <c r="P99" s="1159"/>
      <c r="Q99" s="1159">
        <f>I99*100000/365*428</f>
        <v>0</v>
      </c>
    </row>
    <row r="100" spans="1:17" s="1099" customFormat="1" ht="27.95" customHeight="1">
      <c r="A100" s="55"/>
      <c r="B100" s="1193" t="s">
        <v>199</v>
      </c>
      <c r="C100" s="1490" t="s">
        <v>2719</v>
      </c>
      <c r="D100" s="1491"/>
      <c r="E100" s="1106" t="s">
        <v>2601</v>
      </c>
      <c r="F100" s="1106" t="s">
        <v>2731</v>
      </c>
      <c r="G100" s="1106" t="s">
        <v>2718</v>
      </c>
      <c r="H100" s="1111" t="s">
        <v>2257</v>
      </c>
      <c r="I100" s="1106" t="s">
        <v>2714</v>
      </c>
      <c r="J100" s="1162" t="s">
        <v>2284</v>
      </c>
      <c r="K100" s="1162" t="s">
        <v>2713</v>
      </c>
      <c r="L100" s="1162" t="s">
        <v>2728</v>
      </c>
      <c r="M100" s="1162" t="s">
        <v>27</v>
      </c>
      <c r="N100" s="1162" t="s">
        <v>2143</v>
      </c>
      <c r="O100" s="1159"/>
      <c r="P100" s="1159"/>
      <c r="Q100" s="1159"/>
    </row>
    <row r="101" spans="1:17" ht="27.95" customHeight="1">
      <c r="A101" s="55"/>
      <c r="B101" s="1103" t="s">
        <v>2236</v>
      </c>
      <c r="C101" s="1177" t="s">
        <v>2371</v>
      </c>
      <c r="D101" s="1179" t="s">
        <v>2236</v>
      </c>
      <c r="E101" s="1202">
        <f>$K$31</f>
        <v>0</v>
      </c>
      <c r="F101" s="1188">
        <v>1</v>
      </c>
      <c r="G101" s="1105">
        <v>0</v>
      </c>
      <c r="H101" s="1112">
        <f>IF(G101=0,IF($D$102="FIXE",E101,IF(G101&gt;F101*E101,G101,F101*E101)),G101)</f>
        <v>0</v>
      </c>
      <c r="I101" s="1187">
        <f>IF(B101="N/A",0,INDEX(colRatesHT,MATCH(B101,colchoice,0)))</f>
        <v>0</v>
      </c>
      <c r="J101" s="1189">
        <f>H101*I101</f>
        <v>0</v>
      </c>
      <c r="K101" s="1190">
        <v>0</v>
      </c>
      <c r="L101" s="1191">
        <f>IF($D$96="monthly",K101/12*MAXMONTHS,K101/365*MAXDAYS)</f>
        <v>0</v>
      </c>
      <c r="M101" s="1192">
        <f>IF($D$96="monthly",J101,J101)</f>
        <v>0</v>
      </c>
      <c r="N101" s="1192">
        <f>(M101*TAXE)+(L101)</f>
        <v>0</v>
      </c>
      <c r="O101" s="1159"/>
      <c r="P101" s="1159"/>
      <c r="Q101" s="1159"/>
    </row>
    <row r="102" spans="1:17" ht="27.95" customHeight="1">
      <c r="A102" s="55"/>
      <c r="B102" s="1103" t="s">
        <v>2236</v>
      </c>
      <c r="C102" s="1182" t="s">
        <v>2730</v>
      </c>
      <c r="D102" s="1213" t="s">
        <v>2147</v>
      </c>
      <c r="E102" s="1202">
        <f>$K$31</f>
        <v>0</v>
      </c>
      <c r="F102" s="1188">
        <v>1</v>
      </c>
      <c r="G102" s="1105">
        <v>0</v>
      </c>
      <c r="H102" s="1112">
        <f>IF(G102=0,IF($D$102="FIXE",E102,IF(G102&gt;F102*E102,G102,F102*E102)),G102)</f>
        <v>0</v>
      </c>
      <c r="I102" s="1187">
        <f>IF(B102="N/A",0,INDEX(colRatesHT,MATCH(B102,colchoice,0)))</f>
        <v>0</v>
      </c>
      <c r="J102" s="1189">
        <f>H102*I102</f>
        <v>0</v>
      </c>
      <c r="K102" s="1190">
        <v>0</v>
      </c>
      <c r="L102" s="1191">
        <f>IF($D$96="monthly",K102/12*MAXMONTHS,K102/365*MAXDAYS)</f>
        <v>0</v>
      </c>
      <c r="M102" s="1192">
        <f>IF($D$96="monthly",J102,J102)</f>
        <v>0</v>
      </c>
      <c r="N102" s="1190">
        <f>(M102*TAXE)+(L102)</f>
        <v>0</v>
      </c>
      <c r="O102" s="1159"/>
      <c r="P102" s="1159"/>
      <c r="Q102" s="1159"/>
    </row>
    <row r="103" spans="1:17" ht="27.95" customHeight="1">
      <c r="A103" s="55"/>
      <c r="B103" s="1125" t="str">
        <f>IF(INDEX(colAssureur,MATCH(B101,colchoice,0))=INDEX(colAssureur,MATCH(B102,colchoice,0)),INDEX(colAssureur,MATCH(B102,colchoice,0)), "FAUX PARAMETRAGE")</f>
        <v>N/A</v>
      </c>
      <c r="C103" s="1164"/>
      <c r="D103" s="1163"/>
      <c r="E103" s="1081"/>
      <c r="F103" s="1113"/>
      <c r="G103" s="1114"/>
      <c r="H103" s="1113"/>
      <c r="I103" s="1307">
        <f>SUM(I101:I102)</f>
        <v>0</v>
      </c>
      <c r="J103" s="1115"/>
      <c r="K103" s="262"/>
      <c r="L103" s="262"/>
      <c r="M103" s="1184">
        <f>SUM(M101:M102)</f>
        <v>0</v>
      </c>
      <c r="N103" s="1184">
        <f>SUM(N101:N102)</f>
        <v>0</v>
      </c>
      <c r="O103" s="1159"/>
      <c r="P103" s="1159"/>
      <c r="Q103" s="1315">
        <f>I103*39751</f>
        <v>0</v>
      </c>
    </row>
    <row r="104" spans="1:17" ht="27.95" customHeight="1">
      <c r="A104" s="1209"/>
      <c r="B104" s="1125"/>
      <c r="C104" s="1164"/>
      <c r="D104" s="1163"/>
      <c r="E104" s="1081"/>
      <c r="F104" s="1164"/>
      <c r="G104" s="1144"/>
      <c r="H104" s="1144"/>
      <c r="I104" s="1144"/>
      <c r="J104" s="1144"/>
      <c r="K104" s="1144"/>
      <c r="L104" s="1081"/>
      <c r="M104" s="1159"/>
      <c r="N104" s="1159"/>
      <c r="O104" s="1159"/>
      <c r="P104" s="1159"/>
      <c r="Q104" s="1159"/>
    </row>
    <row r="105" spans="1:17" ht="27.95" customHeight="1">
      <c r="A105" s="1253"/>
      <c r="B105" s="1254"/>
      <c r="C105" s="1255"/>
      <c r="D105" s="1256"/>
      <c r="E105" s="1257"/>
      <c r="F105" s="1255"/>
      <c r="G105" s="1258"/>
      <c r="H105" s="1258"/>
      <c r="I105" s="1258"/>
      <c r="J105" s="1258"/>
      <c r="K105" s="1258"/>
      <c r="L105" s="565"/>
      <c r="M105" s="571"/>
      <c r="N105" s="571"/>
    </row>
    <row r="106" spans="1:17" ht="27.95" customHeight="1">
      <c r="A106" s="1461" t="s">
        <v>2776</v>
      </c>
      <c r="B106" s="1159"/>
      <c r="C106" s="1501" t="s">
        <v>2729</v>
      </c>
      <c r="D106" s="1502"/>
      <c r="E106" s="1081"/>
      <c r="F106" s="1164"/>
      <c r="G106" s="1159"/>
      <c r="H106" s="1159"/>
      <c r="I106" s="1159"/>
      <c r="J106" s="1159"/>
      <c r="K106" s="1159"/>
      <c r="L106" s="1159"/>
      <c r="M106" s="1159"/>
      <c r="N106" s="1159"/>
    </row>
    <row r="107" spans="1:17" ht="27.95" customHeight="1">
      <c r="A107" s="1461"/>
      <c r="B107" s="1159"/>
      <c r="C107" s="1059" t="s">
        <v>2715</v>
      </c>
      <c r="D107" s="1069">
        <f>G58</f>
        <v>0</v>
      </c>
      <c r="E107" s="1159"/>
      <c r="F107" s="1159"/>
      <c r="G107" s="1159"/>
      <c r="H107" s="1159"/>
      <c r="I107" s="1159"/>
      <c r="J107" s="1159"/>
      <c r="K107" s="1159"/>
      <c r="L107" s="1159"/>
      <c r="M107" s="1159"/>
      <c r="N107" s="1159"/>
    </row>
    <row r="108" spans="1:17" ht="27.95" customHeight="1">
      <c r="A108" s="1461"/>
      <c r="B108" s="1159"/>
      <c r="C108" s="1059" t="s">
        <v>2716</v>
      </c>
      <c r="D108" s="1069">
        <f>F58</f>
        <v>0</v>
      </c>
      <c r="E108" s="1159"/>
      <c r="F108" s="1159"/>
      <c r="G108" s="1159"/>
      <c r="H108" s="1159"/>
      <c r="I108" s="1159"/>
      <c r="J108" s="1159"/>
      <c r="K108" s="1159"/>
      <c r="L108" s="1159"/>
      <c r="M108" s="1159"/>
      <c r="N108" s="1159"/>
    </row>
    <row r="109" spans="1:17" ht="20.25" customHeight="1">
      <c r="A109" s="1259"/>
      <c r="B109" s="1081"/>
      <c r="C109" s="1164"/>
      <c r="D109" s="1261"/>
      <c r="E109" s="231"/>
      <c r="F109" s="1169"/>
      <c r="G109" s="1169"/>
      <c r="H109" s="1081"/>
      <c r="I109" s="1081"/>
      <c r="J109" s="1170"/>
      <c r="K109" s="1171"/>
      <c r="L109" s="1049"/>
      <c r="M109" s="1049"/>
      <c r="N109" s="1081"/>
    </row>
    <row r="110" spans="1:17" ht="15" customHeight="1">
      <c r="A110" s="1259"/>
      <c r="B110" s="1081"/>
      <c r="C110" s="1164"/>
      <c r="D110" s="1261"/>
      <c r="E110" s="231"/>
      <c r="F110" s="1169"/>
      <c r="G110" s="1169"/>
      <c r="H110" s="1081"/>
      <c r="I110" s="1081"/>
      <c r="J110" s="1170"/>
      <c r="K110" s="1171"/>
      <c r="L110" s="1049"/>
      <c r="M110" s="1049"/>
      <c r="N110" s="1081"/>
    </row>
    <row r="111" spans="1:17" ht="18.75" customHeight="1">
      <c r="A111" s="1259"/>
      <c r="B111" s="1081"/>
      <c r="C111" s="1164"/>
      <c r="D111" s="1261"/>
      <c r="E111" s="231"/>
      <c r="F111" s="1169"/>
      <c r="G111" s="1169"/>
      <c r="H111" s="1081"/>
      <c r="I111" s="1081"/>
      <c r="J111" s="1170"/>
      <c r="K111" s="1171"/>
      <c r="L111" s="1049"/>
      <c r="M111" s="1049"/>
      <c r="N111" s="1081"/>
    </row>
    <row r="112" spans="1:17" ht="27.95" customHeight="1">
      <c r="A112" s="1162" t="s">
        <v>2712</v>
      </c>
      <c r="B112" s="1194" t="s">
        <v>2775</v>
      </c>
      <c r="C112" s="1497" t="s">
        <v>2719</v>
      </c>
      <c r="D112" s="1498"/>
      <c r="E112" s="1106" t="s">
        <v>2732</v>
      </c>
      <c r="F112" s="1106" t="s">
        <v>2731</v>
      </c>
      <c r="G112" s="1106" t="s">
        <v>2718</v>
      </c>
      <c r="H112" s="1210" t="s">
        <v>2257</v>
      </c>
      <c r="I112" s="1199" t="s">
        <v>2714</v>
      </c>
      <c r="J112" s="1162" t="s">
        <v>2720</v>
      </c>
      <c r="K112" s="1162" t="s">
        <v>2713</v>
      </c>
      <c r="L112" s="1162" t="s">
        <v>2728</v>
      </c>
      <c r="M112" s="1162" t="s">
        <v>27</v>
      </c>
      <c r="N112" s="1162" t="s">
        <v>2143</v>
      </c>
    </row>
    <row r="113" spans="1:14" ht="27.95" customHeight="1">
      <c r="A113" s="1513">
        <v>140494</v>
      </c>
      <c r="B113" s="1074" t="s">
        <v>2865</v>
      </c>
      <c r="C113" s="1059" t="s">
        <v>20</v>
      </c>
      <c r="D113" s="1109" t="str">
        <f>INDEX(colProduct,MATCH(B113,colchoice,0))</f>
        <v>Medical Excellent and Homeland</v>
      </c>
      <c r="E113" s="1088"/>
      <c r="F113" s="1169"/>
      <c r="G113" s="1169"/>
      <c r="H113" s="1081"/>
      <c r="I113" s="1078">
        <f>IF(B113="N/A",0,INDEX(colRatesHT,MATCH(B113,colchoice,0)))</f>
        <v>892.64423076923072</v>
      </c>
      <c r="J113" s="1089">
        <f>(I113*(1-$D$91))</f>
        <v>892.64423076923072</v>
      </c>
      <c r="K113" s="1090">
        <v>547.5</v>
      </c>
      <c r="L113" s="264">
        <f>IF($D$115="monthly",K113/12*$D$108,K113/365*$D$107)</f>
        <v>0</v>
      </c>
      <c r="M113" s="1109">
        <f>IF($D$115="monthly",J113/12*$D$108,J113/365*$D$107)</f>
        <v>0</v>
      </c>
      <c r="N113" s="1109">
        <f>(M113*TAXE)+(L113)</f>
        <v>0</v>
      </c>
    </row>
    <row r="114" spans="1:14" ht="27.95" customHeight="1">
      <c r="A114" s="1514"/>
      <c r="B114" s="1073" t="s">
        <v>2866</v>
      </c>
      <c r="C114" s="1059" t="s">
        <v>34</v>
      </c>
      <c r="D114" s="1109" t="str">
        <f>INDEX(colCurrency,MATCH(B114,colchoice,0))</f>
        <v>EUR</v>
      </c>
      <c r="E114" s="1088"/>
      <c r="F114" s="1169"/>
      <c r="G114" s="1169"/>
      <c r="H114" s="1081"/>
      <c r="I114" s="1078">
        <f>IF(B114="N/A",0,INDEX(colRatesHT,MATCH(B114,colchoice,0)))</f>
        <v>115.38461538461539</v>
      </c>
      <c r="J114" s="1089">
        <f>(I114*(1-$D$91))</f>
        <v>115.38461538461539</v>
      </c>
      <c r="K114" s="1070">
        <v>0</v>
      </c>
      <c r="L114" s="264">
        <f>IF($D$115="monthly",K114/12*$D$108,K114/365*$D$107)</f>
        <v>0</v>
      </c>
      <c r="M114" s="1109">
        <f>IF($D$115="monthly",J114/12*$D$108,J114/365*$D$107)</f>
        <v>0</v>
      </c>
      <c r="N114" s="1109">
        <f>(M114*TAXE)+(L114)</f>
        <v>0</v>
      </c>
    </row>
    <row r="115" spans="1:14" ht="27.95" customHeight="1">
      <c r="A115" s="1515"/>
      <c r="B115" s="1125" t="str">
        <f>IF(INDEX(colAssureur,MATCH(B113,colchoice,0))=INDEX(colAssureur,MATCH(B114,colchoice,0)),INDEX(colAssureur,MATCH(B113,colchoice,0)), "FAUX PARAMETRAGE")</f>
        <v>Anker Verzekeringen n.v.</v>
      </c>
      <c r="C115" s="1177" t="s">
        <v>2242</v>
      </c>
      <c r="D115" s="1178" t="s">
        <v>2278</v>
      </c>
      <c r="E115" s="1088"/>
      <c r="F115" s="1169"/>
      <c r="G115" s="1169"/>
      <c r="H115" s="1199" t="s">
        <v>60</v>
      </c>
      <c r="I115" s="1078">
        <f t="shared" ref="I115:N115" si="7">I113+I114</f>
        <v>1008.0288461538461</v>
      </c>
      <c r="J115" s="1078">
        <f t="shared" si="7"/>
        <v>1008.0288461538461</v>
      </c>
      <c r="K115" s="1078">
        <f t="shared" si="7"/>
        <v>547.5</v>
      </c>
      <c r="L115" s="1078">
        <f t="shared" si="7"/>
        <v>0</v>
      </c>
      <c r="M115" s="1094">
        <f t="shared" si="7"/>
        <v>0</v>
      </c>
      <c r="N115" s="1094">
        <f t="shared" si="7"/>
        <v>0</v>
      </c>
    </row>
    <row r="116" spans="1:14" ht="27.95" customHeight="1">
      <c r="A116" s="1506"/>
      <c r="B116" s="1507"/>
      <c r="C116" s="1177" t="s">
        <v>2371</v>
      </c>
      <c r="D116" s="1179" t="s">
        <v>2357</v>
      </c>
      <c r="E116" s="1159"/>
      <c r="F116" s="1164"/>
      <c r="G116" s="1076"/>
      <c r="H116" s="1076"/>
      <c r="I116" s="1067"/>
      <c r="J116" s="1067"/>
      <c r="K116" s="1067"/>
      <c r="L116" s="1067"/>
      <c r="M116" s="1067"/>
      <c r="N116" s="1067"/>
    </row>
    <row r="117" spans="1:14" ht="27.95" customHeight="1">
      <c r="A117" s="1508"/>
      <c r="B117" s="1509"/>
      <c r="C117" s="1180" t="s">
        <v>2580</v>
      </c>
      <c r="D117" s="1179">
        <v>0</v>
      </c>
      <c r="E117" s="1159"/>
      <c r="F117" s="1164"/>
      <c r="G117" s="1076"/>
      <c r="H117" s="1076"/>
      <c r="I117" s="1067"/>
      <c r="J117" s="1067"/>
      <c r="K117" s="1067"/>
      <c r="L117" s="1067"/>
      <c r="M117" s="1067"/>
      <c r="N117" s="1067"/>
    </row>
    <row r="118" spans="1:14" ht="19.5" customHeight="1">
      <c r="A118" s="1159"/>
      <c r="B118" s="1159"/>
      <c r="C118" s="1159"/>
      <c r="D118" s="1159"/>
      <c r="E118" s="1159"/>
      <c r="F118" s="1159"/>
      <c r="G118" s="1159"/>
      <c r="H118" s="1159"/>
      <c r="I118" s="1159"/>
      <c r="J118" s="1159"/>
      <c r="K118" s="1159"/>
      <c r="L118" s="1159"/>
      <c r="M118" s="1159"/>
      <c r="N118" s="1159"/>
    </row>
    <row r="119" spans="1:14" ht="18.75" customHeight="1">
      <c r="A119" s="1159"/>
      <c r="B119" s="1159"/>
      <c r="C119" s="1159"/>
      <c r="D119" s="1159"/>
      <c r="E119" s="1159"/>
      <c r="F119" s="1159"/>
      <c r="G119" s="1159"/>
      <c r="H119" s="1159"/>
      <c r="I119" s="1159"/>
      <c r="J119" s="1159"/>
      <c r="K119" s="1159"/>
      <c r="L119" s="1159"/>
      <c r="M119" s="1159"/>
      <c r="N119" s="1159"/>
    </row>
    <row r="120" spans="1:14" ht="27.95" customHeight="1">
      <c r="A120" s="1180" t="s">
        <v>2712</v>
      </c>
      <c r="B120" s="1193" t="s">
        <v>2774</v>
      </c>
      <c r="C120" s="1490" t="s">
        <v>2719</v>
      </c>
      <c r="D120" s="1491"/>
      <c r="E120" s="1106" t="s">
        <v>2732</v>
      </c>
      <c r="F120" s="1106" t="s">
        <v>2731</v>
      </c>
      <c r="G120" s="1106" t="s">
        <v>2718</v>
      </c>
      <c r="H120" s="1111" t="s">
        <v>2257</v>
      </c>
      <c r="I120" s="1106" t="s">
        <v>2714</v>
      </c>
      <c r="J120" s="1162" t="s">
        <v>2284</v>
      </c>
      <c r="K120" s="1162" t="s">
        <v>2713</v>
      </c>
      <c r="L120" s="1162" t="s">
        <v>2728</v>
      </c>
      <c r="M120" s="1162" t="s">
        <v>27</v>
      </c>
      <c r="N120" s="1162" t="s">
        <v>2143</v>
      </c>
    </row>
    <row r="121" spans="1:14" ht="27.95" customHeight="1">
      <c r="A121" s="1513">
        <v>140494</v>
      </c>
      <c r="B121" s="1142" t="s">
        <v>2861</v>
      </c>
      <c r="C121" s="1059" t="s">
        <v>34</v>
      </c>
      <c r="D121" s="1109" t="str">
        <f>INDEX(colCurrency,MATCH(B121,colchoice,0))</f>
        <v>EUR</v>
      </c>
      <c r="E121" s="1105">
        <v>50000</v>
      </c>
      <c r="F121" s="1108">
        <v>3</v>
      </c>
      <c r="G121" s="1105">
        <v>0</v>
      </c>
      <c r="H121" s="1112">
        <f>IF(G121=0,IF($D$124="FIXE",E121,IF(G121&gt;F121*$J$32,G121,F121*$J$32)),G121)</f>
        <v>50000</v>
      </c>
      <c r="I121" s="1104">
        <f>IF(B121="N/A",0,INDEX(colRatesHT,MATCH(B121,colchoice,0)))</f>
        <v>6.9103448275862072E-4</v>
      </c>
      <c r="J121" s="1068">
        <f>H121*I121</f>
        <v>34.551724137931039</v>
      </c>
      <c r="K121" s="1090">
        <v>0</v>
      </c>
      <c r="L121" s="264">
        <f>IF($D$122="monthly",K121/12*$D$108,K121/365*$D$107)</f>
        <v>0</v>
      </c>
      <c r="M121" s="1091">
        <f>IF($D$122="monthly",J121/12*$D$108,J121/365*$D$107)</f>
        <v>0</v>
      </c>
      <c r="N121" s="1091">
        <f>(M121*TAXE)+(L121)</f>
        <v>0</v>
      </c>
    </row>
    <row r="122" spans="1:14" ht="27.95" customHeight="1">
      <c r="A122" s="1514"/>
      <c r="B122" s="1142" t="s">
        <v>2236</v>
      </c>
      <c r="C122" s="1059" t="s">
        <v>2242</v>
      </c>
      <c r="D122" s="1168" t="s">
        <v>2278</v>
      </c>
      <c r="E122" s="1105">
        <v>50000</v>
      </c>
      <c r="F122" s="1108">
        <v>3</v>
      </c>
      <c r="G122" s="1105">
        <v>0</v>
      </c>
      <c r="H122" s="1112">
        <f>IF(G122=0,IF($D$124="FIXE",E122,IF(G122&gt;F122*$J$32,G122,F122*$J$32)),G122)</f>
        <v>50000</v>
      </c>
      <c r="I122" s="1101">
        <f>IF(B122="N/A",0,INDEX(colRatesHT,MATCH(B122,colchoice,0)))</f>
        <v>0</v>
      </c>
      <c r="J122" s="1068">
        <f>H122*I122</f>
        <v>0</v>
      </c>
      <c r="K122" s="1070">
        <v>0</v>
      </c>
      <c r="L122" s="264">
        <f t="shared" ref="L122:L124" si="8">IF($D$122="monthly",K122/12*$D$108,K122/365*$D$107)</f>
        <v>0</v>
      </c>
      <c r="M122" s="1091">
        <f t="shared" ref="M122:M124" si="9">IF($D$122="monthly",J122/12*$D$108,J122/365*$D$107)</f>
        <v>0</v>
      </c>
      <c r="N122" s="1091">
        <f>(M122*TAXE)+(L122)</f>
        <v>0</v>
      </c>
    </row>
    <row r="123" spans="1:14" ht="27.95" customHeight="1">
      <c r="A123" s="1514"/>
      <c r="B123" s="1142" t="s">
        <v>2862</v>
      </c>
      <c r="C123" s="1176" t="s">
        <v>2371</v>
      </c>
      <c r="D123" s="1062" t="s">
        <v>2236</v>
      </c>
      <c r="E123" s="1105">
        <v>50000</v>
      </c>
      <c r="F123" s="1108">
        <v>3</v>
      </c>
      <c r="G123" s="1105">
        <v>0</v>
      </c>
      <c r="H123" s="1112">
        <f>IF(G123=0,IF($D$124="FIXE",E123,IF(G123&gt;F123*$J$32,G123,F123*$J$32)),G123)</f>
        <v>50000</v>
      </c>
      <c r="I123" s="1101">
        <f>IF(B123="N/A",0,INDEX(colRatesHT,MATCH(B123,colchoice,0)))</f>
        <v>8.5379310344827581E-4</v>
      </c>
      <c r="J123" s="1068">
        <f>H123*I123</f>
        <v>42.689655172413794</v>
      </c>
      <c r="K123" s="1070">
        <v>0</v>
      </c>
      <c r="L123" s="264">
        <f t="shared" si="8"/>
        <v>0</v>
      </c>
      <c r="M123" s="1091">
        <f t="shared" si="9"/>
        <v>0</v>
      </c>
      <c r="N123" s="1091">
        <f>(M123*TAXE)+(L123)</f>
        <v>0</v>
      </c>
    </row>
    <row r="124" spans="1:14" ht="27.95" customHeight="1">
      <c r="A124" s="1515"/>
      <c r="B124" s="1142" t="s">
        <v>2236</v>
      </c>
      <c r="C124" s="1177" t="s">
        <v>2730</v>
      </c>
      <c r="D124" s="1213" t="s">
        <v>2145</v>
      </c>
      <c r="E124" s="1105">
        <v>50000</v>
      </c>
      <c r="F124" s="1108">
        <v>3</v>
      </c>
      <c r="G124" s="1105">
        <v>0</v>
      </c>
      <c r="H124" s="1112">
        <f>IF(G124=0,IF($D$124="FIXE",E124,IF(G124&gt;F124*$J$32,G124,F124*$J$32)),G124)</f>
        <v>50000</v>
      </c>
      <c r="I124" s="1101">
        <f>IF(B124="N/A",0,INDEX(colRatesHT,MATCH(B124,colchoice,0)))</f>
        <v>0</v>
      </c>
      <c r="J124" s="1068">
        <f>H124*I124</f>
        <v>0</v>
      </c>
      <c r="K124" s="1070">
        <v>0</v>
      </c>
      <c r="L124" s="264">
        <f t="shared" si="8"/>
        <v>0</v>
      </c>
      <c r="M124" s="1091">
        <f t="shared" si="9"/>
        <v>0</v>
      </c>
      <c r="N124" s="1091">
        <f>(M124*TAXE)+(L124)</f>
        <v>0</v>
      </c>
    </row>
    <row r="125" spans="1:14" ht="27.95" customHeight="1">
      <c r="A125" s="55"/>
      <c r="B125" s="1125" t="str">
        <f>IF(INDEX(colAssureur,MATCH(B121,colchoice,0))=INDEX(colAssureur,MATCH(B122,colchoice,0)),INDEX(colAssureur,MATCH(B122,colchoice,0)), "FAUX PARAMETRAGE")</f>
        <v>FAUX PARAMETRAGE</v>
      </c>
      <c r="C125" s="1159"/>
      <c r="D125" s="1159"/>
      <c r="E125" s="1159"/>
      <c r="F125" s="1164"/>
      <c r="G125" s="1159"/>
      <c r="H125" s="1159"/>
      <c r="I125" s="1307">
        <f>SUM(I121:I124)</f>
        <v>1.5448275862068965E-3</v>
      </c>
      <c r="J125" s="1159"/>
      <c r="K125" s="1159"/>
      <c r="L125" s="1159"/>
      <c r="M125" s="1181">
        <f>SUM(M121:M124)</f>
        <v>0</v>
      </c>
      <c r="N125" s="1181">
        <f>SUM(N121:N124)</f>
        <v>0</v>
      </c>
    </row>
    <row r="126" spans="1:14" ht="27.95" customHeight="1">
      <c r="A126" s="55"/>
      <c r="B126" s="1193" t="s">
        <v>199</v>
      </c>
      <c r="C126" s="1490" t="s">
        <v>2719</v>
      </c>
      <c r="D126" s="1491"/>
      <c r="E126" s="1106" t="s">
        <v>2732</v>
      </c>
      <c r="F126" s="1106" t="s">
        <v>2731</v>
      </c>
      <c r="G126" s="1106" t="s">
        <v>2718</v>
      </c>
      <c r="H126" s="1111" t="s">
        <v>2257</v>
      </c>
      <c r="I126" s="1106" t="s">
        <v>2714</v>
      </c>
      <c r="J126" s="1162" t="s">
        <v>2284</v>
      </c>
      <c r="K126" s="1162" t="s">
        <v>2713</v>
      </c>
      <c r="L126" s="1162" t="s">
        <v>2728</v>
      </c>
      <c r="M126" s="1162" t="s">
        <v>27</v>
      </c>
      <c r="N126" s="1162" t="s">
        <v>2143</v>
      </c>
    </row>
    <row r="127" spans="1:14" ht="27.95" customHeight="1">
      <c r="A127" s="55"/>
      <c r="B127" s="1103" t="s">
        <v>2236</v>
      </c>
      <c r="C127" s="1177" t="s">
        <v>2371</v>
      </c>
      <c r="D127" s="1179" t="s">
        <v>2236</v>
      </c>
      <c r="E127" s="1202">
        <f>$K$32</f>
        <v>0</v>
      </c>
      <c r="F127" s="1188">
        <v>1</v>
      </c>
      <c r="G127" s="1186">
        <v>0</v>
      </c>
      <c r="H127" s="1112">
        <f>IF(G127=0,IF($D$128="FIXE",E127,IF(G127&gt;F127*E127,G127,F127*E127)),G127)</f>
        <v>0</v>
      </c>
      <c r="I127" s="1187">
        <f>IF(B127="N/A",0,INDEX(colRatesHT,MATCH(B127,colchoice,0)))</f>
        <v>0</v>
      </c>
      <c r="J127" s="1189">
        <f>H127*I127</f>
        <v>0</v>
      </c>
      <c r="K127" s="1190">
        <v>0</v>
      </c>
      <c r="L127" s="1191">
        <f>IF($D$122="monthly",K127/12*MAXMONTHS,K127/365*MAXDAYS)</f>
        <v>0</v>
      </c>
      <c r="M127" s="1192">
        <f>IF($D$122="monthly",J127,J127)</f>
        <v>0</v>
      </c>
      <c r="N127" s="1192">
        <f>(M127*TAXE)+(L127)</f>
        <v>0</v>
      </c>
    </row>
    <row r="128" spans="1:14" ht="27.95" customHeight="1">
      <c r="A128" s="55"/>
      <c r="B128" s="1103" t="s">
        <v>2236</v>
      </c>
      <c r="C128" s="1182" t="s">
        <v>2730</v>
      </c>
      <c r="D128" s="1213" t="s">
        <v>2147</v>
      </c>
      <c r="E128" s="1202">
        <f>$K$32</f>
        <v>0</v>
      </c>
      <c r="F128" s="1188">
        <v>1</v>
      </c>
      <c r="G128" s="1186">
        <v>0</v>
      </c>
      <c r="H128" s="1112">
        <f>IF(G128=0,IF($D$128="FIXE",E128,IF(G128&gt;F128*E128,G128,F128*E128)),G128)</f>
        <v>0</v>
      </c>
      <c r="I128" s="1187">
        <f>IF(B128="N/A",0,INDEX(colRatesHT,MATCH(B128,colchoice,0)))</f>
        <v>0</v>
      </c>
      <c r="J128" s="1189">
        <f>H128*I128</f>
        <v>0</v>
      </c>
      <c r="K128" s="1190">
        <v>0</v>
      </c>
      <c r="L128" s="1191">
        <f>IF($D$122="monthly",K128/12*MAXMONTHS,K128/365*MAXDAYS)</f>
        <v>0</v>
      </c>
      <c r="M128" s="1192">
        <f>IF($D$122="monthly",J128,J128)</f>
        <v>0</v>
      </c>
      <c r="N128" s="1190">
        <f>(M128*TAXE)+(L128)</f>
        <v>0</v>
      </c>
    </row>
    <row r="129" spans="1:14" ht="27.95" customHeight="1">
      <c r="A129" s="55"/>
      <c r="B129" s="1125" t="str">
        <f>IF(INDEX(colAssureur,MATCH(B127,colchoice,0))=INDEX(colAssureur,MATCH(B128,colchoice,0)),INDEX(colAssureur,MATCH(B128,colchoice,0)), "FAUX PARAMETRAGE")</f>
        <v>N/A</v>
      </c>
      <c r="C129" s="1164"/>
      <c r="D129" s="1236"/>
      <c r="E129" s="1081"/>
      <c r="F129" s="1113"/>
      <c r="G129" s="1114"/>
      <c r="H129" s="1113"/>
      <c r="I129" s="1307">
        <f>SUM(I127:I128)</f>
        <v>0</v>
      </c>
      <c r="J129" s="1115"/>
      <c r="K129" s="262"/>
      <c r="L129" s="262"/>
      <c r="M129" s="1184">
        <f>SUM(M127:M128)</f>
        <v>0</v>
      </c>
      <c r="N129" s="1184">
        <f>SUM(N127:N128)</f>
        <v>0</v>
      </c>
    </row>
    <row r="130" spans="1:14" ht="27.95" customHeight="1">
      <c r="A130" s="55"/>
      <c r="B130" s="1263"/>
      <c r="C130" s="1164"/>
      <c r="D130" s="1236"/>
      <c r="E130" s="1081"/>
      <c r="F130" s="1164"/>
      <c r="G130" s="1144"/>
      <c r="H130" s="1144"/>
      <c r="I130" s="1144"/>
      <c r="J130" s="1144"/>
      <c r="K130" s="1144"/>
      <c r="L130" s="1081"/>
      <c r="M130" s="1159"/>
      <c r="N130" s="1159"/>
    </row>
    <row r="131" spans="1:14" ht="27.95" customHeight="1">
      <c r="A131" s="55"/>
      <c r="B131" s="1080"/>
      <c r="C131" s="1164"/>
      <c r="D131" s="1236"/>
      <c r="E131" s="1081"/>
      <c r="F131" s="1164"/>
      <c r="G131" s="1159"/>
      <c r="H131" s="1159"/>
      <c r="I131" s="1159"/>
      <c r="J131" s="1159"/>
      <c r="K131" s="1159"/>
      <c r="L131" s="1159"/>
      <c r="M131" s="1159"/>
      <c r="N131" s="1159"/>
    </row>
    <row r="132" spans="1:14" ht="27.95" customHeight="1"/>
    <row r="133" spans="1:14" ht="27.95" customHeight="1"/>
    <row r="134" spans="1:14" ht="27.95" customHeight="1"/>
  </sheetData>
  <mergeCells count="68">
    <mergeCell ref="C120:D120"/>
    <mergeCell ref="A121:A124"/>
    <mergeCell ref="C126:D126"/>
    <mergeCell ref="C112:D112"/>
    <mergeCell ref="A113:A115"/>
    <mergeCell ref="C100:D100"/>
    <mergeCell ref="A116:B117"/>
    <mergeCell ref="B20:D20"/>
    <mergeCell ref="B21:D21"/>
    <mergeCell ref="A41:A43"/>
    <mergeCell ref="A106:A108"/>
    <mergeCell ref="C106:D106"/>
    <mergeCell ref="A69:A72"/>
    <mergeCell ref="A95:A98"/>
    <mergeCell ref="C94:D94"/>
    <mergeCell ref="C80:D80"/>
    <mergeCell ref="A87:A89"/>
    <mergeCell ref="A90:B91"/>
    <mergeCell ref="C86:D86"/>
    <mergeCell ref="A80:A82"/>
    <mergeCell ref="A62:A64"/>
    <mergeCell ref="C12:G12"/>
    <mergeCell ref="C74:D74"/>
    <mergeCell ref="H16:N16"/>
    <mergeCell ref="I17:N17"/>
    <mergeCell ref="C61:D61"/>
    <mergeCell ref="C68:D68"/>
    <mergeCell ref="C44:D44"/>
    <mergeCell ref="I22:N22"/>
    <mergeCell ref="I23:N23"/>
    <mergeCell ref="I24:N24"/>
    <mergeCell ref="C41:D41"/>
    <mergeCell ref="C55:D55"/>
    <mergeCell ref="B22:D22"/>
    <mergeCell ref="B23:D23"/>
    <mergeCell ref="B24:D24"/>
    <mergeCell ref="B17:D17"/>
    <mergeCell ref="C10:G10"/>
    <mergeCell ref="I8:K8"/>
    <mergeCell ref="I9:K9"/>
    <mergeCell ref="I10:K10"/>
    <mergeCell ref="I11:K11"/>
    <mergeCell ref="C8:G8"/>
    <mergeCell ref="C9:G9"/>
    <mergeCell ref="C11:G11"/>
    <mergeCell ref="H2:N6"/>
    <mergeCell ref="L13:M13"/>
    <mergeCell ref="L14:M14"/>
    <mergeCell ref="L8:M8"/>
    <mergeCell ref="L9:M9"/>
    <mergeCell ref="L10:M10"/>
    <mergeCell ref="L11:M11"/>
    <mergeCell ref="L12:M12"/>
    <mergeCell ref="I12:K12"/>
    <mergeCell ref="I18:N18"/>
    <mergeCell ref="I19:N19"/>
    <mergeCell ref="I20:N20"/>
    <mergeCell ref="I21:N21"/>
    <mergeCell ref="A55:A57"/>
    <mergeCell ref="A45:A47"/>
    <mergeCell ref="B19:D19"/>
    <mergeCell ref="B18:D18"/>
    <mergeCell ref="A49:A51"/>
    <mergeCell ref="A16:F16"/>
    <mergeCell ref="G13:K13"/>
    <mergeCell ref="G14:K14"/>
    <mergeCell ref="C13:F13"/>
    <mergeCell ref="C14:F14"/>
  </mergeCells>
  <pageMargins left="0.70866141732283472" right="0.70866141732283472" top="0.74803149606299213" bottom="0.74803149606299213" header="0.31496062992125984" footer="0.31496062992125984"/>
  <pageSetup paperSize="9" scale="55" orientation="landscape" r:id="rId1"/>
  <headerFooter>
    <oddHeader>&amp;Z&amp;F</oddHeader>
    <oddFooter>&amp;F&amp;RPage &amp;P</oddFooter>
  </headerFooter>
  <rowBreaks count="4" manualBreakCount="4">
    <brk id="25" max="13" man="1"/>
    <brk id="53" max="13" man="1"/>
    <brk id="78" max="13" man="1"/>
    <brk id="104" max="1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Drop Down 2">
              <controlPr defaultSize="0" autoLine="0" autoPict="0">
                <anchor moveWithCells="1">
                  <from>
                    <xdr:col>1</xdr:col>
                    <xdr:colOff>200025</xdr:colOff>
                    <xdr:row>55</xdr:row>
                    <xdr:rowOff>38100</xdr:rowOff>
                  </from>
                  <to>
                    <xdr:col>1</xdr:col>
                    <xdr:colOff>3400425</xdr:colOff>
                    <xdr:row>55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Drop Down 7">
              <controlPr defaultSize="0" autoLine="0" autoPict="0">
                <anchor moveWithCells="1">
                  <from>
                    <xdr:col>1</xdr:col>
                    <xdr:colOff>180975</xdr:colOff>
                    <xdr:row>56</xdr:row>
                    <xdr:rowOff>57150</xdr:rowOff>
                  </from>
                  <to>
                    <xdr:col>1</xdr:col>
                    <xdr:colOff>3419475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Drop Down 8">
              <controlPr defaultSize="0" autoLine="0" autoPict="0">
                <anchor moveWithCells="1">
                  <from>
                    <xdr:col>1</xdr:col>
                    <xdr:colOff>314325</xdr:colOff>
                    <xdr:row>81</xdr:row>
                    <xdr:rowOff>38100</xdr:rowOff>
                  </from>
                  <to>
                    <xdr:col>1</xdr:col>
                    <xdr:colOff>3267075</xdr:colOff>
                    <xdr:row>81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7" name="Drop Down 13">
              <controlPr defaultSize="0" autoLine="0" autoPict="0">
                <anchor moveWithCells="1">
                  <from>
                    <xdr:col>1</xdr:col>
                    <xdr:colOff>19050</xdr:colOff>
                    <xdr:row>10</xdr:row>
                    <xdr:rowOff>57150</xdr:rowOff>
                  </from>
                  <to>
                    <xdr:col>1</xdr:col>
                    <xdr:colOff>3648075</xdr:colOff>
                    <xdr:row>10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8" name="Drop Down 14">
              <controlPr defaultSize="0" autoLine="0" autoPict="0">
                <anchor moveWithCells="1">
                  <from>
                    <xdr:col>1</xdr:col>
                    <xdr:colOff>28575</xdr:colOff>
                    <xdr:row>12</xdr:row>
                    <xdr:rowOff>28575</xdr:rowOff>
                  </from>
                  <to>
                    <xdr:col>1</xdr:col>
                    <xdr:colOff>3619500</xdr:colOff>
                    <xdr:row>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Drop Down 20">
              <controlPr defaultSize="0" autoLine="0" autoPict="0">
                <anchor moveWithCells="1">
                  <from>
                    <xdr:col>1</xdr:col>
                    <xdr:colOff>19050</xdr:colOff>
                    <xdr:row>11</xdr:row>
                    <xdr:rowOff>85725</xdr:rowOff>
                  </from>
                  <to>
                    <xdr:col>1</xdr:col>
                    <xdr:colOff>3629025</xdr:colOff>
                    <xdr:row>11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 Down 21">
              <controlPr defaultSize="0" autoLine="0" autoPict="0">
                <anchor moveWithCells="1">
                  <from>
                    <xdr:col>1</xdr:col>
                    <xdr:colOff>9525</xdr:colOff>
                    <xdr:row>13</xdr:row>
                    <xdr:rowOff>66675</xdr:rowOff>
                  </from>
                  <to>
                    <xdr:col>1</xdr:col>
                    <xdr:colOff>3619500</xdr:colOff>
                    <xdr:row>13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1" name="Drop Down 23">
              <controlPr defaultSize="0" autoLine="0" autoPict="0">
                <anchor moveWithCells="1">
                  <from>
                    <xdr:col>1</xdr:col>
                    <xdr:colOff>323850</xdr:colOff>
                    <xdr:row>80</xdr:row>
                    <xdr:rowOff>76200</xdr:rowOff>
                  </from>
                  <to>
                    <xdr:col>1</xdr:col>
                    <xdr:colOff>3248025</xdr:colOff>
                    <xdr:row>80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2" name="Drop Down 27">
              <controlPr defaultSize="0" autoLine="0" autoPict="0">
                <anchor moveWithCells="1">
                  <from>
                    <xdr:col>1</xdr:col>
                    <xdr:colOff>257175</xdr:colOff>
                    <xdr:row>41</xdr:row>
                    <xdr:rowOff>38100</xdr:rowOff>
                  </from>
                  <to>
                    <xdr:col>1</xdr:col>
                    <xdr:colOff>3228975</xdr:colOff>
                    <xdr:row>41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3" name="Drop Down 29">
              <controlPr defaultSize="0" autoLine="0" autoPict="0">
                <anchor moveWithCells="1">
                  <from>
                    <xdr:col>1</xdr:col>
                    <xdr:colOff>19050</xdr:colOff>
                    <xdr:row>5</xdr:row>
                    <xdr:rowOff>38100</xdr:rowOff>
                  </from>
                  <to>
                    <xdr:col>1</xdr:col>
                    <xdr:colOff>1362075</xdr:colOff>
                    <xdr:row>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14" name="Drop Down 30">
              <controlPr defaultSize="0" autoLine="0" autoPict="0">
                <anchor moveWithCells="1">
                  <from>
                    <xdr:col>1</xdr:col>
                    <xdr:colOff>57150</xdr:colOff>
                    <xdr:row>26</xdr:row>
                    <xdr:rowOff>38100</xdr:rowOff>
                  </from>
                  <to>
                    <xdr:col>1</xdr:col>
                    <xdr:colOff>3219450</xdr:colOff>
                    <xdr:row>26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5" name="Drop Down 31">
              <controlPr defaultSize="0" autoLine="0" autoPict="0">
                <anchor moveWithCells="1">
                  <from>
                    <xdr:col>1</xdr:col>
                    <xdr:colOff>57150</xdr:colOff>
                    <xdr:row>27</xdr:row>
                    <xdr:rowOff>47625</xdr:rowOff>
                  </from>
                  <to>
                    <xdr:col>1</xdr:col>
                    <xdr:colOff>3190875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6" name="Check Box 33">
              <controlPr defaultSize="0" autoFill="0" autoLine="0" autoPict="0">
                <anchor moveWithCells="1">
                  <from>
                    <xdr:col>1</xdr:col>
                    <xdr:colOff>66675</xdr:colOff>
                    <xdr:row>28</xdr:row>
                    <xdr:rowOff>66675</xdr:rowOff>
                  </from>
                  <to>
                    <xdr:col>1</xdr:col>
                    <xdr:colOff>1666875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17" name="Drop Down 37">
              <controlPr defaultSize="0" autoLine="0" autoPict="0">
                <anchor moveWithCells="1">
                  <from>
                    <xdr:col>1</xdr:col>
                    <xdr:colOff>314325</xdr:colOff>
                    <xdr:row>107</xdr:row>
                    <xdr:rowOff>38100</xdr:rowOff>
                  </from>
                  <to>
                    <xdr:col>1</xdr:col>
                    <xdr:colOff>3267075</xdr:colOff>
                    <xdr:row>107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18" name="Drop Down 38">
              <controlPr defaultSize="0" autoLine="0" autoPict="0">
                <anchor moveWithCells="1">
                  <from>
                    <xdr:col>1</xdr:col>
                    <xdr:colOff>323850</xdr:colOff>
                    <xdr:row>106</xdr:row>
                    <xdr:rowOff>76200</xdr:rowOff>
                  </from>
                  <to>
                    <xdr:col>1</xdr:col>
                    <xdr:colOff>3248025</xdr:colOff>
                    <xdr:row>106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LIST!$I$1:$I$5</xm:f>
          </x14:formula1>
          <xm:sqref>D123 D127 D116 D90 D71 D65 D47 D51 D101 D97 D75</xm:sqref>
        </x14:dataValidation>
        <x14:dataValidation type="list" allowBlank="1" showInputMessage="1" showErrorMessage="1">
          <x14:formula1>
            <xm:f>LIST!$H$1:$H$3</xm:f>
          </x14:formula1>
          <xm:sqref>D122 D115 D89 D70 D64 D46 D96 D50</xm:sqref>
        </x14:dataValidation>
        <x14:dataValidation type="list" allowBlank="1" showInputMessage="1" showErrorMessage="1">
          <x14:formula1>
            <xm:f>LIST!$E$1:$E$5</xm:f>
          </x14:formula1>
          <xm:sqref>D124 D128 D76 D72 D102 D98</xm:sqref>
        </x14:dataValidation>
        <x14:dataValidation type="list" allowBlank="1" showInputMessage="1" showErrorMessage="1">
          <x14:formula1>
            <xm:f>Rates!$D$305:$D$334</xm:f>
          </x14:formula1>
          <xm:sqref>B127 B75 B101</xm:sqref>
        </x14:dataValidation>
        <x14:dataValidation type="list" allowBlank="1" showInputMessage="1" showErrorMessage="1">
          <x14:formula1>
            <xm:f>Rates!$D$336:$D$366</xm:f>
          </x14:formula1>
          <xm:sqref>B128 B76 B102</xm:sqref>
        </x14:dataValidation>
        <x14:dataValidation type="list" allowBlank="1" showInputMessage="1" showErrorMessage="1">
          <x14:formula1>
            <xm:f>Rates!$D$5:$D$120</xm:f>
          </x14:formula1>
          <xm:sqref>B113 B87 B62</xm:sqref>
        </x14:dataValidation>
        <x14:dataValidation type="list" allowBlank="1" showInputMessage="1" showErrorMessage="1">
          <x14:formula1>
            <xm:f>Rates!$D$122:$D$184</xm:f>
          </x14:formula1>
          <xm:sqref>B114 B88 B63</xm:sqref>
        </x14:dataValidation>
        <x14:dataValidation type="list" allowBlank="1" showInputMessage="1" showErrorMessage="1">
          <x14:formula1>
            <xm:f>Rates!$D$249:$D$279</xm:f>
          </x14:formula1>
          <xm:sqref>B123 B97 B71</xm:sqref>
        </x14:dataValidation>
        <x14:dataValidation type="list" allowBlank="1" showInputMessage="1" showErrorMessage="1">
          <x14:formula1>
            <xm:f>Rates!$D$193:$D$223</xm:f>
          </x14:formula1>
          <xm:sqref>B121 B95 B69</xm:sqref>
        </x14:dataValidation>
        <x14:dataValidation type="list" allowBlank="1" showInputMessage="1" showErrorMessage="1">
          <x14:formula1>
            <xm:f>Rates!$D$225:$D$247</xm:f>
          </x14:formula1>
          <xm:sqref>B122 B96 B70</xm:sqref>
        </x14:dataValidation>
        <x14:dataValidation type="list" allowBlank="1" showInputMessage="1" showErrorMessage="1">
          <x14:formula1>
            <xm:f>Rates!$D$281:$D$303</xm:f>
          </x14:formula1>
          <xm:sqref>B124 B98 B72</xm:sqref>
        </x14:dataValidation>
        <x14:dataValidation type="list" allowBlank="1" showInputMessage="1" showErrorMessage="1">
          <x14:formula1>
            <xm:f>Rates!$D$186:$D$191</xm:f>
          </x14:formula1>
          <xm:sqref>B49 B45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FF0000"/>
  </sheetPr>
  <dimension ref="A2:R215"/>
  <sheetViews>
    <sheetView view="pageBreakPreview" topLeftCell="A40" zoomScaleSheetLayoutView="100" workbookViewId="0">
      <selection activeCell="A42" sqref="A42:B43"/>
    </sheetView>
  </sheetViews>
  <sheetFormatPr baseColWidth="10" defaultColWidth="11.42578125" defaultRowHeight="15"/>
  <cols>
    <col min="1" max="1" width="11.5703125" style="1018" bestFit="1" customWidth="1"/>
    <col min="2" max="2" width="11.42578125" style="1018"/>
    <col min="3" max="3" width="16.5703125" style="1018" customWidth="1"/>
    <col min="4" max="4" width="19.5703125" style="1018" customWidth="1"/>
    <col min="5" max="5" width="15.28515625" style="1018" customWidth="1"/>
    <col min="6" max="6" width="13.28515625" style="1018" customWidth="1"/>
    <col min="7" max="7" width="26.5703125" style="1018" customWidth="1"/>
    <col min="8" max="8" width="8.5703125" style="1018" customWidth="1"/>
    <col min="9" max="9" width="24.85546875" style="1018" customWidth="1"/>
    <col min="10" max="10" width="11.42578125" style="1018"/>
    <col min="11" max="11" width="15" style="1018" customWidth="1"/>
    <col min="12" max="14" width="11.42578125" style="1018"/>
    <col min="15" max="15" width="14.42578125" style="1018" bestFit="1" customWidth="1"/>
    <col min="16" max="17" width="11.5703125" style="1018" bestFit="1" customWidth="1"/>
    <col min="18" max="16384" width="11.42578125" style="1018"/>
  </cols>
  <sheetData>
    <row r="2" spans="1:17">
      <c r="B2" s="1632" t="str">
        <f>certificateNB</f>
        <v>12600.1</v>
      </c>
      <c r="C2" s="1623" t="str">
        <f>YACHTNAME</f>
        <v xml:space="preserve">HUTIANE            </v>
      </c>
      <c r="D2" s="1624"/>
      <c r="E2" s="1625"/>
      <c r="G2" s="1135" t="s">
        <v>35</v>
      </c>
      <c r="H2" s="1136"/>
      <c r="I2" s="1137">
        <f>IF(Admin!E4="","",Admin!E4)</f>
        <v>41955</v>
      </c>
    </row>
    <row r="3" spans="1:17">
      <c r="B3" s="1632"/>
      <c r="C3" s="1626"/>
      <c r="D3" s="1627"/>
      <c r="E3" s="1628"/>
      <c r="G3" s="1138" t="s">
        <v>185</v>
      </c>
      <c r="H3" s="1080"/>
      <c r="I3" s="1139">
        <f>IF(Admin!E5="","",Admin!E5)</f>
        <v>43050</v>
      </c>
    </row>
    <row r="4" spans="1:17">
      <c r="B4" s="1632"/>
      <c r="C4" s="1629"/>
      <c r="D4" s="1630"/>
      <c r="E4" s="1631"/>
      <c r="G4" s="1140" t="s">
        <v>186</v>
      </c>
      <c r="H4" s="1124"/>
      <c r="I4" s="1141" t="str">
        <f>IF(Admin!E6="","",Admin!E6)</f>
        <v/>
      </c>
    </row>
    <row r="5" spans="1:17" ht="24.95" customHeight="1">
      <c r="A5" s="54"/>
      <c r="B5" s="938"/>
      <c r="C5" s="938"/>
      <c r="D5" s="1032"/>
      <c r="E5" s="1032"/>
      <c r="F5" s="50"/>
      <c r="G5" s="938"/>
      <c r="H5" s="1032"/>
      <c r="I5" s="1032"/>
      <c r="J5" s="1032"/>
      <c r="K5" s="1032"/>
      <c r="L5" s="938"/>
      <c r="M5" s="56"/>
      <c r="N5" s="57"/>
      <c r="O5" s="57"/>
      <c r="P5" s="57"/>
      <c r="Q5" s="58"/>
    </row>
    <row r="6" spans="1:17" ht="24.95" customHeight="1">
      <c r="A6" s="1050">
        <f>IF(Admin!G17="","",Admin!G17)</f>
        <v>0</v>
      </c>
      <c r="B6" s="1051">
        <f>IF(Admin!H17="","",Admin!H17)</f>
        <v>41955</v>
      </c>
      <c r="C6" s="1524" t="str">
        <f>IF(Admin!I17="","",Admin!I17)</f>
        <v/>
      </c>
      <c r="D6" s="1524"/>
      <c r="E6" s="1524"/>
      <c r="F6" s="1525"/>
      <c r="G6" s="1083" t="str">
        <f>lig1_POL_MED</f>
        <v>L2022479</v>
      </c>
      <c r="H6" s="1520" t="str">
        <f>Modules!E40</f>
        <v>Perfect for All Crew members, except day workers</v>
      </c>
      <c r="I6" s="1520"/>
      <c r="J6" s="1520"/>
      <c r="K6" s="1520"/>
      <c r="L6" s="1520"/>
      <c r="M6" s="1520"/>
      <c r="N6" s="1520"/>
      <c r="O6" s="1520"/>
      <c r="P6" s="1521"/>
      <c r="Q6" s="1048" t="str">
        <f>Admin!D63</f>
        <v>EUR</v>
      </c>
    </row>
    <row r="7" spans="1:17" ht="24.95" customHeight="1">
      <c r="A7" s="1126">
        <f>IF(Admin!G18="","",Admin!G18)</f>
        <v>1</v>
      </c>
      <c r="B7" s="1096">
        <f>IF(Admin!H18="","",Admin!H18)</f>
        <v>42167</v>
      </c>
      <c r="C7" s="1459" t="str">
        <f>IF(Admin!I18="","",Admin!I18)</f>
        <v/>
      </c>
      <c r="D7" s="1459"/>
      <c r="E7" s="1459"/>
      <c r="F7" s="1460"/>
      <c r="G7" s="1084" t="str">
        <f>lig2_POL_MED</f>
        <v/>
      </c>
      <c r="H7" s="1522" t="str">
        <f>Modules!E69</f>
        <v/>
      </c>
      <c r="I7" s="1522"/>
      <c r="J7" s="1522"/>
      <c r="K7" s="1522"/>
      <c r="L7" s="1522"/>
      <c r="M7" s="1522"/>
      <c r="N7" s="1522"/>
      <c r="O7" s="1522"/>
      <c r="P7" s="1523"/>
      <c r="Q7" s="1299" t="str">
        <f>Admin!D88</f>
        <v/>
      </c>
    </row>
    <row r="8" spans="1:17" ht="24.95" customHeight="1">
      <c r="A8" s="1126">
        <f>IF(Admin!G19="","",Admin!G19)</f>
        <v>1</v>
      </c>
      <c r="B8" s="1096">
        <f>IF(Admin!H19="","",Admin!H19)</f>
        <v>42686</v>
      </c>
      <c r="C8" s="1459" t="str">
        <f>IF(Admin!I19="","",Admin!I19)</f>
        <v>Perfect</v>
      </c>
      <c r="D8" s="1459"/>
      <c r="E8" s="1459"/>
      <c r="F8" s="1460"/>
      <c r="G8" s="1084">
        <f>lig3_POL_MED</f>
        <v>140494</v>
      </c>
      <c r="H8" s="1522" t="str">
        <f>Modules!E94</f>
        <v>Medical Excellent and Homeland for Day Workers</v>
      </c>
      <c r="I8" s="1522"/>
      <c r="J8" s="1522"/>
      <c r="K8" s="1522"/>
      <c r="L8" s="1522"/>
      <c r="M8" s="1522"/>
      <c r="N8" s="1522"/>
      <c r="O8" s="1522"/>
      <c r="P8" s="1523"/>
      <c r="Q8" s="1299" t="str">
        <f>Admin!D114</f>
        <v>EUR</v>
      </c>
    </row>
    <row r="9" spans="1:17" s="1079" customFormat="1" ht="24.95" customHeight="1">
      <c r="A9" s="1126" t="str">
        <f>IF(Admin!G20="","",Admin!G20)</f>
        <v/>
      </c>
      <c r="B9" s="1096" t="str">
        <f>IF(Admin!H20="","",Admin!H20)</f>
        <v/>
      </c>
      <c r="C9" s="1459" t="str">
        <f>IF(Admin!I20="","",Admin!I20)</f>
        <v/>
      </c>
      <c r="D9" s="1459"/>
      <c r="E9" s="1459"/>
      <c r="F9" s="1460"/>
      <c r="G9" s="1084" t="str">
        <f>lig0_POL_Legal</f>
        <v/>
      </c>
      <c r="H9" s="1522" t="str">
        <f>Modules!E8</f>
        <v/>
      </c>
      <c r="I9" s="1522"/>
      <c r="J9" s="1522"/>
      <c r="K9" s="1522"/>
      <c r="L9" s="1522"/>
      <c r="M9" s="1522"/>
      <c r="N9" s="1522"/>
      <c r="O9" s="1522"/>
      <c r="P9" s="1523"/>
      <c r="Q9" s="1048" t="str">
        <f>Admin!D45</f>
        <v>EUR</v>
      </c>
    </row>
    <row r="10" spans="1:17" s="1079" customFormat="1" ht="24.95" customHeight="1">
      <c r="A10" s="1126" t="str">
        <f>IF(Admin!G21="","",Admin!G21)</f>
        <v/>
      </c>
      <c r="B10" s="1096" t="str">
        <f>IF(Admin!H21="","",Admin!H21)</f>
        <v/>
      </c>
      <c r="C10" s="1459" t="str">
        <f>IF(Admin!I21="","",Admin!I21)</f>
        <v/>
      </c>
      <c r="D10" s="1459"/>
      <c r="E10" s="1459"/>
      <c r="F10" s="1460"/>
      <c r="G10" s="1085" t="str">
        <f>lig0_POL_RC</f>
        <v/>
      </c>
      <c r="H10" s="1526" t="str">
        <f>Modules!F8</f>
        <v/>
      </c>
      <c r="I10" s="1526"/>
      <c r="J10" s="1526"/>
      <c r="K10" s="1526"/>
      <c r="L10" s="1526"/>
      <c r="M10" s="1526"/>
      <c r="N10" s="1526"/>
      <c r="O10" s="1526"/>
      <c r="P10" s="1527"/>
      <c r="Q10" s="1299" t="str">
        <f>Admin!D49</f>
        <v>EUR</v>
      </c>
    </row>
    <row r="11" spans="1:17" ht="24.95" customHeight="1">
      <c r="A11" s="1126" t="str">
        <f>IF(Admin!G22="","",Admin!G22)</f>
        <v/>
      </c>
      <c r="B11" s="1096" t="str">
        <f>IF(Admin!H22="","",Admin!H22)</f>
        <v/>
      </c>
      <c r="C11" s="1459" t="str">
        <f>IF(Admin!I22="","",Admin!I22)</f>
        <v/>
      </c>
      <c r="D11" s="1459"/>
      <c r="E11" s="1459"/>
      <c r="F11" s="1460"/>
      <c r="G11" s="1063">
        <f>lig1_POL_PREVOY</f>
        <v>240322</v>
      </c>
      <c r="H11" s="1522" t="str">
        <f>Modules!F40</f>
        <v>Formula 3: LOL&amp;PTD 300% annual salary  , 100% annual salary   for All Crew members, except day workers</v>
      </c>
      <c r="I11" s="1522"/>
      <c r="J11" s="1522"/>
      <c r="K11" s="1522"/>
      <c r="L11" s="1522"/>
      <c r="M11" s="1522"/>
      <c r="N11" s="1522"/>
      <c r="O11" s="1522"/>
      <c r="P11" s="1523"/>
      <c r="Q11" s="1299" t="str">
        <f>Admin!D69</f>
        <v>EUR</v>
      </c>
    </row>
    <row r="12" spans="1:17" ht="24.95" customHeight="1">
      <c r="A12" s="1126" t="str">
        <f>IF(Admin!G23="","",Admin!G23)</f>
        <v/>
      </c>
      <c r="B12" s="1096" t="str">
        <f>IF(Admin!H23="","",Admin!H23)</f>
        <v/>
      </c>
      <c r="C12" s="1459" t="str">
        <f>IF(Admin!I23="","",Admin!I23)</f>
        <v/>
      </c>
      <c r="D12" s="1459"/>
      <c r="E12" s="1459"/>
      <c r="F12" s="1460"/>
      <c r="G12" s="1063" t="str">
        <f>lig2_POL_PREVO</f>
        <v/>
      </c>
      <c r="H12" s="1522" t="str">
        <f>Modules!F69</f>
        <v/>
      </c>
      <c r="I12" s="1522"/>
      <c r="J12" s="1522"/>
      <c r="K12" s="1522"/>
      <c r="L12" s="1522"/>
      <c r="M12" s="1522"/>
      <c r="N12" s="1522"/>
      <c r="O12" s="1522"/>
      <c r="P12" s="1523"/>
      <c r="Q12" s="1299" t="str">
        <f>Admin!D95</f>
        <v/>
      </c>
    </row>
    <row r="13" spans="1:17" ht="24.95" customHeight="1">
      <c r="A13" s="1127" t="str">
        <f>IF(Admin!G24="","",Admin!G24)</f>
        <v/>
      </c>
      <c r="B13" s="1128" t="str">
        <f>IF(Admin!H24="","",Admin!H24)</f>
        <v/>
      </c>
      <c r="C13" s="1499" t="str">
        <f>IF(Admin!I24="","",Admin!I24)</f>
        <v/>
      </c>
      <c r="D13" s="1499"/>
      <c r="E13" s="1499"/>
      <c r="F13" s="1500"/>
      <c r="G13" s="1064">
        <f>lig3_POL_PREVOY</f>
        <v>140494</v>
      </c>
      <c r="H13" s="1522" t="str">
        <f>Modules!F94</f>
        <v>Formula Day Worker: LOL&amp;PTD 50000 EUR ,  for Day Workers</v>
      </c>
      <c r="I13" s="1522"/>
      <c r="J13" s="1522"/>
      <c r="K13" s="1522"/>
      <c r="L13" s="1522"/>
      <c r="M13" s="1522"/>
      <c r="N13" s="1522"/>
      <c r="O13" s="1522"/>
      <c r="P13" s="1523"/>
      <c r="Q13" s="1299" t="str">
        <f>Admin!D121</f>
        <v>EUR</v>
      </c>
    </row>
    <row r="14" spans="1:17" ht="15.75" thickBot="1">
      <c r="A14" s="938"/>
      <c r="B14" s="938"/>
      <c r="C14" s="938"/>
      <c r="D14" s="1032"/>
      <c r="E14" s="1032"/>
      <c r="F14" s="50"/>
      <c r="G14" s="1528"/>
      <c r="H14" s="1528"/>
      <c r="I14" s="1528"/>
      <c r="J14" s="1528"/>
      <c r="K14" s="1528"/>
      <c r="L14" s="1528"/>
      <c r="M14" s="1048"/>
      <c r="N14" s="1048"/>
      <c r="O14" s="1048"/>
      <c r="P14" s="1048"/>
      <c r="Q14" s="1048"/>
    </row>
    <row r="15" spans="1:17" ht="15.75" thickBot="1">
      <c r="A15" s="59"/>
      <c r="B15" s="60"/>
      <c r="C15" s="60"/>
      <c r="D15" s="60"/>
      <c r="E15" s="60"/>
      <c r="F15" s="60"/>
      <c r="G15" s="61"/>
      <c r="H15" s="61"/>
      <c r="I15" s="61"/>
      <c r="J15" s="61"/>
      <c r="K15" s="61"/>
      <c r="L15" s="61"/>
      <c r="M15" s="62"/>
      <c r="N15" s="62"/>
      <c r="O15" s="62"/>
      <c r="P15" s="62"/>
      <c r="Q15" s="51"/>
    </row>
    <row r="16" spans="1:17">
      <c r="A16" s="1516">
        <v>42320</v>
      </c>
      <c r="B16" s="1517"/>
      <c r="C16" s="1545" t="s">
        <v>2983</v>
      </c>
      <c r="D16" s="1545"/>
      <c r="E16" s="1545"/>
      <c r="F16" s="1545"/>
      <c r="G16" s="1529" t="str">
        <f>certificateNB</f>
        <v>12600.1</v>
      </c>
      <c r="H16" s="1531" t="str">
        <f>YACHTNAME</f>
        <v xml:space="preserve">HUTIANE            </v>
      </c>
      <c r="I16" s="1532"/>
      <c r="J16" s="1532"/>
      <c r="K16" s="1532"/>
      <c r="L16" s="1533"/>
      <c r="M16" s="1537" t="s">
        <v>203</v>
      </c>
      <c r="N16" s="1538"/>
      <c r="O16" s="1539">
        <v>40544</v>
      </c>
      <c r="P16" s="1540" t="s">
        <v>204</v>
      </c>
      <c r="Q16" s="1541">
        <v>1</v>
      </c>
    </row>
    <row r="17" spans="1:18" ht="15.75" thickBot="1">
      <c r="A17" s="1518"/>
      <c r="B17" s="1519"/>
      <c r="C17" s="1546"/>
      <c r="D17" s="1546"/>
      <c r="E17" s="1546"/>
      <c r="F17" s="1546"/>
      <c r="G17" s="1530"/>
      <c r="H17" s="1534"/>
      <c r="I17" s="1535"/>
      <c r="J17" s="1535"/>
      <c r="K17" s="1535"/>
      <c r="L17" s="1536"/>
      <c r="M17" s="1537"/>
      <c r="N17" s="1538"/>
      <c r="O17" s="1539"/>
      <c r="P17" s="1540"/>
      <c r="Q17" s="1541"/>
    </row>
    <row r="18" spans="1:18" ht="24.95" customHeight="1">
      <c r="A18" s="1350">
        <v>0</v>
      </c>
      <c r="B18" s="1349" t="s">
        <v>12</v>
      </c>
      <c r="C18" s="1547"/>
      <c r="D18" s="1547"/>
      <c r="E18" s="1547"/>
      <c r="F18" s="1547"/>
      <c r="G18" s="1446" t="s">
        <v>2883</v>
      </c>
      <c r="H18" s="1549" t="s">
        <v>2984</v>
      </c>
      <c r="I18" s="1549"/>
      <c r="J18" s="1549"/>
      <c r="K18" s="1549"/>
      <c r="L18" s="1549"/>
      <c r="M18" s="1542" t="s">
        <v>2550</v>
      </c>
      <c r="N18" s="1542"/>
      <c r="O18" s="1009">
        <v>3686.54</v>
      </c>
      <c r="P18" s="1543">
        <f>A16</f>
        <v>42320</v>
      </c>
      <c r="Q18" s="1544" t="str">
        <f>Q6</f>
        <v>EUR</v>
      </c>
      <c r="R18" s="1018">
        <v>1</v>
      </c>
    </row>
    <row r="19" spans="1:18" ht="24.95" customHeight="1">
      <c r="A19" s="1350">
        <v>0</v>
      </c>
      <c r="B19" s="1349" t="s">
        <v>205</v>
      </c>
      <c r="C19" s="1547"/>
      <c r="D19" s="1547"/>
      <c r="E19" s="1547"/>
      <c r="F19" s="1547"/>
      <c r="G19" s="1446"/>
      <c r="H19" s="1549"/>
      <c r="I19" s="1549"/>
      <c r="J19" s="1549"/>
      <c r="K19" s="1549"/>
      <c r="L19" s="1549"/>
      <c r="M19" s="1542" t="s">
        <v>2647</v>
      </c>
      <c r="N19" s="1542"/>
      <c r="O19" s="1009">
        <v>0</v>
      </c>
      <c r="P19" s="1543"/>
      <c r="Q19" s="1544"/>
      <c r="R19" s="1018">
        <v>2</v>
      </c>
    </row>
    <row r="20" spans="1:18" ht="24.95" customHeight="1">
      <c r="A20" s="1350">
        <v>0</v>
      </c>
      <c r="B20" s="1349"/>
      <c r="C20" s="1566"/>
      <c r="D20" s="1566"/>
      <c r="E20" s="1566"/>
      <c r="F20" s="1566"/>
      <c r="G20" s="1446"/>
      <c r="H20" s="1550"/>
      <c r="I20" s="1550"/>
      <c r="J20" s="1550"/>
      <c r="K20" s="1550"/>
      <c r="L20" s="1550"/>
      <c r="M20" s="1542" t="s">
        <v>211</v>
      </c>
      <c r="N20" s="1542"/>
      <c r="O20" s="1009">
        <v>0</v>
      </c>
      <c r="P20" s="1543"/>
      <c r="Q20" s="1544"/>
      <c r="R20" s="1018">
        <v>3</v>
      </c>
    </row>
    <row r="21" spans="1:18" ht="59.25" customHeight="1">
      <c r="A21" s="1449">
        <v>0</v>
      </c>
      <c r="B21" s="1351" t="s">
        <v>206</v>
      </c>
      <c r="C21" s="1567"/>
      <c r="D21" s="1567"/>
      <c r="E21" s="1567"/>
      <c r="F21" s="1567"/>
      <c r="G21" s="1446">
        <v>240322</v>
      </c>
      <c r="H21" s="1549" t="s">
        <v>2985</v>
      </c>
      <c r="I21" s="1549"/>
      <c r="J21" s="1549"/>
      <c r="K21" s="1549"/>
      <c r="L21" s="1549"/>
      <c r="M21" s="1542" t="s">
        <v>2648</v>
      </c>
      <c r="N21" s="1542"/>
      <c r="O21" s="1009">
        <v>5204.55</v>
      </c>
      <c r="P21" s="1543"/>
      <c r="Q21" s="1544"/>
      <c r="R21" s="1018">
        <v>4</v>
      </c>
    </row>
    <row r="22" spans="1:18" ht="41.25" customHeight="1">
      <c r="A22" s="1449">
        <v>0</v>
      </c>
      <c r="B22" s="1351" t="s">
        <v>212</v>
      </c>
      <c r="C22" s="1548"/>
      <c r="D22" s="1548"/>
      <c r="E22" s="1548"/>
      <c r="F22" s="1548"/>
      <c r="G22" s="1446"/>
      <c r="H22" s="1549"/>
      <c r="I22" s="1549"/>
      <c r="J22" s="1549"/>
      <c r="K22" s="1549"/>
      <c r="L22" s="1549"/>
      <c r="M22" s="1542" t="s">
        <v>2649</v>
      </c>
      <c r="N22" s="1542"/>
      <c r="O22" s="930">
        <v>0</v>
      </c>
      <c r="P22" s="1543"/>
      <c r="Q22" s="911">
        <f>RECAPITULATIF!T21</f>
        <v>291.97000000000003</v>
      </c>
      <c r="R22" s="1018">
        <v>5</v>
      </c>
    </row>
    <row r="23" spans="1:18" ht="24.95" customHeight="1">
      <c r="A23" s="1551" t="s">
        <v>2986</v>
      </c>
      <c r="B23" s="1552"/>
      <c r="C23" s="1552"/>
      <c r="D23" s="1552"/>
      <c r="E23" s="1552"/>
      <c r="F23" s="1552"/>
      <c r="G23" s="1006"/>
      <c r="H23" s="1557"/>
      <c r="I23" s="1557"/>
      <c r="J23" s="1557"/>
      <c r="K23" s="1557"/>
      <c r="L23" s="1557"/>
      <c r="M23" s="1542" t="s">
        <v>2650</v>
      </c>
      <c r="N23" s="1542"/>
      <c r="O23" s="930">
        <v>0</v>
      </c>
      <c r="P23" s="1543">
        <v>42685</v>
      </c>
      <c r="Q23" s="1556"/>
      <c r="R23" s="1018">
        <v>6</v>
      </c>
    </row>
    <row r="24" spans="1:18" ht="24.95" customHeight="1">
      <c r="A24" s="1551"/>
      <c r="B24" s="1552"/>
      <c r="C24" s="1552"/>
      <c r="D24" s="1552"/>
      <c r="E24" s="1552"/>
      <c r="F24" s="1552"/>
      <c r="G24" s="1006"/>
      <c r="H24" s="1557"/>
      <c r="I24" s="1557"/>
      <c r="J24" s="1557"/>
      <c r="K24" s="1557"/>
      <c r="L24" s="1557"/>
      <c r="M24" s="1558" t="s">
        <v>207</v>
      </c>
      <c r="N24" s="1558"/>
      <c r="O24" s="930">
        <v>36</v>
      </c>
      <c r="P24" s="1543"/>
      <c r="Q24" s="1556"/>
      <c r="R24" s="1018">
        <v>7</v>
      </c>
    </row>
    <row r="25" spans="1:18" ht="33" customHeight="1">
      <c r="A25" s="1551"/>
      <c r="B25" s="1552"/>
      <c r="C25" s="1552"/>
      <c r="D25" s="1552"/>
      <c r="E25" s="1552"/>
      <c r="F25" s="1552"/>
      <c r="G25" s="1007">
        <v>140494</v>
      </c>
      <c r="H25" s="1559" t="s">
        <v>2987</v>
      </c>
      <c r="I25" s="1559"/>
      <c r="J25" s="1559"/>
      <c r="K25" s="1559"/>
      <c r="L25" s="1560"/>
      <c r="M25" s="1561" t="s">
        <v>208</v>
      </c>
      <c r="N25" s="1561"/>
      <c r="O25" s="931">
        <v>647.61</v>
      </c>
      <c r="P25" s="1543"/>
      <c r="Q25" s="1562"/>
      <c r="R25" s="1018">
        <v>8</v>
      </c>
    </row>
    <row r="26" spans="1:18" ht="15" customHeight="1" thickBot="1">
      <c r="A26" s="1551"/>
      <c r="B26" s="1552"/>
      <c r="C26" s="1552"/>
      <c r="D26" s="1552"/>
      <c r="E26" s="1552"/>
      <c r="F26" s="1552"/>
      <c r="G26" s="1468"/>
      <c r="H26" s="1468"/>
      <c r="I26" s="1468"/>
      <c r="J26" s="1468"/>
      <c r="K26" s="1468"/>
      <c r="L26" s="1468"/>
      <c r="M26" s="1563" t="s">
        <v>209</v>
      </c>
      <c r="N26" s="1563"/>
      <c r="O26" s="910">
        <v>0</v>
      </c>
      <c r="P26" s="1543"/>
      <c r="Q26" s="1562"/>
      <c r="R26" s="1018">
        <v>9</v>
      </c>
    </row>
    <row r="27" spans="1:18" ht="15" customHeight="1" thickBot="1">
      <c r="A27" s="1551"/>
      <c r="B27" s="1552"/>
      <c r="C27" s="1552"/>
      <c r="D27" s="1552"/>
      <c r="E27" s="1552"/>
      <c r="F27" s="1552"/>
      <c r="G27" s="1468"/>
      <c r="H27" s="1468"/>
      <c r="I27" s="1468"/>
      <c r="J27" s="1468"/>
      <c r="K27" s="1468"/>
      <c r="L27" s="1468"/>
      <c r="M27" s="1564" t="s">
        <v>210</v>
      </c>
      <c r="N27" s="1565"/>
      <c r="O27" s="929">
        <v>9574.7000000000007</v>
      </c>
      <c r="P27" s="1543"/>
      <c r="Q27" s="1562"/>
      <c r="R27" s="1018">
        <v>10</v>
      </c>
    </row>
    <row r="28" spans="1:18" ht="15.75" customHeight="1" thickBot="1">
      <c r="A28" s="1553"/>
      <c r="B28" s="1554"/>
      <c r="C28" s="1554"/>
      <c r="D28" s="1554"/>
      <c r="E28" s="1554"/>
      <c r="F28" s="1554"/>
      <c r="G28" s="1970"/>
      <c r="H28" s="1970"/>
      <c r="I28" s="1970"/>
      <c r="J28" s="1970"/>
      <c r="K28" s="1970"/>
      <c r="L28" s="1970"/>
      <c r="Q28" s="1562"/>
    </row>
    <row r="29" spans="1:18">
      <c r="A29" s="1516">
        <v>42723</v>
      </c>
      <c r="B29" s="1517"/>
      <c r="C29" s="1973" t="s">
        <v>2990</v>
      </c>
      <c r="D29" s="1973"/>
      <c r="E29" s="1973"/>
      <c r="F29" s="1973"/>
      <c r="G29" s="1529" t="str">
        <f>certificateNB</f>
        <v>12600.1</v>
      </c>
      <c r="H29" s="1531" t="str">
        <f>YACHTNAME</f>
        <v xml:space="preserve">HUTIANE            </v>
      </c>
      <c r="I29" s="1532"/>
      <c r="J29" s="1532"/>
      <c r="K29" s="1532"/>
      <c r="L29" s="1533"/>
      <c r="M29" s="1537" t="s">
        <v>203</v>
      </c>
      <c r="N29" s="1538"/>
      <c r="O29" s="1539">
        <f>A29</f>
        <v>42723</v>
      </c>
      <c r="P29" s="1540" t="s">
        <v>204</v>
      </c>
      <c r="Q29" s="1541">
        <v>2</v>
      </c>
    </row>
    <row r="30" spans="1:18" ht="15.75" thickBot="1">
      <c r="A30" s="1518"/>
      <c r="B30" s="1519"/>
      <c r="C30" s="1972"/>
      <c r="D30" s="1972"/>
      <c r="E30" s="1972"/>
      <c r="F30" s="1972"/>
      <c r="G30" s="1530"/>
      <c r="H30" s="1534"/>
      <c r="I30" s="1535"/>
      <c r="J30" s="1535"/>
      <c r="K30" s="1535"/>
      <c r="L30" s="1536"/>
      <c r="M30" s="1537"/>
      <c r="N30" s="1538"/>
      <c r="O30" s="1539"/>
      <c r="P30" s="1540"/>
      <c r="Q30" s="1541"/>
    </row>
    <row r="31" spans="1:18" ht="24.95" customHeight="1">
      <c r="A31" s="1002">
        <v>0</v>
      </c>
      <c r="B31" s="1003" t="s">
        <v>12</v>
      </c>
      <c r="C31" s="1566"/>
      <c r="D31" s="1566"/>
      <c r="E31" s="1566"/>
      <c r="F31" s="1566"/>
      <c r="G31" s="1446" t="s">
        <v>2883</v>
      </c>
      <c r="H31" s="1549" t="s">
        <v>2984</v>
      </c>
      <c r="I31" s="1549"/>
      <c r="J31" s="1549"/>
      <c r="K31" s="1549"/>
      <c r="L31" s="1549"/>
      <c r="M31" s="1542" t="s">
        <v>2550</v>
      </c>
      <c r="N31" s="1542"/>
      <c r="O31" s="1009">
        <v>819.23</v>
      </c>
      <c r="P31" s="1543">
        <v>42320</v>
      </c>
      <c r="Q31" s="1544" t="str">
        <f>Q6</f>
        <v>EUR</v>
      </c>
      <c r="R31" s="1018">
        <v>1</v>
      </c>
    </row>
    <row r="32" spans="1:18" ht="24.95" customHeight="1">
      <c r="A32" s="1002">
        <v>0</v>
      </c>
      <c r="B32" s="1003" t="s">
        <v>205</v>
      </c>
      <c r="C32" s="1547"/>
      <c r="D32" s="1547"/>
      <c r="E32" s="1547"/>
      <c r="F32" s="1547"/>
      <c r="G32" s="1446"/>
      <c r="H32" s="1549"/>
      <c r="I32" s="1549"/>
      <c r="J32" s="1549"/>
      <c r="K32" s="1549"/>
      <c r="L32" s="1549"/>
      <c r="M32" s="1542" t="s">
        <v>2647</v>
      </c>
      <c r="N32" s="1542"/>
      <c r="O32" s="1009">
        <v>0</v>
      </c>
      <c r="P32" s="1543"/>
      <c r="Q32" s="1544"/>
      <c r="R32" s="1018">
        <v>2</v>
      </c>
    </row>
    <row r="33" spans="1:18" ht="24.95" customHeight="1">
      <c r="A33" s="1002">
        <v>0</v>
      </c>
      <c r="B33" s="1003"/>
      <c r="C33" s="1566"/>
      <c r="D33" s="1566"/>
      <c r="E33" s="1566"/>
      <c r="F33" s="1566"/>
      <c r="G33" s="1446"/>
      <c r="H33" s="1550"/>
      <c r="I33" s="1550"/>
      <c r="J33" s="1550"/>
      <c r="K33" s="1550"/>
      <c r="L33" s="1550"/>
      <c r="M33" s="1542" t="s">
        <v>211</v>
      </c>
      <c r="N33" s="1542"/>
      <c r="O33" s="1009">
        <v>0</v>
      </c>
      <c r="P33" s="1543"/>
      <c r="Q33" s="1544"/>
      <c r="R33" s="1018">
        <v>3</v>
      </c>
    </row>
    <row r="34" spans="1:18" ht="55.5" customHeight="1">
      <c r="A34" s="1033">
        <v>0</v>
      </c>
      <c r="B34" s="1005" t="s">
        <v>206</v>
      </c>
      <c r="C34" s="1567"/>
      <c r="D34" s="1567"/>
      <c r="E34" s="1567"/>
      <c r="F34" s="1567"/>
      <c r="G34" s="1446">
        <v>240322</v>
      </c>
      <c r="H34" s="1549" t="s">
        <v>2985</v>
      </c>
      <c r="I34" s="1549"/>
      <c r="J34" s="1549"/>
      <c r="K34" s="1549"/>
      <c r="L34" s="1549"/>
      <c r="M34" s="1542" t="s">
        <v>2648</v>
      </c>
      <c r="N34" s="1542"/>
      <c r="O34" s="1009">
        <v>645</v>
      </c>
      <c r="P34" s="1543"/>
      <c r="Q34" s="1544"/>
      <c r="R34" s="1018">
        <v>4</v>
      </c>
    </row>
    <row r="35" spans="1:18" ht="36" customHeight="1">
      <c r="A35" s="1033">
        <v>0</v>
      </c>
      <c r="B35" s="1005" t="s">
        <v>212</v>
      </c>
      <c r="C35" s="1548"/>
      <c r="D35" s="1548"/>
      <c r="E35" s="1548"/>
      <c r="F35" s="1548"/>
      <c r="G35" s="1004"/>
      <c r="H35" s="1549"/>
      <c r="I35" s="1549"/>
      <c r="J35" s="1549"/>
      <c r="K35" s="1549"/>
      <c r="L35" s="1549"/>
      <c r="M35" s="1542" t="s">
        <v>2649</v>
      </c>
      <c r="N35" s="1542"/>
      <c r="O35" s="930">
        <v>0</v>
      </c>
      <c r="P35" s="1543"/>
      <c r="Q35" s="911">
        <f>RECAPITULATIF!T22</f>
        <v>36.19</v>
      </c>
      <c r="R35" s="1018">
        <v>5</v>
      </c>
    </row>
    <row r="36" spans="1:18" ht="24.95" customHeight="1">
      <c r="A36" s="1551"/>
      <c r="B36" s="1552"/>
      <c r="C36" s="1552"/>
      <c r="D36" s="1552"/>
      <c r="E36" s="1552"/>
      <c r="F36" s="1552"/>
      <c r="G36" s="1004"/>
      <c r="H36" s="1549"/>
      <c r="I36" s="1549"/>
      <c r="J36" s="1549"/>
      <c r="K36" s="1549"/>
      <c r="L36" s="1549"/>
      <c r="M36" s="1542" t="s">
        <v>2650</v>
      </c>
      <c r="N36" s="1542"/>
      <c r="O36" s="930">
        <v>0</v>
      </c>
      <c r="P36" s="1543">
        <v>42685</v>
      </c>
      <c r="Q36" s="1556"/>
      <c r="R36" s="1018">
        <v>6</v>
      </c>
    </row>
    <row r="37" spans="1:18" ht="30" customHeight="1">
      <c r="A37" s="1551"/>
      <c r="B37" s="1552"/>
      <c r="C37" s="1552"/>
      <c r="D37" s="1552"/>
      <c r="E37" s="1552"/>
      <c r="F37" s="1552"/>
      <c r="G37" s="1004">
        <v>240365</v>
      </c>
      <c r="H37" s="1559" t="s">
        <v>2598</v>
      </c>
      <c r="I37" s="1559"/>
      <c r="J37" s="1559"/>
      <c r="K37" s="1559"/>
      <c r="L37" s="1560"/>
      <c r="M37" s="1558" t="s">
        <v>207</v>
      </c>
      <c r="N37" s="1558"/>
      <c r="O37" s="930">
        <v>8</v>
      </c>
      <c r="P37" s="1543"/>
      <c r="Q37" s="1556"/>
      <c r="R37" s="1018">
        <v>7</v>
      </c>
    </row>
    <row r="38" spans="1:18" ht="15" customHeight="1">
      <c r="A38" s="1551"/>
      <c r="B38" s="1552"/>
      <c r="C38" s="1552"/>
      <c r="D38" s="1552"/>
      <c r="E38" s="1552"/>
      <c r="F38" s="1552"/>
      <c r="G38" s="1006"/>
      <c r="H38" s="1557"/>
      <c r="I38" s="1557"/>
      <c r="J38" s="1557"/>
      <c r="K38" s="1557"/>
      <c r="L38" s="1557"/>
      <c r="M38" s="1561" t="s">
        <v>208</v>
      </c>
      <c r="N38" s="1561"/>
      <c r="O38" s="930">
        <v>94.76</v>
      </c>
      <c r="P38" s="1543"/>
      <c r="Q38" s="1562"/>
      <c r="R38" s="1018">
        <v>8</v>
      </c>
    </row>
    <row r="39" spans="1:18" ht="15" customHeight="1" thickBot="1">
      <c r="A39" s="1551"/>
      <c r="B39" s="1552"/>
      <c r="C39" s="1552"/>
      <c r="D39" s="1552"/>
      <c r="E39" s="1552"/>
      <c r="F39" s="1552"/>
      <c r="G39" s="1568"/>
      <c r="H39" s="1568"/>
      <c r="I39" s="1568"/>
      <c r="J39" s="1568"/>
      <c r="K39" s="1568"/>
      <c r="L39" s="1568"/>
      <c r="M39" s="1563" t="s">
        <v>209</v>
      </c>
      <c r="N39" s="1563"/>
      <c r="O39" s="910">
        <v>0</v>
      </c>
      <c r="P39" s="1543"/>
      <c r="Q39" s="1562"/>
      <c r="R39" s="1018">
        <v>9</v>
      </c>
    </row>
    <row r="40" spans="1:18" ht="22.5" customHeight="1" thickBot="1">
      <c r="A40" s="1551"/>
      <c r="B40" s="1552"/>
      <c r="C40" s="1552"/>
      <c r="D40" s="1552"/>
      <c r="E40" s="1552"/>
      <c r="F40" s="1552"/>
      <c r="G40" s="1568"/>
      <c r="H40" s="1568"/>
      <c r="I40" s="1568"/>
      <c r="J40" s="1568"/>
      <c r="K40" s="1568"/>
      <c r="L40" s="1568"/>
      <c r="M40" s="1564" t="s">
        <v>210</v>
      </c>
      <c r="N40" s="1565"/>
      <c r="O40" s="929">
        <v>1566.99</v>
      </c>
      <c r="P40" s="1543"/>
      <c r="Q40" s="1562"/>
      <c r="R40" s="1018">
        <v>10</v>
      </c>
    </row>
    <row r="41" spans="1:18" ht="15.75" customHeight="1" thickBot="1">
      <c r="A41" s="1553"/>
      <c r="B41" s="1570"/>
      <c r="C41" s="1570"/>
      <c r="D41" s="1570"/>
      <c r="E41" s="1570"/>
      <c r="F41" s="1570"/>
      <c r="G41" s="1569"/>
      <c r="H41" s="1569"/>
      <c r="I41" s="1569"/>
      <c r="J41" s="1569"/>
      <c r="K41" s="1569"/>
      <c r="L41" s="1569"/>
      <c r="M41" s="1471"/>
      <c r="N41" s="1471"/>
      <c r="O41" s="1471"/>
      <c r="P41" s="1471"/>
      <c r="Q41" s="1562"/>
    </row>
    <row r="42" spans="1:18">
      <c r="A42" s="1516">
        <v>42723</v>
      </c>
      <c r="B42" s="1517"/>
      <c r="C42" s="1545" t="s">
        <v>2993</v>
      </c>
      <c r="D42" s="1545"/>
      <c r="E42" s="1545"/>
      <c r="F42" s="1545"/>
      <c r="G42" s="1529" t="str">
        <f>certificateNB</f>
        <v>12600.1</v>
      </c>
      <c r="H42" s="1531" t="str">
        <f>YACHTNAME</f>
        <v xml:space="preserve">HUTIANE            </v>
      </c>
      <c r="I42" s="1532"/>
      <c r="J42" s="1532"/>
      <c r="K42" s="1532"/>
      <c r="L42" s="1533"/>
      <c r="M42" s="1537" t="s">
        <v>203</v>
      </c>
      <c r="N42" s="1538"/>
      <c r="O42" s="1539">
        <f>A42</f>
        <v>42723</v>
      </c>
      <c r="P42" s="1540" t="s">
        <v>204</v>
      </c>
      <c r="Q42" s="1541">
        <v>3</v>
      </c>
    </row>
    <row r="43" spans="1:18" ht="15.75" thickBot="1">
      <c r="A43" s="1518"/>
      <c r="B43" s="1519"/>
      <c r="C43" s="1546"/>
      <c r="D43" s="1546"/>
      <c r="E43" s="1546"/>
      <c r="F43" s="1546"/>
      <c r="G43" s="1530"/>
      <c r="H43" s="1534"/>
      <c r="I43" s="1535"/>
      <c r="J43" s="1535"/>
      <c r="K43" s="1535"/>
      <c r="L43" s="1536"/>
      <c r="M43" s="1537"/>
      <c r="N43" s="1538"/>
      <c r="O43" s="1539"/>
      <c r="P43" s="1540"/>
      <c r="Q43" s="1541"/>
    </row>
    <row r="44" spans="1:18" ht="24.95" customHeight="1">
      <c r="A44" s="1002">
        <v>0</v>
      </c>
      <c r="B44" s="1003" t="s">
        <v>12</v>
      </c>
      <c r="C44" s="1566"/>
      <c r="D44" s="1566"/>
      <c r="E44" s="1566"/>
      <c r="F44" s="1566"/>
      <c r="G44" s="1446" t="s">
        <v>2883</v>
      </c>
      <c r="H44" s="1549" t="s">
        <v>2984</v>
      </c>
      <c r="I44" s="1549"/>
      <c r="J44" s="1549"/>
      <c r="K44" s="1549"/>
      <c r="L44" s="1549"/>
      <c r="M44" s="1542" t="s">
        <v>2550</v>
      </c>
      <c r="N44" s="1542"/>
      <c r="O44" s="1009">
        <v>2711.54</v>
      </c>
      <c r="P44" s="1543">
        <v>42686</v>
      </c>
      <c r="Q44" s="1544" t="str">
        <f>Q6</f>
        <v>EUR</v>
      </c>
      <c r="R44" s="1018">
        <v>1</v>
      </c>
    </row>
    <row r="45" spans="1:18" ht="24.95" customHeight="1">
      <c r="A45" s="1002">
        <v>0</v>
      </c>
      <c r="B45" s="1003" t="s">
        <v>205</v>
      </c>
      <c r="C45" s="1547"/>
      <c r="D45" s="1547"/>
      <c r="E45" s="1547"/>
      <c r="F45" s="1547"/>
      <c r="G45" s="1446"/>
      <c r="H45" s="1549"/>
      <c r="I45" s="1549"/>
      <c r="J45" s="1549"/>
      <c r="K45" s="1549"/>
      <c r="L45" s="1549"/>
      <c r="M45" s="1542" t="s">
        <v>2647</v>
      </c>
      <c r="N45" s="1542"/>
      <c r="O45" s="1009">
        <v>0</v>
      </c>
      <c r="P45" s="1543"/>
      <c r="Q45" s="1544"/>
      <c r="R45" s="1018">
        <v>2</v>
      </c>
    </row>
    <row r="46" spans="1:18" ht="24.95" customHeight="1">
      <c r="A46" s="1002">
        <v>0</v>
      </c>
      <c r="B46" s="1003"/>
      <c r="C46" s="1566"/>
      <c r="D46" s="1566"/>
      <c r="E46" s="1566"/>
      <c r="F46" s="1566"/>
      <c r="G46" s="1446"/>
      <c r="H46" s="1550"/>
      <c r="I46" s="1550"/>
      <c r="J46" s="1550"/>
      <c r="K46" s="1550"/>
      <c r="L46" s="1550"/>
      <c r="M46" s="1542" t="s">
        <v>211</v>
      </c>
      <c r="N46" s="1542"/>
      <c r="O46" s="1009">
        <v>0</v>
      </c>
      <c r="P46" s="1543"/>
      <c r="Q46" s="1544"/>
      <c r="R46" s="1018">
        <v>3</v>
      </c>
    </row>
    <row r="47" spans="1:18" ht="54.75" customHeight="1">
      <c r="A47" s="1033">
        <v>0</v>
      </c>
      <c r="B47" s="1005" t="s">
        <v>206</v>
      </c>
      <c r="C47" s="1567"/>
      <c r="D47" s="1567"/>
      <c r="E47" s="1567"/>
      <c r="F47" s="1567"/>
      <c r="G47" s="1446">
        <v>240322</v>
      </c>
      <c r="H47" s="1549" t="s">
        <v>2985</v>
      </c>
      <c r="I47" s="1549"/>
      <c r="J47" s="1549"/>
      <c r="K47" s="1549"/>
      <c r="L47" s="1549"/>
      <c r="M47" s="1542" t="s">
        <v>2648</v>
      </c>
      <c r="N47" s="1542"/>
      <c r="O47" s="1009">
        <v>4837.41</v>
      </c>
      <c r="P47" s="1543"/>
      <c r="Q47" s="1544"/>
      <c r="R47" s="1018">
        <v>4</v>
      </c>
    </row>
    <row r="48" spans="1:18" ht="35.1" customHeight="1">
      <c r="A48" s="1033">
        <v>0</v>
      </c>
      <c r="B48" s="1005" t="s">
        <v>212</v>
      </c>
      <c r="C48" s="1548"/>
      <c r="D48" s="1548"/>
      <c r="E48" s="1548"/>
      <c r="F48" s="1548"/>
      <c r="G48" s="1004"/>
      <c r="H48" s="1549"/>
      <c r="I48" s="1549"/>
      <c r="J48" s="1549"/>
      <c r="K48" s="1549"/>
      <c r="L48" s="1549"/>
      <c r="M48" s="1542" t="s">
        <v>2649</v>
      </c>
      <c r="N48" s="1542"/>
      <c r="O48" s="930">
        <v>0</v>
      </c>
      <c r="P48" s="1543"/>
      <c r="Q48" s="911">
        <f>RECAPITULATIF!T23</f>
        <v>0</v>
      </c>
      <c r="R48" s="1018">
        <v>5</v>
      </c>
    </row>
    <row r="49" spans="1:18" ht="24.95" customHeight="1">
      <c r="A49" s="1551"/>
      <c r="B49" s="1552"/>
      <c r="C49" s="1552"/>
      <c r="D49" s="1552"/>
      <c r="E49" s="1552"/>
      <c r="F49" s="1552"/>
      <c r="G49" s="1004"/>
      <c r="H49" s="1549"/>
      <c r="I49" s="1549"/>
      <c r="J49" s="1549"/>
      <c r="K49" s="1549"/>
      <c r="L49" s="1549"/>
      <c r="M49" s="1542" t="s">
        <v>2650</v>
      </c>
      <c r="N49" s="1542"/>
      <c r="O49" s="930">
        <v>0</v>
      </c>
      <c r="P49" s="1543">
        <v>43050</v>
      </c>
      <c r="Q49" s="1556"/>
      <c r="R49" s="1018">
        <v>6</v>
      </c>
    </row>
    <row r="50" spans="1:18" ht="24.95" customHeight="1">
      <c r="A50" s="1551"/>
      <c r="B50" s="1552"/>
      <c r="C50" s="1552"/>
      <c r="D50" s="1552"/>
      <c r="E50" s="1552"/>
      <c r="F50" s="1552"/>
      <c r="G50" s="1004">
        <v>140494</v>
      </c>
      <c r="H50" s="1559" t="s">
        <v>2598</v>
      </c>
      <c r="I50" s="1559"/>
      <c r="J50" s="1559"/>
      <c r="K50" s="1559"/>
      <c r="L50" s="1560"/>
      <c r="M50" s="1558" t="s">
        <v>207</v>
      </c>
      <c r="N50" s="1558"/>
      <c r="O50" s="930">
        <v>24</v>
      </c>
      <c r="P50" s="1543"/>
      <c r="Q50" s="1556"/>
      <c r="R50" s="1018">
        <v>7</v>
      </c>
    </row>
    <row r="51" spans="1:18" ht="15" customHeight="1">
      <c r="A51" s="1551"/>
      <c r="B51" s="1552"/>
      <c r="C51" s="1552"/>
      <c r="D51" s="1552"/>
      <c r="E51" s="1552"/>
      <c r="F51" s="1552"/>
      <c r="G51" s="1006"/>
      <c r="H51" s="1557"/>
      <c r="I51" s="1557"/>
      <c r="J51" s="1557"/>
      <c r="K51" s="1557"/>
      <c r="L51" s="1557"/>
      <c r="M51" s="1561" t="s">
        <v>208</v>
      </c>
      <c r="N51" s="1561"/>
      <c r="O51" s="931">
        <v>365.96</v>
      </c>
      <c r="P51" s="1543"/>
      <c r="Q51" s="1562"/>
      <c r="R51" s="1018">
        <v>8</v>
      </c>
    </row>
    <row r="52" spans="1:18" ht="15" customHeight="1" thickBot="1">
      <c r="A52" s="1551"/>
      <c r="B52" s="1552"/>
      <c r="C52" s="1552"/>
      <c r="D52" s="1552"/>
      <c r="E52" s="1552"/>
      <c r="F52" s="1552"/>
      <c r="G52" s="1468"/>
      <c r="H52" s="1468"/>
      <c r="I52" s="1468"/>
      <c r="J52" s="1468"/>
      <c r="K52" s="1468"/>
      <c r="L52" s="1468"/>
      <c r="M52" s="1563" t="s">
        <v>209</v>
      </c>
      <c r="N52" s="1563"/>
      <c r="O52" s="910">
        <v>0</v>
      </c>
      <c r="P52" s="1543"/>
      <c r="Q52" s="1562"/>
      <c r="R52" s="1018">
        <v>9</v>
      </c>
    </row>
    <row r="53" spans="1:18" ht="25.5" customHeight="1" thickBot="1">
      <c r="A53" s="1551"/>
      <c r="B53" s="1552"/>
      <c r="C53" s="1552"/>
      <c r="D53" s="1552"/>
      <c r="E53" s="1552"/>
      <c r="F53" s="1552"/>
      <c r="G53" s="1468"/>
      <c r="H53" s="1468"/>
      <c r="I53" s="1468"/>
      <c r="J53" s="1468"/>
      <c r="K53" s="1468"/>
      <c r="L53" s="1468"/>
      <c r="M53" s="1564" t="s">
        <v>210</v>
      </c>
      <c r="N53" s="1565"/>
      <c r="O53" s="929">
        <v>7938.91</v>
      </c>
      <c r="P53" s="1543"/>
      <c r="Q53" s="1562"/>
      <c r="R53" s="1018">
        <v>10</v>
      </c>
    </row>
    <row r="54" spans="1:18" ht="15.75" customHeight="1" thickBot="1">
      <c r="A54" s="1553"/>
      <c r="B54" s="1570"/>
      <c r="C54" s="1570"/>
      <c r="D54" s="1570"/>
      <c r="E54" s="1570"/>
      <c r="F54" s="1570"/>
      <c r="G54" s="1571"/>
      <c r="H54" s="1571"/>
      <c r="I54" s="1571"/>
      <c r="J54" s="1571"/>
      <c r="K54" s="1571"/>
      <c r="L54" s="1571"/>
      <c r="M54" s="700"/>
      <c r="N54" s="700"/>
      <c r="O54" s="700"/>
      <c r="P54" s="700"/>
      <c r="Q54" s="1562"/>
    </row>
    <row r="55" spans="1:18" ht="15.75" customHeight="1" thickBot="1">
      <c r="A55" s="827"/>
      <c r="B55" s="828"/>
      <c r="C55" s="828"/>
      <c r="D55" s="828"/>
      <c r="E55" s="828"/>
      <c r="F55" s="828"/>
      <c r="G55" s="826"/>
      <c r="H55" s="826"/>
      <c r="I55" s="826"/>
      <c r="J55" s="826"/>
      <c r="K55" s="826"/>
      <c r="L55" s="826"/>
      <c r="M55" s="829"/>
      <c r="N55" s="829"/>
      <c r="O55" s="829"/>
      <c r="P55" s="829"/>
      <c r="Q55" s="1035"/>
    </row>
    <row r="56" spans="1:18">
      <c r="A56" s="1516"/>
      <c r="B56" s="1517"/>
      <c r="C56" s="1545"/>
      <c r="D56" s="1545"/>
      <c r="E56" s="1545"/>
      <c r="F56" s="1545"/>
      <c r="G56" s="1529" t="str">
        <f>certificateNB</f>
        <v>12600.1</v>
      </c>
      <c r="H56" s="1531" t="str">
        <f>YACHTNAME</f>
        <v xml:space="preserve">HUTIANE            </v>
      </c>
      <c r="I56" s="1532"/>
      <c r="J56" s="1532"/>
      <c r="K56" s="1532"/>
      <c r="L56" s="1533"/>
      <c r="M56" s="1537" t="s">
        <v>203</v>
      </c>
      <c r="N56" s="1538"/>
      <c r="O56" s="1539">
        <f>A56</f>
        <v>0</v>
      </c>
      <c r="P56" s="1540" t="s">
        <v>204</v>
      </c>
      <c r="Q56" s="1541">
        <v>4</v>
      </c>
    </row>
    <row r="57" spans="1:18" ht="15.75" thickBot="1">
      <c r="A57" s="1518"/>
      <c r="B57" s="1519"/>
      <c r="C57" s="1546"/>
      <c r="D57" s="1546"/>
      <c r="E57" s="1546"/>
      <c r="F57" s="1546"/>
      <c r="G57" s="1530"/>
      <c r="H57" s="1534"/>
      <c r="I57" s="1573"/>
      <c r="J57" s="1573"/>
      <c r="K57" s="1573"/>
      <c r="L57" s="1574"/>
      <c r="M57" s="1537"/>
      <c r="N57" s="1538"/>
      <c r="O57" s="1539"/>
      <c r="P57" s="1540"/>
      <c r="Q57" s="1541"/>
    </row>
    <row r="58" spans="1:18" ht="24.95" customHeight="1">
      <c r="A58" s="1002">
        <v>0</v>
      </c>
      <c r="B58" s="1003" t="s">
        <v>12</v>
      </c>
      <c r="C58" s="1566"/>
      <c r="D58" s="1566"/>
      <c r="E58" s="1566"/>
      <c r="F58" s="1566"/>
      <c r="G58" s="1352"/>
      <c r="H58" s="1549"/>
      <c r="I58" s="1549"/>
      <c r="J58" s="1549"/>
      <c r="K58" s="1549"/>
      <c r="L58" s="1549"/>
      <c r="M58" s="1542" t="s">
        <v>2550</v>
      </c>
      <c r="N58" s="1542"/>
      <c r="O58" s="1009">
        <v>0</v>
      </c>
      <c r="P58" s="1543">
        <f>A56</f>
        <v>0</v>
      </c>
      <c r="Q58" s="1544" t="str">
        <f>Q6</f>
        <v>EUR</v>
      </c>
      <c r="R58" s="1018">
        <v>1</v>
      </c>
    </row>
    <row r="59" spans="1:18" ht="24.95" customHeight="1">
      <c r="A59" s="1002">
        <v>0</v>
      </c>
      <c r="B59" s="1003" t="s">
        <v>205</v>
      </c>
      <c r="C59" s="1572"/>
      <c r="D59" s="1572"/>
      <c r="E59" s="1572"/>
      <c r="F59" s="1572"/>
      <c r="G59" s="1352"/>
      <c r="H59" s="1549"/>
      <c r="I59" s="1549"/>
      <c r="J59" s="1549"/>
      <c r="K59" s="1549"/>
      <c r="L59" s="1549"/>
      <c r="M59" s="1542" t="s">
        <v>2647</v>
      </c>
      <c r="N59" s="1542"/>
      <c r="O59" s="1009">
        <v>0</v>
      </c>
      <c r="P59" s="1543"/>
      <c r="Q59" s="1544"/>
      <c r="R59" s="1018">
        <v>2</v>
      </c>
    </row>
    <row r="60" spans="1:18" ht="24.95" customHeight="1">
      <c r="A60" s="1002">
        <v>0</v>
      </c>
      <c r="B60" s="1003"/>
      <c r="C60" s="1572"/>
      <c r="D60" s="1572"/>
      <c r="E60" s="1572"/>
      <c r="F60" s="1572"/>
      <c r="G60" s="1352"/>
      <c r="H60" s="1550"/>
      <c r="I60" s="1550"/>
      <c r="J60" s="1550"/>
      <c r="K60" s="1550"/>
      <c r="L60" s="1550"/>
      <c r="M60" s="1542" t="s">
        <v>211</v>
      </c>
      <c r="N60" s="1542"/>
      <c r="O60" s="1009">
        <v>0</v>
      </c>
      <c r="P60" s="1543"/>
      <c r="Q60" s="1544"/>
      <c r="R60" s="1018">
        <v>3</v>
      </c>
    </row>
    <row r="61" spans="1:18" ht="35.1" customHeight="1">
      <c r="A61" s="1033">
        <v>0</v>
      </c>
      <c r="B61" s="1005" t="s">
        <v>206</v>
      </c>
      <c r="C61" s="1548"/>
      <c r="D61" s="1548"/>
      <c r="E61" s="1548"/>
      <c r="F61" s="1548"/>
      <c r="G61" s="1352"/>
      <c r="H61" s="1549"/>
      <c r="I61" s="1549"/>
      <c r="J61" s="1549"/>
      <c r="K61" s="1549"/>
      <c r="L61" s="1549"/>
      <c r="M61" s="1542" t="s">
        <v>2648</v>
      </c>
      <c r="N61" s="1542"/>
      <c r="O61" s="1009">
        <v>0</v>
      </c>
      <c r="P61" s="1543"/>
      <c r="Q61" s="1544"/>
      <c r="R61" s="1018">
        <v>4</v>
      </c>
    </row>
    <row r="62" spans="1:18" ht="35.1" customHeight="1">
      <c r="A62" s="1033">
        <v>0</v>
      </c>
      <c r="B62" s="1005" t="s">
        <v>212</v>
      </c>
      <c r="C62" s="1548"/>
      <c r="D62" s="1548"/>
      <c r="E62" s="1548"/>
      <c r="F62" s="1548"/>
      <c r="G62" s="1352"/>
      <c r="H62" s="1549"/>
      <c r="I62" s="1549"/>
      <c r="J62" s="1549"/>
      <c r="K62" s="1549"/>
      <c r="L62" s="1549"/>
      <c r="M62" s="1542" t="s">
        <v>2649</v>
      </c>
      <c r="N62" s="1542"/>
      <c r="O62" s="930">
        <v>0</v>
      </c>
      <c r="P62" s="1543"/>
      <c r="Q62" s="911">
        <f>RECAPITULATIF!T24</f>
        <v>0</v>
      </c>
      <c r="R62" s="1018">
        <v>5</v>
      </c>
    </row>
    <row r="63" spans="1:18" ht="24.95" customHeight="1">
      <c r="A63" s="1551"/>
      <c r="B63" s="1552"/>
      <c r="C63" s="1552"/>
      <c r="D63" s="1552"/>
      <c r="E63" s="1552"/>
      <c r="F63" s="1552"/>
      <c r="G63" s="1352"/>
      <c r="H63" s="1549"/>
      <c r="I63" s="1549"/>
      <c r="J63" s="1549"/>
      <c r="K63" s="1549"/>
      <c r="L63" s="1549"/>
      <c r="M63" s="1542" t="s">
        <v>2650</v>
      </c>
      <c r="N63" s="1542"/>
      <c r="O63" s="930">
        <v>0</v>
      </c>
      <c r="P63" s="1543"/>
      <c r="Q63" s="1556"/>
      <c r="R63" s="1018">
        <v>6</v>
      </c>
    </row>
    <row r="64" spans="1:18" ht="24.95" customHeight="1">
      <c r="A64" s="1551"/>
      <c r="B64" s="1552"/>
      <c r="C64" s="1552"/>
      <c r="D64" s="1552"/>
      <c r="E64" s="1552"/>
      <c r="F64" s="1552"/>
      <c r="G64" s="1352">
        <v>140494</v>
      </c>
      <c r="H64" s="1559" t="s">
        <v>2598</v>
      </c>
      <c r="I64" s="1559"/>
      <c r="J64" s="1559"/>
      <c r="K64" s="1559"/>
      <c r="L64" s="1560"/>
      <c r="M64" s="1558" t="s">
        <v>207</v>
      </c>
      <c r="N64" s="1558"/>
      <c r="O64" s="930">
        <v>0</v>
      </c>
      <c r="P64" s="1543"/>
      <c r="Q64" s="1556"/>
      <c r="R64" s="1018">
        <v>7</v>
      </c>
    </row>
    <row r="65" spans="1:18" ht="15" customHeight="1">
      <c r="A65" s="1551"/>
      <c r="B65" s="1552"/>
      <c r="C65" s="1552"/>
      <c r="D65" s="1552"/>
      <c r="E65" s="1552"/>
      <c r="F65" s="1552"/>
      <c r="G65" s="1006"/>
      <c r="H65" s="1557"/>
      <c r="I65" s="1557"/>
      <c r="J65" s="1557"/>
      <c r="K65" s="1557"/>
      <c r="L65" s="1557"/>
      <c r="M65" s="1561" t="s">
        <v>208</v>
      </c>
      <c r="N65" s="1561"/>
      <c r="O65" s="931">
        <v>0</v>
      </c>
      <c r="P65" s="1543"/>
      <c r="Q65" s="1562"/>
      <c r="R65" s="1018">
        <v>8</v>
      </c>
    </row>
    <row r="66" spans="1:18" ht="15.75" thickBot="1">
      <c r="A66" s="1551"/>
      <c r="B66" s="1552"/>
      <c r="C66" s="1552"/>
      <c r="D66" s="1552"/>
      <c r="E66" s="1552"/>
      <c r="F66" s="1552"/>
      <c r="G66" s="1584"/>
      <c r="H66" s="1584"/>
      <c r="I66" s="1584"/>
      <c r="J66" s="1584"/>
      <c r="K66" s="1584"/>
      <c r="L66" s="1584"/>
      <c r="M66" s="1563" t="s">
        <v>209</v>
      </c>
      <c r="N66" s="1563"/>
      <c r="O66" s="910">
        <v>0</v>
      </c>
      <c r="P66" s="1543"/>
      <c r="Q66" s="1562"/>
      <c r="R66" s="1018">
        <v>9</v>
      </c>
    </row>
    <row r="67" spans="1:18" ht="15.75" thickBot="1">
      <c r="A67" s="1551"/>
      <c r="B67" s="1552"/>
      <c r="C67" s="1552"/>
      <c r="D67" s="1552"/>
      <c r="E67" s="1552"/>
      <c r="F67" s="1552"/>
      <c r="G67" s="1584"/>
      <c r="H67" s="1584"/>
      <c r="I67" s="1584"/>
      <c r="J67" s="1584"/>
      <c r="K67" s="1584"/>
      <c r="L67" s="1584"/>
      <c r="M67" s="1564" t="s">
        <v>210</v>
      </c>
      <c r="N67" s="1565"/>
      <c r="O67" s="929">
        <v>0</v>
      </c>
      <c r="P67" s="1543"/>
      <c r="Q67" s="1562"/>
      <c r="R67" s="1018">
        <v>10</v>
      </c>
    </row>
    <row r="68" spans="1:18" ht="15.75" thickBot="1">
      <c r="A68" s="1553"/>
      <c r="B68" s="1581"/>
      <c r="C68" s="1581"/>
      <c r="D68" s="1581"/>
      <c r="E68" s="1581"/>
      <c r="F68" s="1581"/>
      <c r="G68" s="1585"/>
      <c r="H68" s="1585"/>
      <c r="I68" s="1585"/>
      <c r="J68" s="1585"/>
      <c r="K68" s="1585"/>
      <c r="L68" s="1585"/>
      <c r="Q68" s="1562"/>
    </row>
    <row r="69" spans="1:18">
      <c r="A69" s="1516"/>
      <c r="B69" s="1517"/>
      <c r="C69" s="1545"/>
      <c r="D69" s="1545"/>
      <c r="E69" s="1545"/>
      <c r="F69" s="1575"/>
      <c r="G69" s="1529" t="str">
        <f>certificateNB</f>
        <v>12600.1</v>
      </c>
      <c r="H69" s="1531" t="str">
        <f>YACHTNAME</f>
        <v xml:space="preserve">HUTIANE            </v>
      </c>
      <c r="I69" s="1532"/>
      <c r="J69" s="1532"/>
      <c r="K69" s="1532"/>
      <c r="L69" s="1533"/>
      <c r="M69" s="1577" t="s">
        <v>203</v>
      </c>
      <c r="N69" s="1578"/>
      <c r="O69" s="1582">
        <f>A69</f>
        <v>0</v>
      </c>
      <c r="P69" s="1586" t="s">
        <v>204</v>
      </c>
      <c r="Q69" s="1541">
        <v>5</v>
      </c>
    </row>
    <row r="70" spans="1:18" ht="15.75" thickBot="1">
      <c r="A70" s="1518"/>
      <c r="B70" s="1519"/>
      <c r="C70" s="1546"/>
      <c r="D70" s="1546"/>
      <c r="E70" s="1546"/>
      <c r="F70" s="1576"/>
      <c r="G70" s="1530"/>
      <c r="H70" s="1534"/>
      <c r="I70" s="1573"/>
      <c r="J70" s="1573"/>
      <c r="K70" s="1573"/>
      <c r="L70" s="1574"/>
      <c r="M70" s="1579"/>
      <c r="N70" s="1580"/>
      <c r="O70" s="1583"/>
      <c r="P70" s="1587"/>
      <c r="Q70" s="1541"/>
    </row>
    <row r="71" spans="1:18" ht="24.95" customHeight="1">
      <c r="A71" s="1002">
        <v>0</v>
      </c>
      <c r="B71" s="1003" t="s">
        <v>12</v>
      </c>
      <c r="C71" s="1566"/>
      <c r="D71" s="1566"/>
      <c r="E71" s="1566"/>
      <c r="F71" s="1566"/>
      <c r="G71" s="1004"/>
      <c r="H71" s="1549"/>
      <c r="I71" s="1549"/>
      <c r="J71" s="1549"/>
      <c r="K71" s="1549"/>
      <c r="L71" s="1549"/>
      <c r="M71" s="1542" t="s">
        <v>2550</v>
      </c>
      <c r="N71" s="1542"/>
      <c r="O71" s="1009">
        <v>0</v>
      </c>
      <c r="P71" s="1543">
        <f>A69</f>
        <v>0</v>
      </c>
      <c r="Q71" s="1544" t="str">
        <f>Q8</f>
        <v>EUR</v>
      </c>
      <c r="R71" s="1018">
        <v>1</v>
      </c>
    </row>
    <row r="72" spans="1:18" ht="24.95" customHeight="1">
      <c r="A72" s="1002">
        <v>0</v>
      </c>
      <c r="B72" s="1003" t="s">
        <v>205</v>
      </c>
      <c r="C72" s="1588"/>
      <c r="D72" s="1588"/>
      <c r="E72" s="1588"/>
      <c r="F72" s="1588"/>
      <c r="G72" s="1004"/>
      <c r="H72" s="1549"/>
      <c r="I72" s="1549"/>
      <c r="J72" s="1549"/>
      <c r="K72" s="1549"/>
      <c r="L72" s="1549"/>
      <c r="M72" s="1542" t="s">
        <v>2647</v>
      </c>
      <c r="N72" s="1542"/>
      <c r="O72" s="1009">
        <v>0</v>
      </c>
      <c r="P72" s="1543"/>
      <c r="Q72" s="1544"/>
      <c r="R72" s="1018">
        <v>2</v>
      </c>
    </row>
    <row r="73" spans="1:18" ht="24.95" customHeight="1">
      <c r="A73" s="1002">
        <v>0</v>
      </c>
      <c r="B73" s="1003"/>
      <c r="C73" s="1572"/>
      <c r="D73" s="1572"/>
      <c r="E73" s="1572"/>
      <c r="F73" s="1572"/>
      <c r="G73" s="1004"/>
      <c r="H73" s="1550"/>
      <c r="I73" s="1550"/>
      <c r="J73" s="1550"/>
      <c r="K73" s="1550"/>
      <c r="L73" s="1550"/>
      <c r="M73" s="1542" t="s">
        <v>211</v>
      </c>
      <c r="N73" s="1542"/>
      <c r="O73" s="1009">
        <v>0</v>
      </c>
      <c r="P73" s="1543"/>
      <c r="Q73" s="1544"/>
      <c r="R73" s="1018">
        <v>3</v>
      </c>
    </row>
    <row r="74" spans="1:18" ht="35.1" customHeight="1">
      <c r="A74" s="1033">
        <v>0</v>
      </c>
      <c r="B74" s="1005" t="s">
        <v>206</v>
      </c>
      <c r="C74" s="1548"/>
      <c r="D74" s="1548"/>
      <c r="E74" s="1548"/>
      <c r="F74" s="1548"/>
      <c r="G74" s="1004"/>
      <c r="H74" s="1549"/>
      <c r="I74" s="1549"/>
      <c r="J74" s="1549"/>
      <c r="K74" s="1549"/>
      <c r="L74" s="1549"/>
      <c r="M74" s="1542" t="s">
        <v>2648</v>
      </c>
      <c r="N74" s="1542"/>
      <c r="O74" s="1009">
        <v>0</v>
      </c>
      <c r="P74" s="1543"/>
      <c r="Q74" s="1544"/>
      <c r="R74" s="1018">
        <v>4</v>
      </c>
    </row>
    <row r="75" spans="1:18" ht="35.1" customHeight="1">
      <c r="A75" s="1033">
        <v>0</v>
      </c>
      <c r="B75" s="1005" t="s">
        <v>212</v>
      </c>
      <c r="C75" s="1548"/>
      <c r="D75" s="1548"/>
      <c r="E75" s="1548"/>
      <c r="F75" s="1548"/>
      <c r="G75" s="1004"/>
      <c r="H75" s="1549"/>
      <c r="I75" s="1549"/>
      <c r="J75" s="1549"/>
      <c r="K75" s="1549"/>
      <c r="L75" s="1549"/>
      <c r="M75" s="1542" t="s">
        <v>2649</v>
      </c>
      <c r="N75" s="1542"/>
      <c r="O75" s="930"/>
      <c r="P75" s="1543"/>
      <c r="Q75" s="911">
        <f>RECAPITULATIF!T25</f>
        <v>0</v>
      </c>
      <c r="R75" s="1018">
        <v>5</v>
      </c>
    </row>
    <row r="76" spans="1:18" ht="24.95" customHeight="1">
      <c r="A76" s="1551"/>
      <c r="B76" s="1552"/>
      <c r="C76" s="1552"/>
      <c r="D76" s="1552"/>
      <c r="E76" s="1552"/>
      <c r="F76" s="1552"/>
      <c r="G76" s="1004"/>
      <c r="H76" s="1549"/>
      <c r="I76" s="1549"/>
      <c r="J76" s="1549"/>
      <c r="K76" s="1549"/>
      <c r="L76" s="1549"/>
      <c r="M76" s="1542" t="s">
        <v>2650</v>
      </c>
      <c r="N76" s="1542"/>
      <c r="O76" s="930">
        <v>0</v>
      </c>
      <c r="P76" s="1543"/>
      <c r="Q76" s="1556"/>
      <c r="R76" s="1018">
        <v>6</v>
      </c>
    </row>
    <row r="77" spans="1:18" ht="30" customHeight="1">
      <c r="A77" s="1551"/>
      <c r="B77" s="1552"/>
      <c r="C77" s="1552"/>
      <c r="D77" s="1552"/>
      <c r="E77" s="1552"/>
      <c r="F77" s="1552"/>
      <c r="G77" s="1004">
        <v>140494</v>
      </c>
      <c r="H77" s="1559" t="s">
        <v>2598</v>
      </c>
      <c r="I77" s="1559"/>
      <c r="J77" s="1559"/>
      <c r="K77" s="1559"/>
      <c r="L77" s="1560"/>
      <c r="M77" s="1558" t="s">
        <v>207</v>
      </c>
      <c r="N77" s="1558"/>
      <c r="O77" s="930">
        <v>0</v>
      </c>
      <c r="P77" s="1543"/>
      <c r="Q77" s="1556"/>
      <c r="R77" s="1018">
        <v>7</v>
      </c>
    </row>
    <row r="78" spans="1:18" ht="15" customHeight="1">
      <c r="A78" s="1551"/>
      <c r="B78" s="1552"/>
      <c r="C78" s="1552"/>
      <c r="D78" s="1552"/>
      <c r="E78" s="1552"/>
      <c r="F78" s="1552"/>
      <c r="G78" s="1006"/>
      <c r="H78" s="1036"/>
      <c r="I78" s="1036"/>
      <c r="J78" s="1036"/>
      <c r="K78" s="1036"/>
      <c r="L78" s="1036"/>
      <c r="M78" s="1561" t="s">
        <v>208</v>
      </c>
      <c r="N78" s="1561"/>
      <c r="O78" s="931">
        <v>0</v>
      </c>
      <c r="P78" s="1543"/>
      <c r="Q78" s="1562"/>
      <c r="R78" s="1018">
        <v>8</v>
      </c>
    </row>
    <row r="79" spans="1:18" ht="15.75" thickBot="1">
      <c r="A79" s="1551"/>
      <c r="B79" s="1552"/>
      <c r="C79" s="1552"/>
      <c r="D79" s="1552"/>
      <c r="E79" s="1552"/>
      <c r="F79" s="1552"/>
      <c r="G79" s="1584"/>
      <c r="H79" s="1584"/>
      <c r="I79" s="1584"/>
      <c r="J79" s="1584"/>
      <c r="K79" s="1584"/>
      <c r="L79" s="1584"/>
      <c r="M79" s="1563" t="s">
        <v>209</v>
      </c>
      <c r="N79" s="1563"/>
      <c r="O79" s="910">
        <v>0</v>
      </c>
      <c r="P79" s="1543"/>
      <c r="Q79" s="1562"/>
      <c r="R79" s="1018">
        <v>9</v>
      </c>
    </row>
    <row r="80" spans="1:18" ht="15.75" thickBot="1">
      <c r="A80" s="1551"/>
      <c r="B80" s="1552"/>
      <c r="C80" s="1552"/>
      <c r="D80" s="1552"/>
      <c r="E80" s="1552"/>
      <c r="F80" s="1552"/>
      <c r="G80" s="1584"/>
      <c r="H80" s="1584"/>
      <c r="I80" s="1584"/>
      <c r="J80" s="1584"/>
      <c r="K80" s="1584"/>
      <c r="L80" s="1584"/>
      <c r="M80" s="1564" t="s">
        <v>210</v>
      </c>
      <c r="N80" s="1565"/>
      <c r="O80" s="929">
        <v>0</v>
      </c>
      <c r="P80" s="1543"/>
      <c r="Q80" s="1562"/>
      <c r="R80" s="1018">
        <v>10</v>
      </c>
    </row>
    <row r="81" spans="1:18" ht="15.75" thickBot="1">
      <c r="A81" s="1553"/>
      <c r="B81" s="1581"/>
      <c r="C81" s="1581"/>
      <c r="D81" s="1581"/>
      <c r="E81" s="1581"/>
      <c r="F81" s="1581"/>
      <c r="G81" s="1585"/>
      <c r="H81" s="1585"/>
      <c r="I81" s="1585"/>
      <c r="J81" s="1585"/>
      <c r="K81" s="1585"/>
      <c r="L81" s="1585"/>
      <c r="M81" s="1589"/>
      <c r="N81" s="1589"/>
      <c r="O81" s="1589"/>
      <c r="P81" s="1590"/>
      <c r="Q81" s="1562"/>
    </row>
    <row r="82" spans="1:18">
      <c r="A82" s="1516"/>
      <c r="B82" s="1517"/>
      <c r="C82" s="1545"/>
      <c r="D82" s="1545"/>
      <c r="E82" s="1545"/>
      <c r="F82" s="1545"/>
      <c r="G82" s="1529" t="str">
        <f>certificateNB</f>
        <v>12600.1</v>
      </c>
      <c r="H82" s="1531" t="str">
        <f>YACHTNAME</f>
        <v xml:space="preserve">HUTIANE            </v>
      </c>
      <c r="I82" s="1532"/>
      <c r="J82" s="1532"/>
      <c r="K82" s="1532"/>
      <c r="L82" s="1533"/>
      <c r="M82" s="1577" t="s">
        <v>203</v>
      </c>
      <c r="N82" s="1578"/>
      <c r="O82" s="1582">
        <f>A82</f>
        <v>0</v>
      </c>
      <c r="P82" s="1586" t="s">
        <v>204</v>
      </c>
      <c r="Q82" s="1541">
        <v>6</v>
      </c>
    </row>
    <row r="83" spans="1:18" ht="15.75" thickBot="1">
      <c r="A83" s="1518"/>
      <c r="B83" s="1519"/>
      <c r="C83" s="1546"/>
      <c r="D83" s="1546"/>
      <c r="E83" s="1546"/>
      <c r="F83" s="1546"/>
      <c r="G83" s="1530"/>
      <c r="H83" s="1534"/>
      <c r="I83" s="1573"/>
      <c r="J83" s="1573"/>
      <c r="K83" s="1573"/>
      <c r="L83" s="1574"/>
      <c r="M83" s="1579"/>
      <c r="N83" s="1580"/>
      <c r="O83" s="1583"/>
      <c r="P83" s="1587"/>
      <c r="Q83" s="1541"/>
    </row>
    <row r="84" spans="1:18" ht="24.95" customHeight="1">
      <c r="A84" s="1002">
        <v>0</v>
      </c>
      <c r="B84" s="1003" t="s">
        <v>12</v>
      </c>
      <c r="C84" s="1547"/>
      <c r="D84" s="1547"/>
      <c r="E84" s="1547"/>
      <c r="F84" s="1547"/>
      <c r="G84" s="1004"/>
      <c r="H84" s="1549"/>
      <c r="I84" s="1549"/>
      <c r="J84" s="1549"/>
      <c r="K84" s="1549"/>
      <c r="L84" s="1549"/>
      <c r="M84" s="1542" t="s">
        <v>2550</v>
      </c>
      <c r="N84" s="1542"/>
      <c r="O84" s="1009">
        <v>0</v>
      </c>
      <c r="P84" s="1543">
        <f>A82</f>
        <v>0</v>
      </c>
      <c r="Q84" s="1544" t="str">
        <f>Q11</f>
        <v>EUR</v>
      </c>
      <c r="R84" s="1018">
        <v>1</v>
      </c>
    </row>
    <row r="85" spans="1:18" ht="24.95" customHeight="1">
      <c r="A85" s="1002">
        <v>0</v>
      </c>
      <c r="B85" s="1003" t="s">
        <v>205</v>
      </c>
      <c r="C85" s="1547"/>
      <c r="D85" s="1547"/>
      <c r="E85" s="1547"/>
      <c r="F85" s="1547"/>
      <c r="G85" s="1004"/>
      <c r="H85" s="1549"/>
      <c r="I85" s="1549"/>
      <c r="J85" s="1549"/>
      <c r="K85" s="1549"/>
      <c r="L85" s="1549"/>
      <c r="M85" s="1542" t="s">
        <v>2647</v>
      </c>
      <c r="N85" s="1542"/>
      <c r="O85" s="1009">
        <v>0</v>
      </c>
      <c r="P85" s="1543"/>
      <c r="Q85" s="1544"/>
      <c r="R85" s="1018">
        <v>2</v>
      </c>
    </row>
    <row r="86" spans="1:18" ht="24.95" customHeight="1">
      <c r="A86" s="1002">
        <v>0</v>
      </c>
      <c r="B86" s="1003"/>
      <c r="C86" s="1566"/>
      <c r="D86" s="1566"/>
      <c r="E86" s="1566"/>
      <c r="F86" s="1566"/>
      <c r="G86" s="1004"/>
      <c r="H86" s="1550"/>
      <c r="I86" s="1550"/>
      <c r="J86" s="1550"/>
      <c r="K86" s="1550"/>
      <c r="L86" s="1550"/>
      <c r="M86" s="1542" t="s">
        <v>211</v>
      </c>
      <c r="N86" s="1542"/>
      <c r="O86" s="1009">
        <v>0</v>
      </c>
      <c r="P86" s="1543"/>
      <c r="Q86" s="1544"/>
      <c r="R86" s="1018">
        <v>3</v>
      </c>
    </row>
    <row r="87" spans="1:18" ht="35.1" customHeight="1">
      <c r="A87" s="1033">
        <v>0</v>
      </c>
      <c r="B87" s="1005" t="s">
        <v>206</v>
      </c>
      <c r="C87" s="1567"/>
      <c r="D87" s="1567"/>
      <c r="E87" s="1567"/>
      <c r="F87" s="1567"/>
      <c r="G87" s="1004"/>
      <c r="H87" s="1549"/>
      <c r="I87" s="1549"/>
      <c r="J87" s="1549"/>
      <c r="K87" s="1549"/>
      <c r="L87" s="1549"/>
      <c r="M87" s="1542" t="s">
        <v>2648</v>
      </c>
      <c r="N87" s="1542"/>
      <c r="O87" s="1009">
        <v>0</v>
      </c>
      <c r="P87" s="1543"/>
      <c r="Q87" s="1544"/>
      <c r="R87" s="1018">
        <v>4</v>
      </c>
    </row>
    <row r="88" spans="1:18" ht="35.1" customHeight="1">
      <c r="A88" s="1033">
        <v>0</v>
      </c>
      <c r="B88" s="1005" t="s">
        <v>212</v>
      </c>
      <c r="C88" s="1548"/>
      <c r="D88" s="1548"/>
      <c r="E88" s="1548"/>
      <c r="F88" s="1548"/>
      <c r="G88" s="1004"/>
      <c r="H88" s="1549"/>
      <c r="I88" s="1549"/>
      <c r="J88" s="1549"/>
      <c r="K88" s="1549"/>
      <c r="L88" s="1549"/>
      <c r="M88" s="1542" t="s">
        <v>2649</v>
      </c>
      <c r="N88" s="1542"/>
      <c r="O88" s="930"/>
      <c r="P88" s="1543"/>
      <c r="Q88" s="911">
        <f>RECAPITULATIF!T26</f>
        <v>0</v>
      </c>
      <c r="R88" s="1018">
        <v>5</v>
      </c>
    </row>
    <row r="89" spans="1:18" ht="24.95" customHeight="1">
      <c r="A89" s="1552"/>
      <c r="B89" s="1552"/>
      <c r="C89" s="1552"/>
      <c r="D89" s="1552"/>
      <c r="E89" s="1552"/>
      <c r="F89" s="1552"/>
      <c r="G89" s="1004"/>
      <c r="H89" s="1549"/>
      <c r="I89" s="1549"/>
      <c r="J89" s="1549"/>
      <c r="K89" s="1549"/>
      <c r="L89" s="1549"/>
      <c r="M89" s="1542" t="s">
        <v>2650</v>
      </c>
      <c r="N89" s="1542"/>
      <c r="O89" s="930">
        <v>0</v>
      </c>
      <c r="P89" s="1543"/>
      <c r="Q89" s="1556"/>
      <c r="R89" s="1018">
        <v>6</v>
      </c>
    </row>
    <row r="90" spans="1:18" ht="27" customHeight="1">
      <c r="A90" s="1552"/>
      <c r="B90" s="1552"/>
      <c r="C90" s="1552"/>
      <c r="D90" s="1552"/>
      <c r="E90" s="1552"/>
      <c r="F90" s="1552"/>
      <c r="G90" s="1004"/>
      <c r="H90" s="1601"/>
      <c r="I90" s="1601"/>
      <c r="J90" s="1601"/>
      <c r="K90" s="1601"/>
      <c r="L90" s="1601"/>
      <c r="M90" s="1558" t="s">
        <v>207</v>
      </c>
      <c r="N90" s="1558"/>
      <c r="O90" s="930">
        <v>0</v>
      </c>
      <c r="P90" s="1543"/>
      <c r="Q90" s="1556"/>
      <c r="R90" s="1018">
        <v>7</v>
      </c>
    </row>
    <row r="91" spans="1:18" ht="36.75" customHeight="1">
      <c r="A91" s="1552"/>
      <c r="B91" s="1552"/>
      <c r="C91" s="1552"/>
      <c r="D91" s="1552"/>
      <c r="E91" s="1552"/>
      <c r="F91" s="1552"/>
      <c r="G91" s="1004">
        <v>140494</v>
      </c>
      <c r="H91" s="1559" t="s">
        <v>2598</v>
      </c>
      <c r="I91" s="1559"/>
      <c r="J91" s="1559"/>
      <c r="K91" s="1559"/>
      <c r="L91" s="1559"/>
      <c r="M91" s="1561" t="s">
        <v>208</v>
      </c>
      <c r="N91" s="1561"/>
      <c r="O91" s="931">
        <v>0</v>
      </c>
      <c r="P91" s="1543"/>
      <c r="Q91" s="1562"/>
      <c r="R91" s="1018">
        <v>8</v>
      </c>
    </row>
    <row r="92" spans="1:18" ht="15.75" thickBot="1">
      <c r="A92" s="1552"/>
      <c r="B92" s="1552"/>
      <c r="C92" s="1552"/>
      <c r="D92" s="1552"/>
      <c r="E92" s="1552"/>
      <c r="F92" s="1552"/>
      <c r="G92" s="1584"/>
      <c r="H92" s="1584"/>
      <c r="I92" s="1584"/>
      <c r="J92" s="1584"/>
      <c r="K92" s="1584"/>
      <c r="L92" s="1584"/>
      <c r="M92" s="1563" t="s">
        <v>209</v>
      </c>
      <c r="N92" s="1563"/>
      <c r="O92" s="910">
        <v>0</v>
      </c>
      <c r="P92" s="1543"/>
      <c r="Q92" s="1562"/>
      <c r="R92" s="1018">
        <v>9</v>
      </c>
    </row>
    <row r="93" spans="1:18" ht="15.75" thickBot="1">
      <c r="A93" s="1552"/>
      <c r="B93" s="1552"/>
      <c r="C93" s="1552"/>
      <c r="D93" s="1552"/>
      <c r="E93" s="1552"/>
      <c r="F93" s="1552"/>
      <c r="G93" s="1584"/>
      <c r="H93" s="1584"/>
      <c r="I93" s="1584"/>
      <c r="J93" s="1584"/>
      <c r="K93" s="1584"/>
      <c r="L93" s="1584"/>
      <c r="M93" s="1564" t="s">
        <v>210</v>
      </c>
      <c r="N93" s="1565"/>
      <c r="O93" s="929">
        <v>0</v>
      </c>
      <c r="P93" s="1543"/>
      <c r="Q93" s="1562"/>
      <c r="R93" s="1018">
        <v>10</v>
      </c>
    </row>
    <row r="94" spans="1:18">
      <c r="A94" s="1552"/>
      <c r="B94" s="1552"/>
      <c r="C94" s="1552"/>
      <c r="D94" s="1552"/>
      <c r="E94" s="1552"/>
      <c r="F94" s="1552"/>
      <c r="G94" s="1584"/>
      <c r="H94" s="1584"/>
      <c r="I94" s="1584"/>
      <c r="J94" s="1584"/>
      <c r="K94" s="1584"/>
      <c r="L94" s="1584"/>
      <c r="M94" s="832"/>
      <c r="N94" s="862"/>
      <c r="O94" s="862"/>
      <c r="P94" s="859"/>
      <c r="Q94" s="1562"/>
    </row>
    <row r="95" spans="1:18" ht="18.75" thickBot="1">
      <c r="A95" s="1034"/>
      <c r="B95" s="1034"/>
      <c r="C95" s="1034"/>
      <c r="D95" s="1034"/>
      <c r="E95" s="1034"/>
      <c r="F95" s="1034"/>
      <c r="G95" s="1037"/>
      <c r="H95" s="1037"/>
      <c r="I95" s="1037"/>
      <c r="J95" s="1037"/>
      <c r="K95" s="1037"/>
      <c r="L95" s="1037"/>
      <c r="M95" s="823"/>
      <c r="N95" s="824"/>
      <c r="O95" s="824"/>
      <c r="P95" s="825"/>
      <c r="Q95" s="1035"/>
    </row>
    <row r="96" spans="1:18">
      <c r="A96" s="1516"/>
      <c r="B96" s="1517"/>
      <c r="C96" s="1545"/>
      <c r="D96" s="1545"/>
      <c r="E96" s="1545"/>
      <c r="F96" s="1545"/>
      <c r="G96" s="1529" t="str">
        <f>certificateNB</f>
        <v>12600.1</v>
      </c>
      <c r="H96" s="1531" t="str">
        <f>YACHTNAME</f>
        <v xml:space="preserve">HUTIANE            </v>
      </c>
      <c r="I96" s="1532"/>
      <c r="J96" s="1532"/>
      <c r="K96" s="1532"/>
      <c r="L96" s="1533"/>
      <c r="M96" s="1595" t="s">
        <v>203</v>
      </c>
      <c r="N96" s="1596"/>
      <c r="O96" s="1599">
        <f>A96</f>
        <v>0</v>
      </c>
      <c r="P96" s="1602" t="s">
        <v>204</v>
      </c>
      <c r="Q96" s="1604">
        <v>7</v>
      </c>
    </row>
    <row r="97" spans="1:18" ht="15.75" thickBot="1">
      <c r="A97" s="1591"/>
      <c r="B97" s="1592"/>
      <c r="C97" s="1593"/>
      <c r="D97" s="1593"/>
      <c r="E97" s="1593"/>
      <c r="F97" s="1593"/>
      <c r="G97" s="1530"/>
      <c r="H97" s="1534"/>
      <c r="I97" s="1594"/>
      <c r="J97" s="1594"/>
      <c r="K97" s="1594"/>
      <c r="L97" s="1536"/>
      <c r="M97" s="1597"/>
      <c r="N97" s="1598"/>
      <c r="O97" s="1600"/>
      <c r="P97" s="1603"/>
      <c r="Q97" s="1604"/>
    </row>
    <row r="98" spans="1:18" ht="24.95" customHeight="1">
      <c r="A98" s="1002">
        <v>0</v>
      </c>
      <c r="B98" s="1003" t="s">
        <v>12</v>
      </c>
      <c r="C98" s="1566"/>
      <c r="D98" s="1566"/>
      <c r="E98" s="1566"/>
      <c r="F98" s="1566"/>
      <c r="G98" s="1004"/>
      <c r="H98" s="1549"/>
      <c r="I98" s="1549"/>
      <c r="J98" s="1549"/>
      <c r="K98" s="1549"/>
      <c r="L98" s="1549"/>
      <c r="M98" s="1542" t="s">
        <v>2550</v>
      </c>
      <c r="N98" s="1542"/>
      <c r="O98" s="1009">
        <v>0</v>
      </c>
      <c r="P98" s="1543">
        <f>A96</f>
        <v>0</v>
      </c>
      <c r="Q98" s="1544" t="str">
        <f>Q6</f>
        <v>EUR</v>
      </c>
      <c r="R98" s="1018">
        <v>1</v>
      </c>
    </row>
    <row r="99" spans="1:18" ht="24.95" customHeight="1">
      <c r="A99" s="1002">
        <v>0</v>
      </c>
      <c r="B99" s="1003" t="s">
        <v>205</v>
      </c>
      <c r="C99" s="1566"/>
      <c r="D99" s="1566"/>
      <c r="E99" s="1566"/>
      <c r="F99" s="1566"/>
      <c r="G99" s="1004"/>
      <c r="H99" s="1549"/>
      <c r="I99" s="1549"/>
      <c r="J99" s="1549"/>
      <c r="K99" s="1549"/>
      <c r="L99" s="1549"/>
      <c r="M99" s="1542" t="s">
        <v>2647</v>
      </c>
      <c r="N99" s="1542"/>
      <c r="O99" s="1009">
        <v>0</v>
      </c>
      <c r="P99" s="1543"/>
      <c r="Q99" s="1544"/>
      <c r="R99" s="1018">
        <v>2</v>
      </c>
    </row>
    <row r="100" spans="1:18" ht="24.95" customHeight="1">
      <c r="A100" s="1002">
        <v>0</v>
      </c>
      <c r="B100" s="1003"/>
      <c r="C100" s="1566"/>
      <c r="D100" s="1566"/>
      <c r="E100" s="1566"/>
      <c r="F100" s="1566"/>
      <c r="G100" s="1004"/>
      <c r="H100" s="1550"/>
      <c r="I100" s="1550"/>
      <c r="J100" s="1550"/>
      <c r="K100" s="1550"/>
      <c r="L100" s="1550"/>
      <c r="M100" s="1542" t="s">
        <v>211</v>
      </c>
      <c r="N100" s="1542"/>
      <c r="O100" s="1009">
        <v>0</v>
      </c>
      <c r="P100" s="1543"/>
      <c r="Q100" s="1544"/>
      <c r="R100" s="1018">
        <v>3</v>
      </c>
    </row>
    <row r="101" spans="1:18" ht="35.1" customHeight="1">
      <c r="A101" s="1033">
        <v>0</v>
      </c>
      <c r="B101" s="1005" t="s">
        <v>206</v>
      </c>
      <c r="C101" s="1567"/>
      <c r="D101" s="1567"/>
      <c r="E101" s="1567"/>
      <c r="F101" s="1567"/>
      <c r="G101" s="1004"/>
      <c r="H101" s="1549"/>
      <c r="I101" s="1549"/>
      <c r="J101" s="1549"/>
      <c r="K101" s="1549"/>
      <c r="L101" s="1549"/>
      <c r="M101" s="1542" t="s">
        <v>2648</v>
      </c>
      <c r="N101" s="1542"/>
      <c r="O101" s="1009">
        <v>0</v>
      </c>
      <c r="P101" s="1543"/>
      <c r="Q101" s="1544"/>
      <c r="R101" s="1018">
        <v>4</v>
      </c>
    </row>
    <row r="102" spans="1:18" ht="35.1" customHeight="1">
      <c r="A102" s="1033">
        <v>0</v>
      </c>
      <c r="B102" s="1005" t="s">
        <v>212</v>
      </c>
      <c r="C102" s="1548"/>
      <c r="D102" s="1548"/>
      <c r="E102" s="1548"/>
      <c r="F102" s="1548"/>
      <c r="G102" s="1004"/>
      <c r="H102" s="1549"/>
      <c r="I102" s="1549"/>
      <c r="J102" s="1549"/>
      <c r="K102" s="1549"/>
      <c r="L102" s="1549"/>
      <c r="M102" s="1542" t="s">
        <v>2649</v>
      </c>
      <c r="N102" s="1542"/>
      <c r="O102" s="930"/>
      <c r="P102" s="1543"/>
      <c r="Q102" s="911">
        <f>RECAPITULATIF!T27</f>
        <v>0</v>
      </c>
      <c r="R102" s="1018">
        <v>5</v>
      </c>
    </row>
    <row r="103" spans="1:18" ht="24.95" customHeight="1">
      <c r="A103" s="1551"/>
      <c r="B103" s="1552"/>
      <c r="C103" s="1552"/>
      <c r="D103" s="1552"/>
      <c r="E103" s="1552"/>
      <c r="F103" s="1552"/>
      <c r="G103" s="1004"/>
      <c r="H103" s="1549"/>
      <c r="I103" s="1549"/>
      <c r="J103" s="1549"/>
      <c r="K103" s="1549"/>
      <c r="L103" s="1549"/>
      <c r="M103" s="1542" t="s">
        <v>2650</v>
      </c>
      <c r="N103" s="1542"/>
      <c r="O103" s="930">
        <v>0</v>
      </c>
      <c r="P103" s="1543"/>
      <c r="Q103" s="1556"/>
      <c r="R103" s="1018">
        <v>6</v>
      </c>
    </row>
    <row r="104" spans="1:18" ht="33" customHeight="1">
      <c r="A104" s="1551"/>
      <c r="B104" s="1552"/>
      <c r="C104" s="1552"/>
      <c r="D104" s="1552"/>
      <c r="E104" s="1552"/>
      <c r="F104" s="1552"/>
      <c r="G104" s="1006"/>
      <c r="H104" s="1557"/>
      <c r="I104" s="1557"/>
      <c r="J104" s="1557"/>
      <c r="K104" s="1557"/>
      <c r="L104" s="1557"/>
      <c r="M104" s="1558" t="s">
        <v>207</v>
      </c>
      <c r="N104" s="1558"/>
      <c r="O104" s="930">
        <v>0</v>
      </c>
      <c r="P104" s="1543"/>
      <c r="Q104" s="1556"/>
      <c r="R104" s="1018">
        <v>7</v>
      </c>
    </row>
    <row r="105" spans="1:18" ht="29.25" customHeight="1">
      <c r="A105" s="1551"/>
      <c r="B105" s="1552"/>
      <c r="C105" s="1552"/>
      <c r="D105" s="1552"/>
      <c r="E105" s="1552"/>
      <c r="F105" s="1552"/>
      <c r="G105" s="1004">
        <v>140494</v>
      </c>
      <c r="H105" s="1559" t="s">
        <v>2598</v>
      </c>
      <c r="I105" s="1559"/>
      <c r="J105" s="1559"/>
      <c r="K105" s="1559"/>
      <c r="L105" s="1560"/>
      <c r="M105" s="1561" t="s">
        <v>208</v>
      </c>
      <c r="N105" s="1561"/>
      <c r="O105" s="931">
        <v>0</v>
      </c>
      <c r="P105" s="1543"/>
      <c r="Q105" s="1562"/>
      <c r="R105" s="1018">
        <v>8</v>
      </c>
    </row>
    <row r="106" spans="1:18" ht="15.75" thickBot="1">
      <c r="A106" s="1551"/>
      <c r="B106" s="1552"/>
      <c r="C106" s="1552"/>
      <c r="D106" s="1552"/>
      <c r="E106" s="1552"/>
      <c r="F106" s="1552"/>
      <c r="G106" s="1468"/>
      <c r="H106" s="1468"/>
      <c r="I106" s="1468"/>
      <c r="J106" s="1468"/>
      <c r="K106" s="1468"/>
      <c r="L106" s="1468"/>
      <c r="M106" s="1563" t="s">
        <v>209</v>
      </c>
      <c r="N106" s="1563"/>
      <c r="O106" s="910">
        <v>0</v>
      </c>
      <c r="P106" s="1543"/>
      <c r="Q106" s="1562"/>
      <c r="R106" s="1018">
        <v>9</v>
      </c>
    </row>
    <row r="107" spans="1:18" ht="15.75" thickBot="1">
      <c r="A107" s="1551"/>
      <c r="B107" s="1552"/>
      <c r="C107" s="1552"/>
      <c r="D107" s="1552"/>
      <c r="E107" s="1552"/>
      <c r="F107" s="1552"/>
      <c r="G107" s="1468"/>
      <c r="H107" s="1468"/>
      <c r="I107" s="1468"/>
      <c r="J107" s="1468"/>
      <c r="K107" s="1468"/>
      <c r="L107" s="1468"/>
      <c r="M107" s="1564" t="s">
        <v>210</v>
      </c>
      <c r="N107" s="1565"/>
      <c r="O107" s="929">
        <v>0</v>
      </c>
      <c r="P107" s="1543"/>
      <c r="Q107" s="1562"/>
      <c r="R107" s="1018">
        <v>10</v>
      </c>
    </row>
    <row r="108" spans="1:18" ht="15.75" thickBot="1">
      <c r="A108" s="1553"/>
      <c r="B108" s="1581"/>
      <c r="C108" s="1581"/>
      <c r="D108" s="1581"/>
      <c r="E108" s="1581"/>
      <c r="F108" s="1581"/>
      <c r="G108" s="1605"/>
      <c r="H108" s="1605"/>
      <c r="I108" s="1605"/>
      <c r="J108" s="1605"/>
      <c r="K108" s="1605"/>
      <c r="L108" s="1605"/>
      <c r="M108" s="823"/>
      <c r="N108" s="824"/>
      <c r="O108" s="824"/>
      <c r="P108" s="825"/>
      <c r="Q108" s="1562"/>
    </row>
    <row r="109" spans="1:18">
      <c r="A109" s="1516"/>
      <c r="B109" s="1517"/>
      <c r="C109" s="1545"/>
      <c r="D109" s="1545"/>
      <c r="E109" s="1545"/>
      <c r="F109" s="1545"/>
      <c r="G109" s="1529" t="str">
        <f>certificateNB</f>
        <v>12600.1</v>
      </c>
      <c r="H109" s="1531" t="str">
        <f>YACHTNAME</f>
        <v xml:space="preserve">HUTIANE            </v>
      </c>
      <c r="I109" s="1532"/>
      <c r="J109" s="1532"/>
      <c r="K109" s="1532"/>
      <c r="L109" s="1533"/>
      <c r="M109" s="1580" t="s">
        <v>203</v>
      </c>
      <c r="N109" s="1606"/>
      <c r="O109" s="1583">
        <v>0</v>
      </c>
      <c r="P109" s="1587" t="s">
        <v>204</v>
      </c>
      <c r="Q109" s="1541">
        <v>8</v>
      </c>
    </row>
    <row r="110" spans="1:18" ht="15.75" thickBot="1">
      <c r="A110" s="1518"/>
      <c r="B110" s="1519"/>
      <c r="C110" s="1546"/>
      <c r="D110" s="1546"/>
      <c r="E110" s="1546"/>
      <c r="F110" s="1546"/>
      <c r="G110" s="1530"/>
      <c r="H110" s="1534"/>
      <c r="I110" s="1573"/>
      <c r="J110" s="1573"/>
      <c r="K110" s="1573"/>
      <c r="L110" s="1574"/>
      <c r="M110" s="1537"/>
      <c r="N110" s="1538"/>
      <c r="O110" s="1539"/>
      <c r="P110" s="1540"/>
      <c r="Q110" s="1541"/>
    </row>
    <row r="111" spans="1:18" ht="24.95" customHeight="1">
      <c r="A111" s="1002">
        <v>0</v>
      </c>
      <c r="B111" s="1003" t="s">
        <v>12</v>
      </c>
      <c r="C111" s="1566"/>
      <c r="D111" s="1566"/>
      <c r="E111" s="1566"/>
      <c r="F111" s="1566"/>
      <c r="G111" s="1004"/>
      <c r="H111" s="1549"/>
      <c r="I111" s="1549"/>
      <c r="J111" s="1549"/>
      <c r="K111" s="1549"/>
      <c r="L111" s="1549"/>
      <c r="M111" s="1542" t="s">
        <v>2550</v>
      </c>
      <c r="N111" s="1542"/>
      <c r="O111" s="1009">
        <v>0</v>
      </c>
      <c r="P111" s="1543">
        <f>A109</f>
        <v>0</v>
      </c>
      <c r="Q111" s="1544" t="str">
        <f>Q6</f>
        <v>EUR</v>
      </c>
      <c r="R111" s="1018">
        <v>1</v>
      </c>
    </row>
    <row r="112" spans="1:18" ht="24.95" customHeight="1">
      <c r="A112" s="1002">
        <v>0</v>
      </c>
      <c r="B112" s="1003" t="s">
        <v>205</v>
      </c>
      <c r="C112" s="1566"/>
      <c r="D112" s="1566"/>
      <c r="E112" s="1566"/>
      <c r="F112" s="1566"/>
      <c r="G112" s="1004"/>
      <c r="H112" s="1549"/>
      <c r="I112" s="1549"/>
      <c r="J112" s="1549"/>
      <c r="K112" s="1549"/>
      <c r="L112" s="1549"/>
      <c r="M112" s="1542" t="s">
        <v>2647</v>
      </c>
      <c r="N112" s="1542"/>
      <c r="O112" s="1009">
        <v>0</v>
      </c>
      <c r="P112" s="1543"/>
      <c r="Q112" s="1544"/>
      <c r="R112" s="1018">
        <v>2</v>
      </c>
    </row>
    <row r="113" spans="1:18" ht="24.95" customHeight="1">
      <c r="A113" s="1002">
        <v>0</v>
      </c>
      <c r="B113" s="1003"/>
      <c r="C113" s="1566"/>
      <c r="D113" s="1566"/>
      <c r="E113" s="1566"/>
      <c r="F113" s="1566"/>
      <c r="G113" s="1004"/>
      <c r="H113" s="1550"/>
      <c r="I113" s="1550"/>
      <c r="J113" s="1550"/>
      <c r="K113" s="1550"/>
      <c r="L113" s="1550"/>
      <c r="M113" s="1542" t="s">
        <v>211</v>
      </c>
      <c r="N113" s="1542"/>
      <c r="O113" s="1009">
        <v>0</v>
      </c>
      <c r="P113" s="1543"/>
      <c r="Q113" s="1544"/>
      <c r="R113" s="1018">
        <v>3</v>
      </c>
    </row>
    <row r="114" spans="1:18" ht="24.95" customHeight="1">
      <c r="A114" s="1033">
        <v>0</v>
      </c>
      <c r="B114" s="1005" t="s">
        <v>206</v>
      </c>
      <c r="C114" s="1567"/>
      <c r="D114" s="1567"/>
      <c r="E114" s="1567"/>
      <c r="F114" s="1567"/>
      <c r="G114" s="1004"/>
      <c r="H114" s="1549"/>
      <c r="I114" s="1549"/>
      <c r="J114" s="1549"/>
      <c r="K114" s="1549"/>
      <c r="L114" s="1549"/>
      <c r="M114" s="1542" t="s">
        <v>2648</v>
      </c>
      <c r="N114" s="1542"/>
      <c r="O114" s="1009">
        <v>0</v>
      </c>
      <c r="P114" s="1543"/>
      <c r="Q114" s="1544"/>
      <c r="R114" s="1018">
        <v>4</v>
      </c>
    </row>
    <row r="115" spans="1:18" ht="24.95" customHeight="1">
      <c r="A115" s="1033">
        <v>0</v>
      </c>
      <c r="B115" s="1005" t="s">
        <v>212</v>
      </c>
      <c r="C115" s="1548"/>
      <c r="D115" s="1548"/>
      <c r="E115" s="1548"/>
      <c r="F115" s="1548"/>
      <c r="G115" s="1004"/>
      <c r="H115" s="1549"/>
      <c r="I115" s="1549"/>
      <c r="J115" s="1549"/>
      <c r="K115" s="1549"/>
      <c r="L115" s="1549"/>
      <c r="M115" s="1542" t="s">
        <v>2649</v>
      </c>
      <c r="N115" s="1542"/>
      <c r="O115" s="930"/>
      <c r="P115" s="1543"/>
      <c r="Q115" s="911">
        <f>RECAPITULATIF!T28</f>
        <v>0</v>
      </c>
      <c r="R115" s="1018">
        <v>5</v>
      </c>
    </row>
    <row r="116" spans="1:18" ht="24.95" customHeight="1">
      <c r="A116" s="1551"/>
      <c r="B116" s="1552"/>
      <c r="C116" s="1552"/>
      <c r="D116" s="1552"/>
      <c r="E116" s="1552"/>
      <c r="F116" s="1552"/>
      <c r="G116" s="1004"/>
      <c r="H116" s="1549"/>
      <c r="I116" s="1549"/>
      <c r="J116" s="1549"/>
      <c r="K116" s="1549"/>
      <c r="L116" s="1549"/>
      <c r="M116" s="1542" t="s">
        <v>2650</v>
      </c>
      <c r="N116" s="1542"/>
      <c r="O116" s="930">
        <v>0</v>
      </c>
      <c r="P116" s="1543"/>
      <c r="Q116" s="1556"/>
      <c r="R116" s="1018">
        <v>6</v>
      </c>
    </row>
    <row r="117" spans="1:18" ht="24.95" customHeight="1">
      <c r="A117" s="1551"/>
      <c r="B117" s="1552"/>
      <c r="C117" s="1552"/>
      <c r="D117" s="1552"/>
      <c r="E117" s="1552"/>
      <c r="F117" s="1552"/>
      <c r="G117" s="1006"/>
      <c r="H117" s="1557"/>
      <c r="I117" s="1557"/>
      <c r="J117" s="1557"/>
      <c r="K117" s="1557"/>
      <c r="L117" s="1557"/>
      <c r="M117" s="1558" t="s">
        <v>207</v>
      </c>
      <c r="N117" s="1558"/>
      <c r="O117" s="930">
        <v>0</v>
      </c>
      <c r="P117" s="1543"/>
      <c r="Q117" s="1556"/>
      <c r="R117" s="1018">
        <v>7</v>
      </c>
    </row>
    <row r="118" spans="1:18" ht="31.5" customHeight="1">
      <c r="A118" s="1551"/>
      <c r="B118" s="1552"/>
      <c r="C118" s="1552"/>
      <c r="D118" s="1552"/>
      <c r="E118" s="1552"/>
      <c r="F118" s="1552"/>
      <c r="G118" s="1004">
        <v>140494</v>
      </c>
      <c r="H118" s="1559" t="s">
        <v>2598</v>
      </c>
      <c r="I118" s="1559"/>
      <c r="J118" s="1559"/>
      <c r="K118" s="1559"/>
      <c r="L118" s="1560"/>
      <c r="M118" s="1561" t="s">
        <v>208</v>
      </c>
      <c r="N118" s="1561"/>
      <c r="O118" s="931">
        <v>0</v>
      </c>
      <c r="P118" s="1543"/>
      <c r="Q118" s="1562"/>
      <c r="R118" s="1018">
        <v>8</v>
      </c>
    </row>
    <row r="119" spans="1:18" ht="15.75" thickBot="1">
      <c r="A119" s="1551"/>
      <c r="B119" s="1552"/>
      <c r="C119" s="1552"/>
      <c r="D119" s="1552"/>
      <c r="E119" s="1552"/>
      <c r="F119" s="1552"/>
      <c r="G119" s="1468"/>
      <c r="H119" s="1468"/>
      <c r="I119" s="1468"/>
      <c r="J119" s="1468"/>
      <c r="K119" s="1468"/>
      <c r="L119" s="1468"/>
      <c r="M119" s="1563" t="s">
        <v>209</v>
      </c>
      <c r="N119" s="1563"/>
      <c r="O119" s="910">
        <v>0</v>
      </c>
      <c r="P119" s="1543"/>
      <c r="Q119" s="1562"/>
      <c r="R119" s="1018">
        <v>9</v>
      </c>
    </row>
    <row r="120" spans="1:18" ht="15.75" thickBot="1">
      <c r="A120" s="1551"/>
      <c r="B120" s="1552"/>
      <c r="C120" s="1552"/>
      <c r="D120" s="1552"/>
      <c r="E120" s="1552"/>
      <c r="F120" s="1552"/>
      <c r="G120" s="1468"/>
      <c r="H120" s="1468"/>
      <c r="I120" s="1468"/>
      <c r="J120" s="1468"/>
      <c r="K120" s="1468"/>
      <c r="L120" s="1468"/>
      <c r="M120" s="1564" t="s">
        <v>210</v>
      </c>
      <c r="N120" s="1565"/>
      <c r="O120" s="929">
        <v>0</v>
      </c>
      <c r="P120" s="1543"/>
      <c r="Q120" s="1562"/>
      <c r="R120" s="1018">
        <v>10</v>
      </c>
    </row>
    <row r="121" spans="1:18" ht="15.75" thickBot="1">
      <c r="A121" s="1553"/>
      <c r="B121" s="1581"/>
      <c r="C121" s="1581"/>
      <c r="D121" s="1581"/>
      <c r="E121" s="1581"/>
      <c r="F121" s="1581"/>
      <c r="G121" s="1605"/>
      <c r="H121" s="1605"/>
      <c r="I121" s="1605"/>
      <c r="J121" s="1605"/>
      <c r="K121" s="1605"/>
      <c r="L121" s="1605"/>
      <c r="M121" s="823"/>
      <c r="N121" s="824"/>
      <c r="O121" s="824"/>
      <c r="P121" s="825"/>
      <c r="Q121" s="1562"/>
    </row>
    <row r="122" spans="1:18">
      <c r="A122" s="1516"/>
      <c r="B122" s="1517"/>
      <c r="C122" s="1607"/>
      <c r="D122" s="1607"/>
      <c r="E122" s="1607"/>
      <c r="F122" s="1607"/>
      <c r="G122" s="1529" t="str">
        <f>certificateNB</f>
        <v>12600.1</v>
      </c>
      <c r="H122" s="1531" t="str">
        <f>YACHTNAME</f>
        <v xml:space="preserve">HUTIANE            </v>
      </c>
      <c r="I122" s="1532"/>
      <c r="J122" s="1532"/>
      <c r="K122" s="1532"/>
      <c r="L122" s="1533"/>
      <c r="M122" s="1580" t="s">
        <v>203</v>
      </c>
      <c r="N122" s="1606"/>
      <c r="O122" s="1583">
        <f>A122</f>
        <v>0</v>
      </c>
      <c r="P122" s="1587" t="s">
        <v>204</v>
      </c>
      <c r="Q122" s="1541">
        <v>9</v>
      </c>
    </row>
    <row r="123" spans="1:18" ht="15.75" thickBot="1">
      <c r="A123" s="1518"/>
      <c r="B123" s="1519"/>
      <c r="C123" s="1608"/>
      <c r="D123" s="1608"/>
      <c r="E123" s="1608"/>
      <c r="F123" s="1608"/>
      <c r="G123" s="1530"/>
      <c r="H123" s="1534"/>
      <c r="I123" s="1609"/>
      <c r="J123" s="1609"/>
      <c r="K123" s="1609"/>
      <c r="L123" s="1610"/>
      <c r="M123" s="1537"/>
      <c r="N123" s="1538"/>
      <c r="O123" s="1539"/>
      <c r="P123" s="1540"/>
      <c r="Q123" s="1541"/>
    </row>
    <row r="124" spans="1:18" ht="24.95" customHeight="1">
      <c r="A124" s="1002">
        <v>0</v>
      </c>
      <c r="B124" s="1003" t="s">
        <v>12</v>
      </c>
      <c r="C124" s="1588"/>
      <c r="D124" s="1588"/>
      <c r="E124" s="1588"/>
      <c r="F124" s="1588"/>
      <c r="G124" s="909"/>
      <c r="H124" s="1611"/>
      <c r="I124" s="1611"/>
      <c r="J124" s="1611"/>
      <c r="K124" s="1611"/>
      <c r="L124" s="1611"/>
      <c r="M124" s="1542" t="s">
        <v>2550</v>
      </c>
      <c r="N124" s="1542"/>
      <c r="O124" s="1009">
        <v>0</v>
      </c>
      <c r="P124" s="1543">
        <f>A122</f>
        <v>0</v>
      </c>
      <c r="Q124" s="1544" t="str">
        <f>Q6</f>
        <v>EUR</v>
      </c>
      <c r="R124" s="1018">
        <v>1</v>
      </c>
    </row>
    <row r="125" spans="1:18" ht="24.95" customHeight="1">
      <c r="A125" s="1002">
        <v>0</v>
      </c>
      <c r="B125" s="1003" t="s">
        <v>205</v>
      </c>
      <c r="C125" s="1555"/>
      <c r="D125" s="1555"/>
      <c r="E125" s="1555"/>
      <c r="F125" s="1555"/>
      <c r="G125" s="909"/>
      <c r="H125" s="1611"/>
      <c r="I125" s="1611"/>
      <c r="J125" s="1611"/>
      <c r="K125" s="1611"/>
      <c r="L125" s="1611"/>
      <c r="M125" s="1542" t="s">
        <v>2647</v>
      </c>
      <c r="N125" s="1542"/>
      <c r="O125" s="1009">
        <v>0</v>
      </c>
      <c r="P125" s="1543"/>
      <c r="Q125" s="1544"/>
      <c r="R125" s="1018">
        <v>2</v>
      </c>
    </row>
    <row r="126" spans="1:18" ht="24.95" customHeight="1">
      <c r="A126" s="1002">
        <v>0</v>
      </c>
      <c r="B126" s="1003"/>
      <c r="C126" s="1555"/>
      <c r="D126" s="1555"/>
      <c r="E126" s="1555"/>
      <c r="F126" s="1555"/>
      <c r="G126" s="909"/>
      <c r="H126" s="1617"/>
      <c r="I126" s="1617"/>
      <c r="J126" s="1617"/>
      <c r="K126" s="1617"/>
      <c r="L126" s="1617"/>
      <c r="M126" s="1542" t="s">
        <v>211</v>
      </c>
      <c r="N126" s="1542"/>
      <c r="O126" s="1009">
        <v>0</v>
      </c>
      <c r="P126" s="1543"/>
      <c r="Q126" s="1544"/>
      <c r="R126" s="1018">
        <v>3</v>
      </c>
    </row>
    <row r="127" spans="1:18" ht="35.1" customHeight="1">
      <c r="A127" s="1033">
        <v>0</v>
      </c>
      <c r="B127" s="1005" t="s">
        <v>206</v>
      </c>
      <c r="C127" s="1548"/>
      <c r="D127" s="1548"/>
      <c r="E127" s="1548"/>
      <c r="F127" s="1548"/>
      <c r="G127" s="1007"/>
      <c r="H127" s="1611"/>
      <c r="I127" s="1611"/>
      <c r="J127" s="1611"/>
      <c r="K127" s="1611"/>
      <c r="L127" s="1611"/>
      <c r="M127" s="1542" t="s">
        <v>2648</v>
      </c>
      <c r="N127" s="1542"/>
      <c r="O127" s="1009">
        <v>0</v>
      </c>
      <c r="P127" s="1543"/>
      <c r="Q127" s="1544"/>
      <c r="R127" s="1018">
        <v>4</v>
      </c>
    </row>
    <row r="128" spans="1:18" ht="35.1" customHeight="1">
      <c r="A128" s="1033">
        <v>0</v>
      </c>
      <c r="B128" s="1005" t="s">
        <v>212</v>
      </c>
      <c r="C128" s="1548"/>
      <c r="D128" s="1548"/>
      <c r="E128" s="1548"/>
      <c r="F128" s="1548"/>
      <c r="G128" s="1007"/>
      <c r="H128" s="1611"/>
      <c r="I128" s="1611"/>
      <c r="J128" s="1611"/>
      <c r="K128" s="1611"/>
      <c r="L128" s="1611"/>
      <c r="M128" s="1542" t="s">
        <v>2649</v>
      </c>
      <c r="N128" s="1542"/>
      <c r="O128" s="930"/>
      <c r="P128" s="1543"/>
      <c r="Q128" s="911">
        <f>RECAPITULATIF!T29</f>
        <v>0</v>
      </c>
      <c r="R128" s="1018">
        <v>5</v>
      </c>
    </row>
    <row r="129" spans="1:18" ht="24.95" customHeight="1">
      <c r="A129" s="1551"/>
      <c r="B129" s="1552"/>
      <c r="C129" s="1552"/>
      <c r="D129" s="1552"/>
      <c r="E129" s="1552"/>
      <c r="F129" s="1552"/>
      <c r="G129" s="1004"/>
      <c r="H129" s="1549"/>
      <c r="I129" s="1549"/>
      <c r="J129" s="1549"/>
      <c r="K129" s="1549"/>
      <c r="L129" s="1549"/>
      <c r="M129" s="1542" t="s">
        <v>2650</v>
      </c>
      <c r="N129" s="1542"/>
      <c r="O129" s="930">
        <v>0</v>
      </c>
      <c r="P129" s="1543"/>
      <c r="Q129" s="1556"/>
      <c r="R129" s="1018">
        <v>6</v>
      </c>
    </row>
    <row r="130" spans="1:18" ht="24.95" customHeight="1">
      <c r="A130" s="1551"/>
      <c r="B130" s="1552"/>
      <c r="C130" s="1552"/>
      <c r="D130" s="1552"/>
      <c r="E130" s="1552"/>
      <c r="F130" s="1552"/>
      <c r="G130" s="1006"/>
      <c r="H130" s="1557"/>
      <c r="I130" s="1557"/>
      <c r="J130" s="1557"/>
      <c r="K130" s="1557"/>
      <c r="L130" s="1557"/>
      <c r="M130" s="1558" t="s">
        <v>207</v>
      </c>
      <c r="N130" s="1558"/>
      <c r="O130" s="930">
        <v>0</v>
      </c>
      <c r="P130" s="1543"/>
      <c r="Q130" s="1556"/>
      <c r="R130" s="1018">
        <v>7</v>
      </c>
    </row>
    <row r="131" spans="1:18" ht="39.75" customHeight="1">
      <c r="A131" s="1551"/>
      <c r="B131" s="1552"/>
      <c r="C131" s="1552"/>
      <c r="D131" s="1552"/>
      <c r="E131" s="1552"/>
      <c r="F131" s="1552"/>
      <c r="G131" s="1004">
        <v>140494</v>
      </c>
      <c r="H131" s="1601" t="s">
        <v>2561</v>
      </c>
      <c r="I131" s="1601"/>
      <c r="J131" s="1601"/>
      <c r="K131" s="1601"/>
      <c r="L131" s="1601"/>
      <c r="M131" s="1561" t="s">
        <v>208</v>
      </c>
      <c r="N131" s="1561"/>
      <c r="O131" s="931">
        <v>0</v>
      </c>
      <c r="P131" s="1543"/>
      <c r="Q131" s="1562"/>
      <c r="R131" s="1018">
        <v>8</v>
      </c>
    </row>
    <row r="132" spans="1:18" ht="15.75" thickBot="1">
      <c r="A132" s="1551"/>
      <c r="B132" s="1552"/>
      <c r="C132" s="1552"/>
      <c r="D132" s="1552"/>
      <c r="E132" s="1552"/>
      <c r="F132" s="1552"/>
      <c r="G132" s="1468"/>
      <c r="H132" s="1468"/>
      <c r="I132" s="1468"/>
      <c r="J132" s="1468"/>
      <c r="K132" s="1468"/>
      <c r="L132" s="1468"/>
      <c r="M132" s="1563" t="s">
        <v>209</v>
      </c>
      <c r="N132" s="1563"/>
      <c r="O132" s="910">
        <v>0</v>
      </c>
      <c r="P132" s="1543"/>
      <c r="Q132" s="1562"/>
      <c r="R132" s="1018">
        <v>9</v>
      </c>
    </row>
    <row r="133" spans="1:18" ht="15.75" thickBot="1">
      <c r="A133" s="1551"/>
      <c r="B133" s="1552"/>
      <c r="C133" s="1552"/>
      <c r="D133" s="1552"/>
      <c r="E133" s="1552"/>
      <c r="F133" s="1552"/>
      <c r="G133" s="1468"/>
      <c r="H133" s="1468"/>
      <c r="I133" s="1468"/>
      <c r="J133" s="1468"/>
      <c r="K133" s="1468"/>
      <c r="L133" s="1468"/>
      <c r="M133" s="1564" t="s">
        <v>210</v>
      </c>
      <c r="N133" s="1565"/>
      <c r="O133" s="929">
        <v>0</v>
      </c>
      <c r="P133" s="1543"/>
      <c r="Q133" s="1562"/>
      <c r="R133" s="1018">
        <v>10</v>
      </c>
    </row>
    <row r="134" spans="1:18">
      <c r="A134" s="1551"/>
      <c r="B134" s="1552"/>
      <c r="C134" s="1552"/>
      <c r="D134" s="1552"/>
      <c r="E134" s="1552"/>
      <c r="F134" s="1552"/>
      <c r="G134" s="1468"/>
      <c r="H134" s="1468"/>
      <c r="I134" s="1468"/>
      <c r="J134" s="1468"/>
      <c r="K134" s="1468"/>
      <c r="L134" s="1468"/>
      <c r="M134" s="1613"/>
      <c r="N134" s="1613"/>
      <c r="O134" s="1613"/>
      <c r="P134" s="1614"/>
      <c r="Q134" s="1562"/>
    </row>
    <row r="135" spans="1:18" ht="15.75" thickBot="1">
      <c r="A135" s="1553"/>
      <c r="B135" s="1612"/>
      <c r="C135" s="1612"/>
      <c r="D135" s="1612"/>
      <c r="E135" s="1612"/>
      <c r="F135" s="1612"/>
      <c r="G135" s="1618"/>
      <c r="H135" s="1618"/>
      <c r="I135" s="1618"/>
      <c r="J135" s="1618"/>
      <c r="K135" s="1618"/>
      <c r="L135" s="1618"/>
      <c r="M135" s="1615"/>
      <c r="N135" s="1615"/>
      <c r="O135" s="1615"/>
      <c r="P135" s="1616"/>
      <c r="Q135" s="1035"/>
    </row>
    <row r="136" spans="1:18">
      <c r="A136" s="1516"/>
      <c r="B136" s="1517"/>
      <c r="C136" s="1545"/>
      <c r="D136" s="1545"/>
      <c r="E136" s="1545"/>
      <c r="F136" s="1545"/>
      <c r="G136" s="1529" t="str">
        <f>certificateNB</f>
        <v>12600.1</v>
      </c>
      <c r="H136" s="1531" t="str">
        <f>YACHTNAME</f>
        <v xml:space="preserve">HUTIANE            </v>
      </c>
      <c r="I136" s="1532"/>
      <c r="J136" s="1532"/>
      <c r="K136" s="1532"/>
      <c r="L136" s="1533"/>
      <c r="M136" s="1580" t="s">
        <v>203</v>
      </c>
      <c r="N136" s="1606"/>
      <c r="O136" s="1583">
        <f>A136</f>
        <v>0</v>
      </c>
      <c r="P136" s="1587" t="s">
        <v>204</v>
      </c>
      <c r="Q136" s="1541">
        <v>10</v>
      </c>
    </row>
    <row r="137" spans="1:18" ht="15.75" thickBot="1">
      <c r="A137" s="1518"/>
      <c r="B137" s="1519"/>
      <c r="C137" s="1546"/>
      <c r="D137" s="1546"/>
      <c r="E137" s="1546"/>
      <c r="F137" s="1546"/>
      <c r="G137" s="1530"/>
      <c r="H137" s="1534"/>
      <c r="I137" s="1609"/>
      <c r="J137" s="1609"/>
      <c r="K137" s="1609"/>
      <c r="L137" s="1610"/>
      <c r="M137" s="1537"/>
      <c r="N137" s="1538"/>
      <c r="O137" s="1539"/>
      <c r="P137" s="1540"/>
      <c r="Q137" s="1541"/>
    </row>
    <row r="138" spans="1:18" ht="24.95" customHeight="1">
      <c r="A138" s="1002">
        <v>0</v>
      </c>
      <c r="B138" s="1003" t="s">
        <v>12</v>
      </c>
      <c r="C138" s="1566"/>
      <c r="D138" s="1566"/>
      <c r="E138" s="1566"/>
      <c r="F138" s="1566"/>
      <c r="G138" s="909"/>
      <c r="H138" s="1611"/>
      <c r="I138" s="1611"/>
      <c r="J138" s="1611"/>
      <c r="K138" s="1611"/>
      <c r="L138" s="1611"/>
      <c r="M138" s="1542" t="s">
        <v>2550</v>
      </c>
      <c r="N138" s="1542"/>
      <c r="O138" s="1009">
        <v>0</v>
      </c>
      <c r="P138" s="1543">
        <f>A136</f>
        <v>0</v>
      </c>
      <c r="Q138" s="1544" t="str">
        <f>Q6</f>
        <v>EUR</v>
      </c>
      <c r="R138" s="1018">
        <v>1</v>
      </c>
    </row>
    <row r="139" spans="1:18" ht="24.95" customHeight="1">
      <c r="A139" s="1002">
        <v>0</v>
      </c>
      <c r="B139" s="1003" t="s">
        <v>205</v>
      </c>
      <c r="C139" s="1555"/>
      <c r="D139" s="1555"/>
      <c r="E139" s="1555"/>
      <c r="F139" s="1555"/>
      <c r="G139" s="909"/>
      <c r="H139" s="1611"/>
      <c r="I139" s="1611"/>
      <c r="J139" s="1611"/>
      <c r="K139" s="1611"/>
      <c r="L139" s="1611"/>
      <c r="M139" s="1542" t="s">
        <v>2647</v>
      </c>
      <c r="N139" s="1542"/>
      <c r="O139" s="1009">
        <v>0</v>
      </c>
      <c r="P139" s="1543"/>
      <c r="Q139" s="1544"/>
      <c r="R139" s="1018">
        <v>2</v>
      </c>
    </row>
    <row r="140" spans="1:18" ht="24.95" customHeight="1">
      <c r="A140" s="1002">
        <v>0</v>
      </c>
      <c r="B140" s="1003"/>
      <c r="C140" s="1555"/>
      <c r="D140" s="1555"/>
      <c r="E140" s="1555"/>
      <c r="F140" s="1555"/>
      <c r="G140" s="909"/>
      <c r="H140" s="1617"/>
      <c r="I140" s="1617"/>
      <c r="J140" s="1617"/>
      <c r="K140" s="1617"/>
      <c r="L140" s="1617"/>
      <c r="M140" s="1542" t="s">
        <v>211</v>
      </c>
      <c r="N140" s="1542"/>
      <c r="O140" s="1009">
        <v>0</v>
      </c>
      <c r="P140" s="1543"/>
      <c r="Q140" s="1544"/>
      <c r="R140" s="1018">
        <v>3</v>
      </c>
    </row>
    <row r="141" spans="1:18" ht="35.1" customHeight="1">
      <c r="A141" s="1033">
        <v>0</v>
      </c>
      <c r="B141" s="1005" t="s">
        <v>206</v>
      </c>
      <c r="C141" s="1548"/>
      <c r="D141" s="1548"/>
      <c r="E141" s="1548"/>
      <c r="F141" s="1548"/>
      <c r="G141" s="1007"/>
      <c r="H141" s="1611"/>
      <c r="I141" s="1611"/>
      <c r="J141" s="1611"/>
      <c r="K141" s="1611"/>
      <c r="L141" s="1611"/>
      <c r="M141" s="1542" t="s">
        <v>2648</v>
      </c>
      <c r="N141" s="1542"/>
      <c r="O141" s="1009">
        <v>0</v>
      </c>
      <c r="P141" s="1543"/>
      <c r="Q141" s="1544"/>
      <c r="R141" s="1018">
        <v>4</v>
      </c>
    </row>
    <row r="142" spans="1:18" ht="35.1" customHeight="1">
      <c r="A142" s="1033">
        <v>0</v>
      </c>
      <c r="B142" s="1005" t="s">
        <v>212</v>
      </c>
      <c r="C142" s="1548"/>
      <c r="D142" s="1548"/>
      <c r="E142" s="1548"/>
      <c r="F142" s="1548"/>
      <c r="G142" s="1007"/>
      <c r="H142" s="1611"/>
      <c r="I142" s="1611"/>
      <c r="J142" s="1611"/>
      <c r="K142" s="1611"/>
      <c r="L142" s="1611"/>
      <c r="M142" s="1542" t="s">
        <v>2649</v>
      </c>
      <c r="N142" s="1542"/>
      <c r="O142" s="930"/>
      <c r="P142" s="1543"/>
      <c r="Q142" s="911">
        <f>RECAPITULATIF!T30</f>
        <v>0</v>
      </c>
      <c r="R142" s="1018">
        <v>5</v>
      </c>
    </row>
    <row r="143" spans="1:18" ht="24.95" customHeight="1">
      <c r="A143" s="1551"/>
      <c r="B143" s="1552"/>
      <c r="C143" s="1552"/>
      <c r="D143" s="1552"/>
      <c r="E143" s="1552"/>
      <c r="F143" s="1552"/>
      <c r="G143" s="1004"/>
      <c r="H143" s="1549"/>
      <c r="I143" s="1549"/>
      <c r="J143" s="1549"/>
      <c r="K143" s="1549"/>
      <c r="L143" s="1549"/>
      <c r="M143" s="1542" t="s">
        <v>2650</v>
      </c>
      <c r="N143" s="1542"/>
      <c r="O143" s="930">
        <v>0</v>
      </c>
      <c r="P143" s="1543"/>
      <c r="Q143" s="1556"/>
      <c r="R143" s="1018">
        <v>6</v>
      </c>
    </row>
    <row r="144" spans="1:18" ht="24.95" customHeight="1">
      <c r="A144" s="1551"/>
      <c r="B144" s="1552"/>
      <c r="C144" s="1552"/>
      <c r="D144" s="1552"/>
      <c r="E144" s="1552"/>
      <c r="F144" s="1552"/>
      <c r="G144" s="1006"/>
      <c r="H144" s="1557"/>
      <c r="I144" s="1557"/>
      <c r="J144" s="1557"/>
      <c r="K144" s="1557"/>
      <c r="L144" s="1557"/>
      <c r="M144" s="1558" t="s">
        <v>207</v>
      </c>
      <c r="N144" s="1558"/>
      <c r="O144" s="930">
        <v>0</v>
      </c>
      <c r="P144" s="1543"/>
      <c r="Q144" s="1556"/>
      <c r="R144" s="1018">
        <v>7</v>
      </c>
    </row>
    <row r="145" spans="1:18" ht="39" customHeight="1">
      <c r="A145" s="1551"/>
      <c r="B145" s="1552"/>
      <c r="C145" s="1552"/>
      <c r="D145" s="1552"/>
      <c r="E145" s="1552"/>
      <c r="F145" s="1552"/>
      <c r="G145" s="1004">
        <v>140494</v>
      </c>
      <c r="H145" s="1601" t="s">
        <v>2561</v>
      </c>
      <c r="I145" s="1601"/>
      <c r="J145" s="1601"/>
      <c r="K145" s="1601"/>
      <c r="L145" s="1601"/>
      <c r="M145" s="1561" t="s">
        <v>208</v>
      </c>
      <c r="N145" s="1561"/>
      <c r="O145" s="931">
        <v>0</v>
      </c>
      <c r="P145" s="1543"/>
      <c r="Q145" s="1562"/>
      <c r="R145" s="1018">
        <v>8</v>
      </c>
    </row>
    <row r="146" spans="1:18" ht="15.75" thickBot="1">
      <c r="A146" s="1551"/>
      <c r="B146" s="1552"/>
      <c r="C146" s="1552"/>
      <c r="D146" s="1552"/>
      <c r="E146" s="1552"/>
      <c r="F146" s="1552"/>
      <c r="G146" s="1468"/>
      <c r="H146" s="1468"/>
      <c r="I146" s="1468"/>
      <c r="J146" s="1468"/>
      <c r="K146" s="1468"/>
      <c r="L146" s="1468"/>
      <c r="M146" s="1563" t="s">
        <v>209</v>
      </c>
      <c r="N146" s="1563"/>
      <c r="O146" s="910">
        <v>0</v>
      </c>
      <c r="P146" s="1543"/>
      <c r="Q146" s="1562"/>
      <c r="R146" s="1018">
        <v>9</v>
      </c>
    </row>
    <row r="147" spans="1:18" ht="15.75" thickBot="1">
      <c r="A147" s="1551"/>
      <c r="B147" s="1552"/>
      <c r="C147" s="1552"/>
      <c r="D147" s="1552"/>
      <c r="E147" s="1552"/>
      <c r="F147" s="1552"/>
      <c r="G147" s="1468"/>
      <c r="H147" s="1468"/>
      <c r="I147" s="1468"/>
      <c r="J147" s="1468"/>
      <c r="K147" s="1468"/>
      <c r="L147" s="1468"/>
      <c r="M147" s="1564" t="s">
        <v>210</v>
      </c>
      <c r="N147" s="1565"/>
      <c r="O147" s="929">
        <v>0</v>
      </c>
      <c r="P147" s="1543"/>
      <c r="Q147" s="1562"/>
      <c r="R147" s="1018">
        <v>10</v>
      </c>
    </row>
    <row r="148" spans="1:18" ht="15.75" thickBot="1">
      <c r="A148" s="1553"/>
      <c r="B148" s="1619"/>
      <c r="C148" s="1619"/>
      <c r="D148" s="1619"/>
      <c r="E148" s="1619"/>
      <c r="F148" s="1619"/>
      <c r="G148" s="1620"/>
      <c r="H148" s="1620"/>
      <c r="I148" s="1620"/>
      <c r="J148" s="1620"/>
      <c r="K148" s="1620"/>
      <c r="L148" s="1620"/>
      <c r="M148" s="823"/>
      <c r="N148" s="824"/>
      <c r="O148" s="824"/>
      <c r="P148" s="825"/>
      <c r="Q148" s="1562"/>
    </row>
    <row r="149" spans="1:18">
      <c r="A149" s="1516"/>
      <c r="B149" s="1517"/>
      <c r="C149" s="1607"/>
      <c r="D149" s="1607"/>
      <c r="E149" s="1607"/>
      <c r="F149" s="1607"/>
      <c r="G149" s="1529" t="str">
        <f>certificateNB</f>
        <v>12600.1</v>
      </c>
      <c r="H149" s="1531" t="str">
        <f>YACHTNAME</f>
        <v xml:space="preserve">HUTIANE            </v>
      </c>
      <c r="I149" s="1532"/>
      <c r="J149" s="1532"/>
      <c r="K149" s="1532"/>
      <c r="L149" s="1533"/>
      <c r="M149" s="1580" t="s">
        <v>203</v>
      </c>
      <c r="N149" s="1606"/>
      <c r="O149" s="1583">
        <f>A149</f>
        <v>0</v>
      </c>
      <c r="P149" s="1587" t="s">
        <v>204</v>
      </c>
      <c r="Q149" s="1541">
        <v>11</v>
      </c>
    </row>
    <row r="150" spans="1:18" ht="15.75" thickBot="1">
      <c r="A150" s="1518"/>
      <c r="B150" s="1519"/>
      <c r="C150" s="1608"/>
      <c r="D150" s="1608"/>
      <c r="E150" s="1608"/>
      <c r="F150" s="1608"/>
      <c r="G150" s="1530"/>
      <c r="H150" s="1534"/>
      <c r="I150" s="1609"/>
      <c r="J150" s="1609"/>
      <c r="K150" s="1609"/>
      <c r="L150" s="1610"/>
      <c r="M150" s="1537"/>
      <c r="N150" s="1538"/>
      <c r="O150" s="1539"/>
      <c r="P150" s="1540"/>
      <c r="Q150" s="1541"/>
    </row>
    <row r="151" spans="1:18" ht="24.95" customHeight="1">
      <c r="A151" s="1002">
        <v>0</v>
      </c>
      <c r="B151" s="1003" t="s">
        <v>12</v>
      </c>
      <c r="C151" s="1566"/>
      <c r="D151" s="1566"/>
      <c r="E151" s="1566"/>
      <c r="F151" s="1566"/>
      <c r="G151" s="1006"/>
      <c r="H151" s="1621"/>
      <c r="I151" s="1621"/>
      <c r="J151" s="1621"/>
      <c r="K151" s="1621"/>
      <c r="L151" s="1621"/>
      <c r="M151" s="1542" t="s">
        <v>2550</v>
      </c>
      <c r="N151" s="1542"/>
      <c r="O151" s="1009">
        <v>0</v>
      </c>
      <c r="P151" s="1543">
        <f>A149</f>
        <v>0</v>
      </c>
      <c r="Q151" s="1556" t="str">
        <f>Q6</f>
        <v>EUR</v>
      </c>
      <c r="R151" s="1018">
        <v>1</v>
      </c>
    </row>
    <row r="152" spans="1:18" ht="24.95" customHeight="1">
      <c r="A152" s="1002">
        <v>0</v>
      </c>
      <c r="B152" s="1003" t="s">
        <v>205</v>
      </c>
      <c r="C152" s="1555"/>
      <c r="D152" s="1555"/>
      <c r="E152" s="1555"/>
      <c r="F152" s="1555"/>
      <c r="G152" s="1006"/>
      <c r="H152" s="1621"/>
      <c r="I152" s="1621"/>
      <c r="J152" s="1621"/>
      <c r="K152" s="1621"/>
      <c r="L152" s="1621"/>
      <c r="M152" s="1542" t="s">
        <v>2647</v>
      </c>
      <c r="N152" s="1542"/>
      <c r="O152" s="1009">
        <v>0</v>
      </c>
      <c r="P152" s="1543"/>
      <c r="Q152" s="1556"/>
      <c r="R152" s="1018">
        <v>2</v>
      </c>
    </row>
    <row r="153" spans="1:18" ht="24.95" customHeight="1">
      <c r="A153" s="1002">
        <v>0</v>
      </c>
      <c r="B153" s="1003"/>
      <c r="C153" s="1555"/>
      <c r="D153" s="1555"/>
      <c r="E153" s="1555"/>
      <c r="F153" s="1555"/>
      <c r="G153" s="1006"/>
      <c r="H153" s="1622"/>
      <c r="I153" s="1622"/>
      <c r="J153" s="1622"/>
      <c r="K153" s="1622"/>
      <c r="L153" s="1622"/>
      <c r="M153" s="1542" t="s">
        <v>211</v>
      </c>
      <c r="N153" s="1542"/>
      <c r="O153" s="1009">
        <v>0</v>
      </c>
      <c r="P153" s="1543"/>
      <c r="Q153" s="1556"/>
      <c r="R153" s="1018">
        <v>3</v>
      </c>
    </row>
    <row r="154" spans="1:18" ht="35.1" customHeight="1">
      <c r="A154" s="1033">
        <v>0</v>
      </c>
      <c r="B154" s="1005" t="s">
        <v>206</v>
      </c>
      <c r="C154" s="1548"/>
      <c r="D154" s="1548"/>
      <c r="E154" s="1548"/>
      <c r="F154" s="1548"/>
      <c r="G154" s="1004"/>
      <c r="H154" s="1549"/>
      <c r="I154" s="1549"/>
      <c r="J154" s="1549"/>
      <c r="K154" s="1549"/>
      <c r="L154" s="1549"/>
      <c r="M154" s="1542" t="s">
        <v>2648</v>
      </c>
      <c r="N154" s="1542"/>
      <c r="O154" s="1009">
        <v>0</v>
      </c>
      <c r="P154" s="1543"/>
      <c r="Q154" s="1556"/>
      <c r="R154" s="1018">
        <v>4</v>
      </c>
    </row>
    <row r="155" spans="1:18" ht="35.1" customHeight="1">
      <c r="A155" s="1033">
        <v>0</v>
      </c>
      <c r="B155" s="1005" t="s">
        <v>212</v>
      </c>
      <c r="C155" s="1548"/>
      <c r="D155" s="1548"/>
      <c r="E155" s="1548"/>
      <c r="F155" s="1548"/>
      <c r="G155" s="1004"/>
      <c r="H155" s="1549"/>
      <c r="I155" s="1549"/>
      <c r="J155" s="1549"/>
      <c r="K155" s="1549"/>
      <c r="L155" s="1549"/>
      <c r="M155" s="1542" t="s">
        <v>2649</v>
      </c>
      <c r="N155" s="1542"/>
      <c r="O155" s="930"/>
      <c r="P155" s="1543"/>
      <c r="Q155" s="911">
        <f>RECAPITULATIF!T31</f>
        <v>0</v>
      </c>
      <c r="R155" s="1018">
        <v>5</v>
      </c>
    </row>
    <row r="156" spans="1:18" ht="24.95" customHeight="1">
      <c r="A156" s="1551"/>
      <c r="B156" s="1552"/>
      <c r="C156" s="1552"/>
      <c r="D156" s="1552"/>
      <c r="E156" s="1552"/>
      <c r="F156" s="1552"/>
      <c r="G156" s="1004"/>
      <c r="H156" s="1549"/>
      <c r="I156" s="1549"/>
      <c r="J156" s="1549"/>
      <c r="K156" s="1549"/>
      <c r="L156" s="1549"/>
      <c r="M156" s="1542" t="s">
        <v>2650</v>
      </c>
      <c r="N156" s="1542"/>
      <c r="O156" s="930">
        <v>0</v>
      </c>
      <c r="P156" s="1543"/>
      <c r="Q156" s="1556"/>
      <c r="R156" s="1018">
        <v>6</v>
      </c>
    </row>
    <row r="157" spans="1:18" ht="24.95" customHeight="1">
      <c r="A157" s="1551"/>
      <c r="B157" s="1552"/>
      <c r="C157" s="1552"/>
      <c r="D157" s="1552"/>
      <c r="E157" s="1552"/>
      <c r="F157" s="1552"/>
      <c r="G157" s="63"/>
      <c r="H157" s="1557"/>
      <c r="I157" s="1557"/>
      <c r="J157" s="1557"/>
      <c r="K157" s="1557"/>
      <c r="L157" s="1557"/>
      <c r="M157" s="1558" t="s">
        <v>207</v>
      </c>
      <c r="N157" s="1558"/>
      <c r="O157" s="930">
        <v>0</v>
      </c>
      <c r="P157" s="1543"/>
      <c r="Q157" s="1556"/>
      <c r="R157" s="1018">
        <v>7</v>
      </c>
    </row>
    <row r="158" spans="1:18" ht="35.25" customHeight="1">
      <c r="A158" s="1551"/>
      <c r="B158" s="1552"/>
      <c r="C158" s="1552"/>
      <c r="D158" s="1552"/>
      <c r="E158" s="1552"/>
      <c r="F158" s="1552"/>
      <c r="G158" s="1004">
        <v>140494</v>
      </c>
      <c r="H158" s="1601" t="s">
        <v>2561</v>
      </c>
      <c r="I158" s="1601"/>
      <c r="J158" s="1601"/>
      <c r="K158" s="1601"/>
      <c r="L158" s="1601"/>
      <c r="M158" s="1561" t="s">
        <v>208</v>
      </c>
      <c r="N158" s="1561"/>
      <c r="O158" s="931">
        <v>0</v>
      </c>
      <c r="P158" s="1543"/>
      <c r="Q158" s="1562"/>
      <c r="R158" s="1018">
        <v>8</v>
      </c>
    </row>
    <row r="159" spans="1:18" ht="15.75" thickBot="1">
      <c r="A159" s="1551"/>
      <c r="B159" s="1552"/>
      <c r="C159" s="1552"/>
      <c r="D159" s="1552"/>
      <c r="E159" s="1552"/>
      <c r="F159" s="1552"/>
      <c r="G159" s="1468"/>
      <c r="H159" s="1468"/>
      <c r="I159" s="1468"/>
      <c r="J159" s="1468"/>
      <c r="K159" s="1468"/>
      <c r="L159" s="1468"/>
      <c r="M159" s="1563" t="s">
        <v>209</v>
      </c>
      <c r="N159" s="1563"/>
      <c r="O159" s="910">
        <v>0</v>
      </c>
      <c r="P159" s="1543"/>
      <c r="Q159" s="1562"/>
      <c r="R159" s="1018">
        <v>9</v>
      </c>
    </row>
    <row r="160" spans="1:18" ht="15.75" thickBot="1">
      <c r="A160" s="1551"/>
      <c r="B160" s="1552"/>
      <c r="C160" s="1552"/>
      <c r="D160" s="1552"/>
      <c r="E160" s="1552"/>
      <c r="F160" s="1552"/>
      <c r="G160" s="1468"/>
      <c r="H160" s="1468"/>
      <c r="I160" s="1468"/>
      <c r="J160" s="1468"/>
      <c r="K160" s="1468"/>
      <c r="L160" s="1468"/>
      <c r="M160" s="1564" t="s">
        <v>210</v>
      </c>
      <c r="N160" s="1565"/>
      <c r="O160" s="929">
        <v>0</v>
      </c>
      <c r="P160" s="1543"/>
      <c r="Q160" s="1562"/>
      <c r="R160" s="1018">
        <v>10</v>
      </c>
    </row>
    <row r="161" spans="1:18" ht="15.75" thickBot="1">
      <c r="A161" s="1553"/>
      <c r="B161" s="1619"/>
      <c r="C161" s="1619"/>
      <c r="D161" s="1619"/>
      <c r="E161" s="1619"/>
      <c r="F161" s="1619"/>
      <c r="G161" s="1620"/>
      <c r="H161" s="1620"/>
      <c r="I161" s="1620"/>
      <c r="J161" s="1620"/>
      <c r="K161" s="1620"/>
      <c r="L161" s="1620"/>
      <c r="M161" s="823"/>
      <c r="N161" s="824"/>
      <c r="O161" s="824"/>
      <c r="P161" s="825"/>
      <c r="Q161" s="1562"/>
    </row>
    <row r="162" spans="1:18">
      <c r="A162" s="1516"/>
      <c r="B162" s="1517"/>
      <c r="C162" s="1607"/>
      <c r="D162" s="1607"/>
      <c r="E162" s="1607"/>
      <c r="F162" s="1607"/>
      <c r="G162" s="1529" t="str">
        <f>certificateNB</f>
        <v>12600.1</v>
      </c>
      <c r="H162" s="1531" t="str">
        <f>YACHTNAME</f>
        <v xml:space="preserve">HUTIANE            </v>
      </c>
      <c r="I162" s="1532"/>
      <c r="J162" s="1532"/>
      <c r="K162" s="1532"/>
      <c r="L162" s="1533"/>
      <c r="M162" s="1580" t="s">
        <v>203</v>
      </c>
      <c r="N162" s="1606"/>
      <c r="O162" s="1583">
        <f>A162</f>
        <v>0</v>
      </c>
      <c r="P162" s="1587" t="s">
        <v>204</v>
      </c>
      <c r="Q162" s="1541">
        <v>12</v>
      </c>
    </row>
    <row r="163" spans="1:18" ht="15.75" thickBot="1">
      <c r="A163" s="1518"/>
      <c r="B163" s="1519"/>
      <c r="C163" s="1608"/>
      <c r="D163" s="1608"/>
      <c r="E163" s="1608"/>
      <c r="F163" s="1608"/>
      <c r="G163" s="1530"/>
      <c r="H163" s="1534"/>
      <c r="I163" s="1609"/>
      <c r="J163" s="1609"/>
      <c r="K163" s="1609"/>
      <c r="L163" s="1610"/>
      <c r="M163" s="1537"/>
      <c r="N163" s="1538"/>
      <c r="O163" s="1539"/>
      <c r="P163" s="1540"/>
      <c r="Q163" s="1541"/>
    </row>
    <row r="164" spans="1:18" ht="24.95" customHeight="1">
      <c r="A164" s="1002">
        <v>0</v>
      </c>
      <c r="B164" s="1003" t="s">
        <v>12</v>
      </c>
      <c r="C164" s="1566"/>
      <c r="D164" s="1566"/>
      <c r="E164" s="1566"/>
      <c r="F164" s="1566"/>
      <c r="G164" s="1006"/>
      <c r="H164" s="1621"/>
      <c r="I164" s="1621"/>
      <c r="J164" s="1621"/>
      <c r="K164" s="1621"/>
      <c r="L164" s="1621"/>
      <c r="M164" s="1542" t="s">
        <v>2550</v>
      </c>
      <c r="N164" s="1542"/>
      <c r="O164" s="1009">
        <v>0</v>
      </c>
      <c r="P164" s="1543">
        <f>A162</f>
        <v>0</v>
      </c>
      <c r="Q164" s="1556" t="str">
        <f>Q6</f>
        <v>EUR</v>
      </c>
      <c r="R164" s="1018">
        <v>1</v>
      </c>
    </row>
    <row r="165" spans="1:18" ht="24.95" customHeight="1">
      <c r="A165" s="1002">
        <v>0</v>
      </c>
      <c r="B165" s="1003" t="s">
        <v>205</v>
      </c>
      <c r="C165" s="1555"/>
      <c r="D165" s="1555"/>
      <c r="E165" s="1555"/>
      <c r="F165" s="1555"/>
      <c r="G165" s="1006"/>
      <c r="H165" s="1621"/>
      <c r="I165" s="1621"/>
      <c r="J165" s="1621"/>
      <c r="K165" s="1621"/>
      <c r="L165" s="1621"/>
      <c r="M165" s="1542" t="s">
        <v>2647</v>
      </c>
      <c r="N165" s="1542"/>
      <c r="O165" s="1009">
        <v>0</v>
      </c>
      <c r="P165" s="1543"/>
      <c r="Q165" s="1556"/>
      <c r="R165" s="1018">
        <v>2</v>
      </c>
    </row>
    <row r="166" spans="1:18" ht="24.95" customHeight="1">
      <c r="A166" s="1002">
        <v>0</v>
      </c>
      <c r="B166" s="1003"/>
      <c r="C166" s="1555"/>
      <c r="D166" s="1555"/>
      <c r="E166" s="1555"/>
      <c r="F166" s="1555"/>
      <c r="G166" s="1006"/>
      <c r="H166" s="1622"/>
      <c r="I166" s="1622"/>
      <c r="J166" s="1622"/>
      <c r="K166" s="1622"/>
      <c r="L166" s="1622"/>
      <c r="M166" s="1542" t="s">
        <v>211</v>
      </c>
      <c r="N166" s="1542"/>
      <c r="O166" s="1009">
        <v>0</v>
      </c>
      <c r="P166" s="1543"/>
      <c r="Q166" s="1556"/>
      <c r="R166" s="1018">
        <v>3</v>
      </c>
    </row>
    <row r="167" spans="1:18" ht="24.95" customHeight="1">
      <c r="A167" s="1033">
        <v>0</v>
      </c>
      <c r="B167" s="1005" t="s">
        <v>206</v>
      </c>
      <c r="C167" s="1548"/>
      <c r="D167" s="1548"/>
      <c r="E167" s="1548"/>
      <c r="F167" s="1548"/>
      <c r="G167" s="1004"/>
      <c r="H167" s="1549"/>
      <c r="I167" s="1549"/>
      <c r="J167" s="1549"/>
      <c r="K167" s="1549"/>
      <c r="L167" s="1549"/>
      <c r="M167" s="1542" t="s">
        <v>2648</v>
      </c>
      <c r="N167" s="1542"/>
      <c r="O167" s="1009">
        <v>0</v>
      </c>
      <c r="P167" s="1543"/>
      <c r="Q167" s="1556"/>
      <c r="R167" s="1018">
        <v>4</v>
      </c>
    </row>
    <row r="168" spans="1:18" ht="24.95" customHeight="1">
      <c r="A168" s="1033">
        <v>0</v>
      </c>
      <c r="B168" s="1005" t="s">
        <v>212</v>
      </c>
      <c r="C168" s="1548"/>
      <c r="D168" s="1548"/>
      <c r="E168" s="1548"/>
      <c r="F168" s="1548"/>
      <c r="G168" s="1004"/>
      <c r="H168" s="1549"/>
      <c r="I168" s="1549"/>
      <c r="J168" s="1549"/>
      <c r="K168" s="1549"/>
      <c r="L168" s="1549"/>
      <c r="M168" s="1542" t="s">
        <v>2649</v>
      </c>
      <c r="N168" s="1542"/>
      <c r="O168" s="930"/>
      <c r="P168" s="1543"/>
      <c r="Q168" s="911">
        <f>RECAPITULATIF!T32</f>
        <v>0</v>
      </c>
      <c r="R168" s="1018">
        <v>5</v>
      </c>
    </row>
    <row r="169" spans="1:18" ht="24.95" customHeight="1">
      <c r="A169" s="1552"/>
      <c r="B169" s="1552"/>
      <c r="C169" s="1552"/>
      <c r="D169" s="1552"/>
      <c r="E169" s="1552"/>
      <c r="F169" s="1552"/>
      <c r="G169" s="1004"/>
      <c r="H169" s="1549"/>
      <c r="I169" s="1549"/>
      <c r="J169" s="1549"/>
      <c r="K169" s="1549"/>
      <c r="L169" s="1549"/>
      <c r="M169" s="1542" t="s">
        <v>2650</v>
      </c>
      <c r="N169" s="1542"/>
      <c r="O169" s="930">
        <v>0</v>
      </c>
      <c r="P169" s="1543"/>
      <c r="Q169" s="1556"/>
      <c r="R169" s="1018">
        <v>6</v>
      </c>
    </row>
    <row r="170" spans="1:18" ht="24.95" customHeight="1">
      <c r="A170" s="1552"/>
      <c r="B170" s="1552"/>
      <c r="C170" s="1552"/>
      <c r="D170" s="1552"/>
      <c r="E170" s="1552"/>
      <c r="F170" s="1552"/>
      <c r="G170" s="63"/>
      <c r="H170" s="1557"/>
      <c r="I170" s="1557"/>
      <c r="J170" s="1557"/>
      <c r="K170" s="1557"/>
      <c r="L170" s="1557"/>
      <c r="M170" s="1558" t="s">
        <v>207</v>
      </c>
      <c r="N170" s="1558"/>
      <c r="O170" s="930">
        <v>0</v>
      </c>
      <c r="P170" s="1543"/>
      <c r="Q170" s="1556"/>
      <c r="R170" s="1018">
        <v>7</v>
      </c>
    </row>
    <row r="171" spans="1:18" ht="40.5" customHeight="1">
      <c r="A171" s="1552"/>
      <c r="B171" s="1552"/>
      <c r="C171" s="1552"/>
      <c r="D171" s="1552"/>
      <c r="E171" s="1552"/>
      <c r="F171" s="1552"/>
      <c r="G171" s="1004">
        <v>140494</v>
      </c>
      <c r="H171" s="1601" t="s">
        <v>2561</v>
      </c>
      <c r="I171" s="1601"/>
      <c r="J171" s="1601"/>
      <c r="K171" s="1601"/>
      <c r="L171" s="1601"/>
      <c r="M171" s="1561" t="s">
        <v>208</v>
      </c>
      <c r="N171" s="1561"/>
      <c r="O171" s="931">
        <v>0</v>
      </c>
      <c r="P171" s="1543"/>
      <c r="Q171" s="1562"/>
      <c r="R171" s="1018">
        <v>8</v>
      </c>
    </row>
    <row r="172" spans="1:18" ht="15.75" thickBot="1">
      <c r="A172" s="1552"/>
      <c r="B172" s="1552"/>
      <c r="C172" s="1552"/>
      <c r="D172" s="1552"/>
      <c r="E172" s="1552"/>
      <c r="F172" s="1552"/>
      <c r="G172" s="1468"/>
      <c r="H172" s="1468"/>
      <c r="I172" s="1468"/>
      <c r="J172" s="1468"/>
      <c r="K172" s="1468"/>
      <c r="L172" s="1468"/>
      <c r="M172" s="1563" t="s">
        <v>209</v>
      </c>
      <c r="N172" s="1563"/>
      <c r="O172" s="910">
        <v>0</v>
      </c>
      <c r="P172" s="1543"/>
      <c r="Q172" s="1562"/>
      <c r="R172" s="1018">
        <v>9</v>
      </c>
    </row>
    <row r="173" spans="1:18" ht="15.75" thickBot="1">
      <c r="A173" s="1552"/>
      <c r="B173" s="1552"/>
      <c r="C173" s="1552"/>
      <c r="D173" s="1552"/>
      <c r="E173" s="1552"/>
      <c r="F173" s="1552"/>
      <c r="G173" s="1468"/>
      <c r="H173" s="1468"/>
      <c r="I173" s="1468"/>
      <c r="J173" s="1468"/>
      <c r="K173" s="1468"/>
      <c r="L173" s="1468"/>
      <c r="M173" s="1564" t="s">
        <v>210</v>
      </c>
      <c r="N173" s="1565"/>
      <c r="O173" s="929">
        <v>0</v>
      </c>
      <c r="P173" s="1543"/>
      <c r="Q173" s="1562"/>
      <c r="R173" s="1018">
        <v>10</v>
      </c>
    </row>
    <row r="174" spans="1:18">
      <c r="A174" s="1552"/>
      <c r="B174" s="1552"/>
      <c r="C174" s="1552"/>
      <c r="D174" s="1552"/>
      <c r="E174" s="1552"/>
      <c r="F174" s="1552"/>
      <c r="G174" s="1468"/>
      <c r="H174" s="1468"/>
      <c r="I174" s="1468"/>
      <c r="J174" s="1468"/>
      <c r="K174" s="1468"/>
      <c r="L174" s="1468"/>
      <c r="M174" s="1613"/>
      <c r="N174" s="1613"/>
      <c r="O174" s="1613"/>
      <c r="P174" s="1613"/>
      <c r="Q174" s="1562"/>
    </row>
    <row r="175" spans="1:18" ht="15.75" thickBot="1">
      <c r="A175" s="1552"/>
      <c r="B175" s="1552"/>
      <c r="C175" s="1552"/>
      <c r="D175" s="1552"/>
      <c r="E175" s="1552"/>
      <c r="F175" s="1552"/>
      <c r="G175" s="1468"/>
      <c r="H175" s="1468"/>
      <c r="I175" s="1468"/>
      <c r="J175" s="1468"/>
      <c r="K175" s="1468"/>
      <c r="L175" s="1468"/>
      <c r="M175" s="1613"/>
      <c r="N175" s="1613"/>
      <c r="O175" s="1613"/>
      <c r="P175" s="1613"/>
    </row>
    <row r="176" spans="1:18">
      <c r="A176" s="1516"/>
      <c r="B176" s="1517"/>
      <c r="C176" s="1545"/>
      <c r="D176" s="1545"/>
      <c r="E176" s="1545"/>
      <c r="F176" s="1545"/>
      <c r="G176" s="1529" t="str">
        <f>certificateNB</f>
        <v>12600.1</v>
      </c>
      <c r="H176" s="1531" t="str">
        <f>YACHTNAME</f>
        <v xml:space="preserve">HUTIANE            </v>
      </c>
      <c r="I176" s="1532"/>
      <c r="J176" s="1532"/>
      <c r="K176" s="1532"/>
      <c r="L176" s="1533"/>
      <c r="M176" s="1580" t="s">
        <v>203</v>
      </c>
      <c r="N176" s="1606"/>
      <c r="O176" s="1583">
        <f>A176</f>
        <v>0</v>
      </c>
      <c r="P176" s="1587" t="s">
        <v>204</v>
      </c>
      <c r="Q176" s="1541">
        <v>13</v>
      </c>
    </row>
    <row r="177" spans="1:18" ht="15.75" thickBot="1">
      <c r="A177" s="1518"/>
      <c r="B177" s="1519"/>
      <c r="C177" s="1546"/>
      <c r="D177" s="1546"/>
      <c r="E177" s="1546"/>
      <c r="F177" s="1546"/>
      <c r="G177" s="1530"/>
      <c r="H177" s="1534"/>
      <c r="I177" s="1609"/>
      <c r="J177" s="1609"/>
      <c r="K177" s="1609"/>
      <c r="L177" s="1610"/>
      <c r="M177" s="1537"/>
      <c r="N177" s="1538"/>
      <c r="O177" s="1539"/>
      <c r="P177" s="1540"/>
      <c r="Q177" s="1541"/>
    </row>
    <row r="178" spans="1:18" ht="24.95" customHeight="1">
      <c r="A178" s="1002">
        <v>0</v>
      </c>
      <c r="B178" s="1003" t="s">
        <v>12</v>
      </c>
      <c r="C178" s="1566"/>
      <c r="D178" s="1566"/>
      <c r="E178" s="1566"/>
      <c r="F178" s="1566"/>
      <c r="G178" s="909"/>
      <c r="H178" s="1611"/>
      <c r="I178" s="1611"/>
      <c r="J178" s="1611"/>
      <c r="K178" s="1611"/>
      <c r="L178" s="1611"/>
      <c r="M178" s="1542" t="s">
        <v>2550</v>
      </c>
      <c r="N178" s="1542"/>
      <c r="O178" s="1009">
        <v>0</v>
      </c>
      <c r="P178" s="1543">
        <f>A176</f>
        <v>0</v>
      </c>
      <c r="Q178" s="1544">
        <f>H32</f>
        <v>0</v>
      </c>
      <c r="R178" s="1018">
        <v>1</v>
      </c>
    </row>
    <row r="179" spans="1:18" ht="24.95" customHeight="1">
      <c r="A179" s="1002">
        <v>0</v>
      </c>
      <c r="B179" s="1003" t="s">
        <v>205</v>
      </c>
      <c r="C179" s="1555"/>
      <c r="D179" s="1555"/>
      <c r="E179" s="1555"/>
      <c r="F179" s="1555"/>
      <c r="G179" s="909"/>
      <c r="H179" s="1611"/>
      <c r="I179" s="1611"/>
      <c r="J179" s="1611"/>
      <c r="K179" s="1611"/>
      <c r="L179" s="1611"/>
      <c r="M179" s="1542" t="s">
        <v>2647</v>
      </c>
      <c r="N179" s="1542"/>
      <c r="O179" s="1009">
        <v>0</v>
      </c>
      <c r="P179" s="1543"/>
      <c r="Q179" s="1544"/>
      <c r="R179" s="1018">
        <v>2</v>
      </c>
    </row>
    <row r="180" spans="1:18" ht="24.95" customHeight="1">
      <c r="A180" s="1002">
        <v>0</v>
      </c>
      <c r="B180" s="1003"/>
      <c r="C180" s="1555"/>
      <c r="D180" s="1555"/>
      <c r="E180" s="1555"/>
      <c r="F180" s="1555"/>
      <c r="G180" s="909"/>
      <c r="H180" s="1617"/>
      <c r="I180" s="1617"/>
      <c r="J180" s="1617"/>
      <c r="K180" s="1617"/>
      <c r="L180" s="1617"/>
      <c r="M180" s="1542" t="s">
        <v>211</v>
      </c>
      <c r="N180" s="1542"/>
      <c r="O180" s="1009">
        <v>0</v>
      </c>
      <c r="P180" s="1543"/>
      <c r="Q180" s="1544"/>
      <c r="R180" s="1018">
        <v>3</v>
      </c>
    </row>
    <row r="181" spans="1:18" ht="35.1" customHeight="1">
      <c r="A181" s="1033">
        <v>0</v>
      </c>
      <c r="B181" s="1005" t="s">
        <v>206</v>
      </c>
      <c r="C181" s="1548"/>
      <c r="D181" s="1548"/>
      <c r="E181" s="1548"/>
      <c r="F181" s="1548"/>
      <c r="G181" s="1007"/>
      <c r="H181" s="1611"/>
      <c r="I181" s="1611"/>
      <c r="J181" s="1611"/>
      <c r="K181" s="1611"/>
      <c r="L181" s="1611"/>
      <c r="M181" s="1542" t="s">
        <v>2648</v>
      </c>
      <c r="N181" s="1542"/>
      <c r="O181" s="1009">
        <v>0</v>
      </c>
      <c r="P181" s="1543"/>
      <c r="Q181" s="1544"/>
      <c r="R181" s="1018">
        <v>4</v>
      </c>
    </row>
    <row r="182" spans="1:18" ht="35.1" customHeight="1">
      <c r="A182" s="1033">
        <v>0</v>
      </c>
      <c r="B182" s="1005" t="s">
        <v>212</v>
      </c>
      <c r="C182" s="1548"/>
      <c r="D182" s="1548"/>
      <c r="E182" s="1548"/>
      <c r="F182" s="1548"/>
      <c r="G182" s="1007"/>
      <c r="H182" s="1611"/>
      <c r="I182" s="1611"/>
      <c r="J182" s="1611"/>
      <c r="K182" s="1611"/>
      <c r="L182" s="1611"/>
      <c r="M182" s="1542" t="s">
        <v>2649</v>
      </c>
      <c r="N182" s="1542"/>
      <c r="O182" s="930"/>
      <c r="P182" s="1543"/>
      <c r="Q182" s="911">
        <f>RECAPITULATIF!T33</f>
        <v>0</v>
      </c>
      <c r="R182" s="1018">
        <v>5</v>
      </c>
    </row>
    <row r="183" spans="1:18" ht="24.95" customHeight="1">
      <c r="A183" s="1551"/>
      <c r="B183" s="1552"/>
      <c r="C183" s="1552"/>
      <c r="D183" s="1552"/>
      <c r="E183" s="1552"/>
      <c r="F183" s="1552"/>
      <c r="G183" s="1004"/>
      <c r="H183" s="1549"/>
      <c r="I183" s="1549"/>
      <c r="J183" s="1549"/>
      <c r="K183" s="1549"/>
      <c r="L183" s="1549"/>
      <c r="M183" s="1542" t="s">
        <v>2650</v>
      </c>
      <c r="N183" s="1542"/>
      <c r="O183" s="930">
        <v>0</v>
      </c>
      <c r="P183" s="1543"/>
      <c r="Q183" s="1556"/>
      <c r="R183" s="1018">
        <v>6</v>
      </c>
    </row>
    <row r="184" spans="1:18" ht="24.95" customHeight="1">
      <c r="A184" s="1551"/>
      <c r="B184" s="1552"/>
      <c r="C184" s="1552"/>
      <c r="D184" s="1552"/>
      <c r="E184" s="1552"/>
      <c r="F184" s="1552"/>
      <c r="G184" s="1006"/>
      <c r="H184" s="1557"/>
      <c r="I184" s="1557"/>
      <c r="J184" s="1557"/>
      <c r="K184" s="1557"/>
      <c r="L184" s="1557"/>
      <c r="M184" s="1558" t="s">
        <v>207</v>
      </c>
      <c r="N184" s="1558"/>
      <c r="O184" s="930">
        <v>0</v>
      </c>
      <c r="P184" s="1543"/>
      <c r="Q184" s="1556"/>
      <c r="R184" s="1018">
        <v>7</v>
      </c>
    </row>
    <row r="185" spans="1:18" ht="39" customHeight="1">
      <c r="A185" s="1551"/>
      <c r="B185" s="1552"/>
      <c r="C185" s="1552"/>
      <c r="D185" s="1552"/>
      <c r="E185" s="1552"/>
      <c r="F185" s="1552"/>
      <c r="G185" s="1004">
        <v>140494</v>
      </c>
      <c r="H185" s="1601" t="s">
        <v>2561</v>
      </c>
      <c r="I185" s="1601"/>
      <c r="J185" s="1601"/>
      <c r="K185" s="1601"/>
      <c r="L185" s="1601"/>
      <c r="M185" s="1561" t="s">
        <v>208</v>
      </c>
      <c r="N185" s="1561"/>
      <c r="O185" s="931">
        <v>0</v>
      </c>
      <c r="P185" s="1543"/>
      <c r="Q185" s="1562"/>
      <c r="R185" s="1018">
        <v>8</v>
      </c>
    </row>
    <row r="186" spans="1:18" ht="15.75" thickBot="1">
      <c r="A186" s="1551"/>
      <c r="B186" s="1552"/>
      <c r="C186" s="1552"/>
      <c r="D186" s="1552"/>
      <c r="E186" s="1552"/>
      <c r="F186" s="1552"/>
      <c r="G186" s="1468"/>
      <c r="H186" s="1468"/>
      <c r="I186" s="1468"/>
      <c r="J186" s="1468"/>
      <c r="K186" s="1468"/>
      <c r="L186" s="1468"/>
      <c r="M186" s="1563" t="s">
        <v>209</v>
      </c>
      <c r="N186" s="1563"/>
      <c r="O186" s="910">
        <v>0</v>
      </c>
      <c r="P186" s="1543"/>
      <c r="Q186" s="1562"/>
      <c r="R186" s="1018">
        <v>9</v>
      </c>
    </row>
    <row r="187" spans="1:18" ht="15.75" thickBot="1">
      <c r="A187" s="1551"/>
      <c r="B187" s="1552"/>
      <c r="C187" s="1552"/>
      <c r="D187" s="1552"/>
      <c r="E187" s="1552"/>
      <c r="F187" s="1552"/>
      <c r="G187" s="1468"/>
      <c r="H187" s="1468"/>
      <c r="I187" s="1468"/>
      <c r="J187" s="1468"/>
      <c r="K187" s="1468"/>
      <c r="L187" s="1468"/>
      <c r="M187" s="1564" t="s">
        <v>210</v>
      </c>
      <c r="N187" s="1565"/>
      <c r="O187" s="929">
        <v>0</v>
      </c>
      <c r="P187" s="1543"/>
      <c r="Q187" s="1562"/>
      <c r="R187" s="1018">
        <v>10</v>
      </c>
    </row>
    <row r="188" spans="1:18" ht="15.75" thickBot="1">
      <c r="A188" s="1553"/>
      <c r="B188" s="1619"/>
      <c r="C188" s="1619"/>
      <c r="D188" s="1619"/>
      <c r="E188" s="1619"/>
      <c r="F188" s="1619"/>
      <c r="G188" s="1620"/>
      <c r="H188" s="1620"/>
      <c r="I188" s="1620"/>
      <c r="J188" s="1620"/>
      <c r="K188" s="1620"/>
      <c r="L188" s="1620"/>
      <c r="M188" s="823"/>
      <c r="N188" s="824"/>
      <c r="O188" s="824"/>
      <c r="P188" s="825"/>
      <c r="Q188" s="1562"/>
    </row>
    <row r="189" spans="1:18">
      <c r="A189" s="1516"/>
      <c r="B189" s="1517"/>
      <c r="C189" s="1607"/>
      <c r="D189" s="1607"/>
      <c r="E189" s="1607"/>
      <c r="F189" s="1607"/>
      <c r="G189" s="1529" t="str">
        <f>certificateNB</f>
        <v>12600.1</v>
      </c>
      <c r="H189" s="1531" t="str">
        <f>YACHTNAME</f>
        <v xml:space="preserve">HUTIANE            </v>
      </c>
      <c r="I189" s="1532"/>
      <c r="J189" s="1532"/>
      <c r="K189" s="1532"/>
      <c r="L189" s="1533"/>
      <c r="M189" s="1580" t="s">
        <v>203</v>
      </c>
      <c r="N189" s="1606"/>
      <c r="O189" s="1583">
        <f>A189</f>
        <v>0</v>
      </c>
      <c r="P189" s="1587" t="s">
        <v>204</v>
      </c>
      <c r="Q189" s="1541">
        <v>14</v>
      </c>
    </row>
    <row r="190" spans="1:18" ht="15.75" thickBot="1">
      <c r="A190" s="1518"/>
      <c r="B190" s="1519"/>
      <c r="C190" s="1608"/>
      <c r="D190" s="1608"/>
      <c r="E190" s="1608"/>
      <c r="F190" s="1608"/>
      <c r="G190" s="1530"/>
      <c r="H190" s="1534"/>
      <c r="I190" s="1609"/>
      <c r="J190" s="1609"/>
      <c r="K190" s="1609"/>
      <c r="L190" s="1610"/>
      <c r="M190" s="1537"/>
      <c r="N190" s="1538"/>
      <c r="O190" s="1539"/>
      <c r="P190" s="1540"/>
      <c r="Q190" s="1541"/>
    </row>
    <row r="191" spans="1:18" ht="24.95" customHeight="1">
      <c r="A191" s="1002">
        <v>0</v>
      </c>
      <c r="B191" s="1003" t="s">
        <v>12</v>
      </c>
      <c r="C191" s="1566"/>
      <c r="D191" s="1566"/>
      <c r="E191" s="1566"/>
      <c r="F191" s="1566"/>
      <c r="G191" s="1006"/>
      <c r="H191" s="1621"/>
      <c r="I191" s="1621"/>
      <c r="J191" s="1621"/>
      <c r="K191" s="1621"/>
      <c r="L191" s="1621"/>
      <c r="M191" s="1542" t="s">
        <v>2550</v>
      </c>
      <c r="N191" s="1542"/>
      <c r="O191" s="1009">
        <v>0</v>
      </c>
      <c r="P191" s="1543">
        <f>A189</f>
        <v>0</v>
      </c>
      <c r="Q191" s="1556">
        <f>H32</f>
        <v>0</v>
      </c>
      <c r="R191" s="1018">
        <v>1</v>
      </c>
    </row>
    <row r="192" spans="1:18" ht="24.95" customHeight="1">
      <c r="A192" s="1002">
        <v>0</v>
      </c>
      <c r="B192" s="1003" t="s">
        <v>205</v>
      </c>
      <c r="C192" s="1555"/>
      <c r="D192" s="1555"/>
      <c r="E192" s="1555"/>
      <c r="F192" s="1555"/>
      <c r="G192" s="1006"/>
      <c r="H192" s="1621"/>
      <c r="I192" s="1621"/>
      <c r="J192" s="1621"/>
      <c r="K192" s="1621"/>
      <c r="L192" s="1621"/>
      <c r="M192" s="1542" t="s">
        <v>2647</v>
      </c>
      <c r="N192" s="1542"/>
      <c r="O192" s="1009">
        <v>0</v>
      </c>
      <c r="P192" s="1543"/>
      <c r="Q192" s="1556"/>
      <c r="R192" s="1018">
        <v>2</v>
      </c>
    </row>
    <row r="193" spans="1:18" ht="24.95" customHeight="1">
      <c r="A193" s="1002">
        <v>0</v>
      </c>
      <c r="B193" s="1003"/>
      <c r="C193" s="1555"/>
      <c r="D193" s="1555"/>
      <c r="E193" s="1555"/>
      <c r="F193" s="1555"/>
      <c r="G193" s="1006"/>
      <c r="H193" s="1622"/>
      <c r="I193" s="1622"/>
      <c r="J193" s="1622"/>
      <c r="K193" s="1622"/>
      <c r="L193" s="1622"/>
      <c r="M193" s="1542" t="s">
        <v>211</v>
      </c>
      <c r="N193" s="1542"/>
      <c r="O193" s="1009">
        <v>0</v>
      </c>
      <c r="P193" s="1543"/>
      <c r="Q193" s="1556"/>
      <c r="R193" s="1018">
        <v>3</v>
      </c>
    </row>
    <row r="194" spans="1:18" ht="35.1" customHeight="1">
      <c r="A194" s="1033">
        <v>0</v>
      </c>
      <c r="B194" s="1005" t="s">
        <v>206</v>
      </c>
      <c r="C194" s="1548"/>
      <c r="D194" s="1548"/>
      <c r="E194" s="1548"/>
      <c r="F194" s="1548"/>
      <c r="G194" s="1004"/>
      <c r="H194" s="1549"/>
      <c r="I194" s="1549"/>
      <c r="J194" s="1549"/>
      <c r="K194" s="1549"/>
      <c r="L194" s="1549"/>
      <c r="M194" s="1542" t="s">
        <v>2648</v>
      </c>
      <c r="N194" s="1542"/>
      <c r="O194" s="1009">
        <v>0</v>
      </c>
      <c r="P194" s="1543"/>
      <c r="Q194" s="1556"/>
      <c r="R194" s="1018">
        <v>4</v>
      </c>
    </row>
    <row r="195" spans="1:18" ht="35.1" customHeight="1">
      <c r="A195" s="1033">
        <v>0</v>
      </c>
      <c r="B195" s="1005" t="s">
        <v>212</v>
      </c>
      <c r="C195" s="1548"/>
      <c r="D195" s="1548"/>
      <c r="E195" s="1548"/>
      <c r="F195" s="1548"/>
      <c r="G195" s="1004"/>
      <c r="H195" s="1549"/>
      <c r="I195" s="1549"/>
      <c r="J195" s="1549"/>
      <c r="K195" s="1549"/>
      <c r="L195" s="1549"/>
      <c r="M195" s="1542" t="s">
        <v>2649</v>
      </c>
      <c r="N195" s="1542"/>
      <c r="O195" s="930"/>
      <c r="P195" s="1543"/>
      <c r="Q195" s="911">
        <f>RECAPITULATIF!T34</f>
        <v>0</v>
      </c>
      <c r="R195" s="1018">
        <v>5</v>
      </c>
    </row>
    <row r="196" spans="1:18" ht="24.95" customHeight="1">
      <c r="A196" s="1551"/>
      <c r="B196" s="1552"/>
      <c r="C196" s="1552"/>
      <c r="D196" s="1552"/>
      <c r="E196" s="1552"/>
      <c r="F196" s="1552"/>
      <c r="G196" s="1004"/>
      <c r="H196" s="1549"/>
      <c r="I196" s="1549"/>
      <c r="J196" s="1549"/>
      <c r="K196" s="1549"/>
      <c r="L196" s="1549"/>
      <c r="M196" s="1542" t="s">
        <v>2650</v>
      </c>
      <c r="N196" s="1542"/>
      <c r="O196" s="930">
        <v>0</v>
      </c>
      <c r="P196" s="1543"/>
      <c r="Q196" s="1556"/>
      <c r="R196" s="1018">
        <v>6</v>
      </c>
    </row>
    <row r="197" spans="1:18" ht="24.95" customHeight="1">
      <c r="A197" s="1551"/>
      <c r="B197" s="1552"/>
      <c r="C197" s="1552"/>
      <c r="D197" s="1552"/>
      <c r="E197" s="1552"/>
      <c r="F197" s="1552"/>
      <c r="G197" s="63"/>
      <c r="H197" s="1557"/>
      <c r="I197" s="1557"/>
      <c r="J197" s="1557"/>
      <c r="K197" s="1557"/>
      <c r="L197" s="1557"/>
      <c r="M197" s="1558" t="s">
        <v>207</v>
      </c>
      <c r="N197" s="1558"/>
      <c r="O197" s="930">
        <v>0</v>
      </c>
      <c r="P197" s="1543"/>
      <c r="Q197" s="1556"/>
      <c r="R197" s="1018">
        <v>7</v>
      </c>
    </row>
    <row r="198" spans="1:18" ht="35.25" customHeight="1">
      <c r="A198" s="1551"/>
      <c r="B198" s="1552"/>
      <c r="C198" s="1552"/>
      <c r="D198" s="1552"/>
      <c r="E198" s="1552"/>
      <c r="F198" s="1552"/>
      <c r="G198" s="1004">
        <v>140494</v>
      </c>
      <c r="H198" s="1601" t="s">
        <v>2561</v>
      </c>
      <c r="I198" s="1601"/>
      <c r="J198" s="1601"/>
      <c r="K198" s="1601"/>
      <c r="L198" s="1601"/>
      <c r="M198" s="1561" t="s">
        <v>208</v>
      </c>
      <c r="N198" s="1561"/>
      <c r="O198" s="931">
        <v>0</v>
      </c>
      <c r="P198" s="1543"/>
      <c r="Q198" s="1562"/>
      <c r="R198" s="1018">
        <v>8</v>
      </c>
    </row>
    <row r="199" spans="1:18" ht="15.75" thickBot="1">
      <c r="A199" s="1551"/>
      <c r="B199" s="1552"/>
      <c r="C199" s="1552"/>
      <c r="D199" s="1552"/>
      <c r="E199" s="1552"/>
      <c r="F199" s="1552"/>
      <c r="G199" s="1468"/>
      <c r="H199" s="1468"/>
      <c r="I199" s="1468"/>
      <c r="J199" s="1468"/>
      <c r="K199" s="1468"/>
      <c r="L199" s="1468"/>
      <c r="M199" s="1563" t="s">
        <v>209</v>
      </c>
      <c r="N199" s="1563"/>
      <c r="O199" s="910">
        <v>0</v>
      </c>
      <c r="P199" s="1543"/>
      <c r="Q199" s="1562"/>
      <c r="R199" s="1018">
        <v>9</v>
      </c>
    </row>
    <row r="200" spans="1:18" ht="15.75" thickBot="1">
      <c r="A200" s="1551"/>
      <c r="B200" s="1552"/>
      <c r="C200" s="1552"/>
      <c r="D200" s="1552"/>
      <c r="E200" s="1552"/>
      <c r="F200" s="1552"/>
      <c r="G200" s="1468"/>
      <c r="H200" s="1468"/>
      <c r="I200" s="1468"/>
      <c r="J200" s="1468"/>
      <c r="K200" s="1468"/>
      <c r="L200" s="1468"/>
      <c r="M200" s="1564" t="s">
        <v>210</v>
      </c>
      <c r="N200" s="1565"/>
      <c r="O200" s="929">
        <v>0</v>
      </c>
      <c r="P200" s="1543"/>
      <c r="Q200" s="1562"/>
      <c r="R200" s="1018">
        <v>10</v>
      </c>
    </row>
    <row r="201" spans="1:18" ht="15.75" thickBot="1">
      <c r="A201" s="1553"/>
      <c r="B201" s="1619"/>
      <c r="C201" s="1619"/>
      <c r="D201" s="1619"/>
      <c r="E201" s="1619"/>
      <c r="F201" s="1619"/>
      <c r="G201" s="1620"/>
      <c r="H201" s="1620"/>
      <c r="I201" s="1620"/>
      <c r="J201" s="1620"/>
      <c r="K201" s="1620"/>
      <c r="L201" s="1620"/>
      <c r="M201" s="823"/>
      <c r="N201" s="824"/>
      <c r="O201" s="824"/>
      <c r="P201" s="825"/>
      <c r="Q201" s="1562"/>
    </row>
    <row r="202" spans="1:18">
      <c r="A202" s="1516"/>
      <c r="B202" s="1517"/>
      <c r="C202" s="1607"/>
      <c r="D202" s="1607"/>
      <c r="E202" s="1607"/>
      <c r="F202" s="1607"/>
      <c r="G202" s="1529" t="str">
        <f>certificateNB</f>
        <v>12600.1</v>
      </c>
      <c r="H202" s="1531" t="str">
        <f>YACHTNAME</f>
        <v xml:space="preserve">HUTIANE            </v>
      </c>
      <c r="I202" s="1532"/>
      <c r="J202" s="1532"/>
      <c r="K202" s="1532"/>
      <c r="L202" s="1533"/>
      <c r="M202" s="1580" t="s">
        <v>203</v>
      </c>
      <c r="N202" s="1606"/>
      <c r="O202" s="1583">
        <f>A202</f>
        <v>0</v>
      </c>
      <c r="P202" s="1587" t="s">
        <v>204</v>
      </c>
      <c r="Q202" s="1541">
        <v>15</v>
      </c>
    </row>
    <row r="203" spans="1:18" ht="15.75" thickBot="1">
      <c r="A203" s="1518"/>
      <c r="B203" s="1519"/>
      <c r="C203" s="1608"/>
      <c r="D203" s="1608"/>
      <c r="E203" s="1608"/>
      <c r="F203" s="1608"/>
      <c r="G203" s="1530"/>
      <c r="H203" s="1534"/>
      <c r="I203" s="1609"/>
      <c r="J203" s="1609"/>
      <c r="K203" s="1609"/>
      <c r="L203" s="1610"/>
      <c r="M203" s="1537"/>
      <c r="N203" s="1538"/>
      <c r="O203" s="1539"/>
      <c r="P203" s="1540"/>
      <c r="Q203" s="1541"/>
    </row>
    <row r="204" spans="1:18" ht="24.95" customHeight="1">
      <c r="A204" s="1002">
        <v>0</v>
      </c>
      <c r="B204" s="1003" t="s">
        <v>12</v>
      </c>
      <c r="C204" s="1566"/>
      <c r="D204" s="1566"/>
      <c r="E204" s="1566"/>
      <c r="F204" s="1566"/>
      <c r="G204" s="1006"/>
      <c r="H204" s="1621"/>
      <c r="I204" s="1621"/>
      <c r="J204" s="1621"/>
      <c r="K204" s="1621"/>
      <c r="L204" s="1621"/>
      <c r="M204" s="1542" t="s">
        <v>2550</v>
      </c>
      <c r="N204" s="1542"/>
      <c r="O204" s="1009">
        <v>0</v>
      </c>
      <c r="P204" s="1543">
        <f>A202</f>
        <v>0</v>
      </c>
      <c r="Q204" s="1556">
        <f>H32</f>
        <v>0</v>
      </c>
      <c r="R204" s="1018">
        <v>1</v>
      </c>
    </row>
    <row r="205" spans="1:18" ht="24.95" customHeight="1">
      <c r="A205" s="1002">
        <v>0</v>
      </c>
      <c r="B205" s="1003" t="s">
        <v>205</v>
      </c>
      <c r="C205" s="1555"/>
      <c r="D205" s="1555"/>
      <c r="E205" s="1555"/>
      <c r="F205" s="1555"/>
      <c r="G205" s="1006"/>
      <c r="H205" s="1621"/>
      <c r="I205" s="1621"/>
      <c r="J205" s="1621"/>
      <c r="K205" s="1621"/>
      <c r="L205" s="1621"/>
      <c r="M205" s="1542" t="s">
        <v>2647</v>
      </c>
      <c r="N205" s="1542"/>
      <c r="O205" s="1009">
        <v>0</v>
      </c>
      <c r="P205" s="1543"/>
      <c r="Q205" s="1556"/>
      <c r="R205" s="1018">
        <v>2</v>
      </c>
    </row>
    <row r="206" spans="1:18" ht="24.95" customHeight="1">
      <c r="A206" s="1002">
        <v>0</v>
      </c>
      <c r="B206" s="1003"/>
      <c r="C206" s="1555"/>
      <c r="D206" s="1555"/>
      <c r="E206" s="1555"/>
      <c r="F206" s="1555"/>
      <c r="G206" s="1006"/>
      <c r="H206" s="1622"/>
      <c r="I206" s="1622"/>
      <c r="J206" s="1622"/>
      <c r="K206" s="1622"/>
      <c r="L206" s="1622"/>
      <c r="M206" s="1542" t="s">
        <v>211</v>
      </c>
      <c r="N206" s="1542"/>
      <c r="O206" s="1009">
        <v>0</v>
      </c>
      <c r="P206" s="1543"/>
      <c r="Q206" s="1556"/>
      <c r="R206" s="1018">
        <v>3</v>
      </c>
    </row>
    <row r="207" spans="1:18" ht="24.95" customHeight="1">
      <c r="A207" s="1033">
        <v>0</v>
      </c>
      <c r="B207" s="1005" t="s">
        <v>206</v>
      </c>
      <c r="C207" s="1548"/>
      <c r="D207" s="1548"/>
      <c r="E207" s="1548"/>
      <c r="F207" s="1548"/>
      <c r="G207" s="1004"/>
      <c r="H207" s="1549"/>
      <c r="I207" s="1549"/>
      <c r="J207" s="1549"/>
      <c r="K207" s="1549"/>
      <c r="L207" s="1549"/>
      <c r="M207" s="1542" t="s">
        <v>2648</v>
      </c>
      <c r="N207" s="1542"/>
      <c r="O207" s="1009">
        <v>0</v>
      </c>
      <c r="P207" s="1543"/>
      <c r="Q207" s="1556"/>
      <c r="R207" s="1018">
        <v>4</v>
      </c>
    </row>
    <row r="208" spans="1:18" ht="24.95" customHeight="1">
      <c r="A208" s="1033">
        <v>0</v>
      </c>
      <c r="B208" s="1005" t="s">
        <v>212</v>
      </c>
      <c r="C208" s="1548"/>
      <c r="D208" s="1548"/>
      <c r="E208" s="1548"/>
      <c r="F208" s="1548"/>
      <c r="G208" s="1004"/>
      <c r="H208" s="1549"/>
      <c r="I208" s="1549"/>
      <c r="J208" s="1549"/>
      <c r="K208" s="1549"/>
      <c r="L208" s="1549"/>
      <c r="M208" s="1542" t="s">
        <v>2649</v>
      </c>
      <c r="N208" s="1542"/>
      <c r="O208" s="930"/>
      <c r="P208" s="1543"/>
      <c r="Q208" s="911">
        <f>RECAPITULATIF!T35</f>
        <v>0</v>
      </c>
      <c r="R208" s="1018">
        <v>5</v>
      </c>
    </row>
    <row r="209" spans="1:18" ht="24.95" customHeight="1">
      <c r="A209" s="1552"/>
      <c r="B209" s="1552"/>
      <c r="C209" s="1552"/>
      <c r="D209" s="1552"/>
      <c r="E209" s="1552"/>
      <c r="F209" s="1552"/>
      <c r="G209" s="1004"/>
      <c r="H209" s="1549"/>
      <c r="I209" s="1549"/>
      <c r="J209" s="1549"/>
      <c r="K209" s="1549"/>
      <c r="L209" s="1549"/>
      <c r="M209" s="1542" t="s">
        <v>2650</v>
      </c>
      <c r="N209" s="1542"/>
      <c r="O209" s="930">
        <v>0</v>
      </c>
      <c r="P209" s="1543"/>
      <c r="Q209" s="1556"/>
      <c r="R209" s="1018">
        <v>6</v>
      </c>
    </row>
    <row r="210" spans="1:18" ht="24.95" customHeight="1">
      <c r="A210" s="1552"/>
      <c r="B210" s="1552"/>
      <c r="C210" s="1552"/>
      <c r="D210" s="1552"/>
      <c r="E210" s="1552"/>
      <c r="F210" s="1552"/>
      <c r="G210" s="63"/>
      <c r="H210" s="1557"/>
      <c r="I210" s="1557"/>
      <c r="J210" s="1557"/>
      <c r="K210" s="1557"/>
      <c r="L210" s="1557"/>
      <c r="M210" s="1558" t="s">
        <v>207</v>
      </c>
      <c r="N210" s="1558"/>
      <c r="O210" s="930">
        <v>0</v>
      </c>
      <c r="P210" s="1543"/>
      <c r="Q210" s="1556"/>
      <c r="R210" s="1018">
        <v>7</v>
      </c>
    </row>
    <row r="211" spans="1:18" ht="40.5" customHeight="1">
      <c r="A211" s="1552"/>
      <c r="B211" s="1552"/>
      <c r="C211" s="1552"/>
      <c r="D211" s="1552"/>
      <c r="E211" s="1552"/>
      <c r="F211" s="1552"/>
      <c r="G211" s="1004">
        <v>140494</v>
      </c>
      <c r="H211" s="1601" t="s">
        <v>2561</v>
      </c>
      <c r="I211" s="1601"/>
      <c r="J211" s="1601"/>
      <c r="K211" s="1601"/>
      <c r="L211" s="1601"/>
      <c r="M211" s="1561" t="s">
        <v>208</v>
      </c>
      <c r="N211" s="1561"/>
      <c r="O211" s="931">
        <v>0</v>
      </c>
      <c r="P211" s="1543"/>
      <c r="Q211" s="1562"/>
      <c r="R211" s="1018">
        <v>8</v>
      </c>
    </row>
    <row r="212" spans="1:18" ht="15.75" thickBot="1">
      <c r="A212" s="1552"/>
      <c r="B212" s="1552"/>
      <c r="C212" s="1552"/>
      <c r="D212" s="1552"/>
      <c r="E212" s="1552"/>
      <c r="F212" s="1552"/>
      <c r="G212" s="1468"/>
      <c r="H212" s="1468"/>
      <c r="I212" s="1468"/>
      <c r="J212" s="1468"/>
      <c r="K212" s="1468"/>
      <c r="L212" s="1468"/>
      <c r="M212" s="1563" t="s">
        <v>209</v>
      </c>
      <c r="N212" s="1563"/>
      <c r="O212" s="910">
        <v>0</v>
      </c>
      <c r="P212" s="1543"/>
      <c r="Q212" s="1562"/>
      <c r="R212" s="1018">
        <v>9</v>
      </c>
    </row>
    <row r="213" spans="1:18" ht="15.75" thickBot="1">
      <c r="A213" s="1552"/>
      <c r="B213" s="1552"/>
      <c r="C213" s="1552"/>
      <c r="D213" s="1552"/>
      <c r="E213" s="1552"/>
      <c r="F213" s="1552"/>
      <c r="G213" s="1468"/>
      <c r="H213" s="1468"/>
      <c r="I213" s="1468"/>
      <c r="J213" s="1468"/>
      <c r="K213" s="1468"/>
      <c r="L213" s="1468"/>
      <c r="M213" s="1564" t="s">
        <v>210</v>
      </c>
      <c r="N213" s="1565"/>
      <c r="O213" s="929">
        <v>0</v>
      </c>
      <c r="P213" s="1543"/>
      <c r="Q213" s="1562"/>
      <c r="R213" s="1018">
        <v>10</v>
      </c>
    </row>
    <row r="214" spans="1:18">
      <c r="A214" s="1552"/>
      <c r="B214" s="1552"/>
      <c r="C214" s="1552"/>
      <c r="D214" s="1552"/>
      <c r="E214" s="1552"/>
      <c r="F214" s="1552"/>
      <c r="G214" s="1468"/>
      <c r="H214" s="1468"/>
      <c r="I214" s="1468"/>
      <c r="J214" s="1468"/>
      <c r="K214" s="1468"/>
      <c r="L214" s="1468"/>
      <c r="M214" s="1613"/>
      <c r="N214" s="1613"/>
      <c r="O214" s="1613"/>
      <c r="P214" s="1613"/>
      <c r="Q214" s="1562"/>
    </row>
    <row r="215" spans="1:18">
      <c r="A215" s="1552"/>
      <c r="B215" s="1552"/>
      <c r="C215" s="1552"/>
      <c r="D215" s="1552"/>
      <c r="E215" s="1552"/>
      <c r="F215" s="1552"/>
      <c r="G215" s="1468"/>
      <c r="H215" s="1468"/>
      <c r="I215" s="1468"/>
      <c r="J215" s="1468"/>
      <c r="K215" s="1468"/>
      <c r="L215" s="1468"/>
      <c r="M215" s="1613"/>
      <c r="N215" s="1613"/>
      <c r="O215" s="1613"/>
      <c r="P215" s="1613"/>
    </row>
  </sheetData>
  <mergeCells count="593">
    <mergeCell ref="C2:E4"/>
    <mergeCell ref="B2:B4"/>
    <mergeCell ref="Q209:Q210"/>
    <mergeCell ref="H210:L210"/>
    <mergeCell ref="M210:N210"/>
    <mergeCell ref="H211:L211"/>
    <mergeCell ref="M211:N211"/>
    <mergeCell ref="Q211:Q214"/>
    <mergeCell ref="G212:L215"/>
    <mergeCell ref="M212:N212"/>
    <mergeCell ref="M213:N213"/>
    <mergeCell ref="A209:F215"/>
    <mergeCell ref="H209:L209"/>
    <mergeCell ref="M209:N209"/>
    <mergeCell ref="M214:P215"/>
    <mergeCell ref="C206:F206"/>
    <mergeCell ref="H206:L206"/>
    <mergeCell ref="M206:N206"/>
    <mergeCell ref="C207:F207"/>
    <mergeCell ref="H207:L207"/>
    <mergeCell ref="M207:N207"/>
    <mergeCell ref="P209:P213"/>
    <mergeCell ref="C204:F204"/>
    <mergeCell ref="H204:L204"/>
    <mergeCell ref="M204:N204"/>
    <mergeCell ref="P204:P208"/>
    <mergeCell ref="Q204:Q207"/>
    <mergeCell ref="C205:F205"/>
    <mergeCell ref="H205:L205"/>
    <mergeCell ref="M205:N205"/>
    <mergeCell ref="C208:F208"/>
    <mergeCell ref="H208:L208"/>
    <mergeCell ref="M208:N208"/>
    <mergeCell ref="O202:O203"/>
    <mergeCell ref="P196:P200"/>
    <mergeCell ref="Q196:Q197"/>
    <mergeCell ref="H197:L197"/>
    <mergeCell ref="M197:N197"/>
    <mergeCell ref="H198:L198"/>
    <mergeCell ref="M198:N198"/>
    <mergeCell ref="Q198:Q201"/>
    <mergeCell ref="G199:L201"/>
    <mergeCell ref="M199:N199"/>
    <mergeCell ref="M200:N200"/>
    <mergeCell ref="P202:P203"/>
    <mergeCell ref="Q202:Q203"/>
    <mergeCell ref="H196:L196"/>
    <mergeCell ref="M196:N196"/>
    <mergeCell ref="A189:B190"/>
    <mergeCell ref="C189:F190"/>
    <mergeCell ref="G189:G190"/>
    <mergeCell ref="H189:L190"/>
    <mergeCell ref="M189:N190"/>
    <mergeCell ref="M191:N191"/>
    <mergeCell ref="A202:B203"/>
    <mergeCell ref="C202:F203"/>
    <mergeCell ref="G202:G203"/>
    <mergeCell ref="H202:L203"/>
    <mergeCell ref="M202:N203"/>
    <mergeCell ref="A196:F201"/>
    <mergeCell ref="O189:O190"/>
    <mergeCell ref="P189:P190"/>
    <mergeCell ref="Q189:Q190"/>
    <mergeCell ref="C193:F193"/>
    <mergeCell ref="H193:L193"/>
    <mergeCell ref="M193:N193"/>
    <mergeCell ref="C194:F194"/>
    <mergeCell ref="H194:L194"/>
    <mergeCell ref="M194:N194"/>
    <mergeCell ref="C191:F191"/>
    <mergeCell ref="H191:L191"/>
    <mergeCell ref="C192:F192"/>
    <mergeCell ref="H192:L192"/>
    <mergeCell ref="M192:N192"/>
    <mergeCell ref="P191:P195"/>
    <mergeCell ref="Q191:Q194"/>
    <mergeCell ref="C195:F195"/>
    <mergeCell ref="H195:L195"/>
    <mergeCell ref="M195:N195"/>
    <mergeCell ref="P183:P187"/>
    <mergeCell ref="Q183:Q184"/>
    <mergeCell ref="H184:L184"/>
    <mergeCell ref="M184:N184"/>
    <mergeCell ref="H185:L185"/>
    <mergeCell ref="M185:N185"/>
    <mergeCell ref="Q185:Q188"/>
    <mergeCell ref="G186:L188"/>
    <mergeCell ref="M186:N186"/>
    <mergeCell ref="M187:N187"/>
    <mergeCell ref="M167:N167"/>
    <mergeCell ref="A183:F188"/>
    <mergeCell ref="H183:L183"/>
    <mergeCell ref="M183:N183"/>
    <mergeCell ref="C180:F180"/>
    <mergeCell ref="H180:L180"/>
    <mergeCell ref="M180:N180"/>
    <mergeCell ref="C181:F181"/>
    <mergeCell ref="H181:L181"/>
    <mergeCell ref="M181:N181"/>
    <mergeCell ref="C178:F178"/>
    <mergeCell ref="H178:L178"/>
    <mergeCell ref="M178:N178"/>
    <mergeCell ref="A169:F175"/>
    <mergeCell ref="P178:P182"/>
    <mergeCell ref="Q178:Q181"/>
    <mergeCell ref="C179:F179"/>
    <mergeCell ref="H179:L179"/>
    <mergeCell ref="M179:N179"/>
    <mergeCell ref="C182:F182"/>
    <mergeCell ref="H182:L182"/>
    <mergeCell ref="M182:N182"/>
    <mergeCell ref="A176:B177"/>
    <mergeCell ref="C176:F177"/>
    <mergeCell ref="G176:G177"/>
    <mergeCell ref="H176:L177"/>
    <mergeCell ref="M176:N177"/>
    <mergeCell ref="O176:O177"/>
    <mergeCell ref="P176:P177"/>
    <mergeCell ref="Q176:Q177"/>
    <mergeCell ref="P169:P173"/>
    <mergeCell ref="Q169:Q170"/>
    <mergeCell ref="H170:L170"/>
    <mergeCell ref="M170:N170"/>
    <mergeCell ref="H171:L171"/>
    <mergeCell ref="M171:N171"/>
    <mergeCell ref="Q171:Q174"/>
    <mergeCell ref="G172:L175"/>
    <mergeCell ref="M172:N172"/>
    <mergeCell ref="M173:N173"/>
    <mergeCell ref="H169:L169"/>
    <mergeCell ref="M169:N169"/>
    <mergeCell ref="M174:P175"/>
    <mergeCell ref="A162:B163"/>
    <mergeCell ref="C162:F163"/>
    <mergeCell ref="G162:G163"/>
    <mergeCell ref="H162:L163"/>
    <mergeCell ref="M162:N163"/>
    <mergeCell ref="O162:O163"/>
    <mergeCell ref="P162:P163"/>
    <mergeCell ref="Q162:Q163"/>
    <mergeCell ref="C166:F166"/>
    <mergeCell ref="H166:L166"/>
    <mergeCell ref="M166:N166"/>
    <mergeCell ref="C164:F164"/>
    <mergeCell ref="H164:L164"/>
    <mergeCell ref="M164:N164"/>
    <mergeCell ref="P164:P168"/>
    <mergeCell ref="Q164:Q167"/>
    <mergeCell ref="C165:F165"/>
    <mergeCell ref="H165:L165"/>
    <mergeCell ref="M165:N165"/>
    <mergeCell ref="C168:F168"/>
    <mergeCell ref="H168:L168"/>
    <mergeCell ref="M168:N168"/>
    <mergeCell ref="C167:F167"/>
    <mergeCell ref="H167:L167"/>
    <mergeCell ref="P156:P160"/>
    <mergeCell ref="Q156:Q157"/>
    <mergeCell ref="H157:L157"/>
    <mergeCell ref="M157:N157"/>
    <mergeCell ref="H158:L158"/>
    <mergeCell ref="M158:N158"/>
    <mergeCell ref="Q158:Q161"/>
    <mergeCell ref="G159:L161"/>
    <mergeCell ref="M159:N159"/>
    <mergeCell ref="M160:N160"/>
    <mergeCell ref="A156:F161"/>
    <mergeCell ref="H156:L156"/>
    <mergeCell ref="M156:N156"/>
    <mergeCell ref="C153:F153"/>
    <mergeCell ref="H153:L153"/>
    <mergeCell ref="M153:N153"/>
    <mergeCell ref="C154:F154"/>
    <mergeCell ref="H154:L154"/>
    <mergeCell ref="M154:N154"/>
    <mergeCell ref="C151:F151"/>
    <mergeCell ref="H151:L151"/>
    <mergeCell ref="M151:N151"/>
    <mergeCell ref="P151:P155"/>
    <mergeCell ref="Q151:Q154"/>
    <mergeCell ref="C152:F152"/>
    <mergeCell ref="H152:L152"/>
    <mergeCell ref="M152:N152"/>
    <mergeCell ref="C155:F155"/>
    <mergeCell ref="H155:L155"/>
    <mergeCell ref="M155:N155"/>
    <mergeCell ref="O149:O150"/>
    <mergeCell ref="P143:P147"/>
    <mergeCell ref="Q143:Q144"/>
    <mergeCell ref="H144:L144"/>
    <mergeCell ref="M144:N144"/>
    <mergeCell ref="H145:L145"/>
    <mergeCell ref="M145:N145"/>
    <mergeCell ref="Q145:Q148"/>
    <mergeCell ref="G146:L148"/>
    <mergeCell ref="M146:N146"/>
    <mergeCell ref="M147:N147"/>
    <mergeCell ref="P149:P150"/>
    <mergeCell ref="Q149:Q150"/>
    <mergeCell ref="H143:L143"/>
    <mergeCell ref="M143:N143"/>
    <mergeCell ref="A136:B137"/>
    <mergeCell ref="C136:F137"/>
    <mergeCell ref="G136:G137"/>
    <mergeCell ref="H136:L137"/>
    <mergeCell ref="M136:N137"/>
    <mergeCell ref="M138:N138"/>
    <mergeCell ref="A149:B150"/>
    <mergeCell ref="C149:F150"/>
    <mergeCell ref="G149:G150"/>
    <mergeCell ref="H149:L150"/>
    <mergeCell ref="M149:N150"/>
    <mergeCell ref="A143:F148"/>
    <mergeCell ref="O136:O137"/>
    <mergeCell ref="P136:P137"/>
    <mergeCell ref="Q136:Q137"/>
    <mergeCell ref="C140:F140"/>
    <mergeCell ref="H140:L140"/>
    <mergeCell ref="M140:N140"/>
    <mergeCell ref="C141:F141"/>
    <mergeCell ref="H141:L141"/>
    <mergeCell ref="M141:N141"/>
    <mergeCell ref="C138:F138"/>
    <mergeCell ref="H138:L138"/>
    <mergeCell ref="C139:F139"/>
    <mergeCell ref="H139:L139"/>
    <mergeCell ref="M139:N139"/>
    <mergeCell ref="P138:P142"/>
    <mergeCell ref="Q138:Q141"/>
    <mergeCell ref="C142:F142"/>
    <mergeCell ref="H142:L142"/>
    <mergeCell ref="M142:N142"/>
    <mergeCell ref="Q129:Q130"/>
    <mergeCell ref="H130:L130"/>
    <mergeCell ref="M130:N130"/>
    <mergeCell ref="H131:L131"/>
    <mergeCell ref="M131:N131"/>
    <mergeCell ref="Q131:Q134"/>
    <mergeCell ref="G132:L135"/>
    <mergeCell ref="M132:N132"/>
    <mergeCell ref="M133:N133"/>
    <mergeCell ref="A129:F135"/>
    <mergeCell ref="H129:L129"/>
    <mergeCell ref="M129:N129"/>
    <mergeCell ref="M134:P135"/>
    <mergeCell ref="C126:F126"/>
    <mergeCell ref="H126:L126"/>
    <mergeCell ref="M126:N126"/>
    <mergeCell ref="C127:F127"/>
    <mergeCell ref="H127:L127"/>
    <mergeCell ref="M127:N127"/>
    <mergeCell ref="P129:P133"/>
    <mergeCell ref="C124:F124"/>
    <mergeCell ref="H124:L124"/>
    <mergeCell ref="M124:N124"/>
    <mergeCell ref="P124:P128"/>
    <mergeCell ref="Q124:Q127"/>
    <mergeCell ref="C125:F125"/>
    <mergeCell ref="H125:L125"/>
    <mergeCell ref="M125:N125"/>
    <mergeCell ref="C128:F128"/>
    <mergeCell ref="H128:L128"/>
    <mergeCell ref="M128:N128"/>
    <mergeCell ref="O122:O123"/>
    <mergeCell ref="P116:P120"/>
    <mergeCell ref="Q116:Q117"/>
    <mergeCell ref="H117:L117"/>
    <mergeCell ref="M117:N117"/>
    <mergeCell ref="H118:L118"/>
    <mergeCell ref="M118:N118"/>
    <mergeCell ref="Q118:Q121"/>
    <mergeCell ref="G119:L121"/>
    <mergeCell ref="M119:N119"/>
    <mergeCell ref="M120:N120"/>
    <mergeCell ref="P122:P123"/>
    <mergeCell ref="Q122:Q123"/>
    <mergeCell ref="H116:L116"/>
    <mergeCell ref="M116:N116"/>
    <mergeCell ref="A109:B110"/>
    <mergeCell ref="C109:F110"/>
    <mergeCell ref="G109:G110"/>
    <mergeCell ref="H109:L110"/>
    <mergeCell ref="M109:N110"/>
    <mergeCell ref="M111:N111"/>
    <mergeCell ref="A122:B123"/>
    <mergeCell ref="C122:F123"/>
    <mergeCell ref="G122:G123"/>
    <mergeCell ref="H122:L123"/>
    <mergeCell ref="M122:N123"/>
    <mergeCell ref="A116:F121"/>
    <mergeCell ref="O109:O110"/>
    <mergeCell ref="P109:P110"/>
    <mergeCell ref="Q109:Q110"/>
    <mergeCell ref="C113:F113"/>
    <mergeCell ref="H113:L113"/>
    <mergeCell ref="M113:N113"/>
    <mergeCell ref="C114:F114"/>
    <mergeCell ref="H114:L114"/>
    <mergeCell ref="M114:N114"/>
    <mergeCell ref="C111:F111"/>
    <mergeCell ref="H111:L111"/>
    <mergeCell ref="C112:F112"/>
    <mergeCell ref="H112:L112"/>
    <mergeCell ref="M112:N112"/>
    <mergeCell ref="P111:P115"/>
    <mergeCell ref="Q111:Q114"/>
    <mergeCell ref="C115:F115"/>
    <mergeCell ref="H115:L115"/>
    <mergeCell ref="M115:N115"/>
    <mergeCell ref="P103:P107"/>
    <mergeCell ref="Q103:Q104"/>
    <mergeCell ref="H104:L104"/>
    <mergeCell ref="M104:N104"/>
    <mergeCell ref="H105:L105"/>
    <mergeCell ref="M105:N105"/>
    <mergeCell ref="Q105:Q108"/>
    <mergeCell ref="G106:L108"/>
    <mergeCell ref="M106:N106"/>
    <mergeCell ref="M107:N107"/>
    <mergeCell ref="A103:F108"/>
    <mergeCell ref="H103:L103"/>
    <mergeCell ref="M103:N103"/>
    <mergeCell ref="C100:F100"/>
    <mergeCell ref="H100:L100"/>
    <mergeCell ref="M100:N100"/>
    <mergeCell ref="C101:F101"/>
    <mergeCell ref="H101:L101"/>
    <mergeCell ref="M101:N101"/>
    <mergeCell ref="C98:F98"/>
    <mergeCell ref="H98:L98"/>
    <mergeCell ref="M98:N98"/>
    <mergeCell ref="P98:P102"/>
    <mergeCell ref="Q98:Q101"/>
    <mergeCell ref="C99:F99"/>
    <mergeCell ref="H99:L99"/>
    <mergeCell ref="M99:N99"/>
    <mergeCell ref="C102:F102"/>
    <mergeCell ref="H102:L102"/>
    <mergeCell ref="M102:N102"/>
    <mergeCell ref="O96:O97"/>
    <mergeCell ref="P89:P93"/>
    <mergeCell ref="Q89:Q90"/>
    <mergeCell ref="H90:L90"/>
    <mergeCell ref="M90:N90"/>
    <mergeCell ref="H91:L91"/>
    <mergeCell ref="M91:N91"/>
    <mergeCell ref="Q91:Q94"/>
    <mergeCell ref="G92:L94"/>
    <mergeCell ref="M92:N92"/>
    <mergeCell ref="M93:N93"/>
    <mergeCell ref="P96:P97"/>
    <mergeCell ref="Q96:Q97"/>
    <mergeCell ref="H89:L89"/>
    <mergeCell ref="M89:N89"/>
    <mergeCell ref="A82:B83"/>
    <mergeCell ref="C82:F83"/>
    <mergeCell ref="G82:G83"/>
    <mergeCell ref="H82:L83"/>
    <mergeCell ref="M82:N83"/>
    <mergeCell ref="M84:N84"/>
    <mergeCell ref="A96:B97"/>
    <mergeCell ref="C96:F97"/>
    <mergeCell ref="G96:G97"/>
    <mergeCell ref="H96:L97"/>
    <mergeCell ref="M96:N97"/>
    <mergeCell ref="A89:F94"/>
    <mergeCell ref="O82:O83"/>
    <mergeCell ref="P82:P83"/>
    <mergeCell ref="Q82:Q83"/>
    <mergeCell ref="C86:F86"/>
    <mergeCell ref="H86:L86"/>
    <mergeCell ref="M86:N86"/>
    <mergeCell ref="C87:F87"/>
    <mergeCell ref="H87:L87"/>
    <mergeCell ref="M87:N87"/>
    <mergeCell ref="C84:F84"/>
    <mergeCell ref="H84:L84"/>
    <mergeCell ref="C85:F85"/>
    <mergeCell ref="H85:L85"/>
    <mergeCell ref="M85:N85"/>
    <mergeCell ref="P84:P88"/>
    <mergeCell ref="Q84:Q87"/>
    <mergeCell ref="C88:F88"/>
    <mergeCell ref="H88:L88"/>
    <mergeCell ref="M88:N88"/>
    <mergeCell ref="P76:P80"/>
    <mergeCell ref="Q76:Q77"/>
    <mergeCell ref="H77:L77"/>
    <mergeCell ref="M77:N77"/>
    <mergeCell ref="M78:N78"/>
    <mergeCell ref="Q78:Q81"/>
    <mergeCell ref="G79:L81"/>
    <mergeCell ref="M79:N79"/>
    <mergeCell ref="M80:N80"/>
    <mergeCell ref="M81:P81"/>
    <mergeCell ref="A76:F81"/>
    <mergeCell ref="H76:L76"/>
    <mergeCell ref="M76:N76"/>
    <mergeCell ref="C73:F73"/>
    <mergeCell ref="H73:L73"/>
    <mergeCell ref="M73:N73"/>
    <mergeCell ref="C74:F74"/>
    <mergeCell ref="H74:L74"/>
    <mergeCell ref="M74:N74"/>
    <mergeCell ref="C71:F71"/>
    <mergeCell ref="H71:L71"/>
    <mergeCell ref="M71:N71"/>
    <mergeCell ref="P71:P75"/>
    <mergeCell ref="Q71:Q74"/>
    <mergeCell ref="C72:F72"/>
    <mergeCell ref="H72:L72"/>
    <mergeCell ref="M72:N72"/>
    <mergeCell ref="C75:F75"/>
    <mergeCell ref="H75:L75"/>
    <mergeCell ref="M75:N75"/>
    <mergeCell ref="O69:O70"/>
    <mergeCell ref="P63:P67"/>
    <mergeCell ref="Q63:Q64"/>
    <mergeCell ref="H64:L64"/>
    <mergeCell ref="M64:N64"/>
    <mergeCell ref="H65:L65"/>
    <mergeCell ref="M65:N65"/>
    <mergeCell ref="Q65:Q68"/>
    <mergeCell ref="G66:L68"/>
    <mergeCell ref="M66:N66"/>
    <mergeCell ref="M67:N67"/>
    <mergeCell ref="P69:P70"/>
    <mergeCell ref="Q69:Q70"/>
    <mergeCell ref="H63:L63"/>
    <mergeCell ref="M63:N63"/>
    <mergeCell ref="A56:B57"/>
    <mergeCell ref="C56:F57"/>
    <mergeCell ref="G56:G57"/>
    <mergeCell ref="H56:L57"/>
    <mergeCell ref="M56:N57"/>
    <mergeCell ref="M58:N58"/>
    <mergeCell ref="A69:B70"/>
    <mergeCell ref="C69:F70"/>
    <mergeCell ref="G69:G70"/>
    <mergeCell ref="H69:L70"/>
    <mergeCell ref="M69:N70"/>
    <mergeCell ref="A63:F68"/>
    <mergeCell ref="O56:O57"/>
    <mergeCell ref="P56:P57"/>
    <mergeCell ref="Q56:Q57"/>
    <mergeCell ref="C60:F60"/>
    <mergeCell ref="H60:L60"/>
    <mergeCell ref="M60:N60"/>
    <mergeCell ref="C61:F61"/>
    <mergeCell ref="H61:L61"/>
    <mergeCell ref="M61:N61"/>
    <mergeCell ref="C58:F58"/>
    <mergeCell ref="H58:L58"/>
    <mergeCell ref="C59:F59"/>
    <mergeCell ref="H59:L59"/>
    <mergeCell ref="M59:N59"/>
    <mergeCell ref="P58:P62"/>
    <mergeCell ref="Q58:Q61"/>
    <mergeCell ref="C62:F62"/>
    <mergeCell ref="H62:L62"/>
    <mergeCell ref="M62:N62"/>
    <mergeCell ref="P49:P53"/>
    <mergeCell ref="Q49:Q50"/>
    <mergeCell ref="H50:L50"/>
    <mergeCell ref="M50:N50"/>
    <mergeCell ref="H51:L51"/>
    <mergeCell ref="M51:N51"/>
    <mergeCell ref="Q51:Q54"/>
    <mergeCell ref="G52:L54"/>
    <mergeCell ref="M52:N52"/>
    <mergeCell ref="M53:N53"/>
    <mergeCell ref="M34:N34"/>
    <mergeCell ref="A49:F54"/>
    <mergeCell ref="H49:L49"/>
    <mergeCell ref="M49:N49"/>
    <mergeCell ref="C46:F46"/>
    <mergeCell ref="H46:L46"/>
    <mergeCell ref="M46:N46"/>
    <mergeCell ref="C47:F47"/>
    <mergeCell ref="H47:L47"/>
    <mergeCell ref="M47:N47"/>
    <mergeCell ref="C44:F44"/>
    <mergeCell ref="H44:L44"/>
    <mergeCell ref="M44:N44"/>
    <mergeCell ref="A36:F41"/>
    <mergeCell ref="P44:P48"/>
    <mergeCell ref="Q44:Q47"/>
    <mergeCell ref="C45:F45"/>
    <mergeCell ref="H45:L45"/>
    <mergeCell ref="M45:N45"/>
    <mergeCell ref="C48:F48"/>
    <mergeCell ref="H48:L48"/>
    <mergeCell ref="M48:N48"/>
    <mergeCell ref="A42:B43"/>
    <mergeCell ref="C42:F43"/>
    <mergeCell ref="G42:G43"/>
    <mergeCell ref="H42:L43"/>
    <mergeCell ref="M42:N43"/>
    <mergeCell ref="O42:O43"/>
    <mergeCell ref="P42:P43"/>
    <mergeCell ref="Q42:Q43"/>
    <mergeCell ref="P36:P40"/>
    <mergeCell ref="Q36:Q37"/>
    <mergeCell ref="H37:L37"/>
    <mergeCell ref="M37:N37"/>
    <mergeCell ref="H38:L38"/>
    <mergeCell ref="M38:N38"/>
    <mergeCell ref="Q38:Q41"/>
    <mergeCell ref="G39:L41"/>
    <mergeCell ref="M39:N39"/>
    <mergeCell ref="M40:N40"/>
    <mergeCell ref="H36:L36"/>
    <mergeCell ref="M36:N36"/>
    <mergeCell ref="M41:P41"/>
    <mergeCell ref="A29:B30"/>
    <mergeCell ref="C29:F30"/>
    <mergeCell ref="G29:G30"/>
    <mergeCell ref="H29:L30"/>
    <mergeCell ref="M29:N30"/>
    <mergeCell ref="O29:O30"/>
    <mergeCell ref="P29:P30"/>
    <mergeCell ref="Q29:Q30"/>
    <mergeCell ref="C33:F33"/>
    <mergeCell ref="H33:L33"/>
    <mergeCell ref="M33:N33"/>
    <mergeCell ref="C31:F31"/>
    <mergeCell ref="H31:L31"/>
    <mergeCell ref="M31:N31"/>
    <mergeCell ref="P31:P35"/>
    <mergeCell ref="Q31:Q34"/>
    <mergeCell ref="C32:F32"/>
    <mergeCell ref="H32:L32"/>
    <mergeCell ref="M32:N32"/>
    <mergeCell ref="C35:F35"/>
    <mergeCell ref="H35:L35"/>
    <mergeCell ref="M35:N35"/>
    <mergeCell ref="C34:F34"/>
    <mergeCell ref="H34:L34"/>
    <mergeCell ref="A23:F28"/>
    <mergeCell ref="C19:F19"/>
    <mergeCell ref="C20:F20"/>
    <mergeCell ref="P23:P27"/>
    <mergeCell ref="Q23:Q24"/>
    <mergeCell ref="H24:L24"/>
    <mergeCell ref="M24:N24"/>
    <mergeCell ref="H25:L25"/>
    <mergeCell ref="M25:N25"/>
    <mergeCell ref="Q25:Q28"/>
    <mergeCell ref="G26:L28"/>
    <mergeCell ref="M26:N26"/>
    <mergeCell ref="M27:N27"/>
    <mergeCell ref="H23:L23"/>
    <mergeCell ref="M23:N23"/>
    <mergeCell ref="Q16:Q17"/>
    <mergeCell ref="M18:N18"/>
    <mergeCell ref="P18:P22"/>
    <mergeCell ref="Q18:Q21"/>
    <mergeCell ref="M22:N22"/>
    <mergeCell ref="C16:F17"/>
    <mergeCell ref="C18:F18"/>
    <mergeCell ref="M19:N19"/>
    <mergeCell ref="M20:N20"/>
    <mergeCell ref="M21:N21"/>
    <mergeCell ref="C21:F21"/>
    <mergeCell ref="C22:F22"/>
    <mergeCell ref="H22:L22"/>
    <mergeCell ref="H19:L19"/>
    <mergeCell ref="H18:L18"/>
    <mergeCell ref="H21:L21"/>
    <mergeCell ref="H20:L20"/>
    <mergeCell ref="A16:B17"/>
    <mergeCell ref="H6:P6"/>
    <mergeCell ref="H8:P8"/>
    <mergeCell ref="H7:P7"/>
    <mergeCell ref="C6:F6"/>
    <mergeCell ref="C7:F7"/>
    <mergeCell ref="C8:F8"/>
    <mergeCell ref="C11:F11"/>
    <mergeCell ref="C12:F12"/>
    <mergeCell ref="C13:F13"/>
    <mergeCell ref="C9:F9"/>
    <mergeCell ref="C10:F10"/>
    <mergeCell ref="H9:P9"/>
    <mergeCell ref="H10:P10"/>
    <mergeCell ref="G14:L14"/>
    <mergeCell ref="G16:G17"/>
    <mergeCell ref="H16:L17"/>
    <mergeCell ref="M16:N17"/>
    <mergeCell ref="H11:P11"/>
    <mergeCell ref="H12:P12"/>
    <mergeCell ref="H13:P13"/>
    <mergeCell ref="O16:O17"/>
    <mergeCell ref="P16:P17"/>
  </mergeCells>
  <pageMargins left="0.7" right="0.7" top="0.75" bottom="0.75" header="0.3" footer="0.3"/>
  <pageSetup paperSize="9" scale="49" orientation="landscape" r:id="rId1"/>
  <rowBreaks count="5" manualBreakCount="5">
    <brk id="41" max="16" man="1"/>
    <brk id="55" max="16" man="1"/>
    <brk id="95" max="16" man="1"/>
    <brk id="135" max="16" man="1"/>
    <brk id="175" max="16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3">
    <tabColor rgb="FFFF0000"/>
  </sheetPr>
  <dimension ref="A1:FE122"/>
  <sheetViews>
    <sheetView topLeftCell="A7" workbookViewId="0">
      <pane xSplit="9" topLeftCell="J1" activePane="topRight" state="frozen"/>
      <selection activeCell="E1" sqref="E1"/>
      <selection pane="topRight" activeCell="E15" sqref="E15:E22"/>
    </sheetView>
  </sheetViews>
  <sheetFormatPr baseColWidth="10" defaultColWidth="11.42578125" defaultRowHeight="15" outlineLevelRow="1"/>
  <cols>
    <col min="1" max="1" width="19" style="409" hidden="1" customWidth="1"/>
    <col min="2" max="2" width="17.140625" hidden="1" customWidth="1"/>
    <col min="4" max="4" width="9.42578125" customWidth="1"/>
    <col min="5" max="5" width="9.85546875" customWidth="1"/>
    <col min="7" max="7" width="9.28515625" customWidth="1"/>
    <col min="10" max="11" width="11.42578125" style="295" customWidth="1"/>
    <col min="12" max="17" width="11.42578125" customWidth="1"/>
    <col min="18" max="18" width="9.28515625" style="941" customWidth="1"/>
    <col min="19" max="20" width="11.42578125" customWidth="1"/>
    <col min="21" max="21" width="10.42578125" customWidth="1"/>
    <col min="22" max="23" width="11.42578125" customWidth="1"/>
    <col min="24" max="24" width="11.42578125" style="295" customWidth="1"/>
    <col min="25" max="25" width="11.42578125" style="1366" customWidth="1"/>
    <col min="26" max="27" width="11.42578125" customWidth="1"/>
    <col min="28" max="29" width="11.42578125" style="295" customWidth="1"/>
    <col min="30" max="30" width="11.42578125" style="1159" customWidth="1"/>
    <col min="31" max="31" width="11.42578125" style="295" customWidth="1"/>
    <col min="32" max="32" width="45.42578125" style="295" customWidth="1"/>
    <col min="33" max="33" width="60.42578125" customWidth="1"/>
    <col min="34" max="34" width="7.5703125" style="523" customWidth="1"/>
    <col min="35" max="35" width="10.7109375" style="295" customWidth="1"/>
    <col min="36" max="36" width="16" style="523" customWidth="1"/>
    <col min="37" max="37" width="10" style="295" customWidth="1"/>
    <col min="38" max="38" width="10" style="523" customWidth="1"/>
    <col min="39" max="40" width="10" style="409" customWidth="1"/>
    <col min="41" max="41" width="47.140625" style="295" customWidth="1"/>
    <col min="42" max="42" width="53.85546875" style="295" customWidth="1"/>
    <col min="43" max="43" width="9.42578125" style="523" customWidth="1"/>
    <col min="44" max="44" width="9.42578125" style="295" customWidth="1"/>
    <col min="45" max="45" width="9.42578125" style="523" customWidth="1"/>
    <col min="46" max="46" width="9.28515625" style="295" customWidth="1"/>
    <col min="47" max="47" width="9.28515625" style="523" customWidth="1"/>
    <col min="48" max="49" width="9.28515625" style="409" customWidth="1"/>
    <col min="50" max="50" width="47.85546875" style="295" customWidth="1"/>
    <col min="51" max="51" width="51" customWidth="1"/>
    <col min="52" max="52" width="6.42578125" style="523" customWidth="1"/>
    <col min="53" max="53" width="13.140625" customWidth="1"/>
    <col min="54" max="56" width="11.42578125" customWidth="1"/>
    <col min="57" max="57" width="11.42578125" style="523" customWidth="1"/>
    <col min="58" max="58" width="11.42578125" customWidth="1"/>
    <col min="59" max="59" width="11.42578125" style="523" customWidth="1"/>
    <col min="60" max="61" width="11.42578125" style="409" customWidth="1"/>
    <col min="62" max="62" width="37.7109375" style="295" customWidth="1"/>
    <col min="63" max="63" width="37" customWidth="1"/>
    <col min="64" max="64" width="7.7109375" style="523" customWidth="1"/>
    <col min="65" max="65" width="10" customWidth="1"/>
    <col min="66" max="68" width="11.42578125" customWidth="1"/>
    <col min="69" max="69" width="11.42578125" style="523" customWidth="1"/>
    <col min="70" max="70" width="11.42578125" customWidth="1"/>
    <col min="71" max="71" width="11.42578125" style="523" customWidth="1"/>
    <col min="72" max="73" width="11.42578125" style="409" customWidth="1"/>
    <col min="74" max="74" width="43.7109375" style="295" customWidth="1"/>
    <col min="75" max="75" width="45.7109375" customWidth="1"/>
    <col min="76" max="76" width="7.140625" style="523" customWidth="1"/>
    <col min="77" max="77" width="12.5703125" customWidth="1"/>
    <col min="78" max="80" width="11.42578125" customWidth="1"/>
    <col min="81" max="81" width="11.42578125" style="523" customWidth="1"/>
    <col min="82" max="82" width="11.42578125" customWidth="1"/>
    <col min="83" max="83" width="11.42578125" style="523" customWidth="1"/>
    <col min="84" max="85" width="11.42578125" style="409" customWidth="1"/>
    <col min="86" max="86" width="45.28515625" style="295" customWidth="1"/>
    <col min="87" max="87" width="51.140625" customWidth="1"/>
    <col min="88" max="88" width="7.140625" style="523" customWidth="1"/>
    <col min="89" max="92" width="11.42578125" customWidth="1"/>
    <col min="93" max="93" width="11.42578125" style="523" customWidth="1"/>
    <col min="94" max="94" width="11.42578125" customWidth="1"/>
    <col min="95" max="95" width="11.42578125" style="523" customWidth="1"/>
    <col min="96" max="97" width="11.42578125" style="409" customWidth="1"/>
    <col min="98" max="98" width="51.85546875" style="295" customWidth="1"/>
    <col min="99" max="99" width="62.5703125" customWidth="1"/>
    <col min="100" max="100" width="7.140625" style="523" customWidth="1"/>
    <col min="101" max="101" width="7.140625" style="295" customWidth="1"/>
    <col min="102" max="102" width="7.7109375" style="295" customWidth="1"/>
    <col min="103" max="104" width="11.42578125" customWidth="1"/>
    <col min="105" max="105" width="21.140625" style="523" customWidth="1"/>
    <col min="106" max="106" width="11.42578125" customWidth="1"/>
    <col min="107" max="107" width="11.42578125" style="523" customWidth="1"/>
    <col min="108" max="109" width="11.42578125" style="409" customWidth="1"/>
    <col min="110" max="110" width="56.42578125" style="295" customWidth="1"/>
    <col min="111" max="111" width="61.85546875" customWidth="1"/>
    <col min="112" max="112" width="7.140625" style="523" customWidth="1"/>
    <col min="113" max="113" width="9.140625" style="295" customWidth="1"/>
    <col min="114" max="114" width="9.5703125" style="295" customWidth="1"/>
    <col min="115" max="116" width="11.42578125" customWidth="1"/>
    <col min="117" max="117" width="19.140625" style="523" customWidth="1"/>
    <col min="118" max="118" width="11.42578125" customWidth="1"/>
    <col min="119" max="119" width="11.42578125" style="523" customWidth="1"/>
    <col min="120" max="121" width="11.42578125" style="409" customWidth="1"/>
    <col min="122" max="122" width="44.140625" customWidth="1"/>
    <col min="123" max="123" width="44.140625" style="714" customWidth="1"/>
    <col min="124" max="124" width="8.5703125" style="714" customWidth="1"/>
    <col min="125" max="127" width="11.42578125" customWidth="1"/>
    <col min="128" max="128" width="11.42578125" style="714" customWidth="1"/>
    <col min="129" max="129" width="11.42578125" customWidth="1"/>
    <col min="130" max="132" width="11.42578125" style="714" customWidth="1"/>
    <col min="133" max="133" width="31.5703125" style="714" customWidth="1"/>
    <col min="134" max="134" width="42.7109375" customWidth="1"/>
    <col min="135" max="135" width="10.28515625" style="714" customWidth="1"/>
    <col min="136" max="136" width="11.85546875" customWidth="1"/>
    <col min="137" max="138" width="12.42578125" customWidth="1"/>
    <col min="139" max="139" width="12.42578125" style="714" customWidth="1"/>
    <col min="140" max="140" width="12.42578125" customWidth="1"/>
    <col min="141" max="143" width="11.42578125" customWidth="1"/>
    <col min="144" max="144" width="47.140625" style="1018" customWidth="1"/>
    <col min="145" max="145" width="53.85546875" style="1018" customWidth="1"/>
    <col min="146" max="148" width="9.42578125" style="1018" customWidth="1"/>
    <col min="149" max="152" width="9.28515625" style="1018" customWidth="1"/>
    <col min="153" max="153" width="47.140625" style="1018" customWidth="1"/>
    <col min="154" max="154" width="53.85546875" style="1018" customWidth="1"/>
    <col min="155" max="157" width="9.42578125" style="1018" customWidth="1"/>
    <col min="158" max="161" width="9.28515625" style="1018" customWidth="1"/>
    <col min="162" max="413" width="11.42578125" customWidth="1"/>
  </cols>
  <sheetData>
    <row r="1" spans="1:161" ht="24.95" customHeight="1" thickBot="1">
      <c r="F1" s="1655" t="s">
        <v>2300</v>
      </c>
      <c r="G1" s="1656"/>
      <c r="H1" s="1656"/>
      <c r="I1" s="697"/>
      <c r="J1" s="298"/>
      <c r="K1" s="298"/>
      <c r="L1" s="267"/>
      <c r="M1" s="267"/>
      <c r="N1" s="157"/>
      <c r="O1" s="267"/>
      <c r="P1" s="267"/>
      <c r="Q1" s="267"/>
      <c r="R1" s="718"/>
      <c r="S1" s="267"/>
      <c r="T1" s="267"/>
      <c r="U1" s="267"/>
      <c r="V1" s="1659" t="s">
        <v>2160</v>
      </c>
      <c r="W1" s="1659"/>
      <c r="X1" s="1659"/>
      <c r="Y1" s="1375"/>
      <c r="Z1" s="370"/>
      <c r="AB1" s="1657" t="s">
        <v>2139</v>
      </c>
      <c r="AC1" s="1658"/>
      <c r="AD1" s="1165"/>
      <c r="AE1" s="588">
        <f ca="1">S11</f>
        <v>120000</v>
      </c>
      <c r="AF1" s="1664" t="s">
        <v>2178</v>
      </c>
      <c r="AG1" s="1665" t="s">
        <v>2178</v>
      </c>
      <c r="AH1" s="1665"/>
      <c r="AI1" s="1665"/>
      <c r="AJ1" s="620"/>
      <c r="AK1" s="620"/>
      <c r="AL1" s="621"/>
      <c r="AM1" s="430"/>
      <c r="AN1" s="430"/>
      <c r="AO1" s="1660" t="s">
        <v>2177</v>
      </c>
      <c r="AP1" s="1661" t="s">
        <v>2177</v>
      </c>
      <c r="AQ1" s="1661"/>
      <c r="AR1" s="1661"/>
      <c r="AS1" s="1661"/>
      <c r="AT1" s="1661"/>
      <c r="AU1" s="1661"/>
      <c r="AV1" s="430"/>
      <c r="AW1" s="430"/>
      <c r="AX1" s="1677" t="s">
        <v>2259</v>
      </c>
      <c r="AY1" s="1662" t="s">
        <v>2259</v>
      </c>
      <c r="AZ1" s="1662"/>
      <c r="BA1" s="1662"/>
      <c r="BB1" s="1662"/>
      <c r="BC1" s="1662"/>
      <c r="BD1" s="1662"/>
      <c r="BE1" s="446"/>
      <c r="BF1" s="446"/>
      <c r="BG1" s="446"/>
      <c r="BH1" s="446"/>
      <c r="BI1" s="446"/>
      <c r="BJ1" s="1680" t="s">
        <v>2420</v>
      </c>
      <c r="BK1" s="1681" t="s">
        <v>2421</v>
      </c>
      <c r="BL1" s="1681"/>
      <c r="BM1" s="1681"/>
      <c r="BN1" s="1681"/>
      <c r="BO1" s="1681"/>
      <c r="BP1" s="1681"/>
      <c r="BQ1" s="526"/>
      <c r="BR1" s="178"/>
      <c r="BS1" s="526"/>
      <c r="BT1" s="178"/>
      <c r="BU1" s="178"/>
      <c r="BV1" s="1683" t="s">
        <v>2154</v>
      </c>
      <c r="BW1" s="1644" t="s">
        <v>2154</v>
      </c>
      <c r="BX1" s="1644"/>
      <c r="BY1" s="1644"/>
      <c r="BZ1" s="1644"/>
      <c r="CA1" s="1644"/>
      <c r="CB1" s="1644"/>
      <c r="CF1" s="331"/>
      <c r="CG1" s="331"/>
      <c r="CH1" s="1678" t="s">
        <v>2413</v>
      </c>
      <c r="CI1" s="1679" t="s">
        <v>2414</v>
      </c>
      <c r="CJ1" s="1679"/>
      <c r="CK1" s="1679"/>
      <c r="CL1" s="1679"/>
      <c r="CM1" s="1679"/>
      <c r="CN1" s="1679"/>
      <c r="CR1" s="331"/>
      <c r="CS1" s="331"/>
      <c r="CT1" s="1684" t="s">
        <v>2262</v>
      </c>
      <c r="CU1" s="1685" t="s">
        <v>2262</v>
      </c>
      <c r="CV1" s="1685"/>
      <c r="CW1" s="1685"/>
      <c r="CX1" s="1685"/>
      <c r="CY1" s="1685"/>
      <c r="CZ1" s="1685"/>
      <c r="DD1" s="331"/>
      <c r="DE1" s="331"/>
      <c r="DF1" s="1645" t="s">
        <v>2418</v>
      </c>
      <c r="DG1" s="1646" t="s">
        <v>2419</v>
      </c>
      <c r="DH1" s="1646"/>
      <c r="DI1" s="1646"/>
      <c r="DJ1" s="1646"/>
      <c r="DK1" s="1646"/>
      <c r="DL1" s="1646"/>
      <c r="DP1" s="331"/>
      <c r="DQ1" s="331"/>
      <c r="DR1" s="1634" t="s">
        <v>2259</v>
      </c>
      <c r="DS1" s="1633" t="s">
        <v>2259</v>
      </c>
      <c r="DT1" s="1633"/>
      <c r="DU1" s="1633"/>
      <c r="DV1" s="1633"/>
      <c r="DW1" s="1633"/>
      <c r="DX1" s="1633"/>
      <c r="DY1" s="767"/>
      <c r="DZ1" s="767"/>
      <c r="EA1" s="767"/>
      <c r="EB1" s="767"/>
      <c r="EC1" s="1634" t="s">
        <v>2154</v>
      </c>
      <c r="ED1" s="1633" t="s">
        <v>2154</v>
      </c>
      <c r="EE1" s="1633"/>
      <c r="EF1" s="1633"/>
      <c r="EG1" s="1633"/>
      <c r="EH1" s="1633"/>
      <c r="EI1" s="1635"/>
      <c r="EJ1" s="769"/>
      <c r="EK1" s="718"/>
      <c r="EL1" s="718"/>
      <c r="EM1" s="718"/>
      <c r="EN1" s="1660" t="s">
        <v>2692</v>
      </c>
      <c r="EO1" s="1661" t="s">
        <v>2692</v>
      </c>
      <c r="EP1" s="1661"/>
      <c r="EQ1" s="1661"/>
      <c r="ER1" s="1661"/>
      <c r="ES1" s="1661"/>
      <c r="ET1" s="1661"/>
      <c r="EU1" s="913"/>
      <c r="EV1" s="913"/>
      <c r="EW1" s="1660" t="s">
        <v>2694</v>
      </c>
      <c r="EX1" s="1661" t="s">
        <v>2694</v>
      </c>
      <c r="EY1" s="1661"/>
      <c r="EZ1" s="1661"/>
      <c r="FA1" s="1661"/>
      <c r="FB1" s="1661"/>
      <c r="FC1" s="1661"/>
      <c r="FD1" s="913"/>
      <c r="FE1" s="913"/>
    </row>
    <row r="2" spans="1:161" ht="24.95" customHeight="1" thickBot="1">
      <c r="F2" s="226"/>
      <c r="G2" s="226"/>
      <c r="H2" s="227"/>
      <c r="J2" s="298"/>
      <c r="K2" s="298"/>
      <c r="L2" s="267"/>
      <c r="M2" s="267"/>
      <c r="N2" s="298"/>
      <c r="O2" s="267"/>
      <c r="P2" s="267"/>
      <c r="Q2" s="267"/>
      <c r="S2" s="267"/>
      <c r="T2" s="267"/>
      <c r="U2" s="267"/>
      <c r="V2" s="1659" t="s">
        <v>2232</v>
      </c>
      <c r="W2" s="1659"/>
      <c r="X2" s="1659"/>
      <c r="Y2" s="1375"/>
      <c r="Z2" s="370"/>
      <c r="AB2" s="1657" t="s">
        <v>2140</v>
      </c>
      <c r="AC2" s="1658"/>
      <c r="AD2" s="1165"/>
      <c r="AE2" s="589">
        <f ca="1">T11</f>
        <v>120000</v>
      </c>
      <c r="AF2" s="1664"/>
      <c r="AG2" s="1665"/>
      <c r="AH2" s="1665"/>
      <c r="AI2" s="1665"/>
      <c r="AJ2" s="622"/>
      <c r="AK2" s="622"/>
      <c r="AL2" s="623"/>
      <c r="AM2" s="430"/>
      <c r="AN2" s="430"/>
      <c r="AO2" s="1660"/>
      <c r="AP2" s="1661"/>
      <c r="AQ2" s="1661"/>
      <c r="AR2" s="1661"/>
      <c r="AS2" s="1661"/>
      <c r="AT2" s="1661"/>
      <c r="AU2" s="1661"/>
      <c r="AV2" s="430"/>
      <c r="AW2" s="430"/>
      <c r="AX2" s="1677"/>
      <c r="AY2" s="1662"/>
      <c r="AZ2" s="1662"/>
      <c r="BA2" s="1662"/>
      <c r="BB2" s="1662"/>
      <c r="BC2" s="1662"/>
      <c r="BD2" s="1662"/>
      <c r="BE2" s="524"/>
      <c r="BF2" s="446"/>
      <c r="BG2" s="446"/>
      <c r="BH2" s="446"/>
      <c r="BI2" s="446"/>
      <c r="BJ2" s="1680"/>
      <c r="BK2" s="1681"/>
      <c r="BL2" s="1681"/>
      <c r="BM2" s="1681"/>
      <c r="BN2" s="1681"/>
      <c r="BO2" s="1681"/>
      <c r="BP2" s="1681"/>
      <c r="BQ2" s="524"/>
      <c r="BR2" s="446"/>
      <c r="BS2" s="446"/>
      <c r="BT2" s="446"/>
      <c r="BU2" s="446"/>
      <c r="BV2" s="1683"/>
      <c r="BW2" s="1644"/>
      <c r="BX2" s="1644"/>
      <c r="BY2" s="1644"/>
      <c r="BZ2" s="1644"/>
      <c r="CA2" s="1644"/>
      <c r="CB2" s="1644"/>
      <c r="CC2" s="524"/>
      <c r="CF2" s="441"/>
      <c r="CG2" s="441"/>
      <c r="CH2" s="1678"/>
      <c r="CI2" s="1679"/>
      <c r="CJ2" s="1679"/>
      <c r="CK2" s="1679"/>
      <c r="CL2" s="1679"/>
      <c r="CM2" s="1679"/>
      <c r="CN2" s="1679"/>
      <c r="CR2" s="441"/>
      <c r="CS2" s="441"/>
      <c r="CT2" s="1684"/>
      <c r="CU2" s="1685"/>
      <c r="CV2" s="1685"/>
      <c r="CW2" s="1685"/>
      <c r="CX2" s="1685"/>
      <c r="CY2" s="1685"/>
      <c r="CZ2" s="1685"/>
      <c r="DD2" s="441"/>
      <c r="DE2" s="441"/>
      <c r="DF2" s="1645"/>
      <c r="DG2" s="1646"/>
      <c r="DH2" s="1646"/>
      <c r="DI2" s="1646"/>
      <c r="DJ2" s="1646"/>
      <c r="DK2" s="1646"/>
      <c r="DL2" s="1646"/>
      <c r="DP2" s="441"/>
      <c r="DQ2" s="441"/>
      <c r="DR2" s="1634"/>
      <c r="DS2" s="1633"/>
      <c r="DT2" s="1633"/>
      <c r="DU2" s="1633"/>
      <c r="DV2" s="1633"/>
      <c r="DW2" s="1633"/>
      <c r="DX2" s="1633"/>
      <c r="DY2" s="718"/>
      <c r="DZ2" s="718"/>
      <c r="EA2" s="718"/>
      <c r="EB2" s="718"/>
      <c r="EC2" s="1634"/>
      <c r="ED2" s="1633"/>
      <c r="EE2" s="1633"/>
      <c r="EF2" s="1633"/>
      <c r="EG2" s="1633"/>
      <c r="EH2" s="1633"/>
      <c r="EI2" s="1635"/>
      <c r="EJ2" s="718"/>
      <c r="EK2" s="718"/>
      <c r="EL2" s="718"/>
      <c r="EM2" s="718"/>
      <c r="EN2" s="1660"/>
      <c r="EO2" s="1661"/>
      <c r="EP2" s="1661"/>
      <c r="EQ2" s="1661"/>
      <c r="ER2" s="1661"/>
      <c r="ES2" s="1661"/>
      <c r="ET2" s="1661"/>
      <c r="EU2" s="913"/>
      <c r="EV2" s="913"/>
      <c r="EW2" s="1660"/>
      <c r="EX2" s="1661"/>
      <c r="EY2" s="1661"/>
      <c r="EZ2" s="1661"/>
      <c r="FA2" s="1661"/>
      <c r="FB2" s="1661"/>
      <c r="FC2" s="1661"/>
      <c r="FD2" s="913"/>
      <c r="FE2" s="913"/>
    </row>
    <row r="3" spans="1:161" ht="24.95" customHeight="1" thickBot="1">
      <c r="C3" s="226"/>
      <c r="D3" s="226"/>
      <c r="E3" s="226"/>
      <c r="F3" s="226"/>
      <c r="G3" s="226"/>
      <c r="H3" s="157"/>
      <c r="J3" s="298"/>
      <c r="K3" s="298"/>
      <c r="L3" s="267"/>
      <c r="M3" s="267"/>
      <c r="N3" s="298"/>
      <c r="O3" s="267"/>
      <c r="P3" s="267"/>
      <c r="Q3" s="267"/>
      <c r="S3" s="267"/>
      <c r="T3" s="267"/>
      <c r="U3" s="267"/>
      <c r="V3" s="1659" t="s">
        <v>0</v>
      </c>
      <c r="W3" s="1659"/>
      <c r="X3" s="1659"/>
      <c r="Y3" s="1375"/>
      <c r="Z3" s="798">
        <f ca="1">AC13+AE13</f>
        <v>4837.4068965517245</v>
      </c>
      <c r="AB3" s="1657" t="s">
        <v>1</v>
      </c>
      <c r="AC3" s="1658"/>
      <c r="AD3" s="1165"/>
      <c r="AE3" s="1228">
        <f>N11</f>
        <v>24</v>
      </c>
      <c r="AF3" s="1663">
        <f>IF(AG4="N/A",0,INDEX(colRatesHT,MATCH(AG4,colchoice,0)))</f>
        <v>1165.3846153846152</v>
      </c>
      <c r="AG3" s="599" t="s">
        <v>2281</v>
      </c>
      <c r="AH3" s="521" t="s">
        <v>2242</v>
      </c>
      <c r="AI3" s="601" t="s">
        <v>2158</v>
      </c>
      <c r="AJ3" s="443" t="s">
        <v>2361</v>
      </c>
      <c r="AK3" s="263" t="s">
        <v>2362</v>
      </c>
      <c r="AL3" s="289" t="s">
        <v>2585</v>
      </c>
      <c r="AM3" s="443" t="s">
        <v>2269</v>
      </c>
      <c r="AN3" s="443" t="s">
        <v>2270</v>
      </c>
      <c r="AO3" s="1674">
        <f>IF(AP4="N/A",0,INDEX(colRatesHT,MATCH(AP4,colchoice,0)))</f>
        <v>190.38461538461539</v>
      </c>
      <c r="AP3" s="255" t="s">
        <v>2281</v>
      </c>
      <c r="AQ3" s="443" t="s">
        <v>2242</v>
      </c>
      <c r="AR3" s="443" t="s">
        <v>2158</v>
      </c>
      <c r="AS3" s="443" t="s">
        <v>2361</v>
      </c>
      <c r="AT3" s="443" t="s">
        <v>2362</v>
      </c>
      <c r="AU3" s="746" t="s">
        <v>2585</v>
      </c>
      <c r="AV3" s="443" t="s">
        <v>2269</v>
      </c>
      <c r="AW3" s="443" t="s">
        <v>2270</v>
      </c>
      <c r="AX3" s="1672">
        <f>IF(AY4="N/A",0,INDEX(colRatesHT,MATCH(AY4,colchoice,0)))</f>
        <v>6.9103448275862072E-4</v>
      </c>
      <c r="AY3" s="255" t="s">
        <v>2281</v>
      </c>
      <c r="AZ3" s="521" t="s">
        <v>2242</v>
      </c>
      <c r="BA3" s="1641" t="s">
        <v>2145</v>
      </c>
      <c r="BB3" s="1641"/>
      <c r="BC3" s="443" t="s">
        <v>2147</v>
      </c>
      <c r="BD3" s="443" t="s">
        <v>2158</v>
      </c>
      <c r="BE3" s="443" t="s">
        <v>2361</v>
      </c>
      <c r="BF3" s="443" t="s">
        <v>2362</v>
      </c>
      <c r="BG3" s="443" t="s">
        <v>2147</v>
      </c>
      <c r="BH3" s="443" t="s">
        <v>2269</v>
      </c>
      <c r="BI3" s="443" t="s">
        <v>2270</v>
      </c>
      <c r="BJ3" s="1671">
        <f>IF(BK4="N/A",0,INDEX(colRatesHT,MATCH(BK4,colchoice,0)))</f>
        <v>1.7282758620689655E-3</v>
      </c>
      <c r="BK3" s="309" t="s">
        <v>2281</v>
      </c>
      <c r="BL3" s="521" t="s">
        <v>2242</v>
      </c>
      <c r="BM3" s="1641" t="s">
        <v>2145</v>
      </c>
      <c r="BN3" s="1641"/>
      <c r="BO3" s="443" t="s">
        <v>2147</v>
      </c>
      <c r="BP3" s="443" t="s">
        <v>2158</v>
      </c>
      <c r="BQ3" s="443" t="s">
        <v>2361</v>
      </c>
      <c r="BR3" s="443" t="s">
        <v>2362</v>
      </c>
      <c r="BS3" s="443" t="s">
        <v>2147</v>
      </c>
      <c r="BT3" s="443" t="s">
        <v>2269</v>
      </c>
      <c r="BU3" s="443" t="s">
        <v>2270</v>
      </c>
      <c r="BV3" s="1673">
        <f>IF(BW4="N/A",0,INDEX(colRatesHT,MATCH(BW4,colchoice,0)))</f>
        <v>8.5379310344827581E-4</v>
      </c>
      <c r="BW3" s="599" t="s">
        <v>2281</v>
      </c>
      <c r="BX3" s="521" t="s">
        <v>2242</v>
      </c>
      <c r="BY3" s="1640" t="s">
        <v>2145</v>
      </c>
      <c r="BZ3" s="1640"/>
      <c r="CA3" s="601" t="s">
        <v>2147</v>
      </c>
      <c r="CB3" s="601" t="s">
        <v>2158</v>
      </c>
      <c r="CC3" s="443" t="s">
        <v>2361</v>
      </c>
      <c r="CD3" s="443" t="s">
        <v>2362</v>
      </c>
      <c r="CE3" s="443" t="s">
        <v>2147</v>
      </c>
      <c r="CF3" s="443" t="s">
        <v>2269</v>
      </c>
      <c r="CG3" s="443" t="s">
        <v>2270</v>
      </c>
      <c r="CH3" s="1675">
        <f>IF(CI4="N/A",0,INDEX(colRatesHT,MATCH(CI4,colchoice,0)))</f>
        <v>2.0537931034482759E-3</v>
      </c>
      <c r="CI3" s="599" t="s">
        <v>2281</v>
      </c>
      <c r="CJ3" s="521" t="s">
        <v>2242</v>
      </c>
      <c r="CK3" s="1641" t="s">
        <v>2145</v>
      </c>
      <c r="CL3" s="1641"/>
      <c r="CM3" s="443" t="s">
        <v>2147</v>
      </c>
      <c r="CN3" s="443" t="s">
        <v>2158</v>
      </c>
      <c r="CO3" s="443" t="s">
        <v>2361</v>
      </c>
      <c r="CP3" s="443" t="s">
        <v>2362</v>
      </c>
      <c r="CQ3" s="443" t="s">
        <v>2147</v>
      </c>
      <c r="CR3" s="443" t="s">
        <v>2269</v>
      </c>
      <c r="CS3" s="443" t="s">
        <v>2270</v>
      </c>
      <c r="CT3" s="1676">
        <f>IF(CU4="N/A",0,INDEX(colRatesHT,MATCH(CU4,colchoice,0)))</f>
        <v>8.1144827586206898E-3</v>
      </c>
      <c r="CU3" s="599" t="s">
        <v>2281</v>
      </c>
      <c r="CV3" s="521" t="s">
        <v>2242</v>
      </c>
      <c r="CW3" s="1667" t="s">
        <v>2145</v>
      </c>
      <c r="CX3" s="1668"/>
      <c r="CY3" s="443" t="s">
        <v>2147</v>
      </c>
      <c r="CZ3" s="443" t="s">
        <v>2158</v>
      </c>
      <c r="DA3" s="443" t="s">
        <v>2361</v>
      </c>
      <c r="DB3" s="443" t="s">
        <v>2362</v>
      </c>
      <c r="DC3" s="443" t="s">
        <v>2147</v>
      </c>
      <c r="DD3" s="443" t="s">
        <v>2269</v>
      </c>
      <c r="DE3" s="443" t="s">
        <v>2270</v>
      </c>
      <c r="DF3" s="1649">
        <f>IF(DG4="N/A",0,INDEX(colRatesHT,MATCH(DG4,colchoice,0)))</f>
        <v>1.6216551724137933E-2</v>
      </c>
      <c r="DG3" s="255" t="s">
        <v>2281</v>
      </c>
      <c r="DH3" s="521" t="s">
        <v>2242</v>
      </c>
      <c r="DI3" s="1648" t="s">
        <v>2145</v>
      </c>
      <c r="DJ3" s="1648"/>
      <c r="DK3" s="443" t="s">
        <v>2147</v>
      </c>
      <c r="DL3" s="443" t="s">
        <v>2158</v>
      </c>
      <c r="DM3" s="443" t="s">
        <v>2361</v>
      </c>
      <c r="DN3" s="443" t="s">
        <v>2362</v>
      </c>
      <c r="DO3" s="443" t="s">
        <v>2147</v>
      </c>
      <c r="DP3" s="443" t="s">
        <v>2269</v>
      </c>
      <c r="DQ3" s="443" t="s">
        <v>2270</v>
      </c>
      <c r="DR3" s="524"/>
      <c r="DS3" s="715"/>
      <c r="DT3" s="715"/>
      <c r="DU3" s="112"/>
      <c r="DV3" s="112"/>
      <c r="DW3" s="112"/>
      <c r="DX3" s="715"/>
      <c r="DY3" s="718"/>
      <c r="DZ3" s="718"/>
      <c r="EA3" s="718"/>
      <c r="EB3" s="718"/>
      <c r="EC3" s="715"/>
      <c r="ED3" s="112"/>
      <c r="EE3" s="715"/>
      <c r="EF3" s="112"/>
      <c r="EG3" s="112"/>
      <c r="EH3" s="112"/>
      <c r="EI3" s="715"/>
      <c r="EJ3" s="718"/>
      <c r="EK3" s="718"/>
      <c r="EL3" s="718"/>
      <c r="EM3" s="718"/>
      <c r="EN3" s="1674">
        <f>IF(EO4="N/A",0,INDEX(colRatesHT,MATCH(EO4,colchoice,0)))</f>
        <v>0</v>
      </c>
      <c r="EO3" s="255" t="s">
        <v>2281</v>
      </c>
      <c r="EP3" s="1023" t="s">
        <v>2242</v>
      </c>
      <c r="EQ3" s="1023" t="s">
        <v>2158</v>
      </c>
      <c r="ER3" s="1023" t="s">
        <v>2361</v>
      </c>
      <c r="ES3" s="1023" t="s">
        <v>2362</v>
      </c>
      <c r="ET3" s="1023" t="s">
        <v>2585</v>
      </c>
      <c r="EU3" s="1023" t="s">
        <v>2269</v>
      </c>
      <c r="EV3" s="1023" t="s">
        <v>2270</v>
      </c>
      <c r="EW3" s="1674">
        <f>IF(EX4="N/A",0,INDEX(colRatesHT,MATCH(EX4,colchoice,0)))</f>
        <v>0</v>
      </c>
      <c r="EX3" s="255" t="s">
        <v>2281</v>
      </c>
      <c r="EY3" s="1023" t="s">
        <v>2242</v>
      </c>
      <c r="EZ3" s="1023" t="s">
        <v>2158</v>
      </c>
      <c r="FA3" s="1023" t="s">
        <v>2361</v>
      </c>
      <c r="FB3" s="1023" t="s">
        <v>2362</v>
      </c>
      <c r="FC3" s="1023" t="s">
        <v>2585</v>
      </c>
      <c r="FD3" s="1023" t="s">
        <v>2269</v>
      </c>
      <c r="FE3" s="1023" t="s">
        <v>2270</v>
      </c>
    </row>
    <row r="4" spans="1:161" ht="24.95" customHeight="1" thickBot="1">
      <c r="C4" s="226"/>
      <c r="D4" s="226"/>
      <c r="E4" s="226"/>
      <c r="F4" s="226"/>
      <c r="G4" s="226"/>
      <c r="J4" s="298"/>
      <c r="K4" s="298"/>
      <c r="L4" s="267"/>
      <c r="M4" s="267"/>
      <c r="N4" s="298"/>
      <c r="O4" s="267"/>
      <c r="P4" s="267"/>
      <c r="Q4" s="267"/>
      <c r="S4" s="267"/>
      <c r="T4" s="267"/>
      <c r="U4" s="267"/>
      <c r="V4" s="1659" t="s">
        <v>2584</v>
      </c>
      <c r="W4" s="1659"/>
      <c r="X4" s="1659"/>
      <c r="Y4" s="1375"/>
      <c r="Z4" s="794">
        <f ca="1">((AE13*TAXE)+(BC8+BO8+CA8+CM8+CY8+DK8))/P11</f>
        <v>6.8916481813887591</v>
      </c>
      <c r="AB4" s="1657" t="s">
        <v>2130</v>
      </c>
      <c r="AC4" s="1658"/>
      <c r="AD4" s="1165"/>
      <c r="AE4" s="1229">
        <f>IF(O3=0,Calcul!AL10,#REF!*Calcul!#REF!*1.04)</f>
        <v>64</v>
      </c>
      <c r="AF4" s="1663"/>
      <c r="AG4" s="445" t="str">
        <f>Admin!B62</f>
        <v>2016EURAIG Luxembourg-Healthcare PlanPerfect</v>
      </c>
      <c r="AH4" s="445" t="s">
        <v>2277</v>
      </c>
      <c r="AI4" s="712">
        <v>0</v>
      </c>
      <c r="AJ4" s="257" t="s">
        <v>2358</v>
      </c>
      <c r="AK4" s="713">
        <v>15.2</v>
      </c>
      <c r="AL4" s="747">
        <v>0</v>
      </c>
      <c r="AM4" s="261">
        <v>1</v>
      </c>
      <c r="AN4" s="261">
        <v>0</v>
      </c>
      <c r="AO4" s="1674"/>
      <c r="AP4" s="246" t="str">
        <f>Admin!B63</f>
        <v>2016EURAIG Luxembourg-Assistance and RepatriationPERFECT</v>
      </c>
      <c r="AQ4" s="527" t="s">
        <v>2277</v>
      </c>
      <c r="AR4" s="712">
        <f>AI4</f>
        <v>0</v>
      </c>
      <c r="AS4" s="257" t="s">
        <v>2236</v>
      </c>
      <c r="AT4" s="264">
        <v>0</v>
      </c>
      <c r="AU4" s="747">
        <f>AL4</f>
        <v>0</v>
      </c>
      <c r="AV4" s="261">
        <v>1</v>
      </c>
      <c r="AW4" s="261">
        <v>0</v>
      </c>
      <c r="AX4" s="1672"/>
      <c r="AY4" s="308" t="str">
        <f>Admin!B69</f>
        <v>2016EURAnker Verzekeringen n.v.-Death Accident</v>
      </c>
      <c r="AZ4" s="590" t="s">
        <v>2278</v>
      </c>
      <c r="BA4" s="1686">
        <v>100000</v>
      </c>
      <c r="BB4" s="1686"/>
      <c r="BC4" s="444">
        <v>3</v>
      </c>
      <c r="BD4" s="257">
        <v>0</v>
      </c>
      <c r="BE4" s="257" t="s">
        <v>2236</v>
      </c>
      <c r="BF4" s="264">
        <v>10</v>
      </c>
      <c r="BG4" s="261">
        <v>0</v>
      </c>
      <c r="BH4" s="261">
        <v>1</v>
      </c>
      <c r="BI4" s="261">
        <v>0</v>
      </c>
      <c r="BJ4" s="1672"/>
      <c r="BK4" s="246" t="str">
        <f>Admin!B70</f>
        <v>2016EURAnker Verzekeringen n.v.-Death illness</v>
      </c>
      <c r="BL4" s="590" t="s">
        <v>2278</v>
      </c>
      <c r="BM4" s="1686">
        <v>100000</v>
      </c>
      <c r="BN4" s="1686"/>
      <c r="BO4" s="597">
        <v>3</v>
      </c>
      <c r="BP4" s="598">
        <v>0</v>
      </c>
      <c r="BQ4" s="593" t="s">
        <v>2236</v>
      </c>
      <c r="BR4" s="594">
        <v>0</v>
      </c>
      <c r="BS4" s="595">
        <v>0</v>
      </c>
      <c r="BT4" s="596">
        <v>1</v>
      </c>
      <c r="BU4" s="596">
        <v>0</v>
      </c>
      <c r="BV4" s="1673"/>
      <c r="BW4" s="445" t="str">
        <f>Admin!B71</f>
        <v>2016EURAnker Verzekeringen n.v.-Permanent Disability Accident</v>
      </c>
      <c r="BX4" s="527" t="s">
        <v>2278</v>
      </c>
      <c r="BY4" s="1638">
        <v>100000</v>
      </c>
      <c r="BZ4" s="1639"/>
      <c r="CA4" s="592">
        <v>3</v>
      </c>
      <c r="CB4" s="593">
        <v>0</v>
      </c>
      <c r="CC4" s="593" t="s">
        <v>2236</v>
      </c>
      <c r="CD4" s="594">
        <v>0</v>
      </c>
      <c r="CE4" s="595">
        <v>0</v>
      </c>
      <c r="CF4" s="596">
        <v>1</v>
      </c>
      <c r="CG4" s="596">
        <v>0</v>
      </c>
      <c r="CH4" s="1673"/>
      <c r="CI4" s="445" t="str">
        <f>Admin!B72</f>
        <v>2016EURAnker Verzekeringen n.v.-Permanent Disability illness</v>
      </c>
      <c r="CJ4" s="527" t="s">
        <v>2278</v>
      </c>
      <c r="CK4" s="1642">
        <v>100000</v>
      </c>
      <c r="CL4" s="1642"/>
      <c r="CM4" s="444">
        <v>3</v>
      </c>
      <c r="CN4" s="257">
        <v>0</v>
      </c>
      <c r="CO4" s="257" t="s">
        <v>2236</v>
      </c>
      <c r="CP4" s="264">
        <v>0</v>
      </c>
      <c r="CQ4" s="508">
        <v>0</v>
      </c>
      <c r="CR4" s="261">
        <v>1</v>
      </c>
      <c r="CS4" s="508">
        <v>0</v>
      </c>
      <c r="CT4" s="1650"/>
      <c r="CU4" s="445" t="str">
        <f>Admin!B75</f>
        <v>2016EURAnker Verzekeringen n.v.-Temporary Disability Accident (100%/7/365D)</v>
      </c>
      <c r="CV4" s="516" t="s">
        <v>2278</v>
      </c>
      <c r="CW4" s="1669"/>
      <c r="CX4" s="1670"/>
      <c r="CY4" s="600">
        <v>1</v>
      </c>
      <c r="CZ4" s="257">
        <v>0</v>
      </c>
      <c r="DA4" s="257" t="s">
        <v>2236</v>
      </c>
      <c r="DB4" s="538">
        <v>0</v>
      </c>
      <c r="DC4" s="261">
        <v>0.1</v>
      </c>
      <c r="DD4" s="261">
        <v>1</v>
      </c>
      <c r="DE4" s="261">
        <v>0</v>
      </c>
      <c r="DF4" s="1650"/>
      <c r="DG4" s="246" t="str">
        <f>Admin!B76</f>
        <v>2016EURAnker Verzekeringen n.v.-Temporary Disability illness (100%/7/365D)</v>
      </c>
      <c r="DH4" s="516" t="s">
        <v>2278</v>
      </c>
      <c r="DI4" s="1648"/>
      <c r="DJ4" s="1648"/>
      <c r="DK4" s="600">
        <v>1</v>
      </c>
      <c r="DL4" s="257">
        <v>0</v>
      </c>
      <c r="DM4" s="537" t="s">
        <v>2236</v>
      </c>
      <c r="DN4" s="538">
        <v>0</v>
      </c>
      <c r="DO4" s="261">
        <v>0.1</v>
      </c>
      <c r="DP4" s="261">
        <v>1</v>
      </c>
      <c r="DQ4" s="261">
        <v>0</v>
      </c>
      <c r="DR4" s="524"/>
      <c r="DS4" s="715"/>
      <c r="DT4" s="715"/>
      <c r="DU4" s="112"/>
      <c r="DV4" s="112"/>
      <c r="DW4" s="112"/>
      <c r="DX4" s="715"/>
      <c r="DY4" s="112"/>
      <c r="DZ4" s="715"/>
      <c r="EA4" s="715"/>
      <c r="EB4" s="715"/>
      <c r="EC4" s="715"/>
      <c r="ED4" s="112"/>
      <c r="EE4" s="715"/>
      <c r="EF4" s="112"/>
      <c r="EG4" s="112"/>
      <c r="EH4" s="112"/>
      <c r="EI4" s="715"/>
      <c r="EJ4" s="718"/>
      <c r="EK4" s="718"/>
      <c r="EL4" s="718"/>
      <c r="EM4" s="718"/>
      <c r="EN4" s="1674"/>
      <c r="EO4" s="1012" t="s">
        <v>2236</v>
      </c>
      <c r="EP4" s="1012" t="s">
        <v>2277</v>
      </c>
      <c r="EQ4" s="712">
        <f>EH4</f>
        <v>0</v>
      </c>
      <c r="ER4" s="257" t="s">
        <v>2236</v>
      </c>
      <c r="ES4" s="264">
        <v>0</v>
      </c>
      <c r="ET4" s="747">
        <f>AL4</f>
        <v>0</v>
      </c>
      <c r="EU4" s="1013">
        <v>1</v>
      </c>
      <c r="EV4" s="1013">
        <v>0</v>
      </c>
      <c r="EW4" s="1674"/>
      <c r="EX4" s="1012" t="s">
        <v>2236</v>
      </c>
      <c r="EY4" s="1012" t="s">
        <v>2277</v>
      </c>
      <c r="EZ4" s="712">
        <f>EQ4</f>
        <v>0</v>
      </c>
      <c r="FA4" s="257" t="s">
        <v>2236</v>
      </c>
      <c r="FB4" s="264">
        <v>0</v>
      </c>
      <c r="FC4" s="747">
        <f>ET4</f>
        <v>0</v>
      </c>
      <c r="FD4" s="1013">
        <v>1</v>
      </c>
      <c r="FE4" s="1013">
        <v>0</v>
      </c>
    </row>
    <row r="5" spans="1:161" ht="39" customHeight="1">
      <c r="C5" s="226"/>
      <c r="D5" s="226"/>
      <c r="E5" s="226"/>
      <c r="F5" s="226"/>
      <c r="G5" s="354"/>
      <c r="H5" s="355"/>
      <c r="I5" s="355"/>
      <c r="J5" s="298"/>
      <c r="K5" s="298"/>
      <c r="L5" s="267"/>
      <c r="M5" s="267"/>
      <c r="N5" s="298"/>
      <c r="O5" s="267"/>
      <c r="P5" s="267"/>
      <c r="Q5" s="267"/>
      <c r="R5" s="355"/>
      <c r="S5" s="267"/>
      <c r="T5" s="267"/>
      <c r="V5" s="1659"/>
      <c r="W5" s="1659"/>
      <c r="X5" s="1659"/>
      <c r="Y5" s="1375"/>
      <c r="Z5" s="370"/>
      <c r="AB5" s="1657" t="s">
        <v>2133</v>
      </c>
      <c r="AC5" s="1658"/>
      <c r="AD5" s="1165"/>
      <c r="AE5" s="1230">
        <v>0</v>
      </c>
      <c r="AF5" s="1226">
        <f>IF(AG5="N/A",0,INDEX(colRatesHT,MATCH(AG5,colchoice,0)))</f>
        <v>0</v>
      </c>
      <c r="AG5" s="445" t="str">
        <f>Admin!B87</f>
        <v>N/A</v>
      </c>
      <c r="AH5" s="445" t="s">
        <v>2277</v>
      </c>
      <c r="AI5" s="712">
        <v>0</v>
      </c>
      <c r="AJ5" s="1324" t="s">
        <v>2236</v>
      </c>
      <c r="AK5" s="1329">
        <v>0</v>
      </c>
      <c r="AL5" s="747">
        <v>0</v>
      </c>
      <c r="AM5" s="430"/>
      <c r="AN5" s="430"/>
      <c r="AO5" s="1226">
        <f>IF(AP5="N/A",0,INDEX(colRatesHT,MATCH(AP5,colchoice,0)))</f>
        <v>0</v>
      </c>
      <c r="AP5" s="1012" t="str">
        <f>Admin!B88</f>
        <v>N/A</v>
      </c>
      <c r="AQ5" s="720" t="s">
        <v>2277</v>
      </c>
      <c r="AR5" s="712">
        <v>0</v>
      </c>
      <c r="AS5" s="257" t="s">
        <v>2236</v>
      </c>
      <c r="AT5" s="264">
        <v>0</v>
      </c>
      <c r="AU5" s="747">
        <f>AL5</f>
        <v>0</v>
      </c>
      <c r="AV5" s="430"/>
      <c r="AW5" s="430"/>
      <c r="AY5" s="591" t="s">
        <v>2412</v>
      </c>
      <c r="AZ5" s="446"/>
      <c r="BA5" s="1643">
        <f ca="1">masse_salariale*BC4</f>
        <v>360000</v>
      </c>
      <c r="BB5" s="1643"/>
      <c r="BC5" s="1647">
        <f>Calcul!AW10</f>
        <v>248.77241379310345</v>
      </c>
      <c r="BD5" s="1647"/>
      <c r="BE5" s="446"/>
      <c r="BF5" s="446"/>
      <c r="BG5" s="446"/>
      <c r="BH5" s="446"/>
      <c r="BI5" s="446"/>
      <c r="BJ5" s="262"/>
      <c r="BK5" s="591" t="s">
        <v>2412</v>
      </c>
      <c r="BL5" s="446"/>
      <c r="BM5" s="1643">
        <f ca="1">masse_salariale*BO4</f>
        <v>360000</v>
      </c>
      <c r="BN5" s="1643"/>
      <c r="BO5" s="1647">
        <f>Calcul!AX10</f>
        <v>622.17931034482763</v>
      </c>
      <c r="BP5" s="1647"/>
      <c r="BQ5" s="526"/>
      <c r="BR5" s="178"/>
      <c r="BS5" s="526"/>
      <c r="BT5" s="178"/>
      <c r="BU5" s="178"/>
      <c r="BV5" s="430"/>
      <c r="BW5" s="591" t="s">
        <v>2412</v>
      </c>
      <c r="BX5" s="446"/>
      <c r="BY5" s="1643">
        <f ca="1">masse_salariale*CA4</f>
        <v>360000</v>
      </c>
      <c r="BZ5" s="1643"/>
      <c r="CA5" s="1647">
        <f>Calcul!AY10</f>
        <v>307.36551724137928</v>
      </c>
      <c r="CB5" s="1647"/>
      <c r="CF5" s="441"/>
      <c r="CG5" s="441"/>
      <c r="CI5" s="591" t="s">
        <v>2412</v>
      </c>
      <c r="CJ5" s="446"/>
      <c r="CK5" s="1643">
        <f ca="1">masse_salariale*CM4</f>
        <v>360000</v>
      </c>
      <c r="CL5" s="1643"/>
      <c r="CM5" s="1647">
        <f>Calcul!AZ10</f>
        <v>739.36551724137939</v>
      </c>
      <c r="CN5" s="1647"/>
      <c r="CR5" s="441"/>
      <c r="CS5" s="441"/>
      <c r="CU5" s="591" t="s">
        <v>2412</v>
      </c>
      <c r="CV5" s="446"/>
      <c r="CW5" s="1643">
        <f ca="1">masse_salariale*CY4</f>
        <v>120000</v>
      </c>
      <c r="CX5" s="1643"/>
      <c r="CY5" s="1647">
        <f>Calcul!BA10</f>
        <v>973.7379310344827</v>
      </c>
      <c r="CZ5" s="1647"/>
      <c r="DD5" s="441"/>
      <c r="DE5" s="441"/>
      <c r="DG5" s="591" t="s">
        <v>2412</v>
      </c>
      <c r="DH5" s="446"/>
      <c r="DI5" s="1643">
        <f ca="1">masse_salariale*DK4</f>
        <v>120000</v>
      </c>
      <c r="DJ5" s="1643"/>
      <c r="DK5" s="1647">
        <f>Calcul!BB10</f>
        <v>1945.9862068965519</v>
      </c>
      <c r="DL5" s="1647"/>
      <c r="DP5" s="441"/>
      <c r="DQ5" s="441"/>
      <c r="DR5" s="184"/>
      <c r="DS5" s="715"/>
      <c r="DT5" s="715"/>
      <c r="DU5" s="112"/>
      <c r="DV5" s="112"/>
      <c r="DW5" s="112"/>
      <c r="DX5" s="715"/>
      <c r="DY5" s="112"/>
      <c r="DZ5" s="715"/>
      <c r="EA5" s="715"/>
      <c r="EB5" s="715"/>
      <c r="EC5" s="715"/>
      <c r="ED5" s="112"/>
      <c r="EE5" s="715"/>
      <c r="EF5" s="112"/>
      <c r="EG5" s="112"/>
      <c r="EH5" s="112"/>
      <c r="EI5" s="715"/>
      <c r="EJ5" s="718"/>
      <c r="EK5" s="718"/>
      <c r="EL5" s="718"/>
      <c r="EM5" s="718"/>
      <c r="EN5" s="751">
        <f>IF(EO5="N/A",0,INDEX(colRatesHT,MATCH(EO5,colchoice,0)))</f>
        <v>0</v>
      </c>
      <c r="EO5" s="1012" t="s">
        <v>2236</v>
      </c>
      <c r="EP5" s="1012" t="s">
        <v>2277</v>
      </c>
      <c r="EQ5" s="712">
        <v>0</v>
      </c>
      <c r="ER5" s="257" t="s">
        <v>2236</v>
      </c>
      <c r="ES5" s="264">
        <v>0</v>
      </c>
      <c r="ET5" s="747">
        <f>AL5</f>
        <v>0</v>
      </c>
      <c r="EU5" s="913"/>
      <c r="EV5" s="913"/>
      <c r="EW5" s="751">
        <f>IF(EX5="N/A",0,INDEX(colRatesHT,MATCH(EX5,colchoice,0)))</f>
        <v>0</v>
      </c>
      <c r="EX5" s="1012" t="s">
        <v>2236</v>
      </c>
      <c r="EY5" s="1012" t="s">
        <v>2277</v>
      </c>
      <c r="EZ5" s="712">
        <v>0</v>
      </c>
      <c r="FA5" s="257" t="s">
        <v>2236</v>
      </c>
      <c r="FB5" s="264">
        <v>0</v>
      </c>
      <c r="FC5" s="747">
        <f>ET5</f>
        <v>0</v>
      </c>
      <c r="FD5" s="913"/>
      <c r="FE5" s="913"/>
    </row>
    <row r="6" spans="1:161" ht="20.100000000000001" customHeight="1" thickBot="1">
      <c r="C6" s="226"/>
      <c r="D6" s="226"/>
      <c r="E6" s="226"/>
      <c r="F6" s="226"/>
      <c r="G6" s="354"/>
      <c r="V6" s="1659" t="s">
        <v>2233</v>
      </c>
      <c r="W6" s="1659"/>
      <c r="X6" s="1659"/>
      <c r="Y6" s="1375"/>
      <c r="Z6" s="371">
        <f ca="1">Z3*TAXE</f>
        <v>5030.903172413794</v>
      </c>
      <c r="AB6" s="1657" t="s">
        <v>2134</v>
      </c>
      <c r="AC6" s="1658"/>
      <c r="AD6" s="1165"/>
      <c r="AE6" s="1227">
        <f>AE4+AE5</f>
        <v>64</v>
      </c>
      <c r="AF6" s="1225"/>
      <c r="AG6" s="591"/>
      <c r="AH6" s="1641" t="s">
        <v>27</v>
      </c>
      <c r="AI6" s="1641"/>
      <c r="AJ6" s="748">
        <f>(AF3*(1-AI4))/12*AL4</f>
        <v>0</v>
      </c>
      <c r="AK6" s="749">
        <f>(AF5*(1-AI5))/12*AL5</f>
        <v>0</v>
      </c>
      <c r="AL6" s="749">
        <f>AJ6+AK6</f>
        <v>0</v>
      </c>
      <c r="AM6" s="715"/>
      <c r="AN6" s="430"/>
      <c r="AO6" s="1225"/>
      <c r="AQ6" s="1641" t="s">
        <v>27</v>
      </c>
      <c r="AR6" s="1641"/>
      <c r="AS6" s="748">
        <f>(AO3*(1-AR4))/12*AU4</f>
        <v>0</v>
      </c>
      <c r="AT6" s="749">
        <f>(AO5*(1-AR5))/12*AU5</f>
        <v>0</v>
      </c>
      <c r="AU6" s="749">
        <f>AS6+AT6</f>
        <v>0</v>
      </c>
      <c r="AV6" s="430"/>
      <c r="AW6" s="430"/>
      <c r="AY6" s="591" t="s">
        <v>2411</v>
      </c>
      <c r="AZ6" s="446"/>
      <c r="BA6" s="1636">
        <v>0</v>
      </c>
      <c r="BB6" s="1636"/>
      <c r="BC6" s="1647">
        <f>AX3*BA6</f>
        <v>0</v>
      </c>
      <c r="BD6" s="1647"/>
      <c r="BE6" s="446"/>
      <c r="BF6" s="999" t="s">
        <v>2684</v>
      </c>
      <c r="BG6" s="446"/>
      <c r="BH6" s="446"/>
      <c r="BI6" s="446"/>
      <c r="BJ6" s="262"/>
      <c r="BK6" s="591" t="s">
        <v>2411</v>
      </c>
      <c r="BL6" s="446"/>
      <c r="BM6" s="1636">
        <f>BA6</f>
        <v>0</v>
      </c>
      <c r="BN6" s="1636"/>
      <c r="BO6" s="1647">
        <f>IF(BJ3="","",BJ3*BM6)</f>
        <v>0</v>
      </c>
      <c r="BP6" s="1647"/>
      <c r="BQ6" s="526"/>
      <c r="BR6" s="999" t="s">
        <v>2684</v>
      </c>
      <c r="BS6" s="526"/>
      <c r="BT6" s="178"/>
      <c r="BU6" s="178"/>
      <c r="BV6" s="312"/>
      <c r="BW6" s="591" t="s">
        <v>2411</v>
      </c>
      <c r="BX6" s="446"/>
      <c r="BY6" s="1636">
        <f>BM6</f>
        <v>0</v>
      </c>
      <c r="BZ6" s="1636"/>
      <c r="CA6" s="1647">
        <f>IF(BV3="","",BV3*BY6)</f>
        <v>0</v>
      </c>
      <c r="CB6" s="1647"/>
      <c r="CD6" s="999" t="s">
        <v>2684</v>
      </c>
      <c r="CF6" s="441"/>
      <c r="CG6" s="441"/>
      <c r="CI6" s="591" t="s">
        <v>2411</v>
      </c>
      <c r="CJ6" s="446"/>
      <c r="CK6" s="1636">
        <f>BY6</f>
        <v>0</v>
      </c>
      <c r="CL6" s="1636"/>
      <c r="CM6" s="1647">
        <f>IF(CH3="","",CH3*CK6)</f>
        <v>0</v>
      </c>
      <c r="CN6" s="1647"/>
      <c r="CP6" s="999" t="s">
        <v>2684</v>
      </c>
      <c r="CR6" s="441"/>
      <c r="CS6" s="441"/>
      <c r="CU6" s="591" t="s">
        <v>2411</v>
      </c>
      <c r="CV6" s="446"/>
      <c r="CW6" s="1636">
        <v>0</v>
      </c>
      <c r="CX6" s="1636"/>
      <c r="CY6" s="1647">
        <f>IF(CT3="","",CT3*CW6)</f>
        <v>0</v>
      </c>
      <c r="CZ6" s="1647"/>
      <c r="DB6" s="999" t="s">
        <v>2684</v>
      </c>
      <c r="DD6" s="441"/>
      <c r="DE6" s="441"/>
      <c r="DF6" s="706">
        <f>DF3+CT3</f>
        <v>2.4331034482758623E-2</v>
      </c>
      <c r="DG6" s="591" t="s">
        <v>2411</v>
      </c>
      <c r="DH6" s="446"/>
      <c r="DI6" s="1636">
        <f>CW6</f>
        <v>0</v>
      </c>
      <c r="DJ6" s="1636"/>
      <c r="DK6" s="1647">
        <f>IF(DF3="","",DF3*DI6)</f>
        <v>0</v>
      </c>
      <c r="DL6" s="1647"/>
      <c r="DN6" s="999" t="s">
        <v>2684</v>
      </c>
      <c r="DP6" s="441"/>
      <c r="DQ6" s="441"/>
      <c r="DR6" s="184"/>
      <c r="DS6" s="715"/>
      <c r="DT6" s="715"/>
      <c r="DU6" s="112"/>
      <c r="DV6" s="112"/>
      <c r="DW6" s="112"/>
      <c r="DX6" s="715"/>
      <c r="DY6" s="112"/>
      <c r="DZ6" s="715"/>
      <c r="EA6" s="715"/>
      <c r="EB6" s="715"/>
      <c r="EC6" s="715"/>
      <c r="ED6" s="112"/>
      <c r="EE6" s="715"/>
      <c r="EF6" s="112"/>
      <c r="EG6" s="112"/>
      <c r="EH6" s="112"/>
      <c r="EI6" s="715"/>
      <c r="EJ6" s="718"/>
      <c r="EK6" s="718"/>
      <c r="EL6" s="718"/>
      <c r="EM6" s="718"/>
      <c r="EN6" s="750"/>
      <c r="EP6" s="1641" t="s">
        <v>27</v>
      </c>
      <c r="EQ6" s="1641"/>
      <c r="ER6" s="748">
        <f>(EN3*(1-EQ4))/12*ET4</f>
        <v>0</v>
      </c>
      <c r="ES6" s="749">
        <f>(EN5*(1-EQ5))/12*ET5</f>
        <v>0</v>
      </c>
      <c r="ET6" s="749">
        <f>ER6+ES6</f>
        <v>0</v>
      </c>
      <c r="EU6" s="913"/>
      <c r="EV6" s="913"/>
      <c r="EW6" s="750"/>
      <c r="EY6" s="1641" t="s">
        <v>27</v>
      </c>
      <c r="EZ6" s="1641"/>
      <c r="FA6" s="748">
        <f>(EW3*(1-EZ4))/12*FC4</f>
        <v>0</v>
      </c>
      <c r="FB6" s="749">
        <f>(EW5*(1-EZ5))/12*FC5</f>
        <v>0</v>
      </c>
      <c r="FC6" s="749">
        <f>FA6+FB6</f>
        <v>0</v>
      </c>
      <c r="FD6" s="913"/>
      <c r="FE6" s="913"/>
    </row>
    <row r="7" spans="1:161" ht="20.100000000000001" customHeight="1">
      <c r="C7" s="226"/>
      <c r="D7" s="226"/>
      <c r="E7" s="226"/>
      <c r="F7" s="226"/>
      <c r="G7" s="354"/>
      <c r="V7" s="178"/>
      <c r="W7" s="178"/>
      <c r="X7" s="178"/>
      <c r="Y7" s="526"/>
      <c r="Z7" s="178"/>
      <c r="AA7" s="178"/>
      <c r="AB7" s="178"/>
      <c r="AC7" s="178"/>
      <c r="AD7" s="526"/>
      <c r="AE7" s="178"/>
      <c r="AF7" s="711"/>
      <c r="AG7" s="591" t="s">
        <v>2565</v>
      </c>
      <c r="AH7" s="1641" t="s">
        <v>58</v>
      </c>
      <c r="AI7" s="1641"/>
      <c r="AJ7" s="748">
        <f>AJ6*TAXE</f>
        <v>0</v>
      </c>
      <c r="AK7" s="748">
        <f>AK6*TAXE</f>
        <v>0</v>
      </c>
      <c r="AL7" s="749">
        <f>AJ7+AK7</f>
        <v>0</v>
      </c>
      <c r="AM7" s="715"/>
      <c r="AQ7" s="1641" t="s">
        <v>58</v>
      </c>
      <c r="AR7" s="1641"/>
      <c r="AS7" s="748">
        <f>AS6*TAXE</f>
        <v>0</v>
      </c>
      <c r="AT7" s="748">
        <f>AT6*TAXE</f>
        <v>0</v>
      </c>
      <c r="AU7" s="749">
        <f>AS7+AT7</f>
        <v>0</v>
      </c>
      <c r="AY7" s="591" t="s">
        <v>2283</v>
      </c>
      <c r="AZ7" s="446"/>
      <c r="BA7" s="1643">
        <f ca="1">IF(BA6=0,masse_salariale*BC4,IF(masse_salariale*BC4&lt;BA6,masse_salariale*BC4,BA6))</f>
        <v>360000</v>
      </c>
      <c r="BB7" s="1643"/>
      <c r="BC7" s="1637">
        <f ca="1">AX3*BA7/365*BF7</f>
        <v>248.77241379310345</v>
      </c>
      <c r="BD7" s="1637"/>
      <c r="BF7" s="1000">
        <v>365</v>
      </c>
      <c r="BK7" s="591" t="s">
        <v>2283</v>
      </c>
      <c r="BL7" s="446"/>
      <c r="BM7" s="1643">
        <f ca="1">IF(BM6=0,masse_salariale*BO4,IF(masse_salariale*BO4&lt;BM6,masse_salariale*BO4,BM6))</f>
        <v>360000</v>
      </c>
      <c r="BN7" s="1643"/>
      <c r="BO7" s="1637">
        <f ca="1">IF(BJ3="","",BJ3*BM7/365*BR7)</f>
        <v>622.17931034482763</v>
      </c>
      <c r="BP7" s="1637"/>
      <c r="BR7" s="1000">
        <f>BF7</f>
        <v>365</v>
      </c>
      <c r="BW7" s="591" t="s">
        <v>2283</v>
      </c>
      <c r="BX7" s="446"/>
      <c r="BY7" s="1643">
        <f ca="1">IF(BY6=0,masse_salariale*CA4,IF(masse_salariale*CA4&lt;BY6,masse_salariale*CA4,BY6))</f>
        <v>360000</v>
      </c>
      <c r="BZ7" s="1643"/>
      <c r="CA7" s="1637">
        <f ca="1">IF(BV3="","",BV3*BY7/365*CD7)</f>
        <v>307.36551724137928</v>
      </c>
      <c r="CB7" s="1637"/>
      <c r="CD7" s="1000">
        <f>BF7</f>
        <v>365</v>
      </c>
      <c r="CI7" s="591" t="s">
        <v>2283</v>
      </c>
      <c r="CJ7" s="446"/>
      <c r="CK7" s="1643">
        <f ca="1">IF(CK6=0,masse_salariale*CM4,IF(masse_salariale*CM4&lt;CK6,masse_salariale*CM4,CK6))</f>
        <v>360000</v>
      </c>
      <c r="CL7" s="1643"/>
      <c r="CM7" s="1637">
        <f ca="1">IF(CH3="","",CH3*CK7/365*CP7)</f>
        <v>739.36551724137917</v>
      </c>
      <c r="CN7" s="1637"/>
      <c r="CP7" s="1000">
        <f>BF7</f>
        <v>365</v>
      </c>
      <c r="CU7" s="591" t="s">
        <v>2283</v>
      </c>
      <c r="CV7" s="446"/>
      <c r="CW7" s="1643">
        <f ca="1">IF(CW6=0,masse_salariale*CY4,IF(masse_salariale*CY4&lt;CW6,masse_salariale*CY4,CW6))</f>
        <v>120000</v>
      </c>
      <c r="CX7" s="1643"/>
      <c r="CY7" s="1637">
        <f ca="1">IF(CT3="","",CT3*CW7/365*DB7)</f>
        <v>973.73793103448281</v>
      </c>
      <c r="CZ7" s="1637"/>
      <c r="DB7" s="1000">
        <f>BF7</f>
        <v>365</v>
      </c>
      <c r="DG7" s="591" t="s">
        <v>2283</v>
      </c>
      <c r="DH7" s="446"/>
      <c r="DI7" s="1643">
        <f ca="1">IF(DI6=0,masse_salariale*DK4,IF(masse_salariale*DK4&lt;DI6,masse_salariale*DK4,DI6))</f>
        <v>120000</v>
      </c>
      <c r="DJ7" s="1643"/>
      <c r="DK7" s="1637">
        <f ca="1">IF(DF3="","",DF3*DI7/365*DN7)</f>
        <v>1945.9862068965519</v>
      </c>
      <c r="DL7" s="1637"/>
      <c r="DN7" s="1000">
        <f>BF7</f>
        <v>365</v>
      </c>
      <c r="DR7" s="184"/>
      <c r="DS7" s="715"/>
      <c r="DT7" s="715"/>
      <c r="DU7" s="112"/>
      <c r="DV7" s="112"/>
      <c r="DW7" s="112"/>
      <c r="DX7" s="715"/>
      <c r="DY7" s="112"/>
      <c r="DZ7" s="715"/>
      <c r="EA7" s="715"/>
      <c r="EB7" s="715"/>
      <c r="EC7" s="715"/>
      <c r="ED7" s="112"/>
      <c r="EE7" s="715"/>
      <c r="EF7" s="112"/>
      <c r="EG7" s="112"/>
      <c r="EH7" s="112"/>
      <c r="EI7" s="715"/>
      <c r="EJ7" s="718"/>
      <c r="EK7" s="718"/>
      <c r="EL7" s="718"/>
      <c r="EM7" s="718"/>
      <c r="EP7" s="1641" t="s">
        <v>58</v>
      </c>
      <c r="EQ7" s="1641"/>
      <c r="ER7" s="748">
        <f>ER6*TAXE</f>
        <v>0</v>
      </c>
      <c r="ES7" s="748">
        <f>ES6*TAXE</f>
        <v>0</v>
      </c>
      <c r="ET7" s="749">
        <f>ER7+ES7</f>
        <v>0</v>
      </c>
      <c r="EY7" s="1641" t="s">
        <v>58</v>
      </c>
      <c r="EZ7" s="1641"/>
      <c r="FA7" s="748">
        <f>FA6*1.04</f>
        <v>0</v>
      </c>
      <c r="FB7" s="748">
        <f>FB6*1.04</f>
        <v>0</v>
      </c>
      <c r="FC7" s="749">
        <f>FA7+FB7</f>
        <v>0</v>
      </c>
    </row>
    <row r="8" spans="1:161" ht="30" customHeight="1" thickBot="1">
      <c r="C8" s="226"/>
      <c r="D8" s="226"/>
      <c r="E8" s="226"/>
      <c r="F8" s="226"/>
      <c r="G8" s="354"/>
      <c r="H8" s="355"/>
      <c r="I8" s="355"/>
      <c r="N8" s="376"/>
      <c r="O8" s="376"/>
      <c r="P8" s="376"/>
      <c r="Q8" s="376"/>
      <c r="S8" s="376"/>
      <c r="T8" s="376"/>
      <c r="U8" s="377"/>
      <c r="V8" s="1708" t="str">
        <f>YACHTNAME</f>
        <v xml:space="preserve">HUTIANE            </v>
      </c>
      <c r="W8" s="1708"/>
      <c r="X8" s="1708"/>
      <c r="Y8" s="1709"/>
      <c r="Z8" s="1708"/>
      <c r="AA8" s="1708"/>
      <c r="AB8" s="1708"/>
      <c r="AC8" s="1708"/>
      <c r="AD8" s="1710"/>
      <c r="AE8" s="1708"/>
      <c r="AH8" s="1641" t="s">
        <v>2361</v>
      </c>
      <c r="AI8" s="1641"/>
      <c r="AJ8" s="748">
        <f>IF(AJ4="N/A",0,AK4/12*AL4)</f>
        <v>0</v>
      </c>
      <c r="AK8" s="749">
        <f>IF(AJ5="N/A",0,AK5/12*AL5)</f>
        <v>0</v>
      </c>
      <c r="AL8" s="749">
        <f t="shared" ref="AL8:AL9" si="0">AJ8+AK8</f>
        <v>0</v>
      </c>
      <c r="AM8" s="715"/>
      <c r="AQ8" s="1641" t="s">
        <v>2361</v>
      </c>
      <c r="AR8" s="1641"/>
      <c r="AS8" s="748">
        <f>AT4/12*AU4</f>
        <v>0</v>
      </c>
      <c r="AT8" s="749">
        <f>AT5/12*AU5</f>
        <v>0</v>
      </c>
      <c r="AU8" s="749">
        <f t="shared" ref="AU8:AU9" si="1">AS8+AT8</f>
        <v>0</v>
      </c>
      <c r="AY8" s="707" t="s">
        <v>2566</v>
      </c>
      <c r="BA8" s="1682"/>
      <c r="BB8" s="1682"/>
      <c r="BC8" s="1698">
        <f>Calcul!HP13</f>
        <v>0</v>
      </c>
      <c r="BD8" s="1699"/>
      <c r="BK8" s="707" t="s">
        <v>2566</v>
      </c>
      <c r="BL8" s="714"/>
      <c r="BM8" s="1682"/>
      <c r="BN8" s="1682"/>
      <c r="BO8" s="1687">
        <f>Calcul!JP13</f>
        <v>0</v>
      </c>
      <c r="BP8" s="1682"/>
      <c r="BW8" s="707" t="s">
        <v>2566</v>
      </c>
      <c r="BX8" s="714"/>
      <c r="BY8" s="1682"/>
      <c r="BZ8" s="1682"/>
      <c r="CA8" s="1687">
        <f>Calcul!LP13</f>
        <v>0</v>
      </c>
      <c r="CB8" s="1682"/>
      <c r="CI8" s="707" t="s">
        <v>2566</v>
      </c>
      <c r="CJ8" s="714"/>
      <c r="CK8" s="1682"/>
      <c r="CL8" s="1682"/>
      <c r="CM8" s="1687">
        <f>Calcul!NP13</f>
        <v>0</v>
      </c>
      <c r="CN8" s="1682"/>
      <c r="CU8" s="707" t="s">
        <v>2566</v>
      </c>
      <c r="CV8" s="714"/>
      <c r="CW8" s="1682"/>
      <c r="CX8" s="1682"/>
      <c r="CY8" s="1687">
        <f>IF(DA4="N/A",0,(CW7*CT3*1.04)*DC4)</f>
        <v>0</v>
      </c>
      <c r="CZ8" s="1682"/>
      <c r="DG8" s="707" t="s">
        <v>2566</v>
      </c>
      <c r="DH8" s="714"/>
      <c r="DI8" s="1682"/>
      <c r="DJ8" s="1682"/>
      <c r="DK8" s="1687">
        <f>IF(DM4="N/A",0,(DI7*DF3*1.04)*DO4)</f>
        <v>0</v>
      </c>
      <c r="DL8" s="1682"/>
      <c r="DR8" s="184"/>
      <c r="DS8" s="715"/>
      <c r="DT8" s="715"/>
      <c r="DU8" s="112"/>
      <c r="DV8" s="112"/>
      <c r="DW8" s="112"/>
      <c r="DX8" s="715"/>
      <c r="DY8" s="112"/>
      <c r="DZ8" s="715"/>
      <c r="EA8" s="715"/>
      <c r="EB8" s="715"/>
      <c r="EC8" s="715"/>
      <c r="ED8" s="112"/>
      <c r="EE8" s="715"/>
      <c r="EF8" s="112"/>
      <c r="EG8" s="112"/>
      <c r="EH8" s="112"/>
      <c r="EI8" s="715"/>
      <c r="EJ8" s="718"/>
      <c r="EK8" s="718"/>
      <c r="EL8" s="718"/>
      <c r="EM8" s="718"/>
      <c r="EP8" s="1641" t="s">
        <v>2361</v>
      </c>
      <c r="EQ8" s="1641"/>
      <c r="ER8" s="748">
        <f>ES4/12*ET4</f>
        <v>0</v>
      </c>
      <c r="ES8" s="749">
        <f>ES5/12*ET5</f>
        <v>0</v>
      </c>
      <c r="ET8" s="749">
        <f t="shared" ref="ET8:ET9" si="2">ER8+ES8</f>
        <v>0</v>
      </c>
      <c r="EY8" s="1641" t="s">
        <v>2361</v>
      </c>
      <c r="EZ8" s="1641"/>
      <c r="FA8" s="748">
        <f>FB4/12*FC4</f>
        <v>0</v>
      </c>
      <c r="FB8" s="749">
        <f>FB5/12*FC5</f>
        <v>0</v>
      </c>
      <c r="FC8" s="749">
        <f t="shared" ref="FC8:FC9" si="3">FA8+FB8</f>
        <v>0</v>
      </c>
    </row>
    <row r="9" spans="1:161" ht="20.100000000000001" customHeight="1">
      <c r="B9" s="1711" t="s">
        <v>2136</v>
      </c>
      <c r="C9" s="226"/>
      <c r="D9" s="226"/>
      <c r="E9" s="226"/>
      <c r="F9" s="226"/>
      <c r="G9" s="1654" t="s">
        <v>1987</v>
      </c>
      <c r="H9" s="1654" t="s">
        <v>97</v>
      </c>
      <c r="I9" s="1654" t="s">
        <v>1753</v>
      </c>
      <c r="J9" s="1653" t="s">
        <v>2230</v>
      </c>
      <c r="K9" s="1653" t="s">
        <v>2230</v>
      </c>
      <c r="L9" s="1653" t="s">
        <v>2000</v>
      </c>
      <c r="M9" s="1653" t="s">
        <v>2001</v>
      </c>
      <c r="N9" s="1653" t="s">
        <v>2230</v>
      </c>
      <c r="O9" s="1651" t="s">
        <v>2231</v>
      </c>
      <c r="P9" s="1653" t="s">
        <v>2137</v>
      </c>
      <c r="Q9" s="1653" t="s">
        <v>2138</v>
      </c>
      <c r="R9" s="1723" t="s">
        <v>1997</v>
      </c>
      <c r="S9" s="1653" t="s">
        <v>2609</v>
      </c>
      <c r="T9" s="1653" t="s">
        <v>2140</v>
      </c>
      <c r="U9" s="1711" t="s">
        <v>2229</v>
      </c>
      <c r="V9" s="1690" t="s">
        <v>2143</v>
      </c>
      <c r="W9" s="1692" t="s">
        <v>2134</v>
      </c>
      <c r="X9" s="1692" t="s">
        <v>2208</v>
      </c>
      <c r="Y9" s="1692" t="s">
        <v>2841</v>
      </c>
      <c r="Z9" s="1719" t="s">
        <v>2223</v>
      </c>
      <c r="AA9" s="1717" t="s">
        <v>2553</v>
      </c>
      <c r="AB9" s="1717"/>
      <c r="AC9" s="1721" t="s">
        <v>2769</v>
      </c>
      <c r="AD9" s="1725" t="s">
        <v>2768</v>
      </c>
      <c r="AE9" s="1688" t="s">
        <v>2217</v>
      </c>
      <c r="AF9" s="1315"/>
      <c r="AH9" s="1641" t="s">
        <v>2143</v>
      </c>
      <c r="AI9" s="1641"/>
      <c r="AJ9" s="748">
        <f>AJ7+AJ8</f>
        <v>0</v>
      </c>
      <c r="AK9" s="749">
        <f>AK7+AK8</f>
        <v>0</v>
      </c>
      <c r="AL9" s="749">
        <f t="shared" si="0"/>
        <v>0</v>
      </c>
      <c r="AM9" s="715"/>
      <c r="AQ9" s="1641" t="s">
        <v>2143</v>
      </c>
      <c r="AR9" s="1641"/>
      <c r="AS9" s="748">
        <f>AS7+AS8</f>
        <v>0</v>
      </c>
      <c r="AT9" s="749">
        <f>AT7+AT8</f>
        <v>0</v>
      </c>
      <c r="AU9" s="749">
        <f t="shared" si="1"/>
        <v>0</v>
      </c>
      <c r="CT9" s="1143">
        <f ca="1">CY7+DK7</f>
        <v>2919.7241379310349</v>
      </c>
      <c r="DR9" s="184"/>
      <c r="DS9" s="715"/>
      <c r="DT9" s="715"/>
      <c r="DU9" s="112"/>
      <c r="DV9" s="112"/>
      <c r="DW9" s="112"/>
      <c r="DX9" s="715"/>
      <c r="DY9" s="112"/>
      <c r="DZ9" s="715"/>
      <c r="EA9" s="715"/>
      <c r="EB9" s="715"/>
      <c r="EC9" s="715"/>
      <c r="ED9" s="112"/>
      <c r="EE9" s="715"/>
      <c r="EF9" s="112"/>
      <c r="EG9" s="112"/>
      <c r="EH9" s="112"/>
      <c r="EI9" s="715"/>
      <c r="EJ9" s="718"/>
      <c r="EK9" s="718"/>
      <c r="EL9" s="718"/>
      <c r="EM9" s="718"/>
      <c r="EP9" s="1641" t="s">
        <v>2143</v>
      </c>
      <c r="EQ9" s="1641"/>
      <c r="ER9" s="748">
        <f>ER7+ER8</f>
        <v>0</v>
      </c>
      <c r="ES9" s="749">
        <f>ES7+ES8</f>
        <v>0</v>
      </c>
      <c r="ET9" s="749">
        <f t="shared" si="2"/>
        <v>0</v>
      </c>
      <c r="EY9" s="1641" t="s">
        <v>2143</v>
      </c>
      <c r="EZ9" s="1641"/>
      <c r="FA9" s="748">
        <f>FA7+FA8</f>
        <v>0</v>
      </c>
      <c r="FB9" s="749">
        <f>FB7+FB8</f>
        <v>0</v>
      </c>
      <c r="FC9" s="749">
        <f t="shared" si="3"/>
        <v>0</v>
      </c>
    </row>
    <row r="10" spans="1:161" ht="20.100000000000001" customHeight="1" thickBot="1">
      <c r="B10" s="1711"/>
      <c r="C10" s="226"/>
      <c r="D10" s="226"/>
      <c r="E10" s="226"/>
      <c r="F10" s="226"/>
      <c r="G10" s="1653"/>
      <c r="H10" s="1653"/>
      <c r="I10" s="1653"/>
      <c r="J10" s="1653"/>
      <c r="K10" s="1653"/>
      <c r="L10" s="1653"/>
      <c r="M10" s="1653"/>
      <c r="N10" s="1653"/>
      <c r="O10" s="1652"/>
      <c r="P10" s="1653"/>
      <c r="Q10" s="1653"/>
      <c r="R10" s="1724"/>
      <c r="S10" s="1653"/>
      <c r="T10" s="1653"/>
      <c r="U10" s="1711"/>
      <c r="V10" s="1691"/>
      <c r="W10" s="1693"/>
      <c r="X10" s="1693"/>
      <c r="Y10" s="1693"/>
      <c r="Z10" s="1720"/>
      <c r="AA10" s="1718"/>
      <c r="AB10" s="1718"/>
      <c r="AC10" s="1722"/>
      <c r="AD10" s="1726"/>
      <c r="AE10" s="1689"/>
      <c r="AF10" s="1315"/>
      <c r="AG10" s="295"/>
      <c r="AI10" s="297"/>
      <c r="AJ10" s="524"/>
      <c r="AK10" s="297"/>
      <c r="AL10" s="524"/>
      <c r="AM10" s="430"/>
      <c r="AN10" s="430"/>
      <c r="AO10" s="297"/>
      <c r="AP10" s="297"/>
      <c r="AQ10" s="524"/>
      <c r="AR10" s="297"/>
      <c r="AS10" s="524"/>
      <c r="AT10" s="297"/>
      <c r="AU10" s="524"/>
      <c r="AV10" s="430"/>
      <c r="AW10" s="430"/>
      <c r="AX10" s="409"/>
      <c r="AY10" s="447"/>
      <c r="AZ10" s="447"/>
      <c r="BA10" s="524">
        <v>817941</v>
      </c>
      <c r="BB10" s="225"/>
      <c r="BC10" s="225"/>
      <c r="BD10" s="225"/>
      <c r="BE10" s="225"/>
      <c r="BF10" s="225"/>
      <c r="BG10" s="225"/>
      <c r="BH10" s="225"/>
      <c r="BI10" s="225"/>
      <c r="BJ10" s="375"/>
      <c r="BK10" s="178"/>
      <c r="BL10" s="526"/>
      <c r="BM10" s="1403">
        <v>817941</v>
      </c>
      <c r="BN10" s="178"/>
      <c r="BO10" s="178"/>
      <c r="BP10" s="178"/>
      <c r="BQ10" s="526"/>
      <c r="BR10" s="178"/>
      <c r="BS10" s="526"/>
      <c r="BT10" s="178"/>
      <c r="BU10" s="178"/>
      <c r="BV10" s="312"/>
      <c r="BY10" s="1403">
        <v>817941</v>
      </c>
      <c r="CF10" s="442"/>
      <c r="CG10" s="442"/>
      <c r="CR10" s="442"/>
      <c r="CS10" s="442"/>
      <c r="CW10" s="295">
        <v>283553</v>
      </c>
      <c r="CY10" s="1391">
        <f ca="1">V13</f>
        <v>5030.9031724137931</v>
      </c>
      <c r="DD10" s="442"/>
      <c r="DE10" s="442"/>
      <c r="DP10" s="442"/>
      <c r="DQ10" s="442"/>
      <c r="DR10" s="184"/>
      <c r="DS10" s="715"/>
      <c r="DT10" s="715"/>
      <c r="DU10" s="112"/>
      <c r="DV10" s="112"/>
      <c r="DW10" s="112"/>
      <c r="DX10" s="715"/>
      <c r="DY10" s="112"/>
      <c r="DZ10" s="715"/>
      <c r="EA10" s="715"/>
      <c r="EB10" s="715"/>
      <c r="EC10" s="715"/>
      <c r="ED10" s="112"/>
      <c r="EE10" s="715"/>
      <c r="EF10" s="112"/>
      <c r="EG10" s="112"/>
      <c r="EH10" s="112"/>
      <c r="EI10" s="715"/>
      <c r="EJ10" s="718"/>
      <c r="EK10" s="718"/>
      <c r="EL10" s="718"/>
      <c r="EM10" s="718"/>
      <c r="EN10" s="913"/>
      <c r="EO10" s="913"/>
      <c r="EP10" s="913"/>
      <c r="EQ10" s="913"/>
      <c r="ER10" s="913"/>
      <c r="ES10" s="913"/>
      <c r="ET10" s="913"/>
      <c r="EU10" s="913"/>
      <c r="EV10" s="913"/>
      <c r="EW10" s="913"/>
      <c r="EX10" s="913"/>
      <c r="EY10" s="913"/>
      <c r="EZ10" s="913"/>
      <c r="FA10" s="913"/>
      <c r="FB10" s="913"/>
      <c r="FC10" s="913"/>
      <c r="FD10" s="913"/>
      <c r="FE10" s="913"/>
    </row>
    <row r="11" spans="1:161" ht="20.100000000000001" customHeight="1" thickBot="1">
      <c r="A11" s="437"/>
      <c r="C11" s="226"/>
      <c r="D11" s="226"/>
      <c r="E11" s="226"/>
      <c r="F11" s="226"/>
      <c r="G11" s="1712" t="s">
        <v>2405</v>
      </c>
      <c r="H11" s="1713"/>
      <c r="I11" s="1713"/>
      <c r="J11" s="363"/>
      <c r="K11" s="363"/>
      <c r="L11" s="364"/>
      <c r="M11" s="364"/>
      <c r="N11" s="364">
        <f>SUMIF((C15:C120),TRUE,(N15:N120))</f>
        <v>24</v>
      </c>
      <c r="O11" s="365"/>
      <c r="P11" s="366">
        <f>SUMIF((C15:C120),TRUE,(P15:P120))</f>
        <v>730</v>
      </c>
      <c r="Q11" s="366">
        <f>SUMIF(($C$15:$C$120),TRUE,(Q15:Q120))</f>
        <v>730</v>
      </c>
      <c r="R11" s="364">
        <f ca="1">SUMIF(($A$15:$B$120),TRUE,(R15:R120))</f>
        <v>10000</v>
      </c>
      <c r="S11" s="364">
        <f ca="1">SUMIF(($A$15:$B$120),TRUE,(S15:S120))</f>
        <v>120000</v>
      </c>
      <c r="T11" s="364">
        <f ca="1">SUMIF(($A$15:$B$120),TRUE,(T15:T120))</f>
        <v>120000</v>
      </c>
      <c r="U11" s="367"/>
      <c r="V11" s="725">
        <f>SUM(V15:V120)</f>
        <v>7938.903172413794</v>
      </c>
      <c r="W11" s="726">
        <f>SUM(W15:W120)</f>
        <v>64</v>
      </c>
      <c r="X11" s="726">
        <f>SUM(X15:X120)</f>
        <v>301.95781432360775</v>
      </c>
      <c r="Y11" s="726">
        <f>SUM(Y15:Y120)</f>
        <v>0</v>
      </c>
      <c r="Z11" s="726">
        <f t="shared" ref="Z11:AE11" si="4">SUM(Z15:Z120)</f>
        <v>365.95781432360775</v>
      </c>
      <c r="AA11" s="726"/>
      <c r="AB11" s="726">
        <f t="shared" si="4"/>
        <v>24</v>
      </c>
      <c r="AC11" s="727">
        <f t="shared" si="4"/>
        <v>2711.5384615384614</v>
      </c>
      <c r="AD11" s="727">
        <f t="shared" si="4"/>
        <v>0</v>
      </c>
      <c r="AE11" s="727">
        <f t="shared" si="4"/>
        <v>4837.4068965517245</v>
      </c>
      <c r="AF11" s="1315"/>
      <c r="AG11" s="295"/>
      <c r="AI11" s="297"/>
      <c r="AJ11" s="524"/>
      <c r="AK11" s="297"/>
      <c r="AL11" s="524"/>
      <c r="AM11" s="430"/>
      <c r="AN11" s="430"/>
      <c r="AO11" s="297"/>
      <c r="AP11" s="297"/>
      <c r="AQ11" s="524"/>
      <c r="AR11" s="297"/>
      <c r="AS11" s="524"/>
      <c r="AT11" s="297"/>
      <c r="AU11" s="524"/>
      <c r="AV11" s="430"/>
      <c r="AW11" s="430"/>
      <c r="AX11" s="409"/>
      <c r="AY11" s="348"/>
      <c r="AZ11" s="348"/>
      <c r="BA11" s="524"/>
      <c r="BB11" s="225"/>
      <c r="BC11" s="225"/>
      <c r="BD11" s="225"/>
      <c r="BE11" s="225"/>
      <c r="BF11" s="225"/>
      <c r="BG11" s="225"/>
      <c r="BH11" s="225"/>
      <c r="BI11" s="225"/>
      <c r="BJ11" s="375"/>
      <c r="BK11" s="178"/>
      <c r="BL11" s="526"/>
      <c r="BM11" s="178"/>
      <c r="BN11" s="178"/>
      <c r="BO11" s="178"/>
      <c r="BP11" s="178"/>
      <c r="BQ11" s="526"/>
      <c r="BR11" s="178"/>
      <c r="BS11" s="526"/>
      <c r="BT11" s="178"/>
      <c r="BU11" s="178"/>
      <c r="BV11" s="312"/>
      <c r="CF11" s="442"/>
      <c r="CG11" s="442"/>
      <c r="CR11" s="442"/>
      <c r="CS11" s="442"/>
      <c r="DD11" s="442"/>
      <c r="DE11" s="442"/>
      <c r="DP11" s="442"/>
      <c r="DQ11" s="442"/>
      <c r="DR11" s="184"/>
      <c r="DS11" s="715"/>
      <c r="DT11" s="715"/>
      <c r="DU11" s="112"/>
      <c r="DV11" s="112"/>
      <c r="DW11" s="112"/>
      <c r="DX11" s="715"/>
      <c r="DY11" s="112"/>
      <c r="DZ11" s="715"/>
      <c r="EA11" s="715"/>
      <c r="EB11" s="715"/>
      <c r="EC11" s="715"/>
      <c r="ED11" s="112"/>
      <c r="EE11" s="715"/>
      <c r="EF11" s="112"/>
      <c r="EG11" s="112"/>
      <c r="EH11" s="112"/>
      <c r="EI11" s="715"/>
      <c r="EJ11" s="718"/>
      <c r="EK11" s="718"/>
      <c r="EL11" s="718"/>
      <c r="EM11" s="718"/>
      <c r="EN11" s="913"/>
      <c r="EO11" s="913"/>
      <c r="EP11" s="913"/>
      <c r="EQ11" s="913"/>
      <c r="ER11" s="913"/>
      <c r="ES11" s="913"/>
      <c r="ET11" s="913"/>
      <c r="EU11" s="913"/>
      <c r="EV11" s="913"/>
      <c r="EW11" s="913"/>
      <c r="EX11" s="913"/>
      <c r="EY11" s="913"/>
      <c r="EZ11" s="913"/>
      <c r="FA11" s="913"/>
      <c r="FB11" s="913"/>
      <c r="FC11" s="913"/>
      <c r="FD11" s="913"/>
      <c r="FE11" s="913"/>
    </row>
    <row r="12" spans="1:161" ht="20.100000000000001" customHeight="1" thickBot="1">
      <c r="A12" s="437"/>
      <c r="C12" s="226"/>
      <c r="D12" s="226"/>
      <c r="E12" s="226"/>
      <c r="F12" s="226"/>
      <c r="G12" s="1712" t="s">
        <v>2406</v>
      </c>
      <c r="H12" s="1713"/>
      <c r="I12" s="1713"/>
      <c r="N12" s="359"/>
      <c r="O12" s="359"/>
      <c r="P12" s="359"/>
      <c r="Q12" s="359"/>
      <c r="R12" s="359"/>
      <c r="S12" s="359"/>
      <c r="T12" s="359"/>
      <c r="U12" s="372"/>
      <c r="V12" s="728">
        <f>Source!B34</f>
        <v>7938.9032748137997</v>
      </c>
      <c r="W12" s="728" t="str">
        <f>IF(W11=ROUNDUP(Source!B32,2),"OK",ROUNDUP(Source!B32,2))</f>
        <v>OK</v>
      </c>
      <c r="X12" s="728">
        <f>IF(X11=ROUNDUP(Source!B31,2),"OK",ROUNDUP(Source!B31,2))</f>
        <v>301.95999999999998</v>
      </c>
      <c r="Y12" s="1376"/>
      <c r="Z12" s="728">
        <f>IF(Z11=Source!B31+Source!B32,"OK",Source!B31+Source!B32)</f>
        <v>365.95781826207002</v>
      </c>
      <c r="AA12" s="728"/>
      <c r="AB12" s="728" t="str">
        <f>IF(AB11=Source!C26,"OK",Source!C26)</f>
        <v>OK</v>
      </c>
      <c r="AC12" s="1727">
        <f>SUMIF(Source!$B$17:$B$24,Calcul!$BC$7,Source!$I$17:$I$24)</f>
        <v>2711.53856</v>
      </c>
      <c r="AD12" s="1728"/>
      <c r="AE12" s="729">
        <f>IF(AE11=SUMIF(Source!$B$17:$B$24,Calcul!$BO$7,Source!$I$17:$I$24),"OK",SUMIF(Source!$B$17:$B$24,"Anker Verzekeringen n,v,",Source!$I$17:$I$24))</f>
        <v>4837.4068965516999</v>
      </c>
      <c r="AF12" s="330"/>
      <c r="AI12" s="297"/>
      <c r="AJ12" s="524"/>
      <c r="AK12" s="297"/>
      <c r="AL12" s="524"/>
      <c r="AM12" s="430"/>
      <c r="AN12" s="430"/>
      <c r="AO12" s="297"/>
      <c r="AP12" s="297"/>
      <c r="AQ12" s="524"/>
      <c r="AR12" s="297"/>
      <c r="AS12" s="524"/>
      <c r="AT12" s="297"/>
      <c r="AU12" s="524"/>
      <c r="AV12" s="430"/>
      <c r="AW12" s="430"/>
      <c r="AY12" s="297"/>
      <c r="AZ12" s="524"/>
      <c r="BA12" s="297"/>
      <c r="BB12" s="297"/>
      <c r="BC12" s="297"/>
      <c r="BD12" s="297"/>
      <c r="BE12" s="524"/>
      <c r="BF12" s="297"/>
      <c r="BG12" s="524"/>
      <c r="BH12" s="430"/>
      <c r="BI12" s="430"/>
      <c r="BV12" s="312"/>
      <c r="DR12" s="184"/>
      <c r="DS12" s="715"/>
      <c r="DT12" s="715"/>
      <c r="DU12" s="112"/>
      <c r="DV12" s="112"/>
      <c r="DW12" s="112"/>
      <c r="DX12" s="715"/>
      <c r="DY12" s="112"/>
      <c r="DZ12" s="715"/>
      <c r="EA12" s="715"/>
      <c r="EB12" s="715"/>
      <c r="EC12" s="715"/>
      <c r="ED12" s="112"/>
      <c r="EE12" s="715"/>
      <c r="EF12" s="112"/>
      <c r="EG12" s="112"/>
      <c r="EH12" s="112"/>
      <c r="EI12" s="715"/>
      <c r="EJ12" s="718"/>
      <c r="EK12" s="718"/>
      <c r="EL12" s="718"/>
      <c r="EM12" s="718"/>
      <c r="EN12" s="913"/>
      <c r="EO12" s="913"/>
      <c r="EP12" s="913"/>
      <c r="EQ12" s="913"/>
      <c r="ER12" s="913"/>
      <c r="ES12" s="913"/>
      <c r="ET12" s="913"/>
      <c r="EU12" s="913"/>
      <c r="EV12" s="913"/>
      <c r="EW12" s="913"/>
      <c r="EX12" s="913"/>
      <c r="EY12" s="913"/>
      <c r="EZ12" s="913"/>
      <c r="FA12" s="913"/>
      <c r="FB12" s="913"/>
      <c r="FC12" s="913"/>
      <c r="FD12" s="913"/>
      <c r="FE12" s="913"/>
    </row>
    <row r="13" spans="1:161" ht="20.100000000000001" customHeight="1" thickBot="1">
      <c r="A13" s="437"/>
      <c r="B13" s="1711" t="s">
        <v>2136</v>
      </c>
      <c r="C13" s="226"/>
      <c r="D13" s="226"/>
      <c r="E13" s="226"/>
      <c r="F13" s="226"/>
      <c r="G13" s="1712" t="s">
        <v>2564</v>
      </c>
      <c r="H13" s="1713"/>
      <c r="I13" s="1713"/>
      <c r="J13" s="360"/>
      <c r="K13" s="360"/>
      <c r="L13" s="360"/>
      <c r="M13" s="360"/>
      <c r="N13" s="360"/>
      <c r="O13" s="360"/>
      <c r="P13" s="360"/>
      <c r="Q13" s="360"/>
      <c r="R13" s="360"/>
      <c r="S13" s="360"/>
      <c r="T13" s="360"/>
      <c r="U13" s="373"/>
      <c r="V13" s="730">
        <f ca="1">(Z13+AB13)+(AC13+AE13)</f>
        <v>5030.9031724137931</v>
      </c>
      <c r="W13" s="730">
        <f>(AL8+AU8)+(BC8+BO8+CA8+CM8)+(CY8+DK8)</f>
        <v>0</v>
      </c>
      <c r="X13" s="730">
        <f ca="1">(AC13+AE13)*Admin!E28</f>
        <v>193.49627586206898</v>
      </c>
      <c r="Y13" s="1377"/>
      <c r="Z13" s="730">
        <f ca="1">W13+X13</f>
        <v>193.49627586206898</v>
      </c>
      <c r="AA13" s="731"/>
      <c r="AB13" s="730">
        <f>AL4+AL5</f>
        <v>0</v>
      </c>
      <c r="AC13" s="731">
        <f>(AL6+AU6)</f>
        <v>0</v>
      </c>
      <c r="AD13" s="1166">
        <f>(ET6+FC6)</f>
        <v>0</v>
      </c>
      <c r="AE13" s="731">
        <f ca="1">BC7+BO7+CA7+CM7+(CY7+DK7)</f>
        <v>4837.4068965517245</v>
      </c>
      <c r="AF13" s="1714" t="s">
        <v>2178</v>
      </c>
      <c r="AG13" s="1714"/>
      <c r="AH13" s="624"/>
      <c r="AI13" s="625"/>
      <c r="AJ13" s="625"/>
      <c r="AK13" s="626"/>
      <c r="AL13" s="625"/>
      <c r="AM13" s="627"/>
      <c r="AN13" s="627"/>
      <c r="AO13" s="1715" t="s">
        <v>2177</v>
      </c>
      <c r="AP13" s="1716"/>
      <c r="AQ13" s="628"/>
      <c r="AR13" s="629"/>
      <c r="AS13" s="630"/>
      <c r="AT13" s="630"/>
      <c r="AU13" s="630"/>
      <c r="AV13" s="630"/>
      <c r="AW13" s="631"/>
      <c r="AX13" s="1696" t="s">
        <v>2259</v>
      </c>
      <c r="AY13" s="1697"/>
      <c r="AZ13" s="618"/>
      <c r="BA13" s="619"/>
      <c r="BB13" s="619"/>
      <c r="BC13" s="619"/>
      <c r="BD13" s="619"/>
      <c r="BE13" s="619"/>
      <c r="BF13" s="619"/>
      <c r="BG13" s="619"/>
      <c r="BH13" s="618"/>
      <c r="BI13" s="618"/>
      <c r="BJ13" s="1700" t="s">
        <v>2153</v>
      </c>
      <c r="BK13" s="1701"/>
      <c r="BL13" s="612"/>
      <c r="BM13" s="613"/>
      <c r="BN13" s="613"/>
      <c r="BO13" s="613"/>
      <c r="BP13" s="613"/>
      <c r="BQ13" s="613"/>
      <c r="BR13" s="614"/>
      <c r="BS13" s="613"/>
      <c r="BT13" s="612"/>
      <c r="BU13" s="612"/>
      <c r="BV13" s="1702" t="s">
        <v>2154</v>
      </c>
      <c r="BW13" s="1703"/>
      <c r="BX13" s="609"/>
      <c r="BY13" s="610"/>
      <c r="BZ13" s="610"/>
      <c r="CA13" s="610"/>
      <c r="CB13" s="610"/>
      <c r="CC13" s="610"/>
      <c r="CD13" s="611"/>
      <c r="CE13" s="610"/>
      <c r="CF13" s="609"/>
      <c r="CG13" s="609"/>
      <c r="CH13" s="1704" t="s">
        <v>2155</v>
      </c>
      <c r="CI13" s="1705"/>
      <c r="CJ13" s="615"/>
      <c r="CK13" s="616"/>
      <c r="CL13" s="616"/>
      <c r="CM13" s="616"/>
      <c r="CN13" s="616"/>
      <c r="CO13" s="616"/>
      <c r="CP13" s="617"/>
      <c r="CQ13" s="616"/>
      <c r="CR13" s="615"/>
      <c r="CS13" s="615"/>
      <c r="CT13" s="1706" t="s">
        <v>2156</v>
      </c>
      <c r="CU13" s="1707"/>
      <c r="CV13" s="606"/>
      <c r="CW13" s="607"/>
      <c r="CX13" s="607"/>
      <c r="CY13" s="607"/>
      <c r="CZ13" s="607"/>
      <c r="DA13" s="607"/>
      <c r="DB13" s="608"/>
      <c r="DC13" s="607"/>
      <c r="DD13" s="606"/>
      <c r="DE13" s="606"/>
      <c r="DF13" s="1694" t="s">
        <v>2157</v>
      </c>
      <c r="DG13" s="1695"/>
      <c r="DH13" s="602"/>
      <c r="DI13" s="603"/>
      <c r="DJ13" s="603"/>
      <c r="DK13" s="603"/>
      <c r="DL13" s="603"/>
      <c r="DM13" s="603"/>
      <c r="DN13" s="604"/>
      <c r="DO13" s="603"/>
      <c r="DP13" s="605"/>
      <c r="DQ13" s="605"/>
      <c r="DR13" s="259"/>
      <c r="DS13" s="431"/>
      <c r="DT13" s="431"/>
      <c r="DU13" s="260"/>
      <c r="DV13" s="260"/>
      <c r="DW13" s="260"/>
      <c r="DX13" s="431"/>
      <c r="DY13" s="260"/>
      <c r="DZ13" s="431"/>
      <c r="EA13" s="431"/>
      <c r="EB13" s="431"/>
      <c r="EC13" s="431"/>
      <c r="ED13" s="260"/>
      <c r="EE13" s="431"/>
      <c r="EF13" s="260"/>
      <c r="EG13" s="260"/>
      <c r="EH13" s="260"/>
      <c r="EI13" s="431"/>
      <c r="EJ13" s="393"/>
      <c r="EK13" s="718"/>
      <c r="EL13" s="718"/>
      <c r="EM13" s="718"/>
      <c r="EN13" s="1715" t="s">
        <v>2692</v>
      </c>
      <c r="EO13" s="1716"/>
      <c r="EP13" s="628"/>
      <c r="EQ13" s="629"/>
      <c r="ER13" s="630"/>
      <c r="ES13" s="630"/>
      <c r="ET13" s="630"/>
      <c r="EU13" s="630"/>
      <c r="EV13" s="631"/>
      <c r="EW13" s="1715" t="s">
        <v>2694</v>
      </c>
      <c r="EX13" s="1716"/>
      <c r="EY13" s="628"/>
      <c r="EZ13" s="629"/>
      <c r="FA13" s="630"/>
      <c r="FB13" s="630"/>
      <c r="FC13" s="630"/>
      <c r="FD13" s="630"/>
      <c r="FE13" s="631"/>
    </row>
    <row r="14" spans="1:161" ht="21" customHeight="1" outlineLevel="1" thickBot="1">
      <c r="A14" s="438" t="s">
        <v>2275</v>
      </c>
      <c r="B14" s="1711"/>
      <c r="C14" s="253" t="s">
        <v>2417</v>
      </c>
      <c r="D14" s="253" t="s">
        <v>2416</v>
      </c>
      <c r="E14" s="253" t="s">
        <v>2171</v>
      </c>
      <c r="F14" s="443" t="s">
        <v>2415</v>
      </c>
      <c r="G14" s="361"/>
      <c r="H14" s="362"/>
      <c r="I14" s="362"/>
      <c r="J14" s="1666" t="s">
        <v>2398</v>
      </c>
      <c r="K14" s="1666"/>
      <c r="L14" s="1666" t="s">
        <v>2280</v>
      </c>
      <c r="M14" s="1666"/>
      <c r="N14" s="362"/>
      <c r="O14" s="362"/>
      <c r="P14" s="362"/>
      <c r="Q14" s="362"/>
      <c r="R14" s="304"/>
      <c r="S14" s="362"/>
      <c r="T14" s="362"/>
      <c r="U14" s="374"/>
      <c r="V14" s="582"/>
      <c r="W14" s="583"/>
      <c r="X14" s="583"/>
      <c r="Y14" s="583"/>
      <c r="Z14" s="583"/>
      <c r="AA14" s="583"/>
      <c r="AB14" s="583"/>
      <c r="AC14" s="583"/>
      <c r="AD14" s="1167"/>
      <c r="AE14" s="584"/>
      <c r="AF14" s="255" t="s">
        <v>597</v>
      </c>
      <c r="AG14" s="255" t="s">
        <v>2282</v>
      </c>
      <c r="AH14" s="521" t="s">
        <v>2242</v>
      </c>
      <c r="AI14" s="256" t="s">
        <v>2158</v>
      </c>
      <c r="AJ14" s="443" t="s">
        <v>2361</v>
      </c>
      <c r="AK14" s="263" t="s">
        <v>2362</v>
      </c>
      <c r="AL14" s="289" t="s">
        <v>2147</v>
      </c>
      <c r="AM14" s="289" t="s">
        <v>2269</v>
      </c>
      <c r="AN14" s="289" t="s">
        <v>2270</v>
      </c>
      <c r="AO14" s="255" t="s">
        <v>597</v>
      </c>
      <c r="AP14" s="255" t="s">
        <v>2282</v>
      </c>
      <c r="AQ14" s="521" t="s">
        <v>2242</v>
      </c>
      <c r="AR14" s="256" t="s">
        <v>2158</v>
      </c>
      <c r="AS14" s="443" t="s">
        <v>2361</v>
      </c>
      <c r="AT14" s="263" t="s">
        <v>2362</v>
      </c>
      <c r="AU14" s="289" t="s">
        <v>2147</v>
      </c>
      <c r="AV14" s="289" t="s">
        <v>2269</v>
      </c>
      <c r="AW14" s="289" t="s">
        <v>2270</v>
      </c>
      <c r="AX14" s="255" t="s">
        <v>597</v>
      </c>
      <c r="AY14" s="255" t="s">
        <v>2282</v>
      </c>
      <c r="AZ14" s="521" t="s">
        <v>2242</v>
      </c>
      <c r="BA14" s="255" t="s">
        <v>137</v>
      </c>
      <c r="BB14" s="253" t="s">
        <v>2145</v>
      </c>
      <c r="BC14" s="253" t="s">
        <v>2147</v>
      </c>
      <c r="BD14" s="256" t="s">
        <v>2158</v>
      </c>
      <c r="BE14" s="443" t="s">
        <v>2361</v>
      </c>
      <c r="BF14" s="263" t="s">
        <v>2362</v>
      </c>
      <c r="BG14" s="289" t="s">
        <v>2147</v>
      </c>
      <c r="BH14" s="289" t="s">
        <v>2269</v>
      </c>
      <c r="BI14" s="289" t="s">
        <v>2270</v>
      </c>
      <c r="BJ14" s="255" t="s">
        <v>597</v>
      </c>
      <c r="BK14" s="255" t="s">
        <v>2282</v>
      </c>
      <c r="BL14" s="521" t="s">
        <v>2242</v>
      </c>
      <c r="BM14" s="309" t="s">
        <v>137</v>
      </c>
      <c r="BN14" s="310" t="s">
        <v>2145</v>
      </c>
      <c r="BO14" s="310" t="s">
        <v>2147</v>
      </c>
      <c r="BP14" s="310" t="s">
        <v>2158</v>
      </c>
      <c r="BQ14" s="443" t="s">
        <v>2361</v>
      </c>
      <c r="BR14" s="263" t="s">
        <v>2362</v>
      </c>
      <c r="BS14" s="289" t="s">
        <v>2147</v>
      </c>
      <c r="BT14" s="289" t="s">
        <v>2269</v>
      </c>
      <c r="BU14" s="289" t="s">
        <v>2270</v>
      </c>
      <c r="BV14" s="255" t="s">
        <v>597</v>
      </c>
      <c r="BW14" s="255" t="s">
        <v>2282</v>
      </c>
      <c r="BX14" s="521" t="s">
        <v>2242</v>
      </c>
      <c r="BY14" s="255" t="s">
        <v>137</v>
      </c>
      <c r="BZ14" s="253" t="s">
        <v>2145</v>
      </c>
      <c r="CA14" s="253" t="s">
        <v>2147</v>
      </c>
      <c r="CB14" s="253" t="s">
        <v>2158</v>
      </c>
      <c r="CC14" s="443" t="s">
        <v>2361</v>
      </c>
      <c r="CD14" s="263" t="s">
        <v>2362</v>
      </c>
      <c r="CE14" s="289" t="s">
        <v>2147</v>
      </c>
      <c r="CF14" s="289" t="s">
        <v>2269</v>
      </c>
      <c r="CG14" s="289" t="s">
        <v>2270</v>
      </c>
      <c r="CH14" s="255" t="s">
        <v>597</v>
      </c>
      <c r="CI14" s="255" t="s">
        <v>2282</v>
      </c>
      <c r="CJ14" s="521" t="s">
        <v>2242</v>
      </c>
      <c r="CK14" s="255" t="s">
        <v>137</v>
      </c>
      <c r="CL14" s="253" t="s">
        <v>2145</v>
      </c>
      <c r="CM14" s="253" t="s">
        <v>2147</v>
      </c>
      <c r="CN14" s="253" t="s">
        <v>2158</v>
      </c>
      <c r="CO14" s="443" t="s">
        <v>2361</v>
      </c>
      <c r="CP14" s="263" t="s">
        <v>2362</v>
      </c>
      <c r="CQ14" s="289" t="s">
        <v>2147</v>
      </c>
      <c r="CR14" s="289" t="s">
        <v>2269</v>
      </c>
      <c r="CS14" s="289" t="s">
        <v>2270</v>
      </c>
      <c r="CT14" s="255" t="s">
        <v>597</v>
      </c>
      <c r="CU14" s="255" t="s">
        <v>2282</v>
      </c>
      <c r="CV14" s="521" t="s">
        <v>2242</v>
      </c>
      <c r="CW14" s="253"/>
      <c r="CX14" s="253"/>
      <c r="CY14" s="253" t="s">
        <v>2147</v>
      </c>
      <c r="CZ14" s="253" t="s">
        <v>2158</v>
      </c>
      <c r="DA14" s="443" t="s">
        <v>2361</v>
      </c>
      <c r="DB14" s="263" t="s">
        <v>2362</v>
      </c>
      <c r="DC14" s="289" t="s">
        <v>2147</v>
      </c>
      <c r="DD14" s="289" t="s">
        <v>2269</v>
      </c>
      <c r="DE14" s="289" t="s">
        <v>2270</v>
      </c>
      <c r="DF14" s="255" t="s">
        <v>597</v>
      </c>
      <c r="DG14" s="255" t="s">
        <v>2282</v>
      </c>
      <c r="DH14" s="521" t="s">
        <v>2242</v>
      </c>
      <c r="DI14" s="314"/>
      <c r="DJ14" s="314"/>
      <c r="DK14" s="253" t="s">
        <v>2147</v>
      </c>
      <c r="DL14" s="253" t="s">
        <v>2158</v>
      </c>
      <c r="DM14" s="443" t="s">
        <v>2361</v>
      </c>
      <c r="DN14" s="263" t="s">
        <v>2362</v>
      </c>
      <c r="DO14" s="289" t="s">
        <v>2147</v>
      </c>
      <c r="DP14" s="289" t="s">
        <v>2269</v>
      </c>
      <c r="DQ14" s="289" t="s">
        <v>2270</v>
      </c>
      <c r="DR14" s="255" t="s">
        <v>597</v>
      </c>
      <c r="DS14" s="255" t="s">
        <v>2282</v>
      </c>
      <c r="DT14" s="521" t="s">
        <v>2242</v>
      </c>
      <c r="DU14" s="253" t="s">
        <v>2145</v>
      </c>
      <c r="DV14" s="253" t="s">
        <v>2147</v>
      </c>
      <c r="DW14" s="253" t="s">
        <v>2158</v>
      </c>
      <c r="DX14" s="760" t="s">
        <v>2361</v>
      </c>
      <c r="DY14" s="254" t="s">
        <v>2159</v>
      </c>
      <c r="DZ14" s="254" t="s">
        <v>2159</v>
      </c>
      <c r="EA14" s="289" t="s">
        <v>2269</v>
      </c>
      <c r="EB14" s="289" t="s">
        <v>2270</v>
      </c>
      <c r="EC14" s="255" t="s">
        <v>597</v>
      </c>
      <c r="ED14" s="255" t="s">
        <v>2282</v>
      </c>
      <c r="EE14" s="348"/>
      <c r="EF14" s="253" t="s">
        <v>2145</v>
      </c>
      <c r="EG14" s="253" t="s">
        <v>2147</v>
      </c>
      <c r="EH14" s="253" t="s">
        <v>2158</v>
      </c>
      <c r="EI14" s="760" t="s">
        <v>2361</v>
      </c>
      <c r="EJ14" s="768" t="s">
        <v>2159</v>
      </c>
      <c r="EK14" s="768" t="s">
        <v>2159</v>
      </c>
      <c r="EL14" s="521" t="s">
        <v>2269</v>
      </c>
      <c r="EM14" s="521" t="s">
        <v>2270</v>
      </c>
      <c r="EN14" s="255" t="s">
        <v>597</v>
      </c>
      <c r="EO14" s="255" t="s">
        <v>2282</v>
      </c>
      <c r="EP14" s="521" t="s">
        <v>2242</v>
      </c>
      <c r="EQ14" s="256" t="s">
        <v>2158</v>
      </c>
      <c r="ER14" s="1023" t="s">
        <v>2361</v>
      </c>
      <c r="ES14" s="263" t="s">
        <v>2362</v>
      </c>
      <c r="ET14" s="289" t="s">
        <v>2147</v>
      </c>
      <c r="EU14" s="289" t="s">
        <v>2269</v>
      </c>
      <c r="EV14" s="289" t="s">
        <v>2270</v>
      </c>
      <c r="EW14" s="255" t="s">
        <v>597</v>
      </c>
      <c r="EX14" s="255" t="s">
        <v>2282</v>
      </c>
      <c r="EY14" s="521" t="s">
        <v>2242</v>
      </c>
      <c r="EZ14" s="256" t="s">
        <v>2158</v>
      </c>
      <c r="FA14" s="1023" t="s">
        <v>2361</v>
      </c>
      <c r="FB14" s="263" t="s">
        <v>2362</v>
      </c>
      <c r="FC14" s="289" t="s">
        <v>2147</v>
      </c>
      <c r="FD14" s="289" t="s">
        <v>2269</v>
      </c>
      <c r="FE14" s="289" t="s">
        <v>2270</v>
      </c>
    </row>
    <row r="15" spans="1:161" s="1369" customFormat="1" ht="30" customHeight="1" outlineLevel="1">
      <c r="A15" s="439" t="b">
        <f>Calcul!A15</f>
        <v>0</v>
      </c>
      <c r="B15" s="510" t="str">
        <f>IF(A15=FALSE,"",CONCATENATE(C15,G15,O15,L15))</f>
        <v/>
      </c>
      <c r="C15" s="1404" t="b">
        <v>0</v>
      </c>
      <c r="D15" s="1010" t="s">
        <v>2147</v>
      </c>
      <c r="E15" s="1011" t="s">
        <v>2333</v>
      </c>
      <c r="F15" s="1323" t="s">
        <v>2146</v>
      </c>
      <c r="G15" s="356" t="str">
        <f>IF(A15=FALSE,"",IF(NAMES!$D$10=FALSE,IF(Detail!H15="","",Detail!H15),IF(Crewlist!D15="","",Crewlist!D15)))</f>
        <v/>
      </c>
      <c r="H15" s="356" t="str">
        <f>IF(A15=FALSE,"",IF(NAMES!$D$10=FALSE,IF(Detail!P15="","",Detail!P15),IF(Crewlist!E15="","",Crewlist!E15)))</f>
        <v/>
      </c>
      <c r="I15" s="356" t="str">
        <f>IF(A15=FALSE,"",IF(NAMES!$D$10=FALSE,IF(Detail!K15="","",Detail!K15),IF(Crewlist!F15="","",Crewlist!F15)))</f>
        <v/>
      </c>
      <c r="J15" s="1001">
        <f>IF(Crewlist!T15="","",Crewlist!T15)</f>
        <v>42320</v>
      </c>
      <c r="K15" s="1001">
        <f>IF(Crewlist!D15="","",IF(Crewlist!U15="",Crewlist!Y15,IF(DATERENOUVMOINS730&lt;&gt;Crewlist!U15&lt;&gt;Crewlist!Y15,Crewlist!U15,DATERENOUVMOINS365)))</f>
        <v>42561</v>
      </c>
      <c r="L15" s="775">
        <f>IF(Detail!X15="","",Detail!X15)</f>
        <v>42320</v>
      </c>
      <c r="M15" s="775">
        <f>IF(Detail!H15="","",IF(Detail!Y15="",DATERENOUV,IF(Detail!Y15&gt;Detail!D15,Detail!D15,Detail!Y15)))</f>
        <v>42561</v>
      </c>
      <c r="N15" s="1015" t="str">
        <f>IF(A15=FALSE,"",IF(NAMES!$D$10=FALSE,IF(B15=B16,IF(O15=O16,0,(DATEDIF(L15,M15,"M")+1)),(DATEDIF(L15,M15,"M")+1)),IF(B15=B16,IF(O15=O16,0,(DATEDIF(J15,K15,"M")+1)),(DATEDIF(J15,K15,"M")+1))))</f>
        <v/>
      </c>
      <c r="O15" s="1015" t="str">
        <f t="shared" ref="O15:O79" si="5">TEXT(L15,"mmmm")</f>
        <v>novembre</v>
      </c>
      <c r="P15" s="358" t="str">
        <f>IF(A15=FALSE,"",IF(NAMES!$D$10=FALSE,IF((DATEDIF(L15,M15,"D")+1)&lt;365,(DATEDIF(L15,M15,"D")+1),365),IF((DATEDIF(J15,K15,"D")+1)&lt;365,(DATEDIF(J15,K15,"D")+1),365)))</f>
        <v/>
      </c>
      <c r="Q15" s="358" t="str">
        <f>IF(A15=FALSE,"",IF(NAMES!$D$10=FALSE,IF(M15="",365,DATEDIF(L15,M15,"D")+1),IF(M15="",365,DATEDIF(J15,K15,"D")+1)))</f>
        <v/>
      </c>
      <c r="R15" s="950" t="str">
        <f>Calcul!X15</f>
        <v/>
      </c>
      <c r="S15" s="950" t="str">
        <f>Calcul!Y15</f>
        <v/>
      </c>
      <c r="T15" s="993" t="str">
        <f>Calcul!AG15</f>
        <v/>
      </c>
      <c r="U15" s="368" t="str">
        <f>IF(A15=FALSE,"",IF(NAMES!$D$10=FALSE,IF(Detail!S15="","",Detail!S15),IF(Crewlist!V15="","",Crewlist!V15)))</f>
        <v/>
      </c>
      <c r="V15" s="353" t="str">
        <f>Calcul!AI15</f>
        <v/>
      </c>
      <c r="W15" s="353" t="str">
        <f>Calcul!AL15</f>
        <v/>
      </c>
      <c r="X15" s="353" t="str">
        <f>Calcul!AM15</f>
        <v/>
      </c>
      <c r="Y15" s="353" t="str">
        <f>Calcul!AN15</f>
        <v/>
      </c>
      <c r="Z15" s="353" t="str">
        <f>Calcul!AO15</f>
        <v/>
      </c>
      <c r="AA15" s="353" t="str">
        <f>Calcul!AP15</f>
        <v/>
      </c>
      <c r="AB15" s="353" t="str">
        <f>Calcul!AQ15</f>
        <v/>
      </c>
      <c r="AC15" s="353" t="str">
        <f>IF(C15=FALSE,"",Calcul!BE15+Calcul!BF15)</f>
        <v/>
      </c>
      <c r="AD15" s="1224" t="str">
        <f>IF(C15=FALSE,"",(Calcul!BG15+Calcul!BH15)+SUM(Calcul!BI15:BN15))</f>
        <v/>
      </c>
      <c r="AE15" s="1224" t="str">
        <f>Calcul!BP15</f>
        <v/>
      </c>
      <c r="AF15" s="332" t="str">
        <f>IF(A15=FALSE,"",YEAR(Detail!F15)&amp;Detail!AG15&amp;Detail!AD15&amp;"-"&amp;Detail!$AD$13&amp;Detail!AE15)</f>
        <v/>
      </c>
      <c r="AG15" s="1354" t="s">
        <v>2970</v>
      </c>
      <c r="AH15" s="1354" t="s">
        <v>2277</v>
      </c>
      <c r="AI15" s="1407">
        <v>0</v>
      </c>
      <c r="AJ15" s="1325" t="s">
        <v>2236</v>
      </c>
      <c r="AK15" s="1329">
        <v>32</v>
      </c>
      <c r="AL15" s="508">
        <v>0</v>
      </c>
      <c r="AM15" s="1325">
        <v>1</v>
      </c>
      <c r="AN15" s="1325">
        <v>0</v>
      </c>
      <c r="AO15" s="333" t="str">
        <f>IF(A15=FALSE,"",IF(Detail!AL15="","N/A",YEAR(Detail!F15)&amp;Detail!AO15&amp;Detail!AL15&amp;"-"&amp;Detail!$AL$13&amp;Detail!AM15))</f>
        <v/>
      </c>
      <c r="AP15" s="1354" t="s">
        <v>2971</v>
      </c>
      <c r="AQ15" s="1354" t="s">
        <v>2277</v>
      </c>
      <c r="AR15" s="1407">
        <f>AI15</f>
        <v>0</v>
      </c>
      <c r="AS15" s="1325" t="s">
        <v>2236</v>
      </c>
      <c r="AT15" s="264">
        <v>0</v>
      </c>
      <c r="AU15" s="1325">
        <v>0</v>
      </c>
      <c r="AV15" s="1325">
        <v>1</v>
      </c>
      <c r="AW15" s="1325">
        <v>0</v>
      </c>
      <c r="AX15" s="1326" t="str">
        <f>IF(A15=FALSE,"",IF(Detail!AT15="","N/A",YEAR(Detail!F15)&amp;Detail!AW15&amp;Detail!AT15&amp;"-"&amp;Detail!$AT$13))</f>
        <v/>
      </c>
      <c r="AY15" s="1326" t="s">
        <v>2861</v>
      </c>
      <c r="AZ15" s="1326" t="s">
        <v>2278</v>
      </c>
      <c r="BA15" s="440" t="str">
        <f>IF(A15=FALSE,"",51000+(Detail!AA15*7000))</f>
        <v/>
      </c>
      <c r="BB15" s="1385">
        <v>50000</v>
      </c>
      <c r="BC15" s="247">
        <v>3</v>
      </c>
      <c r="BD15" s="1325">
        <v>0</v>
      </c>
      <c r="BE15" s="1325" t="s">
        <v>2236</v>
      </c>
      <c r="BF15" s="264">
        <v>0</v>
      </c>
      <c r="BG15" s="508">
        <v>0</v>
      </c>
      <c r="BH15" s="1325">
        <v>1</v>
      </c>
      <c r="BI15" s="1325">
        <v>0</v>
      </c>
      <c r="BJ15" s="311" t="str">
        <f>IF(A15=FALSE,"",IF(Detail!BB15="","N/A",YEAR(Detail!F15)&amp;Detail!BE15&amp;Detail!BB15&amp;"-"&amp;Detail!$BB$13))</f>
        <v/>
      </c>
      <c r="BK15" s="1354" t="s">
        <v>2972</v>
      </c>
      <c r="BL15" s="1354" t="s">
        <v>2278</v>
      </c>
      <c r="BM15" s="440" t="str">
        <f>IF(A15=FALSE,"",51000+(Detail!AA15*7000))</f>
        <v/>
      </c>
      <c r="BN15" s="1412">
        <v>50000</v>
      </c>
      <c r="BO15" s="247">
        <v>3</v>
      </c>
      <c r="BP15" s="1325">
        <v>0</v>
      </c>
      <c r="BQ15" s="1325" t="s">
        <v>2236</v>
      </c>
      <c r="BR15" s="264">
        <v>0</v>
      </c>
      <c r="BS15" s="508">
        <v>0</v>
      </c>
      <c r="BT15" s="1325">
        <v>1</v>
      </c>
      <c r="BU15" s="1325">
        <v>0</v>
      </c>
      <c r="BV15" s="311" t="str">
        <f>IF(A15=FALSE,"",IF(Detail!BJ15="","N/A",YEAR(Detail!F15)&amp;Detail!BM15&amp;Detail!BJ15&amp;"-"&amp;Detail!$BJ$13))</f>
        <v/>
      </c>
      <c r="BW15" s="1327" t="s">
        <v>2973</v>
      </c>
      <c r="BX15" s="1354" t="s">
        <v>2278</v>
      </c>
      <c r="BY15" s="440" t="str">
        <f>IF(A15=FALSE,"",60000)</f>
        <v/>
      </c>
      <c r="BZ15" s="1385">
        <v>50000</v>
      </c>
      <c r="CA15" s="247">
        <v>3</v>
      </c>
      <c r="CB15" s="1325">
        <v>0</v>
      </c>
      <c r="CC15" s="1325" t="s">
        <v>2236</v>
      </c>
      <c r="CD15" s="264">
        <v>0</v>
      </c>
      <c r="CE15" s="508">
        <v>0</v>
      </c>
      <c r="CF15" s="1325">
        <v>1</v>
      </c>
      <c r="CG15" s="1325">
        <v>0</v>
      </c>
      <c r="CH15" s="311" t="str">
        <f>IF(A15=FALSE,"",IF(Detail!BR15="","N/A",YEAR(Detail!F15)&amp;Detail!BU15&amp;Detail!BR15&amp;"-"&amp;Detail!$BR$13))</f>
        <v/>
      </c>
      <c r="CI15" s="1327" t="s">
        <v>2974</v>
      </c>
      <c r="CJ15" s="1354" t="s">
        <v>2278</v>
      </c>
      <c r="CK15" s="440" t="str">
        <f>IF(A15=FALSE,"",60000)</f>
        <v/>
      </c>
      <c r="CL15" s="1385">
        <v>50000</v>
      </c>
      <c r="CM15" s="247">
        <v>3</v>
      </c>
      <c r="CN15" s="1325">
        <v>0</v>
      </c>
      <c r="CO15" s="1325" t="s">
        <v>2236</v>
      </c>
      <c r="CP15" s="264">
        <v>0</v>
      </c>
      <c r="CQ15" s="508">
        <v>0</v>
      </c>
      <c r="CR15" s="1325">
        <v>1</v>
      </c>
      <c r="CS15" s="1325">
        <v>0</v>
      </c>
      <c r="CT15" s="311" t="str">
        <f>IF(A15=FALSE,"",IF(Detail!BZ15="","N/A",YEAR(Detail!F15)&amp;Detail!CC15&amp;Detail!BZ15&amp;"-"&amp;Detail!$BZ$13&amp;" (100%/"&amp;Detail!CD15&amp;"/"&amp;Detail!CE15&amp;"D)"))</f>
        <v/>
      </c>
      <c r="CU15" s="1327" t="s">
        <v>2989</v>
      </c>
      <c r="CV15" s="1354" t="s">
        <v>2278</v>
      </c>
      <c r="CW15" s="1010">
        <v>7</v>
      </c>
      <c r="CX15" s="1323">
        <v>365</v>
      </c>
      <c r="CY15" s="248">
        <v>1</v>
      </c>
      <c r="CZ15" s="1325">
        <v>0</v>
      </c>
      <c r="DA15" s="1325" t="s">
        <v>2359</v>
      </c>
      <c r="DB15" s="538">
        <v>40</v>
      </c>
      <c r="DC15" s="1325">
        <v>0.1</v>
      </c>
      <c r="DD15" s="1325">
        <v>1</v>
      </c>
      <c r="DE15" s="1325">
        <v>0</v>
      </c>
      <c r="DF15" s="313" t="str">
        <f>IF(A15=FALSE,"",IF(Detail!CH15="","N/A",YEAR(Detail!F15)&amp;Detail!CK15&amp;Detail!CH15&amp;"-"&amp;Detail!$CH$13&amp;" (100%/"&amp;Detail!CL15&amp;"/"&amp;Detail!CM15&amp;"D)"))</f>
        <v/>
      </c>
      <c r="DG15" s="1354" t="s">
        <v>2975</v>
      </c>
      <c r="DH15" s="518" t="s">
        <v>2278</v>
      </c>
      <c r="DI15" s="1010">
        <f>CW15</f>
        <v>7</v>
      </c>
      <c r="DJ15" s="1323">
        <f>CX15</f>
        <v>365</v>
      </c>
      <c r="DK15" s="258">
        <v>1</v>
      </c>
      <c r="DL15" s="1325">
        <v>0</v>
      </c>
      <c r="DM15" s="1325" t="s">
        <v>2359</v>
      </c>
      <c r="DN15" s="538">
        <v>40</v>
      </c>
      <c r="DO15" s="1325">
        <f>DC15</f>
        <v>0.1</v>
      </c>
      <c r="DP15" s="1325">
        <v>1</v>
      </c>
      <c r="DQ15" s="1325">
        <v>0</v>
      </c>
      <c r="DR15" s="1326" t="str">
        <f>IF(A15=FALSE,"",IF(Detail!CP15="","N/A",YEAR(Detail!F15)&amp;Detail!CS15&amp;Detail!CP15&amp;"-"&amp;Detail!$CP$13))</f>
        <v/>
      </c>
      <c r="DS15" s="1326" t="s">
        <v>2236</v>
      </c>
      <c r="DT15" s="1354" t="s">
        <v>2277</v>
      </c>
      <c r="DU15" s="1385">
        <v>50000</v>
      </c>
      <c r="DV15" s="247">
        <v>2</v>
      </c>
      <c r="DW15" s="1325">
        <v>0</v>
      </c>
      <c r="DX15" s="1325" t="s">
        <v>2236</v>
      </c>
      <c r="DY15" s="264">
        <v>0</v>
      </c>
      <c r="DZ15" s="444">
        <v>0</v>
      </c>
      <c r="EA15" s="444">
        <v>1</v>
      </c>
      <c r="EB15" s="444">
        <v>0</v>
      </c>
      <c r="EC15" s="761" t="str">
        <f>IF(A15=FALSE,"",IF(Detail!CX15="","N/A",YEAR(Detail!F15)&amp;Detail!DA15&amp;Detail!CX15&amp;"-"&amp;Detail!$CX$13))</f>
        <v/>
      </c>
      <c r="ED15" s="1327" t="s">
        <v>2236</v>
      </c>
      <c r="EE15" s="1354" t="s">
        <v>2277</v>
      </c>
      <c r="EF15" s="1385">
        <v>50000</v>
      </c>
      <c r="EG15" s="247">
        <v>2</v>
      </c>
      <c r="EH15" s="1325">
        <v>0</v>
      </c>
      <c r="EI15" s="1325" t="s">
        <v>2236</v>
      </c>
      <c r="EJ15" s="264">
        <v>0</v>
      </c>
      <c r="EK15" s="444">
        <v>0</v>
      </c>
      <c r="EL15" s="444">
        <v>1</v>
      </c>
      <c r="EM15" s="444">
        <v>0</v>
      </c>
      <c r="EN15" s="333" t="str">
        <f>IF(A15=FALSE,"",IF(Detail!DF15="","N/A",YEAR(Detail!F15)&amp;Detail!DI15&amp;Detail!DF15&amp;"-"&amp;Detail!$DF$13))</f>
        <v/>
      </c>
      <c r="EO15" s="1354" t="s">
        <v>2236</v>
      </c>
      <c r="EP15" s="1354" t="s">
        <v>2277</v>
      </c>
      <c r="EQ15" s="1325">
        <f>EH15</f>
        <v>0</v>
      </c>
      <c r="ER15" s="1325" t="s">
        <v>2236</v>
      </c>
      <c r="ES15" s="264">
        <v>0</v>
      </c>
      <c r="ET15" s="1325">
        <v>0</v>
      </c>
      <c r="EU15" s="1325">
        <v>1</v>
      </c>
      <c r="EV15" s="1325">
        <v>0</v>
      </c>
      <c r="EW15" s="333" t="str">
        <f>IF(A15=FALSE,"",IF(Detail!DN15="","N/A",YEAR(Detail!F15)&amp;Detail!DQ15&amp;Detail!DN15&amp;"-"&amp;Detail!$DN$13))</f>
        <v/>
      </c>
      <c r="EX15" s="1354" t="s">
        <v>2236</v>
      </c>
      <c r="EY15" s="1354" t="s">
        <v>2277</v>
      </c>
      <c r="EZ15" s="1325">
        <f>EQ15</f>
        <v>0</v>
      </c>
      <c r="FA15" s="1325" t="s">
        <v>2236</v>
      </c>
      <c r="FB15" s="264">
        <v>0</v>
      </c>
      <c r="FC15" s="1325">
        <v>0</v>
      </c>
      <c r="FD15" s="1325">
        <v>1</v>
      </c>
      <c r="FE15" s="1325">
        <v>0</v>
      </c>
    </row>
    <row r="16" spans="1:161" s="1369" customFormat="1" ht="30" customHeight="1" outlineLevel="1">
      <c r="A16" s="439" t="b">
        <f>Calcul!A16</f>
        <v>0</v>
      </c>
      <c r="B16" s="510" t="str">
        <f t="shared" ref="B16:B46" si="6">IF(A16=FALSE,"",CONCATENATE(C16,G16,O16,L16))</f>
        <v/>
      </c>
      <c r="C16" s="1404" t="b">
        <v>0</v>
      </c>
      <c r="D16" s="1404" t="s">
        <v>2147</v>
      </c>
      <c r="E16" s="1405" t="s">
        <v>2333</v>
      </c>
      <c r="F16" s="1323" t="s">
        <v>2146</v>
      </c>
      <c r="G16" s="356" t="str">
        <f>IF(A16=FALSE,"",IF(NAMES!$D$10=FALSE,IF(Detail!H16="","",Detail!H16),IF(Crewlist!D16="","",Crewlist!D16)))</f>
        <v/>
      </c>
      <c r="H16" s="356" t="str">
        <f>IF(A16=FALSE,"",IF(NAMES!$D$10=FALSE,IF(Detail!P16="","",Detail!P16),IF(Crewlist!E16="","",Crewlist!E16)))</f>
        <v/>
      </c>
      <c r="I16" s="356" t="str">
        <f>IF(A16=FALSE,"",IF(NAMES!$D$10=FALSE,IF(Detail!K16="","",Detail!K16),IF(Crewlist!F16="","",Crewlist!F16)))</f>
        <v/>
      </c>
      <c r="J16" s="1001">
        <f>IF(Crewlist!T16="","",Crewlist!T16)</f>
        <v>42320</v>
      </c>
      <c r="K16" s="1001">
        <f>IF(Crewlist!D16="","",IF(Crewlist!U16="",Crewlist!Y16,IF(DATERENOUVMOINS730&lt;&gt;Crewlist!U16&lt;&gt;Crewlist!Y16,Crewlist!U16,DATERENOUVMOINS365)))</f>
        <v>42685</v>
      </c>
      <c r="L16" s="775">
        <f>IF(Detail!X16="","",Detail!X16)</f>
        <v>42320</v>
      </c>
      <c r="M16" s="775">
        <f>IF(Detail!H16="","",IF(Detail!Y16="",DATERENOUV,IF(Detail!Y16&gt;Detail!D16,Detail!D16,Detail!Y16)))</f>
        <v>42685</v>
      </c>
      <c r="N16" s="1015" t="str">
        <f>IF(A16=FALSE,"",IF(NAMES!$D$10=FALSE,IF(B16=B17,IF(O16=O17,0,(DATEDIF(L16,M16,"M")+1)),(DATEDIF(L16,M16,"M")+1)),IF(B16=B17,IF(O16=O17,0,(DATEDIF(J16,K16,"M")+1)),(DATEDIF(J16,K16,"M")+1))))</f>
        <v/>
      </c>
      <c r="O16" s="1015" t="str">
        <f t="shared" si="5"/>
        <v>novembre</v>
      </c>
      <c r="P16" s="358" t="str">
        <f>IF(A16=FALSE,"",IF(NAMES!$D$10=FALSE,IF((DATEDIF(L16,M16,"D")+1)&lt;365,(DATEDIF(L16,M16,"D")+1),365),IF((DATEDIF(J16,K16,"D")+1)&lt;365,(DATEDIF(J16,K16,"D")+1),365)))</f>
        <v/>
      </c>
      <c r="Q16" s="358" t="str">
        <f>IF(A16=FALSE,"",IF(NAMES!$D$10=FALSE,IF(M16="",365,DATEDIF(L16,M16,"D")+1),IF(M16="",365,DATEDIF(J16,K16,"D")+1)))</f>
        <v/>
      </c>
      <c r="R16" s="950" t="str">
        <f>Calcul!X16</f>
        <v/>
      </c>
      <c r="S16" s="950" t="str">
        <f>Calcul!Y16</f>
        <v/>
      </c>
      <c r="T16" s="993" t="str">
        <f>Calcul!AG16</f>
        <v/>
      </c>
      <c r="U16" s="368" t="str">
        <f>IF(A16=FALSE,"",IF(NAMES!$D$10=FALSE,IF(Detail!S16="","",Detail!S16),IF(Crewlist!V16="","",Crewlist!V16)))</f>
        <v/>
      </c>
      <c r="V16" s="245" t="str">
        <f>Calcul!AI16</f>
        <v/>
      </c>
      <c r="W16" s="245" t="str">
        <f>Calcul!AL16</f>
        <v/>
      </c>
      <c r="X16" s="245" t="str">
        <f>Calcul!AM16</f>
        <v/>
      </c>
      <c r="Y16" s="353" t="str">
        <f>Calcul!AN16</f>
        <v/>
      </c>
      <c r="Z16" s="245" t="str">
        <f>Calcul!AO16</f>
        <v/>
      </c>
      <c r="AA16" s="245" t="str">
        <f>Calcul!AP16</f>
        <v/>
      </c>
      <c r="AB16" s="353" t="str">
        <f>Calcul!AQ16</f>
        <v/>
      </c>
      <c r="AC16" s="353" t="str">
        <f>IF(C16=FALSE,"",Calcul!BE16+Calcul!BF16)</f>
        <v/>
      </c>
      <c r="AD16" s="1224" t="str">
        <f>IF(C16=FALSE,"",(Calcul!BG16+Calcul!BH16)+SUM(Calcul!BI16:BN16))</f>
        <v/>
      </c>
      <c r="AE16" s="1224" t="str">
        <f>Calcul!BP16</f>
        <v/>
      </c>
      <c r="AF16" s="332" t="str">
        <f>IF(A16=FALSE,"",YEAR(Detail!F16)&amp;Detail!AG16&amp;Detail!AD16&amp;"-"&amp;Detail!$AD$13&amp;Detail!AE16)</f>
        <v/>
      </c>
      <c r="AG16" s="1406" t="s">
        <v>2970</v>
      </c>
      <c r="AH16" s="1354" t="s">
        <v>2277</v>
      </c>
      <c r="AI16" s="1407">
        <v>0</v>
      </c>
      <c r="AJ16" s="1407" t="s">
        <v>2236</v>
      </c>
      <c r="AK16" s="1410">
        <v>32</v>
      </c>
      <c r="AL16" s="508">
        <v>0</v>
      </c>
      <c r="AM16" s="1325">
        <v>1</v>
      </c>
      <c r="AN16" s="1325">
        <v>0</v>
      </c>
      <c r="AO16" s="333" t="str">
        <f>IF(A16=FALSE,"",IF(Detail!AL16="","N/A",YEAR(Detail!F16)&amp;Detail!AO16&amp;Detail!AL16&amp;"-"&amp;Detail!$AL$13&amp;Detail!AM16))</f>
        <v/>
      </c>
      <c r="AP16" s="1406" t="s">
        <v>2971</v>
      </c>
      <c r="AQ16" s="1354" t="s">
        <v>2277</v>
      </c>
      <c r="AR16" s="1407">
        <f t="shared" ref="AR16:AR79" si="7">AI16</f>
        <v>0</v>
      </c>
      <c r="AS16" s="1325" t="s">
        <v>2236</v>
      </c>
      <c r="AT16" s="264">
        <v>0</v>
      </c>
      <c r="AU16" s="1325">
        <v>0</v>
      </c>
      <c r="AV16" s="1325">
        <v>1</v>
      </c>
      <c r="AW16" s="1325">
        <v>0</v>
      </c>
      <c r="AX16" s="1326" t="str">
        <f>IF(A16=FALSE,"",IF(Detail!AT16="","N/A",YEAR(Detail!F16)&amp;Detail!AW16&amp;Detail!AT16&amp;"-"&amp;Detail!$AT$13))</f>
        <v/>
      </c>
      <c r="AY16" s="1408" t="s">
        <v>2861</v>
      </c>
      <c r="AZ16" s="1326" t="s">
        <v>2278</v>
      </c>
      <c r="BA16" s="440" t="str">
        <f>IF(A16=FALSE,"",51000+(Detail!AA16*7000))</f>
        <v/>
      </c>
      <c r="BB16" s="1385">
        <v>50000</v>
      </c>
      <c r="BC16" s="247">
        <v>3</v>
      </c>
      <c r="BD16" s="1325">
        <v>0</v>
      </c>
      <c r="BE16" s="1325" t="s">
        <v>2236</v>
      </c>
      <c r="BF16" s="264">
        <v>0</v>
      </c>
      <c r="BG16" s="508">
        <v>0</v>
      </c>
      <c r="BH16" s="1325">
        <v>1</v>
      </c>
      <c r="BI16" s="1325">
        <v>0</v>
      </c>
      <c r="BJ16" s="311" t="str">
        <f>IF(A16=FALSE,"",IF(Detail!BB16="","N/A",YEAR(Detail!F16)&amp;Detail!BE16&amp;Detail!BB16&amp;"-"&amp;Detail!$BB$13))</f>
        <v/>
      </c>
      <c r="BK16" s="1406" t="s">
        <v>2972</v>
      </c>
      <c r="BL16" s="1354" t="s">
        <v>2278</v>
      </c>
      <c r="BM16" s="440" t="str">
        <f>IF(A16=FALSE,"",51000+(Detail!AA16*7000))</f>
        <v/>
      </c>
      <c r="BN16" s="1412">
        <v>50000</v>
      </c>
      <c r="BO16" s="247">
        <v>3</v>
      </c>
      <c r="BP16" s="1325">
        <v>0</v>
      </c>
      <c r="BQ16" s="1325" t="s">
        <v>2236</v>
      </c>
      <c r="BR16" s="264">
        <v>0</v>
      </c>
      <c r="BS16" s="508">
        <v>0</v>
      </c>
      <c r="BT16" s="1325">
        <v>1</v>
      </c>
      <c r="BU16" s="1325">
        <v>0</v>
      </c>
      <c r="BV16" s="311" t="str">
        <f>IF(A16=FALSE,"",IF(Detail!BJ16="","N/A",YEAR(Detail!F16)&amp;Detail!BM16&amp;Detail!BJ16&amp;"-"&amp;Detail!$BJ$13))</f>
        <v/>
      </c>
      <c r="BW16" s="1409" t="s">
        <v>2973</v>
      </c>
      <c r="BX16" s="1354" t="s">
        <v>2278</v>
      </c>
      <c r="BY16" s="440" t="str">
        <f t="shared" ref="BY16:BY79" si="8">IF(A16=FALSE,"",60000)</f>
        <v/>
      </c>
      <c r="BZ16" s="1385">
        <v>50000</v>
      </c>
      <c r="CA16" s="247">
        <v>3</v>
      </c>
      <c r="CB16" s="1325">
        <v>0</v>
      </c>
      <c r="CC16" s="1325" t="s">
        <v>2236</v>
      </c>
      <c r="CD16" s="264">
        <v>0</v>
      </c>
      <c r="CE16" s="508">
        <v>0</v>
      </c>
      <c r="CF16" s="1325">
        <v>1</v>
      </c>
      <c r="CG16" s="1325">
        <v>0</v>
      </c>
      <c r="CH16" s="311" t="str">
        <f>IF(A16=FALSE,"",IF(Detail!BR16="","N/A",YEAR(Detail!F16)&amp;Detail!BU16&amp;Detail!BR16&amp;"-"&amp;Detail!$BR$13))</f>
        <v/>
      </c>
      <c r="CI16" s="1409" t="s">
        <v>2974</v>
      </c>
      <c r="CJ16" s="1354" t="s">
        <v>2278</v>
      </c>
      <c r="CK16" s="440" t="str">
        <f t="shared" ref="CK16:CK79" si="9">IF(A16=FALSE,"",60000)</f>
        <v/>
      </c>
      <c r="CL16" s="1412">
        <v>50000</v>
      </c>
      <c r="CM16" s="247">
        <v>3</v>
      </c>
      <c r="CN16" s="1325">
        <v>0</v>
      </c>
      <c r="CO16" s="1325" t="s">
        <v>2236</v>
      </c>
      <c r="CP16" s="264">
        <v>0</v>
      </c>
      <c r="CQ16" s="508">
        <v>0</v>
      </c>
      <c r="CR16" s="1325">
        <v>1</v>
      </c>
      <c r="CS16" s="1325">
        <v>0</v>
      </c>
      <c r="CT16" s="311" t="str">
        <f>IF(A16=FALSE,"",IF(Detail!BZ16="","N/A",YEAR(Detail!F16)&amp;Detail!CC16&amp;Detail!BZ16&amp;"-"&amp;Detail!$BZ$13&amp;" (100%/"&amp;Detail!CD16&amp;"/"&amp;Detail!CE16&amp;"D)"))</f>
        <v/>
      </c>
      <c r="CU16" s="1409" t="s">
        <v>2989</v>
      </c>
      <c r="CV16" s="1354" t="s">
        <v>2278</v>
      </c>
      <c r="CW16" s="1010">
        <v>7</v>
      </c>
      <c r="CX16" s="1323">
        <v>365</v>
      </c>
      <c r="CY16" s="248">
        <v>1</v>
      </c>
      <c r="CZ16" s="1325">
        <v>0</v>
      </c>
      <c r="DA16" s="1407" t="s">
        <v>2359</v>
      </c>
      <c r="DB16" s="538">
        <v>40</v>
      </c>
      <c r="DC16" s="1325">
        <v>0.1</v>
      </c>
      <c r="DD16" s="1325">
        <v>1</v>
      </c>
      <c r="DE16" s="1325">
        <v>0</v>
      </c>
      <c r="DF16" s="313" t="str">
        <f>IF(A16=FALSE,"",IF(Detail!CH16="","N/A",YEAR(Detail!F16)&amp;Detail!CK16&amp;Detail!CH16&amp;"-"&amp;Detail!$CH$13&amp;" (100%/"&amp;Detail!CL16&amp;"/"&amp;Detail!CM16&amp;"D)"))</f>
        <v/>
      </c>
      <c r="DG16" s="1406" t="s">
        <v>2975</v>
      </c>
      <c r="DH16" s="518" t="s">
        <v>2278</v>
      </c>
      <c r="DI16" s="1010">
        <f t="shared" ref="DI16:DI79" si="10">CW16</f>
        <v>7</v>
      </c>
      <c r="DJ16" s="1323">
        <f t="shared" ref="DJ16:DJ79" si="11">CX16</f>
        <v>365</v>
      </c>
      <c r="DK16" s="258">
        <v>1</v>
      </c>
      <c r="DL16" s="1325">
        <v>0</v>
      </c>
      <c r="DM16" s="1407" t="s">
        <v>2359</v>
      </c>
      <c r="DN16" s="538">
        <v>40</v>
      </c>
      <c r="DO16" s="1325">
        <f t="shared" ref="DO16:DO79" si="12">DC16</f>
        <v>0.1</v>
      </c>
      <c r="DP16" s="1325">
        <v>1</v>
      </c>
      <c r="DQ16" s="1325">
        <v>0</v>
      </c>
      <c r="DR16" s="1326" t="str">
        <f>IF(A16=FALSE,"",IF(Detail!CP16="","N/A",YEAR(Detail!F16)&amp;Detail!CS16&amp;Detail!CP16&amp;"-"&amp;Detail!$CP$13))</f>
        <v/>
      </c>
      <c r="DS16" s="1326" t="s">
        <v>2236</v>
      </c>
      <c r="DT16" s="1354" t="s">
        <v>2277</v>
      </c>
      <c r="DU16" s="1385">
        <v>50000</v>
      </c>
      <c r="DV16" s="247">
        <v>2</v>
      </c>
      <c r="DW16" s="1325">
        <v>0</v>
      </c>
      <c r="DX16" s="1325" t="s">
        <v>2236</v>
      </c>
      <c r="DY16" s="264">
        <v>0</v>
      </c>
      <c r="DZ16" s="444">
        <v>0</v>
      </c>
      <c r="EA16" s="444">
        <v>1</v>
      </c>
      <c r="EB16" s="444">
        <v>0</v>
      </c>
      <c r="EC16" s="761" t="str">
        <f>IF(A16=FALSE,"",IF(Detail!CX16="","N/A",YEAR(Detail!F16)&amp;Detail!DA16&amp;Detail!CX16&amp;"-"&amp;Detail!$CX$13))</f>
        <v/>
      </c>
      <c r="ED16" s="1327" t="s">
        <v>2236</v>
      </c>
      <c r="EE16" s="1354" t="s">
        <v>2277</v>
      </c>
      <c r="EF16" s="1385">
        <v>50000</v>
      </c>
      <c r="EG16" s="247">
        <v>2</v>
      </c>
      <c r="EH16" s="1325">
        <v>0</v>
      </c>
      <c r="EI16" s="1325" t="s">
        <v>2236</v>
      </c>
      <c r="EJ16" s="264">
        <v>0</v>
      </c>
      <c r="EK16" s="444">
        <v>0</v>
      </c>
      <c r="EL16" s="444">
        <v>1</v>
      </c>
      <c r="EM16" s="444">
        <v>0</v>
      </c>
      <c r="EN16" s="333" t="str">
        <f>IF(A16=FALSE,"",IF(Detail!DF16="","N/A",YEAR(Detail!F16)&amp;Detail!DI16&amp;Detail!DF16&amp;"-"&amp;Detail!$DF$13))</f>
        <v/>
      </c>
      <c r="EO16" s="1354" t="s">
        <v>2236</v>
      </c>
      <c r="EP16" s="1354" t="s">
        <v>2277</v>
      </c>
      <c r="EQ16" s="1325">
        <f t="shared" ref="EQ16:EQ79" si="13">EH16</f>
        <v>0</v>
      </c>
      <c r="ER16" s="1325" t="s">
        <v>2236</v>
      </c>
      <c r="ES16" s="264">
        <v>0</v>
      </c>
      <c r="ET16" s="1325">
        <v>0</v>
      </c>
      <c r="EU16" s="1325">
        <v>1</v>
      </c>
      <c r="EV16" s="1325">
        <v>0</v>
      </c>
      <c r="EW16" s="333" t="str">
        <f>IF(A16=FALSE,"",IF(Detail!DN16="","N/A",YEAR(Detail!F16)&amp;Detail!DQ16&amp;Detail!DN16&amp;"-"&amp;Detail!$DN$13))</f>
        <v/>
      </c>
      <c r="EX16" s="1354" t="s">
        <v>2236</v>
      </c>
      <c r="EY16" s="1354" t="s">
        <v>2277</v>
      </c>
      <c r="EZ16" s="1325">
        <f t="shared" ref="EZ16:EZ79" si="14">EQ16</f>
        <v>0</v>
      </c>
      <c r="FA16" s="1325" t="s">
        <v>2236</v>
      </c>
      <c r="FB16" s="264">
        <v>0</v>
      </c>
      <c r="FC16" s="1325">
        <v>0</v>
      </c>
      <c r="FD16" s="1325">
        <v>1</v>
      </c>
      <c r="FE16" s="1325">
        <v>0</v>
      </c>
    </row>
    <row r="17" spans="1:161" s="1369" customFormat="1" ht="30" customHeight="1" outlineLevel="1">
      <c r="A17" s="439" t="b">
        <f>Calcul!A17</f>
        <v>0</v>
      </c>
      <c r="B17" s="510" t="str">
        <f t="shared" si="6"/>
        <v/>
      </c>
      <c r="C17" s="1404" t="b">
        <v>0</v>
      </c>
      <c r="D17" s="1404" t="s">
        <v>2147</v>
      </c>
      <c r="E17" s="1405" t="s">
        <v>2333</v>
      </c>
      <c r="F17" s="1323" t="s">
        <v>2146</v>
      </c>
      <c r="G17" s="356" t="str">
        <f>IF(A17=FALSE,"",IF(NAMES!$D$10=FALSE,IF(Detail!H17="","",Detail!H17),IF(Crewlist!D17="","",Crewlist!D17)))</f>
        <v/>
      </c>
      <c r="H17" s="356" t="str">
        <f>IF(A17=FALSE,"",IF(NAMES!$D$10=FALSE,IF(Detail!P17="","",Detail!P17),IF(Crewlist!E17="","",Crewlist!E17)))</f>
        <v/>
      </c>
      <c r="I17" s="356" t="str">
        <f>IF(A17=FALSE,"",IF(NAMES!$D$10=FALSE,IF(Detail!K17="","",Detail!K17),IF(Crewlist!F17="","",Crewlist!F17)))</f>
        <v/>
      </c>
      <c r="J17" s="1001">
        <f>IF(Crewlist!T17="","",Crewlist!T17)</f>
        <v>42496</v>
      </c>
      <c r="K17" s="1001">
        <f>IF(Crewlist!D17="","",IF(Crewlist!U17="",Crewlist!Y17,IF(DATERENOUVMOINS730&lt;&gt;Crewlist!U17&lt;&gt;Crewlist!Y17,Crewlist!U17,DATERENOUVMOINS365)))</f>
        <v>42561</v>
      </c>
      <c r="L17" s="775">
        <f>IF(Detail!X17="","",Detail!X17)</f>
        <v>42496</v>
      </c>
      <c r="M17" s="775">
        <f>IF(Detail!H17="","",IF(Detail!Y17="",DATERENOUV,IF(Detail!Y17&gt;Detail!D17,Detail!D17,Detail!Y17)))</f>
        <v>42561</v>
      </c>
      <c r="N17" s="1015" t="str">
        <f>IF(A17=FALSE,"",IF(NAMES!$D$10=FALSE,IF(B17=B18,IF(O17=O18,0,(DATEDIF(L17,M17,"M")+1)),(DATEDIF(L17,M17,"M")+1)),IF(B17=B18,IF(O17=O18,0,(DATEDIF(J17,K17,"M")+1)),(DATEDIF(J17,K17,"M")+1))))</f>
        <v/>
      </c>
      <c r="O17" s="1015" t="str">
        <f t="shared" si="5"/>
        <v>mai</v>
      </c>
      <c r="P17" s="358" t="str">
        <f>IF(A17=FALSE,"",IF(NAMES!$D$10=FALSE,IF((DATEDIF(L17,M17,"D")+1)&lt;365,(DATEDIF(L17,M17,"D")+1),365),IF((DATEDIF(J17,K17,"D")+1)&lt;365,(DATEDIF(J17,K17,"D")+1),365)))</f>
        <v/>
      </c>
      <c r="Q17" s="358" t="str">
        <f>IF(A17=FALSE,"",IF(NAMES!$D$10=FALSE,IF(M17="",365,DATEDIF(L17,M17,"D")+1),IF(M17="",365,DATEDIF(J17,K17,"D")+1)))</f>
        <v/>
      </c>
      <c r="R17" s="950" t="str">
        <f>Calcul!X17</f>
        <v/>
      </c>
      <c r="S17" s="950" t="str">
        <f>Calcul!Y17</f>
        <v/>
      </c>
      <c r="T17" s="993" t="str">
        <f>Calcul!AG17</f>
        <v/>
      </c>
      <c r="U17" s="368" t="str">
        <f>IF(A17=FALSE,"",IF(NAMES!$D$10=FALSE,IF(Detail!S17="","",Detail!S17),IF(Crewlist!V17="","",Crewlist!V17)))</f>
        <v/>
      </c>
      <c r="V17" s="245" t="str">
        <f>Calcul!AI17</f>
        <v/>
      </c>
      <c r="W17" s="245" t="str">
        <f>Calcul!AL17</f>
        <v/>
      </c>
      <c r="X17" s="245" t="str">
        <f>Calcul!AM17</f>
        <v/>
      </c>
      <c r="Y17" s="353" t="str">
        <f>Calcul!AN17</f>
        <v/>
      </c>
      <c r="Z17" s="245" t="str">
        <f>Calcul!AO17</f>
        <v/>
      </c>
      <c r="AA17" s="245" t="str">
        <f>Calcul!AP17</f>
        <v/>
      </c>
      <c r="AB17" s="353" t="str">
        <f>Calcul!AQ17</f>
        <v/>
      </c>
      <c r="AC17" s="353" t="str">
        <f>IF(C17=FALSE,"",Calcul!BE17+Calcul!BF17)</f>
        <v/>
      </c>
      <c r="AD17" s="1224" t="str">
        <f>IF(C17=FALSE,"",(Calcul!BG17+Calcul!BH17)+SUM(Calcul!BI17:BN17))</f>
        <v/>
      </c>
      <c r="AE17" s="1224" t="str">
        <f>Calcul!BP17</f>
        <v/>
      </c>
      <c r="AF17" s="332" t="str">
        <f>IF(A17=FALSE,"",YEAR(Detail!F17)&amp;Detail!AG17&amp;Detail!AD17&amp;"-"&amp;Detail!$AD$13&amp;Detail!AE17)</f>
        <v/>
      </c>
      <c r="AG17" s="1406" t="s">
        <v>2970</v>
      </c>
      <c r="AH17" s="1354" t="s">
        <v>2277</v>
      </c>
      <c r="AI17" s="1407">
        <v>0</v>
      </c>
      <c r="AJ17" s="1407" t="s">
        <v>2236</v>
      </c>
      <c r="AK17" s="1410">
        <v>32</v>
      </c>
      <c r="AL17" s="508">
        <v>0</v>
      </c>
      <c r="AM17" s="1325">
        <v>1</v>
      </c>
      <c r="AN17" s="1325">
        <v>0</v>
      </c>
      <c r="AO17" s="333" t="str">
        <f>IF(A17=FALSE,"",IF(Detail!AL17="","N/A",YEAR(Detail!F17)&amp;Detail!AO17&amp;Detail!AL17&amp;"-"&amp;Detail!$AL$13&amp;Detail!AM17))</f>
        <v/>
      </c>
      <c r="AP17" s="1406" t="s">
        <v>2971</v>
      </c>
      <c r="AQ17" s="1354" t="s">
        <v>2277</v>
      </c>
      <c r="AR17" s="1407">
        <f t="shared" si="7"/>
        <v>0</v>
      </c>
      <c r="AS17" s="1325" t="s">
        <v>2236</v>
      </c>
      <c r="AT17" s="264">
        <v>0</v>
      </c>
      <c r="AU17" s="1325">
        <v>0</v>
      </c>
      <c r="AV17" s="1325">
        <v>1</v>
      </c>
      <c r="AW17" s="1325">
        <v>0</v>
      </c>
      <c r="AX17" s="1326" t="str">
        <f>IF(A17=FALSE,"",IF(Detail!AT17="","N/A",YEAR(Detail!F17)&amp;Detail!AW17&amp;Detail!AT17&amp;"-"&amp;Detail!$AT$13))</f>
        <v/>
      </c>
      <c r="AY17" s="1408" t="s">
        <v>2861</v>
      </c>
      <c r="AZ17" s="1326" t="s">
        <v>2278</v>
      </c>
      <c r="BA17" s="440" t="str">
        <f>IF(A17=FALSE,"",51000+(Detail!AA17*7000))</f>
        <v/>
      </c>
      <c r="BB17" s="1385">
        <v>50000</v>
      </c>
      <c r="BC17" s="247">
        <v>3</v>
      </c>
      <c r="BD17" s="1325">
        <v>0</v>
      </c>
      <c r="BE17" s="1325" t="s">
        <v>2236</v>
      </c>
      <c r="BF17" s="264">
        <v>0</v>
      </c>
      <c r="BG17" s="508">
        <v>0</v>
      </c>
      <c r="BH17" s="1325">
        <v>1</v>
      </c>
      <c r="BI17" s="1325">
        <v>0</v>
      </c>
      <c r="BJ17" s="311" t="str">
        <f>IF(A17=FALSE,"",IF(Detail!BB17="","N/A",YEAR(Detail!F17)&amp;Detail!BE17&amp;Detail!BB17&amp;"-"&amp;Detail!$BB$13))</f>
        <v/>
      </c>
      <c r="BK17" s="1406" t="s">
        <v>2972</v>
      </c>
      <c r="BL17" s="1354" t="s">
        <v>2278</v>
      </c>
      <c r="BM17" s="440" t="str">
        <f>IF(A17=FALSE,"",51000+(Detail!AA17*7000))</f>
        <v/>
      </c>
      <c r="BN17" s="1412">
        <v>50000</v>
      </c>
      <c r="BO17" s="247">
        <v>3</v>
      </c>
      <c r="BP17" s="1325">
        <v>0</v>
      </c>
      <c r="BQ17" s="1325" t="s">
        <v>2236</v>
      </c>
      <c r="BR17" s="264">
        <v>0</v>
      </c>
      <c r="BS17" s="508">
        <v>0</v>
      </c>
      <c r="BT17" s="1325">
        <v>1</v>
      </c>
      <c r="BU17" s="1325">
        <v>0</v>
      </c>
      <c r="BV17" s="311" t="str">
        <f>IF(A17=FALSE,"",IF(Detail!BJ17="","N/A",YEAR(Detail!F17)&amp;Detail!BM17&amp;Detail!BJ17&amp;"-"&amp;Detail!$BJ$13))</f>
        <v/>
      </c>
      <c r="BW17" s="1409" t="s">
        <v>2973</v>
      </c>
      <c r="BX17" s="1354" t="s">
        <v>2278</v>
      </c>
      <c r="BY17" s="440" t="str">
        <f t="shared" si="8"/>
        <v/>
      </c>
      <c r="BZ17" s="1385">
        <v>50000</v>
      </c>
      <c r="CA17" s="247">
        <v>3</v>
      </c>
      <c r="CB17" s="1325">
        <v>0</v>
      </c>
      <c r="CC17" s="1325" t="s">
        <v>2236</v>
      </c>
      <c r="CD17" s="264">
        <v>0</v>
      </c>
      <c r="CE17" s="508">
        <v>0</v>
      </c>
      <c r="CF17" s="1325">
        <v>1</v>
      </c>
      <c r="CG17" s="1325">
        <v>0</v>
      </c>
      <c r="CH17" s="311" t="str">
        <f>IF(A17=FALSE,"",IF(Detail!BR17="","N/A",YEAR(Detail!F17)&amp;Detail!BU17&amp;Detail!BR17&amp;"-"&amp;Detail!$BR$13))</f>
        <v/>
      </c>
      <c r="CI17" s="1409" t="s">
        <v>2974</v>
      </c>
      <c r="CJ17" s="1354" t="s">
        <v>2278</v>
      </c>
      <c r="CK17" s="440" t="str">
        <f t="shared" si="9"/>
        <v/>
      </c>
      <c r="CL17" s="1412">
        <v>50000</v>
      </c>
      <c r="CM17" s="247">
        <v>3</v>
      </c>
      <c r="CN17" s="1325">
        <v>0</v>
      </c>
      <c r="CO17" s="1325" t="s">
        <v>2236</v>
      </c>
      <c r="CP17" s="264">
        <v>0</v>
      </c>
      <c r="CQ17" s="508">
        <v>0</v>
      </c>
      <c r="CR17" s="1325">
        <v>1</v>
      </c>
      <c r="CS17" s="1325">
        <v>0</v>
      </c>
      <c r="CT17" s="311" t="str">
        <f>IF(A17=FALSE,"",IF(Detail!BZ17="","N/A",YEAR(Detail!F17)&amp;Detail!CC17&amp;Detail!BZ17&amp;"-"&amp;Detail!$BZ$13&amp;" (100%/"&amp;Detail!CD17&amp;"/"&amp;Detail!CE17&amp;"D)"))</f>
        <v/>
      </c>
      <c r="CU17" s="1409" t="s">
        <v>2989</v>
      </c>
      <c r="CV17" s="1354" t="s">
        <v>2278</v>
      </c>
      <c r="CW17" s="1010">
        <v>7</v>
      </c>
      <c r="CX17" s="1323">
        <v>365</v>
      </c>
      <c r="CY17" s="248">
        <v>1</v>
      </c>
      <c r="CZ17" s="1325">
        <v>0</v>
      </c>
      <c r="DA17" s="1407" t="s">
        <v>2359</v>
      </c>
      <c r="DB17" s="538">
        <v>40</v>
      </c>
      <c r="DC17" s="1325">
        <v>0.1</v>
      </c>
      <c r="DD17" s="1325">
        <v>1</v>
      </c>
      <c r="DE17" s="1325">
        <v>0</v>
      </c>
      <c r="DF17" s="313" t="str">
        <f>IF(A17=FALSE,"",IF(Detail!CH17="","N/A",YEAR(Detail!F17)&amp;Detail!CK17&amp;Detail!CH17&amp;"-"&amp;Detail!$CH$13&amp;" (100%/"&amp;Detail!CL17&amp;"/"&amp;Detail!CM17&amp;"D)"))</f>
        <v/>
      </c>
      <c r="DG17" s="1406" t="s">
        <v>2975</v>
      </c>
      <c r="DH17" s="518" t="s">
        <v>2278</v>
      </c>
      <c r="DI17" s="1010">
        <f t="shared" si="10"/>
        <v>7</v>
      </c>
      <c r="DJ17" s="1323">
        <f t="shared" si="11"/>
        <v>365</v>
      </c>
      <c r="DK17" s="258">
        <v>1</v>
      </c>
      <c r="DL17" s="1325">
        <v>0</v>
      </c>
      <c r="DM17" s="1407" t="s">
        <v>2359</v>
      </c>
      <c r="DN17" s="538">
        <v>40</v>
      </c>
      <c r="DO17" s="1325">
        <f t="shared" si="12"/>
        <v>0.1</v>
      </c>
      <c r="DP17" s="1325">
        <v>1</v>
      </c>
      <c r="DQ17" s="1325">
        <v>0</v>
      </c>
      <c r="DR17" s="1326" t="str">
        <f>IF(A17=FALSE,"",IF(Detail!CP17="","N/A",YEAR(Detail!F17)&amp;Detail!CS17&amp;Detail!CP17&amp;"-"&amp;Detail!$CP$13))</f>
        <v/>
      </c>
      <c r="DS17" s="1326" t="s">
        <v>2236</v>
      </c>
      <c r="DT17" s="1354" t="s">
        <v>2277</v>
      </c>
      <c r="DU17" s="1385">
        <v>50000</v>
      </c>
      <c r="DV17" s="247">
        <v>2</v>
      </c>
      <c r="DW17" s="1325">
        <v>0</v>
      </c>
      <c r="DX17" s="1325" t="s">
        <v>2236</v>
      </c>
      <c r="DY17" s="264">
        <v>0</v>
      </c>
      <c r="DZ17" s="444">
        <v>0</v>
      </c>
      <c r="EA17" s="444">
        <v>1</v>
      </c>
      <c r="EB17" s="444">
        <v>0</v>
      </c>
      <c r="EC17" s="761" t="str">
        <f>IF(A17=FALSE,"",IF(Detail!CX17="","N/A",YEAR(Detail!F17)&amp;Detail!DA17&amp;Detail!CX17&amp;"-"&amp;Detail!$CX$13))</f>
        <v/>
      </c>
      <c r="ED17" s="1327" t="s">
        <v>2236</v>
      </c>
      <c r="EE17" s="1354" t="s">
        <v>2277</v>
      </c>
      <c r="EF17" s="1385">
        <v>50000</v>
      </c>
      <c r="EG17" s="247">
        <v>2</v>
      </c>
      <c r="EH17" s="1325">
        <v>0</v>
      </c>
      <c r="EI17" s="1325" t="s">
        <v>2236</v>
      </c>
      <c r="EJ17" s="264">
        <v>0</v>
      </c>
      <c r="EK17" s="444">
        <v>0</v>
      </c>
      <c r="EL17" s="444">
        <v>1</v>
      </c>
      <c r="EM17" s="444">
        <v>0</v>
      </c>
      <c r="EN17" s="333" t="str">
        <f>IF(A17=FALSE,"",IF(Detail!DF17="","N/A",YEAR(Detail!F17)&amp;Detail!DI17&amp;Detail!DF17&amp;"-"&amp;Detail!$DF$13))</f>
        <v/>
      </c>
      <c r="EO17" s="1354" t="s">
        <v>2236</v>
      </c>
      <c r="EP17" s="1354" t="s">
        <v>2277</v>
      </c>
      <c r="EQ17" s="1325">
        <f t="shared" si="13"/>
        <v>0</v>
      </c>
      <c r="ER17" s="1325" t="s">
        <v>2236</v>
      </c>
      <c r="ES17" s="264">
        <v>0</v>
      </c>
      <c r="ET17" s="1325">
        <v>0</v>
      </c>
      <c r="EU17" s="1325">
        <v>1</v>
      </c>
      <c r="EV17" s="1325">
        <v>0</v>
      </c>
      <c r="EW17" s="333" t="str">
        <f>IF(A17=FALSE,"",IF(Detail!DN17="","N/A",YEAR(Detail!F17)&amp;Detail!DQ17&amp;Detail!DN17&amp;"-"&amp;Detail!$DN$13))</f>
        <v/>
      </c>
      <c r="EX17" s="1354" t="s">
        <v>2236</v>
      </c>
      <c r="EY17" s="1354" t="s">
        <v>2277</v>
      </c>
      <c r="EZ17" s="1325">
        <f t="shared" si="14"/>
        <v>0</v>
      </c>
      <c r="FA17" s="1325" t="s">
        <v>2236</v>
      </c>
      <c r="FB17" s="264">
        <v>0</v>
      </c>
      <c r="FC17" s="1325">
        <v>0</v>
      </c>
      <c r="FD17" s="1325">
        <v>1</v>
      </c>
      <c r="FE17" s="1325">
        <v>0</v>
      </c>
    </row>
    <row r="18" spans="1:161" s="1369" customFormat="1" ht="30" customHeight="1" outlineLevel="1">
      <c r="A18" s="439" t="b">
        <f>Calcul!A18</f>
        <v>0</v>
      </c>
      <c r="B18" s="510" t="str">
        <f t="shared" si="6"/>
        <v/>
      </c>
      <c r="C18" s="1404" t="b">
        <v>0</v>
      </c>
      <c r="D18" s="1404" t="s">
        <v>2147</v>
      </c>
      <c r="E18" s="1405" t="s">
        <v>2333</v>
      </c>
      <c r="F18" s="1323" t="s">
        <v>2146</v>
      </c>
      <c r="G18" s="356" t="str">
        <f>IF(A18=FALSE,"",IF(NAMES!$D$10=FALSE,IF(Detail!H18="","",Detail!H18),IF(Crewlist!D18="","",Crewlist!D18)))</f>
        <v/>
      </c>
      <c r="H18" s="356" t="str">
        <f>IF(A18=FALSE,"",IF(NAMES!$D$10=FALSE,IF(Detail!P18="","",Detail!P18),IF(Crewlist!E18="","",Crewlist!E18)))</f>
        <v/>
      </c>
      <c r="I18" s="356" t="str">
        <f>IF(A18=FALSE,"",IF(NAMES!$D$10=FALSE,IF(Detail!K18="","",Detail!K18),IF(Crewlist!F18="","",Crewlist!F18)))</f>
        <v/>
      </c>
      <c r="J18" s="1001">
        <f>IF(Crewlist!T18="","",Crewlist!T18)</f>
        <v>42561</v>
      </c>
      <c r="K18" s="1001">
        <f>IF(Crewlist!D18="","",IF(Crewlist!U18="",Crewlist!Y18,IF(DATERENOUVMOINS730&lt;&gt;Crewlist!U18&lt;&gt;Crewlist!Y18,Crewlist!U18,DATERENOUVMOINS365)))</f>
        <v>42578</v>
      </c>
      <c r="L18" s="775">
        <f>IF(Detail!X18="","",Detail!X18)</f>
        <v>42561</v>
      </c>
      <c r="M18" s="775">
        <f>IF(Detail!H18="","",IF(Detail!Y18="",DATERENOUV,IF(Detail!Y18&gt;Detail!D18,Detail!D18,Detail!Y18)))</f>
        <v>42578</v>
      </c>
      <c r="N18" s="1015" t="str">
        <f>IF(A18=FALSE,"",IF(NAMES!$D$10=FALSE,IF(B18=B19,IF(O18=O19,0,(DATEDIF(L18,M18,"M")+1)),(DATEDIF(L18,M18,"M")+1)),IF(B18=B19,IF(O18=O19,0,(DATEDIF(J18,K18,"M")+1)),(DATEDIF(J18,K18,"M")+1))))</f>
        <v/>
      </c>
      <c r="O18" s="1015" t="str">
        <f t="shared" si="5"/>
        <v>juillet</v>
      </c>
      <c r="P18" s="358" t="str">
        <f>IF(A18=FALSE,"",IF(NAMES!$D$10=FALSE,IF((DATEDIF(L18,M18,"D")+1)&lt;365,(DATEDIF(L18,M18,"D")+1),365),IF((DATEDIF(J18,K18,"D")+1)&lt;365,(DATEDIF(J18,K18,"D")+1),365)))</f>
        <v/>
      </c>
      <c r="Q18" s="358" t="str">
        <f>IF(A18=FALSE,"",IF(NAMES!$D$10=FALSE,IF(M18="",365,DATEDIF(L18,M18,"D")+1),IF(M18="",365,DATEDIF(J18,K18,"D")+1)))</f>
        <v/>
      </c>
      <c r="R18" s="950" t="str">
        <f>Calcul!X18</f>
        <v/>
      </c>
      <c r="S18" s="950" t="str">
        <f>Calcul!Y18</f>
        <v/>
      </c>
      <c r="T18" s="993" t="str">
        <f>Calcul!AG18</f>
        <v/>
      </c>
      <c r="U18" s="368" t="str">
        <f>IF(A18=FALSE,"",IF(NAMES!$D$10=FALSE,IF(Detail!S18="","",Detail!S18),IF(Crewlist!V18="","",Crewlist!V18)))</f>
        <v/>
      </c>
      <c r="V18" s="245" t="str">
        <f>Calcul!AI18</f>
        <v/>
      </c>
      <c r="W18" s="245" t="str">
        <f>Calcul!AL18</f>
        <v/>
      </c>
      <c r="X18" s="245" t="str">
        <f>Calcul!AM18</f>
        <v/>
      </c>
      <c r="Y18" s="353" t="str">
        <f>Calcul!AN18</f>
        <v/>
      </c>
      <c r="Z18" s="245" t="str">
        <f>Calcul!AO18</f>
        <v/>
      </c>
      <c r="AA18" s="245" t="str">
        <f>Calcul!AP18</f>
        <v/>
      </c>
      <c r="AB18" s="353" t="str">
        <f>Calcul!AQ18</f>
        <v/>
      </c>
      <c r="AC18" s="353" t="str">
        <f>IF(C18=FALSE,"",Calcul!BE18+Calcul!BF18)</f>
        <v/>
      </c>
      <c r="AD18" s="1224" t="str">
        <f>IF(C18=FALSE,"",(Calcul!BG18+Calcul!BH18)+SUM(Calcul!BI18:BN18))</f>
        <v/>
      </c>
      <c r="AE18" s="1224" t="str">
        <f>Calcul!BP18</f>
        <v/>
      </c>
      <c r="AF18" s="332" t="str">
        <f>IF(A18=FALSE,"",YEAR(Detail!F18)&amp;Detail!AG18&amp;Detail!AD18&amp;"-"&amp;Detail!$AD$13&amp;Detail!AE18)</f>
        <v/>
      </c>
      <c r="AG18" s="1406" t="s">
        <v>2970</v>
      </c>
      <c r="AH18" s="1354" t="s">
        <v>2277</v>
      </c>
      <c r="AI18" s="1407">
        <v>0</v>
      </c>
      <c r="AJ18" s="1407" t="s">
        <v>2236</v>
      </c>
      <c r="AK18" s="1410">
        <v>32</v>
      </c>
      <c r="AL18" s="508">
        <v>0</v>
      </c>
      <c r="AM18" s="1325">
        <v>1</v>
      </c>
      <c r="AN18" s="1325">
        <v>0</v>
      </c>
      <c r="AO18" s="333" t="str">
        <f>IF(A18=FALSE,"",IF(Detail!AL18="","N/A",YEAR(Detail!F18)&amp;Detail!AO18&amp;Detail!AL18&amp;"-"&amp;Detail!$AL$13&amp;Detail!AM18))</f>
        <v/>
      </c>
      <c r="AP18" s="1406" t="s">
        <v>2971</v>
      </c>
      <c r="AQ18" s="1354" t="s">
        <v>2277</v>
      </c>
      <c r="AR18" s="1407">
        <f t="shared" si="7"/>
        <v>0</v>
      </c>
      <c r="AS18" s="1325" t="s">
        <v>2236</v>
      </c>
      <c r="AT18" s="264">
        <v>0</v>
      </c>
      <c r="AU18" s="1325">
        <v>0</v>
      </c>
      <c r="AV18" s="1325">
        <v>1</v>
      </c>
      <c r="AW18" s="1325">
        <v>0</v>
      </c>
      <c r="AX18" s="1326" t="str">
        <f>IF(A18=FALSE,"",IF(Detail!AT18="","N/A",YEAR(Detail!F18)&amp;Detail!AW18&amp;Detail!AT18&amp;"-"&amp;Detail!$AT$13))</f>
        <v/>
      </c>
      <c r="AY18" s="1408" t="s">
        <v>2861</v>
      </c>
      <c r="AZ18" s="1326" t="s">
        <v>2278</v>
      </c>
      <c r="BA18" s="440" t="str">
        <f>IF(A18=FALSE,"",51000+(Detail!AA18*7000))</f>
        <v/>
      </c>
      <c r="BB18" s="1412">
        <v>50000</v>
      </c>
      <c r="BC18" s="247">
        <v>3</v>
      </c>
      <c r="BD18" s="1325">
        <v>0</v>
      </c>
      <c r="BE18" s="1325" t="s">
        <v>2236</v>
      </c>
      <c r="BF18" s="264">
        <v>0</v>
      </c>
      <c r="BG18" s="508">
        <v>0</v>
      </c>
      <c r="BH18" s="1325">
        <v>1</v>
      </c>
      <c r="BI18" s="1325">
        <v>0</v>
      </c>
      <c r="BJ18" s="311" t="str">
        <f>IF(A18=FALSE,"",IF(Detail!BB18="","N/A",YEAR(Detail!F18)&amp;Detail!BE18&amp;Detail!BB18&amp;"-"&amp;Detail!$BB$13))</f>
        <v/>
      </c>
      <c r="BK18" s="1406" t="s">
        <v>2972</v>
      </c>
      <c r="BL18" s="1354" t="s">
        <v>2278</v>
      </c>
      <c r="BM18" s="440" t="str">
        <f>IF(A18=FALSE,"",51000+(Detail!AA18*7000))</f>
        <v/>
      </c>
      <c r="BN18" s="1412">
        <v>50000</v>
      </c>
      <c r="BO18" s="247">
        <v>3</v>
      </c>
      <c r="BP18" s="1325">
        <v>0</v>
      </c>
      <c r="BQ18" s="1325" t="s">
        <v>2236</v>
      </c>
      <c r="BR18" s="264">
        <v>0</v>
      </c>
      <c r="BS18" s="508">
        <v>0</v>
      </c>
      <c r="BT18" s="1325">
        <v>1</v>
      </c>
      <c r="BU18" s="1325">
        <v>0</v>
      </c>
      <c r="BV18" s="311" t="str">
        <f>IF(A18=FALSE,"",IF(Detail!BJ18="","N/A",YEAR(Detail!F18)&amp;Detail!BM18&amp;Detail!BJ18&amp;"-"&amp;Detail!$BJ$13))</f>
        <v/>
      </c>
      <c r="BW18" s="1409" t="s">
        <v>2973</v>
      </c>
      <c r="BX18" s="1354" t="s">
        <v>2278</v>
      </c>
      <c r="BY18" s="440" t="str">
        <f t="shared" si="8"/>
        <v/>
      </c>
      <c r="BZ18" s="1412">
        <v>50000</v>
      </c>
      <c r="CA18" s="247">
        <v>3</v>
      </c>
      <c r="CB18" s="1325">
        <v>0</v>
      </c>
      <c r="CC18" s="1325" t="s">
        <v>2236</v>
      </c>
      <c r="CD18" s="264">
        <v>0</v>
      </c>
      <c r="CE18" s="508">
        <v>0</v>
      </c>
      <c r="CF18" s="1325">
        <v>1</v>
      </c>
      <c r="CG18" s="1325">
        <v>0</v>
      </c>
      <c r="CH18" s="311" t="str">
        <f>IF(A18=FALSE,"",IF(Detail!BR18="","N/A",YEAR(Detail!F18)&amp;Detail!BU18&amp;Detail!BR18&amp;"-"&amp;Detail!$BR$13))</f>
        <v/>
      </c>
      <c r="CI18" s="1409" t="s">
        <v>2974</v>
      </c>
      <c r="CJ18" s="1354" t="s">
        <v>2278</v>
      </c>
      <c r="CK18" s="440" t="str">
        <f t="shared" si="9"/>
        <v/>
      </c>
      <c r="CL18" s="1412">
        <v>50000</v>
      </c>
      <c r="CM18" s="247">
        <v>3</v>
      </c>
      <c r="CN18" s="1325">
        <v>0</v>
      </c>
      <c r="CO18" s="1325" t="s">
        <v>2236</v>
      </c>
      <c r="CP18" s="264">
        <v>0</v>
      </c>
      <c r="CQ18" s="508">
        <v>0</v>
      </c>
      <c r="CR18" s="1325">
        <v>1</v>
      </c>
      <c r="CS18" s="1325">
        <v>0</v>
      </c>
      <c r="CT18" s="311" t="str">
        <f>IF(A18=FALSE,"",IF(Detail!BZ18="","N/A",YEAR(Detail!F18)&amp;Detail!CC18&amp;Detail!BZ18&amp;"-"&amp;Detail!$BZ$13&amp;" (100%/"&amp;Detail!CD18&amp;"/"&amp;Detail!CE18&amp;"D)"))</f>
        <v/>
      </c>
      <c r="CU18" s="1409" t="s">
        <v>2989</v>
      </c>
      <c r="CV18" s="1354" t="s">
        <v>2278</v>
      </c>
      <c r="CW18" s="1010">
        <v>7</v>
      </c>
      <c r="CX18" s="1323">
        <v>365</v>
      </c>
      <c r="CY18" s="248">
        <v>1</v>
      </c>
      <c r="CZ18" s="1325">
        <v>0</v>
      </c>
      <c r="DA18" s="1407" t="s">
        <v>2359</v>
      </c>
      <c r="DB18" s="538">
        <v>40</v>
      </c>
      <c r="DC18" s="1325">
        <v>0.1</v>
      </c>
      <c r="DD18" s="1325">
        <v>1</v>
      </c>
      <c r="DE18" s="1325">
        <v>0</v>
      </c>
      <c r="DF18" s="313" t="str">
        <f>IF(A18=FALSE,"",IF(Detail!CH18="","N/A",YEAR(Detail!F18)&amp;Detail!CK18&amp;Detail!CH18&amp;"-"&amp;Detail!$CH$13&amp;" (100%/"&amp;Detail!CL18&amp;"/"&amp;Detail!CM18&amp;"D)"))</f>
        <v/>
      </c>
      <c r="DG18" s="1406" t="s">
        <v>2975</v>
      </c>
      <c r="DH18" s="518" t="s">
        <v>2278</v>
      </c>
      <c r="DI18" s="1010">
        <f t="shared" si="10"/>
        <v>7</v>
      </c>
      <c r="DJ18" s="1323">
        <f t="shared" si="11"/>
        <v>365</v>
      </c>
      <c r="DK18" s="258">
        <v>1</v>
      </c>
      <c r="DL18" s="1325">
        <v>0</v>
      </c>
      <c r="DM18" s="1407" t="s">
        <v>2359</v>
      </c>
      <c r="DN18" s="538">
        <v>40</v>
      </c>
      <c r="DO18" s="1325">
        <f t="shared" si="12"/>
        <v>0.1</v>
      </c>
      <c r="DP18" s="1325">
        <v>1</v>
      </c>
      <c r="DQ18" s="1325">
        <v>0</v>
      </c>
      <c r="DR18" s="1326" t="str">
        <f>IF(A18=FALSE,"",IF(Detail!CP18="","N/A",YEAR(Detail!F18)&amp;Detail!CS18&amp;Detail!CP18&amp;"-"&amp;Detail!$CP$13))</f>
        <v/>
      </c>
      <c r="DS18" s="1326" t="s">
        <v>2236</v>
      </c>
      <c r="DT18" s="1354" t="s">
        <v>2277</v>
      </c>
      <c r="DU18" s="1385">
        <v>50000</v>
      </c>
      <c r="DV18" s="247">
        <v>2</v>
      </c>
      <c r="DW18" s="1325">
        <v>0</v>
      </c>
      <c r="DX18" s="1325" t="s">
        <v>2236</v>
      </c>
      <c r="DY18" s="264">
        <v>0</v>
      </c>
      <c r="DZ18" s="444">
        <v>0</v>
      </c>
      <c r="EA18" s="444">
        <v>1</v>
      </c>
      <c r="EB18" s="444">
        <v>0</v>
      </c>
      <c r="EC18" s="761" t="str">
        <f>IF(A18=FALSE,"",IF(Detail!CX18="","N/A",YEAR(Detail!F18)&amp;Detail!DA18&amp;Detail!CX18&amp;"-"&amp;Detail!$CX$13))</f>
        <v/>
      </c>
      <c r="ED18" s="1327" t="s">
        <v>2236</v>
      </c>
      <c r="EE18" s="1354" t="s">
        <v>2277</v>
      </c>
      <c r="EF18" s="1385">
        <v>50000</v>
      </c>
      <c r="EG18" s="247">
        <v>2</v>
      </c>
      <c r="EH18" s="1325">
        <v>0</v>
      </c>
      <c r="EI18" s="1325" t="s">
        <v>2236</v>
      </c>
      <c r="EJ18" s="264">
        <v>0</v>
      </c>
      <c r="EK18" s="444">
        <v>0</v>
      </c>
      <c r="EL18" s="444">
        <v>1</v>
      </c>
      <c r="EM18" s="444">
        <v>0</v>
      </c>
      <c r="EN18" s="333" t="str">
        <f>IF(A18=FALSE,"",IF(Detail!DF18="","N/A",YEAR(Detail!F18)&amp;Detail!DI18&amp;Detail!DF18&amp;"-"&amp;Detail!$DF$13))</f>
        <v/>
      </c>
      <c r="EO18" s="1354" t="s">
        <v>2236</v>
      </c>
      <c r="EP18" s="1354" t="s">
        <v>2277</v>
      </c>
      <c r="EQ18" s="1325">
        <f t="shared" si="13"/>
        <v>0</v>
      </c>
      <c r="ER18" s="1325" t="s">
        <v>2236</v>
      </c>
      <c r="ES18" s="264">
        <v>0</v>
      </c>
      <c r="ET18" s="1325">
        <v>0</v>
      </c>
      <c r="EU18" s="1325">
        <v>1</v>
      </c>
      <c r="EV18" s="1325">
        <v>0</v>
      </c>
      <c r="EW18" s="333" t="str">
        <f>IF(A18=FALSE,"",IF(Detail!DN18="","N/A",YEAR(Detail!F18)&amp;Detail!DQ18&amp;Detail!DN18&amp;"-"&amp;Detail!$DN$13))</f>
        <v/>
      </c>
      <c r="EX18" s="1354" t="s">
        <v>2236</v>
      </c>
      <c r="EY18" s="1354" t="s">
        <v>2277</v>
      </c>
      <c r="EZ18" s="1325">
        <f t="shared" si="14"/>
        <v>0</v>
      </c>
      <c r="FA18" s="1325" t="s">
        <v>2236</v>
      </c>
      <c r="FB18" s="264">
        <v>0</v>
      </c>
      <c r="FC18" s="1325">
        <v>0</v>
      </c>
      <c r="FD18" s="1325">
        <v>1</v>
      </c>
      <c r="FE18" s="1325">
        <v>0</v>
      </c>
    </row>
    <row r="19" spans="1:161" s="1369" customFormat="1" ht="30" customHeight="1" outlineLevel="1">
      <c r="A19" s="439" t="b">
        <f>Calcul!A19</f>
        <v>0</v>
      </c>
      <c r="B19" s="510" t="str">
        <f t="shared" si="6"/>
        <v/>
      </c>
      <c r="C19" s="1404" t="b">
        <v>0</v>
      </c>
      <c r="D19" s="1404" t="s">
        <v>2147</v>
      </c>
      <c r="E19" s="1405" t="s">
        <v>2333</v>
      </c>
      <c r="F19" s="1323" t="s">
        <v>2146</v>
      </c>
      <c r="G19" s="356" t="str">
        <f>IF(A19=FALSE,"",IF(NAMES!$D$10=FALSE,IF(Detail!H19="","",Detail!H19),IF(Crewlist!D19="","",Crewlist!D19)))</f>
        <v/>
      </c>
      <c r="H19" s="356" t="str">
        <f>IF(A19=FALSE,"",IF(NAMES!$D$10=FALSE,IF(Detail!P19="","",Detail!P19),IF(Crewlist!E19="","",Crewlist!E19)))</f>
        <v/>
      </c>
      <c r="I19" s="356" t="str">
        <f>IF(A19=FALSE,"",IF(NAMES!$D$10=FALSE,IF(Detail!K19="","",Detail!K19),IF(Crewlist!F19="","",Crewlist!F19)))</f>
        <v/>
      </c>
      <c r="J19" s="1001">
        <f>IF(Crewlist!T19="","",Crewlist!T19)</f>
        <v>42580</v>
      </c>
      <c r="K19" s="1001">
        <f>IF(Crewlist!D19="","",IF(Crewlist!U19="",Crewlist!Y19,IF(DATERENOUVMOINS730&lt;&gt;Crewlist!U19&lt;&gt;Crewlist!Y19,Crewlist!U19,DATERENOUVMOINS365)))</f>
        <v>42585</v>
      </c>
      <c r="L19" s="775">
        <f>IF(Detail!X19="","",Detail!X19)</f>
        <v>42580</v>
      </c>
      <c r="M19" s="775">
        <f>IF(Detail!H19="","",IF(Detail!Y19="",DATERENOUV,IF(Detail!Y19&gt;Detail!D19,Detail!D19,Detail!Y19)))</f>
        <v>42585</v>
      </c>
      <c r="N19" s="1015" t="str">
        <f>IF(A19=FALSE,"",IF(NAMES!$D$10=FALSE,IF(B19=B20,IF(O19=O20,0,(DATEDIF(L19,M19,"M")+1)),(DATEDIF(L19,M19,"M")+1)),IF(B19=B20,IF(O19=O20,0,(DATEDIF(J19,K19,"M")+1)),(DATEDIF(J19,K19,"M")+1))))</f>
        <v/>
      </c>
      <c r="O19" s="1015" t="str">
        <f t="shared" si="5"/>
        <v>juillet</v>
      </c>
      <c r="P19" s="358" t="str">
        <f>IF(A19=FALSE,"",IF(NAMES!$D$10=FALSE,IF((DATEDIF(L19,M19,"D")+1)&lt;365,(DATEDIF(L19,M19,"D")+1),365),IF((DATEDIF(J19,K19,"D")+1)&lt;365,(DATEDIF(J19,K19,"D")+1),365)))</f>
        <v/>
      </c>
      <c r="Q19" s="358" t="str">
        <f>IF(A19=FALSE,"",IF(NAMES!$D$10=FALSE,IF(M19="",365,DATEDIF(L19,M19,"D")+1),IF(M19="",365,DATEDIF(J19,K19,"D")+1)))</f>
        <v/>
      </c>
      <c r="R19" s="950" t="str">
        <f>Calcul!X19</f>
        <v/>
      </c>
      <c r="S19" s="950" t="str">
        <f>Calcul!Y19</f>
        <v/>
      </c>
      <c r="T19" s="993" t="str">
        <f>Calcul!AG19</f>
        <v/>
      </c>
      <c r="U19" s="368" t="str">
        <f>IF(A19=FALSE,"",IF(NAMES!$D$10=FALSE,IF(Detail!S19="","",Detail!S19),IF(Crewlist!V19="","",Crewlist!V19)))</f>
        <v/>
      </c>
      <c r="V19" s="245" t="str">
        <f>Calcul!AI19</f>
        <v/>
      </c>
      <c r="W19" s="245" t="str">
        <f>Calcul!AL19</f>
        <v/>
      </c>
      <c r="X19" s="245" t="str">
        <f>Calcul!AM19</f>
        <v/>
      </c>
      <c r="Y19" s="353" t="str">
        <f>Calcul!AN19</f>
        <v/>
      </c>
      <c r="Z19" s="245" t="str">
        <f>Calcul!AO19</f>
        <v/>
      </c>
      <c r="AA19" s="245" t="str">
        <f>Calcul!AP19</f>
        <v/>
      </c>
      <c r="AB19" s="353" t="str">
        <f>Calcul!AQ19</f>
        <v/>
      </c>
      <c r="AC19" s="353" t="str">
        <f>IF(C19=FALSE,"",Calcul!BE19+Calcul!BF19)</f>
        <v/>
      </c>
      <c r="AD19" s="1224" t="str">
        <f>IF(C19=FALSE,"",(Calcul!BG19+Calcul!BH19)+SUM(Calcul!BI19:BN19))</f>
        <v/>
      </c>
      <c r="AE19" s="1224" t="str">
        <f>Calcul!BP19</f>
        <v/>
      </c>
      <c r="AF19" s="332" t="str">
        <f>IF(A19=FALSE,"",YEAR(Detail!F19)&amp;Detail!AG19&amp;Detail!AD19&amp;"-"&amp;Detail!$AD$13&amp;Detail!AE19)</f>
        <v/>
      </c>
      <c r="AG19" s="1406" t="s">
        <v>2970</v>
      </c>
      <c r="AH19" s="1354" t="s">
        <v>2277</v>
      </c>
      <c r="AI19" s="1407">
        <v>0</v>
      </c>
      <c r="AJ19" s="1407" t="s">
        <v>2236</v>
      </c>
      <c r="AK19" s="1410">
        <v>32</v>
      </c>
      <c r="AL19" s="508">
        <v>0</v>
      </c>
      <c r="AM19" s="1325">
        <v>1</v>
      </c>
      <c r="AN19" s="1325">
        <v>0</v>
      </c>
      <c r="AO19" s="333" t="str">
        <f>IF(A19=FALSE,"",IF(Detail!AL19="","N/A",YEAR(Detail!F19)&amp;Detail!AO19&amp;Detail!AL19&amp;"-"&amp;Detail!$AL$13&amp;Detail!AM19))</f>
        <v/>
      </c>
      <c r="AP19" s="1406" t="s">
        <v>2971</v>
      </c>
      <c r="AQ19" s="1354" t="s">
        <v>2277</v>
      </c>
      <c r="AR19" s="1407">
        <f t="shared" si="7"/>
        <v>0</v>
      </c>
      <c r="AS19" s="1325" t="s">
        <v>2236</v>
      </c>
      <c r="AT19" s="264">
        <v>0</v>
      </c>
      <c r="AU19" s="1325">
        <v>0</v>
      </c>
      <c r="AV19" s="1325">
        <v>1</v>
      </c>
      <c r="AW19" s="1325">
        <v>0</v>
      </c>
      <c r="AX19" s="1326" t="str">
        <f>IF(A19=FALSE,"",IF(Detail!AT19="","N/A",YEAR(Detail!F19)&amp;Detail!AW19&amp;Detail!AT19&amp;"-"&amp;Detail!$AT$13))</f>
        <v/>
      </c>
      <c r="AY19" s="1408" t="s">
        <v>2861</v>
      </c>
      <c r="AZ19" s="1326" t="s">
        <v>2278</v>
      </c>
      <c r="BA19" s="440" t="str">
        <f>IF(A19=FALSE,"",51000+(Detail!AA19*7000))</f>
        <v/>
      </c>
      <c r="BB19" s="1412">
        <v>50000</v>
      </c>
      <c r="BC19" s="247">
        <v>3</v>
      </c>
      <c r="BD19" s="1325">
        <v>0</v>
      </c>
      <c r="BE19" s="1325" t="s">
        <v>2236</v>
      </c>
      <c r="BF19" s="264">
        <v>0</v>
      </c>
      <c r="BG19" s="508">
        <v>0</v>
      </c>
      <c r="BH19" s="1325">
        <v>1</v>
      </c>
      <c r="BI19" s="1325">
        <v>0</v>
      </c>
      <c r="BJ19" s="311" t="str">
        <f>IF(A19=FALSE,"",IF(Detail!BB19="","N/A",YEAR(Detail!F19)&amp;Detail!BE19&amp;Detail!BB19&amp;"-"&amp;Detail!$BB$13))</f>
        <v/>
      </c>
      <c r="BK19" s="1406" t="s">
        <v>2972</v>
      </c>
      <c r="BL19" s="1354" t="s">
        <v>2278</v>
      </c>
      <c r="BM19" s="440" t="str">
        <f>IF(A19=FALSE,"",51000+(Detail!AA19*7000))</f>
        <v/>
      </c>
      <c r="BN19" s="1412">
        <v>50000</v>
      </c>
      <c r="BO19" s="247">
        <v>3</v>
      </c>
      <c r="BP19" s="1325">
        <v>0</v>
      </c>
      <c r="BQ19" s="1325" t="s">
        <v>2236</v>
      </c>
      <c r="BR19" s="264">
        <v>0</v>
      </c>
      <c r="BS19" s="508">
        <v>0</v>
      </c>
      <c r="BT19" s="1325">
        <v>1</v>
      </c>
      <c r="BU19" s="1325">
        <v>0</v>
      </c>
      <c r="BV19" s="311" t="str">
        <f>IF(A19=FALSE,"",IF(Detail!BJ19="","N/A",YEAR(Detail!F19)&amp;Detail!BM19&amp;Detail!BJ19&amp;"-"&amp;Detail!$BJ$13))</f>
        <v/>
      </c>
      <c r="BW19" s="1409" t="s">
        <v>2973</v>
      </c>
      <c r="BX19" s="1354" t="s">
        <v>2278</v>
      </c>
      <c r="BY19" s="440" t="str">
        <f t="shared" si="8"/>
        <v/>
      </c>
      <c r="BZ19" s="1412">
        <v>50000</v>
      </c>
      <c r="CA19" s="247">
        <v>3</v>
      </c>
      <c r="CB19" s="1325">
        <v>0</v>
      </c>
      <c r="CC19" s="1325" t="s">
        <v>2236</v>
      </c>
      <c r="CD19" s="264">
        <v>0</v>
      </c>
      <c r="CE19" s="508">
        <v>0</v>
      </c>
      <c r="CF19" s="1325">
        <v>1</v>
      </c>
      <c r="CG19" s="1325">
        <v>0</v>
      </c>
      <c r="CH19" s="311" t="str">
        <f>IF(A19=FALSE,"",IF(Detail!BR19="","N/A",YEAR(Detail!F19)&amp;Detail!BU19&amp;Detail!BR19&amp;"-"&amp;Detail!$BR$13))</f>
        <v/>
      </c>
      <c r="CI19" s="1409" t="s">
        <v>2974</v>
      </c>
      <c r="CJ19" s="1354" t="s">
        <v>2278</v>
      </c>
      <c r="CK19" s="440" t="str">
        <f t="shared" si="9"/>
        <v/>
      </c>
      <c r="CL19" s="1412">
        <v>50000</v>
      </c>
      <c r="CM19" s="247">
        <v>3</v>
      </c>
      <c r="CN19" s="1325">
        <v>0</v>
      </c>
      <c r="CO19" s="1325" t="s">
        <v>2236</v>
      </c>
      <c r="CP19" s="264">
        <v>0</v>
      </c>
      <c r="CQ19" s="508">
        <v>0</v>
      </c>
      <c r="CR19" s="1325">
        <v>1</v>
      </c>
      <c r="CS19" s="1325">
        <v>0</v>
      </c>
      <c r="CT19" s="311" t="str">
        <f>IF(A19=FALSE,"",IF(Detail!BZ19="","N/A",YEAR(Detail!F19)&amp;Detail!CC19&amp;Detail!BZ19&amp;"-"&amp;Detail!$BZ$13&amp;" (100%/"&amp;Detail!CD19&amp;"/"&amp;Detail!CE19&amp;"D)"))</f>
        <v/>
      </c>
      <c r="CU19" s="1409" t="s">
        <v>2989</v>
      </c>
      <c r="CV19" s="1354" t="s">
        <v>2278</v>
      </c>
      <c r="CW19" s="1010">
        <v>7</v>
      </c>
      <c r="CX19" s="1323">
        <v>365</v>
      </c>
      <c r="CY19" s="248">
        <v>1</v>
      </c>
      <c r="CZ19" s="1325">
        <v>0</v>
      </c>
      <c r="DA19" s="1407" t="s">
        <v>2359</v>
      </c>
      <c r="DB19" s="538">
        <v>40</v>
      </c>
      <c r="DC19" s="1325">
        <v>0.1</v>
      </c>
      <c r="DD19" s="1325">
        <v>1</v>
      </c>
      <c r="DE19" s="1325">
        <v>0</v>
      </c>
      <c r="DF19" s="313" t="str">
        <f>IF(A19=FALSE,"",IF(Detail!CH19="","N/A",YEAR(Detail!F19)&amp;Detail!CK19&amp;Detail!CH19&amp;"-"&amp;Detail!$CH$13&amp;" (100%/"&amp;Detail!CL19&amp;"/"&amp;Detail!CM19&amp;"D)"))</f>
        <v/>
      </c>
      <c r="DG19" s="1406" t="s">
        <v>2975</v>
      </c>
      <c r="DH19" s="518" t="s">
        <v>2278</v>
      </c>
      <c r="DI19" s="1010">
        <f t="shared" si="10"/>
        <v>7</v>
      </c>
      <c r="DJ19" s="1323">
        <f t="shared" si="11"/>
        <v>365</v>
      </c>
      <c r="DK19" s="258">
        <v>1</v>
      </c>
      <c r="DL19" s="1325">
        <v>0</v>
      </c>
      <c r="DM19" s="1407" t="s">
        <v>2359</v>
      </c>
      <c r="DN19" s="538">
        <v>40</v>
      </c>
      <c r="DO19" s="1325">
        <f t="shared" si="12"/>
        <v>0.1</v>
      </c>
      <c r="DP19" s="1325">
        <v>1</v>
      </c>
      <c r="DQ19" s="1325">
        <v>0</v>
      </c>
      <c r="DR19" s="1326" t="str">
        <f>IF(A19=FALSE,"",IF(Detail!CP19="","N/A",YEAR(Detail!F19)&amp;Detail!CS19&amp;Detail!CP19&amp;"-"&amp;Detail!$CP$13))</f>
        <v/>
      </c>
      <c r="DS19" s="1326" t="s">
        <v>2236</v>
      </c>
      <c r="DT19" s="1354" t="s">
        <v>2277</v>
      </c>
      <c r="DU19" s="1385">
        <v>50000</v>
      </c>
      <c r="DV19" s="247">
        <v>2</v>
      </c>
      <c r="DW19" s="1325">
        <v>0</v>
      </c>
      <c r="DX19" s="1325" t="s">
        <v>2236</v>
      </c>
      <c r="DY19" s="264">
        <v>0</v>
      </c>
      <c r="DZ19" s="444">
        <v>0</v>
      </c>
      <c r="EA19" s="444">
        <v>1</v>
      </c>
      <c r="EB19" s="444">
        <v>0</v>
      </c>
      <c r="EC19" s="761" t="str">
        <f>IF(A19=FALSE,"",IF(Detail!CX19="","N/A",YEAR(Detail!F19)&amp;Detail!DA19&amp;Detail!CX19&amp;"-"&amp;Detail!$CX$13))</f>
        <v/>
      </c>
      <c r="ED19" s="1327" t="s">
        <v>2236</v>
      </c>
      <c r="EE19" s="1354" t="s">
        <v>2277</v>
      </c>
      <c r="EF19" s="1385">
        <v>50000</v>
      </c>
      <c r="EG19" s="247">
        <v>2</v>
      </c>
      <c r="EH19" s="1325">
        <v>0</v>
      </c>
      <c r="EI19" s="1325" t="s">
        <v>2236</v>
      </c>
      <c r="EJ19" s="264">
        <v>0</v>
      </c>
      <c r="EK19" s="444">
        <v>0</v>
      </c>
      <c r="EL19" s="444">
        <v>1</v>
      </c>
      <c r="EM19" s="444">
        <v>0</v>
      </c>
      <c r="EN19" s="333" t="str">
        <f>IF(A19=FALSE,"",IF(Detail!DF19="","N/A",YEAR(Detail!F19)&amp;Detail!DI19&amp;Detail!DF19&amp;"-"&amp;Detail!$DF$13))</f>
        <v/>
      </c>
      <c r="EO19" s="1354" t="s">
        <v>2236</v>
      </c>
      <c r="EP19" s="1354" t="s">
        <v>2277</v>
      </c>
      <c r="EQ19" s="1325">
        <f t="shared" si="13"/>
        <v>0</v>
      </c>
      <c r="ER19" s="1325" t="s">
        <v>2236</v>
      </c>
      <c r="ES19" s="264">
        <v>0</v>
      </c>
      <c r="ET19" s="1325">
        <v>0</v>
      </c>
      <c r="EU19" s="1325">
        <v>1</v>
      </c>
      <c r="EV19" s="1325">
        <v>0</v>
      </c>
      <c r="EW19" s="333" t="str">
        <f>IF(A19=FALSE,"",IF(Detail!DN19="","N/A",YEAR(Detail!F19)&amp;Detail!DQ19&amp;Detail!DN19&amp;"-"&amp;Detail!$DN$13))</f>
        <v/>
      </c>
      <c r="EX19" s="1354" t="s">
        <v>2236</v>
      </c>
      <c r="EY19" s="1354" t="s">
        <v>2277</v>
      </c>
      <c r="EZ19" s="1325">
        <f t="shared" si="14"/>
        <v>0</v>
      </c>
      <c r="FA19" s="1325" t="s">
        <v>2236</v>
      </c>
      <c r="FB19" s="264">
        <v>0</v>
      </c>
      <c r="FC19" s="1325">
        <v>0</v>
      </c>
      <c r="FD19" s="1325">
        <v>1</v>
      </c>
      <c r="FE19" s="1325">
        <v>0</v>
      </c>
    </row>
    <row r="20" spans="1:161" s="1369" customFormat="1" ht="30" customHeight="1" outlineLevel="1">
      <c r="A20" s="439" t="b">
        <f>Calcul!A20</f>
        <v>0</v>
      </c>
      <c r="B20" s="510" t="str">
        <f t="shared" si="6"/>
        <v/>
      </c>
      <c r="C20" s="1404" t="b">
        <v>0</v>
      </c>
      <c r="D20" s="1404" t="s">
        <v>2147</v>
      </c>
      <c r="E20" s="1405" t="s">
        <v>2333</v>
      </c>
      <c r="F20" s="1323" t="s">
        <v>2146</v>
      </c>
      <c r="G20" s="356" t="str">
        <f>IF(A20=FALSE,"",IF(NAMES!$D$10=FALSE,IF(Detail!H20="","",Detail!H20),IF(Crewlist!D20="","",Crewlist!D20)))</f>
        <v/>
      </c>
      <c r="H20" s="356" t="str">
        <f>IF(A20=FALSE,"",IF(NAMES!$D$10=FALSE,IF(Detail!P20="","",Detail!P20),IF(Crewlist!E20="","",Crewlist!E20)))</f>
        <v/>
      </c>
      <c r="I20" s="356" t="str">
        <f>IF(A20=FALSE,"",IF(NAMES!$D$10=FALSE,IF(Detail!K20="","",Detail!K20),IF(Crewlist!F20="","",Crewlist!F20)))</f>
        <v/>
      </c>
      <c r="J20" s="1001">
        <f>IF(Crewlist!T20="","",Crewlist!T20)</f>
        <v>42592</v>
      </c>
      <c r="K20" s="1001">
        <f>IF(Crewlist!D20="","",IF(Crewlist!U20="",Crewlist!Y20,IF(DATERENOUVMOINS730&lt;&gt;Crewlist!U20&lt;&gt;Crewlist!Y20,Crewlist!U20,DATERENOUVMOINS365)))</f>
        <v>42643</v>
      </c>
      <c r="L20" s="775">
        <f>IF(Detail!X20="","",Detail!X20)</f>
        <v>42592</v>
      </c>
      <c r="M20" s="775">
        <f>IF(Detail!H20="","",IF(Detail!Y20="",DATERENOUV,IF(Detail!Y20&gt;Detail!D20,Detail!D20,Detail!Y20)))</f>
        <v>42643</v>
      </c>
      <c r="N20" s="1015" t="str">
        <f>IF(A20=FALSE,"",IF(NAMES!$D$10=FALSE,IF(B20=B21,IF(O20=O21,0,(DATEDIF(L20,M20,"M")+1)),(DATEDIF(L20,M20,"M")+1)),IF(B20=B21,IF(O20=O21,0,(DATEDIF(J20,K20,"M")+1)),(DATEDIF(J20,K20,"M")+1))))</f>
        <v/>
      </c>
      <c r="O20" s="1015" t="str">
        <f t="shared" si="5"/>
        <v>août</v>
      </c>
      <c r="P20" s="358" t="str">
        <f>IF(A20=FALSE,"",IF(NAMES!$D$10=FALSE,IF((DATEDIF(L20,M20,"D")+1)&lt;365,(DATEDIF(L20,M20,"D")+1),365),IF((DATEDIF(J20,K20,"D")+1)&lt;365,(DATEDIF(J20,K20,"D")+1),365)))</f>
        <v/>
      </c>
      <c r="Q20" s="358" t="str">
        <f>IF(A20=FALSE,"",IF(NAMES!$D$10=FALSE,IF(M20="",365,DATEDIF(L20,M20,"D")+1),IF(M20="",365,DATEDIF(J20,K20,"D")+1)))</f>
        <v/>
      </c>
      <c r="R20" s="950" t="str">
        <f>Calcul!X20</f>
        <v/>
      </c>
      <c r="S20" s="950" t="str">
        <f>Calcul!Y20</f>
        <v/>
      </c>
      <c r="T20" s="993" t="str">
        <f>Calcul!AG20</f>
        <v/>
      </c>
      <c r="U20" s="368" t="str">
        <f>IF(A20=FALSE,"",IF(NAMES!$D$10=FALSE,IF(Detail!S20="","",Detail!S20),IF(Crewlist!V20="","",Crewlist!V20)))</f>
        <v/>
      </c>
      <c r="V20" s="245" t="str">
        <f>Calcul!AI20</f>
        <v/>
      </c>
      <c r="W20" s="245" t="str">
        <f>Calcul!AL20</f>
        <v/>
      </c>
      <c r="X20" s="245" t="str">
        <f>Calcul!AM20</f>
        <v/>
      </c>
      <c r="Y20" s="353" t="str">
        <f>Calcul!AN20</f>
        <v/>
      </c>
      <c r="Z20" s="245" t="str">
        <f>Calcul!AO20</f>
        <v/>
      </c>
      <c r="AA20" s="245" t="str">
        <f>Calcul!AP20</f>
        <v/>
      </c>
      <c r="AB20" s="353" t="str">
        <f>Calcul!AQ20</f>
        <v/>
      </c>
      <c r="AC20" s="353" t="str">
        <f>IF(C20=FALSE,"",Calcul!BE20+Calcul!BF20)</f>
        <v/>
      </c>
      <c r="AD20" s="1224" t="str">
        <f>IF(C20=FALSE,"",(Calcul!BG20+Calcul!BH20)+SUM(Calcul!BI20:BN20))</f>
        <v/>
      </c>
      <c r="AE20" s="1224" t="str">
        <f>Calcul!BP20</f>
        <v/>
      </c>
      <c r="AF20" s="332" t="str">
        <f>IF(A20=FALSE,"",YEAR(Detail!F20)&amp;Detail!AG20&amp;Detail!AD20&amp;"-"&amp;Detail!$AD$13&amp;Detail!AE20)</f>
        <v/>
      </c>
      <c r="AG20" s="1406" t="s">
        <v>2970</v>
      </c>
      <c r="AH20" s="1354" t="s">
        <v>2277</v>
      </c>
      <c r="AI20" s="1407">
        <v>0</v>
      </c>
      <c r="AJ20" s="1407" t="s">
        <v>2236</v>
      </c>
      <c r="AK20" s="1410">
        <v>32</v>
      </c>
      <c r="AL20" s="508">
        <v>0</v>
      </c>
      <c r="AM20" s="1325">
        <v>1</v>
      </c>
      <c r="AN20" s="1325">
        <v>0</v>
      </c>
      <c r="AO20" s="333" t="str">
        <f>IF(A20=FALSE,"",IF(Detail!AL20="","N/A",YEAR(Detail!F20)&amp;Detail!AO20&amp;Detail!AL20&amp;"-"&amp;Detail!$AL$13&amp;Detail!AM20))</f>
        <v/>
      </c>
      <c r="AP20" s="1406" t="s">
        <v>2971</v>
      </c>
      <c r="AQ20" s="1354" t="s">
        <v>2277</v>
      </c>
      <c r="AR20" s="1407">
        <f t="shared" si="7"/>
        <v>0</v>
      </c>
      <c r="AS20" s="1325" t="s">
        <v>2236</v>
      </c>
      <c r="AT20" s="264">
        <v>0</v>
      </c>
      <c r="AU20" s="1325">
        <v>0</v>
      </c>
      <c r="AV20" s="1325">
        <v>1</v>
      </c>
      <c r="AW20" s="1325">
        <v>0</v>
      </c>
      <c r="AX20" s="1326" t="str">
        <f>IF(A20=FALSE,"",IF(Detail!AT20="","N/A",YEAR(Detail!F20)&amp;Detail!AW20&amp;Detail!AT20&amp;"-"&amp;Detail!$AT$13))</f>
        <v/>
      </c>
      <c r="AY20" s="1408" t="s">
        <v>2861</v>
      </c>
      <c r="AZ20" s="1326" t="s">
        <v>2278</v>
      </c>
      <c r="BA20" s="440" t="str">
        <f>IF(A20=FALSE,"",51000+(Detail!AA20*7000))</f>
        <v/>
      </c>
      <c r="BB20" s="1412">
        <v>50000</v>
      </c>
      <c r="BC20" s="247">
        <v>3</v>
      </c>
      <c r="BD20" s="1325">
        <v>0</v>
      </c>
      <c r="BE20" s="1325" t="s">
        <v>2236</v>
      </c>
      <c r="BF20" s="264">
        <v>0</v>
      </c>
      <c r="BG20" s="508">
        <v>0</v>
      </c>
      <c r="BH20" s="1325">
        <v>1</v>
      </c>
      <c r="BI20" s="1325">
        <v>0</v>
      </c>
      <c r="BJ20" s="311" t="str">
        <f>IF(A20=FALSE,"",IF(Detail!BB20="","N/A",YEAR(Detail!F20)&amp;Detail!BE20&amp;Detail!BB20&amp;"-"&amp;Detail!$BB$13))</f>
        <v/>
      </c>
      <c r="BK20" s="1406" t="s">
        <v>2972</v>
      </c>
      <c r="BL20" s="1354" t="s">
        <v>2278</v>
      </c>
      <c r="BM20" s="440" t="str">
        <f>IF(A20=FALSE,"",51000+(Detail!AA20*7000))</f>
        <v/>
      </c>
      <c r="BN20" s="1412">
        <v>50000</v>
      </c>
      <c r="BO20" s="247">
        <v>3</v>
      </c>
      <c r="BP20" s="1325">
        <v>0</v>
      </c>
      <c r="BQ20" s="1325" t="s">
        <v>2236</v>
      </c>
      <c r="BR20" s="264">
        <v>0</v>
      </c>
      <c r="BS20" s="508">
        <v>0</v>
      </c>
      <c r="BT20" s="1325">
        <v>1</v>
      </c>
      <c r="BU20" s="1325">
        <v>0</v>
      </c>
      <c r="BV20" s="311" t="str">
        <f>IF(A20=FALSE,"",IF(Detail!BJ20="","N/A",YEAR(Detail!F20)&amp;Detail!BM20&amp;Detail!BJ20&amp;"-"&amp;Detail!$BJ$13))</f>
        <v/>
      </c>
      <c r="BW20" s="1409" t="s">
        <v>2973</v>
      </c>
      <c r="BX20" s="1354" t="s">
        <v>2278</v>
      </c>
      <c r="BY20" s="440" t="str">
        <f t="shared" si="8"/>
        <v/>
      </c>
      <c r="BZ20" s="1412">
        <v>50000</v>
      </c>
      <c r="CA20" s="247">
        <v>3</v>
      </c>
      <c r="CB20" s="1325">
        <v>0</v>
      </c>
      <c r="CC20" s="1325" t="s">
        <v>2236</v>
      </c>
      <c r="CD20" s="264">
        <v>0</v>
      </c>
      <c r="CE20" s="508">
        <v>0</v>
      </c>
      <c r="CF20" s="1325">
        <v>1</v>
      </c>
      <c r="CG20" s="1325">
        <v>0</v>
      </c>
      <c r="CH20" s="311" t="str">
        <f>IF(A20=FALSE,"",IF(Detail!BR20="","N/A",YEAR(Detail!F20)&amp;Detail!BU20&amp;Detail!BR20&amp;"-"&amp;Detail!$BR$13))</f>
        <v/>
      </c>
      <c r="CI20" s="1409" t="s">
        <v>2974</v>
      </c>
      <c r="CJ20" s="1354" t="s">
        <v>2278</v>
      </c>
      <c r="CK20" s="440" t="str">
        <f t="shared" si="9"/>
        <v/>
      </c>
      <c r="CL20" s="1412">
        <v>50000</v>
      </c>
      <c r="CM20" s="247">
        <v>3</v>
      </c>
      <c r="CN20" s="1325">
        <v>0</v>
      </c>
      <c r="CO20" s="1325" t="s">
        <v>2236</v>
      </c>
      <c r="CP20" s="264">
        <v>0</v>
      </c>
      <c r="CQ20" s="508">
        <v>0</v>
      </c>
      <c r="CR20" s="1325">
        <v>1</v>
      </c>
      <c r="CS20" s="1325">
        <v>0</v>
      </c>
      <c r="CT20" s="311" t="str">
        <f>IF(A20=FALSE,"",IF(Detail!BZ20="","N/A",YEAR(Detail!F20)&amp;Detail!CC20&amp;Detail!BZ20&amp;"-"&amp;Detail!$BZ$13&amp;" (100%/"&amp;Detail!CD20&amp;"/"&amp;Detail!CE20&amp;"D)"))</f>
        <v/>
      </c>
      <c r="CU20" s="1409" t="s">
        <v>2989</v>
      </c>
      <c r="CV20" s="1354" t="s">
        <v>2278</v>
      </c>
      <c r="CW20" s="1010">
        <v>7</v>
      </c>
      <c r="CX20" s="1323">
        <v>365</v>
      </c>
      <c r="CY20" s="248">
        <v>1</v>
      </c>
      <c r="CZ20" s="1325">
        <v>0</v>
      </c>
      <c r="DA20" s="1407" t="s">
        <v>2359</v>
      </c>
      <c r="DB20" s="538">
        <v>40</v>
      </c>
      <c r="DC20" s="1325">
        <v>0.1</v>
      </c>
      <c r="DD20" s="1325">
        <v>1</v>
      </c>
      <c r="DE20" s="1325">
        <v>0</v>
      </c>
      <c r="DF20" s="313" t="str">
        <f>IF(A20=FALSE,"",IF(Detail!CH20="","N/A",YEAR(Detail!F20)&amp;Detail!CK20&amp;Detail!CH20&amp;"-"&amp;Detail!$CH$13&amp;" (100%/"&amp;Detail!CL20&amp;"/"&amp;Detail!CM20&amp;"D)"))</f>
        <v/>
      </c>
      <c r="DG20" s="1406" t="s">
        <v>2975</v>
      </c>
      <c r="DH20" s="518" t="s">
        <v>2278</v>
      </c>
      <c r="DI20" s="1010">
        <f t="shared" si="10"/>
        <v>7</v>
      </c>
      <c r="DJ20" s="1323">
        <f t="shared" si="11"/>
        <v>365</v>
      </c>
      <c r="DK20" s="258">
        <v>1</v>
      </c>
      <c r="DL20" s="1325">
        <v>0</v>
      </c>
      <c r="DM20" s="1407" t="s">
        <v>2359</v>
      </c>
      <c r="DN20" s="538">
        <v>40</v>
      </c>
      <c r="DO20" s="1325">
        <f t="shared" si="12"/>
        <v>0.1</v>
      </c>
      <c r="DP20" s="1325">
        <v>1</v>
      </c>
      <c r="DQ20" s="1325">
        <v>0</v>
      </c>
      <c r="DR20" s="1326" t="str">
        <f>IF(A20=FALSE,"",IF(Detail!CP20="","N/A",YEAR(Detail!F20)&amp;Detail!CS20&amp;Detail!CP20&amp;"-"&amp;Detail!$CP$13))</f>
        <v/>
      </c>
      <c r="DS20" s="1326" t="s">
        <v>2236</v>
      </c>
      <c r="DT20" s="1354" t="s">
        <v>2277</v>
      </c>
      <c r="DU20" s="1385">
        <v>50000</v>
      </c>
      <c r="DV20" s="247">
        <v>2</v>
      </c>
      <c r="DW20" s="1325">
        <v>0</v>
      </c>
      <c r="DX20" s="1325" t="s">
        <v>2236</v>
      </c>
      <c r="DY20" s="264">
        <v>0</v>
      </c>
      <c r="DZ20" s="444">
        <v>0</v>
      </c>
      <c r="EA20" s="444">
        <v>1</v>
      </c>
      <c r="EB20" s="444">
        <v>0</v>
      </c>
      <c r="EC20" s="761" t="str">
        <f>IF(A20=FALSE,"",IF(Detail!CX20="","N/A",YEAR(Detail!F20)&amp;Detail!DA20&amp;Detail!CX20&amp;"-"&amp;Detail!$CX$13))</f>
        <v/>
      </c>
      <c r="ED20" s="1327" t="s">
        <v>2236</v>
      </c>
      <c r="EE20" s="1354" t="s">
        <v>2277</v>
      </c>
      <c r="EF20" s="1385">
        <v>50000</v>
      </c>
      <c r="EG20" s="247">
        <v>2</v>
      </c>
      <c r="EH20" s="1325">
        <v>0</v>
      </c>
      <c r="EI20" s="1325" t="s">
        <v>2236</v>
      </c>
      <c r="EJ20" s="264">
        <v>0</v>
      </c>
      <c r="EK20" s="444">
        <v>0</v>
      </c>
      <c r="EL20" s="444">
        <v>1</v>
      </c>
      <c r="EM20" s="444">
        <v>0</v>
      </c>
      <c r="EN20" s="333" t="str">
        <f>IF(A20=FALSE,"",IF(Detail!DF20="","N/A",YEAR(Detail!F20)&amp;Detail!DI20&amp;Detail!DF20&amp;"-"&amp;Detail!$DF$13))</f>
        <v/>
      </c>
      <c r="EO20" s="1354" t="s">
        <v>2236</v>
      </c>
      <c r="EP20" s="1354" t="s">
        <v>2277</v>
      </c>
      <c r="EQ20" s="1325">
        <f t="shared" si="13"/>
        <v>0</v>
      </c>
      <c r="ER20" s="1325" t="s">
        <v>2236</v>
      </c>
      <c r="ES20" s="264">
        <v>0</v>
      </c>
      <c r="ET20" s="1325">
        <v>0</v>
      </c>
      <c r="EU20" s="1325">
        <v>1</v>
      </c>
      <c r="EV20" s="1325">
        <v>0</v>
      </c>
      <c r="EW20" s="333" t="str">
        <f>IF(DJ20=FALSE,"",IF(Detail!ET20="","N/A",YEAR(Detail!DN20)&amp;Detail!EW20&amp;Detail!ET20&amp;"-"&amp;Detail!$AL$13&amp;Detail!EU20))</f>
        <v>N/A</v>
      </c>
      <c r="EX20" s="1354" t="s">
        <v>2236</v>
      </c>
      <c r="EY20" s="1354" t="s">
        <v>2277</v>
      </c>
      <c r="EZ20" s="1325">
        <f t="shared" si="14"/>
        <v>0</v>
      </c>
      <c r="FA20" s="1325" t="s">
        <v>2236</v>
      </c>
      <c r="FB20" s="264">
        <v>0</v>
      </c>
      <c r="FC20" s="1325">
        <v>0</v>
      </c>
      <c r="FD20" s="1325">
        <v>1</v>
      </c>
      <c r="FE20" s="1325">
        <v>0</v>
      </c>
    </row>
    <row r="21" spans="1:161" s="1369" customFormat="1" ht="30" customHeight="1" outlineLevel="1">
      <c r="A21" s="439" t="b">
        <f>Calcul!A21</f>
        <v>0</v>
      </c>
      <c r="B21" s="510" t="str">
        <f t="shared" si="6"/>
        <v/>
      </c>
      <c r="C21" s="1404" t="b">
        <v>0</v>
      </c>
      <c r="D21" s="1404" t="s">
        <v>2147</v>
      </c>
      <c r="E21" s="1405" t="s">
        <v>2333</v>
      </c>
      <c r="F21" s="1323" t="s">
        <v>2146</v>
      </c>
      <c r="G21" s="356" t="str">
        <f>IF(A21=FALSE,"",IF(NAMES!$D$10=FALSE,IF(Detail!H21="","",Detail!H21),IF(Crewlist!D21="","",Crewlist!D21)))</f>
        <v/>
      </c>
      <c r="H21" s="356" t="str">
        <f>IF(A21=FALSE,"",IF(NAMES!$D$10=FALSE,IF(Detail!P21="","",Detail!P21),IF(Crewlist!E21="","",Crewlist!E21)))</f>
        <v/>
      </c>
      <c r="I21" s="356" t="str">
        <f>IF(A21=FALSE,"",IF(NAMES!$D$10=FALSE,IF(Detail!K21="","",Detail!K21),IF(Crewlist!F21="","",Crewlist!F21)))</f>
        <v/>
      </c>
      <c r="J21" s="1001">
        <f>IF(Crewlist!T21="","",Crewlist!T21)</f>
        <v>42320</v>
      </c>
      <c r="K21" s="1001">
        <f>IF(Crewlist!D21="","",IF(Crewlist!U21="",Crewlist!Y21,IF(DATERENOUVMOINS730&lt;&gt;Crewlist!U21&lt;&gt;Crewlist!Y21,Crewlist!U21,DATERENOUVMOINS365)))</f>
        <v>42685</v>
      </c>
      <c r="L21" s="775">
        <f>IF(Detail!X21="","",Detail!X21)</f>
        <v>42320</v>
      </c>
      <c r="M21" s="775">
        <f>IF(Detail!H21="","",IF(Detail!Y21="",DATERENOUV,IF(Detail!Y21&gt;Detail!D21,Detail!D21,Detail!Y21)))</f>
        <v>42685</v>
      </c>
      <c r="N21" s="1015" t="str">
        <f>IF(A21=FALSE,"",IF(NAMES!$D$10=FALSE,IF(B21=B22,IF(O21=O22,0,(DATEDIF(L21,M21,"M")+1)),(DATEDIF(L21,M21,"M")+1)),IF(B21=B22,IF(O21=O22,0,(DATEDIF(J21,K21,"M")+1)),(DATEDIF(J21,K21,"M")+1))))</f>
        <v/>
      </c>
      <c r="O21" s="1015" t="str">
        <f t="shared" si="5"/>
        <v>novembre</v>
      </c>
      <c r="P21" s="358" t="str">
        <f>IF(A21=FALSE,"",IF(NAMES!$D$10=FALSE,IF((DATEDIF(L21,M21,"D")+1)&lt;365,(DATEDIF(L21,M21,"D")+1),365),IF((DATEDIF(J21,K21,"D")+1)&lt;365,(DATEDIF(J21,K21,"D")+1),365)))</f>
        <v/>
      </c>
      <c r="Q21" s="358" t="str">
        <f>IF(A21=FALSE,"",IF(NAMES!$D$10=FALSE,IF(M21="",365,DATEDIF(L21,M21,"D")+1),IF(M21="",365,DATEDIF(J21,K21,"D")+1)))</f>
        <v/>
      </c>
      <c r="R21" s="950" t="str">
        <f>Calcul!X21</f>
        <v/>
      </c>
      <c r="S21" s="950" t="str">
        <f>Calcul!Y21</f>
        <v/>
      </c>
      <c r="T21" s="993" t="str">
        <f>Calcul!AG21</f>
        <v/>
      </c>
      <c r="U21" s="368" t="str">
        <f>IF(A21=FALSE,"",IF(NAMES!$D$10=FALSE,IF(Detail!S21="","",Detail!S21),IF(Crewlist!V21="","",Crewlist!V21)))</f>
        <v/>
      </c>
      <c r="V21" s="245" t="str">
        <f>Calcul!AI21</f>
        <v/>
      </c>
      <c r="W21" s="245" t="str">
        <f>Calcul!AL21</f>
        <v/>
      </c>
      <c r="X21" s="245" t="str">
        <f>Calcul!AM21</f>
        <v/>
      </c>
      <c r="Y21" s="353" t="str">
        <f>Calcul!AN21</f>
        <v/>
      </c>
      <c r="Z21" s="245" t="str">
        <f>Calcul!AO21</f>
        <v/>
      </c>
      <c r="AA21" s="245" t="str">
        <f>Calcul!AP21</f>
        <v/>
      </c>
      <c r="AB21" s="353" t="str">
        <f>Calcul!AQ21</f>
        <v/>
      </c>
      <c r="AC21" s="353" t="str">
        <f>IF(C21=FALSE,"",Calcul!BE21+Calcul!BF21)</f>
        <v/>
      </c>
      <c r="AD21" s="1224" t="str">
        <f>IF(C21=FALSE,"",(Calcul!BG21+Calcul!BH21)+SUM(Calcul!BI21:BN21))</f>
        <v/>
      </c>
      <c r="AE21" s="1224" t="str">
        <f>Calcul!BP21</f>
        <v/>
      </c>
      <c r="AF21" s="332" t="str">
        <f>IF(A21=FALSE,"",YEAR(Detail!F21)&amp;Detail!AG21&amp;Detail!AD21&amp;"-"&amp;Detail!$AD$13&amp;Detail!AE21)</f>
        <v/>
      </c>
      <c r="AG21" s="1406" t="s">
        <v>2970</v>
      </c>
      <c r="AH21" s="1354" t="s">
        <v>2277</v>
      </c>
      <c r="AI21" s="1407">
        <v>0</v>
      </c>
      <c r="AJ21" s="1407" t="s">
        <v>2236</v>
      </c>
      <c r="AK21" s="1410">
        <v>32</v>
      </c>
      <c r="AL21" s="508">
        <v>0</v>
      </c>
      <c r="AM21" s="1325">
        <v>1</v>
      </c>
      <c r="AN21" s="1325">
        <v>0</v>
      </c>
      <c r="AO21" s="333" t="str">
        <f>IF(A21=FALSE,"",IF(Detail!AL21="","N/A",YEAR(Detail!F21)&amp;Detail!AO21&amp;Detail!AL21&amp;"-"&amp;Detail!$AL$13&amp;Detail!AM21))</f>
        <v/>
      </c>
      <c r="AP21" s="1406" t="s">
        <v>2971</v>
      </c>
      <c r="AQ21" s="1354" t="s">
        <v>2277</v>
      </c>
      <c r="AR21" s="1407">
        <f t="shared" si="7"/>
        <v>0</v>
      </c>
      <c r="AS21" s="1325" t="s">
        <v>2236</v>
      </c>
      <c r="AT21" s="264">
        <v>0</v>
      </c>
      <c r="AU21" s="1325">
        <v>0</v>
      </c>
      <c r="AV21" s="1325">
        <v>1</v>
      </c>
      <c r="AW21" s="1325">
        <v>0</v>
      </c>
      <c r="AX21" s="1326" t="str">
        <f>IF(A21=FALSE,"",IF(Detail!AT21="","N/A",YEAR(Detail!F21)&amp;Detail!AW21&amp;Detail!AT21&amp;"-"&amp;Detail!$AT$13))</f>
        <v/>
      </c>
      <c r="AY21" s="1408" t="s">
        <v>2861</v>
      </c>
      <c r="AZ21" s="1326" t="s">
        <v>2278</v>
      </c>
      <c r="BA21" s="440" t="str">
        <f>IF(A21=FALSE,"",51000+(Detail!AA21*7000))</f>
        <v/>
      </c>
      <c r="BB21" s="1412">
        <v>50000</v>
      </c>
      <c r="BC21" s="247">
        <v>3</v>
      </c>
      <c r="BD21" s="1325">
        <v>0</v>
      </c>
      <c r="BE21" s="1325" t="s">
        <v>2236</v>
      </c>
      <c r="BF21" s="264">
        <v>0</v>
      </c>
      <c r="BG21" s="508">
        <v>0</v>
      </c>
      <c r="BH21" s="1325">
        <v>1</v>
      </c>
      <c r="BI21" s="1325">
        <v>0</v>
      </c>
      <c r="BJ21" s="311" t="str">
        <f>IF(A21=FALSE,"",IF(Detail!BB21="","N/A",YEAR(Detail!F21)&amp;Detail!BE21&amp;Detail!BB21&amp;"-"&amp;Detail!$BB$13))</f>
        <v/>
      </c>
      <c r="BK21" s="1406" t="s">
        <v>2972</v>
      </c>
      <c r="BL21" s="1354" t="s">
        <v>2278</v>
      </c>
      <c r="BM21" s="440" t="str">
        <f>IF(A21=FALSE,"",51000+(Detail!AA21*7000))</f>
        <v/>
      </c>
      <c r="BN21" s="1412">
        <v>50000</v>
      </c>
      <c r="BO21" s="247">
        <v>3</v>
      </c>
      <c r="BP21" s="1325">
        <v>0</v>
      </c>
      <c r="BQ21" s="1325" t="s">
        <v>2236</v>
      </c>
      <c r="BR21" s="264">
        <v>0</v>
      </c>
      <c r="BS21" s="508">
        <v>0</v>
      </c>
      <c r="BT21" s="1325">
        <v>1</v>
      </c>
      <c r="BU21" s="1325">
        <v>0</v>
      </c>
      <c r="BV21" s="311" t="str">
        <f>IF(A21=FALSE,"",IF(Detail!BJ21="","N/A",YEAR(Detail!F21)&amp;Detail!BM21&amp;Detail!BJ21&amp;"-"&amp;Detail!$BJ$13))</f>
        <v/>
      </c>
      <c r="BW21" s="1409" t="s">
        <v>2973</v>
      </c>
      <c r="BX21" s="1354" t="s">
        <v>2278</v>
      </c>
      <c r="BY21" s="440" t="str">
        <f t="shared" si="8"/>
        <v/>
      </c>
      <c r="BZ21" s="1412">
        <v>50000</v>
      </c>
      <c r="CA21" s="247">
        <v>3</v>
      </c>
      <c r="CB21" s="1325">
        <v>0</v>
      </c>
      <c r="CC21" s="1325" t="s">
        <v>2236</v>
      </c>
      <c r="CD21" s="264">
        <v>0</v>
      </c>
      <c r="CE21" s="508">
        <v>0</v>
      </c>
      <c r="CF21" s="1325">
        <v>1</v>
      </c>
      <c r="CG21" s="1325">
        <v>0</v>
      </c>
      <c r="CH21" s="311" t="str">
        <f>IF(A21=FALSE,"",IF(Detail!BR21="","N/A",YEAR(Detail!F21)&amp;Detail!BU21&amp;Detail!BR21&amp;"-"&amp;Detail!$BR$13))</f>
        <v/>
      </c>
      <c r="CI21" s="1409" t="s">
        <v>2974</v>
      </c>
      <c r="CJ21" s="1354" t="s">
        <v>2278</v>
      </c>
      <c r="CK21" s="440" t="str">
        <f t="shared" si="9"/>
        <v/>
      </c>
      <c r="CL21" s="1412">
        <v>50000</v>
      </c>
      <c r="CM21" s="247">
        <v>3</v>
      </c>
      <c r="CN21" s="1325">
        <v>0</v>
      </c>
      <c r="CO21" s="1325" t="s">
        <v>2236</v>
      </c>
      <c r="CP21" s="264">
        <v>0</v>
      </c>
      <c r="CQ21" s="508">
        <v>0</v>
      </c>
      <c r="CR21" s="1325">
        <v>1</v>
      </c>
      <c r="CS21" s="1325">
        <v>0</v>
      </c>
      <c r="CT21" s="311" t="str">
        <f>IF(A21=FALSE,"",IF(Detail!BZ21="","N/A",YEAR(Detail!F21)&amp;Detail!CC21&amp;Detail!BZ21&amp;"-"&amp;Detail!$BZ$13&amp;" (100%/"&amp;Detail!CD21&amp;"/"&amp;Detail!CE21&amp;"D)"))</f>
        <v/>
      </c>
      <c r="CU21" s="1409" t="s">
        <v>2989</v>
      </c>
      <c r="CV21" s="1354" t="s">
        <v>2278</v>
      </c>
      <c r="CW21" s="1010">
        <v>7</v>
      </c>
      <c r="CX21" s="1323">
        <v>365</v>
      </c>
      <c r="CY21" s="248">
        <v>1</v>
      </c>
      <c r="CZ21" s="1325">
        <v>0</v>
      </c>
      <c r="DA21" s="1407" t="s">
        <v>2359</v>
      </c>
      <c r="DB21" s="538">
        <v>40</v>
      </c>
      <c r="DC21" s="1325">
        <v>0.1</v>
      </c>
      <c r="DD21" s="1325">
        <v>1</v>
      </c>
      <c r="DE21" s="1325">
        <v>0</v>
      </c>
      <c r="DF21" s="313" t="str">
        <f>IF(A21=FALSE,"",IF(Detail!CH21="","N/A",YEAR(Detail!F21)&amp;Detail!CK21&amp;Detail!CH21&amp;"-"&amp;Detail!$CH$13&amp;" (100%/"&amp;Detail!CL21&amp;"/"&amp;Detail!CM21&amp;"D)"))</f>
        <v/>
      </c>
      <c r="DG21" s="1406" t="s">
        <v>2975</v>
      </c>
      <c r="DH21" s="518" t="s">
        <v>2278</v>
      </c>
      <c r="DI21" s="1010">
        <f t="shared" si="10"/>
        <v>7</v>
      </c>
      <c r="DJ21" s="1323">
        <f t="shared" si="11"/>
        <v>365</v>
      </c>
      <c r="DK21" s="258">
        <v>1</v>
      </c>
      <c r="DL21" s="1325">
        <v>0</v>
      </c>
      <c r="DM21" s="1407" t="s">
        <v>2359</v>
      </c>
      <c r="DN21" s="538">
        <v>40</v>
      </c>
      <c r="DO21" s="1325">
        <f t="shared" si="12"/>
        <v>0.1</v>
      </c>
      <c r="DP21" s="1325">
        <v>1</v>
      </c>
      <c r="DQ21" s="1325">
        <v>0</v>
      </c>
      <c r="DR21" s="1326" t="str">
        <f>IF(A21=FALSE,"",IF(Detail!CP21="","N/A",YEAR(Detail!F21)&amp;Detail!CS21&amp;Detail!CP21&amp;"-"&amp;Detail!$CP$13))</f>
        <v/>
      </c>
      <c r="DS21" s="1326" t="s">
        <v>2236</v>
      </c>
      <c r="DT21" s="1354" t="s">
        <v>2277</v>
      </c>
      <c r="DU21" s="1385">
        <v>50000</v>
      </c>
      <c r="DV21" s="247">
        <v>2</v>
      </c>
      <c r="DW21" s="1325">
        <v>0</v>
      </c>
      <c r="DX21" s="1325" t="s">
        <v>2236</v>
      </c>
      <c r="DY21" s="264">
        <v>0</v>
      </c>
      <c r="DZ21" s="444">
        <v>0</v>
      </c>
      <c r="EA21" s="444">
        <v>1</v>
      </c>
      <c r="EB21" s="444">
        <v>0</v>
      </c>
      <c r="EC21" s="761" t="str">
        <f>IF(A21=FALSE,"",IF(Detail!CX21="","N/A",YEAR(Detail!F21)&amp;Detail!DA21&amp;Detail!CX21&amp;"-"&amp;Detail!$CX$13))</f>
        <v/>
      </c>
      <c r="ED21" s="1327" t="s">
        <v>2236</v>
      </c>
      <c r="EE21" s="1354" t="s">
        <v>2277</v>
      </c>
      <c r="EF21" s="1385">
        <v>50000</v>
      </c>
      <c r="EG21" s="247">
        <v>2</v>
      </c>
      <c r="EH21" s="1325">
        <v>0</v>
      </c>
      <c r="EI21" s="1325" t="s">
        <v>2236</v>
      </c>
      <c r="EJ21" s="264">
        <v>0</v>
      </c>
      <c r="EK21" s="444">
        <v>0</v>
      </c>
      <c r="EL21" s="444">
        <v>1</v>
      </c>
      <c r="EM21" s="444">
        <v>0</v>
      </c>
      <c r="EN21" s="333" t="str">
        <f>IF(A21=FALSE,"",IF(Detail!DF21="","N/A",YEAR(Detail!F21)&amp;Detail!DI21&amp;Detail!DF21&amp;"-"&amp;Detail!$DF$13))</f>
        <v/>
      </c>
      <c r="EO21" s="1354" t="s">
        <v>2236</v>
      </c>
      <c r="EP21" s="1354" t="s">
        <v>2277</v>
      </c>
      <c r="EQ21" s="1325">
        <f t="shared" si="13"/>
        <v>0</v>
      </c>
      <c r="ER21" s="1325" t="s">
        <v>2236</v>
      </c>
      <c r="ES21" s="264">
        <v>0</v>
      </c>
      <c r="ET21" s="1325">
        <v>0</v>
      </c>
      <c r="EU21" s="1325">
        <v>1</v>
      </c>
      <c r="EV21" s="1325">
        <v>0</v>
      </c>
      <c r="EW21" s="333" t="str">
        <f>IF(DJ21=FALSE,"",IF(Detail!ET21="","N/A",YEAR(Detail!DN21)&amp;Detail!EW21&amp;Detail!ET21&amp;"-"&amp;Detail!$AL$13&amp;Detail!EU21))</f>
        <v>N/A</v>
      </c>
      <c r="EX21" s="1354" t="s">
        <v>2236</v>
      </c>
      <c r="EY21" s="1354" t="s">
        <v>2277</v>
      </c>
      <c r="EZ21" s="1325">
        <f t="shared" si="14"/>
        <v>0</v>
      </c>
      <c r="FA21" s="1325" t="s">
        <v>2236</v>
      </c>
      <c r="FB21" s="264">
        <v>0</v>
      </c>
      <c r="FC21" s="1325">
        <v>0</v>
      </c>
      <c r="FD21" s="1325">
        <v>1</v>
      </c>
      <c r="FE21" s="1325">
        <v>0</v>
      </c>
    </row>
    <row r="22" spans="1:161" s="1369" customFormat="1" ht="30" customHeight="1" outlineLevel="1">
      <c r="A22" s="439" t="b">
        <f>Calcul!A22</f>
        <v>0</v>
      </c>
      <c r="B22" s="510" t="str">
        <f t="shared" si="6"/>
        <v/>
      </c>
      <c r="C22" s="1404" t="b">
        <v>0</v>
      </c>
      <c r="D22" s="1404" t="s">
        <v>2147</v>
      </c>
      <c r="E22" s="1405" t="s">
        <v>2333</v>
      </c>
      <c r="F22" s="1323" t="s">
        <v>2146</v>
      </c>
      <c r="G22" s="356" t="str">
        <f>IF(A22=FALSE,"",IF(NAMES!$D$10=FALSE,IF(Detail!H22="","",Detail!H22),IF(Crewlist!D22="","",Crewlist!D22)))</f>
        <v/>
      </c>
      <c r="H22" s="356" t="str">
        <f>IF(A22=FALSE,"",IF(NAMES!$D$10=FALSE,IF(Detail!P22="","",Detail!P22),IF(Crewlist!E22="","",Crewlist!E22)))</f>
        <v/>
      </c>
      <c r="I22" s="356" t="str">
        <f>IF(A22=FALSE,"",IF(NAMES!$D$10=FALSE,IF(Detail!K22="","",Detail!K22),IF(Crewlist!F22="","",Crewlist!F22)))</f>
        <v/>
      </c>
      <c r="J22" s="1001">
        <f>IF(Crewlist!T22="","",Crewlist!T22)</f>
        <v>42496</v>
      </c>
      <c r="K22" s="1001">
        <f>IF(Crewlist!D22="","",IF(Crewlist!U22="",Crewlist!Y22,IF(DATERENOUVMOINS730&lt;&gt;Crewlist!U22&lt;&gt;Crewlist!Y22,Crewlist!U22,DATERENOUVMOINS365)))</f>
        <v>42643</v>
      </c>
      <c r="L22" s="775">
        <f>IF(Detail!X22="","",Detail!X22)</f>
        <v>42496</v>
      </c>
      <c r="M22" s="775">
        <f>IF(Detail!H22="","",IF(Detail!Y22="",DATERENOUV,IF(Detail!Y22&gt;Detail!D22,Detail!D22,Detail!Y22)))</f>
        <v>42643</v>
      </c>
      <c r="N22" s="1015" t="str">
        <f>IF(A22=FALSE,"",IF(NAMES!$D$10=FALSE,IF(B22=B23,IF(O22=O23,0,(DATEDIF(L22,M22,"M")+1)),(DATEDIF(L22,M22,"M")+1)),IF(B22=B23,IF(O22=O23,0,(DATEDIF(J22,K22,"M")+1)),(DATEDIF(J22,K22,"M")+1))))</f>
        <v/>
      </c>
      <c r="O22" s="1015" t="str">
        <f t="shared" si="5"/>
        <v>mai</v>
      </c>
      <c r="P22" s="358" t="str">
        <f>IF(A22=FALSE,"",IF(NAMES!$D$10=FALSE,IF((DATEDIF(L22,M22,"D")+1)&lt;365,(DATEDIF(L22,M22,"D")+1),365),IF((DATEDIF(J22,K22,"D")+1)&lt;365,(DATEDIF(J22,K22,"D")+1),365)))</f>
        <v/>
      </c>
      <c r="Q22" s="358" t="str">
        <f>IF(A22=FALSE,"",IF(NAMES!$D$10=FALSE,IF(M22="",365,DATEDIF(L22,M22,"D")+1),IF(M22="",365,DATEDIF(J22,K22,"D")+1)))</f>
        <v/>
      </c>
      <c r="R22" s="950" t="str">
        <f>Calcul!X22</f>
        <v/>
      </c>
      <c r="S22" s="950" t="str">
        <f>Calcul!Y22</f>
        <v/>
      </c>
      <c r="T22" s="993" t="str">
        <f>Calcul!AG22</f>
        <v/>
      </c>
      <c r="U22" s="368" t="str">
        <f>IF(A22=FALSE,"",IF(NAMES!$D$10=FALSE,IF(Detail!S22="","",Detail!S22),IF(Crewlist!V22="","",Crewlist!V22)))</f>
        <v/>
      </c>
      <c r="V22" s="245" t="str">
        <f>Calcul!AI22</f>
        <v/>
      </c>
      <c r="W22" s="245" t="str">
        <f>Calcul!AL22</f>
        <v/>
      </c>
      <c r="X22" s="245" t="str">
        <f>Calcul!AM22</f>
        <v/>
      </c>
      <c r="Y22" s="353" t="str">
        <f>Calcul!AN22</f>
        <v/>
      </c>
      <c r="Z22" s="245" t="str">
        <f>Calcul!AO22</f>
        <v/>
      </c>
      <c r="AA22" s="245" t="str">
        <f>Calcul!AP22</f>
        <v/>
      </c>
      <c r="AB22" s="353" t="str">
        <f>Calcul!AQ22</f>
        <v/>
      </c>
      <c r="AC22" s="353" t="str">
        <f>IF(C22=FALSE,"",Calcul!BE22+Calcul!BF22)</f>
        <v/>
      </c>
      <c r="AD22" s="1224" t="str">
        <f>IF(C22=FALSE,"",(Calcul!BG22+Calcul!BH22)+SUM(Calcul!BI22:BN22))</f>
        <v/>
      </c>
      <c r="AE22" s="1224" t="str">
        <f>Calcul!BP22</f>
        <v/>
      </c>
      <c r="AF22" s="332" t="str">
        <f>IF(A22=FALSE,"",YEAR(Detail!F22)&amp;Detail!AG22&amp;Detail!AD22&amp;"-"&amp;Detail!$AD$13&amp;Detail!AE22)</f>
        <v/>
      </c>
      <c r="AG22" s="1406" t="s">
        <v>2970</v>
      </c>
      <c r="AH22" s="1354" t="s">
        <v>2277</v>
      </c>
      <c r="AI22" s="1407">
        <v>0</v>
      </c>
      <c r="AJ22" s="1407" t="s">
        <v>2236</v>
      </c>
      <c r="AK22" s="1410">
        <v>32</v>
      </c>
      <c r="AL22" s="508">
        <v>0</v>
      </c>
      <c r="AM22" s="1325">
        <v>1</v>
      </c>
      <c r="AN22" s="1325">
        <v>0</v>
      </c>
      <c r="AO22" s="333" t="str">
        <f>IF(A22=FALSE,"",IF(Detail!AL22="","N/A",YEAR(Detail!F22)&amp;Detail!AO22&amp;Detail!AL22&amp;"-"&amp;Detail!$AL$13&amp;Detail!AM22))</f>
        <v/>
      </c>
      <c r="AP22" s="1406" t="s">
        <v>2971</v>
      </c>
      <c r="AQ22" s="1354" t="s">
        <v>2277</v>
      </c>
      <c r="AR22" s="1407">
        <f t="shared" si="7"/>
        <v>0</v>
      </c>
      <c r="AS22" s="1325" t="s">
        <v>2236</v>
      </c>
      <c r="AT22" s="264">
        <v>0</v>
      </c>
      <c r="AU22" s="1325">
        <v>0</v>
      </c>
      <c r="AV22" s="1325">
        <v>1</v>
      </c>
      <c r="AW22" s="1325">
        <v>0</v>
      </c>
      <c r="AX22" s="1326" t="str">
        <f>IF(A22=FALSE,"",IF(Detail!AT22="","N/A",YEAR(Detail!F22)&amp;Detail!AW22&amp;Detail!AT22&amp;"-"&amp;Detail!$AT$13))</f>
        <v/>
      </c>
      <c r="AY22" s="1408" t="s">
        <v>2861</v>
      </c>
      <c r="AZ22" s="1326" t="s">
        <v>2278</v>
      </c>
      <c r="BA22" s="440" t="str">
        <f>IF(A22=FALSE,"",51000+(Detail!AA22*7000))</f>
        <v/>
      </c>
      <c r="BB22" s="1412">
        <v>50000</v>
      </c>
      <c r="BC22" s="247">
        <v>3</v>
      </c>
      <c r="BD22" s="1325">
        <v>0</v>
      </c>
      <c r="BE22" s="1325" t="s">
        <v>2236</v>
      </c>
      <c r="BF22" s="264">
        <v>0</v>
      </c>
      <c r="BG22" s="508">
        <v>0</v>
      </c>
      <c r="BH22" s="1325">
        <v>1</v>
      </c>
      <c r="BI22" s="1325">
        <v>0</v>
      </c>
      <c r="BJ22" s="311" t="str">
        <f>IF(A22=FALSE,"",IF(Detail!BB22="","N/A",YEAR(Detail!F22)&amp;Detail!BE22&amp;Detail!BB22&amp;"-"&amp;Detail!$BB$13))</f>
        <v/>
      </c>
      <c r="BK22" s="1406" t="s">
        <v>2972</v>
      </c>
      <c r="BL22" s="1354" t="s">
        <v>2278</v>
      </c>
      <c r="BM22" s="440" t="str">
        <f>IF(A22=FALSE,"",51000+(Detail!AA22*7000))</f>
        <v/>
      </c>
      <c r="BN22" s="1412">
        <v>50000</v>
      </c>
      <c r="BO22" s="247">
        <v>3</v>
      </c>
      <c r="BP22" s="1325">
        <v>0</v>
      </c>
      <c r="BQ22" s="1325" t="s">
        <v>2236</v>
      </c>
      <c r="BR22" s="264">
        <v>0</v>
      </c>
      <c r="BS22" s="508">
        <v>0</v>
      </c>
      <c r="BT22" s="1325">
        <v>1</v>
      </c>
      <c r="BU22" s="1325">
        <v>0</v>
      </c>
      <c r="BV22" s="311" t="str">
        <f>IF(A22=FALSE,"",IF(Detail!BJ22="","N/A",YEAR(Detail!F22)&amp;Detail!BM22&amp;Detail!BJ22&amp;"-"&amp;Detail!$BJ$13))</f>
        <v/>
      </c>
      <c r="BW22" s="1409" t="s">
        <v>2973</v>
      </c>
      <c r="BX22" s="1354" t="s">
        <v>2278</v>
      </c>
      <c r="BY22" s="440" t="str">
        <f t="shared" si="8"/>
        <v/>
      </c>
      <c r="BZ22" s="1412">
        <v>50000</v>
      </c>
      <c r="CA22" s="247">
        <v>3</v>
      </c>
      <c r="CB22" s="1325">
        <v>0</v>
      </c>
      <c r="CC22" s="1325" t="s">
        <v>2236</v>
      </c>
      <c r="CD22" s="264">
        <v>0</v>
      </c>
      <c r="CE22" s="508">
        <v>0</v>
      </c>
      <c r="CF22" s="1325">
        <v>1</v>
      </c>
      <c r="CG22" s="1325">
        <v>0</v>
      </c>
      <c r="CH22" s="311" t="str">
        <f>IF(A22=FALSE,"",IF(Detail!BR22="","N/A",YEAR(Detail!F22)&amp;Detail!BU22&amp;Detail!BR22&amp;"-"&amp;Detail!$BR$13))</f>
        <v/>
      </c>
      <c r="CI22" s="1409" t="s">
        <v>2974</v>
      </c>
      <c r="CJ22" s="1354" t="s">
        <v>2278</v>
      </c>
      <c r="CK22" s="440" t="str">
        <f t="shared" si="9"/>
        <v/>
      </c>
      <c r="CL22" s="1412">
        <v>50000</v>
      </c>
      <c r="CM22" s="247">
        <v>3</v>
      </c>
      <c r="CN22" s="1325">
        <v>0</v>
      </c>
      <c r="CO22" s="1325" t="s">
        <v>2236</v>
      </c>
      <c r="CP22" s="264">
        <v>0</v>
      </c>
      <c r="CQ22" s="508">
        <v>0</v>
      </c>
      <c r="CR22" s="1325">
        <v>1</v>
      </c>
      <c r="CS22" s="1325">
        <v>0</v>
      </c>
      <c r="CT22" s="311" t="str">
        <f>IF(A22=FALSE,"",IF(Detail!BZ22="","N/A",YEAR(Detail!F22)&amp;Detail!CC22&amp;Detail!BZ22&amp;"-"&amp;Detail!$BZ$13&amp;" (100%/"&amp;Detail!CD22&amp;"/"&amp;Detail!CE22&amp;"D)"))</f>
        <v/>
      </c>
      <c r="CU22" s="1409" t="s">
        <v>2989</v>
      </c>
      <c r="CV22" s="1354" t="s">
        <v>2278</v>
      </c>
      <c r="CW22" s="1010">
        <v>7</v>
      </c>
      <c r="CX22" s="1323">
        <v>365</v>
      </c>
      <c r="CY22" s="248">
        <v>1</v>
      </c>
      <c r="CZ22" s="1325">
        <v>0</v>
      </c>
      <c r="DA22" s="1407" t="s">
        <v>2359</v>
      </c>
      <c r="DB22" s="538">
        <v>40</v>
      </c>
      <c r="DC22" s="1325">
        <v>0.1</v>
      </c>
      <c r="DD22" s="1325">
        <v>1</v>
      </c>
      <c r="DE22" s="1325">
        <v>0</v>
      </c>
      <c r="DF22" s="313" t="str">
        <f>IF(A22=FALSE,"",IF(Detail!CH22="","N/A",YEAR(Detail!F22)&amp;Detail!CK22&amp;Detail!CH22&amp;"-"&amp;Detail!$CH$13&amp;" (100%/"&amp;Detail!CL22&amp;"/"&amp;Detail!CM22&amp;"D)"))</f>
        <v/>
      </c>
      <c r="DG22" s="1406" t="s">
        <v>2975</v>
      </c>
      <c r="DH22" s="518" t="s">
        <v>2278</v>
      </c>
      <c r="DI22" s="1010">
        <f t="shared" si="10"/>
        <v>7</v>
      </c>
      <c r="DJ22" s="1323">
        <f t="shared" si="11"/>
        <v>365</v>
      </c>
      <c r="DK22" s="258">
        <v>1</v>
      </c>
      <c r="DL22" s="1325">
        <v>0</v>
      </c>
      <c r="DM22" s="1407" t="s">
        <v>2359</v>
      </c>
      <c r="DN22" s="538">
        <v>40</v>
      </c>
      <c r="DO22" s="1325">
        <f t="shared" si="12"/>
        <v>0.1</v>
      </c>
      <c r="DP22" s="1325">
        <v>1</v>
      </c>
      <c r="DQ22" s="1325">
        <v>0</v>
      </c>
      <c r="DR22" s="1326" t="str">
        <f>IF(A22=FALSE,"",IF(Detail!CP22="","N/A",YEAR(Detail!F22)&amp;Detail!CS22&amp;Detail!CP22&amp;"-"&amp;Detail!$CP$13))</f>
        <v/>
      </c>
      <c r="DS22" s="1326" t="s">
        <v>2236</v>
      </c>
      <c r="DT22" s="1354" t="s">
        <v>2277</v>
      </c>
      <c r="DU22" s="1385">
        <v>50000</v>
      </c>
      <c r="DV22" s="247">
        <v>2</v>
      </c>
      <c r="DW22" s="1325">
        <v>0</v>
      </c>
      <c r="DX22" s="1325" t="s">
        <v>2236</v>
      </c>
      <c r="DY22" s="264">
        <v>0</v>
      </c>
      <c r="DZ22" s="444">
        <v>0</v>
      </c>
      <c r="EA22" s="444">
        <v>1</v>
      </c>
      <c r="EB22" s="444">
        <v>0</v>
      </c>
      <c r="EC22" s="761" t="str">
        <f>IF(A22=FALSE,"",IF(Detail!CX22="","N/A",YEAR(Detail!F22)&amp;Detail!DA22&amp;Detail!CX22&amp;"-"&amp;Detail!$CX$13))</f>
        <v/>
      </c>
      <c r="ED22" s="1327" t="s">
        <v>2236</v>
      </c>
      <c r="EE22" s="1354" t="s">
        <v>2277</v>
      </c>
      <c r="EF22" s="1385">
        <v>50000</v>
      </c>
      <c r="EG22" s="247">
        <v>2</v>
      </c>
      <c r="EH22" s="1325">
        <v>0</v>
      </c>
      <c r="EI22" s="1325" t="s">
        <v>2236</v>
      </c>
      <c r="EJ22" s="264">
        <v>0</v>
      </c>
      <c r="EK22" s="444">
        <v>0</v>
      </c>
      <c r="EL22" s="444">
        <v>1</v>
      </c>
      <c r="EM22" s="444">
        <v>0</v>
      </c>
      <c r="EN22" s="333" t="str">
        <f>IF(A22=FALSE,"",IF(Detail!DF22="","N/A",YEAR(Detail!F22)&amp;Detail!DI22&amp;Detail!DF22&amp;"-"&amp;Detail!$DF$13))</f>
        <v/>
      </c>
      <c r="EO22" s="1354" t="s">
        <v>2236</v>
      </c>
      <c r="EP22" s="1354" t="s">
        <v>2277</v>
      </c>
      <c r="EQ22" s="1325">
        <f t="shared" si="13"/>
        <v>0</v>
      </c>
      <c r="ER22" s="1325" t="s">
        <v>2236</v>
      </c>
      <c r="ES22" s="264">
        <v>0</v>
      </c>
      <c r="ET22" s="1325">
        <v>0</v>
      </c>
      <c r="EU22" s="1325">
        <v>1</v>
      </c>
      <c r="EV22" s="1325">
        <v>0</v>
      </c>
      <c r="EW22" s="333" t="str">
        <f>IF(DJ22=FALSE,"",IF(Detail!ET22="","N/A",YEAR(Detail!DN22)&amp;Detail!EW22&amp;Detail!ET22&amp;"-"&amp;Detail!$AL$13&amp;Detail!EU22))</f>
        <v>N/A</v>
      </c>
      <c r="EX22" s="1354" t="s">
        <v>2236</v>
      </c>
      <c r="EY22" s="1354" t="s">
        <v>2277</v>
      </c>
      <c r="EZ22" s="1325">
        <f t="shared" si="14"/>
        <v>0</v>
      </c>
      <c r="FA22" s="1325" t="s">
        <v>2236</v>
      </c>
      <c r="FB22" s="264">
        <v>0</v>
      </c>
      <c r="FC22" s="1325">
        <v>0</v>
      </c>
      <c r="FD22" s="1325">
        <v>1</v>
      </c>
      <c r="FE22" s="1325">
        <v>0</v>
      </c>
    </row>
    <row r="23" spans="1:161" s="1369" customFormat="1" ht="30" customHeight="1" outlineLevel="1">
      <c r="A23" s="439" t="b">
        <f>Calcul!A23</f>
        <v>1</v>
      </c>
      <c r="B23" s="510" t="str">
        <f>IF(A23=FALSE,"",CONCATENATE(C23,G23,O23,L23))</f>
        <v>VRAI131262novembre42686</v>
      </c>
      <c r="C23" s="1411" t="b">
        <v>1</v>
      </c>
      <c r="D23" s="1404" t="s">
        <v>2147</v>
      </c>
      <c r="E23" s="1405" t="s">
        <v>2335</v>
      </c>
      <c r="F23" s="1323" t="s">
        <v>2146</v>
      </c>
      <c r="G23" s="356">
        <f>IF(A23=FALSE,"",IF(NAMES!$D$10=FALSE,IF(Detail!H23="","",Detail!H23),IF(Crewlist!D23="","",Crewlist!D23)))</f>
        <v>131262</v>
      </c>
      <c r="H23" s="356" t="str">
        <f>IF(A23=FALSE,"",IF(NAMES!$D$10=FALSE,IF(Detail!P23="","",Detail!P23),IF(Crewlist!E23="","",Crewlist!E23)))</f>
        <v>Chief Steward/ess</v>
      </c>
      <c r="I23" s="356" t="str">
        <f>IF(A23=FALSE,"",IF(NAMES!$D$10=FALSE,IF(Detail!K23="","",Detail!K23),IF(Crewlist!F23="","",Crewlist!F23)))</f>
        <v>BERTHE</v>
      </c>
      <c r="J23" s="1963">
        <f>IF(Crewlist!T23="","",Crewlist!T23)</f>
        <v>42686</v>
      </c>
      <c r="K23" s="1963">
        <f>IF(Crewlist!D23="","",IF(Crewlist!U23="",Crewlist!Y23,IF(DATERENOUVMOINS730&lt;&gt;Crewlist!U23&lt;&gt;Crewlist!Y23,Crewlist!U23,DATERENOUVMOINS365)))</f>
        <v>43050</v>
      </c>
      <c r="L23" s="1971">
        <f>IF(Detail!X23="","",Detail!X23)</f>
        <v>42686</v>
      </c>
      <c r="M23" s="1971">
        <f>IF(Detail!H23="","",IF(Detail!Y23="",DATERENOUV,IF(Detail!Y23&gt;Detail!D23,Detail!D23,Detail!Y23)))</f>
        <v>43050</v>
      </c>
      <c r="N23" s="1015">
        <f>IF(A23=FALSE,"",IF(NAMES!$D$10=FALSE,IF(B23=B24,IF(O23=O24,0,(DATEDIF(L23,M23,"M")+1)),(DATEDIF(L23,M23,"M")+1)),IF(B23=B24,IF(O23=O24,0,(DATEDIF(J23,K23,"M")+1)),(DATEDIF(J23,K23,"M")+1))))</f>
        <v>12</v>
      </c>
      <c r="O23" s="1015" t="str">
        <f t="shared" si="5"/>
        <v>novembre</v>
      </c>
      <c r="P23" s="358">
        <f>IF(A23=FALSE,"",IF(NAMES!$D$10=FALSE,IF((DATEDIF(L23,M23,"D")+1)&lt;365,(DATEDIF(L23,M23,"D")+1),365),IF((DATEDIF(J23,K23,"D")+1)&lt;365,(DATEDIF(J23,K23,"D")+1),365)))</f>
        <v>365</v>
      </c>
      <c r="Q23" s="358">
        <f>IF(A23=FALSE,"",IF(NAMES!$D$10=FALSE,IF(M23="",365,DATEDIF(L23,M23,"D")+1),IF(M23="",365,DATEDIF(J23,K23,"D")+1)))</f>
        <v>365</v>
      </c>
      <c r="R23" s="950">
        <f>Calcul!X23</f>
        <v>3000</v>
      </c>
      <c r="S23" s="950">
        <f>Calcul!Y23</f>
        <v>36000</v>
      </c>
      <c r="T23" s="993">
        <f>Calcul!AG23</f>
        <v>36000</v>
      </c>
      <c r="U23" s="368" t="str">
        <f>IF(A23=FALSE,"",IF(NAMES!$D$10=FALSE,IF(Detail!S23="","",Detail!S23),IF(Crewlist!V23="","",Crewlist!V23)))</f>
        <v>annual</v>
      </c>
      <c r="V23" s="245">
        <f>Calcul!AI23</f>
        <v>2963.2709517241383</v>
      </c>
      <c r="W23" s="245">
        <f>Calcul!AL23</f>
        <v>32</v>
      </c>
      <c r="X23" s="245">
        <f>Calcul!AM23</f>
        <v>112.27965198939003</v>
      </c>
      <c r="Y23" s="353">
        <f>Calcul!AN23</f>
        <v>0</v>
      </c>
      <c r="Z23" s="245">
        <f>Calcul!AO23</f>
        <v>144.27965198939003</v>
      </c>
      <c r="AA23" s="245" t="str">
        <f>Calcul!AP23</f>
        <v>WCA</v>
      </c>
      <c r="AB23" s="353">
        <f>Calcul!AQ23</f>
        <v>12</v>
      </c>
      <c r="AC23" s="353">
        <f>IF(C23=FALSE,"",Calcul!BE23+Calcul!BF23)</f>
        <v>1355.7692307692307</v>
      </c>
      <c r="AD23" s="1224">
        <f>IF(C23=FALSE,"",(Calcul!BG23+Calcul!BH23)+SUM(Calcul!BI23:BN23))</f>
        <v>0</v>
      </c>
      <c r="AE23" s="1224">
        <f>Calcul!BP23</f>
        <v>1451.2220689655173</v>
      </c>
      <c r="AF23" s="332" t="str">
        <f>IF(A23=FALSE,"",YEAR(Detail!F23)&amp;Detail!AG23&amp;Detail!AD23&amp;"-"&amp;Detail!$AD$13&amp;Detail!AE23)</f>
        <v>2016EURAIG Luxembourg-Healthcare PlanPerfect</v>
      </c>
      <c r="AG23" s="1406" t="s">
        <v>2991</v>
      </c>
      <c r="AH23" s="1354" t="s">
        <v>2277</v>
      </c>
      <c r="AI23" s="1407">
        <v>0</v>
      </c>
      <c r="AJ23" s="1407" t="s">
        <v>2358</v>
      </c>
      <c r="AK23" s="1410">
        <v>32</v>
      </c>
      <c r="AL23" s="508">
        <v>0</v>
      </c>
      <c r="AM23" s="1325">
        <v>1</v>
      </c>
      <c r="AN23" s="1325">
        <v>0</v>
      </c>
      <c r="AO23" s="333" t="str">
        <f>IF(A23=FALSE,"",IF(Detail!AL23="","N/A",YEAR(Detail!F23)&amp;Detail!AO23&amp;Detail!AL23&amp;"-"&amp;Detail!$AL$13&amp;Detail!AM23))</f>
        <v>2016EURAIG Luxembourg-Assistance and RepatriationPerfect</v>
      </c>
      <c r="AP23" s="1406" t="s">
        <v>2992</v>
      </c>
      <c r="AQ23" s="1354" t="s">
        <v>2277</v>
      </c>
      <c r="AR23" s="1407">
        <f t="shared" si="7"/>
        <v>0</v>
      </c>
      <c r="AS23" s="1325" t="s">
        <v>2236</v>
      </c>
      <c r="AT23" s="264">
        <v>0</v>
      </c>
      <c r="AU23" s="1325">
        <v>0</v>
      </c>
      <c r="AV23" s="1325">
        <v>1</v>
      </c>
      <c r="AW23" s="1325">
        <v>0</v>
      </c>
      <c r="AX23" s="1326" t="str">
        <f>IF(A23=FALSE,"",IF(Detail!AT23="","N/A",YEAR(Detail!F23)&amp;Detail!AW23&amp;Detail!AT23&amp;"-"&amp;Detail!$AT$13))</f>
        <v>2016EURAnker Verzekeringen n.v.-Death Accident</v>
      </c>
      <c r="AY23" s="1408" t="s">
        <v>2861</v>
      </c>
      <c r="AZ23" s="1326" t="s">
        <v>2278</v>
      </c>
      <c r="BA23" s="440">
        <f>IF(A23=FALSE,"",51000+(Detail!AA23*7000))</f>
        <v>51000</v>
      </c>
      <c r="BB23" s="1412">
        <v>50000</v>
      </c>
      <c r="BC23" s="247">
        <v>3</v>
      </c>
      <c r="BD23" s="1325">
        <v>0</v>
      </c>
      <c r="BE23" s="1325" t="s">
        <v>2236</v>
      </c>
      <c r="BF23" s="264">
        <v>0</v>
      </c>
      <c r="BG23" s="508">
        <v>0</v>
      </c>
      <c r="BH23" s="1325">
        <v>1</v>
      </c>
      <c r="BI23" s="1325">
        <v>0</v>
      </c>
      <c r="BJ23" s="311" t="str">
        <f>IF(A23=FALSE,"",IF(Detail!BB23="","N/A",YEAR(Detail!F23)&amp;Detail!BE23&amp;Detail!BB23&amp;"-"&amp;Detail!$BB$13))</f>
        <v>2016EURAnker Verzekeringen n.v.-Death Illness</v>
      </c>
      <c r="BK23" s="1354" t="s">
        <v>2867</v>
      </c>
      <c r="BL23" s="1354" t="s">
        <v>2278</v>
      </c>
      <c r="BM23" s="440">
        <f>IF(A23=FALSE,"",51000+(Detail!AA23*7000))</f>
        <v>51000</v>
      </c>
      <c r="BN23" s="1412">
        <v>50000</v>
      </c>
      <c r="BO23" s="247">
        <v>3</v>
      </c>
      <c r="BP23" s="1325">
        <v>0</v>
      </c>
      <c r="BQ23" s="1325" t="s">
        <v>2236</v>
      </c>
      <c r="BR23" s="264">
        <v>0</v>
      </c>
      <c r="BS23" s="508">
        <v>0</v>
      </c>
      <c r="BT23" s="1325">
        <v>1</v>
      </c>
      <c r="BU23" s="1325">
        <v>0</v>
      </c>
      <c r="BV23" s="311" t="str">
        <f>IF(A23=FALSE,"",IF(Detail!BJ23="","N/A",YEAR(Detail!F23)&amp;Detail!BM23&amp;Detail!BJ23&amp;"-"&amp;Detail!$BJ$13))</f>
        <v>2016EURAnker Verzekeringen n.v.-Permanent Disability Accident</v>
      </c>
      <c r="BW23" s="1409" t="s">
        <v>2862</v>
      </c>
      <c r="BX23" s="1354" t="s">
        <v>2278</v>
      </c>
      <c r="BY23" s="440">
        <f t="shared" si="8"/>
        <v>60000</v>
      </c>
      <c r="BZ23" s="1412">
        <v>50000</v>
      </c>
      <c r="CA23" s="247">
        <v>3</v>
      </c>
      <c r="CB23" s="1325">
        <v>0</v>
      </c>
      <c r="CC23" s="1325" t="s">
        <v>2236</v>
      </c>
      <c r="CD23" s="264">
        <v>0</v>
      </c>
      <c r="CE23" s="508">
        <v>0</v>
      </c>
      <c r="CF23" s="1325">
        <v>1</v>
      </c>
      <c r="CG23" s="1325">
        <v>0</v>
      </c>
      <c r="CH23" s="311" t="str">
        <f>IF(A23=FALSE,"",IF(Detail!BR23="","N/A",YEAR(Detail!F23)&amp;Detail!BU23&amp;Detail!BR23&amp;"-"&amp;Detail!$BR$13))</f>
        <v>2016EURAnker Verzekeringen n.v.-Permanent Disability Illness</v>
      </c>
      <c r="CI23" s="1327" t="s">
        <v>2868</v>
      </c>
      <c r="CJ23" s="1354" t="s">
        <v>2278</v>
      </c>
      <c r="CK23" s="440">
        <f t="shared" si="9"/>
        <v>60000</v>
      </c>
      <c r="CL23" s="1412">
        <v>50000</v>
      </c>
      <c r="CM23" s="247">
        <v>3</v>
      </c>
      <c r="CN23" s="1325">
        <v>0</v>
      </c>
      <c r="CO23" s="1325" t="s">
        <v>2236</v>
      </c>
      <c r="CP23" s="264">
        <v>0</v>
      </c>
      <c r="CQ23" s="508">
        <v>0</v>
      </c>
      <c r="CR23" s="1325">
        <v>1</v>
      </c>
      <c r="CS23" s="1325">
        <v>0</v>
      </c>
      <c r="CT23" s="311" t="str">
        <f>IF(A23=FALSE,"",IF(Detail!BZ23="","N/A",YEAR(Detail!F23)&amp;Detail!CC23&amp;Detail!BZ23&amp;"-"&amp;Detail!$BZ$13&amp;" (100%/"&amp;Detail!CD23&amp;"/"&amp;Detail!CE23&amp;"D)"))</f>
        <v>2016EURAnker Verzekeringen n.v.-Temporary Disability Accident (100%/7/365D)</v>
      </c>
      <c r="CU23" s="1409" t="s">
        <v>2863</v>
      </c>
      <c r="CV23" s="1354" t="s">
        <v>2278</v>
      </c>
      <c r="CW23" s="1010">
        <v>7</v>
      </c>
      <c r="CX23" s="1323">
        <v>365</v>
      </c>
      <c r="CY23" s="248">
        <v>1</v>
      </c>
      <c r="CZ23" s="1325">
        <v>0</v>
      </c>
      <c r="DA23" s="1325" t="s">
        <v>2236</v>
      </c>
      <c r="DB23" s="538">
        <v>40</v>
      </c>
      <c r="DC23" s="1325">
        <v>0.1</v>
      </c>
      <c r="DD23" s="1325">
        <v>1</v>
      </c>
      <c r="DE23" s="1325">
        <v>0</v>
      </c>
      <c r="DF23" s="313" t="str">
        <f>IF(A23=FALSE,"",IF(Detail!CH23="","N/A",YEAR(Detail!F23)&amp;Detail!CK23&amp;Detail!CH23&amp;"-"&amp;Detail!$CH$13&amp;" (100%/"&amp;Detail!CL23&amp;"/"&amp;Detail!CM23&amp;"D)"))</f>
        <v>2016EURAnker Verzekeringen n.v.-Temporary Disability Illness (100%/7/365D)</v>
      </c>
      <c r="DG23" s="1406" t="s">
        <v>2864</v>
      </c>
      <c r="DH23" s="518" t="s">
        <v>2278</v>
      </c>
      <c r="DI23" s="1010">
        <f t="shared" si="10"/>
        <v>7</v>
      </c>
      <c r="DJ23" s="1323">
        <f t="shared" si="11"/>
        <v>365</v>
      </c>
      <c r="DK23" s="258">
        <v>1</v>
      </c>
      <c r="DL23" s="1325">
        <v>0</v>
      </c>
      <c r="DM23" s="1325" t="s">
        <v>2236</v>
      </c>
      <c r="DN23" s="538">
        <v>40</v>
      </c>
      <c r="DO23" s="1325">
        <f t="shared" si="12"/>
        <v>0.1</v>
      </c>
      <c r="DP23" s="1325">
        <v>1</v>
      </c>
      <c r="DQ23" s="1325">
        <v>0</v>
      </c>
      <c r="DR23" s="1326" t="str">
        <f>IF(A23=FALSE,"",IF(Detail!CP23="","N/A",YEAR(Detail!F23)&amp;Detail!CS23&amp;Detail!CP23&amp;"-"&amp;Detail!$CP$13))</f>
        <v>N/A</v>
      </c>
      <c r="DS23" s="1326" t="s">
        <v>2236</v>
      </c>
      <c r="DT23" s="1354" t="s">
        <v>2277</v>
      </c>
      <c r="DU23" s="1385">
        <v>50000</v>
      </c>
      <c r="DV23" s="247">
        <v>2</v>
      </c>
      <c r="DW23" s="1325">
        <v>0</v>
      </c>
      <c r="DX23" s="1325" t="s">
        <v>2236</v>
      </c>
      <c r="DY23" s="264">
        <v>0</v>
      </c>
      <c r="DZ23" s="444">
        <v>0</v>
      </c>
      <c r="EA23" s="444">
        <v>1</v>
      </c>
      <c r="EB23" s="444">
        <v>0</v>
      </c>
      <c r="EC23" s="761" t="str">
        <f>IF(A23=FALSE,"",IF(Detail!CX23="","N/A",YEAR(Detail!F23)&amp;Detail!DA23&amp;Detail!CX23&amp;"-"&amp;Detail!$CX$13))</f>
        <v>N/A</v>
      </c>
      <c r="ED23" s="1327" t="s">
        <v>2236</v>
      </c>
      <c r="EE23" s="1354" t="s">
        <v>2277</v>
      </c>
      <c r="EF23" s="1385">
        <v>50000</v>
      </c>
      <c r="EG23" s="247">
        <v>2</v>
      </c>
      <c r="EH23" s="1325">
        <v>0</v>
      </c>
      <c r="EI23" s="1325" t="s">
        <v>2236</v>
      </c>
      <c r="EJ23" s="264">
        <v>0</v>
      </c>
      <c r="EK23" s="444">
        <v>0</v>
      </c>
      <c r="EL23" s="444">
        <v>1</v>
      </c>
      <c r="EM23" s="444">
        <v>0</v>
      </c>
      <c r="EN23" s="333" t="str">
        <f>IF(A23=FALSE,"",IF(Detail!DF23="","N/A",YEAR(Detail!F23)&amp;Detail!DI23&amp;Detail!DF23&amp;"-"&amp;Detail!$DF$13))</f>
        <v>N/A</v>
      </c>
      <c r="EO23" s="1354" t="s">
        <v>2236</v>
      </c>
      <c r="EP23" s="1354" t="s">
        <v>2277</v>
      </c>
      <c r="EQ23" s="1325">
        <f t="shared" si="13"/>
        <v>0</v>
      </c>
      <c r="ER23" s="1325" t="s">
        <v>2236</v>
      </c>
      <c r="ES23" s="264">
        <v>0</v>
      </c>
      <c r="ET23" s="1325">
        <v>0</v>
      </c>
      <c r="EU23" s="1325">
        <v>1</v>
      </c>
      <c r="EV23" s="1325">
        <v>0</v>
      </c>
      <c r="EW23" s="333" t="str">
        <f>IF(DJ23=FALSE,"",IF(Detail!ET23="","N/A",YEAR(Detail!DN23)&amp;Detail!EW23&amp;Detail!ET23&amp;"-"&amp;Detail!$AL$13&amp;Detail!EU23))</f>
        <v>N/A</v>
      </c>
      <c r="EX23" s="1354" t="s">
        <v>2236</v>
      </c>
      <c r="EY23" s="1354" t="s">
        <v>2277</v>
      </c>
      <c r="EZ23" s="1325">
        <f t="shared" si="14"/>
        <v>0</v>
      </c>
      <c r="FA23" s="1325" t="s">
        <v>2236</v>
      </c>
      <c r="FB23" s="264">
        <v>0</v>
      </c>
      <c r="FC23" s="1325">
        <v>0</v>
      </c>
      <c r="FD23" s="1325">
        <v>1</v>
      </c>
      <c r="FE23" s="1325">
        <v>0</v>
      </c>
    </row>
    <row r="24" spans="1:161" s="1369" customFormat="1" ht="30" customHeight="1" outlineLevel="1">
      <c r="A24" s="439" t="b">
        <f>Calcul!A24</f>
        <v>1</v>
      </c>
      <c r="B24" s="510" t="str">
        <f t="shared" si="6"/>
        <v>VRAI130534novembre42686</v>
      </c>
      <c r="C24" s="1411" t="b">
        <v>1</v>
      </c>
      <c r="D24" s="1404" t="s">
        <v>2147</v>
      </c>
      <c r="E24" s="1405" t="s">
        <v>2335</v>
      </c>
      <c r="F24" s="1323" t="s">
        <v>2146</v>
      </c>
      <c r="G24" s="356">
        <f>IF(A24=FALSE,"",IF(NAMES!$D$10=FALSE,IF(Detail!H24="","",Detail!H24),IF(Crewlist!D24="","",Crewlist!D24)))</f>
        <v>130534</v>
      </c>
      <c r="H24" s="356" t="str">
        <f>IF(A24=FALSE,"",IF(NAMES!$D$10=FALSE,IF(Detail!P24="","",Detail!P24),IF(Crewlist!E24="","",Crewlist!E24)))</f>
        <v>Captain/Master</v>
      </c>
      <c r="I24" s="356" t="str">
        <f>IF(A24=FALSE,"",IF(NAMES!$D$10=FALSE,IF(Detail!K24="","",Detail!K24),IF(Crewlist!F24="","",Crewlist!F24)))</f>
        <v>MATTER</v>
      </c>
      <c r="J24" s="1963">
        <f>IF(Crewlist!T24="","",Crewlist!T24)</f>
        <v>42686</v>
      </c>
      <c r="K24" s="1963">
        <f>IF(Crewlist!D24="","",IF(Crewlist!U24="",Crewlist!Y24,IF(DATERENOUVMOINS730&lt;&gt;Crewlist!U24&lt;&gt;Crewlist!Y24,Crewlist!U24,DATERENOUVMOINS365)))</f>
        <v>43050</v>
      </c>
      <c r="L24" s="1971">
        <f>IF(Detail!X24="","",Detail!X24)</f>
        <v>42686</v>
      </c>
      <c r="M24" s="1971">
        <f>IF(Detail!H24="","",IF(Detail!Y24="",DATERENOUV,IF(Detail!Y24&gt;Detail!D24,Detail!D24,Detail!Y24)))</f>
        <v>43050</v>
      </c>
      <c r="N24" s="1015">
        <f>IF(A24=FALSE,"",IF(NAMES!$D$10=FALSE,IF(B24=B25,IF(O24=O25,0,(DATEDIF(L24,M24,"M")+1)),(DATEDIF(L24,M24,"M")+1)),IF(B24=B25,IF(O24=O25,0,(DATEDIF(J24,K24,"M")+1)),(DATEDIF(J24,K24,"M")+1))))</f>
        <v>12</v>
      </c>
      <c r="O24" s="1015" t="str">
        <f t="shared" si="5"/>
        <v>novembre</v>
      </c>
      <c r="P24" s="358">
        <f>IF(A24=FALSE,"",IF(NAMES!$D$10=FALSE,IF((DATEDIF(L24,M24,"D")+1)&lt;365,(DATEDIF(L24,M24,"D")+1),365),IF((DATEDIF(J24,K24,"D")+1)&lt;365,(DATEDIF(J24,K24,"D")+1),365)))</f>
        <v>365</v>
      </c>
      <c r="Q24" s="358">
        <f>IF(A24=FALSE,"",IF(NAMES!$D$10=FALSE,IF(M24="",365,DATEDIF(L24,M24,"D")+1),IF(M24="",365,DATEDIF(J24,K24,"D")+1)))</f>
        <v>365</v>
      </c>
      <c r="R24" s="950">
        <f>Calcul!X24</f>
        <v>7000</v>
      </c>
      <c r="S24" s="950">
        <f>Calcul!Y24</f>
        <v>84000</v>
      </c>
      <c r="T24" s="993">
        <f>Calcul!AG24</f>
        <v>84000</v>
      </c>
      <c r="U24" s="368" t="str">
        <f>IF(A24=FALSE,"",IF(NAMES!$D$10=FALSE,IF(Detail!S24="","",Detail!S24),IF(Crewlist!V24="","",Crewlist!V24)))</f>
        <v>annual</v>
      </c>
      <c r="V24" s="245">
        <f>Calcul!AI24</f>
        <v>4975.6322206896557</v>
      </c>
      <c r="W24" s="245">
        <f>Calcul!AL24</f>
        <v>32</v>
      </c>
      <c r="X24" s="245">
        <f>Calcul!AM24</f>
        <v>189.67816233421769</v>
      </c>
      <c r="Y24" s="353">
        <f>Calcul!AN24</f>
        <v>0</v>
      </c>
      <c r="Z24" s="245">
        <f>Calcul!AO24</f>
        <v>221.67816233421769</v>
      </c>
      <c r="AA24" s="245" t="str">
        <f>Calcul!AP24</f>
        <v>WCA</v>
      </c>
      <c r="AB24" s="353">
        <f>Calcul!AQ24</f>
        <v>12</v>
      </c>
      <c r="AC24" s="353">
        <f>IF(C24=FALSE,"",Calcul!BE24+Calcul!BF24)</f>
        <v>1355.7692307692307</v>
      </c>
      <c r="AD24" s="1224">
        <f>IF(C24=FALSE,"",(Calcul!BG24+Calcul!BH24)+SUM(Calcul!BI24:BN24))</f>
        <v>0</v>
      </c>
      <c r="AE24" s="1224">
        <f>Calcul!BP24</f>
        <v>3386.1848275862071</v>
      </c>
      <c r="AF24" s="332" t="str">
        <f>IF(A24=FALSE,"",YEAR(Detail!F24)&amp;Detail!AG24&amp;Detail!AD24&amp;"-"&amp;Detail!$AD$13&amp;Detail!AE24)</f>
        <v>2016EURAIG Luxembourg-Healthcare PlanPerfect</v>
      </c>
      <c r="AG24" s="1406" t="s">
        <v>2991</v>
      </c>
      <c r="AH24" s="1354" t="s">
        <v>2277</v>
      </c>
      <c r="AI24" s="1407">
        <v>0</v>
      </c>
      <c r="AJ24" s="1407" t="s">
        <v>2358</v>
      </c>
      <c r="AK24" s="1410">
        <v>32</v>
      </c>
      <c r="AL24" s="508">
        <v>0</v>
      </c>
      <c r="AM24" s="1325">
        <v>1</v>
      </c>
      <c r="AN24" s="1325">
        <v>0</v>
      </c>
      <c r="AO24" s="333" t="str">
        <f>IF(A24=FALSE,"",IF(Detail!AL24="","N/A",YEAR(Detail!F24)&amp;Detail!AO24&amp;Detail!AL24&amp;"-"&amp;Detail!$AL$13&amp;Detail!AM24))</f>
        <v>2016EURAIG Luxembourg-Assistance and RepatriationPerfect</v>
      </c>
      <c r="AP24" s="1406" t="s">
        <v>2992</v>
      </c>
      <c r="AQ24" s="1354" t="s">
        <v>2277</v>
      </c>
      <c r="AR24" s="1407">
        <f t="shared" si="7"/>
        <v>0</v>
      </c>
      <c r="AS24" s="1325" t="s">
        <v>2236</v>
      </c>
      <c r="AT24" s="264">
        <v>0</v>
      </c>
      <c r="AU24" s="1325">
        <v>0</v>
      </c>
      <c r="AV24" s="1325">
        <v>1</v>
      </c>
      <c r="AW24" s="1325">
        <v>0</v>
      </c>
      <c r="AX24" s="1326" t="str">
        <f>IF(A24=FALSE,"",IF(Detail!AT24="","N/A",YEAR(Detail!F24)&amp;Detail!AW24&amp;Detail!AT24&amp;"-"&amp;Detail!$AT$13))</f>
        <v>2016EURAnker Verzekeringen n.v.-Death Accident</v>
      </c>
      <c r="AY24" s="1408" t="s">
        <v>2861</v>
      </c>
      <c r="AZ24" s="1326" t="s">
        <v>2278</v>
      </c>
      <c r="BA24" s="440">
        <f>IF(A24=FALSE,"",51000+(Detail!AA24*7000))</f>
        <v>51000</v>
      </c>
      <c r="BB24" s="1412">
        <v>50000</v>
      </c>
      <c r="BC24" s="247">
        <v>3</v>
      </c>
      <c r="BD24" s="1325">
        <v>0</v>
      </c>
      <c r="BE24" s="1325" t="s">
        <v>2236</v>
      </c>
      <c r="BF24" s="264">
        <v>0</v>
      </c>
      <c r="BG24" s="508">
        <v>0</v>
      </c>
      <c r="BH24" s="1325">
        <v>1</v>
      </c>
      <c r="BI24" s="1325">
        <v>0</v>
      </c>
      <c r="BJ24" s="311" t="str">
        <f>IF(A24=FALSE,"",IF(Detail!BB24="","N/A",YEAR(Detail!F24)&amp;Detail!BE24&amp;Detail!BB24&amp;"-"&amp;Detail!$BB$13))</f>
        <v>2016EURAnker Verzekeringen n.v.-Death Illness</v>
      </c>
      <c r="BK24" s="1406" t="s">
        <v>2867</v>
      </c>
      <c r="BL24" s="1354" t="s">
        <v>2278</v>
      </c>
      <c r="BM24" s="440">
        <f>IF(A24=FALSE,"",51000+(Detail!AA24*7000))</f>
        <v>51000</v>
      </c>
      <c r="BN24" s="1412">
        <v>50000</v>
      </c>
      <c r="BO24" s="247">
        <v>3</v>
      </c>
      <c r="BP24" s="1325">
        <v>0</v>
      </c>
      <c r="BQ24" s="1325" t="s">
        <v>2236</v>
      </c>
      <c r="BR24" s="264">
        <v>0</v>
      </c>
      <c r="BS24" s="508">
        <v>0</v>
      </c>
      <c r="BT24" s="1325">
        <v>1</v>
      </c>
      <c r="BU24" s="1325">
        <v>0</v>
      </c>
      <c r="BV24" s="311" t="str">
        <f>IF(A24=FALSE,"",IF(Detail!BJ24="","N/A",YEAR(Detail!F24)&amp;Detail!BM24&amp;Detail!BJ24&amp;"-"&amp;Detail!$BJ$13))</f>
        <v>2016EURAnker Verzekeringen n.v.-Permanent Disability Accident</v>
      </c>
      <c r="BW24" s="1409" t="s">
        <v>2862</v>
      </c>
      <c r="BX24" s="1354" t="s">
        <v>2278</v>
      </c>
      <c r="BY24" s="440">
        <f t="shared" si="8"/>
        <v>60000</v>
      </c>
      <c r="BZ24" s="1412">
        <v>50000</v>
      </c>
      <c r="CA24" s="247">
        <v>3</v>
      </c>
      <c r="CB24" s="1325">
        <v>0</v>
      </c>
      <c r="CC24" s="1325" t="s">
        <v>2236</v>
      </c>
      <c r="CD24" s="264">
        <v>0</v>
      </c>
      <c r="CE24" s="508">
        <v>0</v>
      </c>
      <c r="CF24" s="1325">
        <v>1</v>
      </c>
      <c r="CG24" s="1325">
        <v>0</v>
      </c>
      <c r="CH24" s="311" t="str">
        <f>IF(A24=FALSE,"",IF(Detail!BR24="","N/A",YEAR(Detail!F24)&amp;Detail!BU24&amp;Detail!BR24&amp;"-"&amp;Detail!$BR$13))</f>
        <v>2016EURAnker Verzekeringen n.v.-Permanent Disability Illness</v>
      </c>
      <c r="CI24" s="1409" t="s">
        <v>2868</v>
      </c>
      <c r="CJ24" s="1354" t="s">
        <v>2278</v>
      </c>
      <c r="CK24" s="440">
        <f t="shared" si="9"/>
        <v>60000</v>
      </c>
      <c r="CL24" s="1412">
        <v>50000</v>
      </c>
      <c r="CM24" s="247">
        <v>3</v>
      </c>
      <c r="CN24" s="1325">
        <v>0</v>
      </c>
      <c r="CO24" s="1325" t="s">
        <v>2236</v>
      </c>
      <c r="CP24" s="264">
        <v>0</v>
      </c>
      <c r="CQ24" s="508">
        <v>0</v>
      </c>
      <c r="CR24" s="1325">
        <v>1</v>
      </c>
      <c r="CS24" s="1325">
        <v>0</v>
      </c>
      <c r="CT24" s="311" t="str">
        <f>IF(A24=FALSE,"",IF(Detail!BZ24="","N/A",YEAR(Detail!F24)&amp;Detail!CC24&amp;Detail!BZ24&amp;"-"&amp;Detail!$BZ$13&amp;" (100%/"&amp;Detail!CD24&amp;"/"&amp;Detail!CE24&amp;"D)"))</f>
        <v>2016EURAnker Verzekeringen n.v.-Temporary Disability Accident (100%/7/365D)</v>
      </c>
      <c r="CU24" s="1409" t="s">
        <v>2863</v>
      </c>
      <c r="CV24" s="1354" t="s">
        <v>2278</v>
      </c>
      <c r="CW24" s="1010">
        <v>7</v>
      </c>
      <c r="CX24" s="1323">
        <v>365</v>
      </c>
      <c r="CY24" s="248">
        <v>1</v>
      </c>
      <c r="CZ24" s="1325">
        <v>0</v>
      </c>
      <c r="DA24" s="1325" t="s">
        <v>2236</v>
      </c>
      <c r="DB24" s="538">
        <v>40</v>
      </c>
      <c r="DC24" s="1325">
        <v>0.1</v>
      </c>
      <c r="DD24" s="1325">
        <v>1</v>
      </c>
      <c r="DE24" s="1325">
        <v>0</v>
      </c>
      <c r="DF24" s="313" t="str">
        <f>IF(A24=FALSE,"",IF(Detail!CH24="","N/A",YEAR(Detail!F24)&amp;Detail!CK24&amp;Detail!CH24&amp;"-"&amp;Detail!$CH$13&amp;" (100%/"&amp;Detail!CL24&amp;"/"&amp;Detail!CM24&amp;"D)"))</f>
        <v>2016EURAnker Verzekeringen n.v.-Temporary Disability Illness (100%/7/365D)</v>
      </c>
      <c r="DG24" s="1406" t="s">
        <v>2864</v>
      </c>
      <c r="DH24" s="518" t="s">
        <v>2278</v>
      </c>
      <c r="DI24" s="1010">
        <f t="shared" si="10"/>
        <v>7</v>
      </c>
      <c r="DJ24" s="1323">
        <f t="shared" si="11"/>
        <v>365</v>
      </c>
      <c r="DK24" s="258">
        <v>1</v>
      </c>
      <c r="DL24" s="1325">
        <v>0</v>
      </c>
      <c r="DM24" s="1325" t="s">
        <v>2236</v>
      </c>
      <c r="DN24" s="538">
        <v>40</v>
      </c>
      <c r="DO24" s="1325">
        <f t="shared" si="12"/>
        <v>0.1</v>
      </c>
      <c r="DP24" s="1325">
        <v>1</v>
      </c>
      <c r="DQ24" s="1325">
        <v>0</v>
      </c>
      <c r="DR24" s="1326" t="str">
        <f>IF(A24=FALSE,"",IF(Detail!CP24="","N/A",YEAR(Detail!F24)&amp;Detail!CS24&amp;Detail!CP24&amp;"-"&amp;Detail!$CP$13))</f>
        <v>N/A</v>
      </c>
      <c r="DS24" s="1326" t="s">
        <v>2236</v>
      </c>
      <c r="DT24" s="1354" t="s">
        <v>2277</v>
      </c>
      <c r="DU24" s="1385">
        <v>50000</v>
      </c>
      <c r="DV24" s="247">
        <v>2</v>
      </c>
      <c r="DW24" s="1325">
        <v>0</v>
      </c>
      <c r="DX24" s="1325" t="s">
        <v>2236</v>
      </c>
      <c r="DY24" s="264">
        <v>0</v>
      </c>
      <c r="DZ24" s="444">
        <v>0</v>
      </c>
      <c r="EA24" s="444">
        <v>1</v>
      </c>
      <c r="EB24" s="444">
        <v>0</v>
      </c>
      <c r="EC24" s="761" t="str">
        <f>IF(A24=FALSE,"",IF(Detail!CX24="","N/A",YEAR(Detail!F24)&amp;Detail!DA24&amp;Detail!CX24&amp;"-"&amp;Detail!$CX$13))</f>
        <v>N/A</v>
      </c>
      <c r="ED24" s="1327" t="s">
        <v>2236</v>
      </c>
      <c r="EE24" s="1354" t="s">
        <v>2277</v>
      </c>
      <c r="EF24" s="1385">
        <v>50000</v>
      </c>
      <c r="EG24" s="247">
        <v>2</v>
      </c>
      <c r="EH24" s="1325">
        <v>0</v>
      </c>
      <c r="EI24" s="1325" t="s">
        <v>2236</v>
      </c>
      <c r="EJ24" s="264">
        <v>0</v>
      </c>
      <c r="EK24" s="444">
        <v>0</v>
      </c>
      <c r="EL24" s="444">
        <v>1</v>
      </c>
      <c r="EM24" s="444">
        <v>0</v>
      </c>
      <c r="EN24" s="333" t="str">
        <f>IF(A24=FALSE,"",IF(Detail!DF24="","N/A",YEAR(Detail!F24)&amp;Detail!DI24&amp;Detail!DF24&amp;"-"&amp;Detail!$DF$13))</f>
        <v>N/A</v>
      </c>
      <c r="EO24" s="1354" t="s">
        <v>2236</v>
      </c>
      <c r="EP24" s="1354" t="s">
        <v>2277</v>
      </c>
      <c r="EQ24" s="1325">
        <f t="shared" si="13"/>
        <v>0</v>
      </c>
      <c r="ER24" s="1325" t="s">
        <v>2236</v>
      </c>
      <c r="ES24" s="264">
        <v>0</v>
      </c>
      <c r="ET24" s="1325">
        <v>0</v>
      </c>
      <c r="EU24" s="1325">
        <v>1</v>
      </c>
      <c r="EV24" s="1325">
        <v>0</v>
      </c>
      <c r="EW24" s="333" t="str">
        <f>IF(DJ24=FALSE,"",IF(Detail!ET24="","N/A",YEAR(Detail!DN24)&amp;Detail!EW24&amp;Detail!ET24&amp;"-"&amp;Detail!$AL$13&amp;Detail!EU24))</f>
        <v>N/A</v>
      </c>
      <c r="EX24" s="1354" t="s">
        <v>2236</v>
      </c>
      <c r="EY24" s="1354" t="s">
        <v>2277</v>
      </c>
      <c r="EZ24" s="1325">
        <f t="shared" si="14"/>
        <v>0</v>
      </c>
      <c r="FA24" s="1325" t="s">
        <v>2236</v>
      </c>
      <c r="FB24" s="264">
        <v>0</v>
      </c>
      <c r="FC24" s="1325">
        <v>0</v>
      </c>
      <c r="FD24" s="1325">
        <v>1</v>
      </c>
      <c r="FE24" s="1325">
        <v>0</v>
      </c>
    </row>
    <row r="25" spans="1:161" s="1369" customFormat="1" ht="30" customHeight="1" outlineLevel="1">
      <c r="A25" s="439" t="b">
        <f>Calcul!A25</f>
        <v>0</v>
      </c>
      <c r="B25" s="510" t="str">
        <f t="shared" si="6"/>
        <v/>
      </c>
      <c r="C25" s="1404" t="b">
        <v>0</v>
      </c>
      <c r="D25" s="1404" t="s">
        <v>2147</v>
      </c>
      <c r="E25" s="1405" t="s">
        <v>2335</v>
      </c>
      <c r="F25" s="1323" t="s">
        <v>2146</v>
      </c>
      <c r="G25" s="356" t="str">
        <f>IF(A25=FALSE,"",IF(NAMES!$D$10=FALSE,IF(Detail!H25="","",Detail!H25),IF(Crewlist!D25="","",Crewlist!D25)))</f>
        <v/>
      </c>
      <c r="H25" s="356" t="str">
        <f>IF(A25=FALSE,"",IF(NAMES!$D$10=FALSE,IF(Detail!P25="","",Detail!P25),IF(Crewlist!E25="","",Crewlist!E25)))</f>
        <v/>
      </c>
      <c r="I25" s="356" t="str">
        <f>IF(A25=FALSE,"",IF(NAMES!$D$10=FALSE,IF(Detail!K25="","",Detail!K25),IF(Crewlist!F25="","",Crewlist!F25)))</f>
        <v/>
      </c>
      <c r="J25" s="1963" t="str">
        <f>IF(Crewlist!T25="","",Crewlist!T25)</f>
        <v/>
      </c>
      <c r="K25" s="1963" t="str">
        <f>IF(Crewlist!D25="","",IF(Crewlist!U25="",Crewlist!Y25,IF(DATERENOUVMOINS730&lt;&gt;Crewlist!U25&lt;&gt;Crewlist!Y25,Crewlist!U25,DATERENOUVMOINS365)))</f>
        <v/>
      </c>
      <c r="L25" s="1971" t="str">
        <f>IF(Detail!X25="","",Detail!X25)</f>
        <v/>
      </c>
      <c r="M25" s="1971" t="str">
        <f>IF(Detail!H25="","",IF(Detail!Y25="",DATERENOUV,IF(Detail!Y25&gt;Detail!D25,Detail!D25,Detail!Y25)))</f>
        <v/>
      </c>
      <c r="N25" s="1015" t="str">
        <f>IF(A25=FALSE,"",IF(NAMES!$D$10=FALSE,IF(B25=B26,IF(O25=O26,0,(DATEDIF(L25,M25,"M")+1)),(DATEDIF(L25,M25,"M")+1)),IF(B25=B26,IF(O25=O26,0,(DATEDIF(J25,K25,"M")+1)),(DATEDIF(J25,K25,"M")+1))))</f>
        <v/>
      </c>
      <c r="O25" s="1015" t="str">
        <f t="shared" si="5"/>
        <v/>
      </c>
      <c r="P25" s="358" t="str">
        <f>IF(A25=FALSE,"",IF(NAMES!$D$10=FALSE,IF((DATEDIF(L25,M25,"D")+1)&lt;365,(DATEDIF(L25,M25,"D")+1),365),IF((DATEDIF(J25,K25,"D")+1)&lt;365,(DATEDIF(J25,K25,"D")+1),365)))</f>
        <v/>
      </c>
      <c r="Q25" s="358" t="str">
        <f>IF(A25=FALSE,"",IF(NAMES!$D$10=FALSE,IF(M25="",365,DATEDIF(L25,M25,"D")+1),IF(M25="",365,DATEDIF(J25,K25,"D")+1)))</f>
        <v/>
      </c>
      <c r="R25" s="950" t="str">
        <f>Calcul!X25</f>
        <v/>
      </c>
      <c r="S25" s="950" t="str">
        <f>Calcul!Y25</f>
        <v/>
      </c>
      <c r="T25" s="993" t="str">
        <f>Calcul!AG25</f>
        <v/>
      </c>
      <c r="U25" s="368" t="str">
        <f>IF(A25=FALSE,"",IF(NAMES!$D$10=FALSE,IF(Detail!S25="","",Detail!S25),IF(Crewlist!V25="","",Crewlist!V25)))</f>
        <v/>
      </c>
      <c r="V25" s="245" t="str">
        <f>Calcul!AI25</f>
        <v/>
      </c>
      <c r="W25" s="245" t="str">
        <f>Calcul!AL25</f>
        <v/>
      </c>
      <c r="X25" s="245" t="str">
        <f>Calcul!AM25</f>
        <v/>
      </c>
      <c r="Y25" s="353" t="str">
        <f>Calcul!AN25</f>
        <v/>
      </c>
      <c r="Z25" s="245" t="str">
        <f>Calcul!AO25</f>
        <v/>
      </c>
      <c r="AA25" s="245" t="str">
        <f>Calcul!AP25</f>
        <v/>
      </c>
      <c r="AB25" s="353" t="str">
        <f>Calcul!AQ25</f>
        <v/>
      </c>
      <c r="AC25" s="353" t="str">
        <f>IF(C25=FALSE,"",Calcul!BE25+Calcul!BF25)</f>
        <v/>
      </c>
      <c r="AD25" s="1224" t="str">
        <f>IF(C25=FALSE,"",(Calcul!BG25+Calcul!BH25)+SUM(Calcul!BI25:BN25))</f>
        <v/>
      </c>
      <c r="AE25" s="1224" t="str">
        <f>Calcul!BP25</f>
        <v/>
      </c>
      <c r="AF25" s="332" t="str">
        <f>IF(A25=FALSE,"",YEAR(Detail!F25)&amp;Detail!AG25&amp;Detail!AD25&amp;"-"&amp;Detail!$AD$13&amp;Detail!AE25)</f>
        <v/>
      </c>
      <c r="AG25" s="1406" t="s">
        <v>2236</v>
      </c>
      <c r="AH25" s="1354" t="s">
        <v>2277</v>
      </c>
      <c r="AI25" s="1407">
        <v>0</v>
      </c>
      <c r="AJ25" s="1407" t="s">
        <v>2236</v>
      </c>
      <c r="AK25" s="1410">
        <v>32</v>
      </c>
      <c r="AL25" s="508">
        <v>0</v>
      </c>
      <c r="AM25" s="1325">
        <v>1</v>
      </c>
      <c r="AN25" s="1325">
        <v>0</v>
      </c>
      <c r="AO25" s="333" t="str">
        <f>IF(A25=FALSE,"",IF(Detail!AL25="","N/A",YEAR(Detail!F25)&amp;Detail!AO25&amp;Detail!AL25&amp;"-"&amp;Detail!$AL$13&amp;Detail!AM25))</f>
        <v/>
      </c>
      <c r="AP25" s="1406" t="s">
        <v>2236</v>
      </c>
      <c r="AQ25" s="1354" t="s">
        <v>2277</v>
      </c>
      <c r="AR25" s="1407">
        <f t="shared" si="7"/>
        <v>0</v>
      </c>
      <c r="AS25" s="1325" t="s">
        <v>2236</v>
      </c>
      <c r="AT25" s="264">
        <v>0</v>
      </c>
      <c r="AU25" s="1325">
        <v>0</v>
      </c>
      <c r="AV25" s="1325">
        <v>1</v>
      </c>
      <c r="AW25" s="1325">
        <v>0</v>
      </c>
      <c r="AX25" s="1326" t="str">
        <f>IF(A25=FALSE,"",IF(Detail!AT25="","N/A",YEAR(Detail!F25)&amp;Detail!AW25&amp;Detail!AT25&amp;"-"&amp;Detail!$AT$13))</f>
        <v/>
      </c>
      <c r="AY25" s="1408" t="s">
        <v>2236</v>
      </c>
      <c r="AZ25" s="1326" t="s">
        <v>2278</v>
      </c>
      <c r="BA25" s="440" t="str">
        <f>IF(A25=FALSE,"",51000+(Detail!AA25*7000))</f>
        <v/>
      </c>
      <c r="BB25" s="1412">
        <v>50000</v>
      </c>
      <c r="BC25" s="247">
        <v>3</v>
      </c>
      <c r="BD25" s="1325">
        <v>0</v>
      </c>
      <c r="BE25" s="1325" t="s">
        <v>2236</v>
      </c>
      <c r="BF25" s="264">
        <v>0</v>
      </c>
      <c r="BG25" s="508">
        <v>0</v>
      </c>
      <c r="BH25" s="1325">
        <v>1</v>
      </c>
      <c r="BI25" s="1325">
        <v>0</v>
      </c>
      <c r="BJ25" s="311" t="str">
        <f>IF(A25=FALSE,"",IF(Detail!BB25="","N/A",YEAR(Detail!F25)&amp;Detail!BE25&amp;Detail!BB25&amp;"-"&amp;Detail!$BB$13))</f>
        <v/>
      </c>
      <c r="BK25" s="1354" t="s">
        <v>2236</v>
      </c>
      <c r="BL25" s="1354" t="s">
        <v>2278</v>
      </c>
      <c r="BM25" s="440" t="str">
        <f>IF(A25=FALSE,"",51000+(Detail!AA25*7000))</f>
        <v/>
      </c>
      <c r="BN25" s="1412">
        <v>50000</v>
      </c>
      <c r="BO25" s="247">
        <v>3</v>
      </c>
      <c r="BP25" s="1325">
        <v>0</v>
      </c>
      <c r="BQ25" s="1325" t="s">
        <v>2236</v>
      </c>
      <c r="BR25" s="264">
        <v>0</v>
      </c>
      <c r="BS25" s="508">
        <v>0</v>
      </c>
      <c r="BT25" s="1325">
        <v>1</v>
      </c>
      <c r="BU25" s="1325">
        <v>0</v>
      </c>
      <c r="BV25" s="311" t="str">
        <f>IF(A25=FALSE,"",IF(Detail!BJ25="","N/A",YEAR(Detail!F25)&amp;Detail!BM25&amp;Detail!BJ25&amp;"-"&amp;Detail!$BJ$13))</f>
        <v/>
      </c>
      <c r="BW25" s="1409" t="s">
        <v>2236</v>
      </c>
      <c r="BX25" s="1354" t="s">
        <v>2278</v>
      </c>
      <c r="BY25" s="440" t="str">
        <f t="shared" si="8"/>
        <v/>
      </c>
      <c r="BZ25" s="1412">
        <v>50000</v>
      </c>
      <c r="CA25" s="247">
        <v>3</v>
      </c>
      <c r="CB25" s="1325">
        <v>0</v>
      </c>
      <c r="CC25" s="1325" t="s">
        <v>2236</v>
      </c>
      <c r="CD25" s="264">
        <v>0</v>
      </c>
      <c r="CE25" s="508">
        <v>0</v>
      </c>
      <c r="CF25" s="1325">
        <v>1</v>
      </c>
      <c r="CG25" s="1325">
        <v>0</v>
      </c>
      <c r="CH25" s="311" t="str">
        <f>IF(A25=FALSE,"",IF(Detail!BR25="","N/A",YEAR(Detail!F25)&amp;Detail!BU25&amp;Detail!BR25&amp;"-"&amp;Detail!$BR$13))</f>
        <v/>
      </c>
      <c r="CI25" s="1327" t="s">
        <v>2236</v>
      </c>
      <c r="CJ25" s="1354" t="s">
        <v>2278</v>
      </c>
      <c r="CK25" s="440" t="str">
        <f t="shared" si="9"/>
        <v/>
      </c>
      <c r="CL25" s="1412">
        <v>50000</v>
      </c>
      <c r="CM25" s="247">
        <v>3</v>
      </c>
      <c r="CN25" s="1325">
        <v>0</v>
      </c>
      <c r="CO25" s="1325" t="s">
        <v>2236</v>
      </c>
      <c r="CP25" s="264">
        <v>0</v>
      </c>
      <c r="CQ25" s="508">
        <v>0</v>
      </c>
      <c r="CR25" s="1325">
        <v>1</v>
      </c>
      <c r="CS25" s="1325">
        <v>0</v>
      </c>
      <c r="CT25" s="311" t="str">
        <f>IF(A25=FALSE,"",IF(Detail!BZ25="","N/A",YEAR(Detail!F25)&amp;Detail!CC25&amp;Detail!BZ25&amp;"-"&amp;Detail!$BZ$13&amp;" (100%/"&amp;Detail!CD25&amp;"/"&amp;Detail!CE25&amp;"D)"))</f>
        <v/>
      </c>
      <c r="CU25" s="1409" t="s">
        <v>2236</v>
      </c>
      <c r="CV25" s="1354" t="s">
        <v>2278</v>
      </c>
      <c r="CW25" s="1010">
        <v>7</v>
      </c>
      <c r="CX25" s="1323">
        <v>365</v>
      </c>
      <c r="CY25" s="248">
        <v>1</v>
      </c>
      <c r="CZ25" s="1325">
        <v>0</v>
      </c>
      <c r="DA25" s="1325" t="s">
        <v>2236</v>
      </c>
      <c r="DB25" s="538">
        <v>40</v>
      </c>
      <c r="DC25" s="1325">
        <v>0.1</v>
      </c>
      <c r="DD25" s="1325">
        <v>1</v>
      </c>
      <c r="DE25" s="1325">
        <v>0</v>
      </c>
      <c r="DF25" s="313" t="str">
        <f>IF(A25=FALSE,"",IF(Detail!CH25="","N/A",YEAR(Detail!F25)&amp;Detail!CK25&amp;Detail!CH25&amp;"-"&amp;Detail!$CH$13&amp;" (100%/"&amp;Detail!CL25&amp;"/"&amp;Detail!CM25&amp;"D)"))</f>
        <v/>
      </c>
      <c r="DG25" s="1406" t="s">
        <v>2236</v>
      </c>
      <c r="DH25" s="518" t="s">
        <v>2278</v>
      </c>
      <c r="DI25" s="1010">
        <f t="shared" si="10"/>
        <v>7</v>
      </c>
      <c r="DJ25" s="1323">
        <f t="shared" si="11"/>
        <v>365</v>
      </c>
      <c r="DK25" s="258">
        <v>1</v>
      </c>
      <c r="DL25" s="1325">
        <v>0</v>
      </c>
      <c r="DM25" s="1325" t="s">
        <v>2236</v>
      </c>
      <c r="DN25" s="538">
        <v>40</v>
      </c>
      <c r="DO25" s="1325">
        <f t="shared" si="12"/>
        <v>0.1</v>
      </c>
      <c r="DP25" s="1325">
        <v>1</v>
      </c>
      <c r="DQ25" s="1325">
        <v>0</v>
      </c>
      <c r="DR25" s="1326" t="str">
        <f>IF(A25=FALSE,"",IF(Detail!CP25="","N/A",YEAR(Detail!F25)&amp;Detail!CS25&amp;Detail!CP25&amp;"-"&amp;Detail!$CP$13))</f>
        <v/>
      </c>
      <c r="DS25" s="1326" t="s">
        <v>2236</v>
      </c>
      <c r="DT25" s="1354" t="s">
        <v>2277</v>
      </c>
      <c r="DU25" s="1385">
        <v>50000</v>
      </c>
      <c r="DV25" s="247">
        <v>2</v>
      </c>
      <c r="DW25" s="1325">
        <v>0</v>
      </c>
      <c r="DX25" s="1325" t="s">
        <v>2236</v>
      </c>
      <c r="DY25" s="264">
        <v>0</v>
      </c>
      <c r="DZ25" s="444">
        <v>0</v>
      </c>
      <c r="EA25" s="444">
        <v>1</v>
      </c>
      <c r="EB25" s="444">
        <v>0</v>
      </c>
      <c r="EC25" s="761" t="str">
        <f>IF(A25=FALSE,"",IF(Detail!CX25="","N/A",YEAR(Detail!F25)&amp;Detail!DA25&amp;Detail!CX25&amp;"-"&amp;Detail!$CX$13))</f>
        <v/>
      </c>
      <c r="ED25" s="1327" t="s">
        <v>2236</v>
      </c>
      <c r="EE25" s="1354" t="s">
        <v>2277</v>
      </c>
      <c r="EF25" s="1385">
        <v>50000</v>
      </c>
      <c r="EG25" s="247">
        <v>2</v>
      </c>
      <c r="EH25" s="1325">
        <v>0</v>
      </c>
      <c r="EI25" s="1325" t="s">
        <v>2236</v>
      </c>
      <c r="EJ25" s="264">
        <v>0</v>
      </c>
      <c r="EK25" s="444">
        <v>0</v>
      </c>
      <c r="EL25" s="444">
        <v>1</v>
      </c>
      <c r="EM25" s="444">
        <v>0</v>
      </c>
      <c r="EN25" s="333" t="str">
        <f>IF(A25=FALSE,"",IF(Detail!DF25="","N/A",YEAR(Detail!F25)&amp;Detail!DI25&amp;Detail!DF25&amp;"-"&amp;Detail!$DF$13))</f>
        <v/>
      </c>
      <c r="EO25" s="1354" t="s">
        <v>2236</v>
      </c>
      <c r="EP25" s="1354" t="s">
        <v>2277</v>
      </c>
      <c r="EQ25" s="1325">
        <f t="shared" si="13"/>
        <v>0</v>
      </c>
      <c r="ER25" s="1325" t="s">
        <v>2236</v>
      </c>
      <c r="ES25" s="264">
        <v>0</v>
      </c>
      <c r="ET25" s="1325">
        <v>0</v>
      </c>
      <c r="EU25" s="1325">
        <v>1</v>
      </c>
      <c r="EV25" s="1325">
        <v>0</v>
      </c>
      <c r="EW25" s="333" t="str">
        <f>IF(DJ25=FALSE,"",IF(Detail!ET25="","N/A",YEAR(Detail!DN25)&amp;Detail!EW25&amp;Detail!ET25&amp;"-"&amp;Detail!$AL$13&amp;Detail!EU25))</f>
        <v>N/A</v>
      </c>
      <c r="EX25" s="1354" t="s">
        <v>2236</v>
      </c>
      <c r="EY25" s="1354" t="s">
        <v>2277</v>
      </c>
      <c r="EZ25" s="1325">
        <f t="shared" si="14"/>
        <v>0</v>
      </c>
      <c r="FA25" s="1325" t="s">
        <v>2236</v>
      </c>
      <c r="FB25" s="264">
        <v>0</v>
      </c>
      <c r="FC25" s="1325">
        <v>0</v>
      </c>
      <c r="FD25" s="1325">
        <v>1</v>
      </c>
      <c r="FE25" s="1325">
        <v>0</v>
      </c>
    </row>
    <row r="26" spans="1:161" s="1369" customFormat="1" ht="30" customHeight="1" outlineLevel="1">
      <c r="A26" s="439" t="b">
        <f>Calcul!A26</f>
        <v>0</v>
      </c>
      <c r="B26" s="510" t="str">
        <f t="shared" si="6"/>
        <v/>
      </c>
      <c r="C26" s="1404" t="b">
        <v>0</v>
      </c>
      <c r="D26" s="1404" t="s">
        <v>2147</v>
      </c>
      <c r="E26" s="1405" t="s">
        <v>2335</v>
      </c>
      <c r="F26" s="1323" t="s">
        <v>2146</v>
      </c>
      <c r="G26" s="356" t="str">
        <f>IF(A26=FALSE,"",IF(NAMES!$D$10=FALSE,IF(Detail!H26="","",Detail!H26),IF(Crewlist!D26="","",Crewlist!D26)))</f>
        <v/>
      </c>
      <c r="H26" s="356" t="str">
        <f>IF(A26=FALSE,"",IF(NAMES!$D$10=FALSE,IF(Detail!P26="","",Detail!P26),IF(Crewlist!E26="","",Crewlist!E26)))</f>
        <v/>
      </c>
      <c r="I26" s="356" t="str">
        <f>IF(A26=FALSE,"",IF(NAMES!$D$10=FALSE,IF(Detail!K26="","",Detail!K26),IF(Crewlist!F26="","",Crewlist!F26)))</f>
        <v/>
      </c>
      <c r="J26" s="1001" t="str">
        <f>IF(Crewlist!T26="","",Crewlist!T26)</f>
        <v/>
      </c>
      <c r="K26" s="1001" t="str">
        <f>IF(Crewlist!D26="","",IF(Crewlist!U26="",Crewlist!Y26,IF(DATERENOUVMOINS730&lt;&gt;Crewlist!U26&lt;&gt;Crewlist!Y26,Crewlist!U26,DATERENOUVMOINS365)))</f>
        <v/>
      </c>
      <c r="L26" s="775" t="str">
        <f>IF(Detail!X26="","",Detail!X26)</f>
        <v/>
      </c>
      <c r="M26" s="775" t="str">
        <f>IF(Detail!H26="","",IF(Detail!Y26="",DATERENOUV,IF(Detail!Y26&gt;Detail!D26,Detail!D26,Detail!Y26)))</f>
        <v/>
      </c>
      <c r="N26" s="1015" t="str">
        <f>IF(A26=FALSE,"",IF(NAMES!$D$10=FALSE,IF(B26=B27,IF(O26=O27,0,(DATEDIF(L26,M26,"M")+1)),(DATEDIF(L26,M26,"M")+1)),IF(B26=B27,IF(O26=O27,0,(DATEDIF(J26,K26,"M")+1)),(DATEDIF(J26,K26,"M")+1))))</f>
        <v/>
      </c>
      <c r="O26" s="1015" t="str">
        <f t="shared" si="5"/>
        <v/>
      </c>
      <c r="P26" s="358" t="str">
        <f>IF(A26=FALSE,"",IF(NAMES!$D$10=FALSE,IF((DATEDIF(L26,M26,"D")+1)&lt;365,(DATEDIF(L26,M26,"D")+1),365),IF((DATEDIF(J26,K26,"D")+1)&lt;365,(DATEDIF(J26,K26,"D")+1),365)))</f>
        <v/>
      </c>
      <c r="Q26" s="358" t="str">
        <f>IF(A26=FALSE,"",IF(NAMES!$D$10=FALSE,IF(M26="",365,DATEDIF(L26,M26,"D")+1),IF(M26="",365,DATEDIF(J26,K26,"D")+1)))</f>
        <v/>
      </c>
      <c r="R26" s="950" t="str">
        <f>Calcul!X26</f>
        <v/>
      </c>
      <c r="S26" s="950" t="str">
        <f>Calcul!Y26</f>
        <v/>
      </c>
      <c r="T26" s="993" t="str">
        <f>Calcul!AG26</f>
        <v/>
      </c>
      <c r="U26" s="368" t="str">
        <f>IF(A26=FALSE,"",IF(NAMES!$D$10=FALSE,IF(Detail!S26="","",Detail!S26),IF(Crewlist!V26="","",Crewlist!V26)))</f>
        <v/>
      </c>
      <c r="V26" s="245" t="str">
        <f>Calcul!AI26</f>
        <v/>
      </c>
      <c r="W26" s="245" t="str">
        <f>Calcul!AL26</f>
        <v/>
      </c>
      <c r="X26" s="245" t="str">
        <f>Calcul!AM26</f>
        <v/>
      </c>
      <c r="Y26" s="353" t="str">
        <f>Calcul!AN26</f>
        <v/>
      </c>
      <c r="Z26" s="245" t="str">
        <f>Calcul!AO26</f>
        <v/>
      </c>
      <c r="AA26" s="245" t="str">
        <f>Calcul!AP26</f>
        <v/>
      </c>
      <c r="AB26" s="353" t="str">
        <f>Calcul!AQ26</f>
        <v/>
      </c>
      <c r="AC26" s="353" t="str">
        <f>IF(C26=FALSE,"",Calcul!BE26+Calcul!BF26)</f>
        <v/>
      </c>
      <c r="AD26" s="1224" t="str">
        <f>IF(C26=FALSE,"",(Calcul!BG26+Calcul!BH26)+SUM(Calcul!BI26:BN26))</f>
        <v/>
      </c>
      <c r="AE26" s="1224" t="str">
        <f>Calcul!BP26</f>
        <v/>
      </c>
      <c r="AF26" s="332" t="str">
        <f>IF(A26=FALSE,"",YEAR(Detail!F26)&amp;Detail!AG26&amp;Detail!AD26&amp;"-"&amp;Detail!$AD$13&amp;Detail!AE26)</f>
        <v/>
      </c>
      <c r="AG26" s="1406" t="s">
        <v>2236</v>
      </c>
      <c r="AH26" s="1354" t="s">
        <v>2277</v>
      </c>
      <c r="AI26" s="1407">
        <v>0</v>
      </c>
      <c r="AJ26" s="1407" t="s">
        <v>2236</v>
      </c>
      <c r="AK26" s="1410">
        <v>32</v>
      </c>
      <c r="AL26" s="508">
        <v>0</v>
      </c>
      <c r="AM26" s="1325">
        <v>1</v>
      </c>
      <c r="AN26" s="1325">
        <v>0</v>
      </c>
      <c r="AO26" s="333" t="str">
        <f>IF(A26=FALSE,"",IF(Detail!AL26="","N/A",YEAR(Detail!F26)&amp;Detail!AO26&amp;Detail!AL26&amp;"-"&amp;Detail!$AL$13&amp;Detail!AM26))</f>
        <v/>
      </c>
      <c r="AP26" s="1406" t="s">
        <v>2236</v>
      </c>
      <c r="AQ26" s="1354" t="s">
        <v>2277</v>
      </c>
      <c r="AR26" s="1407">
        <f t="shared" si="7"/>
        <v>0</v>
      </c>
      <c r="AS26" s="1325" t="s">
        <v>2236</v>
      </c>
      <c r="AT26" s="264">
        <v>0</v>
      </c>
      <c r="AU26" s="1325">
        <v>0</v>
      </c>
      <c r="AV26" s="1325">
        <v>1</v>
      </c>
      <c r="AW26" s="1325">
        <v>0</v>
      </c>
      <c r="AX26" s="1326" t="str">
        <f>IF(A26=FALSE,"",IF(Detail!AT26="","N/A",YEAR(Detail!F26)&amp;Detail!AW26&amp;Detail!AT26&amp;"-"&amp;Detail!$AT$13))</f>
        <v/>
      </c>
      <c r="AY26" s="1408" t="s">
        <v>2236</v>
      </c>
      <c r="AZ26" s="1326" t="s">
        <v>2278</v>
      </c>
      <c r="BA26" s="440" t="str">
        <f>IF(A26=FALSE,"",51000+(Detail!AA26*7000))</f>
        <v/>
      </c>
      <c r="BB26" s="1412">
        <v>50000</v>
      </c>
      <c r="BC26" s="247">
        <v>3</v>
      </c>
      <c r="BD26" s="1325">
        <v>0</v>
      </c>
      <c r="BE26" s="1325" t="s">
        <v>2236</v>
      </c>
      <c r="BF26" s="264">
        <v>0</v>
      </c>
      <c r="BG26" s="508">
        <v>0</v>
      </c>
      <c r="BH26" s="1325">
        <v>1</v>
      </c>
      <c r="BI26" s="1325">
        <v>0</v>
      </c>
      <c r="BJ26" s="311" t="str">
        <f>IF(A26=FALSE,"",IF(Detail!BB26="","N/A",YEAR(Detail!F26)&amp;Detail!BE26&amp;Detail!BB26&amp;"-"&amp;Detail!$BB$13))</f>
        <v/>
      </c>
      <c r="BK26" s="1354" t="s">
        <v>2236</v>
      </c>
      <c r="BL26" s="1354" t="s">
        <v>2278</v>
      </c>
      <c r="BM26" s="440" t="str">
        <f>IF(A26=FALSE,"",51000+(Detail!AA26*7000))</f>
        <v/>
      </c>
      <c r="BN26" s="1412">
        <v>50000</v>
      </c>
      <c r="BO26" s="247">
        <v>3</v>
      </c>
      <c r="BP26" s="1325">
        <v>0</v>
      </c>
      <c r="BQ26" s="1325" t="s">
        <v>2236</v>
      </c>
      <c r="BR26" s="264">
        <v>0</v>
      </c>
      <c r="BS26" s="508">
        <v>0</v>
      </c>
      <c r="BT26" s="1325">
        <v>1</v>
      </c>
      <c r="BU26" s="1325">
        <v>0</v>
      </c>
      <c r="BV26" s="311" t="str">
        <f>IF(A26=FALSE,"",IF(Detail!BJ26="","N/A",YEAR(Detail!F26)&amp;Detail!BM26&amp;Detail!BJ26&amp;"-"&amp;Detail!$BJ$13))</f>
        <v/>
      </c>
      <c r="BW26" s="1409" t="s">
        <v>2236</v>
      </c>
      <c r="BX26" s="1354" t="s">
        <v>2278</v>
      </c>
      <c r="BY26" s="440" t="str">
        <f t="shared" si="8"/>
        <v/>
      </c>
      <c r="BZ26" s="1412">
        <v>50000</v>
      </c>
      <c r="CA26" s="247">
        <v>3</v>
      </c>
      <c r="CB26" s="1325">
        <v>0</v>
      </c>
      <c r="CC26" s="1325" t="s">
        <v>2236</v>
      </c>
      <c r="CD26" s="264">
        <v>0</v>
      </c>
      <c r="CE26" s="508">
        <v>0</v>
      </c>
      <c r="CF26" s="1325">
        <v>1</v>
      </c>
      <c r="CG26" s="1325">
        <v>0</v>
      </c>
      <c r="CH26" s="311" t="str">
        <f>IF(A26=FALSE,"",IF(Detail!BR26="","N/A",YEAR(Detail!F26)&amp;Detail!BU26&amp;Detail!BR26&amp;"-"&amp;Detail!$BR$13))</f>
        <v/>
      </c>
      <c r="CI26" s="1327" t="s">
        <v>2236</v>
      </c>
      <c r="CJ26" s="1354" t="s">
        <v>2278</v>
      </c>
      <c r="CK26" s="440" t="str">
        <f t="shared" si="9"/>
        <v/>
      </c>
      <c r="CL26" s="1412">
        <v>50000</v>
      </c>
      <c r="CM26" s="247">
        <v>3</v>
      </c>
      <c r="CN26" s="1325">
        <v>0</v>
      </c>
      <c r="CO26" s="1325" t="s">
        <v>2236</v>
      </c>
      <c r="CP26" s="264">
        <v>0</v>
      </c>
      <c r="CQ26" s="508">
        <v>0</v>
      </c>
      <c r="CR26" s="1325">
        <v>1</v>
      </c>
      <c r="CS26" s="1325">
        <v>0</v>
      </c>
      <c r="CT26" s="311" t="str">
        <f>IF(A26=FALSE,"",IF(Detail!BZ26="","N/A",YEAR(Detail!F26)&amp;Detail!CC26&amp;Detail!BZ26&amp;"-"&amp;Detail!$BZ$13&amp;" (100%/"&amp;Detail!CD26&amp;"/"&amp;Detail!CE26&amp;"D)"))</f>
        <v/>
      </c>
      <c r="CU26" s="1409" t="s">
        <v>2236</v>
      </c>
      <c r="CV26" s="1354" t="s">
        <v>2278</v>
      </c>
      <c r="CW26" s="1010">
        <v>7</v>
      </c>
      <c r="CX26" s="1323">
        <v>365</v>
      </c>
      <c r="CY26" s="248">
        <v>1</v>
      </c>
      <c r="CZ26" s="1325">
        <v>0</v>
      </c>
      <c r="DA26" s="1325" t="s">
        <v>2236</v>
      </c>
      <c r="DB26" s="538">
        <v>40</v>
      </c>
      <c r="DC26" s="1325">
        <v>0.1</v>
      </c>
      <c r="DD26" s="1325">
        <v>1</v>
      </c>
      <c r="DE26" s="1325">
        <v>0</v>
      </c>
      <c r="DF26" s="313" t="str">
        <f>IF(A26=FALSE,"",IF(Detail!CH26="","N/A",YEAR(Detail!F26)&amp;Detail!CK26&amp;Detail!CH26&amp;"-"&amp;Detail!$CH$13&amp;" (100%/"&amp;Detail!CL26&amp;"/"&amp;Detail!CM26&amp;"D)"))</f>
        <v/>
      </c>
      <c r="DG26" s="1406" t="s">
        <v>2236</v>
      </c>
      <c r="DH26" s="518" t="s">
        <v>2278</v>
      </c>
      <c r="DI26" s="1010">
        <f t="shared" si="10"/>
        <v>7</v>
      </c>
      <c r="DJ26" s="1323">
        <f t="shared" si="11"/>
        <v>365</v>
      </c>
      <c r="DK26" s="258">
        <v>1</v>
      </c>
      <c r="DL26" s="1325">
        <v>0</v>
      </c>
      <c r="DM26" s="1325" t="s">
        <v>2236</v>
      </c>
      <c r="DN26" s="538">
        <v>40</v>
      </c>
      <c r="DO26" s="1325">
        <f t="shared" si="12"/>
        <v>0.1</v>
      </c>
      <c r="DP26" s="1325">
        <v>1</v>
      </c>
      <c r="DQ26" s="1325">
        <v>0</v>
      </c>
      <c r="DR26" s="1326" t="str">
        <f>IF(A26=FALSE,"",IF(Detail!CP26="","N/A",YEAR(Detail!F26)&amp;Detail!CS26&amp;Detail!CP26&amp;"-"&amp;Detail!$CP$13))</f>
        <v/>
      </c>
      <c r="DS26" s="1326" t="s">
        <v>2236</v>
      </c>
      <c r="DT26" s="1354" t="s">
        <v>2277</v>
      </c>
      <c r="DU26" s="1385">
        <v>50000</v>
      </c>
      <c r="DV26" s="247">
        <v>2</v>
      </c>
      <c r="DW26" s="1325">
        <v>0</v>
      </c>
      <c r="DX26" s="1325" t="s">
        <v>2236</v>
      </c>
      <c r="DY26" s="264">
        <v>0</v>
      </c>
      <c r="DZ26" s="444">
        <v>0</v>
      </c>
      <c r="EA26" s="444">
        <v>1</v>
      </c>
      <c r="EB26" s="444">
        <v>0</v>
      </c>
      <c r="EC26" s="761" t="str">
        <f>IF(A26=FALSE,"",IF(Detail!CX26="","N/A",YEAR(Detail!F26)&amp;Detail!DA26&amp;Detail!CX26&amp;"-"&amp;Detail!$CX$13))</f>
        <v/>
      </c>
      <c r="ED26" s="1327" t="s">
        <v>2236</v>
      </c>
      <c r="EE26" s="1354" t="s">
        <v>2277</v>
      </c>
      <c r="EF26" s="1385">
        <v>50000</v>
      </c>
      <c r="EG26" s="247">
        <v>2</v>
      </c>
      <c r="EH26" s="1325">
        <v>0</v>
      </c>
      <c r="EI26" s="1325" t="s">
        <v>2236</v>
      </c>
      <c r="EJ26" s="264">
        <v>0</v>
      </c>
      <c r="EK26" s="444">
        <v>0</v>
      </c>
      <c r="EL26" s="444">
        <v>1</v>
      </c>
      <c r="EM26" s="444">
        <v>0</v>
      </c>
      <c r="EN26" s="333" t="str">
        <f>IF(A26=FALSE,"",IF(Detail!DF26="","N/A",YEAR(Detail!F26)&amp;Detail!DI26&amp;Detail!DF26&amp;"-"&amp;Detail!$DF$13))</f>
        <v/>
      </c>
      <c r="EO26" s="1354" t="s">
        <v>2236</v>
      </c>
      <c r="EP26" s="1354" t="s">
        <v>2277</v>
      </c>
      <c r="EQ26" s="1325">
        <f t="shared" si="13"/>
        <v>0</v>
      </c>
      <c r="ER26" s="1325" t="s">
        <v>2236</v>
      </c>
      <c r="ES26" s="264">
        <v>0</v>
      </c>
      <c r="ET26" s="1325">
        <v>0</v>
      </c>
      <c r="EU26" s="1325">
        <v>1</v>
      </c>
      <c r="EV26" s="1325">
        <v>0</v>
      </c>
      <c r="EW26" s="333" t="str">
        <f>IF(DJ26=FALSE,"",IF(Detail!ET26="","N/A",YEAR(Detail!DN26)&amp;Detail!EW26&amp;Detail!ET26&amp;"-"&amp;Detail!$AL$13&amp;Detail!EU26))</f>
        <v>N/A</v>
      </c>
      <c r="EX26" s="1354" t="s">
        <v>2236</v>
      </c>
      <c r="EY26" s="1354" t="s">
        <v>2277</v>
      </c>
      <c r="EZ26" s="1325">
        <f t="shared" si="14"/>
        <v>0</v>
      </c>
      <c r="FA26" s="1325" t="s">
        <v>2236</v>
      </c>
      <c r="FB26" s="264">
        <v>0</v>
      </c>
      <c r="FC26" s="1325">
        <v>0</v>
      </c>
      <c r="FD26" s="1325">
        <v>1</v>
      </c>
      <c r="FE26" s="1325">
        <v>0</v>
      </c>
    </row>
    <row r="27" spans="1:161" s="1369" customFormat="1" ht="30" customHeight="1" outlineLevel="1">
      <c r="A27" s="439" t="b">
        <f>Calcul!A27</f>
        <v>0</v>
      </c>
      <c r="B27" s="510" t="str">
        <f t="shared" si="6"/>
        <v/>
      </c>
      <c r="C27" s="1404" t="b">
        <v>0</v>
      </c>
      <c r="D27" s="1404" t="s">
        <v>2147</v>
      </c>
      <c r="E27" s="1405" t="s">
        <v>2335</v>
      </c>
      <c r="F27" s="1323" t="s">
        <v>2146</v>
      </c>
      <c r="G27" s="356" t="str">
        <f>IF(A27=FALSE,"",IF(NAMES!$D$10=FALSE,IF(Detail!H27="","",Detail!H27),IF(Crewlist!D27="","",Crewlist!D27)))</f>
        <v/>
      </c>
      <c r="H27" s="356" t="str">
        <f>IF(A27=FALSE,"",IF(NAMES!$D$10=FALSE,IF(Detail!P27="","",Detail!P27),IF(Crewlist!E27="","",Crewlist!E27)))</f>
        <v/>
      </c>
      <c r="I27" s="356" t="str">
        <f>IF(A27=FALSE,"",IF(NAMES!$D$10=FALSE,IF(Detail!K27="","",Detail!K27),IF(Crewlist!F27="","",Crewlist!F27)))</f>
        <v/>
      </c>
      <c r="J27" s="1001" t="str">
        <f>IF(Crewlist!T27="","",Crewlist!T27)</f>
        <v/>
      </c>
      <c r="K27" s="1001" t="str">
        <f>IF(Crewlist!D27="","",IF(Crewlist!U27="",Crewlist!Y27,IF(DATERENOUVMOINS730&lt;&gt;Crewlist!U27&lt;&gt;Crewlist!Y27,Crewlist!U27,DATERENOUVMOINS365)))</f>
        <v/>
      </c>
      <c r="L27" s="775" t="str">
        <f>IF(Detail!X27="","",Detail!X27)</f>
        <v/>
      </c>
      <c r="M27" s="775" t="str">
        <f>IF(Detail!H27="","",IF(Detail!Y27="",DATERENOUV,IF(Detail!Y27&gt;Detail!D27,Detail!D27,Detail!Y27)))</f>
        <v/>
      </c>
      <c r="N27" s="1015" t="str">
        <f>IF(A27=FALSE,"",IF(NAMES!$D$10=FALSE,IF(B27=B28,IF(O27=O28,0,(DATEDIF(L27,M27,"M")+1)),(DATEDIF(L27,M27,"M")+1)),IF(B27=B28,IF(O27=O28,0,(DATEDIF(J27,K27,"M")+1)),(DATEDIF(J27,K27,"M")+1))))</f>
        <v/>
      </c>
      <c r="O27" s="1015" t="str">
        <f t="shared" si="5"/>
        <v/>
      </c>
      <c r="P27" s="358" t="str">
        <f>IF(A27=FALSE,"",IF(NAMES!$D$10=FALSE,IF((DATEDIF(L27,M27,"D")+1)&lt;365,(DATEDIF(L27,M27,"D")+1),365),IF((DATEDIF(J27,K27,"D")+1)&lt;365,(DATEDIF(J27,K27,"D")+1),365)))</f>
        <v/>
      </c>
      <c r="Q27" s="358" t="str">
        <f>IF(A27=FALSE,"",IF(NAMES!$D$10=FALSE,IF(M27="",365,DATEDIF(L27,M27,"D")+1),IF(M27="",365,DATEDIF(J27,K27,"D")+1)))</f>
        <v/>
      </c>
      <c r="R27" s="950" t="str">
        <f>Calcul!X27</f>
        <v/>
      </c>
      <c r="S27" s="950" t="str">
        <f>Calcul!Y27</f>
        <v/>
      </c>
      <c r="T27" s="993" t="str">
        <f>Calcul!AG27</f>
        <v/>
      </c>
      <c r="U27" s="368" t="str">
        <f>IF(A27=FALSE,"",IF(NAMES!$D$10=FALSE,IF(Detail!S27="","",Detail!S27),IF(Crewlist!V27="","",Crewlist!V27)))</f>
        <v/>
      </c>
      <c r="V27" s="245" t="str">
        <f>Calcul!AI27</f>
        <v/>
      </c>
      <c r="W27" s="245" t="str">
        <f>Calcul!AL27</f>
        <v/>
      </c>
      <c r="X27" s="245" t="str">
        <f>Calcul!AM27</f>
        <v/>
      </c>
      <c r="Y27" s="353" t="str">
        <f>Calcul!AN27</f>
        <v/>
      </c>
      <c r="Z27" s="245" t="str">
        <f>Calcul!AO27</f>
        <v/>
      </c>
      <c r="AA27" s="245" t="str">
        <f>Calcul!AP27</f>
        <v/>
      </c>
      <c r="AB27" s="353" t="str">
        <f>Calcul!AQ27</f>
        <v/>
      </c>
      <c r="AC27" s="353" t="str">
        <f>IF(C27=FALSE,"",Calcul!BE27+Calcul!BF27)</f>
        <v/>
      </c>
      <c r="AD27" s="1224" t="str">
        <f>IF(C27=FALSE,"",(Calcul!BG27+Calcul!BH27)+SUM(Calcul!BI27:BN27))</f>
        <v/>
      </c>
      <c r="AE27" s="1224" t="str">
        <f>Calcul!BP27</f>
        <v/>
      </c>
      <c r="AF27" s="332" t="str">
        <f>IF(A27=FALSE,"",YEAR(Detail!F27)&amp;Detail!AG27&amp;Detail!AD27&amp;"-"&amp;Detail!$AD$13&amp;Detail!AE27)</f>
        <v/>
      </c>
      <c r="AG27" s="1406" t="s">
        <v>2236</v>
      </c>
      <c r="AH27" s="1354" t="s">
        <v>2277</v>
      </c>
      <c r="AI27" s="1407">
        <v>0</v>
      </c>
      <c r="AJ27" s="1407" t="s">
        <v>2236</v>
      </c>
      <c r="AK27" s="1410">
        <v>32</v>
      </c>
      <c r="AL27" s="508">
        <v>0</v>
      </c>
      <c r="AM27" s="1325">
        <v>1</v>
      </c>
      <c r="AN27" s="1325">
        <v>0</v>
      </c>
      <c r="AO27" s="333" t="str">
        <f>IF(A27=FALSE,"",IF(Detail!AL27="","N/A",YEAR(Detail!F27)&amp;Detail!AO27&amp;Detail!AL27&amp;"-"&amp;Detail!$AL$13&amp;Detail!AM27))</f>
        <v/>
      </c>
      <c r="AP27" s="1406" t="s">
        <v>2236</v>
      </c>
      <c r="AQ27" s="1354" t="s">
        <v>2277</v>
      </c>
      <c r="AR27" s="1407">
        <f t="shared" si="7"/>
        <v>0</v>
      </c>
      <c r="AS27" s="1325" t="s">
        <v>2236</v>
      </c>
      <c r="AT27" s="264">
        <v>0</v>
      </c>
      <c r="AU27" s="1325">
        <v>0</v>
      </c>
      <c r="AV27" s="1325">
        <v>1</v>
      </c>
      <c r="AW27" s="1325">
        <v>0</v>
      </c>
      <c r="AX27" s="1326" t="str">
        <f>IF(A27=FALSE,"",IF(Detail!AT27="","N/A",YEAR(Detail!F27)&amp;Detail!AW27&amp;Detail!AT27&amp;"-"&amp;Detail!$AT$13))</f>
        <v/>
      </c>
      <c r="AY27" s="1408" t="s">
        <v>2236</v>
      </c>
      <c r="AZ27" s="1326" t="s">
        <v>2278</v>
      </c>
      <c r="BA27" s="440" t="str">
        <f>IF(A27=FALSE,"",51000+(Detail!AA27*7000))</f>
        <v/>
      </c>
      <c r="BB27" s="1412">
        <v>50000</v>
      </c>
      <c r="BC27" s="247">
        <v>3</v>
      </c>
      <c r="BD27" s="1325">
        <v>0</v>
      </c>
      <c r="BE27" s="1325" t="s">
        <v>2236</v>
      </c>
      <c r="BF27" s="264">
        <v>0</v>
      </c>
      <c r="BG27" s="508">
        <v>0</v>
      </c>
      <c r="BH27" s="1325">
        <v>1</v>
      </c>
      <c r="BI27" s="1325">
        <v>0</v>
      </c>
      <c r="BJ27" s="311" t="str">
        <f>IF(A27=FALSE,"",IF(Detail!BB27="","N/A",YEAR(Detail!F27)&amp;Detail!BE27&amp;Detail!BB27&amp;"-"&amp;Detail!$BB$13))</f>
        <v/>
      </c>
      <c r="BK27" s="1354" t="s">
        <v>2236</v>
      </c>
      <c r="BL27" s="1354" t="s">
        <v>2278</v>
      </c>
      <c r="BM27" s="440" t="str">
        <f>IF(A27=FALSE,"",51000+(Detail!AA27*7000))</f>
        <v/>
      </c>
      <c r="BN27" s="1412">
        <v>50000</v>
      </c>
      <c r="BO27" s="247">
        <v>3</v>
      </c>
      <c r="BP27" s="1325">
        <v>0</v>
      </c>
      <c r="BQ27" s="1325" t="s">
        <v>2236</v>
      </c>
      <c r="BR27" s="264">
        <v>0</v>
      </c>
      <c r="BS27" s="508">
        <v>0</v>
      </c>
      <c r="BT27" s="1325">
        <v>1</v>
      </c>
      <c r="BU27" s="1325">
        <v>0</v>
      </c>
      <c r="BV27" s="311" t="str">
        <f>IF(A27=FALSE,"",IF(Detail!BJ27="","N/A",YEAR(Detail!F27)&amp;Detail!BM27&amp;Detail!BJ27&amp;"-"&amp;Detail!$BJ$13))</f>
        <v/>
      </c>
      <c r="BW27" s="1409" t="s">
        <v>2236</v>
      </c>
      <c r="BX27" s="1354" t="s">
        <v>2278</v>
      </c>
      <c r="BY27" s="440" t="str">
        <f t="shared" si="8"/>
        <v/>
      </c>
      <c r="BZ27" s="1412">
        <v>50000</v>
      </c>
      <c r="CA27" s="247">
        <v>3</v>
      </c>
      <c r="CB27" s="1325">
        <v>0</v>
      </c>
      <c r="CC27" s="1325" t="s">
        <v>2236</v>
      </c>
      <c r="CD27" s="264">
        <v>0</v>
      </c>
      <c r="CE27" s="508">
        <v>0</v>
      </c>
      <c r="CF27" s="1325">
        <v>1</v>
      </c>
      <c r="CG27" s="1325">
        <v>0</v>
      </c>
      <c r="CH27" s="311" t="str">
        <f>IF(A27=FALSE,"",IF(Detail!BR27="","N/A",YEAR(Detail!F27)&amp;Detail!BU27&amp;Detail!BR27&amp;"-"&amp;Detail!$BR$13))</f>
        <v/>
      </c>
      <c r="CI27" s="1327" t="s">
        <v>2236</v>
      </c>
      <c r="CJ27" s="1354" t="s">
        <v>2278</v>
      </c>
      <c r="CK27" s="440" t="str">
        <f t="shared" si="9"/>
        <v/>
      </c>
      <c r="CL27" s="1412">
        <v>50000</v>
      </c>
      <c r="CM27" s="247">
        <v>3</v>
      </c>
      <c r="CN27" s="1325">
        <v>0</v>
      </c>
      <c r="CO27" s="1325" t="s">
        <v>2236</v>
      </c>
      <c r="CP27" s="264">
        <v>0</v>
      </c>
      <c r="CQ27" s="508">
        <v>0</v>
      </c>
      <c r="CR27" s="1325">
        <v>1</v>
      </c>
      <c r="CS27" s="1325">
        <v>0</v>
      </c>
      <c r="CT27" s="311" t="str">
        <f>IF(A27=FALSE,"",IF(Detail!BZ27="","N/A",YEAR(Detail!F27)&amp;Detail!CC27&amp;Detail!BZ27&amp;"-"&amp;Detail!$BZ$13&amp;" (100%/"&amp;Detail!CD27&amp;"/"&amp;Detail!CE27&amp;"D)"))</f>
        <v/>
      </c>
      <c r="CU27" s="1409" t="s">
        <v>2236</v>
      </c>
      <c r="CV27" s="1354" t="s">
        <v>2278</v>
      </c>
      <c r="CW27" s="1010">
        <v>7</v>
      </c>
      <c r="CX27" s="1323">
        <v>365</v>
      </c>
      <c r="CY27" s="248">
        <v>1</v>
      </c>
      <c r="CZ27" s="1325">
        <v>0</v>
      </c>
      <c r="DA27" s="1325" t="s">
        <v>2236</v>
      </c>
      <c r="DB27" s="538">
        <v>40</v>
      </c>
      <c r="DC27" s="1325">
        <v>0.1</v>
      </c>
      <c r="DD27" s="1325">
        <v>1</v>
      </c>
      <c r="DE27" s="1325">
        <v>0</v>
      </c>
      <c r="DF27" s="313" t="str">
        <f>IF(A27=FALSE,"",IF(Detail!CH27="","N/A",YEAR(Detail!F27)&amp;Detail!CK27&amp;Detail!CH27&amp;"-"&amp;Detail!$CH$13&amp;" (100%/"&amp;Detail!CL27&amp;"/"&amp;Detail!CM27&amp;"D)"))</f>
        <v/>
      </c>
      <c r="DG27" s="1406" t="s">
        <v>2236</v>
      </c>
      <c r="DH27" s="518" t="s">
        <v>2278</v>
      </c>
      <c r="DI27" s="1010">
        <f t="shared" si="10"/>
        <v>7</v>
      </c>
      <c r="DJ27" s="1323">
        <f t="shared" si="11"/>
        <v>365</v>
      </c>
      <c r="DK27" s="258">
        <v>1</v>
      </c>
      <c r="DL27" s="1325">
        <v>0</v>
      </c>
      <c r="DM27" s="1325" t="s">
        <v>2236</v>
      </c>
      <c r="DN27" s="538">
        <v>40</v>
      </c>
      <c r="DO27" s="1325">
        <f t="shared" si="12"/>
        <v>0.1</v>
      </c>
      <c r="DP27" s="1325">
        <v>1</v>
      </c>
      <c r="DQ27" s="1325">
        <v>0</v>
      </c>
      <c r="DR27" s="1326" t="str">
        <f>IF(A27=FALSE,"",IF(Detail!CP27="","N/A",YEAR(Detail!F27)&amp;Detail!CS27&amp;Detail!CP27&amp;"-"&amp;Detail!$CP$13))</f>
        <v/>
      </c>
      <c r="DS27" s="1326" t="s">
        <v>2236</v>
      </c>
      <c r="DT27" s="1354" t="s">
        <v>2277</v>
      </c>
      <c r="DU27" s="1385">
        <v>50000</v>
      </c>
      <c r="DV27" s="247">
        <v>2</v>
      </c>
      <c r="DW27" s="1325">
        <v>0</v>
      </c>
      <c r="DX27" s="1325" t="s">
        <v>2236</v>
      </c>
      <c r="DY27" s="264">
        <v>0</v>
      </c>
      <c r="DZ27" s="444">
        <v>0</v>
      </c>
      <c r="EA27" s="444">
        <v>1</v>
      </c>
      <c r="EB27" s="444">
        <v>0</v>
      </c>
      <c r="EC27" s="761" t="str">
        <f>IF(A27=FALSE,"",IF(Detail!CX27="","N/A",YEAR(Detail!F27)&amp;Detail!DA27&amp;Detail!CX27&amp;"-"&amp;Detail!$CX$13))</f>
        <v/>
      </c>
      <c r="ED27" s="1327" t="s">
        <v>2236</v>
      </c>
      <c r="EE27" s="1354" t="s">
        <v>2277</v>
      </c>
      <c r="EF27" s="1385">
        <v>50000</v>
      </c>
      <c r="EG27" s="247">
        <v>2</v>
      </c>
      <c r="EH27" s="1325">
        <v>0</v>
      </c>
      <c r="EI27" s="1325" t="s">
        <v>2236</v>
      </c>
      <c r="EJ27" s="264">
        <v>0</v>
      </c>
      <c r="EK27" s="444">
        <v>0</v>
      </c>
      <c r="EL27" s="444">
        <v>1</v>
      </c>
      <c r="EM27" s="444">
        <v>0</v>
      </c>
      <c r="EN27" s="333" t="str">
        <f>IF(A27=FALSE,"",IF(Detail!DF27="","N/A",YEAR(Detail!F27)&amp;Detail!DI27&amp;Detail!DF27&amp;"-"&amp;Detail!$DF$13))</f>
        <v/>
      </c>
      <c r="EO27" s="1354" t="s">
        <v>2236</v>
      </c>
      <c r="EP27" s="1354" t="s">
        <v>2277</v>
      </c>
      <c r="EQ27" s="1325">
        <f t="shared" si="13"/>
        <v>0</v>
      </c>
      <c r="ER27" s="1325" t="s">
        <v>2236</v>
      </c>
      <c r="ES27" s="264">
        <v>0</v>
      </c>
      <c r="ET27" s="1325">
        <v>0</v>
      </c>
      <c r="EU27" s="1325">
        <v>1</v>
      </c>
      <c r="EV27" s="1325">
        <v>0</v>
      </c>
      <c r="EW27" s="333" t="str">
        <f>IF(DJ27=FALSE,"",IF(Detail!ET27="","N/A",YEAR(Detail!DN27)&amp;Detail!EW27&amp;Detail!ET27&amp;"-"&amp;Detail!$AL$13&amp;Detail!EU27))</f>
        <v>N/A</v>
      </c>
      <c r="EX27" s="1354" t="s">
        <v>2236</v>
      </c>
      <c r="EY27" s="1354" t="s">
        <v>2277</v>
      </c>
      <c r="EZ27" s="1325">
        <f t="shared" si="14"/>
        <v>0</v>
      </c>
      <c r="FA27" s="1325" t="s">
        <v>2236</v>
      </c>
      <c r="FB27" s="264">
        <v>0</v>
      </c>
      <c r="FC27" s="1325">
        <v>0</v>
      </c>
      <c r="FD27" s="1325">
        <v>1</v>
      </c>
      <c r="FE27" s="1325">
        <v>0</v>
      </c>
    </row>
    <row r="28" spans="1:161" s="1369" customFormat="1" ht="30" customHeight="1" outlineLevel="1">
      <c r="A28" s="439" t="b">
        <f>Calcul!A28</f>
        <v>0</v>
      </c>
      <c r="B28" s="510" t="str">
        <f t="shared" si="6"/>
        <v/>
      </c>
      <c r="C28" s="1404" t="b">
        <v>0</v>
      </c>
      <c r="D28" s="1404" t="s">
        <v>2147</v>
      </c>
      <c r="E28" s="1405" t="s">
        <v>2335</v>
      </c>
      <c r="F28" s="1323" t="s">
        <v>2146</v>
      </c>
      <c r="G28" s="356" t="str">
        <f>IF(A28=FALSE,"",IF(NAMES!$D$10=FALSE,IF(Detail!H28="","",Detail!H28),IF(Crewlist!D28="","",Crewlist!D28)))</f>
        <v/>
      </c>
      <c r="H28" s="356" t="str">
        <f>IF(A28=FALSE,"",IF(NAMES!$D$10=FALSE,IF(Detail!P28="","",Detail!P28),IF(Crewlist!E28="","",Crewlist!E28)))</f>
        <v/>
      </c>
      <c r="I28" s="356" t="str">
        <f>IF(A28=FALSE,"",IF(NAMES!$D$10=FALSE,IF(Detail!K28="","",Detail!K28),IF(Crewlist!F28="","",Crewlist!F28)))</f>
        <v/>
      </c>
      <c r="J28" s="1001" t="str">
        <f>IF(Crewlist!T28="","",Crewlist!T28)</f>
        <v/>
      </c>
      <c r="K28" s="1001" t="str">
        <f>IF(Crewlist!D28="","",IF(Crewlist!U28="",Crewlist!Y28,IF(DATERENOUVMOINS730&lt;&gt;Crewlist!U28&lt;&gt;Crewlist!Y28,Crewlist!U28,DATERENOUVMOINS365)))</f>
        <v/>
      </c>
      <c r="L28" s="775" t="str">
        <f>IF(Detail!X28="","",Detail!X28)</f>
        <v/>
      </c>
      <c r="M28" s="775" t="str">
        <f>IF(Detail!H28="","",IF(Detail!Y28="",DATERENOUV,IF(Detail!Y28&gt;Detail!D28,Detail!D28,Detail!Y28)))</f>
        <v/>
      </c>
      <c r="N28" s="1015" t="str">
        <f>IF(A28=FALSE,"",IF(NAMES!$D$10=FALSE,IF(B28=B29,IF(O28=O29,0,(DATEDIF(L28,M28,"M")+1)),(DATEDIF(L28,M28,"M")+1)),IF(B28=B29,IF(O28=O29,0,(DATEDIF(J28,K28,"M")+1)),(DATEDIF(J28,K28,"M")+1))))</f>
        <v/>
      </c>
      <c r="O28" s="1015" t="str">
        <f t="shared" si="5"/>
        <v/>
      </c>
      <c r="P28" s="358" t="str">
        <f>IF(A28=FALSE,"",IF(NAMES!$D$10=FALSE,IF((DATEDIF(L28,M28,"D")+1)&lt;365,(DATEDIF(L28,M28,"D")+1),365),IF((DATEDIF(J28,K28,"D")+1)&lt;365,(DATEDIF(J28,K28,"D")+1),365)))</f>
        <v/>
      </c>
      <c r="Q28" s="358" t="str">
        <f>IF(A28=FALSE,"",IF(NAMES!$D$10=FALSE,IF(M28="",365,DATEDIF(L28,M28,"D")+1),IF(M28="",365,DATEDIF(J28,K28,"D")+1)))</f>
        <v/>
      </c>
      <c r="R28" s="950" t="str">
        <f>Calcul!X28</f>
        <v/>
      </c>
      <c r="S28" s="950" t="str">
        <f>Calcul!Y28</f>
        <v/>
      </c>
      <c r="T28" s="993" t="str">
        <f>Calcul!AG28</f>
        <v/>
      </c>
      <c r="U28" s="368" t="str">
        <f>IF(A28=FALSE,"",IF(NAMES!$D$10=FALSE,IF(Detail!S28="","",Detail!S28),IF(Crewlist!V28="","",Crewlist!V28)))</f>
        <v/>
      </c>
      <c r="V28" s="245" t="str">
        <f>Calcul!AI28</f>
        <v/>
      </c>
      <c r="W28" s="245" t="str">
        <f>Calcul!AL28</f>
        <v/>
      </c>
      <c r="X28" s="245" t="str">
        <f>Calcul!AM28</f>
        <v/>
      </c>
      <c r="Y28" s="353" t="str">
        <f>Calcul!AN28</f>
        <v/>
      </c>
      <c r="Z28" s="245" t="str">
        <f>Calcul!AO28</f>
        <v/>
      </c>
      <c r="AA28" s="245" t="str">
        <f>Calcul!AP28</f>
        <v/>
      </c>
      <c r="AB28" s="353" t="str">
        <f>Calcul!AQ28</f>
        <v/>
      </c>
      <c r="AC28" s="353" t="str">
        <f>IF(C28=FALSE,"",Calcul!BE28+Calcul!BF28)</f>
        <v/>
      </c>
      <c r="AD28" s="1224" t="str">
        <f>IF(C28=FALSE,"",(Calcul!BG28+Calcul!BH28)+SUM(Calcul!BI28:BN28))</f>
        <v/>
      </c>
      <c r="AE28" s="1224" t="str">
        <f>Calcul!BP28</f>
        <v/>
      </c>
      <c r="AF28" s="332" t="str">
        <f>IF(A28=FALSE,"",YEAR(Detail!F28)&amp;Detail!AG28&amp;Detail!AD28&amp;"-"&amp;Detail!$AD$13&amp;Detail!AE28)</f>
        <v/>
      </c>
      <c r="AG28" s="1406" t="s">
        <v>2236</v>
      </c>
      <c r="AH28" s="1354" t="s">
        <v>2277</v>
      </c>
      <c r="AI28" s="1407">
        <v>0</v>
      </c>
      <c r="AJ28" s="1407" t="s">
        <v>2236</v>
      </c>
      <c r="AK28" s="1410">
        <v>32</v>
      </c>
      <c r="AL28" s="508">
        <v>0</v>
      </c>
      <c r="AM28" s="1325">
        <v>1</v>
      </c>
      <c r="AN28" s="1325">
        <v>0</v>
      </c>
      <c r="AO28" s="333" t="str">
        <f>IF(A28=FALSE,"",IF(Detail!AL28="","N/A",YEAR(Detail!F28)&amp;Detail!AO28&amp;Detail!AL28&amp;"-"&amp;Detail!$AL$13&amp;Detail!AM28))</f>
        <v/>
      </c>
      <c r="AP28" s="1406" t="s">
        <v>2236</v>
      </c>
      <c r="AQ28" s="1354" t="s">
        <v>2277</v>
      </c>
      <c r="AR28" s="1407">
        <f t="shared" si="7"/>
        <v>0</v>
      </c>
      <c r="AS28" s="1325" t="s">
        <v>2236</v>
      </c>
      <c r="AT28" s="264">
        <v>0</v>
      </c>
      <c r="AU28" s="1325">
        <v>0</v>
      </c>
      <c r="AV28" s="1325">
        <v>1</v>
      </c>
      <c r="AW28" s="1325">
        <v>0</v>
      </c>
      <c r="AX28" s="1326" t="str">
        <f>IF(A28=FALSE,"",IF(Detail!AT28="","N/A",YEAR(Detail!F28)&amp;Detail!AW28&amp;Detail!AT28&amp;"-"&amp;Detail!$AT$13))</f>
        <v/>
      </c>
      <c r="AY28" s="1408" t="s">
        <v>2236</v>
      </c>
      <c r="AZ28" s="1326" t="s">
        <v>2278</v>
      </c>
      <c r="BA28" s="440" t="str">
        <f>IF(A28=FALSE,"",51000+(Detail!AA28*7000))</f>
        <v/>
      </c>
      <c r="BB28" s="1412">
        <v>50000</v>
      </c>
      <c r="BC28" s="247">
        <v>3</v>
      </c>
      <c r="BD28" s="1325">
        <v>0</v>
      </c>
      <c r="BE28" s="1325" t="s">
        <v>2236</v>
      </c>
      <c r="BF28" s="264">
        <v>0</v>
      </c>
      <c r="BG28" s="508">
        <v>0</v>
      </c>
      <c r="BH28" s="1325">
        <v>1</v>
      </c>
      <c r="BI28" s="1325">
        <v>0</v>
      </c>
      <c r="BJ28" s="311" t="str">
        <f>IF(A28=FALSE,"",IF(Detail!BB28="","N/A",YEAR(Detail!F28)&amp;Detail!BE28&amp;Detail!BB28&amp;"-"&amp;Detail!$BB$13))</f>
        <v/>
      </c>
      <c r="BK28" s="1354" t="s">
        <v>2236</v>
      </c>
      <c r="BL28" s="1354" t="s">
        <v>2278</v>
      </c>
      <c r="BM28" s="440" t="str">
        <f>IF(A28=FALSE,"",51000+(Detail!AA28*7000))</f>
        <v/>
      </c>
      <c r="BN28" s="1412">
        <v>50000</v>
      </c>
      <c r="BO28" s="247">
        <v>3</v>
      </c>
      <c r="BP28" s="1325">
        <v>0</v>
      </c>
      <c r="BQ28" s="1325" t="s">
        <v>2236</v>
      </c>
      <c r="BR28" s="264">
        <v>0</v>
      </c>
      <c r="BS28" s="508">
        <v>0</v>
      </c>
      <c r="BT28" s="1325">
        <v>1</v>
      </c>
      <c r="BU28" s="1325">
        <v>0</v>
      </c>
      <c r="BV28" s="311" t="str">
        <f>IF(A28=FALSE,"",IF(Detail!BJ28="","N/A",YEAR(Detail!F28)&amp;Detail!BM28&amp;Detail!BJ28&amp;"-"&amp;Detail!$BJ$13))</f>
        <v/>
      </c>
      <c r="BW28" s="1409" t="s">
        <v>2236</v>
      </c>
      <c r="BX28" s="1354" t="s">
        <v>2278</v>
      </c>
      <c r="BY28" s="440" t="str">
        <f t="shared" si="8"/>
        <v/>
      </c>
      <c r="BZ28" s="1412">
        <v>50000</v>
      </c>
      <c r="CA28" s="247">
        <v>3</v>
      </c>
      <c r="CB28" s="1325">
        <v>0</v>
      </c>
      <c r="CC28" s="1325" t="s">
        <v>2236</v>
      </c>
      <c r="CD28" s="264">
        <v>0</v>
      </c>
      <c r="CE28" s="508">
        <v>0</v>
      </c>
      <c r="CF28" s="1325">
        <v>1</v>
      </c>
      <c r="CG28" s="1325">
        <v>0</v>
      </c>
      <c r="CH28" s="311" t="str">
        <f>IF(A28=FALSE,"",IF(Detail!BR28="","N/A",YEAR(Detail!F28)&amp;Detail!BU28&amp;Detail!BR28&amp;"-"&amp;Detail!$BR$13))</f>
        <v/>
      </c>
      <c r="CI28" s="1327" t="s">
        <v>2236</v>
      </c>
      <c r="CJ28" s="1354" t="s">
        <v>2278</v>
      </c>
      <c r="CK28" s="440" t="str">
        <f t="shared" si="9"/>
        <v/>
      </c>
      <c r="CL28" s="1412">
        <v>50000</v>
      </c>
      <c r="CM28" s="247">
        <v>3</v>
      </c>
      <c r="CN28" s="1325">
        <v>0</v>
      </c>
      <c r="CO28" s="1325" t="s">
        <v>2236</v>
      </c>
      <c r="CP28" s="264">
        <v>0</v>
      </c>
      <c r="CQ28" s="508">
        <v>0</v>
      </c>
      <c r="CR28" s="1325">
        <v>1</v>
      </c>
      <c r="CS28" s="1325">
        <v>0</v>
      </c>
      <c r="CT28" s="311" t="str">
        <f>IF(A28=FALSE,"",IF(Detail!BZ28="","N/A",YEAR(Detail!F28)&amp;Detail!CC28&amp;Detail!BZ28&amp;"-"&amp;Detail!$BZ$13&amp;" (100%/"&amp;Detail!CD28&amp;"/"&amp;Detail!CE28&amp;"D)"))</f>
        <v/>
      </c>
      <c r="CU28" s="1409" t="s">
        <v>2236</v>
      </c>
      <c r="CV28" s="1354" t="s">
        <v>2278</v>
      </c>
      <c r="CW28" s="1010">
        <v>7</v>
      </c>
      <c r="CX28" s="1323">
        <v>365</v>
      </c>
      <c r="CY28" s="248">
        <v>1</v>
      </c>
      <c r="CZ28" s="1325">
        <v>0</v>
      </c>
      <c r="DA28" s="1325" t="s">
        <v>2236</v>
      </c>
      <c r="DB28" s="538">
        <v>40</v>
      </c>
      <c r="DC28" s="1325">
        <v>0.1</v>
      </c>
      <c r="DD28" s="1325">
        <v>1</v>
      </c>
      <c r="DE28" s="1325">
        <v>0</v>
      </c>
      <c r="DF28" s="313" t="str">
        <f>IF(A28=FALSE,"",IF(Detail!CH28="","N/A",YEAR(Detail!F28)&amp;Detail!CK28&amp;Detail!CH28&amp;"-"&amp;Detail!$CH$13&amp;" (100%/"&amp;Detail!CL28&amp;"/"&amp;Detail!CM28&amp;"D)"))</f>
        <v/>
      </c>
      <c r="DG28" s="1406" t="s">
        <v>2236</v>
      </c>
      <c r="DH28" s="518" t="s">
        <v>2278</v>
      </c>
      <c r="DI28" s="1010">
        <f t="shared" si="10"/>
        <v>7</v>
      </c>
      <c r="DJ28" s="1323">
        <f t="shared" si="11"/>
        <v>365</v>
      </c>
      <c r="DK28" s="258">
        <v>1</v>
      </c>
      <c r="DL28" s="1325">
        <v>0</v>
      </c>
      <c r="DM28" s="1325" t="s">
        <v>2236</v>
      </c>
      <c r="DN28" s="538">
        <v>40</v>
      </c>
      <c r="DO28" s="1325">
        <f t="shared" si="12"/>
        <v>0.1</v>
      </c>
      <c r="DP28" s="1325">
        <v>1</v>
      </c>
      <c r="DQ28" s="1325">
        <v>0</v>
      </c>
      <c r="DR28" s="1326" t="str">
        <f>IF(A28=FALSE,"",IF(Detail!CP28="","N/A",YEAR(Detail!F28)&amp;Detail!CS28&amp;Detail!CP28&amp;"-"&amp;Detail!$CP$13))</f>
        <v/>
      </c>
      <c r="DS28" s="1326" t="s">
        <v>2236</v>
      </c>
      <c r="DT28" s="1354" t="s">
        <v>2277</v>
      </c>
      <c r="DU28" s="1385">
        <v>50000</v>
      </c>
      <c r="DV28" s="247">
        <v>2</v>
      </c>
      <c r="DW28" s="1325">
        <v>0</v>
      </c>
      <c r="DX28" s="1325" t="s">
        <v>2236</v>
      </c>
      <c r="DY28" s="264">
        <v>0</v>
      </c>
      <c r="DZ28" s="444">
        <v>0</v>
      </c>
      <c r="EA28" s="444">
        <v>1</v>
      </c>
      <c r="EB28" s="444">
        <v>0</v>
      </c>
      <c r="EC28" s="761" t="str">
        <f>IF(A28=FALSE,"",IF(Detail!CX28="","N/A",YEAR(Detail!F28)&amp;Detail!DA28&amp;Detail!CX28&amp;"-"&amp;Detail!$CX$13))</f>
        <v/>
      </c>
      <c r="ED28" s="1327" t="s">
        <v>2236</v>
      </c>
      <c r="EE28" s="1354" t="s">
        <v>2277</v>
      </c>
      <c r="EF28" s="1385">
        <v>50000</v>
      </c>
      <c r="EG28" s="247">
        <v>2</v>
      </c>
      <c r="EH28" s="1325">
        <v>0</v>
      </c>
      <c r="EI28" s="1325" t="s">
        <v>2236</v>
      </c>
      <c r="EJ28" s="264">
        <v>0</v>
      </c>
      <c r="EK28" s="444">
        <v>0</v>
      </c>
      <c r="EL28" s="444">
        <v>1</v>
      </c>
      <c r="EM28" s="444">
        <v>0</v>
      </c>
      <c r="EN28" s="333" t="str">
        <f>IF(A28=FALSE,"",IF(Detail!DF28="","N/A",YEAR(Detail!F28)&amp;Detail!DI28&amp;Detail!DF28&amp;"-"&amp;Detail!$DF$13))</f>
        <v/>
      </c>
      <c r="EO28" s="1354" t="s">
        <v>2236</v>
      </c>
      <c r="EP28" s="1354" t="s">
        <v>2277</v>
      </c>
      <c r="EQ28" s="1325">
        <f t="shared" si="13"/>
        <v>0</v>
      </c>
      <c r="ER28" s="1325" t="s">
        <v>2236</v>
      </c>
      <c r="ES28" s="264">
        <v>0</v>
      </c>
      <c r="ET28" s="1325">
        <v>0</v>
      </c>
      <c r="EU28" s="1325">
        <v>1</v>
      </c>
      <c r="EV28" s="1325">
        <v>0</v>
      </c>
      <c r="EW28" s="333" t="str">
        <f>IF(DJ28=FALSE,"",IF(Detail!ET28="","N/A",YEAR(Detail!DN28)&amp;Detail!EW28&amp;Detail!ET28&amp;"-"&amp;Detail!$AL$13&amp;Detail!EU28))</f>
        <v>N/A</v>
      </c>
      <c r="EX28" s="1354" t="s">
        <v>2236</v>
      </c>
      <c r="EY28" s="1354" t="s">
        <v>2277</v>
      </c>
      <c r="EZ28" s="1325">
        <f t="shared" si="14"/>
        <v>0</v>
      </c>
      <c r="FA28" s="1325" t="s">
        <v>2236</v>
      </c>
      <c r="FB28" s="264">
        <v>0</v>
      </c>
      <c r="FC28" s="1325">
        <v>0</v>
      </c>
      <c r="FD28" s="1325">
        <v>1</v>
      </c>
      <c r="FE28" s="1325">
        <v>0</v>
      </c>
    </row>
    <row r="29" spans="1:161" s="1369" customFormat="1" ht="30" customHeight="1" outlineLevel="1">
      <c r="A29" s="439" t="b">
        <f>Calcul!A29</f>
        <v>0</v>
      </c>
      <c r="B29" s="510" t="str">
        <f t="shared" si="6"/>
        <v/>
      </c>
      <c r="C29" s="1404" t="b">
        <v>0</v>
      </c>
      <c r="D29" s="1404" t="s">
        <v>2147</v>
      </c>
      <c r="E29" s="1405" t="s">
        <v>2335</v>
      </c>
      <c r="F29" s="1323" t="s">
        <v>2146</v>
      </c>
      <c r="G29" s="356" t="str">
        <f>IF(A29=FALSE,"",IF(NAMES!$D$10=FALSE,IF(Detail!H29="","",Detail!H29),IF(Crewlist!D29="","",Crewlist!D29)))</f>
        <v/>
      </c>
      <c r="H29" s="356" t="str">
        <f>IF(A29=FALSE,"",IF(NAMES!$D$10=FALSE,IF(Detail!P29="","",Detail!P29),IF(Crewlist!E29="","",Crewlist!E29)))</f>
        <v/>
      </c>
      <c r="I29" s="356" t="str">
        <f>IF(A29=FALSE,"",IF(NAMES!$D$10=FALSE,IF(Detail!K29="","",Detail!K29),IF(Crewlist!F29="","",Crewlist!F29)))</f>
        <v/>
      </c>
      <c r="J29" s="1001" t="str">
        <f>IF(Crewlist!T29="","",Crewlist!T29)</f>
        <v/>
      </c>
      <c r="K29" s="1001" t="str">
        <f>IF(Crewlist!D29="","",IF(Crewlist!U29="",Crewlist!Y29,IF(DATERENOUVMOINS730&lt;&gt;Crewlist!U29&lt;&gt;Crewlist!Y29,Crewlist!U29,DATERENOUVMOINS365)))</f>
        <v/>
      </c>
      <c r="L29" s="775" t="str">
        <f>IF(Detail!X29="","",Detail!X29)</f>
        <v/>
      </c>
      <c r="M29" s="775" t="str">
        <f>IF(Detail!H29="","",IF(Detail!Y29="",DATERENOUV,IF(Detail!Y29&gt;Detail!D29,Detail!D29,Detail!Y29)))</f>
        <v/>
      </c>
      <c r="N29" s="1015" t="str">
        <f>IF(A29=FALSE,"",IF(NAMES!$D$10=FALSE,IF(B29=B30,IF(O29=O30,0,(DATEDIF(L29,M29,"M")+1)),(DATEDIF(L29,M29,"M")+1)),IF(B29=B30,IF(O29=O30,0,(DATEDIF(J29,K29,"M")+1)),(DATEDIF(J29,K29,"M")+1))))</f>
        <v/>
      </c>
      <c r="O29" s="1015" t="str">
        <f t="shared" si="5"/>
        <v/>
      </c>
      <c r="P29" s="358" t="str">
        <f>IF(A29=FALSE,"",IF(NAMES!$D$10=FALSE,IF((DATEDIF(L29,M29,"D")+1)&lt;365,(DATEDIF(L29,M29,"D")+1),365),IF((DATEDIF(J29,K29,"D")+1)&lt;365,(DATEDIF(J29,K29,"D")+1),365)))</f>
        <v/>
      </c>
      <c r="Q29" s="358" t="str">
        <f>IF(A29=FALSE,"",IF(NAMES!$D$10=FALSE,IF(M29="",365,DATEDIF(L29,M29,"D")+1),IF(M29="",365,DATEDIF(J29,K29,"D")+1)))</f>
        <v/>
      </c>
      <c r="R29" s="950" t="str">
        <f>Calcul!X29</f>
        <v/>
      </c>
      <c r="S29" s="950" t="str">
        <f>Calcul!Y29</f>
        <v/>
      </c>
      <c r="T29" s="993" t="str">
        <f>Calcul!AG29</f>
        <v/>
      </c>
      <c r="U29" s="368" t="str">
        <f>IF(A29=FALSE,"",IF(NAMES!$D$10=FALSE,IF(Detail!S29="","",Detail!S29),IF(Crewlist!V29="","",Crewlist!V29)))</f>
        <v/>
      </c>
      <c r="V29" s="245" t="str">
        <f>Calcul!AI29</f>
        <v/>
      </c>
      <c r="W29" s="245" t="str">
        <f>Calcul!AL29</f>
        <v/>
      </c>
      <c r="X29" s="245" t="str">
        <f>Calcul!AM29</f>
        <v/>
      </c>
      <c r="Y29" s="353" t="str">
        <f>Calcul!AN29</f>
        <v/>
      </c>
      <c r="Z29" s="245" t="str">
        <f>Calcul!AO29</f>
        <v/>
      </c>
      <c r="AA29" s="245" t="str">
        <f>Calcul!AP29</f>
        <v/>
      </c>
      <c r="AB29" s="353" t="str">
        <f>Calcul!AQ29</f>
        <v/>
      </c>
      <c r="AC29" s="353" t="str">
        <f>IF(C29=FALSE,"",Calcul!BE29+Calcul!BF29)</f>
        <v/>
      </c>
      <c r="AD29" s="1224" t="str">
        <f>IF(C29=FALSE,"",(Calcul!BG29+Calcul!BH29)+SUM(Calcul!BI29:BN29))</f>
        <v/>
      </c>
      <c r="AE29" s="1224" t="str">
        <f>Calcul!BP29</f>
        <v/>
      </c>
      <c r="AF29" s="332" t="str">
        <f>IF(A29=FALSE,"",YEAR(Detail!F29)&amp;Detail!AG29&amp;Detail!AD29&amp;"-"&amp;Detail!$AD$13&amp;Detail!AE29)</f>
        <v/>
      </c>
      <c r="AG29" s="1406" t="s">
        <v>2236</v>
      </c>
      <c r="AH29" s="1354" t="s">
        <v>2277</v>
      </c>
      <c r="AI29" s="1407">
        <v>0</v>
      </c>
      <c r="AJ29" s="1407" t="s">
        <v>2236</v>
      </c>
      <c r="AK29" s="1410">
        <v>32</v>
      </c>
      <c r="AL29" s="508">
        <v>0</v>
      </c>
      <c r="AM29" s="1325">
        <v>1</v>
      </c>
      <c r="AN29" s="1325">
        <v>0</v>
      </c>
      <c r="AO29" s="333" t="str">
        <f>IF(A29=FALSE,"",IF(Detail!AL29="","N/A",YEAR(Detail!F29)&amp;Detail!AO29&amp;Detail!AL29&amp;"-"&amp;Detail!$AL$13&amp;Detail!AM29))</f>
        <v/>
      </c>
      <c r="AP29" s="1406" t="s">
        <v>2236</v>
      </c>
      <c r="AQ29" s="1354" t="s">
        <v>2277</v>
      </c>
      <c r="AR29" s="1407">
        <f t="shared" si="7"/>
        <v>0</v>
      </c>
      <c r="AS29" s="1325" t="s">
        <v>2236</v>
      </c>
      <c r="AT29" s="264">
        <v>0</v>
      </c>
      <c r="AU29" s="1325">
        <v>0</v>
      </c>
      <c r="AV29" s="1325">
        <v>1</v>
      </c>
      <c r="AW29" s="1325">
        <v>0</v>
      </c>
      <c r="AX29" s="1326" t="str">
        <f>IF(A29=FALSE,"",IF(Detail!AT29="","N/A",YEAR(Detail!F29)&amp;Detail!AW29&amp;Detail!AT29&amp;"-"&amp;Detail!$AT$13))</f>
        <v/>
      </c>
      <c r="AY29" s="1408" t="s">
        <v>2236</v>
      </c>
      <c r="AZ29" s="1326" t="s">
        <v>2278</v>
      </c>
      <c r="BA29" s="440" t="str">
        <f>IF(A29=FALSE,"",51000+(Detail!AA29*7000))</f>
        <v/>
      </c>
      <c r="BB29" s="1412">
        <v>50000</v>
      </c>
      <c r="BC29" s="247">
        <v>3</v>
      </c>
      <c r="BD29" s="1325">
        <v>0</v>
      </c>
      <c r="BE29" s="1325" t="s">
        <v>2236</v>
      </c>
      <c r="BF29" s="264">
        <v>0</v>
      </c>
      <c r="BG29" s="508">
        <v>0</v>
      </c>
      <c r="BH29" s="1325">
        <v>1</v>
      </c>
      <c r="BI29" s="1325">
        <v>0</v>
      </c>
      <c r="BJ29" s="311" t="str">
        <f>IF(A29=FALSE,"",IF(Detail!BB29="","N/A",YEAR(Detail!F29)&amp;Detail!BE29&amp;Detail!BB29&amp;"-"&amp;Detail!$BB$13))</f>
        <v/>
      </c>
      <c r="BK29" s="1354" t="s">
        <v>2236</v>
      </c>
      <c r="BL29" s="1354" t="s">
        <v>2278</v>
      </c>
      <c r="BM29" s="440" t="str">
        <f>IF(A29=FALSE,"",51000+(Detail!AA29*7000))</f>
        <v/>
      </c>
      <c r="BN29" s="1412">
        <v>50000</v>
      </c>
      <c r="BO29" s="247">
        <v>3</v>
      </c>
      <c r="BP29" s="1325">
        <v>0</v>
      </c>
      <c r="BQ29" s="1325" t="s">
        <v>2236</v>
      </c>
      <c r="BR29" s="264">
        <v>0</v>
      </c>
      <c r="BS29" s="508">
        <v>0</v>
      </c>
      <c r="BT29" s="1325">
        <v>1</v>
      </c>
      <c r="BU29" s="1325">
        <v>0</v>
      </c>
      <c r="BV29" s="311" t="str">
        <f>IF(A29=FALSE,"",IF(Detail!BJ29="","N/A",YEAR(Detail!F29)&amp;Detail!BM29&amp;Detail!BJ29&amp;"-"&amp;Detail!$BJ$13))</f>
        <v/>
      </c>
      <c r="BW29" s="1409" t="s">
        <v>2236</v>
      </c>
      <c r="BX29" s="1354" t="s">
        <v>2278</v>
      </c>
      <c r="BY29" s="440" t="str">
        <f t="shared" si="8"/>
        <v/>
      </c>
      <c r="BZ29" s="1412">
        <v>50000</v>
      </c>
      <c r="CA29" s="247">
        <v>3</v>
      </c>
      <c r="CB29" s="1325">
        <v>0</v>
      </c>
      <c r="CC29" s="1325" t="s">
        <v>2236</v>
      </c>
      <c r="CD29" s="264">
        <v>0</v>
      </c>
      <c r="CE29" s="508">
        <v>0</v>
      </c>
      <c r="CF29" s="1325">
        <v>1</v>
      </c>
      <c r="CG29" s="1325">
        <v>0</v>
      </c>
      <c r="CH29" s="311" t="str">
        <f>IF(A29=FALSE,"",IF(Detail!BR29="","N/A",YEAR(Detail!F29)&amp;Detail!BU29&amp;Detail!BR29&amp;"-"&amp;Detail!$BR$13))</f>
        <v/>
      </c>
      <c r="CI29" s="1327" t="s">
        <v>2236</v>
      </c>
      <c r="CJ29" s="1354" t="s">
        <v>2278</v>
      </c>
      <c r="CK29" s="440" t="str">
        <f t="shared" si="9"/>
        <v/>
      </c>
      <c r="CL29" s="1412">
        <v>50000</v>
      </c>
      <c r="CM29" s="247">
        <v>3</v>
      </c>
      <c r="CN29" s="1325">
        <v>0</v>
      </c>
      <c r="CO29" s="1325" t="s">
        <v>2236</v>
      </c>
      <c r="CP29" s="264">
        <v>0</v>
      </c>
      <c r="CQ29" s="508">
        <v>0</v>
      </c>
      <c r="CR29" s="1325">
        <v>1</v>
      </c>
      <c r="CS29" s="1325">
        <v>0</v>
      </c>
      <c r="CT29" s="311" t="str">
        <f>IF(A29=FALSE,"",IF(Detail!BZ29="","N/A",YEAR(Detail!F29)&amp;Detail!CC29&amp;Detail!BZ29&amp;"-"&amp;Detail!$BZ$13&amp;" (100%/"&amp;Detail!CD29&amp;"/"&amp;Detail!CE29&amp;"D)"))</f>
        <v/>
      </c>
      <c r="CU29" s="1409" t="s">
        <v>2236</v>
      </c>
      <c r="CV29" s="1354" t="s">
        <v>2278</v>
      </c>
      <c r="CW29" s="1010">
        <v>7</v>
      </c>
      <c r="CX29" s="1323">
        <v>365</v>
      </c>
      <c r="CY29" s="248">
        <v>1</v>
      </c>
      <c r="CZ29" s="1325">
        <v>0</v>
      </c>
      <c r="DA29" s="1325" t="s">
        <v>2236</v>
      </c>
      <c r="DB29" s="538">
        <v>40</v>
      </c>
      <c r="DC29" s="1325">
        <v>0.1</v>
      </c>
      <c r="DD29" s="1325">
        <v>1</v>
      </c>
      <c r="DE29" s="1325">
        <v>0</v>
      </c>
      <c r="DF29" s="313" t="str">
        <f>IF(A29=FALSE,"",IF(Detail!CH29="","N/A",YEAR(Detail!F29)&amp;Detail!CK29&amp;Detail!CH29&amp;"-"&amp;Detail!$CH$13&amp;" (100%/"&amp;Detail!CL29&amp;"/"&amp;Detail!CM29&amp;"D)"))</f>
        <v/>
      </c>
      <c r="DG29" s="1406" t="s">
        <v>2236</v>
      </c>
      <c r="DH29" s="518" t="s">
        <v>2278</v>
      </c>
      <c r="DI29" s="1010">
        <f t="shared" si="10"/>
        <v>7</v>
      </c>
      <c r="DJ29" s="1323">
        <f t="shared" si="11"/>
        <v>365</v>
      </c>
      <c r="DK29" s="258">
        <v>1</v>
      </c>
      <c r="DL29" s="1325">
        <v>0</v>
      </c>
      <c r="DM29" s="1325" t="s">
        <v>2236</v>
      </c>
      <c r="DN29" s="538">
        <v>40</v>
      </c>
      <c r="DO29" s="1325">
        <f t="shared" si="12"/>
        <v>0.1</v>
      </c>
      <c r="DP29" s="1325">
        <v>1</v>
      </c>
      <c r="DQ29" s="1325">
        <v>0</v>
      </c>
      <c r="DR29" s="1326" t="str">
        <f>IF(A29=FALSE,"",IF(Detail!CP29="","N/A",YEAR(Detail!F29)&amp;Detail!CS29&amp;Detail!CP29&amp;"-"&amp;Detail!$CP$13))</f>
        <v/>
      </c>
      <c r="DS29" s="1326" t="s">
        <v>2236</v>
      </c>
      <c r="DT29" s="1354" t="s">
        <v>2277</v>
      </c>
      <c r="DU29" s="1385">
        <v>50000</v>
      </c>
      <c r="DV29" s="247">
        <v>2</v>
      </c>
      <c r="DW29" s="1325">
        <v>0</v>
      </c>
      <c r="DX29" s="1325" t="s">
        <v>2236</v>
      </c>
      <c r="DY29" s="264">
        <v>0</v>
      </c>
      <c r="DZ29" s="444">
        <v>0</v>
      </c>
      <c r="EA29" s="444">
        <v>1</v>
      </c>
      <c r="EB29" s="444">
        <v>0</v>
      </c>
      <c r="EC29" s="761" t="str">
        <f>IF(A29=FALSE,"",IF(Detail!CX29="","N/A",YEAR(Detail!F29)&amp;Detail!DA29&amp;Detail!CX29&amp;"-"&amp;Detail!$CX$13))</f>
        <v/>
      </c>
      <c r="ED29" s="1327" t="s">
        <v>2236</v>
      </c>
      <c r="EE29" s="1354" t="s">
        <v>2277</v>
      </c>
      <c r="EF29" s="1385">
        <v>50000</v>
      </c>
      <c r="EG29" s="247">
        <v>2</v>
      </c>
      <c r="EH29" s="1325">
        <v>0</v>
      </c>
      <c r="EI29" s="1325" t="s">
        <v>2236</v>
      </c>
      <c r="EJ29" s="264">
        <v>0</v>
      </c>
      <c r="EK29" s="444">
        <v>0</v>
      </c>
      <c r="EL29" s="444">
        <v>1</v>
      </c>
      <c r="EM29" s="444">
        <v>0</v>
      </c>
      <c r="EN29" s="333" t="str">
        <f>IF(A29=FALSE,"",IF(Detail!DF29="","N/A",YEAR(Detail!F29)&amp;Detail!DI29&amp;Detail!DF29&amp;"-"&amp;Detail!$DF$13))</f>
        <v/>
      </c>
      <c r="EO29" s="1354" t="s">
        <v>2236</v>
      </c>
      <c r="EP29" s="1354" t="s">
        <v>2277</v>
      </c>
      <c r="EQ29" s="1325">
        <f t="shared" si="13"/>
        <v>0</v>
      </c>
      <c r="ER29" s="1325" t="s">
        <v>2236</v>
      </c>
      <c r="ES29" s="264">
        <v>0</v>
      </c>
      <c r="ET29" s="1325">
        <v>0</v>
      </c>
      <c r="EU29" s="1325">
        <v>1</v>
      </c>
      <c r="EV29" s="1325">
        <v>0</v>
      </c>
      <c r="EW29" s="333" t="str">
        <f>IF(DJ29=FALSE,"",IF(Detail!ET29="","N/A",YEAR(Detail!DN29)&amp;Detail!EW29&amp;Detail!ET29&amp;"-"&amp;Detail!$AL$13&amp;Detail!EU29))</f>
        <v>N/A</v>
      </c>
      <c r="EX29" s="1354" t="s">
        <v>2236</v>
      </c>
      <c r="EY29" s="1354" t="s">
        <v>2277</v>
      </c>
      <c r="EZ29" s="1325">
        <f t="shared" si="14"/>
        <v>0</v>
      </c>
      <c r="FA29" s="1325" t="s">
        <v>2236</v>
      </c>
      <c r="FB29" s="264">
        <v>0</v>
      </c>
      <c r="FC29" s="1325">
        <v>0</v>
      </c>
      <c r="FD29" s="1325">
        <v>1</v>
      </c>
      <c r="FE29" s="1325">
        <v>0</v>
      </c>
    </row>
    <row r="30" spans="1:161" s="1369" customFormat="1" ht="30" customHeight="1" outlineLevel="1">
      <c r="A30" s="439" t="b">
        <f>Calcul!A30</f>
        <v>0</v>
      </c>
      <c r="B30" s="510" t="str">
        <f t="shared" si="6"/>
        <v/>
      </c>
      <c r="C30" s="1404" t="b">
        <v>0</v>
      </c>
      <c r="D30" s="1404" t="s">
        <v>2147</v>
      </c>
      <c r="E30" s="1405" t="s">
        <v>2335</v>
      </c>
      <c r="F30" s="1323" t="s">
        <v>2146</v>
      </c>
      <c r="G30" s="356" t="str">
        <f>IF(A30=FALSE,"",IF(NAMES!$D$10=FALSE,IF(Detail!H30="","",Detail!H30),IF(Crewlist!D30="","",Crewlist!D30)))</f>
        <v/>
      </c>
      <c r="H30" s="356" t="str">
        <f>IF(A30=FALSE,"",IF(NAMES!$D$10=FALSE,IF(Detail!P30="","",Detail!P30),IF(Crewlist!E30="","",Crewlist!E30)))</f>
        <v/>
      </c>
      <c r="I30" s="356" t="str">
        <f>IF(A30=FALSE,"",IF(NAMES!$D$10=FALSE,IF(Detail!K30="","",Detail!K30),IF(Crewlist!F30="","",Crewlist!F30)))</f>
        <v/>
      </c>
      <c r="J30" s="1001" t="str">
        <f>IF(Crewlist!T30="","",Crewlist!T30)</f>
        <v/>
      </c>
      <c r="K30" s="1001" t="str">
        <f>IF(Crewlist!D30="","",IF(Crewlist!U30="",Crewlist!Y30,IF(DATERENOUVMOINS730&lt;&gt;Crewlist!U30&lt;&gt;Crewlist!Y30,Crewlist!U30,DATERENOUVMOINS365)))</f>
        <v/>
      </c>
      <c r="L30" s="775" t="str">
        <f>IF(Detail!X30="","",Detail!X30)</f>
        <v/>
      </c>
      <c r="M30" s="775" t="str">
        <f>IF(Detail!H30="","",IF(Detail!Y30="",DATERENOUV,IF(Detail!Y30&gt;Detail!D30,Detail!D30,Detail!Y30)))</f>
        <v/>
      </c>
      <c r="N30" s="1015" t="str">
        <f>IF(A30=FALSE,"",IF(NAMES!$D$10=FALSE,IF(B30=B31,IF(O30=O31,0,(DATEDIF(L30,M30,"M")+1)),(DATEDIF(L30,M30,"M")+1)),IF(B30=B31,IF(O30=O31,0,(DATEDIF(J30,K30,"M")+1)),(DATEDIF(J30,K30,"M")+1))))</f>
        <v/>
      </c>
      <c r="O30" s="1015" t="str">
        <f t="shared" si="5"/>
        <v/>
      </c>
      <c r="P30" s="358" t="str">
        <f>IF(A30=FALSE,"",IF(NAMES!$D$10=FALSE,IF((DATEDIF(L30,M30,"D")+1)&lt;365,(DATEDIF(L30,M30,"D")+1),365),IF((DATEDIF(J30,K30,"D")+1)&lt;365,(DATEDIF(J30,K30,"D")+1),365)))</f>
        <v/>
      </c>
      <c r="Q30" s="358" t="str">
        <f>IF(A30=FALSE,"",IF(NAMES!$D$10=FALSE,IF(M30="",365,DATEDIF(L30,M30,"D")+1),IF(M30="",365,DATEDIF(J30,K30,"D")+1)))</f>
        <v/>
      </c>
      <c r="R30" s="950" t="str">
        <f>Calcul!X30</f>
        <v/>
      </c>
      <c r="S30" s="950" t="str">
        <f>Calcul!Y30</f>
        <v/>
      </c>
      <c r="T30" s="993" t="str">
        <f>Calcul!AG30</f>
        <v/>
      </c>
      <c r="U30" s="368" t="str">
        <f>IF(A30=FALSE,"",IF(NAMES!$D$10=FALSE,IF(Detail!S30="","",Detail!S30),IF(Crewlist!V30="","",Crewlist!V30)))</f>
        <v/>
      </c>
      <c r="V30" s="245" t="str">
        <f>Calcul!AI30</f>
        <v/>
      </c>
      <c r="W30" s="245" t="str">
        <f>Calcul!AL30</f>
        <v/>
      </c>
      <c r="X30" s="245" t="str">
        <f>Calcul!AM30</f>
        <v/>
      </c>
      <c r="Y30" s="353" t="str">
        <f>Calcul!AN30</f>
        <v/>
      </c>
      <c r="Z30" s="245" t="str">
        <f>Calcul!AO30</f>
        <v/>
      </c>
      <c r="AA30" s="245" t="str">
        <f>Calcul!AP30</f>
        <v/>
      </c>
      <c r="AB30" s="353" t="str">
        <f>Calcul!AQ30</f>
        <v/>
      </c>
      <c r="AC30" s="353" t="str">
        <f>IF(C30=FALSE,"",Calcul!BE30+Calcul!BF30)</f>
        <v/>
      </c>
      <c r="AD30" s="1224" t="str">
        <f>IF(C30=FALSE,"",(Calcul!BG30+Calcul!BH30)+SUM(Calcul!BI30:BN30))</f>
        <v/>
      </c>
      <c r="AE30" s="1224" t="str">
        <f>Calcul!BP30</f>
        <v/>
      </c>
      <c r="AF30" s="332" t="str">
        <f>IF(A30=FALSE,"",YEAR(Detail!F30)&amp;Detail!AG30&amp;Detail!AD30&amp;"-"&amp;Detail!$AD$13&amp;Detail!AE30)</f>
        <v/>
      </c>
      <c r="AG30" s="1406" t="s">
        <v>2236</v>
      </c>
      <c r="AH30" s="1354" t="s">
        <v>2277</v>
      </c>
      <c r="AI30" s="1407">
        <v>0</v>
      </c>
      <c r="AJ30" s="1407" t="s">
        <v>2236</v>
      </c>
      <c r="AK30" s="1410">
        <v>32</v>
      </c>
      <c r="AL30" s="508">
        <v>0</v>
      </c>
      <c r="AM30" s="1325">
        <v>1</v>
      </c>
      <c r="AN30" s="1325">
        <v>0</v>
      </c>
      <c r="AO30" s="333" t="str">
        <f>IF(A30=FALSE,"",IF(Detail!AL30="","N/A",YEAR(Detail!F30)&amp;Detail!AO30&amp;Detail!AL30&amp;"-"&amp;Detail!$AL$13&amp;Detail!AM30))</f>
        <v/>
      </c>
      <c r="AP30" s="1406" t="s">
        <v>2236</v>
      </c>
      <c r="AQ30" s="1354" t="s">
        <v>2277</v>
      </c>
      <c r="AR30" s="1407">
        <f t="shared" si="7"/>
        <v>0</v>
      </c>
      <c r="AS30" s="1325" t="s">
        <v>2236</v>
      </c>
      <c r="AT30" s="264">
        <v>0</v>
      </c>
      <c r="AU30" s="1325">
        <v>0</v>
      </c>
      <c r="AV30" s="1325">
        <v>1</v>
      </c>
      <c r="AW30" s="1325">
        <v>0</v>
      </c>
      <c r="AX30" s="1326" t="str">
        <f>IF(A30=FALSE,"",IF(Detail!AT30="","N/A",YEAR(Detail!F30)&amp;Detail!AW30&amp;Detail!AT30&amp;"-"&amp;Detail!$AT$13))</f>
        <v/>
      </c>
      <c r="AY30" s="1408" t="s">
        <v>2236</v>
      </c>
      <c r="AZ30" s="1326" t="s">
        <v>2278</v>
      </c>
      <c r="BA30" s="440" t="str">
        <f>IF(A30=FALSE,"",51000+(Detail!AA30*7000))</f>
        <v/>
      </c>
      <c r="BB30" s="1412">
        <v>50000</v>
      </c>
      <c r="BC30" s="247">
        <v>3</v>
      </c>
      <c r="BD30" s="1325">
        <v>0</v>
      </c>
      <c r="BE30" s="1325" t="s">
        <v>2236</v>
      </c>
      <c r="BF30" s="264">
        <v>0</v>
      </c>
      <c r="BG30" s="508">
        <v>0</v>
      </c>
      <c r="BH30" s="1325">
        <v>1</v>
      </c>
      <c r="BI30" s="1325">
        <v>0</v>
      </c>
      <c r="BJ30" s="311" t="str">
        <f>IF(A30=FALSE,"",IF(Detail!BB30="","N/A",YEAR(Detail!F30)&amp;Detail!BE30&amp;Detail!BB30&amp;"-"&amp;Detail!$BB$13))</f>
        <v/>
      </c>
      <c r="BK30" s="1354" t="s">
        <v>2236</v>
      </c>
      <c r="BL30" s="1354" t="s">
        <v>2278</v>
      </c>
      <c r="BM30" s="440" t="str">
        <f>IF(A30=FALSE,"",51000+(Detail!AA30*7000))</f>
        <v/>
      </c>
      <c r="BN30" s="1412">
        <v>50000</v>
      </c>
      <c r="BO30" s="247">
        <v>3</v>
      </c>
      <c r="BP30" s="1325">
        <v>0</v>
      </c>
      <c r="BQ30" s="1325" t="s">
        <v>2236</v>
      </c>
      <c r="BR30" s="264">
        <v>0</v>
      </c>
      <c r="BS30" s="508">
        <v>0</v>
      </c>
      <c r="BT30" s="1325">
        <v>1</v>
      </c>
      <c r="BU30" s="1325">
        <v>0</v>
      </c>
      <c r="BV30" s="311" t="str">
        <f>IF(A30=FALSE,"",IF(Detail!BJ30="","N/A",YEAR(Detail!F30)&amp;Detail!BM30&amp;Detail!BJ30&amp;"-"&amp;Detail!$BJ$13))</f>
        <v/>
      </c>
      <c r="BW30" s="1409" t="s">
        <v>2236</v>
      </c>
      <c r="BX30" s="1354" t="s">
        <v>2278</v>
      </c>
      <c r="BY30" s="440" t="str">
        <f t="shared" si="8"/>
        <v/>
      </c>
      <c r="BZ30" s="1412">
        <v>50000</v>
      </c>
      <c r="CA30" s="247">
        <v>3</v>
      </c>
      <c r="CB30" s="1325">
        <v>0</v>
      </c>
      <c r="CC30" s="1325" t="s">
        <v>2236</v>
      </c>
      <c r="CD30" s="264">
        <v>0</v>
      </c>
      <c r="CE30" s="508">
        <v>0</v>
      </c>
      <c r="CF30" s="1325">
        <v>1</v>
      </c>
      <c r="CG30" s="1325">
        <v>0</v>
      </c>
      <c r="CH30" s="311" t="str">
        <f>IF(A30=FALSE,"",IF(Detail!BR30="","N/A",YEAR(Detail!F30)&amp;Detail!BU30&amp;Detail!BR30&amp;"-"&amp;Detail!$BR$13))</f>
        <v/>
      </c>
      <c r="CI30" s="1327" t="s">
        <v>2236</v>
      </c>
      <c r="CJ30" s="1354" t="s">
        <v>2278</v>
      </c>
      <c r="CK30" s="440" t="str">
        <f t="shared" si="9"/>
        <v/>
      </c>
      <c r="CL30" s="1412">
        <v>50000</v>
      </c>
      <c r="CM30" s="247">
        <v>3</v>
      </c>
      <c r="CN30" s="1325">
        <v>0</v>
      </c>
      <c r="CO30" s="1325" t="s">
        <v>2236</v>
      </c>
      <c r="CP30" s="264">
        <v>0</v>
      </c>
      <c r="CQ30" s="508">
        <v>0</v>
      </c>
      <c r="CR30" s="1325">
        <v>1</v>
      </c>
      <c r="CS30" s="1325">
        <v>0</v>
      </c>
      <c r="CT30" s="311" t="str">
        <f>IF(A30=FALSE,"",IF(Detail!BZ30="","N/A",YEAR(Detail!F30)&amp;Detail!CC30&amp;Detail!BZ30&amp;"-"&amp;Detail!$BZ$13&amp;" (100%/"&amp;Detail!CD30&amp;"/"&amp;Detail!CE30&amp;"D)"))</f>
        <v/>
      </c>
      <c r="CU30" s="1409" t="s">
        <v>2236</v>
      </c>
      <c r="CV30" s="1354" t="s">
        <v>2278</v>
      </c>
      <c r="CW30" s="1010">
        <v>7</v>
      </c>
      <c r="CX30" s="1323">
        <v>365</v>
      </c>
      <c r="CY30" s="248">
        <v>1</v>
      </c>
      <c r="CZ30" s="1325">
        <v>0</v>
      </c>
      <c r="DA30" s="1325" t="s">
        <v>2236</v>
      </c>
      <c r="DB30" s="538">
        <v>40</v>
      </c>
      <c r="DC30" s="1325">
        <v>0.1</v>
      </c>
      <c r="DD30" s="1325">
        <v>1</v>
      </c>
      <c r="DE30" s="1325">
        <v>0</v>
      </c>
      <c r="DF30" s="313" t="str">
        <f>IF(A30=FALSE,"",IF(Detail!CH30="","N/A",YEAR(Detail!F30)&amp;Detail!CK30&amp;Detail!CH30&amp;"-"&amp;Detail!$CH$13&amp;" (100%/"&amp;Detail!CL30&amp;"/"&amp;Detail!CM30&amp;"D)"))</f>
        <v/>
      </c>
      <c r="DG30" s="1406" t="s">
        <v>2236</v>
      </c>
      <c r="DH30" s="518" t="s">
        <v>2278</v>
      </c>
      <c r="DI30" s="1010">
        <f t="shared" si="10"/>
        <v>7</v>
      </c>
      <c r="DJ30" s="1323">
        <f t="shared" si="11"/>
        <v>365</v>
      </c>
      <c r="DK30" s="258">
        <v>1</v>
      </c>
      <c r="DL30" s="1325">
        <v>0</v>
      </c>
      <c r="DM30" s="1325" t="s">
        <v>2236</v>
      </c>
      <c r="DN30" s="538">
        <v>40</v>
      </c>
      <c r="DO30" s="1325">
        <f t="shared" si="12"/>
        <v>0.1</v>
      </c>
      <c r="DP30" s="1325">
        <v>1</v>
      </c>
      <c r="DQ30" s="1325">
        <v>0</v>
      </c>
      <c r="DR30" s="1326" t="str">
        <f>IF(A30=FALSE,"",IF(Detail!CP30="","N/A",YEAR(Detail!F30)&amp;Detail!CS30&amp;Detail!CP30&amp;"-"&amp;Detail!$CP$13))</f>
        <v/>
      </c>
      <c r="DS30" s="1326" t="s">
        <v>2236</v>
      </c>
      <c r="DT30" s="1354" t="s">
        <v>2277</v>
      </c>
      <c r="DU30" s="1385">
        <v>50000</v>
      </c>
      <c r="DV30" s="247">
        <v>2</v>
      </c>
      <c r="DW30" s="1325">
        <v>0</v>
      </c>
      <c r="DX30" s="1325" t="s">
        <v>2236</v>
      </c>
      <c r="DY30" s="264">
        <v>0</v>
      </c>
      <c r="DZ30" s="444">
        <v>0</v>
      </c>
      <c r="EA30" s="444">
        <v>1</v>
      </c>
      <c r="EB30" s="444">
        <v>0</v>
      </c>
      <c r="EC30" s="761" t="str">
        <f>IF(A30=FALSE,"",IF(Detail!CX30="","N/A",YEAR(Detail!F30)&amp;Detail!DA30&amp;Detail!CX30&amp;"-"&amp;Detail!$CX$13))</f>
        <v/>
      </c>
      <c r="ED30" s="1327" t="s">
        <v>2236</v>
      </c>
      <c r="EE30" s="1354" t="s">
        <v>2277</v>
      </c>
      <c r="EF30" s="1385">
        <v>50000</v>
      </c>
      <c r="EG30" s="247">
        <v>2</v>
      </c>
      <c r="EH30" s="1325">
        <v>0</v>
      </c>
      <c r="EI30" s="1325" t="s">
        <v>2236</v>
      </c>
      <c r="EJ30" s="264">
        <v>0</v>
      </c>
      <c r="EK30" s="444">
        <v>0</v>
      </c>
      <c r="EL30" s="444">
        <v>1</v>
      </c>
      <c r="EM30" s="444">
        <v>0</v>
      </c>
      <c r="EN30" s="333" t="str">
        <f>IF(A30=FALSE,"",IF(Detail!DF30="","N/A",YEAR(Detail!F30)&amp;Detail!DI30&amp;Detail!DF30&amp;"-"&amp;Detail!$DF$13))</f>
        <v/>
      </c>
      <c r="EO30" s="1354" t="s">
        <v>2236</v>
      </c>
      <c r="EP30" s="1354" t="s">
        <v>2277</v>
      </c>
      <c r="EQ30" s="1325">
        <f t="shared" si="13"/>
        <v>0</v>
      </c>
      <c r="ER30" s="1325" t="s">
        <v>2236</v>
      </c>
      <c r="ES30" s="264">
        <v>0</v>
      </c>
      <c r="ET30" s="1325">
        <v>0</v>
      </c>
      <c r="EU30" s="1325">
        <v>1</v>
      </c>
      <c r="EV30" s="1325">
        <v>0</v>
      </c>
      <c r="EW30" s="333" t="str">
        <f>IF(DJ30=FALSE,"",IF(Detail!ET30="","N/A",YEAR(Detail!DN30)&amp;Detail!EW30&amp;Detail!ET30&amp;"-"&amp;Detail!$AL$13&amp;Detail!EU30))</f>
        <v>N/A</v>
      </c>
      <c r="EX30" s="1354" t="s">
        <v>2236</v>
      </c>
      <c r="EY30" s="1354" t="s">
        <v>2277</v>
      </c>
      <c r="EZ30" s="1325">
        <f t="shared" si="14"/>
        <v>0</v>
      </c>
      <c r="FA30" s="1325" t="s">
        <v>2236</v>
      </c>
      <c r="FB30" s="264">
        <v>0</v>
      </c>
      <c r="FC30" s="1325">
        <v>0</v>
      </c>
      <c r="FD30" s="1325">
        <v>1</v>
      </c>
      <c r="FE30" s="1325">
        <v>0</v>
      </c>
    </row>
    <row r="31" spans="1:161" s="1369" customFormat="1" ht="30" customHeight="1" outlineLevel="1">
      <c r="A31" s="439" t="b">
        <f>Calcul!A31</f>
        <v>0</v>
      </c>
      <c r="B31" s="510" t="str">
        <f t="shared" si="6"/>
        <v/>
      </c>
      <c r="C31" s="1404" t="b">
        <v>0</v>
      </c>
      <c r="D31" s="1404" t="s">
        <v>2147</v>
      </c>
      <c r="E31" s="1405" t="s">
        <v>2335</v>
      </c>
      <c r="F31" s="1323" t="s">
        <v>2146</v>
      </c>
      <c r="G31" s="356" t="str">
        <f>IF(A31=FALSE,"",IF(NAMES!$D$10=FALSE,IF(Detail!H31="","",Detail!H31),IF(Crewlist!D31="","",Crewlist!D31)))</f>
        <v/>
      </c>
      <c r="H31" s="356" t="str">
        <f>IF(A31=FALSE,"",IF(NAMES!$D$10=FALSE,IF(Detail!P31="","",Detail!P31),IF(Crewlist!E31="","",Crewlist!E31)))</f>
        <v/>
      </c>
      <c r="I31" s="356" t="str">
        <f>IF(A31=FALSE,"",IF(NAMES!$D$10=FALSE,IF(Detail!K31="","",Detail!K31),IF(Crewlist!F31="","",Crewlist!F31)))</f>
        <v/>
      </c>
      <c r="J31" s="1001" t="str">
        <f>IF(Crewlist!T31="","",Crewlist!T31)</f>
        <v/>
      </c>
      <c r="K31" s="1001" t="str">
        <f>IF(Crewlist!D31="","",IF(Crewlist!U31="",Crewlist!Y31,IF(DATERENOUVMOINS730&lt;&gt;Crewlist!U31&lt;&gt;Crewlist!Y31,Crewlist!U31,DATERENOUVMOINS365)))</f>
        <v/>
      </c>
      <c r="L31" s="775" t="str">
        <f>IF(Detail!X31="","",Detail!X31)</f>
        <v/>
      </c>
      <c r="M31" s="775" t="str">
        <f>IF(Detail!H31="","",IF(Detail!Y31="",DATERENOUV,IF(Detail!Y31&gt;Detail!D31,Detail!D31,Detail!Y31)))</f>
        <v/>
      </c>
      <c r="N31" s="1015" t="str">
        <f>IF(A31=FALSE,"",IF(NAMES!$D$10=FALSE,IF(B31=B32,IF(O31=O32,0,(DATEDIF(L31,M31,"M")+1)),(DATEDIF(L31,M31,"M")+1)),IF(B31=B32,IF(O31=O32,0,(DATEDIF(J31,K31,"M")+1)),(DATEDIF(J31,K31,"M")+1))))</f>
        <v/>
      </c>
      <c r="O31" s="1015" t="str">
        <f t="shared" si="5"/>
        <v/>
      </c>
      <c r="P31" s="358" t="str">
        <f>IF(A31=FALSE,"",IF(NAMES!$D$10=FALSE,IF((DATEDIF(L31,M31,"D")+1)&lt;365,(DATEDIF(L31,M31,"D")+1),365),IF((DATEDIF(J31,K31,"D")+1)&lt;365,(DATEDIF(J31,K31,"D")+1),365)))</f>
        <v/>
      </c>
      <c r="Q31" s="358" t="str">
        <f>IF(A31=FALSE,"",IF(NAMES!$D$10=FALSE,IF(M31="",365,DATEDIF(L31,M31,"D")+1),IF(M31="",365,DATEDIF(J31,K31,"D")+1)))</f>
        <v/>
      </c>
      <c r="R31" s="950" t="str">
        <f>Calcul!X31</f>
        <v/>
      </c>
      <c r="S31" s="950" t="str">
        <f>Calcul!Y31</f>
        <v/>
      </c>
      <c r="T31" s="993" t="str">
        <f>Calcul!AG31</f>
        <v/>
      </c>
      <c r="U31" s="368" t="str">
        <f>IF(A31=FALSE,"",IF(NAMES!$D$10=FALSE,IF(Detail!S31="","",Detail!S31),IF(Crewlist!V31="","",Crewlist!V31)))</f>
        <v/>
      </c>
      <c r="V31" s="245" t="str">
        <f>Calcul!AI31</f>
        <v/>
      </c>
      <c r="W31" s="245" t="str">
        <f>Calcul!AL31</f>
        <v/>
      </c>
      <c r="X31" s="245" t="str">
        <f>Calcul!AM31</f>
        <v/>
      </c>
      <c r="Y31" s="353" t="str">
        <f>Calcul!AN31</f>
        <v/>
      </c>
      <c r="Z31" s="245" t="str">
        <f>Calcul!AO31</f>
        <v/>
      </c>
      <c r="AA31" s="245" t="str">
        <f>Calcul!AP31</f>
        <v/>
      </c>
      <c r="AB31" s="353" t="str">
        <f>Calcul!AQ31</f>
        <v/>
      </c>
      <c r="AC31" s="353" t="str">
        <f>IF(C31=FALSE,"",Calcul!BE31+Calcul!BF31)</f>
        <v/>
      </c>
      <c r="AD31" s="1224" t="str">
        <f>IF(C31=FALSE,"",(Calcul!BG31+Calcul!BH31)+SUM(Calcul!BI31:BN31))</f>
        <v/>
      </c>
      <c r="AE31" s="1224" t="str">
        <f>Calcul!BP31</f>
        <v/>
      </c>
      <c r="AF31" s="332" t="str">
        <f>IF(A31=FALSE,"",YEAR(Detail!F31)&amp;Detail!AG31&amp;Detail!AD31&amp;"-"&amp;Detail!$AD$13&amp;Detail!AE31)</f>
        <v/>
      </c>
      <c r="AG31" s="1406" t="s">
        <v>2236</v>
      </c>
      <c r="AH31" s="1354" t="s">
        <v>2277</v>
      </c>
      <c r="AI31" s="1407">
        <v>0</v>
      </c>
      <c r="AJ31" s="1407" t="s">
        <v>2236</v>
      </c>
      <c r="AK31" s="1410">
        <v>32</v>
      </c>
      <c r="AL31" s="508">
        <v>0</v>
      </c>
      <c r="AM31" s="1325">
        <v>1</v>
      </c>
      <c r="AN31" s="1325">
        <v>0</v>
      </c>
      <c r="AO31" s="333" t="str">
        <f>IF(A31=FALSE,"",IF(Detail!AL31="","N/A",YEAR(Detail!F31)&amp;Detail!AO31&amp;Detail!AL31&amp;"-"&amp;Detail!$AL$13&amp;Detail!AM31))</f>
        <v/>
      </c>
      <c r="AP31" s="1406" t="s">
        <v>2236</v>
      </c>
      <c r="AQ31" s="1354" t="s">
        <v>2277</v>
      </c>
      <c r="AR31" s="1407">
        <f t="shared" si="7"/>
        <v>0</v>
      </c>
      <c r="AS31" s="1325" t="s">
        <v>2236</v>
      </c>
      <c r="AT31" s="264">
        <v>0</v>
      </c>
      <c r="AU31" s="1325">
        <v>0</v>
      </c>
      <c r="AV31" s="1325">
        <v>1</v>
      </c>
      <c r="AW31" s="1325">
        <v>0</v>
      </c>
      <c r="AX31" s="1326" t="str">
        <f>IF(A31=FALSE,"",IF(Detail!AT31="","N/A",YEAR(Detail!F31)&amp;Detail!AW31&amp;Detail!AT31&amp;"-"&amp;Detail!$AT$13))</f>
        <v/>
      </c>
      <c r="AY31" s="1408" t="s">
        <v>2236</v>
      </c>
      <c r="AZ31" s="1326" t="s">
        <v>2278</v>
      </c>
      <c r="BA31" s="440" t="str">
        <f>IF(A31=FALSE,"",51000+(Detail!AA31*7000))</f>
        <v/>
      </c>
      <c r="BB31" s="1412">
        <v>50000</v>
      </c>
      <c r="BC31" s="247">
        <v>3</v>
      </c>
      <c r="BD31" s="1325">
        <v>0</v>
      </c>
      <c r="BE31" s="1325" t="s">
        <v>2236</v>
      </c>
      <c r="BF31" s="264">
        <v>0</v>
      </c>
      <c r="BG31" s="508">
        <v>0</v>
      </c>
      <c r="BH31" s="1325">
        <v>1</v>
      </c>
      <c r="BI31" s="1325">
        <v>0</v>
      </c>
      <c r="BJ31" s="311" t="str">
        <f>IF(A31=FALSE,"",IF(Detail!BB31="","N/A",YEAR(Detail!F31)&amp;Detail!BE31&amp;Detail!BB31&amp;"-"&amp;Detail!$BB$13))</f>
        <v/>
      </c>
      <c r="BK31" s="1354" t="s">
        <v>2236</v>
      </c>
      <c r="BL31" s="1354" t="s">
        <v>2278</v>
      </c>
      <c r="BM31" s="440" t="str">
        <f>IF(A31=FALSE,"",51000+(Detail!AA31*7000))</f>
        <v/>
      </c>
      <c r="BN31" s="1412">
        <v>50000</v>
      </c>
      <c r="BO31" s="247">
        <v>3</v>
      </c>
      <c r="BP31" s="1325">
        <v>0</v>
      </c>
      <c r="BQ31" s="1325" t="s">
        <v>2236</v>
      </c>
      <c r="BR31" s="264">
        <v>0</v>
      </c>
      <c r="BS31" s="508">
        <v>0</v>
      </c>
      <c r="BT31" s="1325">
        <v>1</v>
      </c>
      <c r="BU31" s="1325">
        <v>0</v>
      </c>
      <c r="BV31" s="311" t="str">
        <f>IF(A31=FALSE,"",IF(Detail!BJ31="","N/A",YEAR(Detail!F31)&amp;Detail!BM31&amp;Detail!BJ31&amp;"-"&amp;Detail!$BJ$13))</f>
        <v/>
      </c>
      <c r="BW31" s="1409" t="s">
        <v>2236</v>
      </c>
      <c r="BX31" s="1354" t="s">
        <v>2278</v>
      </c>
      <c r="BY31" s="440" t="str">
        <f t="shared" si="8"/>
        <v/>
      </c>
      <c r="BZ31" s="1412">
        <v>50000</v>
      </c>
      <c r="CA31" s="247">
        <v>3</v>
      </c>
      <c r="CB31" s="1325">
        <v>0</v>
      </c>
      <c r="CC31" s="1325" t="s">
        <v>2236</v>
      </c>
      <c r="CD31" s="264">
        <v>0</v>
      </c>
      <c r="CE31" s="508">
        <v>0</v>
      </c>
      <c r="CF31" s="1325">
        <v>1</v>
      </c>
      <c r="CG31" s="1325">
        <v>0</v>
      </c>
      <c r="CH31" s="311" t="str">
        <f>IF(A31=FALSE,"",IF(Detail!BR31="","N/A",YEAR(Detail!F31)&amp;Detail!BU31&amp;Detail!BR31&amp;"-"&amp;Detail!$BR$13))</f>
        <v/>
      </c>
      <c r="CI31" s="1327" t="s">
        <v>2236</v>
      </c>
      <c r="CJ31" s="1354" t="s">
        <v>2278</v>
      </c>
      <c r="CK31" s="440" t="str">
        <f t="shared" si="9"/>
        <v/>
      </c>
      <c r="CL31" s="1412">
        <v>50000</v>
      </c>
      <c r="CM31" s="247">
        <v>3</v>
      </c>
      <c r="CN31" s="1325">
        <v>0</v>
      </c>
      <c r="CO31" s="1325" t="s">
        <v>2236</v>
      </c>
      <c r="CP31" s="264">
        <v>0</v>
      </c>
      <c r="CQ31" s="508">
        <v>0</v>
      </c>
      <c r="CR31" s="1325">
        <v>1</v>
      </c>
      <c r="CS31" s="1325">
        <v>0</v>
      </c>
      <c r="CT31" s="311" t="str">
        <f>IF(A31=FALSE,"",IF(Detail!BZ31="","N/A",YEAR(Detail!F31)&amp;Detail!CC31&amp;Detail!BZ31&amp;"-"&amp;Detail!$BZ$13&amp;" (100%/"&amp;Detail!CD31&amp;"/"&amp;Detail!CE31&amp;"D)"))</f>
        <v/>
      </c>
      <c r="CU31" s="1409" t="s">
        <v>2236</v>
      </c>
      <c r="CV31" s="1354" t="s">
        <v>2278</v>
      </c>
      <c r="CW31" s="1010">
        <v>7</v>
      </c>
      <c r="CX31" s="1323">
        <v>365</v>
      </c>
      <c r="CY31" s="248">
        <v>1</v>
      </c>
      <c r="CZ31" s="1325">
        <v>0</v>
      </c>
      <c r="DA31" s="1325" t="s">
        <v>2236</v>
      </c>
      <c r="DB31" s="538">
        <v>40</v>
      </c>
      <c r="DC31" s="1325">
        <v>0.1</v>
      </c>
      <c r="DD31" s="1325">
        <v>1</v>
      </c>
      <c r="DE31" s="1325">
        <v>0</v>
      </c>
      <c r="DF31" s="313" t="str">
        <f>IF(A31=FALSE,"",IF(Detail!CH31="","N/A",YEAR(Detail!F31)&amp;Detail!CK31&amp;Detail!CH31&amp;"-"&amp;Detail!$CH$13&amp;" (100%/"&amp;Detail!CL31&amp;"/"&amp;Detail!CM31&amp;"D)"))</f>
        <v/>
      </c>
      <c r="DG31" s="1406" t="s">
        <v>2236</v>
      </c>
      <c r="DH31" s="518" t="s">
        <v>2278</v>
      </c>
      <c r="DI31" s="1010">
        <f t="shared" si="10"/>
        <v>7</v>
      </c>
      <c r="DJ31" s="1323">
        <f t="shared" si="11"/>
        <v>365</v>
      </c>
      <c r="DK31" s="258">
        <v>1</v>
      </c>
      <c r="DL31" s="1325">
        <v>0</v>
      </c>
      <c r="DM31" s="1325" t="s">
        <v>2236</v>
      </c>
      <c r="DN31" s="538">
        <v>40</v>
      </c>
      <c r="DO31" s="1325">
        <f t="shared" si="12"/>
        <v>0.1</v>
      </c>
      <c r="DP31" s="1325">
        <v>1</v>
      </c>
      <c r="DQ31" s="1325">
        <v>0</v>
      </c>
      <c r="DR31" s="1326" t="str">
        <f>IF(A31=FALSE,"",IF(Detail!CP31="","N/A",YEAR(Detail!F31)&amp;Detail!CS31&amp;Detail!CP31&amp;"-"&amp;Detail!$CP$13))</f>
        <v/>
      </c>
      <c r="DS31" s="1326" t="s">
        <v>2236</v>
      </c>
      <c r="DT31" s="1354" t="s">
        <v>2277</v>
      </c>
      <c r="DU31" s="1385">
        <v>50000</v>
      </c>
      <c r="DV31" s="247">
        <v>2</v>
      </c>
      <c r="DW31" s="1325">
        <v>0</v>
      </c>
      <c r="DX31" s="1325" t="s">
        <v>2236</v>
      </c>
      <c r="DY31" s="264">
        <v>0</v>
      </c>
      <c r="DZ31" s="444">
        <v>0</v>
      </c>
      <c r="EA31" s="444">
        <v>1</v>
      </c>
      <c r="EB31" s="444">
        <v>0</v>
      </c>
      <c r="EC31" s="761" t="str">
        <f>IF(A31=FALSE,"",IF(Detail!CX31="","N/A",YEAR(Detail!F31)&amp;Detail!DA31&amp;Detail!CX31&amp;"-"&amp;Detail!$CX$13))</f>
        <v/>
      </c>
      <c r="ED31" s="1327" t="s">
        <v>2236</v>
      </c>
      <c r="EE31" s="1354" t="s">
        <v>2277</v>
      </c>
      <c r="EF31" s="1385">
        <v>50000</v>
      </c>
      <c r="EG31" s="247">
        <v>2</v>
      </c>
      <c r="EH31" s="1325">
        <v>0</v>
      </c>
      <c r="EI31" s="1325" t="s">
        <v>2236</v>
      </c>
      <c r="EJ31" s="264">
        <v>0</v>
      </c>
      <c r="EK31" s="444">
        <v>0</v>
      </c>
      <c r="EL31" s="444">
        <v>1</v>
      </c>
      <c r="EM31" s="444">
        <v>0</v>
      </c>
      <c r="EN31" s="333" t="str">
        <f>IF(A31=FALSE,"",IF(Detail!DF31="","N/A",YEAR(Detail!F31)&amp;Detail!DI31&amp;Detail!DF31&amp;"-"&amp;Detail!$DF$13))</f>
        <v/>
      </c>
      <c r="EO31" s="1354" t="s">
        <v>2236</v>
      </c>
      <c r="EP31" s="1354" t="s">
        <v>2277</v>
      </c>
      <c r="EQ31" s="1325">
        <f t="shared" si="13"/>
        <v>0</v>
      </c>
      <c r="ER31" s="1325" t="s">
        <v>2236</v>
      </c>
      <c r="ES31" s="264">
        <v>0</v>
      </c>
      <c r="ET31" s="1325">
        <v>0</v>
      </c>
      <c r="EU31" s="1325">
        <v>1</v>
      </c>
      <c r="EV31" s="1325">
        <v>0</v>
      </c>
      <c r="EW31" s="333" t="str">
        <f>IF(DJ31=FALSE,"",IF(Detail!ET31="","N/A",YEAR(Detail!DN31)&amp;Detail!EW31&amp;Detail!ET31&amp;"-"&amp;Detail!$AL$13&amp;Detail!EU31))</f>
        <v>N/A</v>
      </c>
      <c r="EX31" s="1354" t="s">
        <v>2236</v>
      </c>
      <c r="EY31" s="1354" t="s">
        <v>2277</v>
      </c>
      <c r="EZ31" s="1325">
        <f t="shared" si="14"/>
        <v>0</v>
      </c>
      <c r="FA31" s="1325" t="s">
        <v>2236</v>
      </c>
      <c r="FB31" s="264">
        <v>0</v>
      </c>
      <c r="FC31" s="1325">
        <v>0</v>
      </c>
      <c r="FD31" s="1325">
        <v>1</v>
      </c>
      <c r="FE31" s="1325">
        <v>0</v>
      </c>
    </row>
    <row r="32" spans="1:161" s="716" customFormat="1" ht="30" customHeight="1" outlineLevel="1">
      <c r="A32" s="439" t="b">
        <f>Calcul!A32</f>
        <v>0</v>
      </c>
      <c r="B32" s="510" t="str">
        <f t="shared" si="6"/>
        <v/>
      </c>
      <c r="C32" s="1404" t="b">
        <v>0</v>
      </c>
      <c r="D32" s="1404" t="s">
        <v>2147</v>
      </c>
      <c r="E32" s="1405" t="s">
        <v>2335</v>
      </c>
      <c r="F32" s="243" t="s">
        <v>2146</v>
      </c>
      <c r="G32" s="356" t="str">
        <f>IF(A32=FALSE,"",IF(NAMES!$D$10=FALSE,IF(Detail!H32="","",Detail!H32),IF(Crewlist!D32="","",Crewlist!D32)))</f>
        <v/>
      </c>
      <c r="H32" s="356" t="str">
        <f>IF(A32=FALSE,"",IF(NAMES!$D$10=FALSE,IF(Detail!P32="","",Detail!P32),IF(Crewlist!E32="","",Crewlist!E32)))</f>
        <v/>
      </c>
      <c r="I32" s="356" t="str">
        <f>IF(A32=FALSE,"",IF(NAMES!$D$10=FALSE,IF(Detail!K32="","",Detail!K32),IF(Crewlist!F32="","",Crewlist!F32)))</f>
        <v/>
      </c>
      <c r="J32" s="1001" t="str">
        <f>IF(Crewlist!T32="","",Crewlist!T32)</f>
        <v/>
      </c>
      <c r="K32" s="1001" t="str">
        <f>IF(Crewlist!D32="","",IF(Crewlist!U32="",Crewlist!Y32,IF(DATERENOUVMOINS730&lt;&gt;Crewlist!U32&lt;&gt;Crewlist!Y32,Crewlist!U32,DATERENOUVMOINS365)))</f>
        <v/>
      </c>
      <c r="L32" s="775" t="str">
        <f>IF(Detail!X32="","",Detail!X32)</f>
        <v/>
      </c>
      <c r="M32" s="775" t="str">
        <f>IF(Detail!H32="","",IF(Detail!Y32="",DATERENOUV,IF(Detail!Y32&gt;Detail!D32,Detail!D32,Detail!Y32)))</f>
        <v/>
      </c>
      <c r="N32" s="1015" t="str">
        <f>IF(A32=FALSE,"",IF(NAMES!$D$10=FALSE,IF(B32=B33,IF(O32=O33,0,(DATEDIF(L32,M32,"M")+1)),(DATEDIF(L32,M32,"M")+1)),IF(B32=B33,IF(O32=O33,0,(DATEDIF(J32,K32,"M")+1)),(DATEDIF(J32,K32,"M")+1))))</f>
        <v/>
      </c>
      <c r="O32" s="923" t="str">
        <f t="shared" si="5"/>
        <v/>
      </c>
      <c r="P32" s="358" t="str">
        <f>IF(A32=FALSE,"",IF(NAMES!$D$10=FALSE,IF((DATEDIF(L32,M32,"D")+1)&lt;365,(DATEDIF(L32,M32,"D")+1),365),IF((DATEDIF(J32,K32,"D")+1)&lt;365,(DATEDIF(J32,K32,"D")+1),365)))</f>
        <v/>
      </c>
      <c r="Q32" s="358" t="str">
        <f>IF(A32=FALSE,"",IF(NAMES!$D$10=FALSE,IF(M32="",365,DATEDIF(L32,M32,"D")+1),IF(M32="",365,DATEDIF(J32,K32,"D")+1)))</f>
        <v/>
      </c>
      <c r="R32" s="950" t="str">
        <f>Calcul!X32</f>
        <v/>
      </c>
      <c r="S32" s="950" t="str">
        <f>Calcul!Y32</f>
        <v/>
      </c>
      <c r="T32" s="993" t="str">
        <f>Calcul!AG32</f>
        <v/>
      </c>
      <c r="U32" s="368" t="str">
        <f>IF(A32=FALSE,"",IF(NAMES!$D$10=FALSE,IF(Detail!S32="","",Detail!S32),IF(Crewlist!V32="","",Crewlist!V32)))</f>
        <v/>
      </c>
      <c r="V32" s="245" t="str">
        <f>Calcul!AI32</f>
        <v/>
      </c>
      <c r="W32" s="245" t="str">
        <f>Calcul!AL32</f>
        <v/>
      </c>
      <c r="X32" s="245" t="str">
        <f>Calcul!AM32</f>
        <v/>
      </c>
      <c r="Y32" s="353" t="str">
        <f>Calcul!AN32</f>
        <v/>
      </c>
      <c r="Z32" s="245" t="str">
        <f>Calcul!AO32</f>
        <v/>
      </c>
      <c r="AA32" s="245" t="str">
        <f>Calcul!AP32</f>
        <v/>
      </c>
      <c r="AB32" s="353" t="str">
        <f>Calcul!AQ32</f>
        <v/>
      </c>
      <c r="AC32" s="353" t="str">
        <f>IF(C32=FALSE,"",Calcul!BE32+Calcul!BF32)</f>
        <v/>
      </c>
      <c r="AD32" s="353" t="str">
        <f>IF(C32=FALSE,"",(Calcul!BG32+Calcul!BH32)+SUM(Calcul!BI32:BN32))</f>
        <v/>
      </c>
      <c r="AE32" s="353" t="str">
        <f>Calcul!BP32</f>
        <v/>
      </c>
      <c r="AF32" s="332" t="str">
        <f>IF(A32=FALSE,"",YEAR(Detail!F32)&amp;Detail!AG32&amp;Detail!AD32&amp;"-"&amp;Detail!$AD$13&amp;Detail!AE32)</f>
        <v/>
      </c>
      <c r="AG32" s="1406" t="s">
        <v>2236</v>
      </c>
      <c r="AH32" s="940" t="s">
        <v>2277</v>
      </c>
      <c r="AI32" s="1407">
        <v>0</v>
      </c>
      <c r="AJ32" s="1407" t="s">
        <v>2236</v>
      </c>
      <c r="AK32" s="1410">
        <v>32</v>
      </c>
      <c r="AL32" s="508">
        <v>0</v>
      </c>
      <c r="AM32" s="917">
        <v>1</v>
      </c>
      <c r="AN32" s="917">
        <v>0</v>
      </c>
      <c r="AO32" s="333" t="str">
        <f>IF(A32=FALSE,"",IF(Detail!AL32="","N/A",YEAR(Detail!F32)&amp;Detail!AO32&amp;Detail!AL32&amp;"-"&amp;Detail!$AL$13&amp;Detail!AM32))</f>
        <v/>
      </c>
      <c r="AP32" s="1406" t="s">
        <v>2236</v>
      </c>
      <c r="AQ32" s="940" t="s">
        <v>2277</v>
      </c>
      <c r="AR32" s="1407">
        <f t="shared" si="7"/>
        <v>0</v>
      </c>
      <c r="AS32" s="917" t="s">
        <v>2236</v>
      </c>
      <c r="AT32" s="264">
        <v>0</v>
      </c>
      <c r="AU32" s="917">
        <v>0</v>
      </c>
      <c r="AV32" s="917">
        <v>1</v>
      </c>
      <c r="AW32" s="917">
        <v>0</v>
      </c>
      <c r="AX32" s="920" t="str">
        <f>IF(A32=FALSE,"",IF(Detail!AT32="","N/A",YEAR(Detail!F32)&amp;Detail!AW32&amp;Detail!AT32&amp;"-"&amp;Detail!$AT$13))</f>
        <v/>
      </c>
      <c r="AY32" s="1408" t="s">
        <v>2236</v>
      </c>
      <c r="AZ32" s="920" t="s">
        <v>2278</v>
      </c>
      <c r="BA32" s="440" t="str">
        <f>IF(A32=FALSE,"",51000+(Detail!AA32*7000))</f>
        <v/>
      </c>
      <c r="BB32" s="1412">
        <v>50000</v>
      </c>
      <c r="BC32" s="247">
        <v>3</v>
      </c>
      <c r="BD32" s="917">
        <v>0</v>
      </c>
      <c r="BE32" s="917" t="s">
        <v>2236</v>
      </c>
      <c r="BF32" s="264">
        <v>0</v>
      </c>
      <c r="BG32" s="508">
        <v>0</v>
      </c>
      <c r="BH32" s="917">
        <v>1</v>
      </c>
      <c r="BI32" s="917">
        <v>0</v>
      </c>
      <c r="BJ32" s="311" t="str">
        <f>IF(A32=FALSE,"",IF(Detail!BB32="","N/A",YEAR(Detail!F32)&amp;Detail!BE32&amp;Detail!BB32&amp;"-"&amp;Detail!$BB$13))</f>
        <v/>
      </c>
      <c r="BK32" s="1354" t="s">
        <v>2236</v>
      </c>
      <c r="BL32" s="940" t="s">
        <v>2278</v>
      </c>
      <c r="BM32" s="440" t="str">
        <f>IF(A32=FALSE,"",51000+(Detail!AA32*7000))</f>
        <v/>
      </c>
      <c r="BN32" s="1412">
        <v>50000</v>
      </c>
      <c r="BO32" s="247">
        <v>3</v>
      </c>
      <c r="BP32" s="917">
        <v>0</v>
      </c>
      <c r="BQ32" s="917" t="s">
        <v>2236</v>
      </c>
      <c r="BR32" s="264">
        <v>0</v>
      </c>
      <c r="BS32" s="508">
        <v>0</v>
      </c>
      <c r="BT32" s="917">
        <v>1</v>
      </c>
      <c r="BU32" s="917">
        <v>0</v>
      </c>
      <c r="BV32" s="311" t="str">
        <f>IF(A32=FALSE,"",IF(Detail!BJ32="","N/A",YEAR(Detail!F32)&amp;Detail!BM32&amp;Detail!BJ32&amp;"-"&amp;Detail!$BJ$13))</f>
        <v/>
      </c>
      <c r="BW32" s="1409" t="s">
        <v>2236</v>
      </c>
      <c r="BX32" s="940" t="s">
        <v>2278</v>
      </c>
      <c r="BY32" s="440" t="str">
        <f t="shared" si="8"/>
        <v/>
      </c>
      <c r="BZ32" s="1412">
        <v>50000</v>
      </c>
      <c r="CA32" s="247">
        <v>3</v>
      </c>
      <c r="CB32" s="917">
        <v>0</v>
      </c>
      <c r="CC32" s="917" t="s">
        <v>2236</v>
      </c>
      <c r="CD32" s="264">
        <v>0</v>
      </c>
      <c r="CE32" s="508">
        <v>0</v>
      </c>
      <c r="CF32" s="917">
        <v>1</v>
      </c>
      <c r="CG32" s="917">
        <v>0</v>
      </c>
      <c r="CH32" s="311" t="str">
        <f>IF(A32=FALSE,"",IF(Detail!BR32="","N/A",YEAR(Detail!F32)&amp;Detail!BU32&amp;Detail!BR32&amp;"-"&amp;Detail!$BR$13))</f>
        <v/>
      </c>
      <c r="CI32" s="1327" t="s">
        <v>2236</v>
      </c>
      <c r="CJ32" s="940" t="s">
        <v>2278</v>
      </c>
      <c r="CK32" s="440" t="str">
        <f t="shared" si="9"/>
        <v/>
      </c>
      <c r="CL32" s="1412">
        <v>50000</v>
      </c>
      <c r="CM32" s="247">
        <v>3</v>
      </c>
      <c r="CN32" s="917">
        <v>0</v>
      </c>
      <c r="CO32" s="917" t="s">
        <v>2236</v>
      </c>
      <c r="CP32" s="264">
        <v>0</v>
      </c>
      <c r="CQ32" s="508">
        <v>0</v>
      </c>
      <c r="CR32" s="917">
        <v>1</v>
      </c>
      <c r="CS32" s="917">
        <v>0</v>
      </c>
      <c r="CT32" s="311" t="str">
        <f>IF(A32=FALSE,"",IF(Detail!BZ32="","N/A",YEAR(Detail!F32)&amp;Detail!CC32&amp;Detail!BZ32&amp;"-"&amp;Detail!$BZ$13&amp;" (100%/"&amp;Detail!CD32&amp;"/"&amp;Detail!CE32&amp;"D)"))</f>
        <v/>
      </c>
      <c r="CU32" s="1409" t="s">
        <v>2236</v>
      </c>
      <c r="CV32" s="940" t="s">
        <v>2278</v>
      </c>
      <c r="CW32" s="915">
        <v>7</v>
      </c>
      <c r="CX32" s="1323">
        <v>365</v>
      </c>
      <c r="CY32" s="248">
        <v>1</v>
      </c>
      <c r="CZ32" s="917">
        <v>0</v>
      </c>
      <c r="DA32" s="1325" t="s">
        <v>2236</v>
      </c>
      <c r="DB32" s="538">
        <v>40</v>
      </c>
      <c r="DC32" s="1325">
        <v>0.1</v>
      </c>
      <c r="DD32" s="917">
        <v>1</v>
      </c>
      <c r="DE32" s="917">
        <v>0</v>
      </c>
      <c r="DF32" s="313" t="str">
        <f>IF(A32=FALSE,"",IF(Detail!CH32="","N/A",YEAR(Detail!F32)&amp;Detail!CK32&amp;Detail!CH32&amp;"-"&amp;Detail!$CH$13&amp;" (100%/"&amp;Detail!CL32&amp;"/"&amp;Detail!CM32&amp;"D)"))</f>
        <v/>
      </c>
      <c r="DG32" s="1406" t="s">
        <v>2236</v>
      </c>
      <c r="DH32" s="518" t="s">
        <v>2278</v>
      </c>
      <c r="DI32" s="915">
        <f t="shared" si="10"/>
        <v>7</v>
      </c>
      <c r="DJ32" s="243">
        <f t="shared" si="11"/>
        <v>365</v>
      </c>
      <c r="DK32" s="258">
        <v>1</v>
      </c>
      <c r="DL32" s="917">
        <v>0</v>
      </c>
      <c r="DM32" s="1325" t="s">
        <v>2236</v>
      </c>
      <c r="DN32" s="538">
        <v>40</v>
      </c>
      <c r="DO32" s="1325">
        <f t="shared" si="12"/>
        <v>0.1</v>
      </c>
      <c r="DP32" s="917">
        <v>1</v>
      </c>
      <c r="DQ32" s="917">
        <v>0</v>
      </c>
      <c r="DR32" s="920" t="str">
        <f>IF(A32=FALSE,"",IF(Detail!CP32="","N/A",YEAR(Detail!F32)&amp;Detail!CS32&amp;Detail!CP32&amp;"-"&amp;Detail!$CP$13))</f>
        <v/>
      </c>
      <c r="DS32" s="920" t="s">
        <v>2236</v>
      </c>
      <c r="DT32" s="940" t="s">
        <v>2277</v>
      </c>
      <c r="DU32" s="997">
        <v>50000</v>
      </c>
      <c r="DV32" s="247">
        <v>2</v>
      </c>
      <c r="DW32" s="917">
        <v>0</v>
      </c>
      <c r="DX32" s="917" t="s">
        <v>2236</v>
      </c>
      <c r="DY32" s="264">
        <v>0</v>
      </c>
      <c r="DZ32" s="444">
        <v>0</v>
      </c>
      <c r="EA32" s="444">
        <v>1</v>
      </c>
      <c r="EB32" s="444">
        <v>0</v>
      </c>
      <c r="EC32" s="761" t="str">
        <f>IF(A32=FALSE,"",IF(Detail!CX32="","N/A",YEAR(Detail!F32)&amp;Detail!DA32&amp;Detail!CX32&amp;"-"&amp;Detail!$CX$13))</f>
        <v/>
      </c>
      <c r="ED32" s="925" t="s">
        <v>2236</v>
      </c>
      <c r="EE32" s="940" t="s">
        <v>2277</v>
      </c>
      <c r="EF32" s="997">
        <v>50000</v>
      </c>
      <c r="EG32" s="247">
        <v>2</v>
      </c>
      <c r="EH32" s="917">
        <v>0</v>
      </c>
      <c r="EI32" s="917" t="s">
        <v>2236</v>
      </c>
      <c r="EJ32" s="264">
        <v>0</v>
      </c>
      <c r="EK32" s="444">
        <v>0</v>
      </c>
      <c r="EL32" s="444">
        <v>1</v>
      </c>
      <c r="EM32" s="444">
        <v>0</v>
      </c>
      <c r="EN32" s="333" t="str">
        <f>IF(A32=FALSE,"",IF(Detail!DF32="","N/A",YEAR(Detail!F32)&amp;Detail!DI32&amp;Detail!DF32&amp;"-"&amp;Detail!$DF$13))</f>
        <v/>
      </c>
      <c r="EO32" s="1012" t="s">
        <v>2236</v>
      </c>
      <c r="EP32" s="1012" t="s">
        <v>2277</v>
      </c>
      <c r="EQ32" s="1013">
        <f t="shared" si="13"/>
        <v>0</v>
      </c>
      <c r="ER32" s="1013" t="s">
        <v>2236</v>
      </c>
      <c r="ES32" s="264">
        <v>0</v>
      </c>
      <c r="ET32" s="1013">
        <v>0</v>
      </c>
      <c r="EU32" s="1013">
        <v>1</v>
      </c>
      <c r="EV32" s="1013">
        <v>0</v>
      </c>
      <c r="EW32" s="333" t="str">
        <f>IF(DJ32=FALSE,"",IF(Detail!ET32="","N/A",YEAR(Detail!DN32)&amp;Detail!EW32&amp;Detail!ET32&amp;"-"&amp;Detail!$AL$13&amp;Detail!EU32))</f>
        <v>N/A</v>
      </c>
      <c r="EX32" s="1012" t="s">
        <v>2236</v>
      </c>
      <c r="EY32" s="1012" t="s">
        <v>2277</v>
      </c>
      <c r="EZ32" s="1013">
        <f t="shared" si="14"/>
        <v>0</v>
      </c>
      <c r="FA32" s="1013" t="s">
        <v>2236</v>
      </c>
      <c r="FB32" s="264">
        <v>0</v>
      </c>
      <c r="FC32" s="1013">
        <v>0</v>
      </c>
      <c r="FD32" s="1013">
        <v>1</v>
      </c>
      <c r="FE32" s="1013">
        <v>0</v>
      </c>
    </row>
    <row r="33" spans="1:161" s="716" customFormat="1" ht="30" customHeight="1" outlineLevel="1">
      <c r="A33" s="439" t="b">
        <f>Calcul!A33</f>
        <v>0</v>
      </c>
      <c r="B33" s="510" t="str">
        <f t="shared" si="6"/>
        <v/>
      </c>
      <c r="C33" s="1404" t="b">
        <v>0</v>
      </c>
      <c r="D33" s="1404" t="s">
        <v>2147</v>
      </c>
      <c r="E33" s="1405" t="s">
        <v>2335</v>
      </c>
      <c r="F33" s="243" t="s">
        <v>2146</v>
      </c>
      <c r="G33" s="356" t="str">
        <f>IF(A33=FALSE,"",IF(NAMES!$D$10=FALSE,IF(Detail!H33="","",Detail!H33),IF(Crewlist!D33="","",Crewlist!D33)))</f>
        <v/>
      </c>
      <c r="H33" s="356" t="str">
        <f>IF(A33=FALSE,"",IF(NAMES!$D$10=FALSE,IF(Detail!P33="","",Detail!P33),IF(Crewlist!E33="","",Crewlist!E33)))</f>
        <v/>
      </c>
      <c r="I33" s="356" t="str">
        <f>IF(A33=FALSE,"",IF(NAMES!$D$10=FALSE,IF(Detail!K33="","",Detail!K33),IF(Crewlist!F33="","",Crewlist!F33)))</f>
        <v/>
      </c>
      <c r="J33" s="1001" t="str">
        <f>IF(Crewlist!T33="","",Crewlist!T33)</f>
        <v/>
      </c>
      <c r="K33" s="1001" t="str">
        <f>IF(Crewlist!D33="","",IF(Crewlist!U33="",Crewlist!Y33,IF(DATERENOUVMOINS730&lt;&gt;Crewlist!U33&lt;&gt;Crewlist!Y33,Crewlist!U33,DATERENOUVMOINS365)))</f>
        <v/>
      </c>
      <c r="L33" s="775" t="str">
        <f>IF(Detail!X33="","",Detail!X33)</f>
        <v/>
      </c>
      <c r="M33" s="775" t="str">
        <f>IF(Detail!H33="","",IF(Detail!Y33="",DATERENOUV,IF(Detail!Y33&gt;Detail!D33,Detail!D33,Detail!Y33)))</f>
        <v/>
      </c>
      <c r="N33" s="1015" t="str">
        <f>IF(A33=FALSE,"",IF(NAMES!$D$10=FALSE,IF(B33=B34,IF(O33=O34,0,(DATEDIF(L33,M33,"M")+1)),(DATEDIF(L33,M33,"M")+1)),IF(B33=B34,IF(O33=O34,0,(DATEDIF(J33,K33,"M")+1)),(DATEDIF(J33,K33,"M")+1))))</f>
        <v/>
      </c>
      <c r="O33" s="923" t="str">
        <f t="shared" si="5"/>
        <v/>
      </c>
      <c r="P33" s="358" t="str">
        <f>IF(A33=FALSE,"",IF(NAMES!$D$10=FALSE,IF((DATEDIF(L33,M33,"D")+1)&lt;365,(DATEDIF(L33,M33,"D")+1),365),IF((DATEDIF(J33,K33,"D")+1)&lt;365,(DATEDIF(J33,K33,"D")+1),365)))</f>
        <v/>
      </c>
      <c r="Q33" s="358" t="str">
        <f>IF(A33=FALSE,"",IF(NAMES!$D$10=FALSE,IF(M33="",365,DATEDIF(L33,M33,"D")+1),IF(M33="",365,DATEDIF(J33,K33,"D")+1)))</f>
        <v/>
      </c>
      <c r="R33" s="950" t="str">
        <f>Calcul!X33</f>
        <v/>
      </c>
      <c r="S33" s="950" t="str">
        <f>Calcul!Y33</f>
        <v/>
      </c>
      <c r="T33" s="993" t="str">
        <f>Calcul!AG33</f>
        <v/>
      </c>
      <c r="U33" s="368" t="str">
        <f>IF(A33=FALSE,"",IF(NAMES!$D$10=FALSE,IF(Detail!S33="","",Detail!S33),IF(Crewlist!V33="","",Crewlist!V33)))</f>
        <v/>
      </c>
      <c r="V33" s="245" t="str">
        <f>Calcul!AI33</f>
        <v/>
      </c>
      <c r="W33" s="245" t="str">
        <f>Calcul!AL33</f>
        <v/>
      </c>
      <c r="X33" s="245" t="str">
        <f>Calcul!AM33</f>
        <v/>
      </c>
      <c r="Y33" s="353" t="str">
        <f>Calcul!AN33</f>
        <v/>
      </c>
      <c r="Z33" s="245" t="str">
        <f>Calcul!AO33</f>
        <v/>
      </c>
      <c r="AA33" s="245" t="str">
        <f>Calcul!AP33</f>
        <v/>
      </c>
      <c r="AB33" s="353" t="str">
        <f>Calcul!AQ33</f>
        <v/>
      </c>
      <c r="AC33" s="353" t="str">
        <f>IF(C33=FALSE,"",Calcul!BE33+Calcul!BF33)</f>
        <v/>
      </c>
      <c r="AD33" s="353" t="str">
        <f>IF(C33=FALSE,"",(Calcul!BG33+Calcul!BH33)+SUM(Calcul!BI33:BN33))</f>
        <v/>
      </c>
      <c r="AE33" s="353" t="str">
        <f>Calcul!BP33</f>
        <v/>
      </c>
      <c r="AF33" s="332" t="str">
        <f>IF(A33=FALSE,"",YEAR(Detail!F33)&amp;Detail!AG33&amp;Detail!AD33&amp;"-"&amp;Detail!$AD$13&amp;Detail!AE33)</f>
        <v/>
      </c>
      <c r="AG33" s="1406" t="s">
        <v>2236</v>
      </c>
      <c r="AH33" s="940" t="s">
        <v>2277</v>
      </c>
      <c r="AI33" s="1407">
        <v>0</v>
      </c>
      <c r="AJ33" s="1407" t="s">
        <v>2236</v>
      </c>
      <c r="AK33" s="1410">
        <v>32</v>
      </c>
      <c r="AL33" s="508">
        <v>0</v>
      </c>
      <c r="AM33" s="917">
        <v>1</v>
      </c>
      <c r="AN33" s="917">
        <v>0</v>
      </c>
      <c r="AO33" s="333" t="str">
        <f>IF(A33=FALSE,"",IF(Detail!AL33="","N/A",YEAR(Detail!F33)&amp;Detail!AO33&amp;Detail!AL33&amp;"-"&amp;Detail!$AL$13&amp;Detail!AM33))</f>
        <v/>
      </c>
      <c r="AP33" s="1406" t="s">
        <v>2236</v>
      </c>
      <c r="AQ33" s="940" t="s">
        <v>2277</v>
      </c>
      <c r="AR33" s="1407">
        <f t="shared" si="7"/>
        <v>0</v>
      </c>
      <c r="AS33" s="917" t="s">
        <v>2236</v>
      </c>
      <c r="AT33" s="264">
        <v>0</v>
      </c>
      <c r="AU33" s="917">
        <v>0</v>
      </c>
      <c r="AV33" s="917">
        <v>1</v>
      </c>
      <c r="AW33" s="917">
        <v>0</v>
      </c>
      <c r="AX33" s="920" t="str">
        <f>IF(A33=FALSE,"",IF(Detail!AT33="","N/A",YEAR(Detail!F33)&amp;Detail!AW33&amp;Detail!AT33&amp;"-"&amp;Detail!$AT$13))</f>
        <v/>
      </c>
      <c r="AY33" s="1408" t="s">
        <v>2236</v>
      </c>
      <c r="AZ33" s="920" t="s">
        <v>2278</v>
      </c>
      <c r="BA33" s="440" t="str">
        <f>IF(A33=FALSE,"",51000+(Detail!AA33*7000))</f>
        <v/>
      </c>
      <c r="BB33" s="1412">
        <v>50000</v>
      </c>
      <c r="BC33" s="247">
        <v>3</v>
      </c>
      <c r="BD33" s="917">
        <v>0</v>
      </c>
      <c r="BE33" s="917" t="s">
        <v>2236</v>
      </c>
      <c r="BF33" s="264">
        <v>0</v>
      </c>
      <c r="BG33" s="508">
        <v>0</v>
      </c>
      <c r="BH33" s="917">
        <v>1</v>
      </c>
      <c r="BI33" s="917">
        <v>0</v>
      </c>
      <c r="BJ33" s="311" t="str">
        <f>IF(A33=FALSE,"",IF(Detail!BB33="","N/A",YEAR(Detail!F33)&amp;Detail!BE33&amp;Detail!BB33&amp;"-"&amp;Detail!$BB$13))</f>
        <v/>
      </c>
      <c r="BK33" s="1354" t="s">
        <v>2236</v>
      </c>
      <c r="BL33" s="940" t="s">
        <v>2278</v>
      </c>
      <c r="BM33" s="440" t="str">
        <f>IF(A33=FALSE,"",51000+(Detail!AA33*7000))</f>
        <v/>
      </c>
      <c r="BN33" s="1412">
        <v>50000</v>
      </c>
      <c r="BO33" s="247">
        <v>3</v>
      </c>
      <c r="BP33" s="917">
        <v>0</v>
      </c>
      <c r="BQ33" s="917" t="s">
        <v>2236</v>
      </c>
      <c r="BR33" s="264">
        <v>0</v>
      </c>
      <c r="BS33" s="508">
        <v>0</v>
      </c>
      <c r="BT33" s="917">
        <v>1</v>
      </c>
      <c r="BU33" s="917">
        <v>0</v>
      </c>
      <c r="BV33" s="311" t="str">
        <f>IF(A33=FALSE,"",IF(Detail!BJ33="","N/A",YEAR(Detail!F33)&amp;Detail!BM33&amp;Detail!BJ33&amp;"-"&amp;Detail!$BJ$13))</f>
        <v/>
      </c>
      <c r="BW33" s="1409" t="s">
        <v>2236</v>
      </c>
      <c r="BX33" s="940" t="s">
        <v>2278</v>
      </c>
      <c r="BY33" s="440" t="str">
        <f t="shared" si="8"/>
        <v/>
      </c>
      <c r="BZ33" s="1412">
        <v>50000</v>
      </c>
      <c r="CA33" s="247">
        <v>3</v>
      </c>
      <c r="CB33" s="917">
        <v>0</v>
      </c>
      <c r="CC33" s="917" t="s">
        <v>2236</v>
      </c>
      <c r="CD33" s="264">
        <v>0</v>
      </c>
      <c r="CE33" s="508">
        <v>0</v>
      </c>
      <c r="CF33" s="917">
        <v>1</v>
      </c>
      <c r="CG33" s="917">
        <v>0</v>
      </c>
      <c r="CH33" s="311" t="str">
        <f>IF(A33=FALSE,"",IF(Detail!BR33="","N/A",YEAR(Detail!F33)&amp;Detail!BU33&amp;Detail!BR33&amp;"-"&amp;Detail!$BR$13))</f>
        <v/>
      </c>
      <c r="CI33" s="1327" t="s">
        <v>2236</v>
      </c>
      <c r="CJ33" s="940" t="s">
        <v>2278</v>
      </c>
      <c r="CK33" s="440" t="str">
        <f t="shared" si="9"/>
        <v/>
      </c>
      <c r="CL33" s="1412">
        <v>50000</v>
      </c>
      <c r="CM33" s="247">
        <v>3</v>
      </c>
      <c r="CN33" s="917">
        <v>0</v>
      </c>
      <c r="CO33" s="917" t="s">
        <v>2236</v>
      </c>
      <c r="CP33" s="264">
        <v>0</v>
      </c>
      <c r="CQ33" s="508">
        <v>0</v>
      </c>
      <c r="CR33" s="917">
        <v>1</v>
      </c>
      <c r="CS33" s="917">
        <v>0</v>
      </c>
      <c r="CT33" s="311" t="str">
        <f>IF(A33=FALSE,"",IF(Detail!BZ33="","N/A",YEAR(Detail!F33)&amp;Detail!CC33&amp;Detail!BZ33&amp;"-"&amp;Detail!$BZ$13&amp;" (100%/"&amp;Detail!CD33&amp;"/"&amp;Detail!CE33&amp;"D)"))</f>
        <v/>
      </c>
      <c r="CU33" s="1409" t="s">
        <v>2236</v>
      </c>
      <c r="CV33" s="940" t="s">
        <v>2278</v>
      </c>
      <c r="CW33" s="915">
        <v>7</v>
      </c>
      <c r="CX33" s="1323">
        <v>365</v>
      </c>
      <c r="CY33" s="248">
        <v>1</v>
      </c>
      <c r="CZ33" s="917">
        <v>0</v>
      </c>
      <c r="DA33" s="1325" t="s">
        <v>2236</v>
      </c>
      <c r="DB33" s="538">
        <v>40</v>
      </c>
      <c r="DC33" s="1325">
        <v>0.1</v>
      </c>
      <c r="DD33" s="917">
        <v>1</v>
      </c>
      <c r="DE33" s="917">
        <v>0</v>
      </c>
      <c r="DF33" s="313" t="str">
        <f>IF(A33=FALSE,"",IF(Detail!CH33="","N/A",YEAR(Detail!F33)&amp;Detail!CK33&amp;Detail!CH33&amp;"-"&amp;Detail!$CH$13&amp;" (100%/"&amp;Detail!CL33&amp;"/"&amp;Detail!CM33&amp;"D)"))</f>
        <v/>
      </c>
      <c r="DG33" s="1406" t="s">
        <v>2236</v>
      </c>
      <c r="DH33" s="518" t="s">
        <v>2278</v>
      </c>
      <c r="DI33" s="915">
        <f t="shared" si="10"/>
        <v>7</v>
      </c>
      <c r="DJ33" s="243">
        <f t="shared" si="11"/>
        <v>365</v>
      </c>
      <c r="DK33" s="258">
        <v>1</v>
      </c>
      <c r="DL33" s="917">
        <v>0</v>
      </c>
      <c r="DM33" s="1325" t="s">
        <v>2236</v>
      </c>
      <c r="DN33" s="538">
        <v>40</v>
      </c>
      <c r="DO33" s="1325">
        <f t="shared" si="12"/>
        <v>0.1</v>
      </c>
      <c r="DP33" s="917">
        <v>1</v>
      </c>
      <c r="DQ33" s="917">
        <v>0</v>
      </c>
      <c r="DR33" s="920" t="str">
        <f>IF(A33=FALSE,"",IF(Detail!CP33="","N/A",YEAR(Detail!F33)&amp;Detail!CS33&amp;Detail!CP33&amp;"-"&amp;Detail!$CP$13))</f>
        <v/>
      </c>
      <c r="DS33" s="920" t="s">
        <v>2236</v>
      </c>
      <c r="DT33" s="940" t="s">
        <v>2277</v>
      </c>
      <c r="DU33" s="997">
        <v>50000</v>
      </c>
      <c r="DV33" s="247">
        <v>2</v>
      </c>
      <c r="DW33" s="917">
        <v>0</v>
      </c>
      <c r="DX33" s="917" t="s">
        <v>2236</v>
      </c>
      <c r="DY33" s="264">
        <v>0</v>
      </c>
      <c r="DZ33" s="444">
        <v>0</v>
      </c>
      <c r="EA33" s="444">
        <v>1</v>
      </c>
      <c r="EB33" s="444">
        <v>0</v>
      </c>
      <c r="EC33" s="761" t="str">
        <f>IF(A33=FALSE,"",IF(Detail!CX33="","N/A",YEAR(Detail!F33)&amp;Detail!DA33&amp;Detail!CX33&amp;"-"&amp;Detail!$CX$13))</f>
        <v/>
      </c>
      <c r="ED33" s="925" t="s">
        <v>2236</v>
      </c>
      <c r="EE33" s="940" t="s">
        <v>2277</v>
      </c>
      <c r="EF33" s="997">
        <v>50000</v>
      </c>
      <c r="EG33" s="247">
        <v>2</v>
      </c>
      <c r="EH33" s="917">
        <v>0</v>
      </c>
      <c r="EI33" s="917" t="s">
        <v>2236</v>
      </c>
      <c r="EJ33" s="264">
        <v>0</v>
      </c>
      <c r="EK33" s="444">
        <v>0</v>
      </c>
      <c r="EL33" s="444">
        <v>1</v>
      </c>
      <c r="EM33" s="444">
        <v>0</v>
      </c>
      <c r="EN33" s="333" t="str">
        <f>IF(A33=FALSE,"",IF(Detail!DF33="","N/A",YEAR(Detail!F33)&amp;Detail!DI33&amp;Detail!DF33&amp;"-"&amp;Detail!$DF$13))</f>
        <v/>
      </c>
      <c r="EO33" s="1012" t="s">
        <v>2236</v>
      </c>
      <c r="EP33" s="1012" t="s">
        <v>2277</v>
      </c>
      <c r="EQ33" s="1013">
        <f t="shared" si="13"/>
        <v>0</v>
      </c>
      <c r="ER33" s="1013" t="s">
        <v>2236</v>
      </c>
      <c r="ES33" s="264">
        <v>0</v>
      </c>
      <c r="ET33" s="1013">
        <v>0</v>
      </c>
      <c r="EU33" s="1013">
        <v>1</v>
      </c>
      <c r="EV33" s="1013">
        <v>0</v>
      </c>
      <c r="EW33" s="333" t="str">
        <f>IF(DJ33=FALSE,"",IF(Detail!ET33="","N/A",YEAR(Detail!DN33)&amp;Detail!EW33&amp;Detail!ET33&amp;"-"&amp;Detail!$AL$13&amp;Detail!EU33))</f>
        <v>N/A</v>
      </c>
      <c r="EX33" s="1012" t="s">
        <v>2236</v>
      </c>
      <c r="EY33" s="1012" t="s">
        <v>2277</v>
      </c>
      <c r="EZ33" s="1013">
        <f t="shared" si="14"/>
        <v>0</v>
      </c>
      <c r="FA33" s="1013" t="s">
        <v>2236</v>
      </c>
      <c r="FB33" s="264">
        <v>0</v>
      </c>
      <c r="FC33" s="1013">
        <v>0</v>
      </c>
      <c r="FD33" s="1013">
        <v>1</v>
      </c>
      <c r="FE33" s="1013">
        <v>0</v>
      </c>
    </row>
    <row r="34" spans="1:161" s="716" customFormat="1" ht="30" customHeight="1" outlineLevel="1">
      <c r="A34" s="439" t="b">
        <f>Calcul!A34</f>
        <v>0</v>
      </c>
      <c r="B34" s="510" t="str">
        <f t="shared" si="6"/>
        <v/>
      </c>
      <c r="C34" s="1404" t="b">
        <v>0</v>
      </c>
      <c r="D34" s="1404" t="s">
        <v>2147</v>
      </c>
      <c r="E34" s="1405" t="s">
        <v>2335</v>
      </c>
      <c r="F34" s="243" t="s">
        <v>2146</v>
      </c>
      <c r="G34" s="356" t="str">
        <f>IF(A34=FALSE,"",IF(NAMES!$D$10=FALSE,IF(Detail!H34="","",Detail!H34),IF(Crewlist!D34="","",Crewlist!D34)))</f>
        <v/>
      </c>
      <c r="H34" s="356" t="str">
        <f>IF(A34=FALSE,"",IF(NAMES!$D$10=FALSE,IF(Detail!P34="","",Detail!P34),IF(Crewlist!E34="","",Crewlist!E34)))</f>
        <v/>
      </c>
      <c r="I34" s="356" t="str">
        <f>IF(A34=FALSE,"",IF(NAMES!$D$10=FALSE,IF(Detail!K34="","",Detail!K34),IF(Crewlist!F34="","",Crewlist!F34)))</f>
        <v/>
      </c>
      <c r="J34" s="1001" t="str">
        <f>IF(Crewlist!T34="","",Crewlist!T34)</f>
        <v/>
      </c>
      <c r="K34" s="1001" t="str">
        <f>IF(Crewlist!D34="","",IF(Crewlist!U34="",Crewlist!Y34,IF(DATERENOUVMOINS730&lt;&gt;Crewlist!U34&lt;&gt;Crewlist!Y34,Crewlist!U34,DATERENOUVMOINS365)))</f>
        <v/>
      </c>
      <c r="L34" s="775" t="str">
        <f>IF(Detail!X34="","",Detail!X34)</f>
        <v/>
      </c>
      <c r="M34" s="775" t="str">
        <f>IF(Detail!H34="","",IF(Detail!Y34="",DATERENOUV,IF(Detail!Y34&gt;Detail!D34,Detail!D34,Detail!Y34)))</f>
        <v/>
      </c>
      <c r="N34" s="1015" t="str">
        <f>IF(A34=FALSE,"",IF(NAMES!$D$10=FALSE,IF(B34=B35,IF(O34=O35,0,(DATEDIF(L34,M34,"M")+1)),(DATEDIF(L34,M34,"M")+1)),IF(B34=B35,IF(O34=O35,0,(DATEDIF(J34,K34,"M")+1)),(DATEDIF(J34,K34,"M")+1))))</f>
        <v/>
      </c>
      <c r="O34" s="923" t="str">
        <f t="shared" si="5"/>
        <v/>
      </c>
      <c r="P34" s="358" t="str">
        <f>IF(A34=FALSE,"",IF(NAMES!$D$10=FALSE,IF((DATEDIF(L34,M34,"D")+1)&lt;365,(DATEDIF(L34,M34,"D")+1),365),IF((DATEDIF(J34,K34,"D")+1)&lt;365,(DATEDIF(J34,K34,"D")+1),365)))</f>
        <v/>
      </c>
      <c r="Q34" s="358" t="str">
        <f>IF(A34=FALSE,"",IF(NAMES!$D$10=FALSE,IF(M34="",365,DATEDIF(L34,M34,"D")+1),IF(M34="",365,DATEDIF(J34,K34,"D")+1)))</f>
        <v/>
      </c>
      <c r="R34" s="950" t="str">
        <f>Calcul!X34</f>
        <v/>
      </c>
      <c r="S34" s="950" t="str">
        <f>Calcul!Y34</f>
        <v/>
      </c>
      <c r="T34" s="993" t="str">
        <f>Calcul!AG34</f>
        <v/>
      </c>
      <c r="U34" s="368" t="str">
        <f>IF(A34=FALSE,"",IF(NAMES!$D$10=FALSE,IF(Detail!S34="","",Detail!S34),IF(Crewlist!V34="","",Crewlist!V34)))</f>
        <v/>
      </c>
      <c r="V34" s="245" t="str">
        <f>Calcul!AI34</f>
        <v/>
      </c>
      <c r="W34" s="245" t="str">
        <f>Calcul!AL34</f>
        <v/>
      </c>
      <c r="X34" s="245" t="str">
        <f>Calcul!AM34</f>
        <v/>
      </c>
      <c r="Y34" s="353" t="str">
        <f>Calcul!AN34</f>
        <v/>
      </c>
      <c r="Z34" s="245" t="str">
        <f>Calcul!AO34</f>
        <v/>
      </c>
      <c r="AA34" s="245" t="str">
        <f>Calcul!AP34</f>
        <v/>
      </c>
      <c r="AB34" s="353" t="str">
        <f>Calcul!AQ34</f>
        <v/>
      </c>
      <c r="AC34" s="353" t="str">
        <f>IF(C34=FALSE,"",Calcul!BE34+Calcul!BF34)</f>
        <v/>
      </c>
      <c r="AD34" s="353" t="str">
        <f>IF(C34=FALSE,"",(Calcul!BG34+Calcul!BH34)+SUM(Calcul!BI34:BN34))</f>
        <v/>
      </c>
      <c r="AE34" s="353" t="str">
        <f>Calcul!BP34</f>
        <v/>
      </c>
      <c r="AF34" s="332" t="str">
        <f>IF(A34=FALSE,"",YEAR(Detail!F34)&amp;Detail!AG34&amp;Detail!AD34&amp;"-"&amp;Detail!$AD$13&amp;Detail!AE34)</f>
        <v/>
      </c>
      <c r="AG34" s="1406" t="s">
        <v>2236</v>
      </c>
      <c r="AH34" s="940" t="s">
        <v>2277</v>
      </c>
      <c r="AI34" s="1407">
        <v>0</v>
      </c>
      <c r="AJ34" s="1407" t="s">
        <v>2236</v>
      </c>
      <c r="AK34" s="1410">
        <v>32</v>
      </c>
      <c r="AL34" s="508">
        <v>0</v>
      </c>
      <c r="AM34" s="917">
        <v>1</v>
      </c>
      <c r="AN34" s="917">
        <v>0</v>
      </c>
      <c r="AO34" s="333" t="str">
        <f>IF(A34=FALSE,"",IF(Detail!AL34="","N/A",YEAR(Detail!F34)&amp;Detail!AO34&amp;Detail!AL34&amp;"-"&amp;Detail!$AL$13&amp;Detail!AM34))</f>
        <v/>
      </c>
      <c r="AP34" s="1406" t="s">
        <v>2236</v>
      </c>
      <c r="AQ34" s="940" t="s">
        <v>2277</v>
      </c>
      <c r="AR34" s="1407">
        <f t="shared" si="7"/>
        <v>0</v>
      </c>
      <c r="AS34" s="917" t="s">
        <v>2236</v>
      </c>
      <c r="AT34" s="264">
        <v>0</v>
      </c>
      <c r="AU34" s="917">
        <v>0</v>
      </c>
      <c r="AV34" s="917">
        <v>1</v>
      </c>
      <c r="AW34" s="917">
        <v>0</v>
      </c>
      <c r="AX34" s="920" t="str">
        <f>IF(A34=FALSE,"",IF(Detail!AT34="","N/A",YEAR(Detail!F34)&amp;Detail!AW34&amp;Detail!AT34&amp;"-"&amp;Detail!$AT$13))</f>
        <v/>
      </c>
      <c r="AY34" s="1408" t="s">
        <v>2236</v>
      </c>
      <c r="AZ34" s="920" t="s">
        <v>2278</v>
      </c>
      <c r="BA34" s="440" t="str">
        <f>IF(A34=FALSE,"",51000+(Detail!AA34*7000))</f>
        <v/>
      </c>
      <c r="BB34" s="1412">
        <v>50000</v>
      </c>
      <c r="BC34" s="247">
        <v>3</v>
      </c>
      <c r="BD34" s="917">
        <v>0</v>
      </c>
      <c r="BE34" s="917" t="s">
        <v>2236</v>
      </c>
      <c r="BF34" s="264">
        <v>0</v>
      </c>
      <c r="BG34" s="508">
        <v>0</v>
      </c>
      <c r="BH34" s="917">
        <v>1</v>
      </c>
      <c r="BI34" s="917">
        <v>0</v>
      </c>
      <c r="BJ34" s="311" t="str">
        <f>IF(A34=FALSE,"",IF(Detail!BB34="","N/A",YEAR(Detail!F34)&amp;Detail!BE34&amp;Detail!BB34&amp;"-"&amp;Detail!$BB$13))</f>
        <v/>
      </c>
      <c r="BK34" s="1354" t="s">
        <v>2236</v>
      </c>
      <c r="BL34" s="940" t="s">
        <v>2278</v>
      </c>
      <c r="BM34" s="440" t="str">
        <f>IF(A34=FALSE,"",51000+(Detail!AA34*7000))</f>
        <v/>
      </c>
      <c r="BN34" s="1412">
        <v>50000</v>
      </c>
      <c r="BO34" s="247">
        <v>3</v>
      </c>
      <c r="BP34" s="917">
        <v>0</v>
      </c>
      <c r="BQ34" s="917" t="s">
        <v>2236</v>
      </c>
      <c r="BR34" s="264">
        <v>0</v>
      </c>
      <c r="BS34" s="508">
        <v>0</v>
      </c>
      <c r="BT34" s="917">
        <v>1</v>
      </c>
      <c r="BU34" s="917">
        <v>0</v>
      </c>
      <c r="BV34" s="311" t="str">
        <f>IF(A34=FALSE,"",IF(Detail!BJ34="","N/A",YEAR(Detail!F34)&amp;Detail!BM34&amp;Detail!BJ34&amp;"-"&amp;Detail!$BJ$13))</f>
        <v/>
      </c>
      <c r="BW34" s="1409" t="s">
        <v>2236</v>
      </c>
      <c r="BX34" s="940" t="s">
        <v>2278</v>
      </c>
      <c r="BY34" s="440" t="str">
        <f t="shared" si="8"/>
        <v/>
      </c>
      <c r="BZ34" s="1412">
        <v>50000</v>
      </c>
      <c r="CA34" s="247">
        <v>3</v>
      </c>
      <c r="CB34" s="917">
        <v>0</v>
      </c>
      <c r="CC34" s="917" t="s">
        <v>2236</v>
      </c>
      <c r="CD34" s="264">
        <v>0</v>
      </c>
      <c r="CE34" s="508">
        <v>0</v>
      </c>
      <c r="CF34" s="917">
        <v>1</v>
      </c>
      <c r="CG34" s="917">
        <v>0</v>
      </c>
      <c r="CH34" s="311" t="str">
        <f>IF(A34=FALSE,"",IF(Detail!BR34="","N/A",YEAR(Detail!F34)&amp;Detail!BU34&amp;Detail!BR34&amp;"-"&amp;Detail!$BR$13))</f>
        <v/>
      </c>
      <c r="CI34" s="1327" t="s">
        <v>2236</v>
      </c>
      <c r="CJ34" s="940" t="s">
        <v>2278</v>
      </c>
      <c r="CK34" s="440" t="str">
        <f t="shared" si="9"/>
        <v/>
      </c>
      <c r="CL34" s="1412">
        <v>50000</v>
      </c>
      <c r="CM34" s="247">
        <v>3</v>
      </c>
      <c r="CN34" s="917">
        <v>0</v>
      </c>
      <c r="CO34" s="917" t="s">
        <v>2236</v>
      </c>
      <c r="CP34" s="264">
        <v>0</v>
      </c>
      <c r="CQ34" s="508">
        <v>0</v>
      </c>
      <c r="CR34" s="917">
        <v>1</v>
      </c>
      <c r="CS34" s="917">
        <v>0</v>
      </c>
      <c r="CT34" s="311" t="str">
        <f>IF(A34=FALSE,"",IF(Detail!BZ34="","N/A",YEAR(Detail!F34)&amp;Detail!CC34&amp;Detail!BZ34&amp;"-"&amp;Detail!$BZ$13&amp;" (100%/"&amp;Detail!CD34&amp;"/"&amp;Detail!CE34&amp;"D)"))</f>
        <v/>
      </c>
      <c r="CU34" s="1409" t="s">
        <v>2236</v>
      </c>
      <c r="CV34" s="940" t="s">
        <v>2278</v>
      </c>
      <c r="CW34" s="915">
        <v>7</v>
      </c>
      <c r="CX34" s="1323">
        <v>365</v>
      </c>
      <c r="CY34" s="248">
        <v>1</v>
      </c>
      <c r="CZ34" s="917">
        <v>0</v>
      </c>
      <c r="DA34" s="1325" t="s">
        <v>2236</v>
      </c>
      <c r="DB34" s="538">
        <v>40</v>
      </c>
      <c r="DC34" s="1325">
        <v>0.1</v>
      </c>
      <c r="DD34" s="917">
        <v>1</v>
      </c>
      <c r="DE34" s="917">
        <v>0</v>
      </c>
      <c r="DF34" s="313" t="str">
        <f>IF(A34=FALSE,"",IF(Detail!CH34="","N/A",YEAR(Detail!F34)&amp;Detail!CK34&amp;Detail!CH34&amp;"-"&amp;Detail!$CH$13&amp;" (100%/"&amp;Detail!CL34&amp;"/"&amp;Detail!CM34&amp;"D)"))</f>
        <v/>
      </c>
      <c r="DG34" s="1406" t="s">
        <v>2236</v>
      </c>
      <c r="DH34" s="518" t="s">
        <v>2278</v>
      </c>
      <c r="DI34" s="915">
        <f t="shared" si="10"/>
        <v>7</v>
      </c>
      <c r="DJ34" s="243">
        <f t="shared" si="11"/>
        <v>365</v>
      </c>
      <c r="DK34" s="258">
        <v>1</v>
      </c>
      <c r="DL34" s="917">
        <v>0</v>
      </c>
      <c r="DM34" s="1325" t="s">
        <v>2236</v>
      </c>
      <c r="DN34" s="538">
        <v>40</v>
      </c>
      <c r="DO34" s="1325">
        <f t="shared" si="12"/>
        <v>0.1</v>
      </c>
      <c r="DP34" s="917">
        <v>1</v>
      </c>
      <c r="DQ34" s="917">
        <v>0</v>
      </c>
      <c r="DR34" s="920" t="str">
        <f>IF(A34=FALSE,"",IF(Detail!CP34="","N/A",YEAR(Detail!F34)&amp;Detail!CS34&amp;Detail!CP34&amp;"-"&amp;Detail!$CP$13))</f>
        <v/>
      </c>
      <c r="DS34" s="920" t="s">
        <v>2236</v>
      </c>
      <c r="DT34" s="940" t="s">
        <v>2277</v>
      </c>
      <c r="DU34" s="997">
        <v>50000</v>
      </c>
      <c r="DV34" s="247">
        <v>2</v>
      </c>
      <c r="DW34" s="917">
        <v>0</v>
      </c>
      <c r="DX34" s="917" t="s">
        <v>2236</v>
      </c>
      <c r="DY34" s="264">
        <v>0</v>
      </c>
      <c r="DZ34" s="444">
        <v>0</v>
      </c>
      <c r="EA34" s="444">
        <v>1</v>
      </c>
      <c r="EB34" s="444">
        <v>0</v>
      </c>
      <c r="EC34" s="761" t="str">
        <f>IF(A34=FALSE,"",IF(Detail!CX34="","N/A",YEAR(Detail!F34)&amp;Detail!DA34&amp;Detail!CX34&amp;"-"&amp;Detail!$CX$13))</f>
        <v/>
      </c>
      <c r="ED34" s="925" t="s">
        <v>2236</v>
      </c>
      <c r="EE34" s="940" t="s">
        <v>2277</v>
      </c>
      <c r="EF34" s="997">
        <v>50000</v>
      </c>
      <c r="EG34" s="247">
        <v>2</v>
      </c>
      <c r="EH34" s="917">
        <v>0</v>
      </c>
      <c r="EI34" s="917" t="s">
        <v>2236</v>
      </c>
      <c r="EJ34" s="264">
        <v>0</v>
      </c>
      <c r="EK34" s="444">
        <v>0</v>
      </c>
      <c r="EL34" s="444">
        <v>1</v>
      </c>
      <c r="EM34" s="444">
        <v>0</v>
      </c>
      <c r="EN34" s="333" t="str">
        <f>IF(A34=FALSE,"",IF(Detail!DF34="","N/A",YEAR(Detail!F34)&amp;Detail!DI34&amp;Detail!DF34&amp;"-"&amp;Detail!$DF$13))</f>
        <v/>
      </c>
      <c r="EO34" s="1012" t="s">
        <v>2236</v>
      </c>
      <c r="EP34" s="1012" t="s">
        <v>2277</v>
      </c>
      <c r="EQ34" s="1013">
        <f t="shared" si="13"/>
        <v>0</v>
      </c>
      <c r="ER34" s="1013" t="s">
        <v>2236</v>
      </c>
      <c r="ES34" s="264">
        <v>0</v>
      </c>
      <c r="ET34" s="1013">
        <v>0</v>
      </c>
      <c r="EU34" s="1013">
        <v>1</v>
      </c>
      <c r="EV34" s="1013">
        <v>0</v>
      </c>
      <c r="EW34" s="333" t="str">
        <f>IF(DJ34=FALSE,"",IF(Detail!ET34="","N/A",YEAR(Detail!DN34)&amp;Detail!EW34&amp;Detail!ET34&amp;"-"&amp;Detail!$AL$13&amp;Detail!EU34))</f>
        <v>N/A</v>
      </c>
      <c r="EX34" s="1012" t="s">
        <v>2236</v>
      </c>
      <c r="EY34" s="1012" t="s">
        <v>2277</v>
      </c>
      <c r="EZ34" s="1013">
        <f t="shared" si="14"/>
        <v>0</v>
      </c>
      <c r="FA34" s="1013" t="s">
        <v>2236</v>
      </c>
      <c r="FB34" s="264">
        <v>0</v>
      </c>
      <c r="FC34" s="1013">
        <v>0</v>
      </c>
      <c r="FD34" s="1013">
        <v>1</v>
      </c>
      <c r="FE34" s="1013">
        <v>0</v>
      </c>
    </row>
    <row r="35" spans="1:161" s="716" customFormat="1" ht="30" customHeight="1" outlineLevel="1">
      <c r="A35" s="439" t="b">
        <f>Calcul!A35</f>
        <v>0</v>
      </c>
      <c r="B35" s="510" t="str">
        <f t="shared" si="6"/>
        <v/>
      </c>
      <c r="C35" s="1404" t="b">
        <v>0</v>
      </c>
      <c r="D35" s="1404" t="s">
        <v>2147</v>
      </c>
      <c r="E35" s="1405" t="s">
        <v>2335</v>
      </c>
      <c r="F35" s="243" t="s">
        <v>2146</v>
      </c>
      <c r="G35" s="356" t="str">
        <f>IF(A35=FALSE,"",IF(NAMES!$D$10=FALSE,IF(Detail!H35="","",Detail!H35),IF(Crewlist!D35="","",Crewlist!D35)))</f>
        <v/>
      </c>
      <c r="H35" s="356" t="str">
        <f>IF(A35=FALSE,"",IF(NAMES!$D$10=FALSE,IF(Detail!P35="","",Detail!P35),IF(Crewlist!E35="","",Crewlist!E35)))</f>
        <v/>
      </c>
      <c r="I35" s="356" t="str">
        <f>IF(A35=FALSE,"",IF(NAMES!$D$10=FALSE,IF(Detail!K35="","",Detail!K35),IF(Crewlist!F35="","",Crewlist!F35)))</f>
        <v/>
      </c>
      <c r="J35" s="1001" t="str">
        <f>IF(Crewlist!T35="","",Crewlist!T35)</f>
        <v/>
      </c>
      <c r="K35" s="1001" t="str">
        <f>IF(Crewlist!D35="","",IF(Crewlist!U35="",Crewlist!Y35,IF(DATERENOUVMOINS730&lt;&gt;Crewlist!U35&lt;&gt;Crewlist!Y35,Crewlist!U35,DATERENOUVMOINS365)))</f>
        <v/>
      </c>
      <c r="L35" s="775" t="str">
        <f>IF(Detail!X35="","",Detail!X35)</f>
        <v/>
      </c>
      <c r="M35" s="775" t="str">
        <f>IF(Detail!H35="","",IF(Detail!Y35="",DATERENOUV,IF(Detail!Y35&gt;Detail!D35,Detail!D35,Detail!Y35)))</f>
        <v/>
      </c>
      <c r="N35" s="1015" t="str">
        <f>IF(A35=FALSE,"",IF(NAMES!$D$10=FALSE,IF(B35=B36,IF(O35=O36,0,(DATEDIF(L35,M35,"M")+1)),(DATEDIF(L35,M35,"M")+1)),IF(B35=B36,IF(O35=O36,0,(DATEDIF(J35,K35,"M")+1)),(DATEDIF(J35,K35,"M")+1))))</f>
        <v/>
      </c>
      <c r="O35" s="923" t="str">
        <f t="shared" si="5"/>
        <v/>
      </c>
      <c r="P35" s="358" t="str">
        <f>IF(A35=FALSE,"",IF(NAMES!$D$10=FALSE,IF((DATEDIF(L35,M35,"D")+1)&lt;365,(DATEDIF(L35,M35,"D")+1),365),IF((DATEDIF(J35,K35,"D")+1)&lt;365,(DATEDIF(J35,K35,"D")+1),365)))</f>
        <v/>
      </c>
      <c r="Q35" s="358" t="str">
        <f>IF(A35=FALSE,"",IF(NAMES!$D$10=FALSE,IF(M35="",365,DATEDIF(L35,M35,"D")+1),IF(M35="",365,DATEDIF(J35,K35,"D")+1)))</f>
        <v/>
      </c>
      <c r="R35" s="950" t="str">
        <f>Calcul!X35</f>
        <v/>
      </c>
      <c r="S35" s="950" t="str">
        <f>Calcul!Y35</f>
        <v/>
      </c>
      <c r="T35" s="993" t="str">
        <f>Calcul!AG35</f>
        <v/>
      </c>
      <c r="U35" s="368" t="str">
        <f>IF(A35=FALSE,"",IF(NAMES!$D$10=FALSE,IF(Detail!S35="","",Detail!S35),IF(Crewlist!V35="","",Crewlist!V35)))</f>
        <v/>
      </c>
      <c r="V35" s="245" t="str">
        <f>Calcul!AI35</f>
        <v/>
      </c>
      <c r="W35" s="245" t="str">
        <f>Calcul!AL35</f>
        <v/>
      </c>
      <c r="X35" s="245" t="str">
        <f>Calcul!AM35</f>
        <v/>
      </c>
      <c r="Y35" s="353" t="str">
        <f>Calcul!AN35</f>
        <v/>
      </c>
      <c r="Z35" s="245" t="str">
        <f>Calcul!AO35</f>
        <v/>
      </c>
      <c r="AA35" s="245" t="str">
        <f>Calcul!AP35</f>
        <v/>
      </c>
      <c r="AB35" s="353" t="str">
        <f>Calcul!AQ35</f>
        <v/>
      </c>
      <c r="AC35" s="353" t="str">
        <f>IF(C35=FALSE,"",Calcul!BE35+Calcul!BF35)</f>
        <v/>
      </c>
      <c r="AD35" s="353" t="str">
        <f>IF(C35=FALSE,"",(Calcul!BG35+Calcul!BH35)+SUM(Calcul!BI35:BN35))</f>
        <v/>
      </c>
      <c r="AE35" s="353" t="str">
        <f>Calcul!BP35</f>
        <v/>
      </c>
      <c r="AF35" s="332" t="str">
        <f>IF(A35=FALSE,"",YEAR(Detail!F35)&amp;Detail!AG35&amp;Detail!AD35&amp;"-"&amp;Detail!$AD$13&amp;Detail!AE35)</f>
        <v/>
      </c>
      <c r="AG35" s="1406" t="s">
        <v>2236</v>
      </c>
      <c r="AH35" s="940" t="s">
        <v>2277</v>
      </c>
      <c r="AI35" s="1407">
        <v>0</v>
      </c>
      <c r="AJ35" s="1407" t="s">
        <v>2236</v>
      </c>
      <c r="AK35" s="1410">
        <v>32</v>
      </c>
      <c r="AL35" s="508">
        <v>0</v>
      </c>
      <c r="AM35" s="917">
        <v>1</v>
      </c>
      <c r="AN35" s="917">
        <v>0</v>
      </c>
      <c r="AO35" s="333" t="str">
        <f>IF(A35=FALSE,"",IF(Detail!AL35="","N/A",YEAR(Detail!F35)&amp;Detail!AO35&amp;Detail!AL35&amp;"-"&amp;Detail!$AL$13&amp;Detail!AM35))</f>
        <v/>
      </c>
      <c r="AP35" s="1406" t="s">
        <v>2236</v>
      </c>
      <c r="AQ35" s="940" t="s">
        <v>2277</v>
      </c>
      <c r="AR35" s="1407">
        <f t="shared" si="7"/>
        <v>0</v>
      </c>
      <c r="AS35" s="917" t="s">
        <v>2236</v>
      </c>
      <c r="AT35" s="264">
        <v>0</v>
      </c>
      <c r="AU35" s="917">
        <v>0</v>
      </c>
      <c r="AV35" s="917">
        <v>1</v>
      </c>
      <c r="AW35" s="917">
        <v>0</v>
      </c>
      <c r="AX35" s="920" t="str">
        <f>IF(A35=FALSE,"",IF(Detail!AT35="","N/A",YEAR(Detail!F35)&amp;Detail!AW35&amp;Detail!AT35&amp;"-"&amp;Detail!$AT$13))</f>
        <v/>
      </c>
      <c r="AY35" s="1408" t="s">
        <v>2236</v>
      </c>
      <c r="AZ35" s="920" t="s">
        <v>2278</v>
      </c>
      <c r="BA35" s="440" t="str">
        <f>IF(A35=FALSE,"",51000+(Detail!AA35*7000))</f>
        <v/>
      </c>
      <c r="BB35" s="1412">
        <v>50000</v>
      </c>
      <c r="BC35" s="247">
        <v>3</v>
      </c>
      <c r="BD35" s="917">
        <v>0</v>
      </c>
      <c r="BE35" s="917" t="s">
        <v>2236</v>
      </c>
      <c r="BF35" s="264">
        <v>0</v>
      </c>
      <c r="BG35" s="508">
        <v>0</v>
      </c>
      <c r="BH35" s="917">
        <v>1</v>
      </c>
      <c r="BI35" s="917">
        <v>0</v>
      </c>
      <c r="BJ35" s="311" t="str">
        <f>IF(A35=FALSE,"",IF(Detail!BB35="","N/A",YEAR(Detail!F35)&amp;Detail!BE35&amp;Detail!BB35&amp;"-"&amp;Detail!$BB$13))</f>
        <v/>
      </c>
      <c r="BK35" s="1354" t="s">
        <v>2236</v>
      </c>
      <c r="BL35" s="940" t="s">
        <v>2278</v>
      </c>
      <c r="BM35" s="440" t="str">
        <f>IF(A35=FALSE,"",51000+(Detail!AA35*7000))</f>
        <v/>
      </c>
      <c r="BN35" s="1412">
        <v>50000</v>
      </c>
      <c r="BO35" s="247">
        <v>3</v>
      </c>
      <c r="BP35" s="917">
        <v>0</v>
      </c>
      <c r="BQ35" s="917" t="s">
        <v>2236</v>
      </c>
      <c r="BR35" s="264">
        <v>0</v>
      </c>
      <c r="BS35" s="508">
        <v>0</v>
      </c>
      <c r="BT35" s="917">
        <v>1</v>
      </c>
      <c r="BU35" s="917">
        <v>0</v>
      </c>
      <c r="BV35" s="311" t="str">
        <f>IF(A35=FALSE,"",IF(Detail!BJ35="","N/A",YEAR(Detail!F35)&amp;Detail!BM35&amp;Detail!BJ35&amp;"-"&amp;Detail!$BJ$13))</f>
        <v/>
      </c>
      <c r="BW35" s="1409" t="s">
        <v>2236</v>
      </c>
      <c r="BX35" s="940" t="s">
        <v>2278</v>
      </c>
      <c r="BY35" s="440" t="str">
        <f t="shared" si="8"/>
        <v/>
      </c>
      <c r="BZ35" s="1412">
        <v>50000</v>
      </c>
      <c r="CA35" s="247">
        <v>3</v>
      </c>
      <c r="CB35" s="917">
        <v>0</v>
      </c>
      <c r="CC35" s="917" t="s">
        <v>2236</v>
      </c>
      <c r="CD35" s="264">
        <v>0</v>
      </c>
      <c r="CE35" s="508">
        <v>0</v>
      </c>
      <c r="CF35" s="917">
        <v>1</v>
      </c>
      <c r="CG35" s="917">
        <v>0</v>
      </c>
      <c r="CH35" s="311" t="str">
        <f>IF(A35=FALSE,"",IF(Detail!BR35="","N/A",YEAR(Detail!F35)&amp;Detail!BU35&amp;Detail!BR35&amp;"-"&amp;Detail!$BR$13))</f>
        <v/>
      </c>
      <c r="CI35" s="1327" t="s">
        <v>2236</v>
      </c>
      <c r="CJ35" s="940" t="s">
        <v>2278</v>
      </c>
      <c r="CK35" s="440" t="str">
        <f t="shared" si="9"/>
        <v/>
      </c>
      <c r="CL35" s="1412">
        <v>50000</v>
      </c>
      <c r="CM35" s="247">
        <v>3</v>
      </c>
      <c r="CN35" s="917">
        <v>0</v>
      </c>
      <c r="CO35" s="917" t="s">
        <v>2236</v>
      </c>
      <c r="CP35" s="264">
        <v>0</v>
      </c>
      <c r="CQ35" s="508">
        <v>0</v>
      </c>
      <c r="CR35" s="917">
        <v>1</v>
      </c>
      <c r="CS35" s="917">
        <v>0</v>
      </c>
      <c r="CT35" s="311" t="str">
        <f>IF(A35=FALSE,"",IF(Detail!BZ35="","N/A",YEAR(Detail!F35)&amp;Detail!CC35&amp;Detail!BZ35&amp;"-"&amp;Detail!$BZ$13&amp;" (100%/"&amp;Detail!CD35&amp;"/"&amp;Detail!CE35&amp;"D)"))</f>
        <v/>
      </c>
      <c r="CU35" s="1327" t="s">
        <v>2236</v>
      </c>
      <c r="CV35" s="940" t="s">
        <v>2278</v>
      </c>
      <c r="CW35" s="915">
        <v>7</v>
      </c>
      <c r="CX35" s="1323">
        <v>365</v>
      </c>
      <c r="CY35" s="248">
        <v>1</v>
      </c>
      <c r="CZ35" s="917">
        <v>0</v>
      </c>
      <c r="DA35" s="1325" t="s">
        <v>2236</v>
      </c>
      <c r="DB35" s="538">
        <v>40</v>
      </c>
      <c r="DC35" s="1325">
        <v>0.1</v>
      </c>
      <c r="DD35" s="917">
        <v>1</v>
      </c>
      <c r="DE35" s="917">
        <v>0</v>
      </c>
      <c r="DF35" s="313" t="str">
        <f>IF(A35=FALSE,"",IF(Detail!CH35="","N/A",YEAR(Detail!F35)&amp;Detail!CK35&amp;Detail!CH35&amp;"-"&amp;Detail!$CH$13&amp;" (100%/"&amp;Detail!CL35&amp;"/"&amp;Detail!CM35&amp;"D)"))</f>
        <v/>
      </c>
      <c r="DG35" s="1406" t="s">
        <v>2236</v>
      </c>
      <c r="DH35" s="518" t="s">
        <v>2278</v>
      </c>
      <c r="DI35" s="915">
        <f t="shared" si="10"/>
        <v>7</v>
      </c>
      <c r="DJ35" s="243">
        <f t="shared" si="11"/>
        <v>365</v>
      </c>
      <c r="DK35" s="258">
        <v>1</v>
      </c>
      <c r="DL35" s="917">
        <v>0</v>
      </c>
      <c r="DM35" s="1325" t="s">
        <v>2236</v>
      </c>
      <c r="DN35" s="538">
        <v>40</v>
      </c>
      <c r="DO35" s="1325">
        <f t="shared" si="12"/>
        <v>0.1</v>
      </c>
      <c r="DP35" s="917">
        <v>1</v>
      </c>
      <c r="DQ35" s="917">
        <v>0</v>
      </c>
      <c r="DR35" s="920" t="str">
        <f>IF(A35=FALSE,"",IF(Detail!CP35="","N/A",YEAR(Detail!F35)&amp;Detail!CS35&amp;Detail!CP35&amp;"-"&amp;Detail!$CP$13))</f>
        <v/>
      </c>
      <c r="DS35" s="920" t="s">
        <v>2236</v>
      </c>
      <c r="DT35" s="940" t="s">
        <v>2277</v>
      </c>
      <c r="DU35" s="997">
        <v>50000</v>
      </c>
      <c r="DV35" s="247">
        <v>2</v>
      </c>
      <c r="DW35" s="917">
        <v>0</v>
      </c>
      <c r="DX35" s="917" t="s">
        <v>2236</v>
      </c>
      <c r="DY35" s="264">
        <v>0</v>
      </c>
      <c r="DZ35" s="444">
        <v>0</v>
      </c>
      <c r="EA35" s="444">
        <v>1</v>
      </c>
      <c r="EB35" s="444">
        <v>0</v>
      </c>
      <c r="EC35" s="761" t="str">
        <f>IF(A35=FALSE,"",IF(Detail!CX35="","N/A",YEAR(Detail!F35)&amp;Detail!DA35&amp;Detail!CX35&amp;"-"&amp;Detail!$CX$13))</f>
        <v/>
      </c>
      <c r="ED35" s="925" t="s">
        <v>2236</v>
      </c>
      <c r="EE35" s="940" t="s">
        <v>2277</v>
      </c>
      <c r="EF35" s="997">
        <v>50000</v>
      </c>
      <c r="EG35" s="247">
        <v>2</v>
      </c>
      <c r="EH35" s="917">
        <v>0</v>
      </c>
      <c r="EI35" s="917" t="s">
        <v>2236</v>
      </c>
      <c r="EJ35" s="264">
        <v>0</v>
      </c>
      <c r="EK35" s="444">
        <v>0</v>
      </c>
      <c r="EL35" s="444">
        <v>1</v>
      </c>
      <c r="EM35" s="444">
        <v>0</v>
      </c>
      <c r="EN35" s="333" t="str">
        <f>IF(A35=FALSE,"",IF(Detail!DF35="","N/A",YEAR(Detail!F35)&amp;Detail!DI35&amp;Detail!DF35&amp;"-"&amp;Detail!$DF$13))</f>
        <v/>
      </c>
      <c r="EO35" s="1012" t="s">
        <v>2236</v>
      </c>
      <c r="EP35" s="1012" t="s">
        <v>2277</v>
      </c>
      <c r="EQ35" s="1013">
        <f t="shared" si="13"/>
        <v>0</v>
      </c>
      <c r="ER35" s="1013" t="s">
        <v>2236</v>
      </c>
      <c r="ES35" s="264">
        <v>0</v>
      </c>
      <c r="ET35" s="1013">
        <v>0</v>
      </c>
      <c r="EU35" s="1013">
        <v>1</v>
      </c>
      <c r="EV35" s="1013">
        <v>0</v>
      </c>
      <c r="EW35" s="333" t="str">
        <f>IF(DJ35=FALSE,"",IF(Detail!ET35="","N/A",YEAR(Detail!DN35)&amp;Detail!EW35&amp;Detail!ET35&amp;"-"&amp;Detail!$AL$13&amp;Detail!EU35))</f>
        <v>N/A</v>
      </c>
      <c r="EX35" s="1012" t="s">
        <v>2236</v>
      </c>
      <c r="EY35" s="1012" t="s">
        <v>2277</v>
      </c>
      <c r="EZ35" s="1013">
        <f t="shared" si="14"/>
        <v>0</v>
      </c>
      <c r="FA35" s="1013" t="s">
        <v>2236</v>
      </c>
      <c r="FB35" s="264">
        <v>0</v>
      </c>
      <c r="FC35" s="1013">
        <v>0</v>
      </c>
      <c r="FD35" s="1013">
        <v>1</v>
      </c>
      <c r="FE35" s="1013">
        <v>0</v>
      </c>
    </row>
    <row r="36" spans="1:161" s="716" customFormat="1" ht="30" customHeight="1" outlineLevel="1">
      <c r="A36" s="439" t="b">
        <f>Calcul!A36</f>
        <v>0</v>
      </c>
      <c r="B36" s="510" t="str">
        <f t="shared" si="6"/>
        <v/>
      </c>
      <c r="C36" s="1404" t="b">
        <v>0</v>
      </c>
      <c r="D36" s="1404" t="s">
        <v>2147</v>
      </c>
      <c r="E36" s="1405" t="s">
        <v>2335</v>
      </c>
      <c r="F36" s="243" t="s">
        <v>2146</v>
      </c>
      <c r="G36" s="356" t="str">
        <f>IF(A36=FALSE,"",IF(NAMES!$D$10=FALSE,IF(Detail!H36="","",Detail!H36),IF(Crewlist!D36="","",Crewlist!D36)))</f>
        <v/>
      </c>
      <c r="H36" s="356" t="str">
        <f>IF(A36=FALSE,"",IF(NAMES!$D$10=FALSE,IF(Detail!P36="","",Detail!P36),IF(Crewlist!E36="","",Crewlist!E36)))</f>
        <v/>
      </c>
      <c r="I36" s="356" t="str">
        <f>IF(A36=FALSE,"",IF(NAMES!$D$10=FALSE,IF(Detail!K36="","",Detail!K36),IF(Crewlist!F36="","",Crewlist!F36)))</f>
        <v/>
      </c>
      <c r="J36" s="1001" t="str">
        <f>IF(Crewlist!T36="","",Crewlist!T36)</f>
        <v/>
      </c>
      <c r="K36" s="1001" t="str">
        <f>IF(Crewlist!D36="","",IF(Crewlist!U36="",Crewlist!Y36,IF(DATERENOUVMOINS730&lt;&gt;Crewlist!U36&lt;&gt;Crewlist!Y36,Crewlist!U36,DATERENOUVMOINS365)))</f>
        <v/>
      </c>
      <c r="L36" s="775" t="str">
        <f>IF(Detail!X36="","",Detail!X36)</f>
        <v/>
      </c>
      <c r="M36" s="775" t="str">
        <f>IF(Detail!H36="","",IF(Detail!Y36="",DATERENOUV,IF(Detail!Y36&gt;Detail!D36,Detail!D36,Detail!Y36)))</f>
        <v/>
      </c>
      <c r="N36" s="1015" t="str">
        <f>IF(A36=FALSE,"",IF(NAMES!$D$10=FALSE,IF(B36=B37,IF(O36=O37,0,(DATEDIF(L36,M36,"M")+1)),(DATEDIF(L36,M36,"M")+1)),IF(B36=B37,IF(O36=O37,0,(DATEDIF(J36,K36,"M")+1)),(DATEDIF(J36,K36,"M")+1))))</f>
        <v/>
      </c>
      <c r="O36" s="923" t="str">
        <f t="shared" si="5"/>
        <v/>
      </c>
      <c r="P36" s="358" t="str">
        <f>IF(A36=FALSE,"",IF(NAMES!$D$10=FALSE,IF((DATEDIF(L36,M36,"D")+1)&lt;365,(DATEDIF(L36,M36,"D")+1),365),IF((DATEDIF(J36,K36,"D")+1)&lt;365,(DATEDIF(J36,K36,"D")+1),365)))</f>
        <v/>
      </c>
      <c r="Q36" s="358" t="str">
        <f>IF(A36=FALSE,"",IF(NAMES!$D$10=FALSE,IF(M36="",365,DATEDIF(L36,M36,"D")+1),IF(M36="",365,DATEDIF(J36,K36,"D")+1)))</f>
        <v/>
      </c>
      <c r="R36" s="950" t="str">
        <f>Calcul!X36</f>
        <v/>
      </c>
      <c r="S36" s="950" t="str">
        <f>Calcul!Y36</f>
        <v/>
      </c>
      <c r="T36" s="993" t="str">
        <f>Calcul!AG36</f>
        <v/>
      </c>
      <c r="U36" s="368" t="str">
        <f>IF(A36=FALSE,"",IF(NAMES!$D$10=FALSE,IF(Detail!S36="","",Detail!S36),IF(Crewlist!V36="","",Crewlist!V36)))</f>
        <v/>
      </c>
      <c r="V36" s="245" t="str">
        <f>Calcul!AI36</f>
        <v/>
      </c>
      <c r="W36" s="245" t="str">
        <f>Calcul!AL36</f>
        <v/>
      </c>
      <c r="X36" s="245" t="str">
        <f>Calcul!AM36</f>
        <v/>
      </c>
      <c r="Y36" s="353" t="str">
        <f>Calcul!AN36</f>
        <v/>
      </c>
      <c r="Z36" s="245" t="str">
        <f>Calcul!AO36</f>
        <v/>
      </c>
      <c r="AA36" s="245" t="str">
        <f>Calcul!AP36</f>
        <v/>
      </c>
      <c r="AB36" s="353" t="str">
        <f>Calcul!AQ36</f>
        <v/>
      </c>
      <c r="AC36" s="353" t="str">
        <f>IF(C36=FALSE,"",Calcul!BE36+Calcul!BF36)</f>
        <v/>
      </c>
      <c r="AD36" s="353" t="str">
        <f>IF(C36=FALSE,"",(Calcul!BG36+Calcul!BH36)+SUM(Calcul!BI36:BN36))</f>
        <v/>
      </c>
      <c r="AE36" s="353" t="str">
        <f>Calcul!BP36</f>
        <v/>
      </c>
      <c r="AF36" s="332" t="str">
        <f>IF(A36=FALSE,"",YEAR(Detail!F36)&amp;Detail!AG36&amp;Detail!AD36&amp;"-"&amp;Detail!$AD$13&amp;Detail!AE36)</f>
        <v/>
      </c>
      <c r="AG36" s="1406" t="s">
        <v>2236</v>
      </c>
      <c r="AH36" s="940" t="s">
        <v>2277</v>
      </c>
      <c r="AI36" s="1407">
        <v>0</v>
      </c>
      <c r="AJ36" s="1407" t="s">
        <v>2236</v>
      </c>
      <c r="AK36" s="1410">
        <v>32</v>
      </c>
      <c r="AL36" s="508">
        <v>0</v>
      </c>
      <c r="AM36" s="917">
        <v>1</v>
      </c>
      <c r="AN36" s="917">
        <v>0</v>
      </c>
      <c r="AO36" s="333" t="str">
        <f>IF(A36=FALSE,"",IF(Detail!AL36="","N/A",YEAR(Detail!F36)&amp;Detail!AO36&amp;Detail!AL36&amp;"-"&amp;Detail!$AL$13&amp;Detail!AM36))</f>
        <v/>
      </c>
      <c r="AP36" s="1406" t="s">
        <v>2236</v>
      </c>
      <c r="AQ36" s="940" t="s">
        <v>2277</v>
      </c>
      <c r="AR36" s="1407">
        <f t="shared" si="7"/>
        <v>0</v>
      </c>
      <c r="AS36" s="917" t="s">
        <v>2236</v>
      </c>
      <c r="AT36" s="264">
        <v>0</v>
      </c>
      <c r="AU36" s="917">
        <v>0</v>
      </c>
      <c r="AV36" s="917">
        <v>1</v>
      </c>
      <c r="AW36" s="917">
        <v>0</v>
      </c>
      <c r="AX36" s="920" t="str">
        <f>IF(A36=FALSE,"",IF(Detail!AT36="","N/A",YEAR(Detail!F36)&amp;Detail!AW36&amp;Detail!AT36&amp;"-"&amp;Detail!$AT$13))</f>
        <v/>
      </c>
      <c r="AY36" s="1408" t="s">
        <v>2236</v>
      </c>
      <c r="AZ36" s="920" t="s">
        <v>2278</v>
      </c>
      <c r="BA36" s="440" t="str">
        <f>IF(A36=FALSE,"",51000+(Detail!AA36*7000))</f>
        <v/>
      </c>
      <c r="BB36" s="1412">
        <v>50000</v>
      </c>
      <c r="BC36" s="247">
        <v>3</v>
      </c>
      <c r="BD36" s="917">
        <v>0</v>
      </c>
      <c r="BE36" s="917" t="s">
        <v>2236</v>
      </c>
      <c r="BF36" s="264">
        <v>0</v>
      </c>
      <c r="BG36" s="508">
        <v>0</v>
      </c>
      <c r="BH36" s="917">
        <v>1</v>
      </c>
      <c r="BI36" s="917">
        <v>0</v>
      </c>
      <c r="BJ36" s="311" t="str">
        <f>IF(A36=FALSE,"",IF(Detail!BB36="","N/A",YEAR(Detail!F36)&amp;Detail!BE36&amp;Detail!BB36&amp;"-"&amp;Detail!$BB$13))</f>
        <v/>
      </c>
      <c r="BK36" s="1354" t="s">
        <v>2236</v>
      </c>
      <c r="BL36" s="940" t="s">
        <v>2278</v>
      </c>
      <c r="BM36" s="440" t="str">
        <f>IF(A36=FALSE,"",51000+(Detail!AA36*7000))</f>
        <v/>
      </c>
      <c r="BN36" s="1412">
        <v>50000</v>
      </c>
      <c r="BO36" s="247">
        <v>3</v>
      </c>
      <c r="BP36" s="917">
        <v>0</v>
      </c>
      <c r="BQ36" s="917" t="s">
        <v>2236</v>
      </c>
      <c r="BR36" s="264">
        <v>0</v>
      </c>
      <c r="BS36" s="508">
        <v>0</v>
      </c>
      <c r="BT36" s="917">
        <v>1</v>
      </c>
      <c r="BU36" s="917">
        <v>0</v>
      </c>
      <c r="BV36" s="311" t="str">
        <f>IF(A36=FALSE,"",IF(Detail!BJ36="","N/A",YEAR(Detail!F36)&amp;Detail!BM36&amp;Detail!BJ36&amp;"-"&amp;Detail!$BJ$13))</f>
        <v/>
      </c>
      <c r="BW36" s="1409" t="s">
        <v>2236</v>
      </c>
      <c r="BX36" s="940" t="s">
        <v>2278</v>
      </c>
      <c r="BY36" s="440" t="str">
        <f t="shared" si="8"/>
        <v/>
      </c>
      <c r="BZ36" s="1412">
        <v>50000</v>
      </c>
      <c r="CA36" s="247">
        <v>3</v>
      </c>
      <c r="CB36" s="917">
        <v>0</v>
      </c>
      <c r="CC36" s="917" t="s">
        <v>2236</v>
      </c>
      <c r="CD36" s="264">
        <v>0</v>
      </c>
      <c r="CE36" s="508">
        <v>0</v>
      </c>
      <c r="CF36" s="917">
        <v>1</v>
      </c>
      <c r="CG36" s="917">
        <v>0</v>
      </c>
      <c r="CH36" s="311" t="str">
        <f>IF(A36=FALSE,"",IF(Detail!BR36="","N/A",YEAR(Detail!F36)&amp;Detail!BU36&amp;Detail!BR36&amp;"-"&amp;Detail!$BR$13))</f>
        <v/>
      </c>
      <c r="CI36" s="1327" t="s">
        <v>2236</v>
      </c>
      <c r="CJ36" s="940" t="s">
        <v>2278</v>
      </c>
      <c r="CK36" s="440" t="str">
        <f t="shared" si="9"/>
        <v/>
      </c>
      <c r="CL36" s="1412">
        <v>50000</v>
      </c>
      <c r="CM36" s="247">
        <v>3</v>
      </c>
      <c r="CN36" s="917">
        <v>0</v>
      </c>
      <c r="CO36" s="917" t="s">
        <v>2236</v>
      </c>
      <c r="CP36" s="264">
        <v>0</v>
      </c>
      <c r="CQ36" s="508">
        <v>0</v>
      </c>
      <c r="CR36" s="917">
        <v>1</v>
      </c>
      <c r="CS36" s="917">
        <v>0</v>
      </c>
      <c r="CT36" s="311" t="str">
        <f>IF(A36=FALSE,"",IF(Detail!BZ36="","N/A",YEAR(Detail!F36)&amp;Detail!CC36&amp;Detail!BZ36&amp;"-"&amp;Detail!$BZ$13&amp;" (100%/"&amp;Detail!CD36&amp;"/"&amp;Detail!CE36&amp;"D)"))</f>
        <v/>
      </c>
      <c r="CU36" s="1327" t="s">
        <v>2236</v>
      </c>
      <c r="CV36" s="940" t="s">
        <v>2278</v>
      </c>
      <c r="CW36" s="915">
        <v>7</v>
      </c>
      <c r="CX36" s="1323">
        <v>365</v>
      </c>
      <c r="CY36" s="248">
        <v>1</v>
      </c>
      <c r="CZ36" s="917">
        <v>0</v>
      </c>
      <c r="DA36" s="1325" t="s">
        <v>2236</v>
      </c>
      <c r="DB36" s="538">
        <v>40</v>
      </c>
      <c r="DC36" s="1325">
        <v>0.1</v>
      </c>
      <c r="DD36" s="917">
        <v>1</v>
      </c>
      <c r="DE36" s="917">
        <v>0</v>
      </c>
      <c r="DF36" s="313" t="str">
        <f>IF(A36=FALSE,"",IF(Detail!CH36="","N/A",YEAR(Detail!F36)&amp;Detail!CK36&amp;Detail!CH36&amp;"-"&amp;Detail!$CH$13&amp;" (100%/"&amp;Detail!CL36&amp;"/"&amp;Detail!CM36&amp;"D)"))</f>
        <v/>
      </c>
      <c r="DG36" s="1406" t="s">
        <v>2236</v>
      </c>
      <c r="DH36" s="518" t="s">
        <v>2278</v>
      </c>
      <c r="DI36" s="915">
        <f t="shared" si="10"/>
        <v>7</v>
      </c>
      <c r="DJ36" s="243">
        <f t="shared" si="11"/>
        <v>365</v>
      </c>
      <c r="DK36" s="258">
        <v>1</v>
      </c>
      <c r="DL36" s="917">
        <v>0</v>
      </c>
      <c r="DM36" s="1325" t="s">
        <v>2236</v>
      </c>
      <c r="DN36" s="538">
        <v>40</v>
      </c>
      <c r="DO36" s="1325">
        <f t="shared" si="12"/>
        <v>0.1</v>
      </c>
      <c r="DP36" s="917">
        <v>1</v>
      </c>
      <c r="DQ36" s="917">
        <v>0</v>
      </c>
      <c r="DR36" s="920" t="str">
        <f>IF(A36=FALSE,"",IF(Detail!CP36="","N/A",YEAR(Detail!F36)&amp;Detail!CS36&amp;Detail!CP36&amp;"-"&amp;Detail!$CP$13))</f>
        <v/>
      </c>
      <c r="DS36" s="920" t="s">
        <v>2236</v>
      </c>
      <c r="DT36" s="940" t="s">
        <v>2277</v>
      </c>
      <c r="DU36" s="997">
        <v>50000</v>
      </c>
      <c r="DV36" s="247">
        <v>2</v>
      </c>
      <c r="DW36" s="917">
        <v>0</v>
      </c>
      <c r="DX36" s="917" t="s">
        <v>2236</v>
      </c>
      <c r="DY36" s="264">
        <v>0</v>
      </c>
      <c r="DZ36" s="444">
        <v>0</v>
      </c>
      <c r="EA36" s="444">
        <v>1</v>
      </c>
      <c r="EB36" s="444">
        <v>0</v>
      </c>
      <c r="EC36" s="761" t="str">
        <f>IF(A36=FALSE,"",IF(Detail!CX36="","N/A",YEAR(Detail!F36)&amp;Detail!DA36&amp;Detail!CX36&amp;"-"&amp;Detail!$CX$13))</f>
        <v/>
      </c>
      <c r="ED36" s="925" t="s">
        <v>2236</v>
      </c>
      <c r="EE36" s="940" t="s">
        <v>2277</v>
      </c>
      <c r="EF36" s="997">
        <v>50000</v>
      </c>
      <c r="EG36" s="247">
        <v>2</v>
      </c>
      <c r="EH36" s="917">
        <v>0</v>
      </c>
      <c r="EI36" s="917" t="s">
        <v>2236</v>
      </c>
      <c r="EJ36" s="264">
        <v>0</v>
      </c>
      <c r="EK36" s="444">
        <v>0</v>
      </c>
      <c r="EL36" s="444">
        <v>1</v>
      </c>
      <c r="EM36" s="444">
        <v>0</v>
      </c>
      <c r="EN36" s="333" t="str">
        <f>IF(A36=FALSE,"",IF(Detail!DF36="","N/A",YEAR(Detail!F36)&amp;Detail!DI36&amp;Detail!DF36&amp;"-"&amp;Detail!$DF$13))</f>
        <v/>
      </c>
      <c r="EO36" s="1012" t="s">
        <v>2236</v>
      </c>
      <c r="EP36" s="1012" t="s">
        <v>2277</v>
      </c>
      <c r="EQ36" s="1013">
        <f t="shared" si="13"/>
        <v>0</v>
      </c>
      <c r="ER36" s="1013" t="s">
        <v>2236</v>
      </c>
      <c r="ES36" s="264">
        <v>0</v>
      </c>
      <c r="ET36" s="1013">
        <v>0</v>
      </c>
      <c r="EU36" s="1013">
        <v>1</v>
      </c>
      <c r="EV36" s="1013">
        <v>0</v>
      </c>
      <c r="EW36" s="333" t="str">
        <f>IF(DJ36=FALSE,"",IF(Detail!ET36="","N/A",YEAR(Detail!DN36)&amp;Detail!EW36&amp;Detail!ET36&amp;"-"&amp;Detail!$AL$13&amp;Detail!EU36))</f>
        <v>N/A</v>
      </c>
      <c r="EX36" s="1012" t="s">
        <v>2236</v>
      </c>
      <c r="EY36" s="1012" t="s">
        <v>2277</v>
      </c>
      <c r="EZ36" s="1013">
        <f t="shared" si="14"/>
        <v>0</v>
      </c>
      <c r="FA36" s="1013" t="s">
        <v>2236</v>
      </c>
      <c r="FB36" s="264">
        <v>0</v>
      </c>
      <c r="FC36" s="1013">
        <v>0</v>
      </c>
      <c r="FD36" s="1013">
        <v>1</v>
      </c>
      <c r="FE36" s="1013">
        <v>0</v>
      </c>
    </row>
    <row r="37" spans="1:161" s="422" customFormat="1" ht="30" customHeight="1" outlineLevel="1">
      <c r="A37" s="439" t="b">
        <f>Calcul!A37</f>
        <v>0</v>
      </c>
      <c r="B37" s="510" t="str">
        <f t="shared" si="6"/>
        <v/>
      </c>
      <c r="C37" s="1404" t="b">
        <v>0</v>
      </c>
      <c r="D37" s="1404" t="s">
        <v>2147</v>
      </c>
      <c r="E37" s="1405" t="s">
        <v>2335</v>
      </c>
      <c r="F37" s="243" t="s">
        <v>2146</v>
      </c>
      <c r="G37" s="356" t="str">
        <f>IF(A37=FALSE,"",IF(NAMES!$D$10=FALSE,IF(Detail!H37="","",Detail!H37),IF(Crewlist!D37="","",Crewlist!D37)))</f>
        <v/>
      </c>
      <c r="H37" s="356" t="str">
        <f>IF(A37=FALSE,"",IF(NAMES!$D$10=FALSE,IF(Detail!P37="","",Detail!P37),IF(Crewlist!E37="","",Crewlist!E37)))</f>
        <v/>
      </c>
      <c r="I37" s="356" t="str">
        <f>IF(A37=FALSE,"",IF(NAMES!$D$10=FALSE,IF(Detail!K37="","",Detail!K37),IF(Crewlist!F37="","",Crewlist!F37)))</f>
        <v/>
      </c>
      <c r="J37" s="1001" t="str">
        <f>IF(Crewlist!T37="","",Crewlist!T37)</f>
        <v/>
      </c>
      <c r="K37" s="1001" t="str">
        <f>IF(Crewlist!D37="","",IF(Crewlist!U37="",Crewlist!Y37,IF(DATERENOUVMOINS730&lt;&gt;Crewlist!U37&lt;&gt;Crewlist!Y37,Crewlist!U37,DATERENOUVMOINS365)))</f>
        <v/>
      </c>
      <c r="L37" s="775" t="str">
        <f>IF(Detail!X37="","",Detail!X37)</f>
        <v/>
      </c>
      <c r="M37" s="775" t="str">
        <f>IF(Detail!H37="","",IF(Detail!Y37="",DATERENOUV,IF(Detail!Y37&gt;Detail!D37,Detail!D37,Detail!Y37)))</f>
        <v/>
      </c>
      <c r="N37" s="1015" t="str">
        <f>IF(A37=FALSE,"",IF(NAMES!$D$10=FALSE,IF(B37=B38,IF(O37=O38,0,(DATEDIF(L37,M37,"M")+1)),(DATEDIF(L37,M37,"M")+1)),IF(B37=B38,IF(O37=O38,0,(DATEDIF(J37,K37,"M")+1)),(DATEDIF(J37,K37,"M")+1))))</f>
        <v/>
      </c>
      <c r="O37" s="357" t="str">
        <f t="shared" si="5"/>
        <v/>
      </c>
      <c r="P37" s="358" t="str">
        <f>IF(A37=FALSE,"",IF(NAMES!$D$10=FALSE,IF((DATEDIF(L37,M37,"D")+1)&lt;365,(DATEDIF(L37,M37,"D")+1),365),IF((DATEDIF(J37,K37,"D")+1)&lt;365,(DATEDIF(J37,K37,"D")+1),365)))</f>
        <v/>
      </c>
      <c r="Q37" s="358" t="str">
        <f>IF(A37=FALSE,"",IF(NAMES!$D$10=FALSE,IF(M37="",365,DATEDIF(L37,M37,"D")+1),IF(M37="",365,DATEDIF(J37,K37,"D")+1)))</f>
        <v/>
      </c>
      <c r="R37" s="950" t="str">
        <f>Calcul!X37</f>
        <v/>
      </c>
      <c r="S37" s="950" t="str">
        <f>Calcul!Y37</f>
        <v/>
      </c>
      <c r="T37" s="993" t="str">
        <f>Calcul!AG37</f>
        <v/>
      </c>
      <c r="U37" s="368" t="str">
        <f>IF(A37=FALSE,"",IF(NAMES!$D$10=FALSE,IF(Detail!S37="","",Detail!S37),IF(Crewlist!V37="","",Crewlist!V37)))</f>
        <v/>
      </c>
      <c r="V37" s="245" t="str">
        <f>Calcul!AI37</f>
        <v/>
      </c>
      <c r="W37" s="245" t="str">
        <f>Calcul!AL37</f>
        <v/>
      </c>
      <c r="X37" s="245" t="str">
        <f>Calcul!AM37</f>
        <v/>
      </c>
      <c r="Y37" s="353" t="str">
        <f>Calcul!AN37</f>
        <v/>
      </c>
      <c r="Z37" s="245" t="str">
        <f>Calcul!AO37</f>
        <v/>
      </c>
      <c r="AA37" s="245" t="str">
        <f>Calcul!AP37</f>
        <v/>
      </c>
      <c r="AB37" s="353" t="str">
        <f>Calcul!AQ37</f>
        <v/>
      </c>
      <c r="AC37" s="353" t="str">
        <f>IF(C37=FALSE,"",Calcul!BE37+Calcul!BF37)</f>
        <v/>
      </c>
      <c r="AD37" s="353" t="str">
        <f>IF(C37=FALSE,"",(Calcul!BG37+Calcul!BH37)+SUM(Calcul!BI37:BN37))</f>
        <v/>
      </c>
      <c r="AE37" s="353" t="str">
        <f>Calcul!BP37</f>
        <v/>
      </c>
      <c r="AF37" s="332" t="str">
        <f>IF(A37=FALSE,"",YEAR(Detail!F37)&amp;Detail!AG37&amp;Detail!AD37&amp;"-"&amp;Detail!$AD$13&amp;Detail!AE37)</f>
        <v/>
      </c>
      <c r="AG37" s="1406" t="s">
        <v>2236</v>
      </c>
      <c r="AH37" s="701" t="s">
        <v>2277</v>
      </c>
      <c r="AI37" s="1407">
        <v>0</v>
      </c>
      <c r="AJ37" s="1407" t="s">
        <v>2236</v>
      </c>
      <c r="AK37" s="1410">
        <v>32</v>
      </c>
      <c r="AL37" s="508">
        <v>0</v>
      </c>
      <c r="AM37" s="261">
        <v>1</v>
      </c>
      <c r="AN37" s="261">
        <v>0</v>
      </c>
      <c r="AO37" s="333" t="str">
        <f>IF(A37=FALSE,"",IF(Detail!AL37="","N/A",YEAR(Detail!F37)&amp;Detail!AO37&amp;Detail!AL37&amp;"-"&amp;Detail!$AL$13&amp;Detail!AM37))</f>
        <v/>
      </c>
      <c r="AP37" s="1406" t="s">
        <v>2236</v>
      </c>
      <c r="AQ37" s="701" t="s">
        <v>2277</v>
      </c>
      <c r="AR37" s="1407">
        <f t="shared" si="7"/>
        <v>0</v>
      </c>
      <c r="AS37" s="261" t="s">
        <v>2236</v>
      </c>
      <c r="AT37" s="264">
        <v>0</v>
      </c>
      <c r="AU37" s="261">
        <v>0</v>
      </c>
      <c r="AV37" s="261">
        <v>1</v>
      </c>
      <c r="AW37" s="261">
        <v>0</v>
      </c>
      <c r="AX37" s="920" t="str">
        <f>IF(A37=FALSE,"",IF(Detail!AT37="","N/A",YEAR(Detail!F37)&amp;Detail!AW37&amp;Detail!AT37&amp;"-"&amp;Detail!$AT$13))</f>
        <v/>
      </c>
      <c r="AY37" s="1408" t="s">
        <v>2236</v>
      </c>
      <c r="AZ37" s="308" t="s">
        <v>2278</v>
      </c>
      <c r="BA37" s="440" t="str">
        <f>IF(A37=FALSE,"",51000+(Detail!AA37*7000))</f>
        <v/>
      </c>
      <c r="BB37" s="1412">
        <v>50000</v>
      </c>
      <c r="BC37" s="247">
        <v>3</v>
      </c>
      <c r="BD37" s="261">
        <v>0</v>
      </c>
      <c r="BE37" s="261" t="s">
        <v>2236</v>
      </c>
      <c r="BF37" s="264">
        <v>0</v>
      </c>
      <c r="BG37" s="508">
        <v>0</v>
      </c>
      <c r="BH37" s="261">
        <v>1</v>
      </c>
      <c r="BI37" s="261">
        <v>0</v>
      </c>
      <c r="BJ37" s="311" t="str">
        <f>IF(A37=FALSE,"",IF(Detail!BB37="","N/A",YEAR(Detail!F37)&amp;Detail!BE37&amp;Detail!BB37&amp;"-"&amp;Detail!$BB$13))</f>
        <v/>
      </c>
      <c r="BK37" s="1354" t="s">
        <v>2236</v>
      </c>
      <c r="BL37" s="527" t="s">
        <v>2278</v>
      </c>
      <c r="BM37" s="440" t="str">
        <f>IF(A37=FALSE,"",51000+(Detail!AA37*7000))</f>
        <v/>
      </c>
      <c r="BN37" s="1412">
        <v>50000</v>
      </c>
      <c r="BO37" s="247">
        <v>3</v>
      </c>
      <c r="BP37" s="261">
        <v>0</v>
      </c>
      <c r="BQ37" s="261" t="s">
        <v>2236</v>
      </c>
      <c r="BR37" s="264">
        <v>0</v>
      </c>
      <c r="BS37" s="508">
        <v>0</v>
      </c>
      <c r="BT37" s="261">
        <v>1</v>
      </c>
      <c r="BU37" s="261">
        <v>0</v>
      </c>
      <c r="BV37" s="311" t="str">
        <f>IF(A37=FALSE,"",IF(Detail!BJ37="","N/A",YEAR(Detail!F37)&amp;Detail!BM37&amp;Detail!BJ37&amp;"-"&amp;Detail!$BJ$13))</f>
        <v/>
      </c>
      <c r="BW37" s="1409" t="s">
        <v>2236</v>
      </c>
      <c r="BX37" s="527" t="s">
        <v>2278</v>
      </c>
      <c r="BY37" s="440" t="str">
        <f t="shared" si="8"/>
        <v/>
      </c>
      <c r="BZ37" s="1412">
        <v>50000</v>
      </c>
      <c r="CA37" s="247">
        <v>3</v>
      </c>
      <c r="CB37" s="261">
        <v>0</v>
      </c>
      <c r="CC37" s="261" t="s">
        <v>2236</v>
      </c>
      <c r="CD37" s="264">
        <v>0</v>
      </c>
      <c r="CE37" s="508">
        <v>0</v>
      </c>
      <c r="CF37" s="261">
        <v>1</v>
      </c>
      <c r="CG37" s="261">
        <v>0</v>
      </c>
      <c r="CH37" s="311" t="str">
        <f>IF(A37=FALSE,"",IF(Detail!BR37="","N/A",YEAR(Detail!F37)&amp;Detail!BU37&amp;Detail!BR37&amp;"-"&amp;Detail!$BR$13))</f>
        <v/>
      </c>
      <c r="CI37" s="1327" t="s">
        <v>2236</v>
      </c>
      <c r="CJ37" s="527" t="s">
        <v>2278</v>
      </c>
      <c r="CK37" s="440" t="str">
        <f t="shared" si="9"/>
        <v/>
      </c>
      <c r="CL37" s="1412">
        <v>50000</v>
      </c>
      <c r="CM37" s="247">
        <v>3</v>
      </c>
      <c r="CN37" s="261">
        <v>0</v>
      </c>
      <c r="CO37" s="261" t="s">
        <v>2236</v>
      </c>
      <c r="CP37" s="264">
        <v>0</v>
      </c>
      <c r="CQ37" s="508">
        <v>0</v>
      </c>
      <c r="CR37" s="261">
        <v>1</v>
      </c>
      <c r="CS37" s="261">
        <v>0</v>
      </c>
      <c r="CT37" s="311" t="str">
        <f>IF(A37=FALSE,"",IF(Detail!BZ37="","N/A",YEAR(Detail!F37)&amp;Detail!CC37&amp;Detail!BZ37&amp;"-"&amp;Detail!$BZ$13&amp;" (100%/"&amp;Detail!CD37&amp;"/"&amp;Detail!CE37&amp;"D)"))</f>
        <v/>
      </c>
      <c r="CU37" s="1327" t="s">
        <v>2236</v>
      </c>
      <c r="CV37" s="527" t="s">
        <v>2278</v>
      </c>
      <c r="CW37" s="241">
        <v>7</v>
      </c>
      <c r="CX37" s="1323">
        <v>365</v>
      </c>
      <c r="CY37" s="248">
        <v>1</v>
      </c>
      <c r="CZ37" s="261">
        <v>0</v>
      </c>
      <c r="DA37" s="1325" t="s">
        <v>2236</v>
      </c>
      <c r="DB37" s="538">
        <v>40</v>
      </c>
      <c r="DC37" s="1325">
        <v>0.1</v>
      </c>
      <c r="DD37" s="261">
        <v>1</v>
      </c>
      <c r="DE37" s="261">
        <v>0</v>
      </c>
      <c r="DF37" s="313" t="str">
        <f>IF(A37=FALSE,"",IF(Detail!CH37="","N/A",YEAR(Detail!F37)&amp;Detail!CK37&amp;Detail!CH37&amp;"-"&amp;Detail!$CH$13&amp;" (100%/"&amp;Detail!CL37&amp;"/"&amp;Detail!CM37&amp;"D)"))</f>
        <v/>
      </c>
      <c r="DG37" s="1406" t="s">
        <v>2236</v>
      </c>
      <c r="DH37" s="518" t="s">
        <v>2278</v>
      </c>
      <c r="DI37" s="241">
        <f t="shared" si="10"/>
        <v>7</v>
      </c>
      <c r="DJ37" s="243">
        <f t="shared" si="11"/>
        <v>365</v>
      </c>
      <c r="DK37" s="258">
        <v>1</v>
      </c>
      <c r="DL37" s="261">
        <v>0</v>
      </c>
      <c r="DM37" s="1325" t="s">
        <v>2236</v>
      </c>
      <c r="DN37" s="538">
        <v>40</v>
      </c>
      <c r="DO37" s="1325">
        <f t="shared" si="12"/>
        <v>0.1</v>
      </c>
      <c r="DP37" s="261">
        <v>1</v>
      </c>
      <c r="DQ37" s="261">
        <v>0</v>
      </c>
      <c r="DR37" s="920" t="str">
        <f>IF(A37=FALSE,"",IF(Detail!CP37="","N/A",YEAR(Detail!F37)&amp;Detail!CS37&amp;Detail!CP37&amp;"-"&amp;Detail!$CP$13))</f>
        <v/>
      </c>
      <c r="DS37" s="308" t="s">
        <v>2236</v>
      </c>
      <c r="DT37" s="720" t="s">
        <v>2277</v>
      </c>
      <c r="DU37" s="525">
        <v>50000</v>
      </c>
      <c r="DV37" s="247">
        <v>2</v>
      </c>
      <c r="DW37" s="261">
        <v>0</v>
      </c>
      <c r="DX37" s="261" t="s">
        <v>2236</v>
      </c>
      <c r="DY37" s="264">
        <v>0</v>
      </c>
      <c r="DZ37" s="444">
        <v>0</v>
      </c>
      <c r="EA37" s="444">
        <v>1</v>
      </c>
      <c r="EB37" s="444">
        <v>0</v>
      </c>
      <c r="EC37" s="761" t="str">
        <f>IF(A37=FALSE,"",IF(Detail!CX37="","N/A",YEAR(Detail!F37)&amp;Detail!DA37&amp;Detail!CX37&amp;"-"&amp;Detail!$CX$13))</f>
        <v/>
      </c>
      <c r="ED37" s="445" t="s">
        <v>2236</v>
      </c>
      <c r="EE37" s="720" t="s">
        <v>2277</v>
      </c>
      <c r="EF37" s="525">
        <v>50000</v>
      </c>
      <c r="EG37" s="247">
        <v>2</v>
      </c>
      <c r="EH37" s="261">
        <v>0</v>
      </c>
      <c r="EI37" s="261" t="s">
        <v>2236</v>
      </c>
      <c r="EJ37" s="264">
        <v>0</v>
      </c>
      <c r="EK37" s="444">
        <v>0</v>
      </c>
      <c r="EL37" s="444">
        <v>1</v>
      </c>
      <c r="EM37" s="444">
        <v>0</v>
      </c>
      <c r="EN37" s="333" t="str">
        <f>IF(A37=FALSE,"",IF(Detail!DF37="","N/A",YEAR(Detail!F37)&amp;Detail!DI37&amp;Detail!DF37&amp;"-"&amp;Detail!$DF$13))</f>
        <v/>
      </c>
      <c r="EO37" s="1012" t="s">
        <v>2236</v>
      </c>
      <c r="EP37" s="1012" t="s">
        <v>2277</v>
      </c>
      <c r="EQ37" s="1013">
        <f t="shared" si="13"/>
        <v>0</v>
      </c>
      <c r="ER37" s="1013" t="s">
        <v>2236</v>
      </c>
      <c r="ES37" s="264">
        <v>0</v>
      </c>
      <c r="ET37" s="1013">
        <v>0</v>
      </c>
      <c r="EU37" s="1013">
        <v>1</v>
      </c>
      <c r="EV37" s="1013">
        <v>0</v>
      </c>
      <c r="EW37" s="333" t="str">
        <f>IF(DJ37=FALSE,"",IF(Detail!ET37="","N/A",YEAR(Detail!DN37)&amp;Detail!EW37&amp;Detail!ET37&amp;"-"&amp;Detail!$AL$13&amp;Detail!EU37))</f>
        <v>N/A</v>
      </c>
      <c r="EX37" s="1012" t="s">
        <v>2236</v>
      </c>
      <c r="EY37" s="1012" t="s">
        <v>2277</v>
      </c>
      <c r="EZ37" s="1013">
        <f t="shared" si="14"/>
        <v>0</v>
      </c>
      <c r="FA37" s="1013" t="s">
        <v>2236</v>
      </c>
      <c r="FB37" s="264">
        <v>0</v>
      </c>
      <c r="FC37" s="1013">
        <v>0</v>
      </c>
      <c r="FD37" s="1013">
        <v>1</v>
      </c>
      <c r="FE37" s="1013">
        <v>0</v>
      </c>
    </row>
    <row r="38" spans="1:161" s="422" customFormat="1" ht="30" customHeight="1" outlineLevel="1">
      <c r="A38" s="439" t="b">
        <f>Calcul!A38</f>
        <v>0</v>
      </c>
      <c r="B38" s="510" t="str">
        <f t="shared" si="6"/>
        <v/>
      </c>
      <c r="C38" s="1404" t="b">
        <v>0</v>
      </c>
      <c r="D38" s="1404" t="s">
        <v>2147</v>
      </c>
      <c r="E38" s="1405" t="s">
        <v>2335</v>
      </c>
      <c r="F38" s="243" t="s">
        <v>2146</v>
      </c>
      <c r="G38" s="356" t="str">
        <f>IF(A38=FALSE,"",IF(NAMES!$D$10=FALSE,IF(Detail!H38="","",Detail!H38),IF(Crewlist!D38="","",Crewlist!D38)))</f>
        <v/>
      </c>
      <c r="H38" s="356" t="str">
        <f>IF(A38=FALSE,"",IF(NAMES!$D$10=FALSE,IF(Detail!P38="","",Detail!P38),IF(Crewlist!E38="","",Crewlist!E38)))</f>
        <v/>
      </c>
      <c r="I38" s="356" t="str">
        <f>IF(A38=FALSE,"",IF(NAMES!$D$10=FALSE,IF(Detail!K38="","",Detail!K38),IF(Crewlist!F38="","",Crewlist!F38)))</f>
        <v/>
      </c>
      <c r="J38" s="1001" t="str">
        <f>IF(Crewlist!T38="","",Crewlist!T38)</f>
        <v/>
      </c>
      <c r="K38" s="1001" t="str">
        <f>IF(Crewlist!D38="","",IF(Crewlist!U38="",Crewlist!Y38,IF(DATERENOUVMOINS730&lt;&gt;Crewlist!U38&lt;&gt;Crewlist!Y38,Crewlist!U38,DATERENOUVMOINS365)))</f>
        <v/>
      </c>
      <c r="L38" s="775" t="str">
        <f>IF(Detail!X38="","",Detail!X38)</f>
        <v/>
      </c>
      <c r="M38" s="775" t="str">
        <f>IF(Detail!H38="","",IF(Detail!Y38="",DATERENOUV,IF(Detail!Y38&gt;Detail!D38,Detail!D38,Detail!Y38)))</f>
        <v/>
      </c>
      <c r="N38" s="1015" t="str">
        <f>IF(A38=FALSE,"",IF(NAMES!$D$10=FALSE,IF(B38=B39,IF(O38=O39,0,(DATEDIF(L38,M38,"M")+1)),(DATEDIF(L38,M38,"M")+1)),IF(B38=B39,IF(O38=O39,0,(DATEDIF(J38,K38,"M")+1)),(DATEDIF(J38,K38,"M")+1))))</f>
        <v/>
      </c>
      <c r="O38" s="357" t="str">
        <f t="shared" si="5"/>
        <v/>
      </c>
      <c r="P38" s="358" t="str">
        <f>IF(A38=FALSE,"",IF(NAMES!$D$10=FALSE,IF((DATEDIF(L38,M38,"D")+1)&lt;365,(DATEDIF(L38,M38,"D")+1),365),IF((DATEDIF(J38,K38,"D")+1)&lt;365,(DATEDIF(J38,K38,"D")+1),365)))</f>
        <v/>
      </c>
      <c r="Q38" s="358" t="str">
        <f>IF(A38=FALSE,"",IF(NAMES!$D$10=FALSE,IF(M38="",365,DATEDIF(L38,M38,"D")+1),IF(M38="",365,DATEDIF(J38,K38,"D")+1)))</f>
        <v/>
      </c>
      <c r="R38" s="950" t="str">
        <f>Calcul!X38</f>
        <v/>
      </c>
      <c r="S38" s="950" t="str">
        <f>Calcul!Y38</f>
        <v/>
      </c>
      <c r="T38" s="993" t="str">
        <f>Calcul!AG38</f>
        <v/>
      </c>
      <c r="U38" s="368" t="str">
        <f>IF(A38=FALSE,"",IF(NAMES!$D$10=FALSE,IF(Detail!S38="","",Detail!S38),IF(Crewlist!V38="","",Crewlist!V38)))</f>
        <v/>
      </c>
      <c r="V38" s="245" t="str">
        <f>Calcul!AI38</f>
        <v/>
      </c>
      <c r="W38" s="245" t="str">
        <f>Calcul!AL38</f>
        <v/>
      </c>
      <c r="X38" s="245" t="str">
        <f>Calcul!AM38</f>
        <v/>
      </c>
      <c r="Y38" s="353" t="str">
        <f>Calcul!AN38</f>
        <v/>
      </c>
      <c r="Z38" s="245" t="str">
        <f>Calcul!AO38</f>
        <v/>
      </c>
      <c r="AA38" s="245" t="str">
        <f>Calcul!AP38</f>
        <v/>
      </c>
      <c r="AB38" s="353" t="str">
        <f>Calcul!AQ38</f>
        <v/>
      </c>
      <c r="AC38" s="353" t="str">
        <f>IF(C38=FALSE,"",Calcul!BE38+Calcul!BF38)</f>
        <v/>
      </c>
      <c r="AD38" s="353" t="str">
        <f>IF(C38=FALSE,"",(Calcul!BG38+Calcul!BH38)+SUM(Calcul!BI38:BN38))</f>
        <v/>
      </c>
      <c r="AE38" s="353" t="str">
        <f>Calcul!BP38</f>
        <v/>
      </c>
      <c r="AF38" s="332" t="str">
        <f>IF(A38=FALSE,"",YEAR(Detail!F38)&amp;Detail!AG38&amp;Detail!AD38&amp;"-"&amp;Detail!$AD$13&amp;Detail!AE38)</f>
        <v/>
      </c>
      <c r="AG38" s="1406" t="s">
        <v>2236</v>
      </c>
      <c r="AH38" s="701" t="s">
        <v>2277</v>
      </c>
      <c r="AI38" s="1407">
        <v>0</v>
      </c>
      <c r="AJ38" s="1407" t="s">
        <v>2236</v>
      </c>
      <c r="AK38" s="1410">
        <v>32</v>
      </c>
      <c r="AL38" s="508">
        <v>0</v>
      </c>
      <c r="AM38" s="261">
        <v>1</v>
      </c>
      <c r="AN38" s="261">
        <v>0</v>
      </c>
      <c r="AO38" s="333" t="str">
        <f>IF(A38=FALSE,"",IF(Detail!AL38="","N/A",YEAR(Detail!F38)&amp;Detail!AO38&amp;Detail!AL38&amp;"-"&amp;Detail!$AL$13&amp;Detail!AM38))</f>
        <v/>
      </c>
      <c r="AP38" s="1406" t="s">
        <v>2236</v>
      </c>
      <c r="AQ38" s="701" t="s">
        <v>2277</v>
      </c>
      <c r="AR38" s="1407">
        <f t="shared" si="7"/>
        <v>0</v>
      </c>
      <c r="AS38" s="261" t="s">
        <v>2236</v>
      </c>
      <c r="AT38" s="264">
        <v>0</v>
      </c>
      <c r="AU38" s="261">
        <v>0</v>
      </c>
      <c r="AV38" s="261">
        <v>1</v>
      </c>
      <c r="AW38" s="261">
        <v>0</v>
      </c>
      <c r="AX38" s="920" t="str">
        <f>IF(A38=FALSE,"",IF(Detail!AT38="","N/A",YEAR(Detail!F38)&amp;Detail!AW38&amp;Detail!AT38&amp;"-"&amp;Detail!$AT$13))</f>
        <v/>
      </c>
      <c r="AY38" s="1408" t="s">
        <v>2236</v>
      </c>
      <c r="AZ38" s="308" t="s">
        <v>2278</v>
      </c>
      <c r="BA38" s="440" t="str">
        <f>IF(A38=FALSE,"",51000+(Detail!AA38*7000))</f>
        <v/>
      </c>
      <c r="BB38" s="1412">
        <v>50000</v>
      </c>
      <c r="BC38" s="247">
        <v>3</v>
      </c>
      <c r="BD38" s="261">
        <v>0</v>
      </c>
      <c r="BE38" s="261" t="s">
        <v>2236</v>
      </c>
      <c r="BF38" s="264">
        <v>0</v>
      </c>
      <c r="BG38" s="508">
        <v>0</v>
      </c>
      <c r="BH38" s="261">
        <v>1</v>
      </c>
      <c r="BI38" s="261">
        <v>0</v>
      </c>
      <c r="BJ38" s="311" t="str">
        <f>IF(A38=FALSE,"",IF(Detail!BB38="","N/A",YEAR(Detail!F38)&amp;Detail!BE38&amp;Detail!BB38&amp;"-"&amp;Detail!$BB$13))</f>
        <v/>
      </c>
      <c r="BK38" s="1354" t="s">
        <v>2236</v>
      </c>
      <c r="BL38" s="527" t="s">
        <v>2278</v>
      </c>
      <c r="BM38" s="440" t="str">
        <f>IF(A38=FALSE,"",51000+(Detail!AA38*7000))</f>
        <v/>
      </c>
      <c r="BN38" s="1412">
        <v>50000</v>
      </c>
      <c r="BO38" s="247">
        <v>3</v>
      </c>
      <c r="BP38" s="261">
        <v>0</v>
      </c>
      <c r="BQ38" s="261" t="s">
        <v>2236</v>
      </c>
      <c r="BR38" s="264">
        <v>0</v>
      </c>
      <c r="BS38" s="508">
        <v>0</v>
      </c>
      <c r="BT38" s="261">
        <v>1</v>
      </c>
      <c r="BU38" s="261">
        <v>0</v>
      </c>
      <c r="BV38" s="311" t="str">
        <f>IF(A38=FALSE,"",IF(Detail!BJ38="","N/A",YEAR(Detail!F38)&amp;Detail!BM38&amp;Detail!BJ38&amp;"-"&amp;Detail!$BJ$13))</f>
        <v/>
      </c>
      <c r="BW38" s="1409" t="s">
        <v>2236</v>
      </c>
      <c r="BX38" s="527" t="s">
        <v>2278</v>
      </c>
      <c r="BY38" s="440" t="str">
        <f t="shared" si="8"/>
        <v/>
      </c>
      <c r="BZ38" s="1412">
        <v>50000</v>
      </c>
      <c r="CA38" s="247">
        <v>3</v>
      </c>
      <c r="CB38" s="261">
        <v>0</v>
      </c>
      <c r="CC38" s="261" t="s">
        <v>2236</v>
      </c>
      <c r="CD38" s="264">
        <v>0</v>
      </c>
      <c r="CE38" s="508">
        <v>0</v>
      </c>
      <c r="CF38" s="261">
        <v>1</v>
      </c>
      <c r="CG38" s="261">
        <v>0</v>
      </c>
      <c r="CH38" s="311" t="str">
        <f>IF(A38=FALSE,"",IF(Detail!BR38="","N/A",YEAR(Detail!F38)&amp;Detail!BU38&amp;Detail!BR38&amp;"-"&amp;Detail!$BR$13))</f>
        <v/>
      </c>
      <c r="CI38" s="1327" t="s">
        <v>2236</v>
      </c>
      <c r="CJ38" s="527" t="s">
        <v>2278</v>
      </c>
      <c r="CK38" s="440" t="str">
        <f t="shared" si="9"/>
        <v/>
      </c>
      <c r="CL38" s="1412">
        <v>50000</v>
      </c>
      <c r="CM38" s="247">
        <v>3</v>
      </c>
      <c r="CN38" s="261">
        <v>0</v>
      </c>
      <c r="CO38" s="261" t="s">
        <v>2236</v>
      </c>
      <c r="CP38" s="264">
        <v>0</v>
      </c>
      <c r="CQ38" s="508">
        <v>0</v>
      </c>
      <c r="CR38" s="261">
        <v>1</v>
      </c>
      <c r="CS38" s="261">
        <v>0</v>
      </c>
      <c r="CT38" s="311" t="str">
        <f>IF(A38=FALSE,"",IF(Detail!BZ38="","N/A",YEAR(Detail!F38)&amp;Detail!CC38&amp;Detail!BZ38&amp;"-"&amp;Detail!$BZ$13&amp;" (100%/"&amp;Detail!CD38&amp;"/"&amp;Detail!CE38&amp;"D)"))</f>
        <v/>
      </c>
      <c r="CU38" s="1327" t="s">
        <v>2236</v>
      </c>
      <c r="CV38" s="527" t="s">
        <v>2278</v>
      </c>
      <c r="CW38" s="241">
        <v>7</v>
      </c>
      <c r="CX38" s="1323">
        <v>365</v>
      </c>
      <c r="CY38" s="248">
        <v>1</v>
      </c>
      <c r="CZ38" s="261">
        <v>0</v>
      </c>
      <c r="DA38" s="1325" t="s">
        <v>2236</v>
      </c>
      <c r="DB38" s="538">
        <v>40</v>
      </c>
      <c r="DC38" s="1325">
        <v>0.1</v>
      </c>
      <c r="DD38" s="261">
        <v>1</v>
      </c>
      <c r="DE38" s="261">
        <v>0</v>
      </c>
      <c r="DF38" s="313" t="str">
        <f>IF(A38=FALSE,"",IF(Detail!CH38="","N/A",YEAR(Detail!F38)&amp;Detail!CK38&amp;Detail!CH38&amp;"-"&amp;Detail!$CH$13&amp;" (100%/"&amp;Detail!CL38&amp;"/"&amp;Detail!CM38&amp;"D)"))</f>
        <v/>
      </c>
      <c r="DG38" s="1406" t="s">
        <v>2236</v>
      </c>
      <c r="DH38" s="518" t="s">
        <v>2278</v>
      </c>
      <c r="DI38" s="241">
        <f t="shared" si="10"/>
        <v>7</v>
      </c>
      <c r="DJ38" s="243">
        <f t="shared" si="11"/>
        <v>365</v>
      </c>
      <c r="DK38" s="258">
        <v>1</v>
      </c>
      <c r="DL38" s="261">
        <v>0</v>
      </c>
      <c r="DM38" s="1325" t="s">
        <v>2236</v>
      </c>
      <c r="DN38" s="538">
        <v>40</v>
      </c>
      <c r="DO38" s="1325">
        <f t="shared" si="12"/>
        <v>0.1</v>
      </c>
      <c r="DP38" s="261">
        <v>1</v>
      </c>
      <c r="DQ38" s="261">
        <v>0</v>
      </c>
      <c r="DR38" s="920" t="str">
        <f>IF(A38=FALSE,"",IF(Detail!CP38="","N/A",YEAR(Detail!F38)&amp;Detail!CS38&amp;Detail!CP38&amp;"-"&amp;Detail!$CP$13))</f>
        <v/>
      </c>
      <c r="DS38" s="308" t="s">
        <v>2236</v>
      </c>
      <c r="DT38" s="720" t="s">
        <v>2277</v>
      </c>
      <c r="DU38" s="525">
        <v>50000</v>
      </c>
      <c r="DV38" s="247">
        <v>2</v>
      </c>
      <c r="DW38" s="261">
        <v>0</v>
      </c>
      <c r="DX38" s="261" t="s">
        <v>2236</v>
      </c>
      <c r="DY38" s="264">
        <v>0</v>
      </c>
      <c r="DZ38" s="444">
        <v>0</v>
      </c>
      <c r="EA38" s="444">
        <v>1</v>
      </c>
      <c r="EB38" s="444">
        <v>0</v>
      </c>
      <c r="EC38" s="761" t="str">
        <f>IF(A38=FALSE,"",IF(Detail!CX38="","N/A",YEAR(Detail!F38)&amp;Detail!DA38&amp;Detail!CX38&amp;"-"&amp;Detail!$CX$13))</f>
        <v/>
      </c>
      <c r="ED38" s="445" t="s">
        <v>2236</v>
      </c>
      <c r="EE38" s="720" t="s">
        <v>2277</v>
      </c>
      <c r="EF38" s="525">
        <v>50000</v>
      </c>
      <c r="EG38" s="247">
        <v>2</v>
      </c>
      <c r="EH38" s="261">
        <v>0</v>
      </c>
      <c r="EI38" s="261" t="s">
        <v>2236</v>
      </c>
      <c r="EJ38" s="264">
        <v>0</v>
      </c>
      <c r="EK38" s="444">
        <v>0</v>
      </c>
      <c r="EL38" s="444">
        <v>1</v>
      </c>
      <c r="EM38" s="444">
        <v>0</v>
      </c>
      <c r="EN38" s="333" t="str">
        <f>IF(A38=FALSE,"",IF(Detail!DF38="","N/A",YEAR(Detail!F38)&amp;Detail!DI38&amp;Detail!DF38&amp;"-"&amp;Detail!$DF$13))</f>
        <v/>
      </c>
      <c r="EO38" s="1012" t="s">
        <v>2236</v>
      </c>
      <c r="EP38" s="1012" t="s">
        <v>2277</v>
      </c>
      <c r="EQ38" s="1013">
        <f t="shared" si="13"/>
        <v>0</v>
      </c>
      <c r="ER38" s="1013" t="s">
        <v>2236</v>
      </c>
      <c r="ES38" s="264">
        <v>0</v>
      </c>
      <c r="ET38" s="1013">
        <v>0</v>
      </c>
      <c r="EU38" s="1013">
        <v>1</v>
      </c>
      <c r="EV38" s="1013">
        <v>0</v>
      </c>
      <c r="EW38" s="333" t="str">
        <f>IF(DJ38=FALSE,"",IF(Detail!ET38="","N/A",YEAR(Detail!DN38)&amp;Detail!EW38&amp;Detail!ET38&amp;"-"&amp;Detail!$AL$13&amp;Detail!EU38))</f>
        <v>N/A</v>
      </c>
      <c r="EX38" s="1012" t="s">
        <v>2236</v>
      </c>
      <c r="EY38" s="1012" t="s">
        <v>2277</v>
      </c>
      <c r="EZ38" s="1013">
        <f t="shared" si="14"/>
        <v>0</v>
      </c>
      <c r="FA38" s="1013" t="s">
        <v>2236</v>
      </c>
      <c r="FB38" s="264">
        <v>0</v>
      </c>
      <c r="FC38" s="1013">
        <v>0</v>
      </c>
      <c r="FD38" s="1013">
        <v>1</v>
      </c>
      <c r="FE38" s="1013">
        <v>0</v>
      </c>
    </row>
    <row r="39" spans="1:161" s="422" customFormat="1" ht="30" customHeight="1" outlineLevel="1">
      <c r="A39" s="439" t="b">
        <f>Calcul!A39</f>
        <v>0</v>
      </c>
      <c r="B39" s="510" t="str">
        <f t="shared" si="6"/>
        <v/>
      </c>
      <c r="C39" s="1404" t="b">
        <v>0</v>
      </c>
      <c r="D39" s="1404" t="s">
        <v>2147</v>
      </c>
      <c r="E39" s="1405" t="s">
        <v>2335</v>
      </c>
      <c r="F39" s="243" t="s">
        <v>2146</v>
      </c>
      <c r="G39" s="356" t="str">
        <f>IF(A39=FALSE,"",IF(NAMES!$D$10=FALSE,IF(Detail!H39="","",Detail!H39),IF(Crewlist!D39="","",Crewlist!D39)))</f>
        <v/>
      </c>
      <c r="H39" s="356" t="str">
        <f>IF(A39=FALSE,"",IF(NAMES!$D$10=FALSE,IF(Detail!P39="","",Detail!P39),IF(Crewlist!E39="","",Crewlist!E39)))</f>
        <v/>
      </c>
      <c r="I39" s="356" t="str">
        <f>IF(A39=FALSE,"",IF(NAMES!$D$10=FALSE,IF(Detail!K39="","",Detail!K39),IF(Crewlist!F39="","",Crewlist!F39)))</f>
        <v/>
      </c>
      <c r="J39" s="1001" t="str">
        <f>IF(Crewlist!T39="","",Crewlist!T39)</f>
        <v/>
      </c>
      <c r="K39" s="1001" t="str">
        <f>IF(Crewlist!D39="","",IF(Crewlist!U39="",Crewlist!Y39,IF(DATERENOUVMOINS730&lt;&gt;Crewlist!U39&lt;&gt;Crewlist!Y39,Crewlist!U39,DATERENOUVMOINS365)))</f>
        <v/>
      </c>
      <c r="L39" s="775" t="str">
        <f>IF(Detail!X39="","",Detail!X39)</f>
        <v/>
      </c>
      <c r="M39" s="775" t="str">
        <f>IF(Detail!H39="","",IF(Detail!Y39="",DATERENOUV,IF(Detail!Y39&gt;Detail!D39,Detail!D39,Detail!Y39)))</f>
        <v/>
      </c>
      <c r="N39" s="1015" t="str">
        <f>IF(A39=FALSE,"",IF(NAMES!$D$10=FALSE,IF(B39=B40,IF(O39=O40,0,(DATEDIF(L39,M39,"M")+1)),(DATEDIF(L39,M39,"M")+1)),IF(B39=B40,IF(O39=O40,0,(DATEDIF(J39,K39,"M")+1)),(DATEDIF(J39,K39,"M")+1))))</f>
        <v/>
      </c>
      <c r="O39" s="357" t="str">
        <f t="shared" si="5"/>
        <v/>
      </c>
      <c r="P39" s="358" t="str">
        <f>IF(A39=FALSE,"",IF(NAMES!$D$10=FALSE,IF((DATEDIF(L39,M39,"D")+1)&lt;365,(DATEDIF(L39,M39,"D")+1),365),IF((DATEDIF(J39,K39,"D")+1)&lt;365,(DATEDIF(J39,K39,"D")+1),365)))</f>
        <v/>
      </c>
      <c r="Q39" s="358" t="str">
        <f>IF(A39=FALSE,"",IF(NAMES!$D$10=FALSE,IF(M39="",365,DATEDIF(L39,M39,"D")+1),IF(M39="",365,DATEDIF(J39,K39,"D")+1)))</f>
        <v/>
      </c>
      <c r="R39" s="950" t="str">
        <f>Calcul!X39</f>
        <v/>
      </c>
      <c r="S39" s="950" t="str">
        <f>Calcul!Y39</f>
        <v/>
      </c>
      <c r="T39" s="993" t="str">
        <f>Calcul!AG39</f>
        <v/>
      </c>
      <c r="U39" s="368" t="str">
        <f>IF(A39=FALSE,"",IF(NAMES!$D$10=FALSE,IF(Detail!S39="","",Detail!S39),IF(Crewlist!V39="","",Crewlist!V39)))</f>
        <v/>
      </c>
      <c r="V39" s="245" t="str">
        <f>Calcul!AI39</f>
        <v/>
      </c>
      <c r="W39" s="245" t="str">
        <f>Calcul!AL39</f>
        <v/>
      </c>
      <c r="X39" s="245" t="str">
        <f>Calcul!AM39</f>
        <v/>
      </c>
      <c r="Y39" s="353" t="str">
        <f>Calcul!AN39</f>
        <v/>
      </c>
      <c r="Z39" s="245" t="str">
        <f>Calcul!AO39</f>
        <v/>
      </c>
      <c r="AA39" s="245" t="str">
        <f>Calcul!AP39</f>
        <v/>
      </c>
      <c r="AB39" s="353" t="str">
        <f>Calcul!AQ39</f>
        <v/>
      </c>
      <c r="AC39" s="353" t="str">
        <f>IF(C39=FALSE,"",Calcul!BE39+Calcul!BF39)</f>
        <v/>
      </c>
      <c r="AD39" s="353" t="str">
        <f>IF(C39=FALSE,"",(Calcul!BG39+Calcul!BH39)+SUM(Calcul!BI39:BN39))</f>
        <v/>
      </c>
      <c r="AE39" s="353" t="str">
        <f>Calcul!BP39</f>
        <v/>
      </c>
      <c r="AF39" s="332" t="str">
        <f>IF(A39=FALSE,"",YEAR(Detail!F39)&amp;Detail!AG39&amp;Detail!AD39&amp;"-"&amp;Detail!$AD$13&amp;Detail!AE39)</f>
        <v/>
      </c>
      <c r="AG39" s="1406" t="s">
        <v>2236</v>
      </c>
      <c r="AH39" s="701" t="s">
        <v>2277</v>
      </c>
      <c r="AI39" s="1407">
        <v>0</v>
      </c>
      <c r="AJ39" s="1407" t="s">
        <v>2236</v>
      </c>
      <c r="AK39" s="1410">
        <v>32</v>
      </c>
      <c r="AL39" s="508">
        <v>0</v>
      </c>
      <c r="AM39" s="261">
        <v>1</v>
      </c>
      <c r="AN39" s="261">
        <v>0</v>
      </c>
      <c r="AO39" s="333" t="str">
        <f>IF(A39=FALSE,"",IF(Detail!AL39="","N/A",YEAR(Detail!F39)&amp;Detail!AO39&amp;Detail!AL39&amp;"-"&amp;Detail!$AL$13&amp;Detail!AM39))</f>
        <v/>
      </c>
      <c r="AP39" s="1406" t="s">
        <v>2236</v>
      </c>
      <c r="AQ39" s="701" t="s">
        <v>2277</v>
      </c>
      <c r="AR39" s="1407">
        <f t="shared" si="7"/>
        <v>0</v>
      </c>
      <c r="AS39" s="261" t="s">
        <v>2236</v>
      </c>
      <c r="AT39" s="264">
        <v>0</v>
      </c>
      <c r="AU39" s="261">
        <v>0</v>
      </c>
      <c r="AV39" s="261">
        <v>1</v>
      </c>
      <c r="AW39" s="261">
        <v>0</v>
      </c>
      <c r="AX39" s="920" t="str">
        <f>IF(A39=FALSE,"",IF(Detail!AT39="","N/A",YEAR(Detail!F39)&amp;Detail!AW39&amp;Detail!AT39&amp;"-"&amp;Detail!$AT$13))</f>
        <v/>
      </c>
      <c r="AY39" s="1408" t="s">
        <v>2236</v>
      </c>
      <c r="AZ39" s="308" t="s">
        <v>2278</v>
      </c>
      <c r="BA39" s="440" t="str">
        <f>IF(A39=FALSE,"",51000+(Detail!AA39*7000))</f>
        <v/>
      </c>
      <c r="BB39" s="1412">
        <v>50000</v>
      </c>
      <c r="BC39" s="247">
        <v>3</v>
      </c>
      <c r="BD39" s="261">
        <v>0</v>
      </c>
      <c r="BE39" s="261" t="s">
        <v>2236</v>
      </c>
      <c r="BF39" s="264">
        <v>0</v>
      </c>
      <c r="BG39" s="508">
        <v>0</v>
      </c>
      <c r="BH39" s="261">
        <v>1</v>
      </c>
      <c r="BI39" s="261">
        <v>0</v>
      </c>
      <c r="BJ39" s="311" t="str">
        <f>IF(A39=FALSE,"",IF(Detail!BB39="","N/A",YEAR(Detail!F39)&amp;Detail!BE39&amp;Detail!BB39&amp;"-"&amp;Detail!$BB$13))</f>
        <v/>
      </c>
      <c r="BK39" s="1354" t="s">
        <v>2236</v>
      </c>
      <c r="BL39" s="527" t="s">
        <v>2278</v>
      </c>
      <c r="BM39" s="440" t="str">
        <f>IF(A39=FALSE,"",51000+(Detail!AA39*7000))</f>
        <v/>
      </c>
      <c r="BN39" s="1412">
        <v>50000</v>
      </c>
      <c r="BO39" s="247">
        <v>3</v>
      </c>
      <c r="BP39" s="261">
        <v>0</v>
      </c>
      <c r="BQ39" s="261" t="s">
        <v>2236</v>
      </c>
      <c r="BR39" s="264">
        <v>0</v>
      </c>
      <c r="BS39" s="508">
        <v>0</v>
      </c>
      <c r="BT39" s="261">
        <v>1</v>
      </c>
      <c r="BU39" s="261">
        <v>0</v>
      </c>
      <c r="BV39" s="311" t="str">
        <f>IF(A39=FALSE,"",IF(Detail!BJ39="","N/A",YEAR(Detail!F39)&amp;Detail!BM39&amp;Detail!BJ39&amp;"-"&amp;Detail!$BJ$13))</f>
        <v/>
      </c>
      <c r="BW39" s="1409" t="s">
        <v>2236</v>
      </c>
      <c r="BX39" s="527" t="s">
        <v>2278</v>
      </c>
      <c r="BY39" s="440" t="str">
        <f t="shared" si="8"/>
        <v/>
      </c>
      <c r="BZ39" s="1412">
        <v>50000</v>
      </c>
      <c r="CA39" s="247">
        <v>3</v>
      </c>
      <c r="CB39" s="261">
        <v>0</v>
      </c>
      <c r="CC39" s="261" t="s">
        <v>2236</v>
      </c>
      <c r="CD39" s="264">
        <v>0</v>
      </c>
      <c r="CE39" s="508">
        <v>0</v>
      </c>
      <c r="CF39" s="261">
        <v>1</v>
      </c>
      <c r="CG39" s="261">
        <v>0</v>
      </c>
      <c r="CH39" s="311" t="str">
        <f>IF(A39=FALSE,"",IF(Detail!BR39="","N/A",YEAR(Detail!F39)&amp;Detail!BU39&amp;Detail!BR39&amp;"-"&amp;Detail!$BR$13))</f>
        <v/>
      </c>
      <c r="CI39" s="1327" t="s">
        <v>2236</v>
      </c>
      <c r="CJ39" s="527" t="s">
        <v>2278</v>
      </c>
      <c r="CK39" s="440" t="str">
        <f t="shared" si="9"/>
        <v/>
      </c>
      <c r="CL39" s="1412">
        <v>50000</v>
      </c>
      <c r="CM39" s="247">
        <v>3</v>
      </c>
      <c r="CN39" s="261">
        <v>0</v>
      </c>
      <c r="CO39" s="261" t="s">
        <v>2236</v>
      </c>
      <c r="CP39" s="264">
        <v>0</v>
      </c>
      <c r="CQ39" s="508">
        <v>0</v>
      </c>
      <c r="CR39" s="261">
        <v>1</v>
      </c>
      <c r="CS39" s="261">
        <v>0</v>
      </c>
      <c r="CT39" s="311" t="str">
        <f>IF(A39=FALSE,"",IF(Detail!BZ39="","N/A",YEAR(Detail!F39)&amp;Detail!CC39&amp;Detail!BZ39&amp;"-"&amp;Detail!$BZ$13&amp;" (100%/"&amp;Detail!CD39&amp;"/"&amp;Detail!CE39&amp;"D)"))</f>
        <v/>
      </c>
      <c r="CU39" s="1327" t="s">
        <v>2236</v>
      </c>
      <c r="CV39" s="527" t="s">
        <v>2278</v>
      </c>
      <c r="CW39" s="241">
        <v>7</v>
      </c>
      <c r="CX39" s="1323">
        <v>365</v>
      </c>
      <c r="CY39" s="248">
        <v>1</v>
      </c>
      <c r="CZ39" s="261">
        <v>0</v>
      </c>
      <c r="DA39" s="1325" t="s">
        <v>2236</v>
      </c>
      <c r="DB39" s="538">
        <v>40</v>
      </c>
      <c r="DC39" s="1325">
        <v>0.1</v>
      </c>
      <c r="DD39" s="261">
        <v>1</v>
      </c>
      <c r="DE39" s="261">
        <v>0</v>
      </c>
      <c r="DF39" s="313" t="str">
        <f>IF(A39=FALSE,"",IF(Detail!CH39="","N/A",YEAR(Detail!F39)&amp;Detail!CK39&amp;Detail!CH39&amp;"-"&amp;Detail!$CH$13&amp;" (100%/"&amp;Detail!CL39&amp;"/"&amp;Detail!CM39&amp;"D)"))</f>
        <v/>
      </c>
      <c r="DG39" s="1406" t="s">
        <v>2236</v>
      </c>
      <c r="DH39" s="518" t="s">
        <v>2278</v>
      </c>
      <c r="DI39" s="241">
        <f t="shared" si="10"/>
        <v>7</v>
      </c>
      <c r="DJ39" s="243">
        <f t="shared" si="11"/>
        <v>365</v>
      </c>
      <c r="DK39" s="258">
        <v>1</v>
      </c>
      <c r="DL39" s="261">
        <v>0</v>
      </c>
      <c r="DM39" s="1325" t="s">
        <v>2236</v>
      </c>
      <c r="DN39" s="538">
        <v>40</v>
      </c>
      <c r="DO39" s="1325">
        <f t="shared" si="12"/>
        <v>0.1</v>
      </c>
      <c r="DP39" s="261">
        <v>1</v>
      </c>
      <c r="DQ39" s="261">
        <v>0</v>
      </c>
      <c r="DR39" s="920" t="str">
        <f>IF(A39=FALSE,"",IF(Detail!CP39="","N/A",YEAR(Detail!F39)&amp;Detail!CS39&amp;Detail!CP39&amp;"-"&amp;Detail!$CP$13))</f>
        <v/>
      </c>
      <c r="DS39" s="308" t="s">
        <v>2236</v>
      </c>
      <c r="DT39" s="720" t="s">
        <v>2277</v>
      </c>
      <c r="DU39" s="244">
        <v>50000</v>
      </c>
      <c r="DV39" s="247">
        <v>2</v>
      </c>
      <c r="DW39" s="261">
        <v>0</v>
      </c>
      <c r="DX39" s="261" t="s">
        <v>2236</v>
      </c>
      <c r="DY39" s="264">
        <v>0</v>
      </c>
      <c r="DZ39" s="444">
        <v>0</v>
      </c>
      <c r="EA39" s="444">
        <v>1</v>
      </c>
      <c r="EB39" s="444">
        <v>0</v>
      </c>
      <c r="EC39" s="761" t="str">
        <f>IF(A39=FALSE,"",IF(Detail!CX39="","N/A",YEAR(Detail!F39)&amp;Detail!DA39&amp;Detail!CX39&amp;"-"&amp;Detail!$CX$13))</f>
        <v/>
      </c>
      <c r="ED39" s="445" t="s">
        <v>2236</v>
      </c>
      <c r="EE39" s="720" t="s">
        <v>2277</v>
      </c>
      <c r="EF39" s="244">
        <v>50000</v>
      </c>
      <c r="EG39" s="247">
        <v>2</v>
      </c>
      <c r="EH39" s="261">
        <v>0</v>
      </c>
      <c r="EI39" s="261" t="s">
        <v>2236</v>
      </c>
      <c r="EJ39" s="264">
        <v>0</v>
      </c>
      <c r="EK39" s="444">
        <v>0</v>
      </c>
      <c r="EL39" s="444">
        <v>1</v>
      </c>
      <c r="EM39" s="444">
        <v>0</v>
      </c>
      <c r="EN39" s="333" t="str">
        <f>IF(A39=FALSE,"",IF(Detail!DF39="","N/A",YEAR(Detail!F39)&amp;Detail!DI39&amp;Detail!DF39&amp;"-"&amp;Detail!$DF$13))</f>
        <v/>
      </c>
      <c r="EO39" s="1012" t="s">
        <v>2236</v>
      </c>
      <c r="EP39" s="1012" t="s">
        <v>2277</v>
      </c>
      <c r="EQ39" s="1013">
        <f t="shared" si="13"/>
        <v>0</v>
      </c>
      <c r="ER39" s="1013" t="s">
        <v>2236</v>
      </c>
      <c r="ES39" s="264">
        <v>0</v>
      </c>
      <c r="ET39" s="1013">
        <v>0</v>
      </c>
      <c r="EU39" s="1013">
        <v>1</v>
      </c>
      <c r="EV39" s="1013">
        <v>0</v>
      </c>
      <c r="EW39" s="333" t="str">
        <f>IF(DJ39=FALSE,"",IF(Detail!ET39="","N/A",YEAR(Detail!DN39)&amp;Detail!EW39&amp;Detail!ET39&amp;"-"&amp;Detail!$AL$13&amp;Detail!EU39))</f>
        <v>N/A</v>
      </c>
      <c r="EX39" s="1012" t="s">
        <v>2236</v>
      </c>
      <c r="EY39" s="1012" t="s">
        <v>2277</v>
      </c>
      <c r="EZ39" s="1013">
        <f t="shared" si="14"/>
        <v>0</v>
      </c>
      <c r="FA39" s="1013" t="s">
        <v>2236</v>
      </c>
      <c r="FB39" s="264">
        <v>0</v>
      </c>
      <c r="FC39" s="1013">
        <v>0</v>
      </c>
      <c r="FD39" s="1013">
        <v>1</v>
      </c>
      <c r="FE39" s="1013">
        <v>0</v>
      </c>
    </row>
    <row r="40" spans="1:161" s="422" customFormat="1" ht="30" customHeight="1" outlineLevel="1">
      <c r="A40" s="439" t="b">
        <f>Calcul!A40</f>
        <v>0</v>
      </c>
      <c r="B40" s="510" t="str">
        <f t="shared" si="6"/>
        <v/>
      </c>
      <c r="C40" s="1404" t="b">
        <v>0</v>
      </c>
      <c r="D40" s="1404" t="s">
        <v>2147</v>
      </c>
      <c r="E40" s="1405" t="s">
        <v>2335</v>
      </c>
      <c r="F40" s="243" t="s">
        <v>2146</v>
      </c>
      <c r="G40" s="356" t="str">
        <f>IF(A40=FALSE,"",IF(NAMES!$D$10=FALSE,IF(Detail!H40="","",Detail!H40),IF(Crewlist!D40="","",Crewlist!D40)))</f>
        <v/>
      </c>
      <c r="H40" s="356" t="str">
        <f>IF(A40=FALSE,"",IF(NAMES!$D$10=FALSE,IF(Detail!P40="","",Detail!P40),IF(Crewlist!E40="","",Crewlist!E40)))</f>
        <v/>
      </c>
      <c r="I40" s="356" t="str">
        <f>IF(A40=FALSE,"",IF(NAMES!$D$10=FALSE,IF(Detail!K40="","",Detail!K40),IF(Crewlist!F40="","",Crewlist!F40)))</f>
        <v/>
      </c>
      <c r="J40" s="1001" t="str">
        <f>IF(Crewlist!T40="","",Crewlist!T40)</f>
        <v/>
      </c>
      <c r="K40" s="1001" t="str">
        <f>IF(Crewlist!D40="","",IF(Crewlist!U40="",Crewlist!Y40,IF(DATERENOUVMOINS730&lt;&gt;Crewlist!U40&lt;&gt;Crewlist!Y40,Crewlist!U40,DATERENOUVMOINS365)))</f>
        <v/>
      </c>
      <c r="L40" s="775" t="str">
        <f>IF(Detail!X40="","",Detail!X40)</f>
        <v/>
      </c>
      <c r="M40" s="775" t="str">
        <f>IF(Detail!H40="","",IF(Detail!Y40="",DATERENOUV,IF(Detail!Y40&gt;Detail!D40,Detail!D40,Detail!Y40)))</f>
        <v/>
      </c>
      <c r="N40" s="1015" t="str">
        <f>IF(A40=FALSE,"",IF(NAMES!$D$10=FALSE,IF(B40=B41,IF(O40=O41,0,(DATEDIF(L40,M40,"M")+1)),(DATEDIF(L40,M40,"M")+1)),IF(B40=B41,IF(O40=O41,0,(DATEDIF(J40,K40,"M")+1)),(DATEDIF(J40,K40,"M")+1))))</f>
        <v/>
      </c>
      <c r="O40" s="357" t="str">
        <f t="shared" si="5"/>
        <v/>
      </c>
      <c r="P40" s="358" t="str">
        <f>IF(A40=FALSE,"",IF(NAMES!$D$10=FALSE,IF((DATEDIF(L40,M40,"D")+1)&lt;365,(DATEDIF(L40,M40,"D")+1),365),IF((DATEDIF(J40,K40,"D")+1)&lt;365,(DATEDIF(J40,K40,"D")+1),365)))</f>
        <v/>
      </c>
      <c r="Q40" s="358" t="str">
        <f>IF(A40=FALSE,"",IF(NAMES!$D$10=FALSE,IF(M40="",365,DATEDIF(L40,M40,"D")+1),IF(M40="",365,DATEDIF(J40,K40,"D")+1)))</f>
        <v/>
      </c>
      <c r="R40" s="950" t="str">
        <f>Calcul!X40</f>
        <v/>
      </c>
      <c r="S40" s="950" t="str">
        <f>Calcul!Y40</f>
        <v/>
      </c>
      <c r="T40" s="993" t="str">
        <f>Calcul!AG40</f>
        <v/>
      </c>
      <c r="U40" s="368" t="str">
        <f>IF(A40=FALSE,"",IF(NAMES!$D$10=FALSE,IF(Detail!S40="","",Detail!S40),IF(Crewlist!V40="","",Crewlist!V40)))</f>
        <v/>
      </c>
      <c r="V40" s="245" t="str">
        <f>Calcul!AI40</f>
        <v/>
      </c>
      <c r="W40" s="245" t="str">
        <f>Calcul!AL40</f>
        <v/>
      </c>
      <c r="X40" s="245" t="str">
        <f>Calcul!AM40</f>
        <v/>
      </c>
      <c r="Y40" s="353" t="str">
        <f>Calcul!AN40</f>
        <v/>
      </c>
      <c r="Z40" s="245" t="str">
        <f>Calcul!AO40</f>
        <v/>
      </c>
      <c r="AA40" s="245" t="str">
        <f>Calcul!AP40</f>
        <v/>
      </c>
      <c r="AB40" s="353" t="str">
        <f>Calcul!AQ40</f>
        <v/>
      </c>
      <c r="AC40" s="353" t="str">
        <f>IF(C40=FALSE,"",Calcul!BE40+Calcul!BF40)</f>
        <v/>
      </c>
      <c r="AD40" s="353" t="str">
        <f>IF(C40=FALSE,"",(Calcul!BG40+Calcul!BH40)+SUM(Calcul!BI40:BN40))</f>
        <v/>
      </c>
      <c r="AE40" s="353" t="str">
        <f>Calcul!BP40</f>
        <v/>
      </c>
      <c r="AF40" s="332" t="str">
        <f>IF(A40=FALSE,"",YEAR(Detail!F40)&amp;Detail!AG40&amp;Detail!AD40&amp;"-"&amp;Detail!$AD$13&amp;Detail!AE40)</f>
        <v/>
      </c>
      <c r="AG40" s="1406" t="s">
        <v>2236</v>
      </c>
      <c r="AH40" s="701" t="s">
        <v>2277</v>
      </c>
      <c r="AI40" s="1407">
        <v>0</v>
      </c>
      <c r="AJ40" s="1407" t="s">
        <v>2236</v>
      </c>
      <c r="AK40" s="1410">
        <v>32</v>
      </c>
      <c r="AL40" s="508">
        <v>0</v>
      </c>
      <c r="AM40" s="261">
        <v>1</v>
      </c>
      <c r="AN40" s="261">
        <v>0</v>
      </c>
      <c r="AO40" s="333" t="str">
        <f>IF(A40=FALSE,"",IF(Detail!AL40="","N/A",YEAR(Detail!F40)&amp;Detail!AO40&amp;Detail!AL40&amp;"-"&amp;Detail!$AL$13&amp;Detail!AM40))</f>
        <v/>
      </c>
      <c r="AP40" s="1406" t="s">
        <v>2236</v>
      </c>
      <c r="AQ40" s="701" t="s">
        <v>2277</v>
      </c>
      <c r="AR40" s="1407">
        <f t="shared" si="7"/>
        <v>0</v>
      </c>
      <c r="AS40" s="261" t="s">
        <v>2236</v>
      </c>
      <c r="AT40" s="264">
        <v>0</v>
      </c>
      <c r="AU40" s="261">
        <v>0</v>
      </c>
      <c r="AV40" s="261">
        <v>1</v>
      </c>
      <c r="AW40" s="261">
        <v>0</v>
      </c>
      <c r="AX40" s="920" t="str">
        <f>IF(A40=FALSE,"",IF(Detail!AT40="","N/A",YEAR(Detail!F40)&amp;Detail!AW40&amp;Detail!AT40&amp;"-"&amp;Detail!$AT$13))</f>
        <v/>
      </c>
      <c r="AY40" s="1408" t="s">
        <v>2236</v>
      </c>
      <c r="AZ40" s="308" t="s">
        <v>2278</v>
      </c>
      <c r="BA40" s="440" t="str">
        <f>IF(A40=FALSE,"",51000+(Detail!AA40*7000))</f>
        <v/>
      </c>
      <c r="BB40" s="1412">
        <v>50000</v>
      </c>
      <c r="BC40" s="247">
        <v>3</v>
      </c>
      <c r="BD40" s="261">
        <v>0</v>
      </c>
      <c r="BE40" s="261" t="s">
        <v>2236</v>
      </c>
      <c r="BF40" s="264">
        <v>0</v>
      </c>
      <c r="BG40" s="508">
        <v>0</v>
      </c>
      <c r="BH40" s="261">
        <v>1</v>
      </c>
      <c r="BI40" s="261">
        <v>0</v>
      </c>
      <c r="BJ40" s="311" t="str">
        <f>IF(A40=FALSE,"",IF(Detail!BB40="","N/A",YEAR(Detail!F40)&amp;Detail!BE40&amp;Detail!BB40&amp;"-"&amp;Detail!$BB$13))</f>
        <v/>
      </c>
      <c r="BK40" s="1354" t="s">
        <v>2236</v>
      </c>
      <c r="BL40" s="527" t="s">
        <v>2278</v>
      </c>
      <c r="BM40" s="440" t="str">
        <f>IF(A40=FALSE,"",51000+(Detail!AA40*7000))</f>
        <v/>
      </c>
      <c r="BN40" s="1412">
        <v>50000</v>
      </c>
      <c r="BO40" s="247">
        <v>3</v>
      </c>
      <c r="BP40" s="261">
        <v>0</v>
      </c>
      <c r="BQ40" s="261" t="s">
        <v>2236</v>
      </c>
      <c r="BR40" s="264">
        <v>0</v>
      </c>
      <c r="BS40" s="508">
        <v>0</v>
      </c>
      <c r="BT40" s="261">
        <v>1</v>
      </c>
      <c r="BU40" s="261">
        <v>0</v>
      </c>
      <c r="BV40" s="311" t="str">
        <f>IF(A40=FALSE,"",IF(Detail!BJ40="","N/A",YEAR(Detail!F40)&amp;Detail!BM40&amp;Detail!BJ40&amp;"-"&amp;Detail!$BJ$13))</f>
        <v/>
      </c>
      <c r="BW40" s="1409" t="s">
        <v>2236</v>
      </c>
      <c r="BX40" s="527" t="s">
        <v>2278</v>
      </c>
      <c r="BY40" s="440" t="str">
        <f t="shared" si="8"/>
        <v/>
      </c>
      <c r="BZ40" s="1412">
        <v>50000</v>
      </c>
      <c r="CA40" s="247">
        <v>3</v>
      </c>
      <c r="CB40" s="261">
        <v>0</v>
      </c>
      <c r="CC40" s="261" t="s">
        <v>2236</v>
      </c>
      <c r="CD40" s="264">
        <v>0</v>
      </c>
      <c r="CE40" s="508">
        <v>0</v>
      </c>
      <c r="CF40" s="261">
        <v>1</v>
      </c>
      <c r="CG40" s="261">
        <v>0</v>
      </c>
      <c r="CH40" s="311" t="str">
        <f>IF(A40=FALSE,"",IF(Detail!BR40="","N/A",YEAR(Detail!F40)&amp;Detail!BU40&amp;Detail!BR40&amp;"-"&amp;Detail!$BR$13))</f>
        <v/>
      </c>
      <c r="CI40" s="1327" t="s">
        <v>2236</v>
      </c>
      <c r="CJ40" s="527" t="s">
        <v>2278</v>
      </c>
      <c r="CK40" s="440" t="str">
        <f t="shared" si="9"/>
        <v/>
      </c>
      <c r="CL40" s="1412">
        <v>50000</v>
      </c>
      <c r="CM40" s="247">
        <v>3</v>
      </c>
      <c r="CN40" s="261">
        <v>0</v>
      </c>
      <c r="CO40" s="261" t="s">
        <v>2236</v>
      </c>
      <c r="CP40" s="264">
        <v>0</v>
      </c>
      <c r="CQ40" s="508">
        <v>0</v>
      </c>
      <c r="CR40" s="261">
        <v>1</v>
      </c>
      <c r="CS40" s="261">
        <v>0</v>
      </c>
      <c r="CT40" s="311" t="str">
        <f>IF(A40=FALSE,"",IF(Detail!BZ40="","N/A",YEAR(Detail!F40)&amp;Detail!CC40&amp;Detail!BZ40&amp;"-"&amp;Detail!$BZ$13&amp;" (100%/"&amp;Detail!CD40&amp;"/"&amp;Detail!CE40&amp;"D)"))</f>
        <v/>
      </c>
      <c r="CU40" s="1327" t="s">
        <v>2236</v>
      </c>
      <c r="CV40" s="527" t="s">
        <v>2278</v>
      </c>
      <c r="CW40" s="241">
        <v>7</v>
      </c>
      <c r="CX40" s="1323">
        <v>365</v>
      </c>
      <c r="CY40" s="248">
        <v>1</v>
      </c>
      <c r="CZ40" s="261">
        <v>0</v>
      </c>
      <c r="DA40" s="1325" t="s">
        <v>2236</v>
      </c>
      <c r="DB40" s="538">
        <v>40</v>
      </c>
      <c r="DC40" s="1325">
        <v>0.1</v>
      </c>
      <c r="DD40" s="261">
        <v>1</v>
      </c>
      <c r="DE40" s="261">
        <v>0</v>
      </c>
      <c r="DF40" s="313" t="str">
        <f>IF(A40=FALSE,"",IF(Detail!CH40="","N/A",YEAR(Detail!F40)&amp;Detail!CK40&amp;Detail!CH40&amp;"-"&amp;Detail!$CH$13&amp;" (100%/"&amp;Detail!CL40&amp;"/"&amp;Detail!CM40&amp;"D)"))</f>
        <v/>
      </c>
      <c r="DG40" s="1406" t="s">
        <v>2236</v>
      </c>
      <c r="DH40" s="518" t="s">
        <v>2278</v>
      </c>
      <c r="DI40" s="241">
        <f t="shared" si="10"/>
        <v>7</v>
      </c>
      <c r="DJ40" s="243">
        <f t="shared" si="11"/>
        <v>365</v>
      </c>
      <c r="DK40" s="258">
        <v>1</v>
      </c>
      <c r="DL40" s="261">
        <v>0</v>
      </c>
      <c r="DM40" s="1325" t="s">
        <v>2236</v>
      </c>
      <c r="DN40" s="538">
        <v>40</v>
      </c>
      <c r="DO40" s="1325">
        <f t="shared" si="12"/>
        <v>0.1</v>
      </c>
      <c r="DP40" s="261">
        <v>1</v>
      </c>
      <c r="DQ40" s="261">
        <v>0</v>
      </c>
      <c r="DR40" s="920" t="str">
        <f>IF(A40=FALSE,"",IF(Detail!CP40="","N/A",YEAR(Detail!F40)&amp;Detail!CS40&amp;Detail!CP40&amp;"-"&amp;Detail!$CP$13))</f>
        <v/>
      </c>
      <c r="DS40" s="308" t="s">
        <v>2236</v>
      </c>
      <c r="DT40" s="720" t="s">
        <v>2277</v>
      </c>
      <c r="DU40" s="244">
        <v>50000</v>
      </c>
      <c r="DV40" s="247">
        <v>2</v>
      </c>
      <c r="DW40" s="261">
        <v>0</v>
      </c>
      <c r="DX40" s="261" t="s">
        <v>2236</v>
      </c>
      <c r="DY40" s="264">
        <v>0</v>
      </c>
      <c r="DZ40" s="444">
        <v>0</v>
      </c>
      <c r="EA40" s="444">
        <v>1</v>
      </c>
      <c r="EB40" s="444">
        <v>0</v>
      </c>
      <c r="EC40" s="761" t="str">
        <f>IF(A40=FALSE,"",IF(Detail!CX40="","N/A",YEAR(Detail!F40)&amp;Detail!DA40&amp;Detail!CX40&amp;"-"&amp;Detail!$CX$13))</f>
        <v/>
      </c>
      <c r="ED40" s="445" t="s">
        <v>2236</v>
      </c>
      <c r="EE40" s="720" t="s">
        <v>2277</v>
      </c>
      <c r="EF40" s="244">
        <v>50000</v>
      </c>
      <c r="EG40" s="247">
        <v>2</v>
      </c>
      <c r="EH40" s="261">
        <v>0</v>
      </c>
      <c r="EI40" s="261" t="s">
        <v>2236</v>
      </c>
      <c r="EJ40" s="264">
        <v>0</v>
      </c>
      <c r="EK40" s="444">
        <v>0</v>
      </c>
      <c r="EL40" s="444">
        <v>1</v>
      </c>
      <c r="EM40" s="444">
        <v>0</v>
      </c>
      <c r="EN40" s="333" t="str">
        <f>IF(A40=FALSE,"",IF(Detail!DF40="","N/A",YEAR(Detail!F40)&amp;Detail!DI40&amp;Detail!DF40&amp;"-"&amp;Detail!$DF$13))</f>
        <v/>
      </c>
      <c r="EO40" s="1012" t="s">
        <v>2236</v>
      </c>
      <c r="EP40" s="1012" t="s">
        <v>2277</v>
      </c>
      <c r="EQ40" s="1013">
        <f t="shared" si="13"/>
        <v>0</v>
      </c>
      <c r="ER40" s="1013" t="s">
        <v>2236</v>
      </c>
      <c r="ES40" s="264">
        <v>0</v>
      </c>
      <c r="ET40" s="1013">
        <v>0</v>
      </c>
      <c r="EU40" s="1013">
        <v>1</v>
      </c>
      <c r="EV40" s="1013">
        <v>0</v>
      </c>
      <c r="EW40" s="333" t="str">
        <f>IF(DJ40=FALSE,"",IF(Detail!ET40="","N/A",YEAR(Detail!DN40)&amp;Detail!EW40&amp;Detail!ET40&amp;"-"&amp;Detail!$AL$13&amp;Detail!EU40))</f>
        <v>N/A</v>
      </c>
      <c r="EX40" s="1012" t="s">
        <v>2236</v>
      </c>
      <c r="EY40" s="1012" t="s">
        <v>2277</v>
      </c>
      <c r="EZ40" s="1013">
        <f t="shared" si="14"/>
        <v>0</v>
      </c>
      <c r="FA40" s="1013" t="s">
        <v>2236</v>
      </c>
      <c r="FB40" s="264">
        <v>0</v>
      </c>
      <c r="FC40" s="1013">
        <v>0</v>
      </c>
      <c r="FD40" s="1013">
        <v>1</v>
      </c>
      <c r="FE40" s="1013">
        <v>0</v>
      </c>
    </row>
    <row r="41" spans="1:161" s="422" customFormat="1" ht="30" customHeight="1" outlineLevel="1">
      <c r="A41" s="439" t="b">
        <f>Calcul!A41</f>
        <v>0</v>
      </c>
      <c r="B41" s="510" t="str">
        <f t="shared" si="6"/>
        <v/>
      </c>
      <c r="C41" s="1404" t="b">
        <v>0</v>
      </c>
      <c r="D41" s="1404" t="s">
        <v>2147</v>
      </c>
      <c r="E41" s="1405" t="s">
        <v>2335</v>
      </c>
      <c r="F41" s="243" t="s">
        <v>2146</v>
      </c>
      <c r="G41" s="356" t="str">
        <f>IF(A41=FALSE,"",IF(NAMES!$D$10=FALSE,IF(Detail!H41="","",Detail!H41),IF(Crewlist!D41="","",Crewlist!D41)))</f>
        <v/>
      </c>
      <c r="H41" s="356" t="str">
        <f>IF(A41=FALSE,"",IF(NAMES!$D$10=FALSE,IF(Detail!P41="","",Detail!P41),IF(Crewlist!E41="","",Crewlist!E41)))</f>
        <v/>
      </c>
      <c r="I41" s="356" t="str">
        <f>IF(A41=FALSE,"",IF(NAMES!$D$10=FALSE,IF(Detail!K41="","",Detail!K41),IF(Crewlist!F41="","",Crewlist!F41)))</f>
        <v/>
      </c>
      <c r="J41" s="1001" t="str">
        <f>IF(Crewlist!T41="","",Crewlist!T41)</f>
        <v/>
      </c>
      <c r="K41" s="1001" t="str">
        <f>IF(Crewlist!D41="","",IF(Crewlist!U41="",Crewlist!Y41,IF(DATERENOUVMOINS730&lt;&gt;Crewlist!U41&lt;&gt;Crewlist!Y41,Crewlist!U41,DATERENOUVMOINS365)))</f>
        <v/>
      </c>
      <c r="L41" s="775" t="str">
        <f>IF(Detail!X41="","",Detail!X41)</f>
        <v/>
      </c>
      <c r="M41" s="775" t="str">
        <f>IF(Detail!H41="","",IF(Detail!Y41="",DATERENOUV,IF(Detail!Y41&gt;Detail!D41,Detail!D41,Detail!Y41)))</f>
        <v/>
      </c>
      <c r="N41" s="1015" t="str">
        <f>IF(A41=FALSE,"",IF(NAMES!$D$10=FALSE,IF(B41=B42,IF(O41=O42,0,(DATEDIF(L41,M41,"M")+1)),(DATEDIF(L41,M41,"M")+1)),IF(B41=B42,IF(O41=O42,0,(DATEDIF(J41,K41,"M")+1)),(DATEDIF(J41,K41,"M")+1))))</f>
        <v/>
      </c>
      <c r="O41" s="357" t="str">
        <f t="shared" si="5"/>
        <v/>
      </c>
      <c r="P41" s="358" t="str">
        <f>IF(A41=FALSE,"",IF(NAMES!$D$10=FALSE,IF((DATEDIF(L41,M41,"D")+1)&lt;365,(DATEDIF(L41,M41,"D")+1),365),IF((DATEDIF(J41,K41,"D")+1)&lt;365,(DATEDIF(J41,K41,"D")+1),365)))</f>
        <v/>
      </c>
      <c r="Q41" s="358" t="str">
        <f>IF(A41=FALSE,"",IF(NAMES!$D$10=FALSE,IF(M41="",365,DATEDIF(L41,M41,"D")+1),IF(M41="",365,DATEDIF(J41,K41,"D")+1)))</f>
        <v/>
      </c>
      <c r="R41" s="950" t="str">
        <f>Calcul!X41</f>
        <v/>
      </c>
      <c r="S41" s="950" t="str">
        <f>Calcul!Y41</f>
        <v/>
      </c>
      <c r="T41" s="993" t="str">
        <f>Calcul!AG41</f>
        <v/>
      </c>
      <c r="U41" s="368" t="str">
        <f>IF(A41=FALSE,"",IF(NAMES!$D$10=FALSE,IF(Detail!S41="","",Detail!S41),IF(Crewlist!V41="","",Crewlist!V41)))</f>
        <v/>
      </c>
      <c r="V41" s="245" t="str">
        <f>Calcul!AI41</f>
        <v/>
      </c>
      <c r="W41" s="245" t="str">
        <f>Calcul!AL41</f>
        <v/>
      </c>
      <c r="X41" s="245" t="str">
        <f>Calcul!AM41</f>
        <v/>
      </c>
      <c r="Y41" s="353" t="str">
        <f>Calcul!AN41</f>
        <v/>
      </c>
      <c r="Z41" s="245" t="str">
        <f>Calcul!AO41</f>
        <v/>
      </c>
      <c r="AA41" s="245" t="str">
        <f>Calcul!AP41</f>
        <v/>
      </c>
      <c r="AB41" s="353" t="str">
        <f>Calcul!AQ41</f>
        <v/>
      </c>
      <c r="AC41" s="353" t="str">
        <f>IF(C41=FALSE,"",Calcul!BE41+Calcul!BF41)</f>
        <v/>
      </c>
      <c r="AD41" s="353" t="str">
        <f>IF(C41=FALSE,"",(Calcul!BG41+Calcul!BH41)+SUM(Calcul!BI41:BN41))</f>
        <v/>
      </c>
      <c r="AE41" s="353" t="str">
        <f>Calcul!BP41</f>
        <v/>
      </c>
      <c r="AF41" s="332" t="str">
        <f>IF(A41=FALSE,"",YEAR(Detail!F41)&amp;Detail!AG41&amp;Detail!AD41&amp;"-"&amp;Detail!$AD$13&amp;Detail!AE41)</f>
        <v/>
      </c>
      <c r="AG41" s="1406" t="s">
        <v>2236</v>
      </c>
      <c r="AH41" s="701" t="s">
        <v>2277</v>
      </c>
      <c r="AI41" s="1407">
        <v>0</v>
      </c>
      <c r="AJ41" s="1407" t="s">
        <v>2236</v>
      </c>
      <c r="AK41" s="1410">
        <v>32</v>
      </c>
      <c r="AL41" s="508">
        <v>0</v>
      </c>
      <c r="AM41" s="261">
        <v>1</v>
      </c>
      <c r="AN41" s="261">
        <v>0</v>
      </c>
      <c r="AO41" s="333" t="str">
        <f>IF(A41=FALSE,"",IF(Detail!AL41="","N/A",YEAR(Detail!F41)&amp;Detail!AO41&amp;Detail!AL41&amp;"-"&amp;Detail!$AL$13&amp;Detail!AM41))</f>
        <v/>
      </c>
      <c r="AP41" s="1406" t="s">
        <v>2236</v>
      </c>
      <c r="AQ41" s="701" t="s">
        <v>2277</v>
      </c>
      <c r="AR41" s="1407">
        <f t="shared" si="7"/>
        <v>0</v>
      </c>
      <c r="AS41" s="261" t="s">
        <v>2236</v>
      </c>
      <c r="AT41" s="264">
        <v>0</v>
      </c>
      <c r="AU41" s="261">
        <v>0</v>
      </c>
      <c r="AV41" s="261">
        <v>1</v>
      </c>
      <c r="AW41" s="261">
        <v>0</v>
      </c>
      <c r="AX41" s="920" t="str">
        <f>IF(A41=FALSE,"",IF(Detail!AT41="","N/A",YEAR(Detail!F41)&amp;Detail!AW41&amp;Detail!AT41&amp;"-"&amp;Detail!$AT$13))</f>
        <v/>
      </c>
      <c r="AY41" s="1408" t="s">
        <v>2236</v>
      </c>
      <c r="AZ41" s="308" t="s">
        <v>2278</v>
      </c>
      <c r="BA41" s="440" t="str">
        <f>IF(A41=FALSE,"",51000+(Detail!AA41*7000))</f>
        <v/>
      </c>
      <c r="BB41" s="1412">
        <v>50000</v>
      </c>
      <c r="BC41" s="247">
        <v>3</v>
      </c>
      <c r="BD41" s="261">
        <v>0</v>
      </c>
      <c r="BE41" s="261" t="s">
        <v>2236</v>
      </c>
      <c r="BF41" s="264">
        <v>0</v>
      </c>
      <c r="BG41" s="508">
        <v>0</v>
      </c>
      <c r="BH41" s="261">
        <v>1</v>
      </c>
      <c r="BI41" s="261">
        <v>0</v>
      </c>
      <c r="BJ41" s="311" t="str">
        <f>IF(A41=FALSE,"",IF(Detail!BB41="","N/A",YEAR(Detail!F41)&amp;Detail!BE41&amp;Detail!BB41&amp;"-"&amp;Detail!$BB$13))</f>
        <v/>
      </c>
      <c r="BK41" s="1354" t="s">
        <v>2236</v>
      </c>
      <c r="BL41" s="527" t="s">
        <v>2278</v>
      </c>
      <c r="BM41" s="440" t="str">
        <f>IF(A41=FALSE,"",51000+(Detail!AA41*7000))</f>
        <v/>
      </c>
      <c r="BN41" s="1412">
        <v>50000</v>
      </c>
      <c r="BO41" s="247">
        <v>3</v>
      </c>
      <c r="BP41" s="261">
        <v>0</v>
      </c>
      <c r="BQ41" s="261" t="s">
        <v>2236</v>
      </c>
      <c r="BR41" s="264">
        <v>0</v>
      </c>
      <c r="BS41" s="508">
        <v>0</v>
      </c>
      <c r="BT41" s="261">
        <v>1</v>
      </c>
      <c r="BU41" s="261">
        <v>0</v>
      </c>
      <c r="BV41" s="311" t="str">
        <f>IF(A41=FALSE,"",IF(Detail!BJ41="","N/A",YEAR(Detail!F41)&amp;Detail!BM41&amp;Detail!BJ41&amp;"-"&amp;Detail!$BJ$13))</f>
        <v/>
      </c>
      <c r="BW41" s="1409" t="s">
        <v>2236</v>
      </c>
      <c r="BX41" s="527" t="s">
        <v>2278</v>
      </c>
      <c r="BY41" s="440" t="str">
        <f t="shared" si="8"/>
        <v/>
      </c>
      <c r="BZ41" s="1412">
        <v>50000</v>
      </c>
      <c r="CA41" s="247">
        <v>3</v>
      </c>
      <c r="CB41" s="261">
        <v>0</v>
      </c>
      <c r="CC41" s="261" t="s">
        <v>2236</v>
      </c>
      <c r="CD41" s="264">
        <v>0</v>
      </c>
      <c r="CE41" s="508">
        <v>0</v>
      </c>
      <c r="CF41" s="261">
        <v>1</v>
      </c>
      <c r="CG41" s="261">
        <v>0</v>
      </c>
      <c r="CH41" s="311" t="str">
        <f>IF(A41=FALSE,"",IF(Detail!BR41="","N/A",YEAR(Detail!F41)&amp;Detail!BU41&amp;Detail!BR41&amp;"-"&amp;Detail!$BR$13))</f>
        <v/>
      </c>
      <c r="CI41" s="1327" t="s">
        <v>2236</v>
      </c>
      <c r="CJ41" s="527" t="s">
        <v>2278</v>
      </c>
      <c r="CK41" s="440" t="str">
        <f t="shared" si="9"/>
        <v/>
      </c>
      <c r="CL41" s="1412">
        <v>50000</v>
      </c>
      <c r="CM41" s="247">
        <v>3</v>
      </c>
      <c r="CN41" s="261">
        <v>0</v>
      </c>
      <c r="CO41" s="261" t="s">
        <v>2236</v>
      </c>
      <c r="CP41" s="264">
        <v>0</v>
      </c>
      <c r="CQ41" s="508">
        <v>0</v>
      </c>
      <c r="CR41" s="261">
        <v>1</v>
      </c>
      <c r="CS41" s="261">
        <v>0</v>
      </c>
      <c r="CT41" s="311" t="str">
        <f>IF(A41=FALSE,"",IF(Detail!BZ41="","N/A",YEAR(Detail!F41)&amp;Detail!CC41&amp;Detail!BZ41&amp;"-"&amp;Detail!$BZ$13&amp;" (100%/"&amp;Detail!CD41&amp;"/"&amp;Detail!CE41&amp;"D)"))</f>
        <v/>
      </c>
      <c r="CU41" s="1327" t="s">
        <v>2236</v>
      </c>
      <c r="CV41" s="527" t="s">
        <v>2278</v>
      </c>
      <c r="CW41" s="241">
        <v>7</v>
      </c>
      <c r="CX41" s="1323">
        <v>365</v>
      </c>
      <c r="CY41" s="248">
        <v>1</v>
      </c>
      <c r="CZ41" s="261">
        <v>0</v>
      </c>
      <c r="DA41" s="1325" t="s">
        <v>2236</v>
      </c>
      <c r="DB41" s="538">
        <v>40</v>
      </c>
      <c r="DC41" s="1325">
        <v>0.1</v>
      </c>
      <c r="DD41" s="261">
        <v>1</v>
      </c>
      <c r="DE41" s="261">
        <v>0</v>
      </c>
      <c r="DF41" s="313" t="str">
        <f>IF(A41=FALSE,"",IF(Detail!CH41="","N/A",YEAR(Detail!F41)&amp;Detail!CK41&amp;Detail!CH41&amp;"-"&amp;Detail!$CH$13&amp;" (100%/"&amp;Detail!CL41&amp;"/"&amp;Detail!CM41&amp;"D)"))</f>
        <v/>
      </c>
      <c r="DG41" s="1406" t="s">
        <v>2236</v>
      </c>
      <c r="DH41" s="518" t="s">
        <v>2278</v>
      </c>
      <c r="DI41" s="241">
        <f t="shared" si="10"/>
        <v>7</v>
      </c>
      <c r="DJ41" s="243">
        <f t="shared" si="11"/>
        <v>365</v>
      </c>
      <c r="DK41" s="258">
        <v>1</v>
      </c>
      <c r="DL41" s="261">
        <v>0</v>
      </c>
      <c r="DM41" s="1325" t="s">
        <v>2236</v>
      </c>
      <c r="DN41" s="538">
        <v>40</v>
      </c>
      <c r="DO41" s="1325">
        <f t="shared" si="12"/>
        <v>0.1</v>
      </c>
      <c r="DP41" s="261">
        <v>1</v>
      </c>
      <c r="DQ41" s="261">
        <v>0</v>
      </c>
      <c r="DR41" s="920" t="str">
        <f>IF(A41=FALSE,"",IF(Detail!CP41="","N/A",YEAR(Detail!F41)&amp;Detail!CS41&amp;Detail!CP41&amp;"-"&amp;Detail!$CP$13))</f>
        <v/>
      </c>
      <c r="DS41" s="308" t="s">
        <v>2236</v>
      </c>
      <c r="DT41" s="720" t="s">
        <v>2277</v>
      </c>
      <c r="DU41" s="244">
        <v>50000</v>
      </c>
      <c r="DV41" s="247">
        <v>2</v>
      </c>
      <c r="DW41" s="261">
        <v>0</v>
      </c>
      <c r="DX41" s="261" t="s">
        <v>2236</v>
      </c>
      <c r="DY41" s="264">
        <v>0</v>
      </c>
      <c r="DZ41" s="444">
        <v>0</v>
      </c>
      <c r="EA41" s="444">
        <v>1</v>
      </c>
      <c r="EB41" s="444">
        <v>0</v>
      </c>
      <c r="EC41" s="761" t="str">
        <f>IF(A41=FALSE,"",IF(Detail!CX41="","N/A",YEAR(Detail!F41)&amp;Detail!DA41&amp;Detail!CX41&amp;"-"&amp;Detail!$CX$13))</f>
        <v/>
      </c>
      <c r="ED41" s="445" t="s">
        <v>2236</v>
      </c>
      <c r="EE41" s="720" t="s">
        <v>2277</v>
      </c>
      <c r="EF41" s="244">
        <v>50000</v>
      </c>
      <c r="EG41" s="247">
        <v>2</v>
      </c>
      <c r="EH41" s="261">
        <v>0</v>
      </c>
      <c r="EI41" s="261" t="s">
        <v>2236</v>
      </c>
      <c r="EJ41" s="264">
        <v>0</v>
      </c>
      <c r="EK41" s="444">
        <v>0</v>
      </c>
      <c r="EL41" s="444">
        <v>1</v>
      </c>
      <c r="EM41" s="444">
        <v>0</v>
      </c>
      <c r="EN41" s="333" t="str">
        <f>IF(A41=FALSE,"",IF(Detail!DF41="","N/A",YEAR(Detail!F41)&amp;Detail!DI41&amp;Detail!DF41&amp;"-"&amp;Detail!$DF$13))</f>
        <v/>
      </c>
      <c r="EO41" s="1012" t="s">
        <v>2236</v>
      </c>
      <c r="EP41" s="1012" t="s">
        <v>2277</v>
      </c>
      <c r="EQ41" s="1013">
        <f t="shared" si="13"/>
        <v>0</v>
      </c>
      <c r="ER41" s="1013" t="s">
        <v>2236</v>
      </c>
      <c r="ES41" s="264">
        <v>0</v>
      </c>
      <c r="ET41" s="1013">
        <v>0</v>
      </c>
      <c r="EU41" s="1013">
        <v>1</v>
      </c>
      <c r="EV41" s="1013">
        <v>0</v>
      </c>
      <c r="EW41" s="333" t="str">
        <f>IF(DJ41=FALSE,"",IF(Detail!ET41="","N/A",YEAR(Detail!DN41)&amp;Detail!EW41&amp;Detail!ET41&amp;"-"&amp;Detail!$AL$13&amp;Detail!EU41))</f>
        <v>N/A</v>
      </c>
      <c r="EX41" s="1012" t="s">
        <v>2236</v>
      </c>
      <c r="EY41" s="1012" t="s">
        <v>2277</v>
      </c>
      <c r="EZ41" s="1013">
        <f t="shared" si="14"/>
        <v>0</v>
      </c>
      <c r="FA41" s="1013" t="s">
        <v>2236</v>
      </c>
      <c r="FB41" s="264">
        <v>0</v>
      </c>
      <c r="FC41" s="1013">
        <v>0</v>
      </c>
      <c r="FD41" s="1013">
        <v>1</v>
      </c>
      <c r="FE41" s="1013">
        <v>0</v>
      </c>
    </row>
    <row r="42" spans="1:161" s="422" customFormat="1" ht="30" customHeight="1" outlineLevel="1">
      <c r="A42" s="439" t="b">
        <f>Calcul!A42</f>
        <v>0</v>
      </c>
      <c r="B42" s="510" t="str">
        <f t="shared" si="6"/>
        <v/>
      </c>
      <c r="C42" s="1404" t="b">
        <v>0</v>
      </c>
      <c r="D42" s="1404" t="s">
        <v>2147</v>
      </c>
      <c r="E42" s="1405" t="s">
        <v>2335</v>
      </c>
      <c r="F42" s="243" t="s">
        <v>2146</v>
      </c>
      <c r="G42" s="356" t="str">
        <f>IF(A42=FALSE,"",IF(NAMES!$D$10=FALSE,IF(Detail!H42="","",Detail!H42),IF(Crewlist!D42="","",Crewlist!D42)))</f>
        <v/>
      </c>
      <c r="H42" s="356" t="str">
        <f>IF(A42=FALSE,"",IF(NAMES!$D$10=FALSE,IF(Detail!P42="","",Detail!P42),IF(Crewlist!E42="","",Crewlist!E42)))</f>
        <v/>
      </c>
      <c r="I42" s="356" t="str">
        <f>IF(A42=FALSE,"",IF(NAMES!$D$10=FALSE,IF(Detail!K42="","",Detail!K42),IF(Crewlist!F42="","",Crewlist!F42)))</f>
        <v/>
      </c>
      <c r="J42" s="1001" t="str">
        <f>IF(Crewlist!T42="","",Crewlist!T42)</f>
        <v/>
      </c>
      <c r="K42" s="1001" t="str">
        <f>IF(Crewlist!D42="","",IF(Crewlist!U42="",Crewlist!Y42,IF(DATERENOUVMOINS730&lt;&gt;Crewlist!U42&lt;&gt;Crewlist!Y42,Crewlist!U42,DATERENOUVMOINS365)))</f>
        <v/>
      </c>
      <c r="L42" s="775" t="str">
        <f>IF(Detail!X42="","",Detail!X42)</f>
        <v/>
      </c>
      <c r="M42" s="775" t="str">
        <f>IF(Detail!H42="","",IF(Detail!Y42="",DATERENOUV,IF(Detail!Y42&gt;Detail!D42,Detail!D42,Detail!Y42)))</f>
        <v/>
      </c>
      <c r="N42" s="1015" t="str">
        <f>IF(A42=FALSE,"",IF(NAMES!$D$10=FALSE,IF(B42=B43,IF(O42=O43,0,(DATEDIF(L42,M42,"M")+1)),(DATEDIF(L42,M42,"M")+1)),IF(B42=B43,IF(O42=O43,0,(DATEDIF(J42,K42,"M")+1)),(DATEDIF(J42,K42,"M")+1))))</f>
        <v/>
      </c>
      <c r="O42" s="357" t="str">
        <f t="shared" si="5"/>
        <v/>
      </c>
      <c r="P42" s="358" t="str">
        <f>IF(A42=FALSE,"",IF(NAMES!$D$10=FALSE,IF((DATEDIF(L42,M42,"D")+1)&lt;365,(DATEDIF(L42,M42,"D")+1),365),IF((DATEDIF(J42,K42,"D")+1)&lt;365,(DATEDIF(J42,K42,"D")+1),365)))</f>
        <v/>
      </c>
      <c r="Q42" s="358" t="str">
        <f>IF(A42=FALSE,"",IF(NAMES!$D$10=FALSE,IF(M42="",365,DATEDIF(L42,M42,"D")+1),IF(M42="",365,DATEDIF(J42,K42,"D")+1)))</f>
        <v/>
      </c>
      <c r="R42" s="950" t="str">
        <f>Calcul!X42</f>
        <v/>
      </c>
      <c r="S42" s="950" t="str">
        <f>Calcul!Y42</f>
        <v/>
      </c>
      <c r="T42" s="993" t="str">
        <f>Calcul!AG42</f>
        <v/>
      </c>
      <c r="U42" s="368" t="str">
        <f>IF(A42=FALSE,"",IF(NAMES!$D$10=FALSE,IF(Detail!S42="","",Detail!S42),IF(Crewlist!V42="","",Crewlist!V42)))</f>
        <v/>
      </c>
      <c r="V42" s="245" t="str">
        <f>Calcul!AI42</f>
        <v/>
      </c>
      <c r="W42" s="245" t="str">
        <f>Calcul!AL42</f>
        <v/>
      </c>
      <c r="X42" s="245" t="str">
        <f>Calcul!AM42</f>
        <v/>
      </c>
      <c r="Y42" s="353" t="str">
        <f>Calcul!AN42</f>
        <v/>
      </c>
      <c r="Z42" s="245" t="str">
        <f>Calcul!AO42</f>
        <v/>
      </c>
      <c r="AA42" s="245" t="str">
        <f>Calcul!AP42</f>
        <v/>
      </c>
      <c r="AB42" s="353" t="str">
        <f>Calcul!AQ42</f>
        <v/>
      </c>
      <c r="AC42" s="353" t="str">
        <f>IF(C42=FALSE,"",Calcul!BE42+Calcul!BF42)</f>
        <v/>
      </c>
      <c r="AD42" s="353" t="str">
        <f>IF(C42=FALSE,"",(Calcul!BG42+Calcul!BH42)+SUM(Calcul!BI42:BN42))</f>
        <v/>
      </c>
      <c r="AE42" s="353" t="str">
        <f>Calcul!BP42</f>
        <v/>
      </c>
      <c r="AF42" s="332" t="str">
        <f>IF(A42=FALSE,"",YEAR(Detail!F42)&amp;Detail!AG42&amp;Detail!AD42&amp;"-"&amp;Detail!$AD$13&amp;Detail!AE42)</f>
        <v/>
      </c>
      <c r="AG42" s="1406" t="s">
        <v>2236</v>
      </c>
      <c r="AH42" s="701" t="s">
        <v>2277</v>
      </c>
      <c r="AI42" s="1407">
        <v>0</v>
      </c>
      <c r="AJ42" s="1407" t="s">
        <v>2236</v>
      </c>
      <c r="AK42" s="1410">
        <v>32</v>
      </c>
      <c r="AL42" s="508">
        <v>0</v>
      </c>
      <c r="AM42" s="261">
        <v>1</v>
      </c>
      <c r="AN42" s="261">
        <v>0</v>
      </c>
      <c r="AO42" s="333" t="str">
        <f>IF(A42=FALSE,"",IF(Detail!AL42="","N/A",YEAR(Detail!F42)&amp;Detail!AO42&amp;Detail!AL42&amp;"-"&amp;Detail!$AL$13&amp;Detail!AM42))</f>
        <v/>
      </c>
      <c r="AP42" s="1406" t="s">
        <v>2236</v>
      </c>
      <c r="AQ42" s="701" t="s">
        <v>2277</v>
      </c>
      <c r="AR42" s="1407">
        <f t="shared" si="7"/>
        <v>0</v>
      </c>
      <c r="AS42" s="261" t="s">
        <v>2236</v>
      </c>
      <c r="AT42" s="264">
        <v>0</v>
      </c>
      <c r="AU42" s="261">
        <v>0</v>
      </c>
      <c r="AV42" s="261">
        <v>1</v>
      </c>
      <c r="AW42" s="261">
        <v>0</v>
      </c>
      <c r="AX42" s="920" t="str">
        <f>IF(A42=FALSE,"",IF(Detail!AT42="","N/A",YEAR(Detail!F42)&amp;Detail!AW42&amp;Detail!AT42&amp;"-"&amp;Detail!$AT$13))</f>
        <v/>
      </c>
      <c r="AY42" s="1408" t="s">
        <v>2236</v>
      </c>
      <c r="AZ42" s="308" t="s">
        <v>2278</v>
      </c>
      <c r="BA42" s="440" t="str">
        <f>IF(A42=FALSE,"",51000+(Detail!AA42*7000))</f>
        <v/>
      </c>
      <c r="BB42" s="1412">
        <v>50000</v>
      </c>
      <c r="BC42" s="247">
        <v>3</v>
      </c>
      <c r="BD42" s="261">
        <v>0</v>
      </c>
      <c r="BE42" s="261" t="s">
        <v>2236</v>
      </c>
      <c r="BF42" s="264">
        <v>0</v>
      </c>
      <c r="BG42" s="508">
        <v>0</v>
      </c>
      <c r="BH42" s="261">
        <v>1</v>
      </c>
      <c r="BI42" s="261">
        <v>0</v>
      </c>
      <c r="BJ42" s="311" t="str">
        <f>IF(A42=FALSE,"",IF(Detail!BB42="","N/A",YEAR(Detail!F42)&amp;Detail!BE42&amp;Detail!BB42&amp;"-"&amp;Detail!$BB$13))</f>
        <v/>
      </c>
      <c r="BK42" s="1354" t="s">
        <v>2236</v>
      </c>
      <c r="BL42" s="527" t="s">
        <v>2278</v>
      </c>
      <c r="BM42" s="440" t="str">
        <f>IF(A42=FALSE,"",51000+(Detail!AA42*7000))</f>
        <v/>
      </c>
      <c r="BN42" s="1412">
        <v>50000</v>
      </c>
      <c r="BO42" s="247">
        <v>3</v>
      </c>
      <c r="BP42" s="261">
        <v>0</v>
      </c>
      <c r="BQ42" s="261" t="s">
        <v>2236</v>
      </c>
      <c r="BR42" s="264">
        <v>0</v>
      </c>
      <c r="BS42" s="508">
        <v>0</v>
      </c>
      <c r="BT42" s="261">
        <v>1</v>
      </c>
      <c r="BU42" s="261">
        <v>0</v>
      </c>
      <c r="BV42" s="311" t="str">
        <f>IF(A42=FALSE,"",IF(Detail!BJ42="","N/A",YEAR(Detail!F42)&amp;Detail!BM42&amp;Detail!BJ42&amp;"-"&amp;Detail!$BJ$13))</f>
        <v/>
      </c>
      <c r="BW42" s="1409" t="s">
        <v>2236</v>
      </c>
      <c r="BX42" s="527" t="s">
        <v>2278</v>
      </c>
      <c r="BY42" s="440" t="str">
        <f t="shared" si="8"/>
        <v/>
      </c>
      <c r="BZ42" s="1412">
        <v>50000</v>
      </c>
      <c r="CA42" s="247">
        <v>3</v>
      </c>
      <c r="CB42" s="261">
        <v>0</v>
      </c>
      <c r="CC42" s="261" t="s">
        <v>2236</v>
      </c>
      <c r="CD42" s="264">
        <v>0</v>
      </c>
      <c r="CE42" s="508">
        <v>0</v>
      </c>
      <c r="CF42" s="261">
        <v>1</v>
      </c>
      <c r="CG42" s="261">
        <v>0</v>
      </c>
      <c r="CH42" s="311" t="str">
        <f>IF(A42=FALSE,"",IF(Detail!BR42="","N/A",YEAR(Detail!F42)&amp;Detail!BU42&amp;Detail!BR42&amp;"-"&amp;Detail!$BR$13))</f>
        <v/>
      </c>
      <c r="CI42" s="1327" t="s">
        <v>2236</v>
      </c>
      <c r="CJ42" s="527" t="s">
        <v>2278</v>
      </c>
      <c r="CK42" s="440" t="str">
        <f t="shared" si="9"/>
        <v/>
      </c>
      <c r="CL42" s="1412">
        <v>50000</v>
      </c>
      <c r="CM42" s="247">
        <v>3</v>
      </c>
      <c r="CN42" s="261">
        <v>0</v>
      </c>
      <c r="CO42" s="261" t="s">
        <v>2236</v>
      </c>
      <c r="CP42" s="264">
        <v>0</v>
      </c>
      <c r="CQ42" s="508">
        <v>0</v>
      </c>
      <c r="CR42" s="261">
        <v>1</v>
      </c>
      <c r="CS42" s="261">
        <v>0</v>
      </c>
      <c r="CT42" s="311" t="str">
        <f>IF(A42=FALSE,"",IF(Detail!BZ42="","N/A",YEAR(Detail!F42)&amp;Detail!CC42&amp;Detail!BZ42&amp;"-"&amp;Detail!$BZ$13&amp;" (100%/"&amp;Detail!CD42&amp;"/"&amp;Detail!CE42&amp;"D)"))</f>
        <v/>
      </c>
      <c r="CU42" s="1327" t="s">
        <v>2236</v>
      </c>
      <c r="CV42" s="527" t="s">
        <v>2278</v>
      </c>
      <c r="CW42" s="241">
        <v>7</v>
      </c>
      <c r="CX42" s="1323">
        <v>365</v>
      </c>
      <c r="CY42" s="248">
        <v>1</v>
      </c>
      <c r="CZ42" s="261">
        <v>0</v>
      </c>
      <c r="DA42" s="1325" t="s">
        <v>2236</v>
      </c>
      <c r="DB42" s="538">
        <v>40</v>
      </c>
      <c r="DC42" s="1325">
        <v>0.1</v>
      </c>
      <c r="DD42" s="261">
        <v>1</v>
      </c>
      <c r="DE42" s="261">
        <v>0</v>
      </c>
      <c r="DF42" s="313" t="str">
        <f>IF(A42=FALSE,"",IF(Detail!CH42="","N/A",YEAR(Detail!F42)&amp;Detail!CK42&amp;Detail!CH42&amp;"-"&amp;Detail!$CH$13&amp;" (100%/"&amp;Detail!CL42&amp;"/"&amp;Detail!CM42&amp;"D)"))</f>
        <v/>
      </c>
      <c r="DG42" s="1406" t="s">
        <v>2236</v>
      </c>
      <c r="DH42" s="518" t="s">
        <v>2278</v>
      </c>
      <c r="DI42" s="241">
        <f t="shared" si="10"/>
        <v>7</v>
      </c>
      <c r="DJ42" s="243">
        <f t="shared" si="11"/>
        <v>365</v>
      </c>
      <c r="DK42" s="258">
        <v>1</v>
      </c>
      <c r="DL42" s="261">
        <v>0</v>
      </c>
      <c r="DM42" s="1325" t="s">
        <v>2236</v>
      </c>
      <c r="DN42" s="538">
        <v>40</v>
      </c>
      <c r="DO42" s="1325">
        <f t="shared" si="12"/>
        <v>0.1</v>
      </c>
      <c r="DP42" s="261">
        <v>1</v>
      </c>
      <c r="DQ42" s="261">
        <v>0</v>
      </c>
      <c r="DR42" s="920" t="str">
        <f>IF(A42=FALSE,"",IF(Detail!CP42="","N/A",YEAR(Detail!F42)&amp;Detail!CS42&amp;Detail!CP42&amp;"-"&amp;Detail!$CP$13))</f>
        <v/>
      </c>
      <c r="DS42" s="308" t="s">
        <v>2236</v>
      </c>
      <c r="DT42" s="720" t="s">
        <v>2277</v>
      </c>
      <c r="DU42" s="244">
        <v>50000</v>
      </c>
      <c r="DV42" s="247">
        <v>2</v>
      </c>
      <c r="DW42" s="261">
        <v>0</v>
      </c>
      <c r="DX42" s="261" t="s">
        <v>2236</v>
      </c>
      <c r="DY42" s="264">
        <v>0</v>
      </c>
      <c r="DZ42" s="444">
        <v>0</v>
      </c>
      <c r="EA42" s="444">
        <v>1</v>
      </c>
      <c r="EB42" s="444">
        <v>0</v>
      </c>
      <c r="EC42" s="761" t="str">
        <f>IF(A42=FALSE,"",IF(Detail!CX42="","N/A",YEAR(Detail!F42)&amp;Detail!DA42&amp;Detail!CX42&amp;"-"&amp;Detail!$CX$13))</f>
        <v/>
      </c>
      <c r="ED42" s="445" t="s">
        <v>2236</v>
      </c>
      <c r="EE42" s="720" t="s">
        <v>2277</v>
      </c>
      <c r="EF42" s="244">
        <v>50000</v>
      </c>
      <c r="EG42" s="247">
        <v>2</v>
      </c>
      <c r="EH42" s="261">
        <v>0</v>
      </c>
      <c r="EI42" s="261" t="s">
        <v>2236</v>
      </c>
      <c r="EJ42" s="264">
        <v>0</v>
      </c>
      <c r="EK42" s="444">
        <v>0</v>
      </c>
      <c r="EL42" s="444">
        <v>1</v>
      </c>
      <c r="EM42" s="444">
        <v>0</v>
      </c>
      <c r="EN42" s="333" t="str">
        <f>IF(A42=FALSE,"",IF(Detail!DF42="","N/A",YEAR(Detail!F42)&amp;Detail!DI42&amp;Detail!DF42&amp;"-"&amp;Detail!$DF$13))</f>
        <v/>
      </c>
      <c r="EO42" s="1012" t="s">
        <v>2236</v>
      </c>
      <c r="EP42" s="1012" t="s">
        <v>2277</v>
      </c>
      <c r="EQ42" s="1013">
        <f t="shared" si="13"/>
        <v>0</v>
      </c>
      <c r="ER42" s="1013" t="s">
        <v>2236</v>
      </c>
      <c r="ES42" s="264">
        <v>0</v>
      </c>
      <c r="ET42" s="1013">
        <v>0</v>
      </c>
      <c r="EU42" s="1013">
        <v>1</v>
      </c>
      <c r="EV42" s="1013">
        <v>0</v>
      </c>
      <c r="EW42" s="333" t="str">
        <f>IF(DJ42=FALSE,"",IF(Detail!ET42="","N/A",YEAR(Detail!DN42)&amp;Detail!EW42&amp;Detail!ET42&amp;"-"&amp;Detail!$AL$13&amp;Detail!EU42))</f>
        <v>N/A</v>
      </c>
      <c r="EX42" s="1012" t="s">
        <v>2236</v>
      </c>
      <c r="EY42" s="1012" t="s">
        <v>2277</v>
      </c>
      <c r="EZ42" s="1013">
        <f t="shared" si="14"/>
        <v>0</v>
      </c>
      <c r="FA42" s="1013" t="s">
        <v>2236</v>
      </c>
      <c r="FB42" s="264">
        <v>0</v>
      </c>
      <c r="FC42" s="1013">
        <v>0</v>
      </c>
      <c r="FD42" s="1013">
        <v>1</v>
      </c>
      <c r="FE42" s="1013">
        <v>0</v>
      </c>
    </row>
    <row r="43" spans="1:161" s="422" customFormat="1" ht="30" customHeight="1" outlineLevel="1">
      <c r="A43" s="439" t="b">
        <f>Calcul!A43</f>
        <v>0</v>
      </c>
      <c r="B43" s="510" t="str">
        <f t="shared" si="6"/>
        <v/>
      </c>
      <c r="C43" s="1404" t="b">
        <v>0</v>
      </c>
      <c r="D43" s="1404" t="s">
        <v>2147</v>
      </c>
      <c r="E43" s="1405" t="s">
        <v>2335</v>
      </c>
      <c r="F43" s="243" t="s">
        <v>2146</v>
      </c>
      <c r="G43" s="356" t="str">
        <f>IF(A43=FALSE,"",IF(NAMES!$D$10=FALSE,IF(Detail!H43="","",Detail!H43),IF(Crewlist!D43="","",Crewlist!D43)))</f>
        <v/>
      </c>
      <c r="H43" s="356" t="str">
        <f>IF(A43=FALSE,"",IF(NAMES!$D$10=FALSE,IF(Detail!P43="","",Detail!P43),IF(Crewlist!E43="","",Crewlist!E43)))</f>
        <v/>
      </c>
      <c r="I43" s="356" t="str">
        <f>IF(A43=FALSE,"",IF(NAMES!$D$10=FALSE,IF(Detail!K43="","",Detail!K43),IF(Crewlist!F43="","",Crewlist!F43)))</f>
        <v/>
      </c>
      <c r="J43" s="1001" t="str">
        <f>IF(Crewlist!T43="","",Crewlist!T43)</f>
        <v/>
      </c>
      <c r="K43" s="1001" t="str">
        <f>IF(Crewlist!D43="","",IF(Crewlist!U43="",Crewlist!Y43,IF(DATERENOUVMOINS730&lt;&gt;Crewlist!U43&lt;&gt;Crewlist!Y43,Crewlist!U43,DATERENOUVMOINS365)))</f>
        <v/>
      </c>
      <c r="L43" s="775" t="str">
        <f>IF(Detail!X43="","",Detail!X43)</f>
        <v/>
      </c>
      <c r="M43" s="775" t="str">
        <f>IF(Detail!H43="","",IF(Detail!Y43="",DATERENOUV,IF(Detail!Y43&gt;Detail!D43,Detail!D43,Detail!Y43)))</f>
        <v/>
      </c>
      <c r="N43" s="1015" t="str">
        <f>IF(A43=FALSE,"",IF(NAMES!$D$10=FALSE,IF(B43=B44,IF(O43=O44,0,(DATEDIF(L43,M43,"M")+1)),(DATEDIF(L43,M43,"M")+1)),IF(B43=B44,IF(O43=O44,0,(DATEDIF(J43,K43,"M")+1)),(DATEDIF(J43,K43,"M")+1))))</f>
        <v/>
      </c>
      <c r="O43" s="357" t="str">
        <f t="shared" si="5"/>
        <v/>
      </c>
      <c r="P43" s="358" t="str">
        <f>IF(A43=FALSE,"",IF(NAMES!$D$10=FALSE,IF((DATEDIF(L43,M43,"D")+1)&lt;365,(DATEDIF(L43,M43,"D")+1),365),IF((DATEDIF(J43,K43,"D")+1)&lt;365,(DATEDIF(J43,K43,"D")+1),365)))</f>
        <v/>
      </c>
      <c r="Q43" s="358" t="str">
        <f>IF(A43=FALSE,"",IF(NAMES!$D$10=FALSE,IF(M43="",365,DATEDIF(L43,M43,"D")+1),IF(M43="",365,DATEDIF(J43,K43,"D")+1)))</f>
        <v/>
      </c>
      <c r="R43" s="950" t="str">
        <f>Calcul!X43</f>
        <v/>
      </c>
      <c r="S43" s="950" t="str">
        <f>Calcul!Y43</f>
        <v/>
      </c>
      <c r="T43" s="993" t="str">
        <f>Calcul!AG43</f>
        <v/>
      </c>
      <c r="U43" s="368" t="str">
        <f>IF(A43=FALSE,"",IF(NAMES!$D$10=FALSE,IF(Detail!S43="","",Detail!S43),IF(Crewlist!V43="","",Crewlist!V43)))</f>
        <v/>
      </c>
      <c r="V43" s="245" t="str">
        <f>Calcul!AI43</f>
        <v/>
      </c>
      <c r="W43" s="245" t="str">
        <f>Calcul!AL43</f>
        <v/>
      </c>
      <c r="X43" s="245" t="str">
        <f>Calcul!AM43</f>
        <v/>
      </c>
      <c r="Y43" s="353" t="str">
        <f>Calcul!AN43</f>
        <v/>
      </c>
      <c r="Z43" s="245" t="str">
        <f>Calcul!AO43</f>
        <v/>
      </c>
      <c r="AA43" s="245" t="str">
        <f>Calcul!AP43</f>
        <v/>
      </c>
      <c r="AB43" s="353" t="str">
        <f>Calcul!AQ43</f>
        <v/>
      </c>
      <c r="AC43" s="353" t="str">
        <f>IF(C43=FALSE,"",Calcul!BE43+Calcul!BF43)</f>
        <v/>
      </c>
      <c r="AD43" s="353" t="str">
        <f>IF(C43=FALSE,"",(Calcul!BG43+Calcul!BH43)+SUM(Calcul!BI43:BN43))</f>
        <v/>
      </c>
      <c r="AE43" s="353" t="str">
        <f>Calcul!BP43</f>
        <v/>
      </c>
      <c r="AF43" s="332" t="str">
        <f>IF(A43=FALSE,"",YEAR(Detail!F43)&amp;Detail!AG43&amp;Detail!AD43&amp;"-"&amp;Detail!$AD$13&amp;Detail!AE43)</f>
        <v/>
      </c>
      <c r="AG43" s="1406" t="s">
        <v>2236</v>
      </c>
      <c r="AH43" s="701" t="s">
        <v>2277</v>
      </c>
      <c r="AI43" s="1407">
        <v>0</v>
      </c>
      <c r="AJ43" s="1407" t="s">
        <v>2236</v>
      </c>
      <c r="AK43" s="1410">
        <v>32</v>
      </c>
      <c r="AL43" s="508">
        <v>0</v>
      </c>
      <c r="AM43" s="261">
        <v>1</v>
      </c>
      <c r="AN43" s="261">
        <v>0</v>
      </c>
      <c r="AO43" s="333" t="str">
        <f>IF(A43=FALSE,"",IF(Detail!AL43="","N/A",YEAR(Detail!F43)&amp;Detail!AO43&amp;Detail!AL43&amp;"-"&amp;Detail!$AL$13&amp;Detail!AM43))</f>
        <v/>
      </c>
      <c r="AP43" s="1406" t="s">
        <v>2236</v>
      </c>
      <c r="AQ43" s="701" t="s">
        <v>2277</v>
      </c>
      <c r="AR43" s="1407">
        <f t="shared" si="7"/>
        <v>0</v>
      </c>
      <c r="AS43" s="261" t="s">
        <v>2236</v>
      </c>
      <c r="AT43" s="264">
        <v>0</v>
      </c>
      <c r="AU43" s="261">
        <v>0</v>
      </c>
      <c r="AV43" s="261">
        <v>1</v>
      </c>
      <c r="AW43" s="261">
        <v>0</v>
      </c>
      <c r="AX43" s="920" t="str">
        <f>IF(A43=FALSE,"",IF(Detail!AT43="","N/A",YEAR(Detail!F43)&amp;Detail!AW43&amp;Detail!AT43&amp;"-"&amp;Detail!$AT$13))</f>
        <v/>
      </c>
      <c r="AY43" s="1408" t="s">
        <v>2236</v>
      </c>
      <c r="AZ43" s="308" t="s">
        <v>2278</v>
      </c>
      <c r="BA43" s="440" t="str">
        <f>IF(A43=FALSE,"",51000+(Detail!AA43*7000))</f>
        <v/>
      </c>
      <c r="BB43" s="1412">
        <v>50000</v>
      </c>
      <c r="BC43" s="247">
        <v>3</v>
      </c>
      <c r="BD43" s="261">
        <v>0</v>
      </c>
      <c r="BE43" s="261" t="s">
        <v>2236</v>
      </c>
      <c r="BF43" s="264">
        <v>0</v>
      </c>
      <c r="BG43" s="508">
        <v>0</v>
      </c>
      <c r="BH43" s="261">
        <v>1</v>
      </c>
      <c r="BI43" s="261">
        <v>0</v>
      </c>
      <c r="BJ43" s="311" t="str">
        <f>IF(A43=FALSE,"",IF(Detail!BB43="","N/A",YEAR(Detail!F43)&amp;Detail!BE43&amp;Detail!BB43&amp;"-"&amp;Detail!$BB$13))</f>
        <v/>
      </c>
      <c r="BK43" s="1354" t="s">
        <v>2236</v>
      </c>
      <c r="BL43" s="527" t="s">
        <v>2278</v>
      </c>
      <c r="BM43" s="440" t="str">
        <f>IF(A43=FALSE,"",51000+(Detail!AA43*7000))</f>
        <v/>
      </c>
      <c r="BN43" s="1412">
        <v>50000</v>
      </c>
      <c r="BO43" s="247">
        <v>3</v>
      </c>
      <c r="BP43" s="261">
        <v>0</v>
      </c>
      <c r="BQ43" s="261" t="s">
        <v>2236</v>
      </c>
      <c r="BR43" s="264">
        <v>0</v>
      </c>
      <c r="BS43" s="508">
        <v>0</v>
      </c>
      <c r="BT43" s="261">
        <v>1</v>
      </c>
      <c r="BU43" s="261">
        <v>0</v>
      </c>
      <c r="BV43" s="311" t="str">
        <f>IF(A43=FALSE,"",IF(Detail!BJ43="","N/A",YEAR(Detail!F43)&amp;Detail!BM43&amp;Detail!BJ43&amp;"-"&amp;Detail!$BJ$13))</f>
        <v/>
      </c>
      <c r="BW43" s="1409" t="s">
        <v>2236</v>
      </c>
      <c r="BX43" s="527" t="s">
        <v>2278</v>
      </c>
      <c r="BY43" s="440" t="str">
        <f t="shared" si="8"/>
        <v/>
      </c>
      <c r="BZ43" s="1412">
        <v>50000</v>
      </c>
      <c r="CA43" s="247">
        <v>3</v>
      </c>
      <c r="CB43" s="261">
        <v>0</v>
      </c>
      <c r="CC43" s="261" t="s">
        <v>2236</v>
      </c>
      <c r="CD43" s="264">
        <v>0</v>
      </c>
      <c r="CE43" s="508">
        <v>0</v>
      </c>
      <c r="CF43" s="261">
        <v>1</v>
      </c>
      <c r="CG43" s="261">
        <v>0</v>
      </c>
      <c r="CH43" s="311" t="str">
        <f>IF(A43=FALSE,"",IF(Detail!BR43="","N/A",YEAR(Detail!F43)&amp;Detail!BU43&amp;Detail!BR43&amp;"-"&amp;Detail!$BR$13))</f>
        <v/>
      </c>
      <c r="CI43" s="1327" t="s">
        <v>2236</v>
      </c>
      <c r="CJ43" s="527" t="s">
        <v>2278</v>
      </c>
      <c r="CK43" s="440" t="str">
        <f t="shared" si="9"/>
        <v/>
      </c>
      <c r="CL43" s="1412">
        <v>50000</v>
      </c>
      <c r="CM43" s="247">
        <v>3</v>
      </c>
      <c r="CN43" s="261">
        <v>0</v>
      </c>
      <c r="CO43" s="261" t="s">
        <v>2236</v>
      </c>
      <c r="CP43" s="264">
        <v>0</v>
      </c>
      <c r="CQ43" s="508">
        <v>0</v>
      </c>
      <c r="CR43" s="261">
        <v>1</v>
      </c>
      <c r="CS43" s="261">
        <v>0</v>
      </c>
      <c r="CT43" s="311" t="str">
        <f>IF(A43=FALSE,"",IF(Detail!BZ43="","N/A",YEAR(Detail!F43)&amp;Detail!CC43&amp;Detail!BZ43&amp;"-"&amp;Detail!$BZ$13&amp;" (100%/"&amp;Detail!CD43&amp;"/"&amp;Detail!CE43&amp;"D)"))</f>
        <v/>
      </c>
      <c r="CU43" s="1327" t="s">
        <v>2236</v>
      </c>
      <c r="CV43" s="527" t="s">
        <v>2278</v>
      </c>
      <c r="CW43" s="241">
        <v>7</v>
      </c>
      <c r="CX43" s="1323">
        <v>365</v>
      </c>
      <c r="CY43" s="248">
        <v>1</v>
      </c>
      <c r="CZ43" s="261">
        <v>0</v>
      </c>
      <c r="DA43" s="1325" t="s">
        <v>2236</v>
      </c>
      <c r="DB43" s="538">
        <v>40</v>
      </c>
      <c r="DC43" s="1325">
        <v>0.1</v>
      </c>
      <c r="DD43" s="261">
        <v>1</v>
      </c>
      <c r="DE43" s="261">
        <v>0</v>
      </c>
      <c r="DF43" s="313" t="str">
        <f>IF(A43=FALSE,"",IF(Detail!CH43="","N/A",YEAR(Detail!F43)&amp;Detail!CK43&amp;Detail!CH43&amp;"-"&amp;Detail!$CH$13&amp;" (100%/"&amp;Detail!CL43&amp;"/"&amp;Detail!CM43&amp;"D)"))</f>
        <v/>
      </c>
      <c r="DG43" s="1406" t="s">
        <v>2236</v>
      </c>
      <c r="DH43" s="518" t="s">
        <v>2278</v>
      </c>
      <c r="DI43" s="241">
        <f t="shared" si="10"/>
        <v>7</v>
      </c>
      <c r="DJ43" s="243">
        <f t="shared" si="11"/>
        <v>365</v>
      </c>
      <c r="DK43" s="258">
        <v>1</v>
      </c>
      <c r="DL43" s="261">
        <v>0</v>
      </c>
      <c r="DM43" s="1325" t="s">
        <v>2236</v>
      </c>
      <c r="DN43" s="538">
        <v>40</v>
      </c>
      <c r="DO43" s="1325">
        <f t="shared" si="12"/>
        <v>0.1</v>
      </c>
      <c r="DP43" s="261">
        <v>1</v>
      </c>
      <c r="DQ43" s="261">
        <v>0</v>
      </c>
      <c r="DR43" s="920" t="str">
        <f>IF(A43=FALSE,"",IF(Detail!CP43="","N/A",YEAR(Detail!F43)&amp;Detail!CS43&amp;Detail!CP43&amp;"-"&amp;Detail!$CP$13))</f>
        <v/>
      </c>
      <c r="DS43" s="308" t="s">
        <v>2236</v>
      </c>
      <c r="DT43" s="720" t="s">
        <v>2277</v>
      </c>
      <c r="DU43" s="244">
        <v>50000</v>
      </c>
      <c r="DV43" s="247">
        <v>2</v>
      </c>
      <c r="DW43" s="261">
        <v>0</v>
      </c>
      <c r="DX43" s="261" t="s">
        <v>2236</v>
      </c>
      <c r="DY43" s="264">
        <v>0</v>
      </c>
      <c r="DZ43" s="444">
        <v>0</v>
      </c>
      <c r="EA43" s="444">
        <v>1</v>
      </c>
      <c r="EB43" s="444">
        <v>0</v>
      </c>
      <c r="EC43" s="761" t="str">
        <f>IF(A43=FALSE,"",IF(Detail!CX43="","N/A",YEAR(Detail!F43)&amp;Detail!DA43&amp;Detail!CX43&amp;"-"&amp;Detail!$CX$13))</f>
        <v/>
      </c>
      <c r="ED43" s="445" t="s">
        <v>2236</v>
      </c>
      <c r="EE43" s="720" t="s">
        <v>2277</v>
      </c>
      <c r="EF43" s="244">
        <v>50000</v>
      </c>
      <c r="EG43" s="247">
        <v>2</v>
      </c>
      <c r="EH43" s="261">
        <v>0</v>
      </c>
      <c r="EI43" s="261" t="s">
        <v>2236</v>
      </c>
      <c r="EJ43" s="264">
        <v>0</v>
      </c>
      <c r="EK43" s="444">
        <v>0</v>
      </c>
      <c r="EL43" s="444">
        <v>1</v>
      </c>
      <c r="EM43" s="444">
        <v>0</v>
      </c>
      <c r="EN43" s="333" t="str">
        <f>IF(A43=FALSE,"",IF(Detail!DF43="","N/A",YEAR(Detail!F43)&amp;Detail!DI43&amp;Detail!DF43&amp;"-"&amp;Detail!$DF$13))</f>
        <v/>
      </c>
      <c r="EO43" s="1012" t="s">
        <v>2236</v>
      </c>
      <c r="EP43" s="1012" t="s">
        <v>2277</v>
      </c>
      <c r="EQ43" s="1013">
        <f t="shared" si="13"/>
        <v>0</v>
      </c>
      <c r="ER43" s="1013" t="s">
        <v>2236</v>
      </c>
      <c r="ES43" s="264">
        <v>0</v>
      </c>
      <c r="ET43" s="1013">
        <v>0</v>
      </c>
      <c r="EU43" s="1013">
        <v>1</v>
      </c>
      <c r="EV43" s="1013">
        <v>0</v>
      </c>
      <c r="EW43" s="333" t="str">
        <f>IF(DJ43=FALSE,"",IF(Detail!ET43="","N/A",YEAR(Detail!DN43)&amp;Detail!EW43&amp;Detail!ET43&amp;"-"&amp;Detail!$AL$13&amp;Detail!EU43))</f>
        <v>N/A</v>
      </c>
      <c r="EX43" s="1012" t="s">
        <v>2236</v>
      </c>
      <c r="EY43" s="1012" t="s">
        <v>2277</v>
      </c>
      <c r="EZ43" s="1013">
        <f t="shared" si="14"/>
        <v>0</v>
      </c>
      <c r="FA43" s="1013" t="s">
        <v>2236</v>
      </c>
      <c r="FB43" s="264">
        <v>0</v>
      </c>
      <c r="FC43" s="1013">
        <v>0</v>
      </c>
      <c r="FD43" s="1013">
        <v>1</v>
      </c>
      <c r="FE43" s="1013">
        <v>0</v>
      </c>
    </row>
    <row r="44" spans="1:161" s="422" customFormat="1" ht="30" customHeight="1" outlineLevel="1">
      <c r="A44" s="439" t="b">
        <f>Calcul!A44</f>
        <v>0</v>
      </c>
      <c r="B44" s="510" t="str">
        <f t="shared" si="6"/>
        <v/>
      </c>
      <c r="C44" s="1404" t="b">
        <v>0</v>
      </c>
      <c r="D44" s="1404" t="s">
        <v>2147</v>
      </c>
      <c r="E44" s="1405" t="s">
        <v>2335</v>
      </c>
      <c r="F44" s="243" t="s">
        <v>2146</v>
      </c>
      <c r="G44" s="356" t="str">
        <f>IF(A44=FALSE,"",IF(NAMES!$D$10=FALSE,IF(Detail!H44="","",Detail!H44),IF(Crewlist!D44="","",Crewlist!D44)))</f>
        <v/>
      </c>
      <c r="H44" s="356" t="str">
        <f>IF(A44=FALSE,"",IF(NAMES!$D$10=FALSE,IF(Detail!P44="","",Detail!P44),IF(Crewlist!E44="","",Crewlist!E44)))</f>
        <v/>
      </c>
      <c r="I44" s="356" t="str">
        <f>IF(A44=FALSE,"",IF(NAMES!$D$10=FALSE,IF(Detail!K44="","",Detail!K44),IF(Crewlist!F44="","",Crewlist!F44)))</f>
        <v/>
      </c>
      <c r="J44" s="1001" t="str">
        <f>IF(Crewlist!T44="","",Crewlist!T44)</f>
        <v/>
      </c>
      <c r="K44" s="1001" t="str">
        <f>IF(Crewlist!D44="","",IF(Crewlist!U44="",Crewlist!Y44,IF(DATERENOUVMOINS730&lt;&gt;Crewlist!U44&lt;&gt;Crewlist!Y44,Crewlist!U44,DATERENOUVMOINS365)))</f>
        <v/>
      </c>
      <c r="L44" s="775" t="str">
        <f>IF(Detail!X44="","",Detail!X44)</f>
        <v/>
      </c>
      <c r="M44" s="775" t="str">
        <f>IF(Detail!H44="","",IF(Detail!Y44="",DATERENOUV,IF(Detail!Y44&gt;Detail!D44,Detail!D44,Detail!Y44)))</f>
        <v/>
      </c>
      <c r="N44" s="1015" t="str">
        <f>IF(A44=FALSE,"",IF(NAMES!$D$10=FALSE,IF(B44=B45,IF(O44=O45,0,(DATEDIF(L44,M44,"M")+1)),(DATEDIF(L44,M44,"M")+1)),IF(B44=B45,IF(O44=O45,0,(DATEDIF(J44,K44,"M")+1)),(DATEDIF(J44,K44,"M")+1))))</f>
        <v/>
      </c>
      <c r="O44" s="357" t="str">
        <f t="shared" si="5"/>
        <v/>
      </c>
      <c r="P44" s="358" t="str">
        <f>IF(A44=FALSE,"",IF(NAMES!$D$10=FALSE,IF((DATEDIF(L44,M44,"D")+1)&lt;365,(DATEDIF(L44,M44,"D")+1),365),IF((DATEDIF(J44,K44,"D")+1)&lt;365,(DATEDIF(J44,K44,"D")+1),365)))</f>
        <v/>
      </c>
      <c r="Q44" s="358" t="str">
        <f>IF(A44=FALSE,"",IF(NAMES!$D$10=FALSE,IF(M44="",365,DATEDIF(L44,M44,"D")+1),IF(M44="",365,DATEDIF(J44,K44,"D")+1)))</f>
        <v/>
      </c>
      <c r="R44" s="950" t="str">
        <f>Calcul!X44</f>
        <v/>
      </c>
      <c r="S44" s="950" t="str">
        <f>Calcul!Y44</f>
        <v/>
      </c>
      <c r="T44" s="993" t="str">
        <f>Calcul!AG44</f>
        <v/>
      </c>
      <c r="U44" s="368" t="str">
        <f>IF(A44=FALSE,"",IF(NAMES!$D$10=FALSE,IF(Detail!S44="","",Detail!S44),IF(Crewlist!V44="","",Crewlist!V44)))</f>
        <v/>
      </c>
      <c r="V44" s="245" t="str">
        <f>Calcul!AI44</f>
        <v/>
      </c>
      <c r="W44" s="245" t="str">
        <f>Calcul!AL44</f>
        <v/>
      </c>
      <c r="X44" s="245" t="str">
        <f>Calcul!AM44</f>
        <v/>
      </c>
      <c r="Y44" s="353" t="str">
        <f>Calcul!AN44</f>
        <v/>
      </c>
      <c r="Z44" s="245" t="str">
        <f>Calcul!AO44</f>
        <v/>
      </c>
      <c r="AA44" s="245" t="str">
        <f>Calcul!AP44</f>
        <v/>
      </c>
      <c r="AB44" s="353" t="str">
        <f>Calcul!AQ44</f>
        <v/>
      </c>
      <c r="AC44" s="353" t="str">
        <f>IF(C44=FALSE,"",Calcul!BE44+Calcul!BF44)</f>
        <v/>
      </c>
      <c r="AD44" s="353" t="str">
        <f>IF(C44=FALSE,"",(Calcul!BG44+Calcul!BH44)+SUM(Calcul!BI44:BN44))</f>
        <v/>
      </c>
      <c r="AE44" s="353" t="str">
        <f>Calcul!BP44</f>
        <v/>
      </c>
      <c r="AF44" s="332" t="str">
        <f>IF(A44=FALSE,"",YEAR(Detail!F44)&amp;Detail!AG44&amp;Detail!AD44&amp;"-"&amp;Detail!$AD$13&amp;Detail!AE44)</f>
        <v/>
      </c>
      <c r="AG44" s="1406" t="s">
        <v>2236</v>
      </c>
      <c r="AH44" s="701" t="s">
        <v>2277</v>
      </c>
      <c r="AI44" s="1407">
        <v>0</v>
      </c>
      <c r="AJ44" s="1407" t="s">
        <v>2236</v>
      </c>
      <c r="AK44" s="1410">
        <v>32</v>
      </c>
      <c r="AL44" s="508">
        <v>0</v>
      </c>
      <c r="AM44" s="261">
        <v>1</v>
      </c>
      <c r="AN44" s="261">
        <v>0</v>
      </c>
      <c r="AO44" s="333" t="str">
        <f>IF(A44=FALSE,"",IF(Detail!AL44="","N/A",YEAR(Detail!F44)&amp;Detail!AO44&amp;Detail!AL44&amp;"-"&amp;Detail!$AL$13&amp;Detail!AM44))</f>
        <v/>
      </c>
      <c r="AP44" s="1406" t="s">
        <v>2236</v>
      </c>
      <c r="AQ44" s="701" t="s">
        <v>2277</v>
      </c>
      <c r="AR44" s="1407">
        <f t="shared" si="7"/>
        <v>0</v>
      </c>
      <c r="AS44" s="261" t="s">
        <v>2236</v>
      </c>
      <c r="AT44" s="264">
        <v>0</v>
      </c>
      <c r="AU44" s="261">
        <v>0</v>
      </c>
      <c r="AV44" s="261">
        <v>1</v>
      </c>
      <c r="AW44" s="261">
        <v>0</v>
      </c>
      <c r="AX44" s="920" t="str">
        <f>IF(A44=FALSE,"",IF(Detail!AT44="","N/A",YEAR(Detail!F44)&amp;Detail!AW44&amp;Detail!AT44&amp;"-"&amp;Detail!$AT$13))</f>
        <v/>
      </c>
      <c r="AY44" s="1408" t="s">
        <v>2236</v>
      </c>
      <c r="AZ44" s="308" t="s">
        <v>2278</v>
      </c>
      <c r="BA44" s="440" t="str">
        <f>IF(A44=FALSE,"",51000+(Detail!AA44*7000))</f>
        <v/>
      </c>
      <c r="BB44" s="1412">
        <v>50000</v>
      </c>
      <c r="BC44" s="247">
        <v>3</v>
      </c>
      <c r="BD44" s="261">
        <v>0</v>
      </c>
      <c r="BE44" s="261" t="s">
        <v>2236</v>
      </c>
      <c r="BF44" s="264">
        <v>0</v>
      </c>
      <c r="BG44" s="508">
        <v>0</v>
      </c>
      <c r="BH44" s="261">
        <v>1</v>
      </c>
      <c r="BI44" s="261">
        <v>0</v>
      </c>
      <c r="BJ44" s="311" t="str">
        <f>IF(A44=FALSE,"",IF(Detail!BB44="","N/A",YEAR(Detail!F44)&amp;Detail!BE44&amp;Detail!BB44&amp;"-"&amp;Detail!$BB$13))</f>
        <v/>
      </c>
      <c r="BK44" s="1354" t="s">
        <v>2236</v>
      </c>
      <c r="BL44" s="527" t="s">
        <v>2278</v>
      </c>
      <c r="BM44" s="440" t="str">
        <f>IF(A44=FALSE,"",51000+(Detail!AA44*7000))</f>
        <v/>
      </c>
      <c r="BN44" s="1412">
        <v>50000</v>
      </c>
      <c r="BO44" s="247">
        <v>3</v>
      </c>
      <c r="BP44" s="261">
        <v>0</v>
      </c>
      <c r="BQ44" s="261" t="s">
        <v>2236</v>
      </c>
      <c r="BR44" s="264">
        <v>0</v>
      </c>
      <c r="BS44" s="508">
        <v>0</v>
      </c>
      <c r="BT44" s="261">
        <v>1</v>
      </c>
      <c r="BU44" s="261">
        <v>0</v>
      </c>
      <c r="BV44" s="311" t="str">
        <f>IF(A44=FALSE,"",IF(Detail!BJ44="","N/A",YEAR(Detail!F44)&amp;Detail!BM44&amp;Detail!BJ44&amp;"-"&amp;Detail!$BJ$13))</f>
        <v/>
      </c>
      <c r="BW44" s="1409" t="s">
        <v>2236</v>
      </c>
      <c r="BX44" s="527" t="s">
        <v>2278</v>
      </c>
      <c r="BY44" s="440" t="str">
        <f t="shared" si="8"/>
        <v/>
      </c>
      <c r="BZ44" s="1412">
        <v>50000</v>
      </c>
      <c r="CA44" s="247">
        <v>3</v>
      </c>
      <c r="CB44" s="261">
        <v>0</v>
      </c>
      <c r="CC44" s="261" t="s">
        <v>2236</v>
      </c>
      <c r="CD44" s="264">
        <v>0</v>
      </c>
      <c r="CE44" s="508">
        <v>0</v>
      </c>
      <c r="CF44" s="261">
        <v>1</v>
      </c>
      <c r="CG44" s="261">
        <v>0</v>
      </c>
      <c r="CH44" s="311" t="str">
        <f>IF(A44=FALSE,"",IF(Detail!BR44="","N/A",YEAR(Detail!F44)&amp;Detail!BU44&amp;Detail!BR44&amp;"-"&amp;Detail!$BR$13))</f>
        <v/>
      </c>
      <c r="CI44" s="1327" t="s">
        <v>2236</v>
      </c>
      <c r="CJ44" s="527" t="s">
        <v>2278</v>
      </c>
      <c r="CK44" s="440" t="str">
        <f t="shared" si="9"/>
        <v/>
      </c>
      <c r="CL44" s="1412">
        <v>50000</v>
      </c>
      <c r="CM44" s="247">
        <v>3</v>
      </c>
      <c r="CN44" s="261">
        <v>0</v>
      </c>
      <c r="CO44" s="261" t="s">
        <v>2236</v>
      </c>
      <c r="CP44" s="264">
        <v>0</v>
      </c>
      <c r="CQ44" s="508">
        <v>0</v>
      </c>
      <c r="CR44" s="261">
        <v>1</v>
      </c>
      <c r="CS44" s="261">
        <v>0</v>
      </c>
      <c r="CT44" s="311" t="str">
        <f>IF(A44=FALSE,"",IF(Detail!BZ44="","N/A",YEAR(Detail!F44)&amp;Detail!CC44&amp;Detail!BZ44&amp;"-"&amp;Detail!$BZ$13&amp;" (100%/"&amp;Detail!CD44&amp;"/"&amp;Detail!CE44&amp;"D)"))</f>
        <v/>
      </c>
      <c r="CU44" s="1327" t="s">
        <v>2236</v>
      </c>
      <c r="CV44" s="527" t="s">
        <v>2278</v>
      </c>
      <c r="CW44" s="241">
        <v>7</v>
      </c>
      <c r="CX44" s="1323">
        <v>365</v>
      </c>
      <c r="CY44" s="248">
        <v>1</v>
      </c>
      <c r="CZ44" s="261">
        <v>0</v>
      </c>
      <c r="DA44" s="1325" t="s">
        <v>2236</v>
      </c>
      <c r="DB44" s="538">
        <v>40</v>
      </c>
      <c r="DC44" s="1325">
        <v>0.1</v>
      </c>
      <c r="DD44" s="261">
        <v>1</v>
      </c>
      <c r="DE44" s="261">
        <v>0</v>
      </c>
      <c r="DF44" s="313" t="str">
        <f>IF(A44=FALSE,"",IF(Detail!CH44="","N/A",YEAR(Detail!F44)&amp;Detail!CK44&amp;Detail!CH44&amp;"-"&amp;Detail!$CH$13&amp;" (100%/"&amp;Detail!CL44&amp;"/"&amp;Detail!CM44&amp;"D)"))</f>
        <v/>
      </c>
      <c r="DG44" s="1406" t="s">
        <v>2236</v>
      </c>
      <c r="DH44" s="518" t="s">
        <v>2278</v>
      </c>
      <c r="DI44" s="241">
        <f t="shared" si="10"/>
        <v>7</v>
      </c>
      <c r="DJ44" s="243">
        <f t="shared" si="11"/>
        <v>365</v>
      </c>
      <c r="DK44" s="258">
        <v>1</v>
      </c>
      <c r="DL44" s="261">
        <v>0</v>
      </c>
      <c r="DM44" s="1325" t="s">
        <v>2236</v>
      </c>
      <c r="DN44" s="538">
        <v>40</v>
      </c>
      <c r="DO44" s="1325">
        <f t="shared" si="12"/>
        <v>0.1</v>
      </c>
      <c r="DP44" s="261">
        <v>1</v>
      </c>
      <c r="DQ44" s="261">
        <v>0</v>
      </c>
      <c r="DR44" s="920" t="str">
        <f>IF(A44=FALSE,"",IF(Detail!CP44="","N/A",YEAR(Detail!F44)&amp;Detail!CS44&amp;Detail!CP44&amp;"-"&amp;Detail!$CP$13))</f>
        <v/>
      </c>
      <c r="DS44" s="308" t="s">
        <v>2236</v>
      </c>
      <c r="DT44" s="720" t="s">
        <v>2277</v>
      </c>
      <c r="DU44" s="244">
        <v>50000</v>
      </c>
      <c r="DV44" s="247">
        <v>2</v>
      </c>
      <c r="DW44" s="261">
        <v>0</v>
      </c>
      <c r="DX44" s="261" t="s">
        <v>2236</v>
      </c>
      <c r="DY44" s="264">
        <v>0</v>
      </c>
      <c r="DZ44" s="444">
        <v>0</v>
      </c>
      <c r="EA44" s="444">
        <v>1</v>
      </c>
      <c r="EB44" s="444">
        <v>0</v>
      </c>
      <c r="EC44" s="761" t="str">
        <f>IF(A44=FALSE,"",IF(Detail!CX44="","N/A",YEAR(Detail!F44)&amp;Detail!DA44&amp;Detail!CX44&amp;"-"&amp;Detail!$CX$13))</f>
        <v/>
      </c>
      <c r="ED44" s="445" t="s">
        <v>2236</v>
      </c>
      <c r="EE44" s="720" t="s">
        <v>2277</v>
      </c>
      <c r="EF44" s="244">
        <v>50000</v>
      </c>
      <c r="EG44" s="247">
        <v>2</v>
      </c>
      <c r="EH44" s="261">
        <v>0</v>
      </c>
      <c r="EI44" s="261" t="s">
        <v>2236</v>
      </c>
      <c r="EJ44" s="264">
        <v>0</v>
      </c>
      <c r="EK44" s="444">
        <v>0</v>
      </c>
      <c r="EL44" s="444">
        <v>1</v>
      </c>
      <c r="EM44" s="444">
        <v>0</v>
      </c>
      <c r="EN44" s="333" t="str">
        <f>IF(A44=FALSE,"",IF(Detail!DF44="","N/A",YEAR(Detail!F44)&amp;Detail!DI44&amp;Detail!DF44&amp;"-"&amp;Detail!$DF$13))</f>
        <v/>
      </c>
      <c r="EO44" s="1012" t="s">
        <v>2236</v>
      </c>
      <c r="EP44" s="1012" t="s">
        <v>2277</v>
      </c>
      <c r="EQ44" s="1013">
        <f t="shared" si="13"/>
        <v>0</v>
      </c>
      <c r="ER44" s="1013" t="s">
        <v>2236</v>
      </c>
      <c r="ES44" s="264">
        <v>0</v>
      </c>
      <c r="ET44" s="1013">
        <v>0</v>
      </c>
      <c r="EU44" s="1013">
        <v>1</v>
      </c>
      <c r="EV44" s="1013">
        <v>0</v>
      </c>
      <c r="EW44" s="333" t="str">
        <f>IF(DJ44=FALSE,"",IF(Detail!ET44="","N/A",YEAR(Detail!DN44)&amp;Detail!EW44&amp;Detail!ET44&amp;"-"&amp;Detail!$AL$13&amp;Detail!EU44))</f>
        <v>N/A</v>
      </c>
      <c r="EX44" s="1012" t="s">
        <v>2236</v>
      </c>
      <c r="EY44" s="1012" t="s">
        <v>2277</v>
      </c>
      <c r="EZ44" s="1013">
        <f t="shared" si="14"/>
        <v>0</v>
      </c>
      <c r="FA44" s="1013" t="s">
        <v>2236</v>
      </c>
      <c r="FB44" s="264">
        <v>0</v>
      </c>
      <c r="FC44" s="1013">
        <v>0</v>
      </c>
      <c r="FD44" s="1013">
        <v>1</v>
      </c>
      <c r="FE44" s="1013">
        <v>0</v>
      </c>
    </row>
    <row r="45" spans="1:161" s="422" customFormat="1" ht="30" customHeight="1" outlineLevel="1">
      <c r="A45" s="439" t="b">
        <f>Calcul!A45</f>
        <v>0</v>
      </c>
      <c r="B45" s="510" t="str">
        <f t="shared" si="6"/>
        <v/>
      </c>
      <c r="C45" s="1404" t="b">
        <v>0</v>
      </c>
      <c r="D45" s="1404" t="s">
        <v>2147</v>
      </c>
      <c r="E45" s="1405" t="s">
        <v>2335</v>
      </c>
      <c r="F45" s="243" t="s">
        <v>2146</v>
      </c>
      <c r="G45" s="356" t="str">
        <f>IF(A45=FALSE,"",IF(NAMES!$D$10=FALSE,IF(Detail!H45="","",Detail!H45),IF(Crewlist!D45="","",Crewlist!D45)))</f>
        <v/>
      </c>
      <c r="H45" s="356" t="str">
        <f>IF(A45=FALSE,"",IF(NAMES!$D$10=FALSE,IF(Detail!P45="","",Detail!P45),IF(Crewlist!E45="","",Crewlist!E45)))</f>
        <v/>
      </c>
      <c r="I45" s="356" t="str">
        <f>IF(A45=FALSE,"",IF(NAMES!$D$10=FALSE,IF(Detail!K45="","",Detail!K45),IF(Crewlist!F45="","",Crewlist!F45)))</f>
        <v/>
      </c>
      <c r="J45" s="1001" t="str">
        <f>IF(Crewlist!T45="","",Crewlist!T45)</f>
        <v/>
      </c>
      <c r="K45" s="1001" t="str">
        <f>IF(Crewlist!D45="","",IF(Crewlist!U45="",Crewlist!Y45,IF(DATERENOUVMOINS730&lt;&gt;Crewlist!U45&lt;&gt;Crewlist!Y45,Crewlist!U45,DATERENOUVMOINS365)))</f>
        <v/>
      </c>
      <c r="L45" s="775" t="str">
        <f>IF(Detail!X45="","",Detail!X45)</f>
        <v/>
      </c>
      <c r="M45" s="775" t="str">
        <f>IF(Detail!H45="","",IF(Detail!Y45="",DATERENOUV,IF(Detail!Y45&gt;Detail!D45,Detail!D45,Detail!Y45)))</f>
        <v/>
      </c>
      <c r="N45" s="1015" t="str">
        <f>IF(A45=FALSE,"",IF(NAMES!$D$10=FALSE,IF(B45=B46,IF(O45=O46,0,(DATEDIF(L45,M45,"M")+1)),(DATEDIF(L45,M45,"M")+1)),IF(B45=B46,IF(O45=O46,0,(DATEDIF(J45,K45,"M")+1)),(DATEDIF(J45,K45,"M")+1))))</f>
        <v/>
      </c>
      <c r="O45" s="357" t="str">
        <f t="shared" si="5"/>
        <v/>
      </c>
      <c r="P45" s="358" t="str">
        <f>IF(A45=FALSE,"",IF(NAMES!$D$10=FALSE,IF((DATEDIF(L45,M45,"D")+1)&lt;365,(DATEDIF(L45,M45,"D")+1),365),IF((DATEDIF(J45,K45,"D")+1)&lt;365,(DATEDIF(J45,K45,"D")+1),365)))</f>
        <v/>
      </c>
      <c r="Q45" s="358" t="str">
        <f>IF(A45=FALSE,"",IF(NAMES!$D$10=FALSE,IF(M45="",365,DATEDIF(L45,M45,"D")+1),IF(M45="",365,DATEDIF(J45,K45,"D")+1)))</f>
        <v/>
      </c>
      <c r="R45" s="950" t="str">
        <f>Calcul!X45</f>
        <v/>
      </c>
      <c r="S45" s="950" t="str">
        <f>Calcul!Y45</f>
        <v/>
      </c>
      <c r="T45" s="993" t="str">
        <f>Calcul!AG45</f>
        <v/>
      </c>
      <c r="U45" s="368" t="str">
        <f>IF(A45=FALSE,"",IF(NAMES!$D$10=FALSE,IF(Detail!S45="","",Detail!S45),IF(Crewlist!V45="","",Crewlist!V45)))</f>
        <v/>
      </c>
      <c r="V45" s="245" t="str">
        <f>Calcul!AI45</f>
        <v/>
      </c>
      <c r="W45" s="245" t="str">
        <f>Calcul!AL45</f>
        <v/>
      </c>
      <c r="X45" s="245" t="str">
        <f>Calcul!AM45</f>
        <v/>
      </c>
      <c r="Y45" s="353" t="str">
        <f>Calcul!AN45</f>
        <v/>
      </c>
      <c r="Z45" s="245" t="str">
        <f>Calcul!AO45</f>
        <v/>
      </c>
      <c r="AA45" s="245" t="str">
        <f>Calcul!AP45</f>
        <v/>
      </c>
      <c r="AB45" s="353" t="str">
        <f>Calcul!AQ45</f>
        <v/>
      </c>
      <c r="AC45" s="353" t="str">
        <f>IF(C45=FALSE,"",Calcul!BE45+Calcul!BF45)</f>
        <v/>
      </c>
      <c r="AD45" s="353" t="str">
        <f>IF(C45=FALSE,"",(Calcul!BG45+Calcul!BH45)+SUM(Calcul!BI45:BN45))</f>
        <v/>
      </c>
      <c r="AE45" s="353" t="str">
        <f>Calcul!BP45</f>
        <v/>
      </c>
      <c r="AF45" s="332" t="str">
        <f>IF(A45=FALSE,"",YEAR(Detail!F45)&amp;Detail!AG45&amp;Detail!AD45&amp;"-"&amp;Detail!$AD$13&amp;Detail!AE45)</f>
        <v/>
      </c>
      <c r="AG45" s="1406" t="s">
        <v>2236</v>
      </c>
      <c r="AH45" s="701" t="s">
        <v>2277</v>
      </c>
      <c r="AI45" s="1407">
        <v>0</v>
      </c>
      <c r="AJ45" s="1407" t="s">
        <v>2236</v>
      </c>
      <c r="AK45" s="1410">
        <v>32</v>
      </c>
      <c r="AL45" s="508">
        <v>0</v>
      </c>
      <c r="AM45" s="261">
        <v>1</v>
      </c>
      <c r="AN45" s="261">
        <v>0</v>
      </c>
      <c r="AO45" s="333" t="str">
        <f>IF(A45=FALSE,"",IF(Detail!AL45="","N/A",YEAR(Detail!F45)&amp;Detail!AO45&amp;Detail!AL45&amp;"-"&amp;Detail!$AL$13&amp;Detail!AM45))</f>
        <v/>
      </c>
      <c r="AP45" s="1406" t="s">
        <v>2236</v>
      </c>
      <c r="AQ45" s="701" t="s">
        <v>2277</v>
      </c>
      <c r="AR45" s="1407">
        <f t="shared" si="7"/>
        <v>0</v>
      </c>
      <c r="AS45" s="261" t="s">
        <v>2236</v>
      </c>
      <c r="AT45" s="264">
        <v>0</v>
      </c>
      <c r="AU45" s="261">
        <v>0</v>
      </c>
      <c r="AV45" s="261">
        <v>1</v>
      </c>
      <c r="AW45" s="261">
        <v>0</v>
      </c>
      <c r="AX45" s="920" t="str">
        <f>IF(A45=FALSE,"",IF(Detail!AT45="","N/A",YEAR(Detail!F45)&amp;Detail!AW45&amp;Detail!AT45&amp;"-"&amp;Detail!$AT$13))</f>
        <v/>
      </c>
      <c r="AY45" s="1408" t="s">
        <v>2236</v>
      </c>
      <c r="AZ45" s="308" t="s">
        <v>2278</v>
      </c>
      <c r="BA45" s="440" t="str">
        <f>IF(A45=FALSE,"",51000+(Detail!AA45*7000))</f>
        <v/>
      </c>
      <c r="BB45" s="1412">
        <v>50000</v>
      </c>
      <c r="BC45" s="247">
        <v>3</v>
      </c>
      <c r="BD45" s="261">
        <v>0</v>
      </c>
      <c r="BE45" s="261" t="s">
        <v>2236</v>
      </c>
      <c r="BF45" s="264">
        <v>0</v>
      </c>
      <c r="BG45" s="508">
        <v>0</v>
      </c>
      <c r="BH45" s="261">
        <v>1</v>
      </c>
      <c r="BI45" s="261">
        <v>0</v>
      </c>
      <c r="BJ45" s="311" t="str">
        <f>IF(A45=FALSE,"",IF(Detail!BB45="","N/A",YEAR(Detail!F45)&amp;Detail!BE45&amp;Detail!BB45&amp;"-"&amp;Detail!$BB$13))</f>
        <v/>
      </c>
      <c r="BK45" s="1354" t="s">
        <v>2236</v>
      </c>
      <c r="BL45" s="527" t="s">
        <v>2278</v>
      </c>
      <c r="BM45" s="440" t="str">
        <f>IF(A45=FALSE,"",51000+(Detail!AA45*7000))</f>
        <v/>
      </c>
      <c r="BN45" s="1412">
        <v>50000</v>
      </c>
      <c r="BO45" s="247">
        <v>3</v>
      </c>
      <c r="BP45" s="261">
        <v>0</v>
      </c>
      <c r="BQ45" s="261" t="s">
        <v>2236</v>
      </c>
      <c r="BR45" s="264">
        <v>0</v>
      </c>
      <c r="BS45" s="508">
        <v>0</v>
      </c>
      <c r="BT45" s="261">
        <v>1</v>
      </c>
      <c r="BU45" s="261">
        <v>0</v>
      </c>
      <c r="BV45" s="311" t="str">
        <f>IF(A45=FALSE,"",IF(Detail!BJ45="","N/A",YEAR(Detail!F45)&amp;Detail!BM45&amp;Detail!BJ45&amp;"-"&amp;Detail!$BJ$13))</f>
        <v/>
      </c>
      <c r="BW45" s="1409" t="s">
        <v>2236</v>
      </c>
      <c r="BX45" s="527" t="s">
        <v>2278</v>
      </c>
      <c r="BY45" s="440" t="str">
        <f t="shared" si="8"/>
        <v/>
      </c>
      <c r="BZ45" s="1412">
        <v>50000</v>
      </c>
      <c r="CA45" s="247">
        <v>3</v>
      </c>
      <c r="CB45" s="261">
        <v>0</v>
      </c>
      <c r="CC45" s="261" t="s">
        <v>2236</v>
      </c>
      <c r="CD45" s="264">
        <v>0</v>
      </c>
      <c r="CE45" s="508">
        <v>0</v>
      </c>
      <c r="CF45" s="261">
        <v>1</v>
      </c>
      <c r="CG45" s="261">
        <v>0</v>
      </c>
      <c r="CH45" s="311" t="str">
        <f>IF(A45=FALSE,"",IF(Detail!BR45="","N/A",YEAR(Detail!F45)&amp;Detail!BU45&amp;Detail!BR45&amp;"-"&amp;Detail!$BR$13))</f>
        <v/>
      </c>
      <c r="CI45" s="1327" t="s">
        <v>2236</v>
      </c>
      <c r="CJ45" s="527" t="s">
        <v>2278</v>
      </c>
      <c r="CK45" s="440" t="str">
        <f t="shared" si="9"/>
        <v/>
      </c>
      <c r="CL45" s="1412">
        <v>50000</v>
      </c>
      <c r="CM45" s="247">
        <v>3</v>
      </c>
      <c r="CN45" s="261">
        <v>0</v>
      </c>
      <c r="CO45" s="261" t="s">
        <v>2236</v>
      </c>
      <c r="CP45" s="264">
        <v>0</v>
      </c>
      <c r="CQ45" s="508">
        <v>0</v>
      </c>
      <c r="CR45" s="261">
        <v>1</v>
      </c>
      <c r="CS45" s="261">
        <v>0</v>
      </c>
      <c r="CT45" s="311" t="str">
        <f>IF(A45=FALSE,"",IF(Detail!BZ45="","N/A",YEAR(Detail!F45)&amp;Detail!CC45&amp;Detail!BZ45&amp;"-"&amp;Detail!$BZ$13&amp;" (100%/"&amp;Detail!CD45&amp;"/"&amp;Detail!CE45&amp;"D)"))</f>
        <v/>
      </c>
      <c r="CU45" s="1327" t="s">
        <v>2236</v>
      </c>
      <c r="CV45" s="527" t="s">
        <v>2278</v>
      </c>
      <c r="CW45" s="241">
        <v>7</v>
      </c>
      <c r="CX45" s="1323">
        <v>365</v>
      </c>
      <c r="CY45" s="248">
        <v>1</v>
      </c>
      <c r="CZ45" s="261">
        <v>0</v>
      </c>
      <c r="DA45" s="1325" t="s">
        <v>2236</v>
      </c>
      <c r="DB45" s="538">
        <v>40</v>
      </c>
      <c r="DC45" s="1325">
        <v>0.1</v>
      </c>
      <c r="DD45" s="261">
        <v>1</v>
      </c>
      <c r="DE45" s="261">
        <v>0</v>
      </c>
      <c r="DF45" s="313" t="str">
        <f>IF(A45=FALSE,"",IF(Detail!CH45="","N/A",YEAR(Detail!F45)&amp;Detail!CK45&amp;Detail!CH45&amp;"-"&amp;Detail!$CH$13&amp;" (100%/"&amp;Detail!CL45&amp;"/"&amp;Detail!CM45&amp;"D)"))</f>
        <v/>
      </c>
      <c r="DG45" s="1406" t="s">
        <v>2236</v>
      </c>
      <c r="DH45" s="518" t="s">
        <v>2278</v>
      </c>
      <c r="DI45" s="241">
        <f t="shared" si="10"/>
        <v>7</v>
      </c>
      <c r="DJ45" s="243">
        <f t="shared" si="11"/>
        <v>365</v>
      </c>
      <c r="DK45" s="258">
        <v>1</v>
      </c>
      <c r="DL45" s="261">
        <v>0</v>
      </c>
      <c r="DM45" s="1325" t="s">
        <v>2236</v>
      </c>
      <c r="DN45" s="538">
        <v>40</v>
      </c>
      <c r="DO45" s="1325">
        <f t="shared" si="12"/>
        <v>0.1</v>
      </c>
      <c r="DP45" s="261">
        <v>1</v>
      </c>
      <c r="DQ45" s="261">
        <v>0</v>
      </c>
      <c r="DR45" s="920" t="str">
        <f>IF(A45=FALSE,"",IF(Detail!CP45="","N/A",YEAR(Detail!F45)&amp;Detail!CS45&amp;Detail!CP45&amp;"-"&amp;Detail!$CP$13))</f>
        <v/>
      </c>
      <c r="DS45" s="308" t="s">
        <v>2236</v>
      </c>
      <c r="DT45" s="720" t="s">
        <v>2277</v>
      </c>
      <c r="DU45" s="244">
        <v>50000</v>
      </c>
      <c r="DV45" s="247">
        <v>2</v>
      </c>
      <c r="DW45" s="261">
        <v>0</v>
      </c>
      <c r="DX45" s="261" t="s">
        <v>2236</v>
      </c>
      <c r="DY45" s="264">
        <v>0</v>
      </c>
      <c r="DZ45" s="444">
        <v>0</v>
      </c>
      <c r="EA45" s="444">
        <v>1</v>
      </c>
      <c r="EB45" s="444">
        <v>0</v>
      </c>
      <c r="EC45" s="761" t="str">
        <f>IF(A45=FALSE,"",IF(Detail!CX45="","N/A",YEAR(Detail!F45)&amp;Detail!DA45&amp;Detail!CX45&amp;"-"&amp;Detail!$CX$13))</f>
        <v/>
      </c>
      <c r="ED45" s="445" t="s">
        <v>2236</v>
      </c>
      <c r="EE45" s="720" t="s">
        <v>2277</v>
      </c>
      <c r="EF45" s="244">
        <v>50000</v>
      </c>
      <c r="EG45" s="247">
        <v>2</v>
      </c>
      <c r="EH45" s="261">
        <v>0</v>
      </c>
      <c r="EI45" s="261" t="s">
        <v>2236</v>
      </c>
      <c r="EJ45" s="264">
        <v>0</v>
      </c>
      <c r="EK45" s="444">
        <v>0</v>
      </c>
      <c r="EL45" s="444">
        <v>1</v>
      </c>
      <c r="EM45" s="444">
        <v>0</v>
      </c>
      <c r="EN45" s="333" t="str">
        <f>IF(A45=FALSE,"",IF(Detail!DF45="","N/A",YEAR(Detail!F45)&amp;Detail!DI45&amp;Detail!DF45&amp;"-"&amp;Detail!$DF$13))</f>
        <v/>
      </c>
      <c r="EO45" s="1012" t="s">
        <v>2236</v>
      </c>
      <c r="EP45" s="1012" t="s">
        <v>2277</v>
      </c>
      <c r="EQ45" s="1013">
        <f t="shared" si="13"/>
        <v>0</v>
      </c>
      <c r="ER45" s="1013" t="s">
        <v>2236</v>
      </c>
      <c r="ES45" s="264">
        <v>0</v>
      </c>
      <c r="ET45" s="1013">
        <v>0</v>
      </c>
      <c r="EU45" s="1013">
        <v>1</v>
      </c>
      <c r="EV45" s="1013">
        <v>0</v>
      </c>
      <c r="EW45" s="333" t="str">
        <f>IF(DJ45=FALSE,"",IF(Detail!ET45="","N/A",YEAR(Detail!DN45)&amp;Detail!EW45&amp;Detail!ET45&amp;"-"&amp;Detail!$AL$13&amp;Detail!EU45))</f>
        <v>N/A</v>
      </c>
      <c r="EX45" s="1012" t="s">
        <v>2236</v>
      </c>
      <c r="EY45" s="1012" t="s">
        <v>2277</v>
      </c>
      <c r="EZ45" s="1013">
        <f t="shared" si="14"/>
        <v>0</v>
      </c>
      <c r="FA45" s="1013" t="s">
        <v>2236</v>
      </c>
      <c r="FB45" s="264">
        <v>0</v>
      </c>
      <c r="FC45" s="1013">
        <v>0</v>
      </c>
      <c r="FD45" s="1013">
        <v>1</v>
      </c>
      <c r="FE45" s="1013">
        <v>0</v>
      </c>
    </row>
    <row r="46" spans="1:161" s="422" customFormat="1" ht="30" customHeight="1" outlineLevel="1">
      <c r="A46" s="439" t="b">
        <f>Calcul!A46</f>
        <v>0</v>
      </c>
      <c r="B46" s="510" t="str">
        <f t="shared" si="6"/>
        <v/>
      </c>
      <c r="C46" s="1404" t="b">
        <v>0</v>
      </c>
      <c r="D46" s="1404" t="s">
        <v>2147</v>
      </c>
      <c r="E46" s="1405" t="s">
        <v>2335</v>
      </c>
      <c r="F46" s="243" t="s">
        <v>2146</v>
      </c>
      <c r="G46" s="356" t="str">
        <f>IF(A46=FALSE,"",IF(NAMES!$D$10=FALSE,IF(Detail!H46="","",Detail!H46),IF(Crewlist!D46="","",Crewlist!D46)))</f>
        <v/>
      </c>
      <c r="H46" s="356" t="str">
        <f>IF(A46=FALSE,"",IF(NAMES!$D$10=FALSE,IF(Detail!P46="","",Detail!P46),IF(Crewlist!E46="","",Crewlist!E46)))</f>
        <v/>
      </c>
      <c r="I46" s="356" t="str">
        <f>IF(A46=FALSE,"",IF(NAMES!$D$10=FALSE,IF(Detail!K46="","",Detail!K46),IF(Crewlist!F46="","",Crewlist!F46)))</f>
        <v/>
      </c>
      <c r="J46" s="1001" t="str">
        <f>IF(Crewlist!T46="","",Crewlist!T46)</f>
        <v/>
      </c>
      <c r="K46" s="1001" t="str">
        <f>IF(Crewlist!D46="","",IF(Crewlist!U46="",Crewlist!Y46,IF(DATERENOUVMOINS730&lt;&gt;Crewlist!U46&lt;&gt;Crewlist!Y46,Crewlist!U46,DATERENOUVMOINS365)))</f>
        <v/>
      </c>
      <c r="L46" s="775" t="str">
        <f>IF(Detail!X46="","",Detail!X46)</f>
        <v/>
      </c>
      <c r="M46" s="775" t="str">
        <f>IF(Detail!H46="","",IF(Detail!Y46="",DATERENOUV,IF(Detail!Y46&gt;Detail!D46,Detail!D46,Detail!Y46)))</f>
        <v/>
      </c>
      <c r="N46" s="1015" t="str">
        <f>IF(A46=FALSE,"",IF(NAMES!$D$10=FALSE,IF(B46=B47,IF(O46=O47,0,(DATEDIF(L46,M46,"M")+1)),(DATEDIF(L46,M46,"M")+1)),IF(B46=B47,IF(O46=O47,0,(DATEDIF(J46,K46,"M")+1)),(DATEDIF(J46,K46,"M")+1))))</f>
        <v/>
      </c>
      <c r="O46" s="357" t="str">
        <f t="shared" si="5"/>
        <v/>
      </c>
      <c r="P46" s="358" t="str">
        <f>IF(A46=FALSE,"",IF(NAMES!$D$10=FALSE,IF((DATEDIF(L46,M46,"D")+1)&lt;365,(DATEDIF(L46,M46,"D")+1),365),IF((DATEDIF(J46,K46,"D")+1)&lt;365,(DATEDIF(J46,K46,"D")+1),365)))</f>
        <v/>
      </c>
      <c r="Q46" s="358" t="str">
        <f>IF(A46=FALSE,"",IF(NAMES!$D$10=FALSE,IF(M46="",365,DATEDIF(L46,M46,"D")+1),IF(M46="",365,DATEDIF(J46,K46,"D")+1)))</f>
        <v/>
      </c>
      <c r="R46" s="950" t="str">
        <f>Calcul!X46</f>
        <v/>
      </c>
      <c r="S46" s="950" t="str">
        <f>Calcul!Y46</f>
        <v/>
      </c>
      <c r="T46" s="993" t="str">
        <f>Calcul!AG46</f>
        <v/>
      </c>
      <c r="U46" s="368" t="str">
        <f>IF(A46=FALSE,"",IF(NAMES!$D$10=FALSE,IF(Detail!S46="","",Detail!S46),IF(Crewlist!V46="","",Crewlist!V46)))</f>
        <v/>
      </c>
      <c r="V46" s="245" t="str">
        <f>Calcul!AI46</f>
        <v/>
      </c>
      <c r="W46" s="245" t="str">
        <f>Calcul!AL46</f>
        <v/>
      </c>
      <c r="X46" s="245" t="str">
        <f>Calcul!AM46</f>
        <v/>
      </c>
      <c r="Y46" s="353" t="str">
        <f>Calcul!AN46</f>
        <v/>
      </c>
      <c r="Z46" s="245" t="str">
        <f>Calcul!AO46</f>
        <v/>
      </c>
      <c r="AA46" s="245" t="str">
        <f>Calcul!AP46</f>
        <v/>
      </c>
      <c r="AB46" s="353" t="str">
        <f>Calcul!AQ46</f>
        <v/>
      </c>
      <c r="AC46" s="353" t="str">
        <f>IF(C46=FALSE,"",Calcul!BE46+Calcul!BF46)</f>
        <v/>
      </c>
      <c r="AD46" s="353" t="str">
        <f>IF(C46=FALSE,"",(Calcul!BG46+Calcul!BH46)+SUM(Calcul!BI46:BN46))</f>
        <v/>
      </c>
      <c r="AE46" s="353" t="str">
        <f>Calcul!BP46</f>
        <v/>
      </c>
      <c r="AF46" s="332" t="str">
        <f>IF(A46=FALSE,"",YEAR(Detail!F46)&amp;Detail!AG46&amp;Detail!AD46&amp;"-"&amp;Detail!$AD$13&amp;Detail!AE46)</f>
        <v/>
      </c>
      <c r="AG46" s="1406" t="s">
        <v>2236</v>
      </c>
      <c r="AH46" s="701" t="s">
        <v>2277</v>
      </c>
      <c r="AI46" s="1407">
        <v>0</v>
      </c>
      <c r="AJ46" s="1407" t="s">
        <v>2236</v>
      </c>
      <c r="AK46" s="1410">
        <v>32</v>
      </c>
      <c r="AL46" s="508">
        <v>0</v>
      </c>
      <c r="AM46" s="261">
        <v>1</v>
      </c>
      <c r="AN46" s="261">
        <v>0</v>
      </c>
      <c r="AO46" s="333" t="str">
        <f>IF(A46=FALSE,"",IF(Detail!AL46="","N/A",YEAR(Detail!F46)&amp;Detail!AO46&amp;Detail!AL46&amp;"-"&amp;Detail!$AL$13&amp;Detail!AM46))</f>
        <v/>
      </c>
      <c r="AP46" s="1406" t="s">
        <v>2236</v>
      </c>
      <c r="AQ46" s="701" t="s">
        <v>2277</v>
      </c>
      <c r="AR46" s="1407">
        <f t="shared" si="7"/>
        <v>0</v>
      </c>
      <c r="AS46" s="261" t="s">
        <v>2236</v>
      </c>
      <c r="AT46" s="264">
        <v>0</v>
      </c>
      <c r="AU46" s="261">
        <v>0</v>
      </c>
      <c r="AV46" s="261">
        <v>1</v>
      </c>
      <c r="AW46" s="261">
        <v>0</v>
      </c>
      <c r="AX46" s="920" t="str">
        <f>IF(A46=FALSE,"",IF(Detail!AT46="","N/A",YEAR(Detail!F46)&amp;Detail!AW46&amp;Detail!AT46&amp;"-"&amp;Detail!$AT$13))</f>
        <v/>
      </c>
      <c r="AY46" s="1408" t="s">
        <v>2236</v>
      </c>
      <c r="AZ46" s="308" t="s">
        <v>2278</v>
      </c>
      <c r="BA46" s="440" t="str">
        <f>IF(A46=FALSE,"",51000+(Detail!AA46*7000))</f>
        <v/>
      </c>
      <c r="BB46" s="1412">
        <v>50000</v>
      </c>
      <c r="BC46" s="247">
        <v>3</v>
      </c>
      <c r="BD46" s="261">
        <v>0</v>
      </c>
      <c r="BE46" s="261" t="s">
        <v>2236</v>
      </c>
      <c r="BF46" s="264">
        <v>0</v>
      </c>
      <c r="BG46" s="508">
        <v>0</v>
      </c>
      <c r="BH46" s="261">
        <v>1</v>
      </c>
      <c r="BI46" s="261">
        <v>0</v>
      </c>
      <c r="BJ46" s="311" t="str">
        <f>IF(A46=FALSE,"",IF(Detail!BB46="","N/A",YEAR(Detail!F46)&amp;Detail!BE46&amp;Detail!BB46&amp;"-"&amp;Detail!$BB$13))</f>
        <v/>
      </c>
      <c r="BK46" s="1354" t="s">
        <v>2236</v>
      </c>
      <c r="BL46" s="527" t="s">
        <v>2278</v>
      </c>
      <c r="BM46" s="440" t="str">
        <f>IF(A46=FALSE,"",51000+(Detail!AA46*7000))</f>
        <v/>
      </c>
      <c r="BN46" s="1412">
        <v>50000</v>
      </c>
      <c r="BO46" s="247">
        <v>3</v>
      </c>
      <c r="BP46" s="261">
        <v>0</v>
      </c>
      <c r="BQ46" s="261" t="s">
        <v>2236</v>
      </c>
      <c r="BR46" s="264">
        <v>0</v>
      </c>
      <c r="BS46" s="508">
        <v>0</v>
      </c>
      <c r="BT46" s="261">
        <v>1</v>
      </c>
      <c r="BU46" s="261">
        <v>0</v>
      </c>
      <c r="BV46" s="311" t="str">
        <f>IF(A46=FALSE,"",IF(Detail!BJ46="","N/A",YEAR(Detail!F46)&amp;Detail!BM46&amp;Detail!BJ46&amp;"-"&amp;Detail!$BJ$13))</f>
        <v/>
      </c>
      <c r="BW46" s="1409" t="s">
        <v>2236</v>
      </c>
      <c r="BX46" s="527" t="s">
        <v>2278</v>
      </c>
      <c r="BY46" s="440" t="str">
        <f t="shared" si="8"/>
        <v/>
      </c>
      <c r="BZ46" s="1412">
        <v>50000</v>
      </c>
      <c r="CA46" s="247">
        <v>3</v>
      </c>
      <c r="CB46" s="261">
        <v>0</v>
      </c>
      <c r="CC46" s="261" t="s">
        <v>2236</v>
      </c>
      <c r="CD46" s="264">
        <v>0</v>
      </c>
      <c r="CE46" s="508">
        <v>0</v>
      </c>
      <c r="CF46" s="261">
        <v>1</v>
      </c>
      <c r="CG46" s="261">
        <v>0</v>
      </c>
      <c r="CH46" s="311" t="str">
        <f>IF(A46=FALSE,"",IF(Detail!BR46="","N/A",YEAR(Detail!F46)&amp;Detail!BU46&amp;Detail!BR46&amp;"-"&amp;Detail!$BR$13))</f>
        <v/>
      </c>
      <c r="CI46" s="1327" t="s">
        <v>2236</v>
      </c>
      <c r="CJ46" s="527" t="s">
        <v>2278</v>
      </c>
      <c r="CK46" s="440" t="str">
        <f t="shared" si="9"/>
        <v/>
      </c>
      <c r="CL46" s="1412">
        <v>50000</v>
      </c>
      <c r="CM46" s="247">
        <v>3</v>
      </c>
      <c r="CN46" s="261">
        <v>0</v>
      </c>
      <c r="CO46" s="261" t="s">
        <v>2236</v>
      </c>
      <c r="CP46" s="264">
        <v>0</v>
      </c>
      <c r="CQ46" s="508">
        <v>0</v>
      </c>
      <c r="CR46" s="261">
        <v>1</v>
      </c>
      <c r="CS46" s="261">
        <v>0</v>
      </c>
      <c r="CT46" s="311" t="str">
        <f>IF(A46=FALSE,"",IF(Detail!BZ46="","N/A",YEAR(Detail!F46)&amp;Detail!CC46&amp;Detail!BZ46&amp;"-"&amp;Detail!$BZ$13&amp;" (100%/"&amp;Detail!CD46&amp;"/"&amp;Detail!CE46&amp;"D)"))</f>
        <v/>
      </c>
      <c r="CU46" s="1327" t="s">
        <v>2236</v>
      </c>
      <c r="CV46" s="527" t="s">
        <v>2278</v>
      </c>
      <c r="CW46" s="241">
        <v>7</v>
      </c>
      <c r="CX46" s="1323">
        <v>365</v>
      </c>
      <c r="CY46" s="248">
        <v>1</v>
      </c>
      <c r="CZ46" s="261">
        <v>0</v>
      </c>
      <c r="DA46" s="1325" t="s">
        <v>2236</v>
      </c>
      <c r="DB46" s="538">
        <v>40</v>
      </c>
      <c r="DC46" s="1325">
        <v>0.1</v>
      </c>
      <c r="DD46" s="261">
        <v>1</v>
      </c>
      <c r="DE46" s="261">
        <v>0</v>
      </c>
      <c r="DF46" s="313" t="str">
        <f>IF(A46=FALSE,"",IF(Detail!CH46="","N/A",YEAR(Detail!F46)&amp;Detail!CK46&amp;Detail!CH46&amp;"-"&amp;Detail!$CH$13&amp;" (100%/"&amp;Detail!CL46&amp;"/"&amp;Detail!CM46&amp;"D)"))</f>
        <v/>
      </c>
      <c r="DG46" s="1406" t="s">
        <v>2236</v>
      </c>
      <c r="DH46" s="518" t="s">
        <v>2278</v>
      </c>
      <c r="DI46" s="241">
        <f t="shared" si="10"/>
        <v>7</v>
      </c>
      <c r="DJ46" s="243">
        <f t="shared" si="11"/>
        <v>365</v>
      </c>
      <c r="DK46" s="258">
        <v>1</v>
      </c>
      <c r="DL46" s="261">
        <v>0</v>
      </c>
      <c r="DM46" s="1325" t="s">
        <v>2236</v>
      </c>
      <c r="DN46" s="538">
        <v>40</v>
      </c>
      <c r="DO46" s="1325">
        <f t="shared" si="12"/>
        <v>0.1</v>
      </c>
      <c r="DP46" s="261">
        <v>1</v>
      </c>
      <c r="DQ46" s="261">
        <v>0</v>
      </c>
      <c r="DR46" s="920" t="str">
        <f>IF(A46=FALSE,"",IF(Detail!CP46="","N/A",YEAR(Detail!F46)&amp;Detail!CS46&amp;Detail!CP46&amp;"-"&amp;Detail!$CP$13))</f>
        <v/>
      </c>
      <c r="DS46" s="308" t="s">
        <v>2236</v>
      </c>
      <c r="DT46" s="720" t="s">
        <v>2277</v>
      </c>
      <c r="DU46" s="244">
        <v>50000</v>
      </c>
      <c r="DV46" s="247">
        <v>2</v>
      </c>
      <c r="DW46" s="261">
        <v>0</v>
      </c>
      <c r="DX46" s="261" t="s">
        <v>2236</v>
      </c>
      <c r="DY46" s="264">
        <v>0</v>
      </c>
      <c r="DZ46" s="444">
        <v>0</v>
      </c>
      <c r="EA46" s="444">
        <v>1</v>
      </c>
      <c r="EB46" s="444">
        <v>0</v>
      </c>
      <c r="EC46" s="761" t="str">
        <f>IF(A46=FALSE,"",IF(Detail!CX46="","N/A",YEAR(Detail!F46)&amp;Detail!DA46&amp;Detail!CX46&amp;"-"&amp;Detail!$CX$13))</f>
        <v/>
      </c>
      <c r="ED46" s="445" t="s">
        <v>2236</v>
      </c>
      <c r="EE46" s="720" t="s">
        <v>2277</v>
      </c>
      <c r="EF46" s="244">
        <v>50000</v>
      </c>
      <c r="EG46" s="247">
        <v>2</v>
      </c>
      <c r="EH46" s="261">
        <v>0</v>
      </c>
      <c r="EI46" s="261" t="s">
        <v>2236</v>
      </c>
      <c r="EJ46" s="264">
        <v>0</v>
      </c>
      <c r="EK46" s="444">
        <v>0</v>
      </c>
      <c r="EL46" s="444">
        <v>1</v>
      </c>
      <c r="EM46" s="444">
        <v>0</v>
      </c>
      <c r="EN46" s="333" t="str">
        <f>IF(A46=FALSE,"",IF(Detail!DF46="","N/A",YEAR(Detail!F46)&amp;Detail!DI46&amp;Detail!DF46&amp;"-"&amp;Detail!$DF$13))</f>
        <v/>
      </c>
      <c r="EO46" s="1012" t="s">
        <v>2236</v>
      </c>
      <c r="EP46" s="1012" t="s">
        <v>2277</v>
      </c>
      <c r="EQ46" s="1013">
        <f t="shared" si="13"/>
        <v>0</v>
      </c>
      <c r="ER46" s="1013" t="s">
        <v>2236</v>
      </c>
      <c r="ES46" s="264">
        <v>0</v>
      </c>
      <c r="ET46" s="1013">
        <v>0</v>
      </c>
      <c r="EU46" s="1013">
        <v>1</v>
      </c>
      <c r="EV46" s="1013">
        <v>0</v>
      </c>
      <c r="EW46" s="333" t="str">
        <f>IF(DJ46=FALSE,"",IF(Detail!ET46="","N/A",YEAR(Detail!DN46)&amp;Detail!EW46&amp;Detail!ET46&amp;"-"&amp;Detail!$AL$13&amp;Detail!EU46))</f>
        <v>N/A</v>
      </c>
      <c r="EX46" s="1012" t="s">
        <v>2236</v>
      </c>
      <c r="EY46" s="1012" t="s">
        <v>2277</v>
      </c>
      <c r="EZ46" s="1013">
        <f t="shared" si="14"/>
        <v>0</v>
      </c>
      <c r="FA46" s="1013" t="s">
        <v>2236</v>
      </c>
      <c r="FB46" s="264">
        <v>0</v>
      </c>
      <c r="FC46" s="1013">
        <v>0</v>
      </c>
      <c r="FD46" s="1013">
        <v>1</v>
      </c>
      <c r="FE46" s="1013">
        <v>0</v>
      </c>
    </row>
    <row r="47" spans="1:161" s="422" customFormat="1" ht="30" customHeight="1" outlineLevel="1">
      <c r="A47" s="439" t="b">
        <f>Calcul!A47</f>
        <v>0</v>
      </c>
      <c r="B47" s="510" t="str">
        <f t="shared" ref="B47:B78" si="15">IF(A47=FALSE,"",CONCATENATE(C47,G47,O47,L47))</f>
        <v/>
      </c>
      <c r="C47" s="1404" t="b">
        <v>0</v>
      </c>
      <c r="D47" s="1404" t="s">
        <v>2147</v>
      </c>
      <c r="E47" s="1405" t="s">
        <v>2335</v>
      </c>
      <c r="F47" s="243" t="s">
        <v>2146</v>
      </c>
      <c r="G47" s="356" t="str">
        <f>IF(A47=FALSE,"",IF(NAMES!$D$10=FALSE,IF(Detail!H47="","",Detail!H47),IF(Crewlist!D47="","",Crewlist!D47)))</f>
        <v/>
      </c>
      <c r="H47" s="356" t="str">
        <f>IF(A47=FALSE,"",IF(NAMES!$D$10=FALSE,IF(Detail!P47="","",Detail!P47),IF(Crewlist!E47="","",Crewlist!E47)))</f>
        <v/>
      </c>
      <c r="I47" s="356" t="str">
        <f>IF(A47=FALSE,"",IF(NAMES!$D$10=FALSE,IF(Detail!K47="","",Detail!K47),IF(Crewlist!F47="","",Crewlist!F47)))</f>
        <v/>
      </c>
      <c r="J47" s="1001" t="str">
        <f>IF(Crewlist!T47="","",Crewlist!T47)</f>
        <v/>
      </c>
      <c r="K47" s="1001" t="str">
        <f>IF(Crewlist!D47="","",IF(Crewlist!U47="",Crewlist!Y47,IF(DATERENOUVMOINS730&lt;&gt;Crewlist!U47&lt;&gt;Crewlist!Y47,Crewlist!U47,DATERENOUVMOINS365)))</f>
        <v/>
      </c>
      <c r="L47" s="775" t="str">
        <f>IF(Detail!X47="","",Detail!X47)</f>
        <v/>
      </c>
      <c r="M47" s="775" t="str">
        <f>IF(Detail!H47="","",IF(Detail!Y47="",DATERENOUV,IF(Detail!Y47&gt;Detail!D47,Detail!D47,Detail!Y47)))</f>
        <v/>
      </c>
      <c r="N47" s="1015" t="str">
        <f>IF(A47=FALSE,"",IF(NAMES!$D$10=FALSE,IF(B47=B48,IF(O47=O48,0,(DATEDIF(L47,M47,"M")+1)),(DATEDIF(L47,M47,"M")+1)),IF(B47=B48,IF(O47=O48,0,(DATEDIF(J47,K47,"M")+1)),(DATEDIF(J47,K47,"M")+1))))</f>
        <v/>
      </c>
      <c r="O47" s="357" t="str">
        <f t="shared" si="5"/>
        <v/>
      </c>
      <c r="P47" s="358" t="str">
        <f>IF(A47=FALSE,"",IF(NAMES!$D$10=FALSE,IF((DATEDIF(L47,M47,"D")+1)&lt;365,(DATEDIF(L47,M47,"D")+1),365),IF((DATEDIF(J47,K47,"D")+1)&lt;365,(DATEDIF(J47,K47,"D")+1),365)))</f>
        <v/>
      </c>
      <c r="Q47" s="358" t="str">
        <f>IF(A47=FALSE,"",IF(NAMES!$D$10=FALSE,IF(M47="",365,DATEDIF(L47,M47,"D")+1),IF(M47="",365,DATEDIF(J47,K47,"D")+1)))</f>
        <v/>
      </c>
      <c r="R47" s="950" t="str">
        <f>Calcul!X47</f>
        <v/>
      </c>
      <c r="S47" s="950" t="str">
        <f>Calcul!Y47</f>
        <v/>
      </c>
      <c r="T47" s="993" t="str">
        <f>Calcul!AG47</f>
        <v/>
      </c>
      <c r="U47" s="368" t="str">
        <f>IF(A47=FALSE,"",IF(NAMES!$D$10=FALSE,IF(Detail!S47="","",Detail!S47),IF(Crewlist!V47="","",Crewlist!V47)))</f>
        <v/>
      </c>
      <c r="V47" s="245" t="str">
        <f>Calcul!AI47</f>
        <v/>
      </c>
      <c r="W47" s="245" t="str">
        <f>Calcul!AL47</f>
        <v/>
      </c>
      <c r="X47" s="245" t="str">
        <f>Calcul!AM47</f>
        <v/>
      </c>
      <c r="Y47" s="353" t="str">
        <f>Calcul!AN47</f>
        <v/>
      </c>
      <c r="Z47" s="245" t="str">
        <f>Calcul!AO47</f>
        <v/>
      </c>
      <c r="AA47" s="245" t="str">
        <f>Calcul!AP47</f>
        <v/>
      </c>
      <c r="AB47" s="353" t="str">
        <f>Calcul!AQ47</f>
        <v/>
      </c>
      <c r="AC47" s="353" t="str">
        <f>IF(C47=FALSE,"",Calcul!BE47+Calcul!BF47)</f>
        <v/>
      </c>
      <c r="AD47" s="353" t="str">
        <f>IF(C47=FALSE,"",(Calcul!BG47+Calcul!BH47)+SUM(Calcul!BI47:BN47))</f>
        <v/>
      </c>
      <c r="AE47" s="353" t="str">
        <f>Calcul!BP47</f>
        <v/>
      </c>
      <c r="AF47" s="332" t="str">
        <f>IF(A47=FALSE,"",YEAR(Detail!F47)&amp;Detail!AG47&amp;Detail!AD47&amp;"-"&amp;Detail!$AD$13&amp;Detail!AE47)</f>
        <v/>
      </c>
      <c r="AG47" s="1406" t="s">
        <v>2236</v>
      </c>
      <c r="AH47" s="701" t="s">
        <v>2277</v>
      </c>
      <c r="AI47" s="1407">
        <v>0</v>
      </c>
      <c r="AJ47" s="1407" t="s">
        <v>2236</v>
      </c>
      <c r="AK47" s="1410">
        <v>32</v>
      </c>
      <c r="AL47" s="508">
        <v>0</v>
      </c>
      <c r="AM47" s="261">
        <v>1</v>
      </c>
      <c r="AN47" s="261">
        <v>0</v>
      </c>
      <c r="AO47" s="333" t="str">
        <f>IF(A47=FALSE,"",IF(Detail!AL47="","N/A",YEAR(Detail!F47)&amp;Detail!AO47&amp;Detail!AL47&amp;"-"&amp;Detail!$AL$13&amp;Detail!AM47))</f>
        <v/>
      </c>
      <c r="AP47" s="1406" t="s">
        <v>2236</v>
      </c>
      <c r="AQ47" s="701" t="s">
        <v>2277</v>
      </c>
      <c r="AR47" s="1407">
        <f t="shared" si="7"/>
        <v>0</v>
      </c>
      <c r="AS47" s="261" t="s">
        <v>2236</v>
      </c>
      <c r="AT47" s="264">
        <v>0</v>
      </c>
      <c r="AU47" s="261">
        <v>0</v>
      </c>
      <c r="AV47" s="261">
        <v>1</v>
      </c>
      <c r="AW47" s="261">
        <v>0</v>
      </c>
      <c r="AX47" s="920" t="str">
        <f>IF(A47=FALSE,"",IF(Detail!AT47="","N/A",YEAR(Detail!F47)&amp;Detail!AW47&amp;Detail!AT47&amp;"-"&amp;Detail!$AT$13))</f>
        <v/>
      </c>
      <c r="AY47" s="1408" t="s">
        <v>2236</v>
      </c>
      <c r="AZ47" s="308" t="s">
        <v>2278</v>
      </c>
      <c r="BA47" s="440" t="str">
        <f>IF(A47=FALSE,"",51000+(Detail!AA47*7000))</f>
        <v/>
      </c>
      <c r="BB47" s="1412">
        <v>50000</v>
      </c>
      <c r="BC47" s="247">
        <v>3</v>
      </c>
      <c r="BD47" s="261">
        <v>0</v>
      </c>
      <c r="BE47" s="261" t="s">
        <v>2236</v>
      </c>
      <c r="BF47" s="264">
        <v>0</v>
      </c>
      <c r="BG47" s="508">
        <v>0</v>
      </c>
      <c r="BH47" s="261">
        <v>1</v>
      </c>
      <c r="BI47" s="261">
        <v>0</v>
      </c>
      <c r="BJ47" s="311" t="str">
        <f>IF(A47=FALSE,"",IF(Detail!BB47="","N/A",YEAR(Detail!F47)&amp;Detail!BE47&amp;Detail!BB47&amp;"-"&amp;Detail!$BB$13))</f>
        <v/>
      </c>
      <c r="BK47" s="1354" t="s">
        <v>2236</v>
      </c>
      <c r="BL47" s="527" t="s">
        <v>2278</v>
      </c>
      <c r="BM47" s="440" t="str">
        <f>IF(A47=FALSE,"",51000+(Detail!AA47*7000))</f>
        <v/>
      </c>
      <c r="BN47" s="1412">
        <v>50000</v>
      </c>
      <c r="BO47" s="247">
        <v>3</v>
      </c>
      <c r="BP47" s="261">
        <v>0</v>
      </c>
      <c r="BQ47" s="261" t="s">
        <v>2236</v>
      </c>
      <c r="BR47" s="264">
        <v>0</v>
      </c>
      <c r="BS47" s="508">
        <v>0</v>
      </c>
      <c r="BT47" s="261">
        <v>1</v>
      </c>
      <c r="BU47" s="261">
        <v>0</v>
      </c>
      <c r="BV47" s="311" t="str">
        <f>IF(A47=FALSE,"",IF(Detail!BJ47="","N/A",YEAR(Detail!F47)&amp;Detail!BM47&amp;Detail!BJ47&amp;"-"&amp;Detail!$BJ$13))</f>
        <v/>
      </c>
      <c r="BW47" s="1409" t="s">
        <v>2236</v>
      </c>
      <c r="BX47" s="527" t="s">
        <v>2278</v>
      </c>
      <c r="BY47" s="440" t="str">
        <f t="shared" si="8"/>
        <v/>
      </c>
      <c r="BZ47" s="1412">
        <v>50000</v>
      </c>
      <c r="CA47" s="247">
        <v>3</v>
      </c>
      <c r="CB47" s="261">
        <v>0</v>
      </c>
      <c r="CC47" s="261" t="s">
        <v>2236</v>
      </c>
      <c r="CD47" s="264">
        <v>0</v>
      </c>
      <c r="CE47" s="508">
        <v>0</v>
      </c>
      <c r="CF47" s="261">
        <v>1</v>
      </c>
      <c r="CG47" s="261">
        <v>0</v>
      </c>
      <c r="CH47" s="311" t="str">
        <f>IF(A47=FALSE,"",IF(Detail!BR47="","N/A",YEAR(Detail!F47)&amp;Detail!BU47&amp;Detail!BR47&amp;"-"&amp;Detail!$BR$13))</f>
        <v/>
      </c>
      <c r="CI47" s="1327" t="s">
        <v>2236</v>
      </c>
      <c r="CJ47" s="527" t="s">
        <v>2278</v>
      </c>
      <c r="CK47" s="440" t="str">
        <f t="shared" si="9"/>
        <v/>
      </c>
      <c r="CL47" s="1412">
        <v>50000</v>
      </c>
      <c r="CM47" s="247">
        <v>3</v>
      </c>
      <c r="CN47" s="261">
        <v>0</v>
      </c>
      <c r="CO47" s="261" t="s">
        <v>2236</v>
      </c>
      <c r="CP47" s="264">
        <v>0</v>
      </c>
      <c r="CQ47" s="508">
        <v>0</v>
      </c>
      <c r="CR47" s="261">
        <v>1</v>
      </c>
      <c r="CS47" s="261">
        <v>0</v>
      </c>
      <c r="CT47" s="311" t="str">
        <f>IF(A47=FALSE,"",IF(Detail!BZ47="","N/A",YEAR(Detail!F47)&amp;Detail!CC47&amp;Detail!BZ47&amp;"-"&amp;Detail!$BZ$13&amp;" (100%/"&amp;Detail!CD47&amp;"/"&amp;Detail!CE47&amp;"D)"))</f>
        <v/>
      </c>
      <c r="CU47" s="1327" t="s">
        <v>2236</v>
      </c>
      <c r="CV47" s="527" t="s">
        <v>2278</v>
      </c>
      <c r="CW47" s="241">
        <v>7</v>
      </c>
      <c r="CX47" s="1323">
        <v>365</v>
      </c>
      <c r="CY47" s="248">
        <v>1</v>
      </c>
      <c r="CZ47" s="261">
        <v>0</v>
      </c>
      <c r="DA47" s="1325" t="s">
        <v>2236</v>
      </c>
      <c r="DB47" s="538">
        <v>40</v>
      </c>
      <c r="DC47" s="1325">
        <v>0.1</v>
      </c>
      <c r="DD47" s="261">
        <v>1</v>
      </c>
      <c r="DE47" s="261">
        <v>0</v>
      </c>
      <c r="DF47" s="313" t="str">
        <f>IF(A47=FALSE,"",IF(Detail!CH47="","N/A",YEAR(Detail!F47)&amp;Detail!CK47&amp;Detail!CH47&amp;"-"&amp;Detail!$CH$13&amp;" (100%/"&amp;Detail!CL47&amp;"/"&amp;Detail!CM47&amp;"D)"))</f>
        <v/>
      </c>
      <c r="DG47" s="1406" t="s">
        <v>2236</v>
      </c>
      <c r="DH47" s="518" t="s">
        <v>2278</v>
      </c>
      <c r="DI47" s="241">
        <f t="shared" si="10"/>
        <v>7</v>
      </c>
      <c r="DJ47" s="243">
        <f t="shared" si="11"/>
        <v>365</v>
      </c>
      <c r="DK47" s="258">
        <v>1</v>
      </c>
      <c r="DL47" s="261">
        <v>0</v>
      </c>
      <c r="DM47" s="1325" t="s">
        <v>2236</v>
      </c>
      <c r="DN47" s="538">
        <v>40</v>
      </c>
      <c r="DO47" s="1325">
        <f t="shared" si="12"/>
        <v>0.1</v>
      </c>
      <c r="DP47" s="261">
        <v>1</v>
      </c>
      <c r="DQ47" s="261">
        <v>0</v>
      </c>
      <c r="DR47" s="920" t="str">
        <f>IF(A47=FALSE,"",IF(Detail!CP47="","N/A",YEAR(Detail!F47)&amp;Detail!CS47&amp;Detail!CP47&amp;"-"&amp;Detail!$CP$13))</f>
        <v/>
      </c>
      <c r="DS47" s="308" t="s">
        <v>2236</v>
      </c>
      <c r="DT47" s="720" t="s">
        <v>2277</v>
      </c>
      <c r="DU47" s="244">
        <v>50000</v>
      </c>
      <c r="DV47" s="247">
        <v>2</v>
      </c>
      <c r="DW47" s="261">
        <v>0</v>
      </c>
      <c r="DX47" s="261" t="s">
        <v>2236</v>
      </c>
      <c r="DY47" s="264">
        <v>0</v>
      </c>
      <c r="DZ47" s="444">
        <v>0</v>
      </c>
      <c r="EA47" s="444">
        <v>1</v>
      </c>
      <c r="EB47" s="444">
        <v>0</v>
      </c>
      <c r="EC47" s="761" t="str">
        <f>IF(A47=FALSE,"",IF(Detail!CX47="","N/A",YEAR(Detail!F47)&amp;Detail!DA47&amp;Detail!CX47&amp;"-"&amp;Detail!$CX$13))</f>
        <v/>
      </c>
      <c r="ED47" s="445" t="s">
        <v>2236</v>
      </c>
      <c r="EE47" s="720" t="s">
        <v>2277</v>
      </c>
      <c r="EF47" s="244">
        <v>50000</v>
      </c>
      <c r="EG47" s="247">
        <v>2</v>
      </c>
      <c r="EH47" s="261">
        <v>0</v>
      </c>
      <c r="EI47" s="261" t="s">
        <v>2236</v>
      </c>
      <c r="EJ47" s="264">
        <v>0</v>
      </c>
      <c r="EK47" s="444">
        <v>0</v>
      </c>
      <c r="EL47" s="444">
        <v>1</v>
      </c>
      <c r="EM47" s="444">
        <v>0</v>
      </c>
      <c r="EN47" s="333" t="str">
        <f>IF(A47=FALSE,"",IF(Detail!DF47="","N/A",YEAR(Detail!F47)&amp;Detail!DI47&amp;Detail!DF47&amp;"-"&amp;Detail!$DF$13))</f>
        <v/>
      </c>
      <c r="EO47" s="1012" t="s">
        <v>2236</v>
      </c>
      <c r="EP47" s="1012" t="s">
        <v>2277</v>
      </c>
      <c r="EQ47" s="1013">
        <f t="shared" si="13"/>
        <v>0</v>
      </c>
      <c r="ER47" s="1013" t="s">
        <v>2236</v>
      </c>
      <c r="ES47" s="264">
        <v>0</v>
      </c>
      <c r="ET47" s="1013">
        <v>0</v>
      </c>
      <c r="EU47" s="1013">
        <v>1</v>
      </c>
      <c r="EV47" s="1013">
        <v>0</v>
      </c>
      <c r="EW47" s="333" t="str">
        <f>IF(DJ47=FALSE,"",IF(Detail!ET47="","N/A",YEAR(Detail!DN47)&amp;Detail!EW47&amp;Detail!ET47&amp;"-"&amp;Detail!$AL$13&amp;Detail!EU47))</f>
        <v>N/A</v>
      </c>
      <c r="EX47" s="1012" t="s">
        <v>2236</v>
      </c>
      <c r="EY47" s="1012" t="s">
        <v>2277</v>
      </c>
      <c r="EZ47" s="1013">
        <f t="shared" si="14"/>
        <v>0</v>
      </c>
      <c r="FA47" s="1013" t="s">
        <v>2236</v>
      </c>
      <c r="FB47" s="264">
        <v>0</v>
      </c>
      <c r="FC47" s="1013">
        <v>0</v>
      </c>
      <c r="FD47" s="1013">
        <v>1</v>
      </c>
      <c r="FE47" s="1013">
        <v>0</v>
      </c>
    </row>
    <row r="48" spans="1:161" s="422" customFormat="1" ht="30" customHeight="1" outlineLevel="1">
      <c r="A48" s="439" t="b">
        <f>Calcul!A48</f>
        <v>0</v>
      </c>
      <c r="B48" s="510" t="str">
        <f t="shared" si="15"/>
        <v/>
      </c>
      <c r="C48" s="1404" t="b">
        <v>0</v>
      </c>
      <c r="D48" s="1404" t="s">
        <v>2147</v>
      </c>
      <c r="E48" s="1405" t="s">
        <v>2335</v>
      </c>
      <c r="F48" s="243" t="s">
        <v>2146</v>
      </c>
      <c r="G48" s="356" t="str">
        <f>IF(A48=FALSE,"",IF(NAMES!$D$10=FALSE,IF(Detail!H48="","",Detail!H48),IF(Crewlist!D48="","",Crewlist!D48)))</f>
        <v/>
      </c>
      <c r="H48" s="356" t="str">
        <f>IF(A48=FALSE,"",IF(NAMES!$D$10=FALSE,IF(Detail!P48="","",Detail!P48),IF(Crewlist!E48="","",Crewlist!E48)))</f>
        <v/>
      </c>
      <c r="I48" s="356" t="str">
        <f>IF(A48=FALSE,"",IF(NAMES!$D$10=FALSE,IF(Detail!K48="","",Detail!K48),IF(Crewlist!F48="","",Crewlist!F48)))</f>
        <v/>
      </c>
      <c r="J48" s="1001" t="str">
        <f>IF(Crewlist!T48="","",Crewlist!T48)</f>
        <v/>
      </c>
      <c r="K48" s="1001" t="str">
        <f>IF(Crewlist!D48="","",IF(Crewlist!U48="",Crewlist!Y48,IF(DATERENOUVMOINS730&lt;&gt;Crewlist!U48&lt;&gt;Crewlist!Y48,Crewlist!U48,DATERENOUVMOINS365)))</f>
        <v/>
      </c>
      <c r="L48" s="775" t="str">
        <f>IF(Detail!X48="","",Detail!X48)</f>
        <v/>
      </c>
      <c r="M48" s="775" t="str">
        <f>IF(Detail!H48="","",IF(Detail!Y48="",DATERENOUV,IF(Detail!Y48&gt;Detail!D48,Detail!D48,Detail!Y48)))</f>
        <v/>
      </c>
      <c r="N48" s="1015" t="str">
        <f>IF(A48=FALSE,"",IF(NAMES!$D$10=FALSE,IF(B48=B49,IF(O48=O49,0,(DATEDIF(L48,M48,"M")+1)),(DATEDIF(L48,M48,"M")+1)),IF(B48=B49,IF(O48=O49,0,(DATEDIF(J48,K48,"M")+1)),(DATEDIF(J48,K48,"M")+1))))</f>
        <v/>
      </c>
      <c r="O48" s="357" t="str">
        <f t="shared" si="5"/>
        <v/>
      </c>
      <c r="P48" s="358" t="str">
        <f>IF(A48=FALSE,"",IF(NAMES!$D$10=FALSE,IF((DATEDIF(L48,M48,"D")+1)&lt;365,(DATEDIF(L48,M48,"D")+1),365),IF((DATEDIF(J48,K48,"D")+1)&lt;365,(DATEDIF(J48,K48,"D")+1),365)))</f>
        <v/>
      </c>
      <c r="Q48" s="358" t="str">
        <f>IF(A48=FALSE,"",IF(NAMES!$D$10=FALSE,IF(M48="",365,DATEDIF(L48,M48,"D")+1),IF(M48="",365,DATEDIF(J48,K48,"D")+1)))</f>
        <v/>
      </c>
      <c r="R48" s="950" t="str">
        <f>Calcul!X48</f>
        <v/>
      </c>
      <c r="S48" s="950" t="str">
        <f>Calcul!Y48</f>
        <v/>
      </c>
      <c r="T48" s="993" t="str">
        <f>Calcul!AG48</f>
        <v/>
      </c>
      <c r="U48" s="368" t="str">
        <f>IF(A48=FALSE,"",IF(NAMES!$D$10=FALSE,IF(Detail!S48="","",Detail!S48),IF(Crewlist!V48="","",Crewlist!V48)))</f>
        <v/>
      </c>
      <c r="V48" s="245" t="str">
        <f>Calcul!AI48</f>
        <v/>
      </c>
      <c r="W48" s="245" t="str">
        <f>Calcul!AL48</f>
        <v/>
      </c>
      <c r="X48" s="245" t="str">
        <f>Calcul!AM48</f>
        <v/>
      </c>
      <c r="Y48" s="353" t="str">
        <f>Calcul!AN48</f>
        <v/>
      </c>
      <c r="Z48" s="245" t="str">
        <f>Calcul!AO48</f>
        <v/>
      </c>
      <c r="AA48" s="245" t="str">
        <f>Calcul!AP48</f>
        <v/>
      </c>
      <c r="AB48" s="353" t="str">
        <f>Calcul!AQ48</f>
        <v/>
      </c>
      <c r="AC48" s="353" t="str">
        <f>IF(C48=FALSE,"",Calcul!BE48+Calcul!BF48)</f>
        <v/>
      </c>
      <c r="AD48" s="353" t="str">
        <f>IF(C48=FALSE,"",(Calcul!BG48+Calcul!BH48)+SUM(Calcul!BI48:BN48))</f>
        <v/>
      </c>
      <c r="AE48" s="353" t="str">
        <f>Calcul!BP48</f>
        <v/>
      </c>
      <c r="AF48" s="332" t="str">
        <f>IF(A48=FALSE,"",YEAR(Detail!F48)&amp;Detail!AG48&amp;Detail!AD48&amp;"-"&amp;Detail!$AD$13&amp;Detail!AE48)</f>
        <v/>
      </c>
      <c r="AG48" s="1406" t="s">
        <v>2236</v>
      </c>
      <c r="AH48" s="701" t="s">
        <v>2277</v>
      </c>
      <c r="AI48" s="1407">
        <v>0</v>
      </c>
      <c r="AJ48" s="1407" t="s">
        <v>2236</v>
      </c>
      <c r="AK48" s="1410">
        <v>32</v>
      </c>
      <c r="AL48" s="508">
        <v>0</v>
      </c>
      <c r="AM48" s="261">
        <v>1</v>
      </c>
      <c r="AN48" s="261">
        <v>0</v>
      </c>
      <c r="AO48" s="333" t="str">
        <f>IF(A48=FALSE,"",IF(Detail!AL48="","N/A",YEAR(Detail!F48)&amp;Detail!AO48&amp;Detail!AL48&amp;"-"&amp;Detail!$AL$13&amp;Detail!AM48))</f>
        <v/>
      </c>
      <c r="AP48" s="1406" t="s">
        <v>2236</v>
      </c>
      <c r="AQ48" s="701" t="s">
        <v>2277</v>
      </c>
      <c r="AR48" s="1407">
        <f t="shared" si="7"/>
        <v>0</v>
      </c>
      <c r="AS48" s="261" t="s">
        <v>2236</v>
      </c>
      <c r="AT48" s="264">
        <v>0</v>
      </c>
      <c r="AU48" s="261">
        <v>0</v>
      </c>
      <c r="AV48" s="261">
        <v>1</v>
      </c>
      <c r="AW48" s="261">
        <v>0</v>
      </c>
      <c r="AX48" s="920" t="str">
        <f>IF(A48=FALSE,"",IF(Detail!AT48="","N/A",YEAR(Detail!F48)&amp;Detail!AW48&amp;Detail!AT48&amp;"-"&amp;Detail!$AT$13))</f>
        <v/>
      </c>
      <c r="AY48" s="1408" t="s">
        <v>2236</v>
      </c>
      <c r="AZ48" s="308" t="s">
        <v>2278</v>
      </c>
      <c r="BA48" s="440" t="str">
        <f>IF(A48=FALSE,"",51000+(Detail!AA48*7000))</f>
        <v/>
      </c>
      <c r="BB48" s="1412">
        <v>50000</v>
      </c>
      <c r="BC48" s="247">
        <v>3</v>
      </c>
      <c r="BD48" s="261">
        <v>0</v>
      </c>
      <c r="BE48" s="261" t="s">
        <v>2236</v>
      </c>
      <c r="BF48" s="264">
        <v>0</v>
      </c>
      <c r="BG48" s="508">
        <v>0</v>
      </c>
      <c r="BH48" s="261">
        <v>1</v>
      </c>
      <c r="BI48" s="261">
        <v>0</v>
      </c>
      <c r="BJ48" s="311" t="str">
        <f>IF(A48=FALSE,"",IF(Detail!BB48="","N/A",YEAR(Detail!F48)&amp;Detail!BE48&amp;Detail!BB48&amp;"-"&amp;Detail!$BB$13))</f>
        <v/>
      </c>
      <c r="BK48" s="1354" t="s">
        <v>2236</v>
      </c>
      <c r="BL48" s="527" t="s">
        <v>2278</v>
      </c>
      <c r="BM48" s="440" t="str">
        <f>IF(A48=FALSE,"",51000+(Detail!AA48*7000))</f>
        <v/>
      </c>
      <c r="BN48" s="1412">
        <v>50000</v>
      </c>
      <c r="BO48" s="247">
        <v>3</v>
      </c>
      <c r="BP48" s="261">
        <v>0</v>
      </c>
      <c r="BQ48" s="261" t="s">
        <v>2236</v>
      </c>
      <c r="BR48" s="264">
        <v>0</v>
      </c>
      <c r="BS48" s="508">
        <v>0</v>
      </c>
      <c r="BT48" s="261">
        <v>1</v>
      </c>
      <c r="BU48" s="261">
        <v>0</v>
      </c>
      <c r="BV48" s="311" t="str">
        <f>IF(A48=FALSE,"",IF(Detail!BJ48="","N/A",YEAR(Detail!F48)&amp;Detail!BM48&amp;Detail!BJ48&amp;"-"&amp;Detail!$BJ$13))</f>
        <v/>
      </c>
      <c r="BW48" s="1409" t="s">
        <v>2236</v>
      </c>
      <c r="BX48" s="527" t="s">
        <v>2278</v>
      </c>
      <c r="BY48" s="440" t="str">
        <f t="shared" si="8"/>
        <v/>
      </c>
      <c r="BZ48" s="1412">
        <v>50000</v>
      </c>
      <c r="CA48" s="247">
        <v>3</v>
      </c>
      <c r="CB48" s="261">
        <v>0</v>
      </c>
      <c r="CC48" s="261" t="s">
        <v>2236</v>
      </c>
      <c r="CD48" s="264">
        <v>0</v>
      </c>
      <c r="CE48" s="508">
        <v>0</v>
      </c>
      <c r="CF48" s="261">
        <v>1</v>
      </c>
      <c r="CG48" s="261">
        <v>0</v>
      </c>
      <c r="CH48" s="311" t="str">
        <f>IF(A48=FALSE,"",IF(Detail!BR48="","N/A",YEAR(Detail!F48)&amp;Detail!BU48&amp;Detail!BR48&amp;"-"&amp;Detail!$BR$13))</f>
        <v/>
      </c>
      <c r="CI48" s="1327" t="s">
        <v>2236</v>
      </c>
      <c r="CJ48" s="527" t="s">
        <v>2278</v>
      </c>
      <c r="CK48" s="440" t="str">
        <f t="shared" si="9"/>
        <v/>
      </c>
      <c r="CL48" s="1412">
        <v>50000</v>
      </c>
      <c r="CM48" s="247">
        <v>3</v>
      </c>
      <c r="CN48" s="261">
        <v>0</v>
      </c>
      <c r="CO48" s="261" t="s">
        <v>2236</v>
      </c>
      <c r="CP48" s="264">
        <v>0</v>
      </c>
      <c r="CQ48" s="508">
        <v>0</v>
      </c>
      <c r="CR48" s="261">
        <v>1</v>
      </c>
      <c r="CS48" s="261">
        <v>0</v>
      </c>
      <c r="CT48" s="311" t="str">
        <f>IF(A48=FALSE,"",IF(Detail!BZ48="","N/A",YEAR(Detail!F48)&amp;Detail!CC48&amp;Detail!BZ48&amp;"-"&amp;Detail!$BZ$13&amp;" (100%/"&amp;Detail!CD48&amp;"/"&amp;Detail!CE48&amp;"D)"))</f>
        <v/>
      </c>
      <c r="CU48" s="1327" t="s">
        <v>2236</v>
      </c>
      <c r="CV48" s="527" t="s">
        <v>2278</v>
      </c>
      <c r="CW48" s="241">
        <v>7</v>
      </c>
      <c r="CX48" s="1323">
        <v>365</v>
      </c>
      <c r="CY48" s="248">
        <v>1</v>
      </c>
      <c r="CZ48" s="261">
        <v>0</v>
      </c>
      <c r="DA48" s="1325" t="s">
        <v>2236</v>
      </c>
      <c r="DB48" s="538">
        <v>40</v>
      </c>
      <c r="DC48" s="1325">
        <v>0.1</v>
      </c>
      <c r="DD48" s="261">
        <v>1</v>
      </c>
      <c r="DE48" s="261">
        <v>0</v>
      </c>
      <c r="DF48" s="313" t="str">
        <f>IF(A48=FALSE,"",IF(Detail!CH48="","N/A",YEAR(Detail!F48)&amp;Detail!CK48&amp;Detail!CH48&amp;"-"&amp;Detail!$CH$13&amp;" (100%/"&amp;Detail!CL48&amp;"/"&amp;Detail!CM48&amp;"D)"))</f>
        <v/>
      </c>
      <c r="DG48" s="1406" t="s">
        <v>2236</v>
      </c>
      <c r="DH48" s="518" t="s">
        <v>2278</v>
      </c>
      <c r="DI48" s="241">
        <f t="shared" si="10"/>
        <v>7</v>
      </c>
      <c r="DJ48" s="243">
        <f t="shared" si="11"/>
        <v>365</v>
      </c>
      <c r="DK48" s="258">
        <v>1</v>
      </c>
      <c r="DL48" s="261">
        <v>0</v>
      </c>
      <c r="DM48" s="1325" t="s">
        <v>2236</v>
      </c>
      <c r="DN48" s="538">
        <v>40</v>
      </c>
      <c r="DO48" s="1325">
        <f t="shared" si="12"/>
        <v>0.1</v>
      </c>
      <c r="DP48" s="261">
        <v>1</v>
      </c>
      <c r="DQ48" s="261">
        <v>0</v>
      </c>
      <c r="DR48" s="920" t="str">
        <f>IF(A48=FALSE,"",IF(Detail!CP48="","N/A",YEAR(Detail!F48)&amp;Detail!CS48&amp;Detail!CP48&amp;"-"&amp;Detail!$CP$13))</f>
        <v/>
      </c>
      <c r="DS48" s="308" t="s">
        <v>2236</v>
      </c>
      <c r="DT48" s="720" t="s">
        <v>2277</v>
      </c>
      <c r="DU48" s="244">
        <v>50000</v>
      </c>
      <c r="DV48" s="247">
        <v>2</v>
      </c>
      <c r="DW48" s="261">
        <v>0</v>
      </c>
      <c r="DX48" s="261" t="s">
        <v>2236</v>
      </c>
      <c r="DY48" s="264">
        <v>0</v>
      </c>
      <c r="DZ48" s="444">
        <v>0</v>
      </c>
      <c r="EA48" s="444">
        <v>1</v>
      </c>
      <c r="EB48" s="444">
        <v>0</v>
      </c>
      <c r="EC48" s="761" t="str">
        <f>IF(A48=FALSE,"",IF(Detail!CX48="","N/A",YEAR(Detail!F48)&amp;Detail!DA48&amp;Detail!CX48&amp;"-"&amp;Detail!$CX$13))</f>
        <v/>
      </c>
      <c r="ED48" s="445" t="s">
        <v>2236</v>
      </c>
      <c r="EE48" s="720" t="s">
        <v>2277</v>
      </c>
      <c r="EF48" s="244">
        <v>50000</v>
      </c>
      <c r="EG48" s="247">
        <v>2</v>
      </c>
      <c r="EH48" s="261">
        <v>0</v>
      </c>
      <c r="EI48" s="261" t="s">
        <v>2236</v>
      </c>
      <c r="EJ48" s="264">
        <v>0</v>
      </c>
      <c r="EK48" s="444">
        <v>0</v>
      </c>
      <c r="EL48" s="444">
        <v>1</v>
      </c>
      <c r="EM48" s="444">
        <v>0</v>
      </c>
      <c r="EN48" s="333" t="str">
        <f>IF(A48=FALSE,"",IF(Detail!DF48="","N/A",YEAR(Detail!F48)&amp;Detail!DI48&amp;Detail!DF48&amp;"-"&amp;Detail!$DF$13))</f>
        <v/>
      </c>
      <c r="EO48" s="1012" t="s">
        <v>2236</v>
      </c>
      <c r="EP48" s="1012" t="s">
        <v>2277</v>
      </c>
      <c r="EQ48" s="1013">
        <f t="shared" si="13"/>
        <v>0</v>
      </c>
      <c r="ER48" s="1013" t="s">
        <v>2236</v>
      </c>
      <c r="ES48" s="264">
        <v>0</v>
      </c>
      <c r="ET48" s="1013">
        <v>0</v>
      </c>
      <c r="EU48" s="1013">
        <v>1</v>
      </c>
      <c r="EV48" s="1013">
        <v>0</v>
      </c>
      <c r="EW48" s="333" t="str">
        <f>IF(DJ48=FALSE,"",IF(Detail!ET48="","N/A",YEAR(Detail!DN48)&amp;Detail!EW48&amp;Detail!ET48&amp;"-"&amp;Detail!$AL$13&amp;Detail!EU48))</f>
        <v>N/A</v>
      </c>
      <c r="EX48" s="1012" t="s">
        <v>2236</v>
      </c>
      <c r="EY48" s="1012" t="s">
        <v>2277</v>
      </c>
      <c r="EZ48" s="1013">
        <f t="shared" si="14"/>
        <v>0</v>
      </c>
      <c r="FA48" s="1013" t="s">
        <v>2236</v>
      </c>
      <c r="FB48" s="264">
        <v>0</v>
      </c>
      <c r="FC48" s="1013">
        <v>0</v>
      </c>
      <c r="FD48" s="1013">
        <v>1</v>
      </c>
      <c r="FE48" s="1013">
        <v>0</v>
      </c>
    </row>
    <row r="49" spans="1:161" s="422" customFormat="1" ht="30" customHeight="1" outlineLevel="1">
      <c r="A49" s="439" t="b">
        <f>Calcul!A49</f>
        <v>0</v>
      </c>
      <c r="B49" s="510" t="str">
        <f t="shared" si="15"/>
        <v/>
      </c>
      <c r="C49" s="1404" t="b">
        <v>0</v>
      </c>
      <c r="D49" s="1404" t="s">
        <v>2147</v>
      </c>
      <c r="E49" s="1405" t="s">
        <v>2335</v>
      </c>
      <c r="F49" s="243" t="s">
        <v>2146</v>
      </c>
      <c r="G49" s="356" t="str">
        <f>IF(A49=FALSE,"",IF(NAMES!$D$10=FALSE,IF(Detail!H49="","",Detail!H49),IF(Crewlist!D49="","",Crewlist!D49)))</f>
        <v/>
      </c>
      <c r="H49" s="356" t="str">
        <f>IF(A49=FALSE,"",IF(NAMES!$D$10=FALSE,IF(Detail!P49="","",Detail!P49),IF(Crewlist!E49="","",Crewlist!E49)))</f>
        <v/>
      </c>
      <c r="I49" s="356" t="str">
        <f>IF(A49=FALSE,"",IF(NAMES!$D$10=FALSE,IF(Detail!K49="","",Detail!K49),IF(Crewlist!F49="","",Crewlist!F49)))</f>
        <v/>
      </c>
      <c r="J49" s="1001" t="str">
        <f>IF(Crewlist!T49="","",Crewlist!T49)</f>
        <v/>
      </c>
      <c r="K49" s="1001" t="str">
        <f>IF(Crewlist!D49="","",IF(Crewlist!U49="",Crewlist!Y49,IF(DATERENOUVMOINS730&lt;&gt;Crewlist!U49&lt;&gt;Crewlist!Y49,Crewlist!U49,DATERENOUVMOINS365)))</f>
        <v/>
      </c>
      <c r="L49" s="775" t="str">
        <f>IF(Detail!X49="","",Detail!X49)</f>
        <v/>
      </c>
      <c r="M49" s="775" t="str">
        <f>IF(Detail!H49="","",IF(Detail!Y49="",DATERENOUV,IF(Detail!Y49&gt;Detail!D49,Detail!D49,Detail!Y49)))</f>
        <v/>
      </c>
      <c r="N49" s="1015" t="str">
        <f>IF(A49=FALSE,"",IF(NAMES!$D$10=FALSE,IF(B49=B50,IF(O49=O50,0,(DATEDIF(L49,M49,"M")+1)),(DATEDIF(L49,M49,"M")+1)),IF(B49=B50,IF(O49=O50,0,(DATEDIF(J49,K49,"M")+1)),(DATEDIF(J49,K49,"M")+1))))</f>
        <v/>
      </c>
      <c r="O49" s="357" t="str">
        <f t="shared" si="5"/>
        <v/>
      </c>
      <c r="P49" s="358" t="str">
        <f>IF(A49=FALSE,"",IF(NAMES!$D$10=FALSE,IF((DATEDIF(L49,M49,"D")+1)&lt;365,(DATEDIF(L49,M49,"D")+1),365),IF((DATEDIF(J49,K49,"D")+1)&lt;365,(DATEDIF(J49,K49,"D")+1),365)))</f>
        <v/>
      </c>
      <c r="Q49" s="358" t="str">
        <f>IF(A49=FALSE,"",IF(NAMES!$D$10=FALSE,IF(M49="",365,DATEDIF(L49,M49,"D")+1),IF(M49="",365,DATEDIF(J49,K49,"D")+1)))</f>
        <v/>
      </c>
      <c r="R49" s="950" t="str">
        <f>Calcul!X49</f>
        <v/>
      </c>
      <c r="S49" s="950" t="str">
        <f>Calcul!Y49</f>
        <v/>
      </c>
      <c r="T49" s="993" t="str">
        <f>Calcul!AG49</f>
        <v/>
      </c>
      <c r="U49" s="368" t="str">
        <f>IF(A49=FALSE,"",IF(NAMES!$D$10=FALSE,IF(Detail!S49="","",Detail!S49),IF(Crewlist!V49="","",Crewlist!V49)))</f>
        <v/>
      </c>
      <c r="V49" s="245" t="str">
        <f>Calcul!AI49</f>
        <v/>
      </c>
      <c r="W49" s="245" t="str">
        <f>Calcul!AL49</f>
        <v/>
      </c>
      <c r="X49" s="245" t="str">
        <f>Calcul!AM49</f>
        <v/>
      </c>
      <c r="Y49" s="353" t="str">
        <f>Calcul!AN49</f>
        <v/>
      </c>
      <c r="Z49" s="245" t="str">
        <f>Calcul!AO49</f>
        <v/>
      </c>
      <c r="AA49" s="245" t="str">
        <f>Calcul!AP49</f>
        <v/>
      </c>
      <c r="AB49" s="353" t="str">
        <f>Calcul!AQ49</f>
        <v/>
      </c>
      <c r="AC49" s="353" t="str">
        <f>IF(C49=FALSE,"",Calcul!BE49+Calcul!BF49)</f>
        <v/>
      </c>
      <c r="AD49" s="353" t="str">
        <f>IF(C49=FALSE,"",(Calcul!BG49+Calcul!BH49)+SUM(Calcul!BI49:BN49))</f>
        <v/>
      </c>
      <c r="AE49" s="353" t="str">
        <f>Calcul!BP49</f>
        <v/>
      </c>
      <c r="AF49" s="332" t="str">
        <f>IF(A49=FALSE,"",YEAR(Detail!F49)&amp;Detail!AG49&amp;Detail!AD49&amp;"-"&amp;Detail!$AD$13&amp;Detail!AE49)</f>
        <v/>
      </c>
      <c r="AG49" s="1406" t="s">
        <v>2236</v>
      </c>
      <c r="AH49" s="701" t="s">
        <v>2277</v>
      </c>
      <c r="AI49" s="1407">
        <v>0</v>
      </c>
      <c r="AJ49" s="1407" t="s">
        <v>2236</v>
      </c>
      <c r="AK49" s="1410">
        <v>32</v>
      </c>
      <c r="AL49" s="508">
        <v>0</v>
      </c>
      <c r="AM49" s="261">
        <v>1</v>
      </c>
      <c r="AN49" s="261">
        <v>0</v>
      </c>
      <c r="AO49" s="333" t="str">
        <f>IF(A49=FALSE,"",IF(Detail!AL49="","N/A",YEAR(Detail!F49)&amp;Detail!AO49&amp;Detail!AL49&amp;"-"&amp;Detail!$AL$13&amp;Detail!AM49))</f>
        <v/>
      </c>
      <c r="AP49" s="1406" t="s">
        <v>2236</v>
      </c>
      <c r="AQ49" s="701" t="s">
        <v>2277</v>
      </c>
      <c r="AR49" s="1407">
        <f t="shared" si="7"/>
        <v>0</v>
      </c>
      <c r="AS49" s="261" t="s">
        <v>2236</v>
      </c>
      <c r="AT49" s="264">
        <v>0</v>
      </c>
      <c r="AU49" s="261">
        <v>0</v>
      </c>
      <c r="AV49" s="261">
        <v>1</v>
      </c>
      <c r="AW49" s="261">
        <v>0</v>
      </c>
      <c r="AX49" s="920" t="str">
        <f>IF(A49=FALSE,"",IF(Detail!AT49="","N/A",YEAR(Detail!F49)&amp;Detail!AW49&amp;Detail!AT49&amp;"-"&amp;Detail!$AT$13))</f>
        <v/>
      </c>
      <c r="AY49" s="1408" t="s">
        <v>2236</v>
      </c>
      <c r="AZ49" s="308" t="s">
        <v>2278</v>
      </c>
      <c r="BA49" s="440" t="str">
        <f>IF(A49=FALSE,"",51000+(Detail!AA49*7000))</f>
        <v/>
      </c>
      <c r="BB49" s="1412">
        <v>50000</v>
      </c>
      <c r="BC49" s="247">
        <v>3</v>
      </c>
      <c r="BD49" s="261">
        <v>0</v>
      </c>
      <c r="BE49" s="261" t="s">
        <v>2236</v>
      </c>
      <c r="BF49" s="264">
        <v>0</v>
      </c>
      <c r="BG49" s="508">
        <v>0</v>
      </c>
      <c r="BH49" s="261">
        <v>1</v>
      </c>
      <c r="BI49" s="261">
        <v>0</v>
      </c>
      <c r="BJ49" s="311" t="str">
        <f>IF(A49=FALSE,"",IF(Detail!BB49="","N/A",YEAR(Detail!F49)&amp;Detail!BE49&amp;Detail!BB49&amp;"-"&amp;Detail!$BB$13))</f>
        <v/>
      </c>
      <c r="BK49" s="1354" t="s">
        <v>2236</v>
      </c>
      <c r="BL49" s="527" t="s">
        <v>2278</v>
      </c>
      <c r="BM49" s="440" t="str">
        <f>IF(A49=FALSE,"",51000+(Detail!AA49*7000))</f>
        <v/>
      </c>
      <c r="BN49" s="1412">
        <v>50000</v>
      </c>
      <c r="BO49" s="247">
        <v>3</v>
      </c>
      <c r="BP49" s="261">
        <v>0</v>
      </c>
      <c r="BQ49" s="261" t="s">
        <v>2236</v>
      </c>
      <c r="BR49" s="264">
        <v>0</v>
      </c>
      <c r="BS49" s="508">
        <v>0</v>
      </c>
      <c r="BT49" s="261">
        <v>1</v>
      </c>
      <c r="BU49" s="261">
        <v>0</v>
      </c>
      <c r="BV49" s="311" t="str">
        <f>IF(A49=FALSE,"",IF(Detail!BJ49="","N/A",YEAR(Detail!F49)&amp;Detail!BM49&amp;Detail!BJ49&amp;"-"&amp;Detail!$BJ$13))</f>
        <v/>
      </c>
      <c r="BW49" s="1409" t="s">
        <v>2236</v>
      </c>
      <c r="BX49" s="527" t="s">
        <v>2278</v>
      </c>
      <c r="BY49" s="440" t="str">
        <f t="shared" si="8"/>
        <v/>
      </c>
      <c r="BZ49" s="1412">
        <v>50000</v>
      </c>
      <c r="CA49" s="247">
        <v>3</v>
      </c>
      <c r="CB49" s="261">
        <v>0</v>
      </c>
      <c r="CC49" s="261" t="s">
        <v>2236</v>
      </c>
      <c r="CD49" s="264">
        <v>0</v>
      </c>
      <c r="CE49" s="508">
        <v>0</v>
      </c>
      <c r="CF49" s="261">
        <v>1</v>
      </c>
      <c r="CG49" s="261">
        <v>0</v>
      </c>
      <c r="CH49" s="311" t="str">
        <f>IF(A49=FALSE,"",IF(Detail!BR49="","N/A",YEAR(Detail!F49)&amp;Detail!BU49&amp;Detail!BR49&amp;"-"&amp;Detail!$BR$13))</f>
        <v/>
      </c>
      <c r="CI49" s="1327" t="s">
        <v>2236</v>
      </c>
      <c r="CJ49" s="527" t="s">
        <v>2278</v>
      </c>
      <c r="CK49" s="440" t="str">
        <f t="shared" si="9"/>
        <v/>
      </c>
      <c r="CL49" s="1412">
        <v>50000</v>
      </c>
      <c r="CM49" s="247">
        <v>3</v>
      </c>
      <c r="CN49" s="261">
        <v>0</v>
      </c>
      <c r="CO49" s="261" t="s">
        <v>2236</v>
      </c>
      <c r="CP49" s="264">
        <v>0</v>
      </c>
      <c r="CQ49" s="508">
        <v>0</v>
      </c>
      <c r="CR49" s="261">
        <v>1</v>
      </c>
      <c r="CS49" s="261">
        <v>0</v>
      </c>
      <c r="CT49" s="311" t="str">
        <f>IF(A49=FALSE,"",IF(Detail!BZ49="","N/A",YEAR(Detail!F49)&amp;Detail!CC49&amp;Detail!BZ49&amp;"-"&amp;Detail!$BZ$13&amp;" (100%/"&amp;Detail!CD49&amp;"/"&amp;Detail!CE49&amp;"D)"))</f>
        <v/>
      </c>
      <c r="CU49" s="1327" t="s">
        <v>2236</v>
      </c>
      <c r="CV49" s="527" t="s">
        <v>2278</v>
      </c>
      <c r="CW49" s="241">
        <v>7</v>
      </c>
      <c r="CX49" s="1323">
        <v>365</v>
      </c>
      <c r="CY49" s="248">
        <v>1</v>
      </c>
      <c r="CZ49" s="261">
        <v>0</v>
      </c>
      <c r="DA49" s="1325" t="s">
        <v>2236</v>
      </c>
      <c r="DB49" s="538">
        <v>40</v>
      </c>
      <c r="DC49" s="1325">
        <v>0.1</v>
      </c>
      <c r="DD49" s="261">
        <v>1</v>
      </c>
      <c r="DE49" s="261">
        <v>0</v>
      </c>
      <c r="DF49" s="313" t="str">
        <f>IF(A49=FALSE,"",IF(Detail!CH49="","N/A",YEAR(Detail!F49)&amp;Detail!CK49&amp;Detail!CH49&amp;"-"&amp;Detail!$CH$13&amp;" (100%/"&amp;Detail!CL49&amp;"/"&amp;Detail!CM49&amp;"D)"))</f>
        <v/>
      </c>
      <c r="DG49" s="1406" t="s">
        <v>2236</v>
      </c>
      <c r="DH49" s="518" t="s">
        <v>2278</v>
      </c>
      <c r="DI49" s="241">
        <f t="shared" si="10"/>
        <v>7</v>
      </c>
      <c r="DJ49" s="243">
        <f t="shared" si="11"/>
        <v>365</v>
      </c>
      <c r="DK49" s="258">
        <v>1</v>
      </c>
      <c r="DL49" s="261">
        <v>0</v>
      </c>
      <c r="DM49" s="1325" t="s">
        <v>2236</v>
      </c>
      <c r="DN49" s="538">
        <v>40</v>
      </c>
      <c r="DO49" s="1325">
        <f t="shared" si="12"/>
        <v>0.1</v>
      </c>
      <c r="DP49" s="261">
        <v>1</v>
      </c>
      <c r="DQ49" s="261">
        <v>0</v>
      </c>
      <c r="DR49" s="920" t="str">
        <f>IF(A49=FALSE,"",IF(Detail!CP49="","N/A",YEAR(Detail!F49)&amp;Detail!CS49&amp;Detail!CP49&amp;"-"&amp;Detail!$CP$13))</f>
        <v/>
      </c>
      <c r="DS49" s="308" t="s">
        <v>2236</v>
      </c>
      <c r="DT49" s="720" t="s">
        <v>2277</v>
      </c>
      <c r="DU49" s="244">
        <v>50000</v>
      </c>
      <c r="DV49" s="247">
        <v>2</v>
      </c>
      <c r="DW49" s="261">
        <v>0</v>
      </c>
      <c r="DX49" s="261" t="s">
        <v>2236</v>
      </c>
      <c r="DY49" s="264">
        <v>0</v>
      </c>
      <c r="DZ49" s="444">
        <v>0</v>
      </c>
      <c r="EA49" s="444">
        <v>1</v>
      </c>
      <c r="EB49" s="444">
        <v>0</v>
      </c>
      <c r="EC49" s="761" t="str">
        <f>IF(A49=FALSE,"",IF(Detail!CX49="","N/A",YEAR(Detail!F49)&amp;Detail!DA49&amp;Detail!CX49&amp;"-"&amp;Detail!$CX$13))</f>
        <v/>
      </c>
      <c r="ED49" s="445" t="s">
        <v>2236</v>
      </c>
      <c r="EE49" s="720" t="s">
        <v>2277</v>
      </c>
      <c r="EF49" s="244">
        <v>50000</v>
      </c>
      <c r="EG49" s="247">
        <v>2</v>
      </c>
      <c r="EH49" s="261">
        <v>0</v>
      </c>
      <c r="EI49" s="261" t="s">
        <v>2236</v>
      </c>
      <c r="EJ49" s="264">
        <v>0</v>
      </c>
      <c r="EK49" s="444">
        <v>0</v>
      </c>
      <c r="EL49" s="444">
        <v>1</v>
      </c>
      <c r="EM49" s="444">
        <v>0</v>
      </c>
      <c r="EN49" s="333" t="str">
        <f>IF(A49=FALSE,"",IF(Detail!DF49="","N/A",YEAR(Detail!F49)&amp;Detail!DI49&amp;Detail!DF49&amp;"-"&amp;Detail!$DF$13))</f>
        <v/>
      </c>
      <c r="EO49" s="1012" t="s">
        <v>2236</v>
      </c>
      <c r="EP49" s="1012" t="s">
        <v>2277</v>
      </c>
      <c r="EQ49" s="1013">
        <f t="shared" si="13"/>
        <v>0</v>
      </c>
      <c r="ER49" s="1013" t="s">
        <v>2236</v>
      </c>
      <c r="ES49" s="264">
        <v>0</v>
      </c>
      <c r="ET49" s="1013">
        <v>0</v>
      </c>
      <c r="EU49" s="1013">
        <v>1</v>
      </c>
      <c r="EV49" s="1013">
        <v>0</v>
      </c>
      <c r="EW49" s="333" t="str">
        <f>IF(DJ49=FALSE,"",IF(Detail!ET49="","N/A",YEAR(Detail!DN49)&amp;Detail!EW49&amp;Detail!ET49&amp;"-"&amp;Detail!$AL$13&amp;Detail!EU49))</f>
        <v>N/A</v>
      </c>
      <c r="EX49" s="1012" t="s">
        <v>2236</v>
      </c>
      <c r="EY49" s="1012" t="s">
        <v>2277</v>
      </c>
      <c r="EZ49" s="1013">
        <f t="shared" si="14"/>
        <v>0</v>
      </c>
      <c r="FA49" s="1013" t="s">
        <v>2236</v>
      </c>
      <c r="FB49" s="264">
        <v>0</v>
      </c>
      <c r="FC49" s="1013">
        <v>0</v>
      </c>
      <c r="FD49" s="1013">
        <v>1</v>
      </c>
      <c r="FE49" s="1013">
        <v>0</v>
      </c>
    </row>
    <row r="50" spans="1:161" s="1369" customFormat="1" ht="30" customHeight="1" outlineLevel="1">
      <c r="A50" s="439" t="b">
        <f>Calcul!A50</f>
        <v>0</v>
      </c>
      <c r="B50" s="510" t="str">
        <f t="shared" si="15"/>
        <v/>
      </c>
      <c r="C50" s="1404" t="b">
        <v>0</v>
      </c>
      <c r="D50" s="1404" t="s">
        <v>2147</v>
      </c>
      <c r="E50" s="1405" t="s">
        <v>2335</v>
      </c>
      <c r="F50" s="1323" t="s">
        <v>2146</v>
      </c>
      <c r="G50" s="356" t="str">
        <f>IF(A50=FALSE,"",IF(NAMES!$D$10=FALSE,IF(Detail!H50="","",Detail!H50),IF(Crewlist!D50="","",Crewlist!D50)))</f>
        <v/>
      </c>
      <c r="H50" s="356" t="str">
        <f>IF(A50=FALSE,"",IF(NAMES!$D$10=FALSE,IF(Detail!P50="","",Detail!P50),IF(Crewlist!E50="","",Crewlist!E50)))</f>
        <v/>
      </c>
      <c r="I50" s="356" t="str">
        <f>IF(A50=FALSE,"",IF(NAMES!$D$10=FALSE,IF(Detail!K50="","",Detail!K50),IF(Crewlist!F50="","",Crewlist!F50)))</f>
        <v/>
      </c>
      <c r="J50" s="1001" t="str">
        <f>IF(Crewlist!T50="","",Crewlist!T50)</f>
        <v/>
      </c>
      <c r="K50" s="1001" t="str">
        <f>IF(Crewlist!D50="","",IF(Crewlist!U50="",Crewlist!Y50,IF(DATERENOUVMOINS730&lt;&gt;Crewlist!U50&lt;&gt;Crewlist!Y50,Crewlist!U50,DATERENOUVMOINS365)))</f>
        <v/>
      </c>
      <c r="L50" s="775" t="str">
        <f>IF(Detail!X50="","",Detail!X50)</f>
        <v/>
      </c>
      <c r="M50" s="775" t="str">
        <f>IF(Detail!H50="","",IF(Detail!Y50="",DATERENOUV,IF(Detail!Y50&gt;Detail!D50,Detail!D50,Detail!Y50)))</f>
        <v/>
      </c>
      <c r="N50" s="1015" t="str">
        <f>IF(A50=FALSE,"",IF(NAMES!$D$10=FALSE,IF(B50=B51,IF(O50=O51,0,(DATEDIF(L50,M50,"M")+1)),(DATEDIF(L50,M50,"M")+1)),IF(B50=B51,IF(O50=O51,0,(DATEDIF(J50,K50,"M")+1)),(DATEDIF(J50,K50,"M")+1))))</f>
        <v/>
      </c>
      <c r="O50" s="1015" t="str">
        <f t="shared" si="5"/>
        <v/>
      </c>
      <c r="P50" s="358" t="str">
        <f>IF(A50=FALSE,"",IF(NAMES!$D$10=FALSE,IF((DATEDIF(L50,M50,"D")+1)&lt;365,(DATEDIF(L50,M50,"D")+1),365),IF((DATEDIF(J50,K50,"D")+1)&lt;365,(DATEDIF(J50,K50,"D")+1),365)))</f>
        <v/>
      </c>
      <c r="Q50" s="358" t="str">
        <f>IF(A50=FALSE,"",IF(NAMES!$D$10=FALSE,IF(M50="",365,DATEDIF(L50,M50,"D")+1),IF(M50="",365,DATEDIF(J50,K50,"D")+1)))</f>
        <v/>
      </c>
      <c r="R50" s="950" t="str">
        <f>Calcul!X50</f>
        <v/>
      </c>
      <c r="S50" s="950" t="str">
        <f>Calcul!Y50</f>
        <v/>
      </c>
      <c r="T50" s="993" t="str">
        <f>Calcul!AG50</f>
        <v/>
      </c>
      <c r="U50" s="368" t="str">
        <f>IF(A50=FALSE,"",IF(NAMES!$D$10=FALSE,IF(Detail!S50="","",Detail!S50),IF(Crewlist!V50="","",Crewlist!V50)))</f>
        <v/>
      </c>
      <c r="V50" s="245" t="str">
        <f>Calcul!AI50</f>
        <v/>
      </c>
      <c r="W50" s="245" t="str">
        <f>Calcul!AL50</f>
        <v/>
      </c>
      <c r="X50" s="245" t="str">
        <f>Calcul!AM50</f>
        <v/>
      </c>
      <c r="Y50" s="353" t="str">
        <f>Calcul!AN50</f>
        <v/>
      </c>
      <c r="Z50" s="245" t="str">
        <f>Calcul!AO50</f>
        <v/>
      </c>
      <c r="AA50" s="245" t="str">
        <f>Calcul!AP50</f>
        <v/>
      </c>
      <c r="AB50" s="353" t="str">
        <f>Calcul!AQ50</f>
        <v/>
      </c>
      <c r="AC50" s="353" t="str">
        <f>IF(C50=FALSE,"",Calcul!BE50+Calcul!BF50)</f>
        <v/>
      </c>
      <c r="AD50" s="353" t="str">
        <f>IF(C50=FALSE,"",(Calcul!BG50+Calcul!BH50)+SUM(Calcul!BI50:BN50))</f>
        <v/>
      </c>
      <c r="AE50" s="353" t="str">
        <f>Calcul!BP50</f>
        <v/>
      </c>
      <c r="AF50" s="332" t="str">
        <f>IF(A50=FALSE,"",YEAR(Detail!F50)&amp;Detail!AG50&amp;Detail!AD50&amp;"-"&amp;Detail!$AD$13&amp;Detail!AE50)</f>
        <v/>
      </c>
      <c r="AG50" s="1406" t="s">
        <v>2236</v>
      </c>
      <c r="AH50" s="1354" t="s">
        <v>2277</v>
      </c>
      <c r="AI50" s="1407">
        <v>0</v>
      </c>
      <c r="AJ50" s="1407" t="s">
        <v>2236</v>
      </c>
      <c r="AK50" s="1410">
        <v>32</v>
      </c>
      <c r="AL50" s="508">
        <v>0</v>
      </c>
      <c r="AM50" s="1325">
        <v>1</v>
      </c>
      <c r="AN50" s="1325">
        <v>0</v>
      </c>
      <c r="AO50" s="333" t="str">
        <f>IF(A50=FALSE,"",IF(Detail!AL50="","N/A",YEAR(Detail!F50)&amp;Detail!AO50&amp;Detail!AL50&amp;"-"&amp;Detail!$AL$13&amp;Detail!AM50))</f>
        <v/>
      </c>
      <c r="AP50" s="1406" t="s">
        <v>2236</v>
      </c>
      <c r="AQ50" s="1354" t="s">
        <v>2277</v>
      </c>
      <c r="AR50" s="1407">
        <f t="shared" si="7"/>
        <v>0</v>
      </c>
      <c r="AS50" s="1325" t="s">
        <v>2236</v>
      </c>
      <c r="AT50" s="264">
        <v>0</v>
      </c>
      <c r="AU50" s="1325">
        <v>0</v>
      </c>
      <c r="AV50" s="1325">
        <v>1</v>
      </c>
      <c r="AW50" s="1325">
        <v>0</v>
      </c>
      <c r="AX50" s="1326" t="str">
        <f>IF(A50=FALSE,"",IF(Detail!AT50="","N/A",YEAR(Detail!F50)&amp;Detail!AW50&amp;Detail!AT50&amp;"-"&amp;Detail!$AT$13))</f>
        <v/>
      </c>
      <c r="AY50" s="1408" t="s">
        <v>2236</v>
      </c>
      <c r="AZ50" s="1326" t="s">
        <v>2278</v>
      </c>
      <c r="BA50" s="440" t="str">
        <f>IF(A50=FALSE,"",51000+(Detail!AA50*7000))</f>
        <v/>
      </c>
      <c r="BB50" s="1412">
        <v>50000</v>
      </c>
      <c r="BC50" s="247">
        <v>3</v>
      </c>
      <c r="BD50" s="1325">
        <v>0</v>
      </c>
      <c r="BE50" s="1325" t="s">
        <v>2236</v>
      </c>
      <c r="BF50" s="264">
        <v>0</v>
      </c>
      <c r="BG50" s="508">
        <v>0</v>
      </c>
      <c r="BH50" s="1325">
        <v>1</v>
      </c>
      <c r="BI50" s="1325">
        <v>0</v>
      </c>
      <c r="BJ50" s="311" t="str">
        <f>IF(A50=FALSE,"",IF(Detail!BB50="","N/A",YEAR(Detail!F50)&amp;Detail!BE50&amp;Detail!BB50&amp;"-"&amp;Detail!$BB$13))</f>
        <v/>
      </c>
      <c r="BK50" s="1354" t="s">
        <v>2236</v>
      </c>
      <c r="BL50" s="1354" t="s">
        <v>2278</v>
      </c>
      <c r="BM50" s="440" t="str">
        <f>IF(A50=FALSE,"",51000+(Detail!AA50*7000))</f>
        <v/>
      </c>
      <c r="BN50" s="1412">
        <v>50000</v>
      </c>
      <c r="BO50" s="247">
        <v>3</v>
      </c>
      <c r="BP50" s="1325">
        <v>0</v>
      </c>
      <c r="BQ50" s="1325" t="s">
        <v>2236</v>
      </c>
      <c r="BR50" s="264">
        <v>0</v>
      </c>
      <c r="BS50" s="508">
        <v>0</v>
      </c>
      <c r="BT50" s="1325">
        <v>1</v>
      </c>
      <c r="BU50" s="1325">
        <v>0</v>
      </c>
      <c r="BV50" s="311" t="str">
        <f>IF(A50=FALSE,"",IF(Detail!BJ50="","N/A",YEAR(Detail!F50)&amp;Detail!BM50&amp;Detail!BJ50&amp;"-"&amp;Detail!$BJ$13))</f>
        <v/>
      </c>
      <c r="BW50" s="1409" t="s">
        <v>2236</v>
      </c>
      <c r="BX50" s="1354" t="s">
        <v>2278</v>
      </c>
      <c r="BY50" s="440" t="str">
        <f t="shared" si="8"/>
        <v/>
      </c>
      <c r="BZ50" s="1412">
        <v>50000</v>
      </c>
      <c r="CA50" s="247">
        <v>3</v>
      </c>
      <c r="CB50" s="1325">
        <v>0</v>
      </c>
      <c r="CC50" s="1325" t="s">
        <v>2236</v>
      </c>
      <c r="CD50" s="264">
        <v>0</v>
      </c>
      <c r="CE50" s="508">
        <v>0</v>
      </c>
      <c r="CF50" s="1325">
        <v>1</v>
      </c>
      <c r="CG50" s="1325">
        <v>0</v>
      </c>
      <c r="CH50" s="311" t="str">
        <f>IF(A50=FALSE,"",IF(Detail!BR50="","N/A",YEAR(Detail!F50)&amp;Detail!BU50&amp;Detail!BR50&amp;"-"&amp;Detail!$BR$13))</f>
        <v/>
      </c>
      <c r="CI50" s="1327" t="s">
        <v>2236</v>
      </c>
      <c r="CJ50" s="1354" t="s">
        <v>2278</v>
      </c>
      <c r="CK50" s="440" t="str">
        <f t="shared" si="9"/>
        <v/>
      </c>
      <c r="CL50" s="1412">
        <v>50000</v>
      </c>
      <c r="CM50" s="247">
        <v>3</v>
      </c>
      <c r="CN50" s="1325">
        <v>0</v>
      </c>
      <c r="CO50" s="1325" t="s">
        <v>2236</v>
      </c>
      <c r="CP50" s="264">
        <v>0</v>
      </c>
      <c r="CQ50" s="508">
        <v>0</v>
      </c>
      <c r="CR50" s="1325">
        <v>1</v>
      </c>
      <c r="CS50" s="1325">
        <v>0</v>
      </c>
      <c r="CT50" s="311" t="str">
        <f>IF(A50=FALSE,"",IF(Detail!BZ50="","N/A",YEAR(Detail!F50)&amp;Detail!CC50&amp;Detail!BZ50&amp;"-"&amp;Detail!$BZ$13&amp;" (100%/"&amp;Detail!CD50&amp;"/"&amp;Detail!CE50&amp;"D)"))</f>
        <v/>
      </c>
      <c r="CU50" s="1327" t="s">
        <v>2236</v>
      </c>
      <c r="CV50" s="1354" t="s">
        <v>2278</v>
      </c>
      <c r="CW50" s="1010">
        <v>7</v>
      </c>
      <c r="CX50" s="1323">
        <v>365</v>
      </c>
      <c r="CY50" s="248">
        <v>1</v>
      </c>
      <c r="CZ50" s="1325">
        <v>0</v>
      </c>
      <c r="DA50" s="1325" t="s">
        <v>2236</v>
      </c>
      <c r="DB50" s="538">
        <v>40</v>
      </c>
      <c r="DC50" s="1325">
        <v>0.1</v>
      </c>
      <c r="DD50" s="1325">
        <v>1</v>
      </c>
      <c r="DE50" s="1325">
        <v>0</v>
      </c>
      <c r="DF50" s="313" t="str">
        <f>IF(A50=FALSE,"",IF(Detail!CH50="","N/A",YEAR(Detail!F50)&amp;Detail!CK50&amp;Detail!CH50&amp;"-"&amp;Detail!$CH$13&amp;" (100%/"&amp;Detail!CL50&amp;"/"&amp;Detail!CM50&amp;"D)"))</f>
        <v/>
      </c>
      <c r="DG50" s="1406" t="s">
        <v>2236</v>
      </c>
      <c r="DH50" s="518" t="s">
        <v>2278</v>
      </c>
      <c r="DI50" s="1010">
        <f t="shared" si="10"/>
        <v>7</v>
      </c>
      <c r="DJ50" s="1323">
        <f t="shared" si="11"/>
        <v>365</v>
      </c>
      <c r="DK50" s="258">
        <v>1</v>
      </c>
      <c r="DL50" s="1325">
        <v>0</v>
      </c>
      <c r="DM50" s="1325" t="s">
        <v>2236</v>
      </c>
      <c r="DN50" s="538">
        <v>40</v>
      </c>
      <c r="DO50" s="1325">
        <f t="shared" si="12"/>
        <v>0.1</v>
      </c>
      <c r="DP50" s="1325">
        <v>1</v>
      </c>
      <c r="DQ50" s="1325">
        <v>0</v>
      </c>
      <c r="DR50" s="1326" t="str">
        <f>IF(A50=FALSE,"",IF(Detail!CP50="","N/A",YEAR(Detail!F50)&amp;Detail!CS50&amp;Detail!CP50&amp;"-"&amp;Detail!$CP$13))</f>
        <v/>
      </c>
      <c r="DS50" s="1326" t="s">
        <v>2236</v>
      </c>
      <c r="DT50" s="1354" t="s">
        <v>2277</v>
      </c>
      <c r="DU50" s="1356">
        <v>50000</v>
      </c>
      <c r="DV50" s="247">
        <v>2</v>
      </c>
      <c r="DW50" s="1325">
        <v>0</v>
      </c>
      <c r="DX50" s="1325" t="s">
        <v>2236</v>
      </c>
      <c r="DY50" s="264">
        <v>0</v>
      </c>
      <c r="DZ50" s="444">
        <v>0</v>
      </c>
      <c r="EA50" s="444">
        <v>1</v>
      </c>
      <c r="EB50" s="444">
        <v>0</v>
      </c>
      <c r="EC50" s="761" t="str">
        <f>IF(A50=FALSE,"",IF(Detail!CX50="","N/A",YEAR(Detail!F50)&amp;Detail!DA50&amp;Detail!CX50&amp;"-"&amp;Detail!$CX$13))</f>
        <v/>
      </c>
      <c r="ED50" s="1327" t="s">
        <v>2236</v>
      </c>
      <c r="EE50" s="1354" t="s">
        <v>2277</v>
      </c>
      <c r="EF50" s="1356">
        <v>50000</v>
      </c>
      <c r="EG50" s="247">
        <v>2</v>
      </c>
      <c r="EH50" s="1325">
        <v>0</v>
      </c>
      <c r="EI50" s="1325" t="s">
        <v>2236</v>
      </c>
      <c r="EJ50" s="264">
        <v>0</v>
      </c>
      <c r="EK50" s="444">
        <v>0</v>
      </c>
      <c r="EL50" s="444">
        <v>1</v>
      </c>
      <c r="EM50" s="444">
        <v>0</v>
      </c>
      <c r="EN50" s="333" t="str">
        <f>IF(A50=FALSE,"",IF(Detail!DF50="","N/A",YEAR(Detail!F50)&amp;Detail!DI50&amp;Detail!DF50&amp;"-"&amp;Detail!$DF$13))</f>
        <v/>
      </c>
      <c r="EO50" s="1354" t="s">
        <v>2236</v>
      </c>
      <c r="EP50" s="1354" t="s">
        <v>2277</v>
      </c>
      <c r="EQ50" s="1325">
        <f t="shared" si="13"/>
        <v>0</v>
      </c>
      <c r="ER50" s="1325" t="s">
        <v>2236</v>
      </c>
      <c r="ES50" s="264">
        <v>0</v>
      </c>
      <c r="ET50" s="1325">
        <v>0</v>
      </c>
      <c r="EU50" s="1325">
        <v>1</v>
      </c>
      <c r="EV50" s="1325">
        <v>0</v>
      </c>
      <c r="EW50" s="333" t="str">
        <f>IF(DJ50=FALSE,"",IF(Detail!ET50="","N/A",YEAR(Detail!DN50)&amp;Detail!EW50&amp;Detail!ET50&amp;"-"&amp;Detail!$AL$13&amp;Detail!EU50))</f>
        <v>N/A</v>
      </c>
      <c r="EX50" s="1354" t="s">
        <v>2236</v>
      </c>
      <c r="EY50" s="1354" t="s">
        <v>2277</v>
      </c>
      <c r="EZ50" s="1325">
        <f t="shared" si="14"/>
        <v>0</v>
      </c>
      <c r="FA50" s="1325" t="s">
        <v>2236</v>
      </c>
      <c r="FB50" s="264">
        <v>0</v>
      </c>
      <c r="FC50" s="1325">
        <v>0</v>
      </c>
      <c r="FD50" s="1325">
        <v>1</v>
      </c>
      <c r="FE50" s="1325">
        <v>0</v>
      </c>
    </row>
    <row r="51" spans="1:161" s="422" customFormat="1" ht="30" customHeight="1" outlineLevel="1">
      <c r="A51" s="439" t="b">
        <f>Calcul!A51</f>
        <v>0</v>
      </c>
      <c r="B51" s="510" t="str">
        <f t="shared" si="15"/>
        <v/>
      </c>
      <c r="C51" s="1404" t="b">
        <v>0</v>
      </c>
      <c r="D51" s="1404" t="s">
        <v>2147</v>
      </c>
      <c r="E51" s="1405" t="s">
        <v>2335</v>
      </c>
      <c r="F51" s="243" t="s">
        <v>2146</v>
      </c>
      <c r="G51" s="356" t="str">
        <f>IF(A51=FALSE,"",IF(NAMES!$D$10=FALSE,IF(Detail!H51="","",Detail!H51),IF(Crewlist!D51="","",Crewlist!D51)))</f>
        <v/>
      </c>
      <c r="H51" s="356" t="str">
        <f>IF(A51=FALSE,"",IF(NAMES!$D$10=FALSE,IF(Detail!P51="","",Detail!P51),IF(Crewlist!E51="","",Crewlist!E51)))</f>
        <v/>
      </c>
      <c r="I51" s="356" t="str">
        <f>IF(A51=FALSE,"",IF(NAMES!$D$10=FALSE,IF(Detail!K51="","",Detail!K51),IF(Crewlist!F51="","",Crewlist!F51)))</f>
        <v/>
      </c>
      <c r="J51" s="1001" t="str">
        <f>IF(Crewlist!T51="","",Crewlist!T51)</f>
        <v/>
      </c>
      <c r="K51" s="1001" t="str">
        <f>IF(Crewlist!D51="","",IF(Crewlist!U51="",Crewlist!Y51,IF(DATERENOUVMOINS730&lt;&gt;Crewlist!U51&lt;&gt;Crewlist!Y51,Crewlist!U51,DATERENOUVMOINS365)))</f>
        <v/>
      </c>
      <c r="L51" s="775" t="str">
        <f>IF(Detail!X51="","",Detail!X51)</f>
        <v/>
      </c>
      <c r="M51" s="775" t="str">
        <f>IF(Detail!H51="","",IF(Detail!Y51="",DATERENOUV,IF(Detail!Y51&gt;Detail!D51,Detail!D51,Detail!Y51)))</f>
        <v/>
      </c>
      <c r="N51" s="1015" t="str">
        <f>IF(A51=FALSE,"",IF(NAMES!$D$10=FALSE,IF(B51=B52,IF(O51=O52,0,(DATEDIF(L51,M51,"M")+1)),(DATEDIF(L51,M51,"M")+1)),IF(B51=B52,IF(O51=O52,0,(DATEDIF(J51,K51,"M")+1)),(DATEDIF(J51,K51,"M")+1))))</f>
        <v/>
      </c>
      <c r="O51" s="357" t="str">
        <f t="shared" si="5"/>
        <v/>
      </c>
      <c r="P51" s="358" t="str">
        <f>IF(A51=FALSE,"",IF(NAMES!$D$10=FALSE,IF((DATEDIF(L51,M51,"D")+1)&lt;365,(DATEDIF(L51,M51,"D")+1),365),IF((DATEDIF(J51,K51,"D")+1)&lt;365,(DATEDIF(J51,K51,"D")+1),365)))</f>
        <v/>
      </c>
      <c r="Q51" s="358" t="str">
        <f>IF(A51=FALSE,"",IF(NAMES!$D$10=FALSE,IF(M51="",365,DATEDIF(L51,M51,"D")+1),IF(M51="",365,DATEDIF(J51,K51,"D")+1)))</f>
        <v/>
      </c>
      <c r="R51" s="950" t="str">
        <f>Calcul!X51</f>
        <v/>
      </c>
      <c r="S51" s="950" t="str">
        <f>Calcul!Y51</f>
        <v/>
      </c>
      <c r="T51" s="993" t="str">
        <f>Calcul!AG51</f>
        <v/>
      </c>
      <c r="U51" s="368" t="str">
        <f>IF(A51=FALSE,"",IF(NAMES!$D$10=FALSE,IF(Detail!S51="","",Detail!S51),IF(Crewlist!V51="","",Crewlist!V51)))</f>
        <v/>
      </c>
      <c r="V51" s="245" t="str">
        <f>Calcul!AI51</f>
        <v/>
      </c>
      <c r="W51" s="245" t="str">
        <f>Calcul!AL51</f>
        <v/>
      </c>
      <c r="X51" s="245" t="str">
        <f>Calcul!AM51</f>
        <v/>
      </c>
      <c r="Y51" s="353" t="str">
        <f>Calcul!AN51</f>
        <v/>
      </c>
      <c r="Z51" s="245" t="str">
        <f>Calcul!AO51</f>
        <v/>
      </c>
      <c r="AA51" s="245" t="str">
        <f>Calcul!AP51</f>
        <v/>
      </c>
      <c r="AB51" s="353" t="str">
        <f>Calcul!AQ51</f>
        <v/>
      </c>
      <c r="AC51" s="353" t="str">
        <f>IF(C51=FALSE,"",Calcul!BE51+Calcul!BF51)</f>
        <v/>
      </c>
      <c r="AD51" s="353" t="str">
        <f>IF(C51=FALSE,"",(Calcul!BG51+Calcul!BH51)+SUM(Calcul!BI51:BN51))</f>
        <v/>
      </c>
      <c r="AE51" s="353" t="str">
        <f>Calcul!BP51</f>
        <v/>
      </c>
      <c r="AF51" s="332" t="str">
        <f>IF(A51=FALSE,"",YEAR(Detail!F51)&amp;Detail!AG51&amp;Detail!AD51&amp;"-"&amp;Detail!$AD$13&amp;Detail!AE51)</f>
        <v/>
      </c>
      <c r="AG51" s="1406" t="s">
        <v>2236</v>
      </c>
      <c r="AH51" s="701" t="s">
        <v>2277</v>
      </c>
      <c r="AI51" s="1407">
        <v>0</v>
      </c>
      <c r="AJ51" s="1407" t="s">
        <v>2236</v>
      </c>
      <c r="AK51" s="1410">
        <v>32</v>
      </c>
      <c r="AL51" s="508">
        <v>0</v>
      </c>
      <c r="AM51" s="261">
        <v>1</v>
      </c>
      <c r="AN51" s="261">
        <v>0</v>
      </c>
      <c r="AO51" s="333" t="str">
        <f>IF(A51=FALSE,"",IF(Detail!AL51="","N/A",YEAR(Detail!F51)&amp;Detail!AO51&amp;Detail!AL51&amp;"-"&amp;Detail!$AL$13&amp;Detail!AM51))</f>
        <v/>
      </c>
      <c r="AP51" s="1406" t="s">
        <v>2236</v>
      </c>
      <c r="AQ51" s="701" t="s">
        <v>2277</v>
      </c>
      <c r="AR51" s="1407">
        <f t="shared" si="7"/>
        <v>0</v>
      </c>
      <c r="AS51" s="261" t="s">
        <v>2236</v>
      </c>
      <c r="AT51" s="264">
        <v>0</v>
      </c>
      <c r="AU51" s="261">
        <v>0</v>
      </c>
      <c r="AV51" s="261">
        <v>1</v>
      </c>
      <c r="AW51" s="261">
        <v>0</v>
      </c>
      <c r="AX51" s="920" t="str">
        <f>IF(A51=FALSE,"",IF(Detail!AT51="","N/A",YEAR(Detail!F51)&amp;Detail!AW51&amp;Detail!AT51&amp;"-"&amp;Detail!$AT$13))</f>
        <v/>
      </c>
      <c r="AY51" s="1408" t="s">
        <v>2236</v>
      </c>
      <c r="AZ51" s="308" t="s">
        <v>2278</v>
      </c>
      <c r="BA51" s="440" t="str">
        <f>IF(A51=FALSE,"",51000+(Detail!AA51*7000))</f>
        <v/>
      </c>
      <c r="BB51" s="1412">
        <v>50000</v>
      </c>
      <c r="BC51" s="247">
        <v>3</v>
      </c>
      <c r="BD51" s="261">
        <v>0</v>
      </c>
      <c r="BE51" s="261" t="s">
        <v>2236</v>
      </c>
      <c r="BF51" s="264">
        <v>0</v>
      </c>
      <c r="BG51" s="508">
        <v>0</v>
      </c>
      <c r="BH51" s="261">
        <v>1</v>
      </c>
      <c r="BI51" s="261">
        <v>0</v>
      </c>
      <c r="BJ51" s="311" t="str">
        <f>IF(A51=FALSE,"",IF(Detail!BB51="","N/A",YEAR(Detail!F51)&amp;Detail!BE51&amp;Detail!BB51&amp;"-"&amp;Detail!$BB$13))</f>
        <v/>
      </c>
      <c r="BK51" s="1354" t="s">
        <v>2236</v>
      </c>
      <c r="BL51" s="527" t="s">
        <v>2278</v>
      </c>
      <c r="BM51" s="440" t="str">
        <f>IF(A51=FALSE,"",51000+(Detail!AA51*7000))</f>
        <v/>
      </c>
      <c r="BN51" s="1412">
        <v>50000</v>
      </c>
      <c r="BO51" s="247">
        <v>3</v>
      </c>
      <c r="BP51" s="261">
        <v>0</v>
      </c>
      <c r="BQ51" s="261" t="s">
        <v>2236</v>
      </c>
      <c r="BR51" s="264">
        <v>0</v>
      </c>
      <c r="BS51" s="508">
        <v>0</v>
      </c>
      <c r="BT51" s="261">
        <v>1</v>
      </c>
      <c r="BU51" s="261">
        <v>0</v>
      </c>
      <c r="BV51" s="311" t="str">
        <f>IF(A51=FALSE,"",IF(Detail!BJ51="","N/A",YEAR(Detail!F51)&amp;Detail!BM51&amp;Detail!BJ51&amp;"-"&amp;Detail!$BJ$13))</f>
        <v/>
      </c>
      <c r="BW51" s="1409" t="s">
        <v>2236</v>
      </c>
      <c r="BX51" s="527" t="s">
        <v>2278</v>
      </c>
      <c r="BY51" s="440" t="str">
        <f t="shared" si="8"/>
        <v/>
      </c>
      <c r="BZ51" s="1412">
        <v>50000</v>
      </c>
      <c r="CA51" s="247">
        <v>3</v>
      </c>
      <c r="CB51" s="261">
        <v>0</v>
      </c>
      <c r="CC51" s="261" t="s">
        <v>2236</v>
      </c>
      <c r="CD51" s="264">
        <v>0</v>
      </c>
      <c r="CE51" s="508">
        <v>0</v>
      </c>
      <c r="CF51" s="261">
        <v>1</v>
      </c>
      <c r="CG51" s="261">
        <v>0</v>
      </c>
      <c r="CH51" s="311" t="str">
        <f>IF(A51=FALSE,"",IF(Detail!BR51="","N/A",YEAR(Detail!F51)&amp;Detail!BU51&amp;Detail!BR51&amp;"-"&amp;Detail!$BR$13))</f>
        <v/>
      </c>
      <c r="CI51" s="1327" t="s">
        <v>2236</v>
      </c>
      <c r="CJ51" s="527" t="s">
        <v>2278</v>
      </c>
      <c r="CK51" s="440" t="str">
        <f t="shared" si="9"/>
        <v/>
      </c>
      <c r="CL51" s="1412">
        <v>50000</v>
      </c>
      <c r="CM51" s="247">
        <v>3</v>
      </c>
      <c r="CN51" s="261">
        <v>0</v>
      </c>
      <c r="CO51" s="261" t="s">
        <v>2236</v>
      </c>
      <c r="CP51" s="264">
        <v>0</v>
      </c>
      <c r="CQ51" s="508">
        <v>0</v>
      </c>
      <c r="CR51" s="261">
        <v>1</v>
      </c>
      <c r="CS51" s="261">
        <v>0</v>
      </c>
      <c r="CT51" s="311" t="str">
        <f>IF(A51=FALSE,"",IF(Detail!BZ51="","N/A",YEAR(Detail!F51)&amp;Detail!CC51&amp;Detail!BZ51&amp;"-"&amp;Detail!$BZ$13&amp;" (100%/"&amp;Detail!CD51&amp;"/"&amp;Detail!CE51&amp;"D)"))</f>
        <v/>
      </c>
      <c r="CU51" s="1327" t="s">
        <v>2236</v>
      </c>
      <c r="CV51" s="527" t="s">
        <v>2278</v>
      </c>
      <c r="CW51" s="241">
        <v>7</v>
      </c>
      <c r="CX51" s="1323">
        <v>365</v>
      </c>
      <c r="CY51" s="248">
        <v>1</v>
      </c>
      <c r="CZ51" s="261">
        <v>0</v>
      </c>
      <c r="DA51" s="1325" t="s">
        <v>2236</v>
      </c>
      <c r="DB51" s="538">
        <v>40</v>
      </c>
      <c r="DC51" s="1325">
        <v>0.1</v>
      </c>
      <c r="DD51" s="261">
        <v>1</v>
      </c>
      <c r="DE51" s="261">
        <v>0</v>
      </c>
      <c r="DF51" s="313" t="str">
        <f>IF(A51=FALSE,"",IF(Detail!CH51="","N/A",YEAR(Detail!F51)&amp;Detail!CK51&amp;Detail!CH51&amp;"-"&amp;Detail!$CH$13&amp;" (100%/"&amp;Detail!CL51&amp;"/"&amp;Detail!CM51&amp;"D)"))</f>
        <v/>
      </c>
      <c r="DG51" s="1406" t="s">
        <v>2236</v>
      </c>
      <c r="DH51" s="518" t="s">
        <v>2278</v>
      </c>
      <c r="DI51" s="241">
        <f t="shared" si="10"/>
        <v>7</v>
      </c>
      <c r="DJ51" s="243">
        <f t="shared" si="11"/>
        <v>365</v>
      </c>
      <c r="DK51" s="258">
        <v>1</v>
      </c>
      <c r="DL51" s="261">
        <v>0</v>
      </c>
      <c r="DM51" s="1325" t="s">
        <v>2236</v>
      </c>
      <c r="DN51" s="538">
        <v>40</v>
      </c>
      <c r="DO51" s="1325">
        <f t="shared" si="12"/>
        <v>0.1</v>
      </c>
      <c r="DP51" s="261">
        <v>1</v>
      </c>
      <c r="DQ51" s="261">
        <v>0</v>
      </c>
      <c r="DR51" s="920" t="str">
        <f>IF(A51=FALSE,"",IF(Detail!CP51="","N/A",YEAR(Detail!F51)&amp;Detail!CS51&amp;Detail!CP51&amp;"-"&amp;Detail!$CP$13))</f>
        <v/>
      </c>
      <c r="DS51" s="308" t="s">
        <v>2236</v>
      </c>
      <c r="DT51" s="720" t="s">
        <v>2277</v>
      </c>
      <c r="DU51" s="244">
        <v>50000</v>
      </c>
      <c r="DV51" s="247">
        <v>2</v>
      </c>
      <c r="DW51" s="261">
        <v>0</v>
      </c>
      <c r="DX51" s="261" t="s">
        <v>2236</v>
      </c>
      <c r="DY51" s="264">
        <v>0</v>
      </c>
      <c r="DZ51" s="444">
        <v>0</v>
      </c>
      <c r="EA51" s="444">
        <v>1</v>
      </c>
      <c r="EB51" s="444">
        <v>0</v>
      </c>
      <c r="EC51" s="761" t="str">
        <f>IF(A51=FALSE,"",IF(Detail!CX51="","N/A",YEAR(Detail!F51)&amp;Detail!DA51&amp;Detail!CX51&amp;"-"&amp;Detail!$CX$13))</f>
        <v/>
      </c>
      <c r="ED51" s="445" t="s">
        <v>2236</v>
      </c>
      <c r="EE51" s="720" t="s">
        <v>2277</v>
      </c>
      <c r="EF51" s="244">
        <v>50000</v>
      </c>
      <c r="EG51" s="247">
        <v>2</v>
      </c>
      <c r="EH51" s="261">
        <v>0</v>
      </c>
      <c r="EI51" s="261" t="s">
        <v>2236</v>
      </c>
      <c r="EJ51" s="264">
        <v>0</v>
      </c>
      <c r="EK51" s="444">
        <v>0</v>
      </c>
      <c r="EL51" s="444">
        <v>1</v>
      </c>
      <c r="EM51" s="444">
        <v>0</v>
      </c>
      <c r="EN51" s="333" t="str">
        <f>IF(A51=FALSE,"",IF(Detail!DF51="","N/A",YEAR(Detail!F51)&amp;Detail!DI51&amp;Detail!DF51&amp;"-"&amp;Detail!$DF$13))</f>
        <v/>
      </c>
      <c r="EO51" s="1012" t="s">
        <v>2236</v>
      </c>
      <c r="EP51" s="1012" t="s">
        <v>2277</v>
      </c>
      <c r="EQ51" s="1013">
        <f t="shared" si="13"/>
        <v>0</v>
      </c>
      <c r="ER51" s="1013" t="s">
        <v>2236</v>
      </c>
      <c r="ES51" s="264">
        <v>0</v>
      </c>
      <c r="ET51" s="1013">
        <v>0</v>
      </c>
      <c r="EU51" s="1013">
        <v>1</v>
      </c>
      <c r="EV51" s="1013">
        <v>0</v>
      </c>
      <c r="EW51" s="333" t="str">
        <f>IF(DJ51=FALSE,"",IF(Detail!ET51="","N/A",YEAR(Detail!DN51)&amp;Detail!EW51&amp;Detail!ET51&amp;"-"&amp;Detail!$AL$13&amp;Detail!EU51))</f>
        <v>N/A</v>
      </c>
      <c r="EX51" s="1012" t="s">
        <v>2236</v>
      </c>
      <c r="EY51" s="1012" t="s">
        <v>2277</v>
      </c>
      <c r="EZ51" s="1013">
        <f t="shared" si="14"/>
        <v>0</v>
      </c>
      <c r="FA51" s="1013" t="s">
        <v>2236</v>
      </c>
      <c r="FB51" s="264">
        <v>0</v>
      </c>
      <c r="FC51" s="1013">
        <v>0</v>
      </c>
      <c r="FD51" s="1013">
        <v>1</v>
      </c>
      <c r="FE51" s="1013">
        <v>0</v>
      </c>
    </row>
    <row r="52" spans="1:161" s="422" customFormat="1" ht="30" customHeight="1" outlineLevel="1">
      <c r="A52" s="439" t="b">
        <f>Calcul!A52</f>
        <v>0</v>
      </c>
      <c r="B52" s="510" t="str">
        <f t="shared" si="15"/>
        <v/>
      </c>
      <c r="C52" s="1404" t="b">
        <v>0</v>
      </c>
      <c r="D52" s="1404" t="s">
        <v>2147</v>
      </c>
      <c r="E52" s="1405" t="s">
        <v>2335</v>
      </c>
      <c r="F52" s="243" t="s">
        <v>2146</v>
      </c>
      <c r="G52" s="356" t="str">
        <f>IF(A52=FALSE,"",IF(NAMES!$D$10=FALSE,IF(Detail!H52="","",Detail!H52),IF(Crewlist!D52="","",Crewlist!D52)))</f>
        <v/>
      </c>
      <c r="H52" s="356" t="str">
        <f>IF(A52=FALSE,"",IF(NAMES!$D$10=FALSE,IF(Detail!P52="","",Detail!P52),IF(Crewlist!E52="","",Crewlist!E52)))</f>
        <v/>
      </c>
      <c r="I52" s="356" t="str">
        <f>IF(A52=FALSE,"",IF(NAMES!$D$10=FALSE,IF(Detail!K52="","",Detail!K52),IF(Crewlist!F52="","",Crewlist!F52)))</f>
        <v/>
      </c>
      <c r="J52" s="1001" t="str">
        <f>IF(Crewlist!T52="","",Crewlist!T52)</f>
        <v/>
      </c>
      <c r="K52" s="1001" t="str">
        <f>IF(Crewlist!D52="","",IF(Crewlist!U52="",Crewlist!Y52,IF(DATERENOUVMOINS730&lt;&gt;Crewlist!U52&lt;&gt;Crewlist!Y52,Crewlist!U52,DATERENOUVMOINS365)))</f>
        <v/>
      </c>
      <c r="L52" s="775" t="str">
        <f>IF(Detail!X52="","",Detail!X52)</f>
        <v/>
      </c>
      <c r="M52" s="775" t="str">
        <f>IF(Detail!H52="","",IF(Detail!Y52="",DATERENOUV,IF(Detail!Y52&gt;Detail!D52,Detail!D52,Detail!Y52)))</f>
        <v/>
      </c>
      <c r="N52" s="1015" t="str">
        <f>IF(A52=FALSE,"",IF(NAMES!$D$10=FALSE,IF(B52=B53,IF(O52=O53,0,(DATEDIF(L52,M52,"M")+1)),(DATEDIF(L52,M52,"M")+1)),IF(B52=B53,IF(O52=O53,0,(DATEDIF(J52,K52,"M")+1)),(DATEDIF(J52,K52,"M")+1))))</f>
        <v/>
      </c>
      <c r="O52" s="357" t="str">
        <f t="shared" si="5"/>
        <v/>
      </c>
      <c r="P52" s="358" t="str">
        <f>IF(A52=FALSE,"",IF(NAMES!$D$10=FALSE,IF((DATEDIF(L52,M52,"D")+1)&lt;365,(DATEDIF(L52,M52,"D")+1),365),IF((DATEDIF(J52,K52,"D")+1)&lt;365,(DATEDIF(J52,K52,"D")+1),365)))</f>
        <v/>
      </c>
      <c r="Q52" s="358" t="str">
        <f>IF(A52=FALSE,"",IF(NAMES!$D$10=FALSE,IF(M52="",365,DATEDIF(L52,M52,"D")+1),IF(M52="",365,DATEDIF(J52,K52,"D")+1)))</f>
        <v/>
      </c>
      <c r="R52" s="950" t="str">
        <f>Calcul!X52</f>
        <v/>
      </c>
      <c r="S52" s="950" t="str">
        <f>Calcul!Y52</f>
        <v/>
      </c>
      <c r="T52" s="993" t="str">
        <f>Calcul!AG52</f>
        <v/>
      </c>
      <c r="U52" s="368" t="str">
        <f>IF(A52=FALSE,"",IF(NAMES!$D$10=FALSE,IF(Detail!S52="","",Detail!S52),IF(Crewlist!V52="","",Crewlist!V52)))</f>
        <v/>
      </c>
      <c r="V52" s="245" t="str">
        <f>Calcul!AI52</f>
        <v/>
      </c>
      <c r="W52" s="245" t="str">
        <f>Calcul!AL52</f>
        <v/>
      </c>
      <c r="X52" s="245" t="str">
        <f>Calcul!AM52</f>
        <v/>
      </c>
      <c r="Y52" s="353" t="str">
        <f>Calcul!AN52</f>
        <v/>
      </c>
      <c r="Z52" s="245" t="str">
        <f>Calcul!AO52</f>
        <v/>
      </c>
      <c r="AA52" s="245" t="str">
        <f>Calcul!AP52</f>
        <v/>
      </c>
      <c r="AB52" s="353" t="str">
        <f>Calcul!AQ52</f>
        <v/>
      </c>
      <c r="AC52" s="353" t="str">
        <f>IF(C52=FALSE,"",Calcul!BE52+Calcul!BF52)</f>
        <v/>
      </c>
      <c r="AD52" s="353" t="str">
        <f>IF(C52=FALSE,"",(Calcul!BG52+Calcul!BH52)+SUM(Calcul!BI52:BN52))</f>
        <v/>
      </c>
      <c r="AE52" s="353" t="str">
        <f>Calcul!BP52</f>
        <v/>
      </c>
      <c r="AF52" s="332" t="str">
        <f>IF(A52=FALSE,"",YEAR(Detail!F52)&amp;Detail!AG52&amp;Detail!AD52&amp;"-"&amp;Detail!$AD$13&amp;Detail!AE52)</f>
        <v/>
      </c>
      <c r="AG52" s="1406" t="s">
        <v>2236</v>
      </c>
      <c r="AH52" s="701" t="s">
        <v>2277</v>
      </c>
      <c r="AI52" s="1407">
        <v>0</v>
      </c>
      <c r="AJ52" s="1407" t="s">
        <v>2236</v>
      </c>
      <c r="AK52" s="1410">
        <v>32</v>
      </c>
      <c r="AL52" s="508">
        <v>0</v>
      </c>
      <c r="AM52" s="261">
        <v>1</v>
      </c>
      <c r="AN52" s="261">
        <v>0</v>
      </c>
      <c r="AO52" s="333" t="str">
        <f>IF(A52=FALSE,"",IF(Detail!AL52="","N/A",YEAR(Detail!F52)&amp;Detail!AO52&amp;Detail!AL52&amp;"-"&amp;Detail!$AL$13&amp;Detail!AM52))</f>
        <v/>
      </c>
      <c r="AP52" s="1406" t="s">
        <v>2236</v>
      </c>
      <c r="AQ52" s="701" t="s">
        <v>2277</v>
      </c>
      <c r="AR52" s="1407">
        <f t="shared" si="7"/>
        <v>0</v>
      </c>
      <c r="AS52" s="261" t="s">
        <v>2236</v>
      </c>
      <c r="AT52" s="264">
        <v>0</v>
      </c>
      <c r="AU52" s="261">
        <v>0</v>
      </c>
      <c r="AV52" s="261">
        <v>1</v>
      </c>
      <c r="AW52" s="261">
        <v>0</v>
      </c>
      <c r="AX52" s="920" t="str">
        <f>IF(A52=FALSE,"",IF(Detail!AT52="","N/A",YEAR(Detail!F52)&amp;Detail!AW52&amp;Detail!AT52&amp;"-"&amp;Detail!$AT$13))</f>
        <v/>
      </c>
      <c r="AY52" s="1408" t="s">
        <v>2236</v>
      </c>
      <c r="AZ52" s="308" t="s">
        <v>2278</v>
      </c>
      <c r="BA52" s="440" t="str">
        <f>IF(A52=FALSE,"",51000+(Detail!AA52*7000))</f>
        <v/>
      </c>
      <c r="BB52" s="1412">
        <v>50000</v>
      </c>
      <c r="BC52" s="247">
        <v>3</v>
      </c>
      <c r="BD52" s="261">
        <v>0</v>
      </c>
      <c r="BE52" s="261" t="s">
        <v>2236</v>
      </c>
      <c r="BF52" s="264">
        <v>0</v>
      </c>
      <c r="BG52" s="508">
        <v>0</v>
      </c>
      <c r="BH52" s="261">
        <v>1</v>
      </c>
      <c r="BI52" s="261">
        <v>0</v>
      </c>
      <c r="BJ52" s="311" t="str">
        <f>IF(A52=FALSE,"",IF(Detail!BB52="","N/A",YEAR(Detail!F52)&amp;Detail!BE52&amp;Detail!BB52&amp;"-"&amp;Detail!$BB$13))</f>
        <v/>
      </c>
      <c r="BK52" s="1354" t="s">
        <v>2236</v>
      </c>
      <c r="BL52" s="527" t="s">
        <v>2278</v>
      </c>
      <c r="BM52" s="440" t="str">
        <f>IF(A52=FALSE,"",51000+(Detail!AA52*7000))</f>
        <v/>
      </c>
      <c r="BN52" s="1412">
        <v>50000</v>
      </c>
      <c r="BO52" s="247">
        <v>3</v>
      </c>
      <c r="BP52" s="261">
        <v>0</v>
      </c>
      <c r="BQ52" s="261" t="s">
        <v>2236</v>
      </c>
      <c r="BR52" s="264">
        <v>0</v>
      </c>
      <c r="BS52" s="508">
        <v>0</v>
      </c>
      <c r="BT52" s="261">
        <v>1</v>
      </c>
      <c r="BU52" s="261">
        <v>0</v>
      </c>
      <c r="BV52" s="311" t="str">
        <f>IF(A52=FALSE,"",IF(Detail!BJ52="","N/A",YEAR(Detail!F52)&amp;Detail!BM52&amp;Detail!BJ52&amp;"-"&amp;Detail!$BJ$13))</f>
        <v/>
      </c>
      <c r="BW52" s="1409" t="s">
        <v>2236</v>
      </c>
      <c r="BX52" s="527" t="s">
        <v>2278</v>
      </c>
      <c r="BY52" s="440" t="str">
        <f t="shared" si="8"/>
        <v/>
      </c>
      <c r="BZ52" s="1412">
        <v>50000</v>
      </c>
      <c r="CA52" s="247">
        <v>3</v>
      </c>
      <c r="CB52" s="261">
        <v>0</v>
      </c>
      <c r="CC52" s="261" t="s">
        <v>2236</v>
      </c>
      <c r="CD52" s="264">
        <v>0</v>
      </c>
      <c r="CE52" s="508">
        <v>0</v>
      </c>
      <c r="CF52" s="261">
        <v>1</v>
      </c>
      <c r="CG52" s="261">
        <v>0</v>
      </c>
      <c r="CH52" s="311" t="str">
        <f>IF(A52=FALSE,"",IF(Detail!BR52="","N/A",YEAR(Detail!F52)&amp;Detail!BU52&amp;Detail!BR52&amp;"-"&amp;Detail!$BR$13))</f>
        <v/>
      </c>
      <c r="CI52" s="1327" t="s">
        <v>2236</v>
      </c>
      <c r="CJ52" s="527" t="s">
        <v>2278</v>
      </c>
      <c r="CK52" s="440" t="str">
        <f t="shared" si="9"/>
        <v/>
      </c>
      <c r="CL52" s="1412">
        <v>50000</v>
      </c>
      <c r="CM52" s="247">
        <v>3</v>
      </c>
      <c r="CN52" s="261">
        <v>0</v>
      </c>
      <c r="CO52" s="261" t="s">
        <v>2236</v>
      </c>
      <c r="CP52" s="264">
        <v>0</v>
      </c>
      <c r="CQ52" s="508">
        <v>0</v>
      </c>
      <c r="CR52" s="261">
        <v>1</v>
      </c>
      <c r="CS52" s="261">
        <v>0</v>
      </c>
      <c r="CT52" s="311" t="str">
        <f>IF(A52=FALSE,"",IF(Detail!BZ52="","N/A",YEAR(Detail!F52)&amp;Detail!CC52&amp;Detail!BZ52&amp;"-"&amp;Detail!$BZ$13&amp;" (100%/"&amp;Detail!CD52&amp;"/"&amp;Detail!CE52&amp;"D)"))</f>
        <v/>
      </c>
      <c r="CU52" s="1327" t="s">
        <v>2236</v>
      </c>
      <c r="CV52" s="527" t="s">
        <v>2278</v>
      </c>
      <c r="CW52" s="241">
        <v>7</v>
      </c>
      <c r="CX52" s="1323">
        <v>365</v>
      </c>
      <c r="CY52" s="248">
        <v>1</v>
      </c>
      <c r="CZ52" s="261">
        <v>0</v>
      </c>
      <c r="DA52" s="1325" t="s">
        <v>2236</v>
      </c>
      <c r="DB52" s="538">
        <v>40</v>
      </c>
      <c r="DC52" s="1325">
        <v>0.1</v>
      </c>
      <c r="DD52" s="261">
        <v>1</v>
      </c>
      <c r="DE52" s="261">
        <v>0</v>
      </c>
      <c r="DF52" s="313" t="str">
        <f>IF(A52=FALSE,"",IF(Detail!CH52="","N/A",YEAR(Detail!F52)&amp;Detail!CK52&amp;Detail!CH52&amp;"-"&amp;Detail!$CH$13&amp;" (100%/"&amp;Detail!CL52&amp;"/"&amp;Detail!CM52&amp;"D)"))</f>
        <v/>
      </c>
      <c r="DG52" s="1406" t="s">
        <v>2236</v>
      </c>
      <c r="DH52" s="518" t="s">
        <v>2278</v>
      </c>
      <c r="DI52" s="241">
        <f t="shared" si="10"/>
        <v>7</v>
      </c>
      <c r="DJ52" s="243">
        <f t="shared" si="11"/>
        <v>365</v>
      </c>
      <c r="DK52" s="258">
        <v>1</v>
      </c>
      <c r="DL52" s="261">
        <v>0</v>
      </c>
      <c r="DM52" s="1325" t="s">
        <v>2236</v>
      </c>
      <c r="DN52" s="538">
        <v>40</v>
      </c>
      <c r="DO52" s="1325">
        <f t="shared" si="12"/>
        <v>0.1</v>
      </c>
      <c r="DP52" s="261">
        <v>1</v>
      </c>
      <c r="DQ52" s="261">
        <v>0</v>
      </c>
      <c r="DR52" s="920" t="str">
        <f>IF(A52=FALSE,"",IF(Detail!CP52="","N/A",YEAR(Detail!F52)&amp;Detail!CS52&amp;Detail!CP52&amp;"-"&amp;Detail!$CP$13))</f>
        <v/>
      </c>
      <c r="DS52" s="308" t="s">
        <v>2236</v>
      </c>
      <c r="DT52" s="720" t="s">
        <v>2277</v>
      </c>
      <c r="DU52" s="244">
        <v>50000</v>
      </c>
      <c r="DV52" s="247">
        <v>2</v>
      </c>
      <c r="DW52" s="261">
        <v>0</v>
      </c>
      <c r="DX52" s="261" t="s">
        <v>2236</v>
      </c>
      <c r="DY52" s="264">
        <v>0</v>
      </c>
      <c r="DZ52" s="444">
        <v>0</v>
      </c>
      <c r="EA52" s="444">
        <v>1</v>
      </c>
      <c r="EB52" s="444">
        <v>0</v>
      </c>
      <c r="EC52" s="761" t="str">
        <f>IF(A52=FALSE,"",IF(Detail!CX52="","N/A",YEAR(Detail!F52)&amp;Detail!DA52&amp;Detail!CX52&amp;"-"&amp;Detail!$CX$13))</f>
        <v/>
      </c>
      <c r="ED52" s="445" t="s">
        <v>2236</v>
      </c>
      <c r="EE52" s="720" t="s">
        <v>2277</v>
      </c>
      <c r="EF52" s="244">
        <v>50000</v>
      </c>
      <c r="EG52" s="247">
        <v>2</v>
      </c>
      <c r="EH52" s="261">
        <v>0</v>
      </c>
      <c r="EI52" s="261" t="s">
        <v>2236</v>
      </c>
      <c r="EJ52" s="264">
        <v>0</v>
      </c>
      <c r="EK52" s="444">
        <v>0</v>
      </c>
      <c r="EL52" s="444">
        <v>1</v>
      </c>
      <c r="EM52" s="444">
        <v>0</v>
      </c>
      <c r="EN52" s="333" t="str">
        <f>IF(A52=FALSE,"",IF(Detail!DF52="","N/A",YEAR(Detail!F52)&amp;Detail!DI52&amp;Detail!DF52&amp;"-"&amp;Detail!$DF$13))</f>
        <v/>
      </c>
      <c r="EO52" s="1012" t="s">
        <v>2236</v>
      </c>
      <c r="EP52" s="1012" t="s">
        <v>2277</v>
      </c>
      <c r="EQ52" s="1013">
        <f t="shared" si="13"/>
        <v>0</v>
      </c>
      <c r="ER52" s="1013" t="s">
        <v>2236</v>
      </c>
      <c r="ES52" s="264">
        <v>0</v>
      </c>
      <c r="ET52" s="1013">
        <v>0</v>
      </c>
      <c r="EU52" s="1013">
        <v>1</v>
      </c>
      <c r="EV52" s="1013">
        <v>0</v>
      </c>
      <c r="EW52" s="333" t="str">
        <f>IF(DJ52=FALSE,"",IF(Detail!ET52="","N/A",YEAR(Detail!DN52)&amp;Detail!EW52&amp;Detail!ET52&amp;"-"&amp;Detail!$AL$13&amp;Detail!EU52))</f>
        <v>N/A</v>
      </c>
      <c r="EX52" s="1012" t="s">
        <v>2236</v>
      </c>
      <c r="EY52" s="1012" t="s">
        <v>2277</v>
      </c>
      <c r="EZ52" s="1013">
        <f t="shared" si="14"/>
        <v>0</v>
      </c>
      <c r="FA52" s="1013" t="s">
        <v>2236</v>
      </c>
      <c r="FB52" s="264">
        <v>0</v>
      </c>
      <c r="FC52" s="1013">
        <v>0</v>
      </c>
      <c r="FD52" s="1013">
        <v>1</v>
      </c>
      <c r="FE52" s="1013">
        <v>0</v>
      </c>
    </row>
    <row r="53" spans="1:161" s="422" customFormat="1" ht="30" customHeight="1" outlineLevel="1">
      <c r="A53" s="439" t="b">
        <f>Calcul!A53</f>
        <v>0</v>
      </c>
      <c r="B53" s="510" t="str">
        <f t="shared" si="15"/>
        <v/>
      </c>
      <c r="C53" s="1404" t="b">
        <v>0</v>
      </c>
      <c r="D53" s="1404" t="s">
        <v>2147</v>
      </c>
      <c r="E53" s="1405" t="s">
        <v>2335</v>
      </c>
      <c r="F53" s="243" t="s">
        <v>2146</v>
      </c>
      <c r="G53" s="356" t="str">
        <f>IF(A53=FALSE,"",IF(NAMES!$D$10=FALSE,IF(Detail!H53="","",Detail!H53),IF(Crewlist!D53="","",Crewlist!D53)))</f>
        <v/>
      </c>
      <c r="H53" s="356" t="str">
        <f>IF(A53=FALSE,"",IF(NAMES!$D$10=FALSE,IF(Detail!P53="","",Detail!P53),IF(Crewlist!E53="","",Crewlist!E53)))</f>
        <v/>
      </c>
      <c r="I53" s="356" t="str">
        <f>IF(A53=FALSE,"",IF(NAMES!$D$10=FALSE,IF(Detail!K53="","",Detail!K53),IF(Crewlist!F53="","",Crewlist!F53)))</f>
        <v/>
      </c>
      <c r="J53" s="1001" t="str">
        <f>IF(Crewlist!T53="","",Crewlist!T53)</f>
        <v/>
      </c>
      <c r="K53" s="1001" t="str">
        <f>IF(Crewlist!D53="","",IF(Crewlist!U53="",Crewlist!Y53,IF(DATERENOUVMOINS730&lt;&gt;Crewlist!U53&lt;&gt;Crewlist!Y53,Crewlist!U53,DATERENOUVMOINS365)))</f>
        <v/>
      </c>
      <c r="L53" s="775" t="str">
        <f>IF(Detail!X53="","",Detail!X53)</f>
        <v/>
      </c>
      <c r="M53" s="775" t="str">
        <f>IF(Detail!H53="","",IF(Detail!Y53="",DATERENOUV,IF(Detail!Y53&gt;Detail!D53,Detail!D53,Detail!Y53)))</f>
        <v/>
      </c>
      <c r="N53" s="1015" t="str">
        <f>IF(A53=FALSE,"",IF(NAMES!$D$10=FALSE,IF(B53=B54,IF(O53=O54,0,(DATEDIF(L53,M53,"M")+1)),(DATEDIF(L53,M53,"M")+1)),IF(B53=B54,IF(O53=O54,0,(DATEDIF(J53,K53,"M")+1)),(DATEDIF(J53,K53,"M")+1))))</f>
        <v/>
      </c>
      <c r="O53" s="357" t="str">
        <f t="shared" si="5"/>
        <v/>
      </c>
      <c r="P53" s="358" t="str">
        <f>IF(A53=FALSE,"",IF(NAMES!$D$10=FALSE,IF((DATEDIF(L53,M53,"D")+1)&lt;365,(DATEDIF(L53,M53,"D")+1),365),IF((DATEDIF(J53,K53,"D")+1)&lt;365,(DATEDIF(J53,K53,"D")+1),365)))</f>
        <v/>
      </c>
      <c r="Q53" s="358" t="str">
        <f>IF(A53=FALSE,"",IF(NAMES!$D$10=FALSE,IF(M53="",365,DATEDIF(L53,M53,"D")+1),IF(M53="",365,DATEDIF(J53,K53,"D")+1)))</f>
        <v/>
      </c>
      <c r="R53" s="950" t="str">
        <f>Calcul!X53</f>
        <v/>
      </c>
      <c r="S53" s="950" t="str">
        <f>Calcul!Y53</f>
        <v/>
      </c>
      <c r="T53" s="993" t="str">
        <f>Calcul!AG53</f>
        <v/>
      </c>
      <c r="U53" s="368" t="str">
        <f>IF(A53=FALSE,"",IF(NAMES!$D$10=FALSE,IF(Detail!S53="","",Detail!S53),IF(Crewlist!V53="","",Crewlist!V53)))</f>
        <v/>
      </c>
      <c r="V53" s="245" t="str">
        <f>Calcul!AI53</f>
        <v/>
      </c>
      <c r="W53" s="245" t="str">
        <f>Calcul!AL53</f>
        <v/>
      </c>
      <c r="X53" s="245" t="str">
        <f>Calcul!AM53</f>
        <v/>
      </c>
      <c r="Y53" s="353" t="str">
        <f>Calcul!AN53</f>
        <v/>
      </c>
      <c r="Z53" s="245" t="str">
        <f>Calcul!AO53</f>
        <v/>
      </c>
      <c r="AA53" s="245" t="str">
        <f>Calcul!AP53</f>
        <v/>
      </c>
      <c r="AB53" s="353" t="str">
        <f>Calcul!AQ53</f>
        <v/>
      </c>
      <c r="AC53" s="353" t="str">
        <f>IF(C53=FALSE,"",Calcul!BE53+Calcul!BF53)</f>
        <v/>
      </c>
      <c r="AD53" s="353" t="str">
        <f>IF(C53=FALSE,"",(Calcul!BG53+Calcul!BH53)+SUM(Calcul!BI53:BN53))</f>
        <v/>
      </c>
      <c r="AE53" s="353" t="str">
        <f>Calcul!BP53</f>
        <v/>
      </c>
      <c r="AF53" s="332" t="str">
        <f>IF(A53=FALSE,"",YEAR(Detail!F53)&amp;Detail!AG53&amp;Detail!AD53&amp;"-"&amp;Detail!$AD$13&amp;Detail!AE53)</f>
        <v/>
      </c>
      <c r="AG53" s="1406" t="s">
        <v>2236</v>
      </c>
      <c r="AH53" s="701" t="s">
        <v>2277</v>
      </c>
      <c r="AI53" s="1407">
        <v>0</v>
      </c>
      <c r="AJ53" s="1407" t="s">
        <v>2236</v>
      </c>
      <c r="AK53" s="1410">
        <v>32</v>
      </c>
      <c r="AL53" s="508">
        <v>0</v>
      </c>
      <c r="AM53" s="261">
        <v>1</v>
      </c>
      <c r="AN53" s="261">
        <v>0</v>
      </c>
      <c r="AO53" s="333" t="str">
        <f>IF(A53=FALSE,"",IF(Detail!AL53="","N/A",YEAR(Detail!F53)&amp;Detail!AO53&amp;Detail!AL53&amp;"-"&amp;Detail!$AL$13&amp;Detail!AM53))</f>
        <v/>
      </c>
      <c r="AP53" s="1406" t="s">
        <v>2236</v>
      </c>
      <c r="AQ53" s="701" t="s">
        <v>2277</v>
      </c>
      <c r="AR53" s="1407">
        <f t="shared" si="7"/>
        <v>0</v>
      </c>
      <c r="AS53" s="261" t="s">
        <v>2236</v>
      </c>
      <c r="AT53" s="264">
        <v>0</v>
      </c>
      <c r="AU53" s="261">
        <v>0</v>
      </c>
      <c r="AV53" s="261">
        <v>1</v>
      </c>
      <c r="AW53" s="261">
        <v>0</v>
      </c>
      <c r="AX53" s="920" t="str">
        <f>IF(A53=FALSE,"",IF(Detail!AT53="","N/A",YEAR(Detail!F53)&amp;Detail!AW53&amp;Detail!AT53&amp;"-"&amp;Detail!$AT$13))</f>
        <v/>
      </c>
      <c r="AY53" s="1408" t="s">
        <v>2236</v>
      </c>
      <c r="AZ53" s="308" t="s">
        <v>2278</v>
      </c>
      <c r="BA53" s="440" t="str">
        <f>IF(A53=FALSE,"",51000+(Detail!AA53*7000))</f>
        <v/>
      </c>
      <c r="BB53" s="1412">
        <v>50000</v>
      </c>
      <c r="BC53" s="247">
        <v>3</v>
      </c>
      <c r="BD53" s="261">
        <v>0</v>
      </c>
      <c r="BE53" s="261" t="s">
        <v>2236</v>
      </c>
      <c r="BF53" s="264">
        <v>0</v>
      </c>
      <c r="BG53" s="508">
        <v>0</v>
      </c>
      <c r="BH53" s="261">
        <v>1</v>
      </c>
      <c r="BI53" s="261">
        <v>0</v>
      </c>
      <c r="BJ53" s="311" t="str">
        <f>IF(A53=FALSE,"",IF(Detail!BB53="","N/A",YEAR(Detail!F53)&amp;Detail!BE53&amp;Detail!BB53&amp;"-"&amp;Detail!$BB$13))</f>
        <v/>
      </c>
      <c r="BK53" s="1354" t="s">
        <v>2236</v>
      </c>
      <c r="BL53" s="527" t="s">
        <v>2278</v>
      </c>
      <c r="BM53" s="440" t="str">
        <f>IF(A53=FALSE,"",51000+(Detail!AA53*7000))</f>
        <v/>
      </c>
      <c r="BN53" s="1412">
        <v>50000</v>
      </c>
      <c r="BO53" s="247">
        <v>3</v>
      </c>
      <c r="BP53" s="261">
        <v>0</v>
      </c>
      <c r="BQ53" s="261" t="s">
        <v>2236</v>
      </c>
      <c r="BR53" s="264">
        <v>0</v>
      </c>
      <c r="BS53" s="508">
        <v>0</v>
      </c>
      <c r="BT53" s="261">
        <v>1</v>
      </c>
      <c r="BU53" s="261">
        <v>0</v>
      </c>
      <c r="BV53" s="311" t="str">
        <f>IF(A53=FALSE,"",IF(Detail!BJ53="","N/A",YEAR(Detail!F53)&amp;Detail!BM53&amp;Detail!BJ53&amp;"-"&amp;Detail!$BJ$13))</f>
        <v/>
      </c>
      <c r="BW53" s="1409" t="s">
        <v>2236</v>
      </c>
      <c r="BX53" s="527" t="s">
        <v>2278</v>
      </c>
      <c r="BY53" s="440" t="str">
        <f t="shared" si="8"/>
        <v/>
      </c>
      <c r="BZ53" s="1412">
        <v>50000</v>
      </c>
      <c r="CA53" s="247">
        <v>3</v>
      </c>
      <c r="CB53" s="261">
        <v>0</v>
      </c>
      <c r="CC53" s="261" t="s">
        <v>2236</v>
      </c>
      <c r="CD53" s="264">
        <v>0</v>
      </c>
      <c r="CE53" s="508">
        <v>0</v>
      </c>
      <c r="CF53" s="261">
        <v>1</v>
      </c>
      <c r="CG53" s="261">
        <v>0</v>
      </c>
      <c r="CH53" s="311" t="str">
        <f>IF(A53=FALSE,"",IF(Detail!BR53="","N/A",YEAR(Detail!F53)&amp;Detail!BU53&amp;Detail!BR53&amp;"-"&amp;Detail!$BR$13))</f>
        <v/>
      </c>
      <c r="CI53" s="1327" t="s">
        <v>2236</v>
      </c>
      <c r="CJ53" s="527" t="s">
        <v>2278</v>
      </c>
      <c r="CK53" s="440" t="str">
        <f t="shared" si="9"/>
        <v/>
      </c>
      <c r="CL53" s="1412">
        <v>50000</v>
      </c>
      <c r="CM53" s="247">
        <v>3</v>
      </c>
      <c r="CN53" s="261">
        <v>0</v>
      </c>
      <c r="CO53" s="261" t="s">
        <v>2236</v>
      </c>
      <c r="CP53" s="264">
        <v>0</v>
      </c>
      <c r="CQ53" s="508">
        <v>0</v>
      </c>
      <c r="CR53" s="261">
        <v>1</v>
      </c>
      <c r="CS53" s="261">
        <v>0</v>
      </c>
      <c r="CT53" s="311" t="str">
        <f>IF(A53=FALSE,"",IF(Detail!BZ53="","N/A",YEAR(Detail!F53)&amp;Detail!CC53&amp;Detail!BZ53&amp;"-"&amp;Detail!$BZ$13&amp;" (100%/"&amp;Detail!CD53&amp;"/"&amp;Detail!CE53&amp;"D)"))</f>
        <v/>
      </c>
      <c r="CU53" s="1327" t="s">
        <v>2236</v>
      </c>
      <c r="CV53" s="527" t="s">
        <v>2278</v>
      </c>
      <c r="CW53" s="241">
        <v>7</v>
      </c>
      <c r="CX53" s="1323">
        <v>365</v>
      </c>
      <c r="CY53" s="248">
        <v>1</v>
      </c>
      <c r="CZ53" s="261">
        <v>0</v>
      </c>
      <c r="DA53" s="1325" t="s">
        <v>2236</v>
      </c>
      <c r="DB53" s="538">
        <v>40</v>
      </c>
      <c r="DC53" s="1325">
        <v>0.1</v>
      </c>
      <c r="DD53" s="261">
        <v>1</v>
      </c>
      <c r="DE53" s="261">
        <v>0</v>
      </c>
      <c r="DF53" s="313" t="str">
        <f>IF(A53=FALSE,"",IF(Detail!CH53="","N/A",YEAR(Detail!F53)&amp;Detail!CK53&amp;Detail!CH53&amp;"-"&amp;Detail!$CH$13&amp;" (100%/"&amp;Detail!CL53&amp;"/"&amp;Detail!CM53&amp;"D)"))</f>
        <v/>
      </c>
      <c r="DG53" s="1406" t="s">
        <v>2236</v>
      </c>
      <c r="DH53" s="518" t="s">
        <v>2278</v>
      </c>
      <c r="DI53" s="241">
        <f t="shared" si="10"/>
        <v>7</v>
      </c>
      <c r="DJ53" s="243">
        <f t="shared" si="11"/>
        <v>365</v>
      </c>
      <c r="DK53" s="258">
        <v>1</v>
      </c>
      <c r="DL53" s="261">
        <v>0</v>
      </c>
      <c r="DM53" s="1325" t="s">
        <v>2236</v>
      </c>
      <c r="DN53" s="538">
        <v>40</v>
      </c>
      <c r="DO53" s="1325">
        <f t="shared" si="12"/>
        <v>0.1</v>
      </c>
      <c r="DP53" s="261">
        <v>1</v>
      </c>
      <c r="DQ53" s="261">
        <v>0</v>
      </c>
      <c r="DR53" s="920" t="str">
        <f>IF(A53=FALSE,"",IF(Detail!CP53="","N/A",YEAR(Detail!F53)&amp;Detail!CS53&amp;Detail!CP53&amp;"-"&amp;Detail!$CP$13))</f>
        <v/>
      </c>
      <c r="DS53" s="308" t="s">
        <v>2236</v>
      </c>
      <c r="DT53" s="720" t="s">
        <v>2277</v>
      </c>
      <c r="DU53" s="244">
        <v>50000</v>
      </c>
      <c r="DV53" s="247">
        <v>2</v>
      </c>
      <c r="DW53" s="261">
        <v>0</v>
      </c>
      <c r="DX53" s="261" t="s">
        <v>2236</v>
      </c>
      <c r="DY53" s="264">
        <v>0</v>
      </c>
      <c r="DZ53" s="444">
        <v>0</v>
      </c>
      <c r="EA53" s="444">
        <v>1</v>
      </c>
      <c r="EB53" s="444">
        <v>0</v>
      </c>
      <c r="EC53" s="761" t="str">
        <f>IF(A53=FALSE,"",IF(Detail!CX53="","N/A",YEAR(Detail!F53)&amp;Detail!DA53&amp;Detail!CX53&amp;"-"&amp;Detail!$CX$13))</f>
        <v/>
      </c>
      <c r="ED53" s="445" t="s">
        <v>2236</v>
      </c>
      <c r="EE53" s="720" t="s">
        <v>2277</v>
      </c>
      <c r="EF53" s="244">
        <v>50000</v>
      </c>
      <c r="EG53" s="247">
        <v>2</v>
      </c>
      <c r="EH53" s="261">
        <v>0</v>
      </c>
      <c r="EI53" s="261" t="s">
        <v>2236</v>
      </c>
      <c r="EJ53" s="264">
        <v>0</v>
      </c>
      <c r="EK53" s="444">
        <v>0</v>
      </c>
      <c r="EL53" s="444">
        <v>1</v>
      </c>
      <c r="EM53" s="444">
        <v>0</v>
      </c>
      <c r="EN53" s="333" t="str">
        <f>IF(A53=FALSE,"",IF(Detail!DF53="","N/A",YEAR(Detail!F53)&amp;Detail!DI53&amp;Detail!DF53&amp;"-"&amp;Detail!$DF$13))</f>
        <v/>
      </c>
      <c r="EO53" s="1012" t="s">
        <v>2236</v>
      </c>
      <c r="EP53" s="1012" t="s">
        <v>2277</v>
      </c>
      <c r="EQ53" s="1013">
        <f t="shared" si="13"/>
        <v>0</v>
      </c>
      <c r="ER53" s="1013" t="s">
        <v>2236</v>
      </c>
      <c r="ES53" s="264">
        <v>0</v>
      </c>
      <c r="ET53" s="1013">
        <v>0</v>
      </c>
      <c r="EU53" s="1013">
        <v>1</v>
      </c>
      <c r="EV53" s="1013">
        <v>0</v>
      </c>
      <c r="EW53" s="333" t="str">
        <f>IF(DJ53=FALSE,"",IF(Detail!ET53="","N/A",YEAR(Detail!DN53)&amp;Detail!EW53&amp;Detail!ET53&amp;"-"&amp;Detail!$AL$13&amp;Detail!EU53))</f>
        <v>N/A</v>
      </c>
      <c r="EX53" s="1012" t="s">
        <v>2236</v>
      </c>
      <c r="EY53" s="1012" t="s">
        <v>2277</v>
      </c>
      <c r="EZ53" s="1013">
        <f t="shared" si="14"/>
        <v>0</v>
      </c>
      <c r="FA53" s="1013" t="s">
        <v>2236</v>
      </c>
      <c r="FB53" s="264">
        <v>0</v>
      </c>
      <c r="FC53" s="1013">
        <v>0</v>
      </c>
      <c r="FD53" s="1013">
        <v>1</v>
      </c>
      <c r="FE53" s="1013">
        <v>0</v>
      </c>
    </row>
    <row r="54" spans="1:161" s="422" customFormat="1" ht="30" customHeight="1" outlineLevel="1">
      <c r="A54" s="439" t="b">
        <f>Calcul!A54</f>
        <v>0</v>
      </c>
      <c r="B54" s="510" t="str">
        <f t="shared" si="15"/>
        <v/>
      </c>
      <c r="C54" s="1404" t="b">
        <v>0</v>
      </c>
      <c r="D54" s="1404" t="s">
        <v>2147</v>
      </c>
      <c r="E54" s="1405" t="s">
        <v>2335</v>
      </c>
      <c r="F54" s="243" t="s">
        <v>2146</v>
      </c>
      <c r="G54" s="356" t="str">
        <f>IF(A54=FALSE,"",IF(NAMES!$D$10=FALSE,IF(Detail!H54="","",Detail!H54),IF(Crewlist!D54="","",Crewlist!D54)))</f>
        <v/>
      </c>
      <c r="H54" s="356" t="str">
        <f>IF(A54=FALSE,"",IF(NAMES!$D$10=FALSE,IF(Detail!P54="","",Detail!P54),IF(Crewlist!E54="","",Crewlist!E54)))</f>
        <v/>
      </c>
      <c r="I54" s="356" t="str">
        <f>IF(A54=FALSE,"",IF(NAMES!$D$10=FALSE,IF(Detail!K54="","",Detail!K54),IF(Crewlist!F54="","",Crewlist!F54)))</f>
        <v/>
      </c>
      <c r="J54" s="1001" t="str">
        <f>IF(Crewlist!T54="","",Crewlist!T54)</f>
        <v/>
      </c>
      <c r="K54" s="1001" t="str">
        <f>IF(Crewlist!D54="","",IF(Crewlist!U54="",Crewlist!Y54,IF(DATERENOUVMOINS730&lt;&gt;Crewlist!U54&lt;&gt;Crewlist!Y54,Crewlist!U54,DATERENOUVMOINS365)))</f>
        <v/>
      </c>
      <c r="L54" s="775" t="str">
        <f>IF(Detail!X54="","",Detail!X54)</f>
        <v/>
      </c>
      <c r="M54" s="775" t="str">
        <f>IF(Detail!H54="","",IF(Detail!Y54="",DATERENOUV,IF(Detail!Y54&gt;Detail!D54,Detail!D54,Detail!Y54)))</f>
        <v/>
      </c>
      <c r="N54" s="1015" t="str">
        <f>IF(A54=FALSE,"",IF(NAMES!$D$10=FALSE,IF(B54=B55,IF(O54=O55,0,(DATEDIF(L54,M54,"M")+1)),(DATEDIF(L54,M54,"M")+1)),IF(B54=B55,IF(O54=O55,0,(DATEDIF(J54,K54,"M")+1)),(DATEDIF(J54,K54,"M")+1))))</f>
        <v/>
      </c>
      <c r="O54" s="357" t="str">
        <f t="shared" si="5"/>
        <v/>
      </c>
      <c r="P54" s="358" t="str">
        <f>IF(A54=FALSE,"",IF(NAMES!$D$10=FALSE,IF((DATEDIF(L54,M54,"D")+1)&lt;365,(DATEDIF(L54,M54,"D")+1),365),IF((DATEDIF(J54,K54,"D")+1)&lt;365,(DATEDIF(J54,K54,"D")+1),365)))</f>
        <v/>
      </c>
      <c r="Q54" s="358" t="str">
        <f>IF(A54=FALSE,"",IF(NAMES!$D$10=FALSE,IF(M54="",365,DATEDIF(L54,M54,"D")+1),IF(M54="",365,DATEDIF(J54,K54,"D")+1)))</f>
        <v/>
      </c>
      <c r="R54" s="950" t="str">
        <f>Calcul!X54</f>
        <v/>
      </c>
      <c r="S54" s="950" t="str">
        <f>Calcul!Y54</f>
        <v/>
      </c>
      <c r="T54" s="993" t="str">
        <f>Calcul!AG54</f>
        <v/>
      </c>
      <c r="U54" s="368" t="str">
        <f>IF(A54=FALSE,"",IF(NAMES!$D$10=FALSE,IF(Detail!S54="","",Detail!S54),IF(Crewlist!V54="","",Crewlist!V54)))</f>
        <v/>
      </c>
      <c r="V54" s="245" t="str">
        <f>Calcul!AI54</f>
        <v/>
      </c>
      <c r="W54" s="245" t="str">
        <f>Calcul!AL54</f>
        <v/>
      </c>
      <c r="X54" s="245" t="str">
        <f>Calcul!AM54</f>
        <v/>
      </c>
      <c r="Y54" s="353" t="str">
        <f>Calcul!AN54</f>
        <v/>
      </c>
      <c r="Z54" s="245" t="str">
        <f>Calcul!AO54</f>
        <v/>
      </c>
      <c r="AA54" s="245" t="str">
        <f>Calcul!AP54</f>
        <v/>
      </c>
      <c r="AB54" s="353" t="str">
        <f>Calcul!AQ54</f>
        <v/>
      </c>
      <c r="AC54" s="353" t="str">
        <f>IF(C54=FALSE,"",Calcul!BE54+Calcul!BF54)</f>
        <v/>
      </c>
      <c r="AD54" s="353" t="str">
        <f>IF(C54=FALSE,"",(Calcul!BG54+Calcul!BH54)+SUM(Calcul!BI54:BN54))</f>
        <v/>
      </c>
      <c r="AE54" s="353" t="str">
        <f>Calcul!BP54</f>
        <v/>
      </c>
      <c r="AF54" s="332" t="str">
        <f>IF(A54=FALSE,"",YEAR(Detail!F54)&amp;Detail!AG54&amp;Detail!AD54&amp;"-"&amp;Detail!$AD$13&amp;Detail!AE54)</f>
        <v/>
      </c>
      <c r="AG54" s="1406" t="s">
        <v>2236</v>
      </c>
      <c r="AH54" s="701" t="s">
        <v>2277</v>
      </c>
      <c r="AI54" s="1407">
        <v>0</v>
      </c>
      <c r="AJ54" s="1407" t="s">
        <v>2236</v>
      </c>
      <c r="AK54" s="1410">
        <v>32</v>
      </c>
      <c r="AL54" s="508">
        <v>0</v>
      </c>
      <c r="AM54" s="261">
        <v>1</v>
      </c>
      <c r="AN54" s="261">
        <v>0</v>
      </c>
      <c r="AO54" s="333" t="str">
        <f>IF(A54=FALSE,"",IF(Detail!AL54="","N/A",YEAR(Detail!F54)&amp;Detail!AO54&amp;Detail!AL54&amp;"-"&amp;Detail!$AL$13&amp;Detail!AM54))</f>
        <v/>
      </c>
      <c r="AP54" s="1406" t="s">
        <v>2236</v>
      </c>
      <c r="AQ54" s="701" t="s">
        <v>2277</v>
      </c>
      <c r="AR54" s="1407">
        <f t="shared" si="7"/>
        <v>0</v>
      </c>
      <c r="AS54" s="261" t="s">
        <v>2236</v>
      </c>
      <c r="AT54" s="264">
        <v>0</v>
      </c>
      <c r="AU54" s="261">
        <v>0</v>
      </c>
      <c r="AV54" s="261">
        <v>1</v>
      </c>
      <c r="AW54" s="261">
        <v>0</v>
      </c>
      <c r="AX54" s="920" t="str">
        <f>IF(A54=FALSE,"",IF(Detail!AT54="","N/A",YEAR(Detail!F54)&amp;Detail!AW54&amp;Detail!AT54&amp;"-"&amp;Detail!$AT$13))</f>
        <v/>
      </c>
      <c r="AY54" s="1408" t="s">
        <v>2236</v>
      </c>
      <c r="AZ54" s="308" t="s">
        <v>2278</v>
      </c>
      <c r="BA54" s="440" t="str">
        <f>IF(A54=FALSE,"",51000+(Detail!AA54*7000))</f>
        <v/>
      </c>
      <c r="BB54" s="1412">
        <v>50000</v>
      </c>
      <c r="BC54" s="247">
        <v>3</v>
      </c>
      <c r="BD54" s="261">
        <v>0</v>
      </c>
      <c r="BE54" s="261" t="s">
        <v>2236</v>
      </c>
      <c r="BF54" s="264">
        <v>0</v>
      </c>
      <c r="BG54" s="508">
        <v>0</v>
      </c>
      <c r="BH54" s="261">
        <v>1</v>
      </c>
      <c r="BI54" s="261">
        <v>0</v>
      </c>
      <c r="BJ54" s="311" t="str">
        <f>IF(A54=FALSE,"",IF(Detail!BB54="","N/A",YEAR(Detail!F54)&amp;Detail!BE54&amp;Detail!BB54&amp;"-"&amp;Detail!$BB$13))</f>
        <v/>
      </c>
      <c r="BK54" s="1354" t="s">
        <v>2236</v>
      </c>
      <c r="BL54" s="527" t="s">
        <v>2278</v>
      </c>
      <c r="BM54" s="440" t="str">
        <f>IF(A54=FALSE,"",51000+(Detail!AA54*7000))</f>
        <v/>
      </c>
      <c r="BN54" s="1412">
        <v>50000</v>
      </c>
      <c r="BO54" s="247">
        <v>3</v>
      </c>
      <c r="BP54" s="261">
        <v>0</v>
      </c>
      <c r="BQ54" s="261" t="s">
        <v>2236</v>
      </c>
      <c r="BR54" s="264">
        <v>0</v>
      </c>
      <c r="BS54" s="508">
        <v>0</v>
      </c>
      <c r="BT54" s="261">
        <v>1</v>
      </c>
      <c r="BU54" s="261">
        <v>0</v>
      </c>
      <c r="BV54" s="311" t="str">
        <f>IF(A54=FALSE,"",IF(Detail!BJ54="","N/A",YEAR(Detail!F54)&amp;Detail!BM54&amp;Detail!BJ54&amp;"-"&amp;Detail!$BJ$13))</f>
        <v/>
      </c>
      <c r="BW54" s="1409" t="s">
        <v>2236</v>
      </c>
      <c r="BX54" s="527" t="s">
        <v>2278</v>
      </c>
      <c r="BY54" s="440" t="str">
        <f t="shared" si="8"/>
        <v/>
      </c>
      <c r="BZ54" s="1412">
        <v>50000</v>
      </c>
      <c r="CA54" s="247">
        <v>3</v>
      </c>
      <c r="CB54" s="261">
        <v>0</v>
      </c>
      <c r="CC54" s="261" t="s">
        <v>2236</v>
      </c>
      <c r="CD54" s="264">
        <v>0</v>
      </c>
      <c r="CE54" s="508">
        <v>0</v>
      </c>
      <c r="CF54" s="261">
        <v>1</v>
      </c>
      <c r="CG54" s="261">
        <v>0</v>
      </c>
      <c r="CH54" s="311" t="str">
        <f>IF(A54=FALSE,"",IF(Detail!BR54="","N/A",YEAR(Detail!F54)&amp;Detail!BU54&amp;Detail!BR54&amp;"-"&amp;Detail!$BR$13))</f>
        <v/>
      </c>
      <c r="CI54" s="1327" t="s">
        <v>2236</v>
      </c>
      <c r="CJ54" s="527" t="s">
        <v>2278</v>
      </c>
      <c r="CK54" s="440" t="str">
        <f t="shared" si="9"/>
        <v/>
      </c>
      <c r="CL54" s="1412">
        <v>50000</v>
      </c>
      <c r="CM54" s="247">
        <v>3</v>
      </c>
      <c r="CN54" s="261">
        <v>0</v>
      </c>
      <c r="CO54" s="261" t="s">
        <v>2236</v>
      </c>
      <c r="CP54" s="264">
        <v>0</v>
      </c>
      <c r="CQ54" s="508">
        <v>0</v>
      </c>
      <c r="CR54" s="261">
        <v>1</v>
      </c>
      <c r="CS54" s="261">
        <v>0</v>
      </c>
      <c r="CT54" s="311" t="str">
        <f>IF(A54=FALSE,"",IF(Detail!BZ54="","N/A",YEAR(Detail!F54)&amp;Detail!CC54&amp;Detail!BZ54&amp;"-"&amp;Detail!$BZ$13&amp;" (100%/"&amp;Detail!CD54&amp;"/"&amp;Detail!CE54&amp;"D)"))</f>
        <v/>
      </c>
      <c r="CU54" s="1327" t="s">
        <v>2236</v>
      </c>
      <c r="CV54" s="527" t="s">
        <v>2278</v>
      </c>
      <c r="CW54" s="241">
        <v>7</v>
      </c>
      <c r="CX54" s="1323">
        <v>365</v>
      </c>
      <c r="CY54" s="248">
        <v>1</v>
      </c>
      <c r="CZ54" s="261">
        <v>0</v>
      </c>
      <c r="DA54" s="1325" t="s">
        <v>2236</v>
      </c>
      <c r="DB54" s="538">
        <v>40</v>
      </c>
      <c r="DC54" s="1325">
        <v>0.1</v>
      </c>
      <c r="DD54" s="261">
        <v>1</v>
      </c>
      <c r="DE54" s="261">
        <v>0</v>
      </c>
      <c r="DF54" s="313" t="str">
        <f>IF(A54=FALSE,"",IF(Detail!CH54="","N/A",YEAR(Detail!F54)&amp;Detail!CK54&amp;Detail!CH54&amp;"-"&amp;Detail!$CH$13&amp;" (100%/"&amp;Detail!CL54&amp;"/"&amp;Detail!CM54&amp;"D)"))</f>
        <v/>
      </c>
      <c r="DG54" s="1406" t="s">
        <v>2236</v>
      </c>
      <c r="DH54" s="518" t="s">
        <v>2278</v>
      </c>
      <c r="DI54" s="241">
        <f t="shared" si="10"/>
        <v>7</v>
      </c>
      <c r="DJ54" s="243">
        <f t="shared" si="11"/>
        <v>365</v>
      </c>
      <c r="DK54" s="258">
        <v>1</v>
      </c>
      <c r="DL54" s="261">
        <v>0</v>
      </c>
      <c r="DM54" s="1325" t="s">
        <v>2236</v>
      </c>
      <c r="DN54" s="538">
        <v>40</v>
      </c>
      <c r="DO54" s="1325">
        <f t="shared" si="12"/>
        <v>0.1</v>
      </c>
      <c r="DP54" s="261">
        <v>1</v>
      </c>
      <c r="DQ54" s="261">
        <v>0</v>
      </c>
      <c r="DR54" s="920" t="str">
        <f>IF(A54=FALSE,"",IF(Detail!CP54="","N/A",YEAR(Detail!F54)&amp;Detail!CS54&amp;Detail!CP54&amp;"-"&amp;Detail!$CP$13))</f>
        <v/>
      </c>
      <c r="DS54" s="308" t="s">
        <v>2236</v>
      </c>
      <c r="DT54" s="720" t="s">
        <v>2277</v>
      </c>
      <c r="DU54" s="525">
        <v>50000</v>
      </c>
      <c r="DV54" s="247">
        <v>2</v>
      </c>
      <c r="DW54" s="261">
        <v>0</v>
      </c>
      <c r="DX54" s="261" t="s">
        <v>2236</v>
      </c>
      <c r="DY54" s="264">
        <v>0</v>
      </c>
      <c r="DZ54" s="444">
        <v>0</v>
      </c>
      <c r="EA54" s="444">
        <v>1</v>
      </c>
      <c r="EB54" s="444">
        <v>0</v>
      </c>
      <c r="EC54" s="761" t="str">
        <f>IF(A54=FALSE,"",IF(Detail!CX54="","N/A",YEAR(Detail!F54)&amp;Detail!DA54&amp;Detail!CX54&amp;"-"&amp;Detail!$CX$13))</f>
        <v/>
      </c>
      <c r="ED54" s="445" t="s">
        <v>2236</v>
      </c>
      <c r="EE54" s="720" t="s">
        <v>2277</v>
      </c>
      <c r="EF54" s="525">
        <v>50000</v>
      </c>
      <c r="EG54" s="247">
        <v>2</v>
      </c>
      <c r="EH54" s="261">
        <v>0</v>
      </c>
      <c r="EI54" s="261" t="s">
        <v>2236</v>
      </c>
      <c r="EJ54" s="264">
        <v>0</v>
      </c>
      <c r="EK54" s="444">
        <v>0</v>
      </c>
      <c r="EL54" s="444">
        <v>1</v>
      </c>
      <c r="EM54" s="444">
        <v>0</v>
      </c>
      <c r="EN54" s="333" t="str">
        <f>IF(A54=FALSE,"",IF(Detail!DF54="","N/A",YEAR(Detail!F54)&amp;Detail!DI54&amp;Detail!DF54&amp;"-"&amp;Detail!$DF$13))</f>
        <v/>
      </c>
      <c r="EO54" s="1012" t="s">
        <v>2236</v>
      </c>
      <c r="EP54" s="1012" t="s">
        <v>2277</v>
      </c>
      <c r="EQ54" s="1013">
        <f t="shared" si="13"/>
        <v>0</v>
      </c>
      <c r="ER54" s="1013" t="s">
        <v>2236</v>
      </c>
      <c r="ES54" s="264">
        <v>0</v>
      </c>
      <c r="ET54" s="1013">
        <v>0</v>
      </c>
      <c r="EU54" s="1013">
        <v>1</v>
      </c>
      <c r="EV54" s="1013">
        <v>0</v>
      </c>
      <c r="EW54" s="333" t="str">
        <f>IF(DJ54=FALSE,"",IF(Detail!ET54="","N/A",YEAR(Detail!DN54)&amp;Detail!EW54&amp;Detail!ET54&amp;"-"&amp;Detail!$AL$13&amp;Detail!EU54))</f>
        <v>N/A</v>
      </c>
      <c r="EX54" s="1012" t="s">
        <v>2236</v>
      </c>
      <c r="EY54" s="1012" t="s">
        <v>2277</v>
      </c>
      <c r="EZ54" s="1013">
        <f t="shared" si="14"/>
        <v>0</v>
      </c>
      <c r="FA54" s="1013" t="s">
        <v>2236</v>
      </c>
      <c r="FB54" s="264">
        <v>0</v>
      </c>
      <c r="FC54" s="1013">
        <v>0</v>
      </c>
      <c r="FD54" s="1013">
        <v>1</v>
      </c>
      <c r="FE54" s="1013">
        <v>0</v>
      </c>
    </row>
    <row r="55" spans="1:161" s="422" customFormat="1" ht="30" customHeight="1" outlineLevel="1">
      <c r="A55" s="439" t="b">
        <f>Calcul!A55</f>
        <v>0</v>
      </c>
      <c r="B55" s="510" t="str">
        <f t="shared" si="15"/>
        <v/>
      </c>
      <c r="C55" s="1404" t="b">
        <v>0</v>
      </c>
      <c r="D55" s="1404" t="s">
        <v>2147</v>
      </c>
      <c r="E55" s="1405" t="s">
        <v>2335</v>
      </c>
      <c r="F55" s="243" t="s">
        <v>2146</v>
      </c>
      <c r="G55" s="356" t="str">
        <f>IF(A55=FALSE,"",IF(NAMES!$D$10=FALSE,IF(Detail!H55="","",Detail!H55),IF(Crewlist!D55="","",Crewlist!D55)))</f>
        <v/>
      </c>
      <c r="H55" s="356" t="str">
        <f>IF(A55=FALSE,"",IF(NAMES!$D$10=FALSE,IF(Detail!P55="","",Detail!P55),IF(Crewlist!E55="","",Crewlist!E55)))</f>
        <v/>
      </c>
      <c r="I55" s="356" t="str">
        <f>IF(A55=FALSE,"",IF(NAMES!$D$10=FALSE,IF(Detail!K55="","",Detail!K55),IF(Crewlist!F55="","",Crewlist!F55)))</f>
        <v/>
      </c>
      <c r="J55" s="1001" t="str">
        <f>IF(Crewlist!T55="","",Crewlist!T55)</f>
        <v/>
      </c>
      <c r="K55" s="1001" t="str">
        <f>IF(Crewlist!D55="","",IF(Crewlist!U55="",Crewlist!Y55,IF(DATERENOUVMOINS730&lt;&gt;Crewlist!U55&lt;&gt;Crewlist!Y55,Crewlist!U55,DATERENOUVMOINS365)))</f>
        <v/>
      </c>
      <c r="L55" s="775" t="str">
        <f>IF(Detail!X55="","",Detail!X55)</f>
        <v/>
      </c>
      <c r="M55" s="775" t="str">
        <f>IF(Detail!H55="","",IF(Detail!Y55="",DATERENOUV,IF(Detail!Y55&gt;Detail!D55,Detail!D55,Detail!Y55)))</f>
        <v/>
      </c>
      <c r="N55" s="1015" t="str">
        <f>IF(A55=FALSE,"",IF(NAMES!$D$10=FALSE,IF(B55=B56,IF(O55=O56,0,(DATEDIF(L55,M55,"M")+1)),(DATEDIF(L55,M55,"M")+1)),IF(B55=B56,IF(O55=O56,0,(DATEDIF(J55,K55,"M")+1)),(DATEDIF(J55,K55,"M")+1))))</f>
        <v/>
      </c>
      <c r="O55" s="357" t="str">
        <f t="shared" si="5"/>
        <v/>
      </c>
      <c r="P55" s="358" t="str">
        <f>IF(A55=FALSE,"",IF(NAMES!$D$10=FALSE,IF((DATEDIF(L55,M55,"D")+1)&lt;365,(DATEDIF(L55,M55,"D")+1),365),IF((DATEDIF(J55,K55,"D")+1)&lt;365,(DATEDIF(J55,K55,"D")+1),365)))</f>
        <v/>
      </c>
      <c r="Q55" s="358" t="str">
        <f>IF(A55=FALSE,"",IF(NAMES!$D$10=FALSE,IF(M55="",365,DATEDIF(L55,M55,"D")+1),IF(M55="",365,DATEDIF(J55,K55,"D")+1)))</f>
        <v/>
      </c>
      <c r="R55" s="950" t="str">
        <f>Calcul!X55</f>
        <v/>
      </c>
      <c r="S55" s="950" t="str">
        <f>Calcul!Y55</f>
        <v/>
      </c>
      <c r="T55" s="993" t="str">
        <f>Calcul!AG55</f>
        <v/>
      </c>
      <c r="U55" s="368" t="str">
        <f>IF(A55=FALSE,"",IF(NAMES!$D$10=FALSE,IF(Detail!S55="","",Detail!S55),IF(Crewlist!V55="","",Crewlist!V55)))</f>
        <v/>
      </c>
      <c r="V55" s="245" t="str">
        <f>Calcul!AI55</f>
        <v/>
      </c>
      <c r="W55" s="245" t="str">
        <f>Calcul!AL55</f>
        <v/>
      </c>
      <c r="X55" s="245" t="str">
        <f>Calcul!AM55</f>
        <v/>
      </c>
      <c r="Y55" s="353" t="str">
        <f>Calcul!AN55</f>
        <v/>
      </c>
      <c r="Z55" s="245" t="str">
        <f>Calcul!AO55</f>
        <v/>
      </c>
      <c r="AA55" s="245" t="str">
        <f>Calcul!AP55</f>
        <v/>
      </c>
      <c r="AB55" s="353" t="str">
        <f>Calcul!AQ55</f>
        <v/>
      </c>
      <c r="AC55" s="353" t="str">
        <f>IF(C55=FALSE,"",Calcul!BE55+Calcul!BF55)</f>
        <v/>
      </c>
      <c r="AD55" s="353" t="str">
        <f>IF(C55=FALSE,"",(Calcul!BG55+Calcul!BH55)+SUM(Calcul!BI55:BN55))</f>
        <v/>
      </c>
      <c r="AE55" s="353" t="str">
        <f>Calcul!BP55</f>
        <v/>
      </c>
      <c r="AF55" s="332" t="str">
        <f>IF(A55=FALSE,"",YEAR(Detail!F55)&amp;Detail!AG55&amp;Detail!AD55&amp;"-"&amp;Detail!$AD$13&amp;Detail!AE55)</f>
        <v/>
      </c>
      <c r="AG55" s="1406" t="s">
        <v>2236</v>
      </c>
      <c r="AH55" s="701" t="s">
        <v>2277</v>
      </c>
      <c r="AI55" s="1407">
        <v>0</v>
      </c>
      <c r="AJ55" s="1407" t="s">
        <v>2236</v>
      </c>
      <c r="AK55" s="1410">
        <v>32</v>
      </c>
      <c r="AL55" s="508">
        <v>0</v>
      </c>
      <c r="AM55" s="261">
        <v>1</v>
      </c>
      <c r="AN55" s="261">
        <v>0</v>
      </c>
      <c r="AO55" s="333" t="str">
        <f>IF(A55=FALSE,"",IF(Detail!AL55="","N/A",YEAR(Detail!F55)&amp;Detail!AO55&amp;Detail!AL55&amp;"-"&amp;Detail!$AL$13&amp;Detail!AM55))</f>
        <v/>
      </c>
      <c r="AP55" s="1406" t="s">
        <v>2236</v>
      </c>
      <c r="AQ55" s="701" t="s">
        <v>2277</v>
      </c>
      <c r="AR55" s="1407">
        <f t="shared" si="7"/>
        <v>0</v>
      </c>
      <c r="AS55" s="261" t="s">
        <v>2236</v>
      </c>
      <c r="AT55" s="264">
        <v>0</v>
      </c>
      <c r="AU55" s="261">
        <v>0</v>
      </c>
      <c r="AV55" s="261">
        <v>1</v>
      </c>
      <c r="AW55" s="261">
        <v>0</v>
      </c>
      <c r="AX55" s="920" t="str">
        <f>IF(A55=FALSE,"",IF(Detail!AT55="","N/A",YEAR(Detail!F55)&amp;Detail!AW55&amp;Detail!AT55&amp;"-"&amp;Detail!$AT$13))</f>
        <v/>
      </c>
      <c r="AY55" s="1408" t="s">
        <v>2236</v>
      </c>
      <c r="AZ55" s="308" t="s">
        <v>2278</v>
      </c>
      <c r="BA55" s="440" t="str">
        <f>IF(A55=FALSE,"",51000+(Detail!AA55*7000))</f>
        <v/>
      </c>
      <c r="BB55" s="1412">
        <v>50000</v>
      </c>
      <c r="BC55" s="247">
        <v>3</v>
      </c>
      <c r="BD55" s="261">
        <v>0</v>
      </c>
      <c r="BE55" s="1325" t="s">
        <v>2236</v>
      </c>
      <c r="BF55" s="264">
        <v>0</v>
      </c>
      <c r="BG55" s="508">
        <v>0</v>
      </c>
      <c r="BH55" s="261">
        <v>1</v>
      </c>
      <c r="BI55" s="261">
        <v>0</v>
      </c>
      <c r="BJ55" s="311" t="str">
        <f>IF(A55=FALSE,"",IF(Detail!BB55="","N/A",YEAR(Detail!F55)&amp;Detail!BE55&amp;Detail!BB55&amp;"-"&amp;Detail!$BB$13))</f>
        <v/>
      </c>
      <c r="BK55" s="1354" t="s">
        <v>2236</v>
      </c>
      <c r="BL55" s="527" t="s">
        <v>2278</v>
      </c>
      <c r="BM55" s="440" t="str">
        <f>IF(A55=FALSE,"",51000+(Detail!AA55*7000))</f>
        <v/>
      </c>
      <c r="BN55" s="1412">
        <v>50000</v>
      </c>
      <c r="BO55" s="247">
        <v>3</v>
      </c>
      <c r="BP55" s="261">
        <v>0</v>
      </c>
      <c r="BQ55" s="261" t="s">
        <v>2236</v>
      </c>
      <c r="BR55" s="264">
        <v>0</v>
      </c>
      <c r="BS55" s="508">
        <v>0</v>
      </c>
      <c r="BT55" s="261">
        <v>1</v>
      </c>
      <c r="BU55" s="261">
        <v>0</v>
      </c>
      <c r="BV55" s="311" t="str">
        <f>IF(A55=FALSE,"",IF(Detail!BJ55="","N/A",YEAR(Detail!F55)&amp;Detail!BM55&amp;Detail!BJ55&amp;"-"&amp;Detail!$BJ$13))</f>
        <v/>
      </c>
      <c r="BW55" s="1409" t="s">
        <v>2236</v>
      </c>
      <c r="BX55" s="527" t="s">
        <v>2278</v>
      </c>
      <c r="BY55" s="440" t="str">
        <f t="shared" si="8"/>
        <v/>
      </c>
      <c r="BZ55" s="1412">
        <v>50000</v>
      </c>
      <c r="CA55" s="247">
        <v>3</v>
      </c>
      <c r="CB55" s="261">
        <v>0</v>
      </c>
      <c r="CC55" s="261" t="s">
        <v>2236</v>
      </c>
      <c r="CD55" s="264">
        <v>0</v>
      </c>
      <c r="CE55" s="508">
        <v>0</v>
      </c>
      <c r="CF55" s="261">
        <v>1</v>
      </c>
      <c r="CG55" s="261">
        <v>0</v>
      </c>
      <c r="CH55" s="311" t="str">
        <f>IF(A55=FALSE,"",IF(Detail!BR55="","N/A",YEAR(Detail!F55)&amp;Detail!BU55&amp;Detail!BR55&amp;"-"&amp;Detail!$BR$13))</f>
        <v/>
      </c>
      <c r="CI55" s="1327" t="s">
        <v>2236</v>
      </c>
      <c r="CJ55" s="527" t="s">
        <v>2278</v>
      </c>
      <c r="CK55" s="440" t="str">
        <f t="shared" si="9"/>
        <v/>
      </c>
      <c r="CL55" s="1412">
        <v>50000</v>
      </c>
      <c r="CM55" s="247">
        <v>3</v>
      </c>
      <c r="CN55" s="261">
        <v>0</v>
      </c>
      <c r="CO55" s="261" t="s">
        <v>2236</v>
      </c>
      <c r="CP55" s="264">
        <v>0</v>
      </c>
      <c r="CQ55" s="508">
        <v>0</v>
      </c>
      <c r="CR55" s="261">
        <v>1</v>
      </c>
      <c r="CS55" s="261">
        <v>0</v>
      </c>
      <c r="CT55" s="311" t="str">
        <f>IF(A55=FALSE,"",IF(Detail!BZ55="","N/A",YEAR(Detail!F55)&amp;Detail!CC55&amp;Detail!BZ55&amp;"-"&amp;Detail!$BZ$13&amp;" (100%/"&amp;Detail!CD55&amp;"/"&amp;Detail!CE55&amp;"D)"))</f>
        <v/>
      </c>
      <c r="CU55" s="1327" t="s">
        <v>2236</v>
      </c>
      <c r="CV55" s="527" t="s">
        <v>2278</v>
      </c>
      <c r="CW55" s="241">
        <v>7</v>
      </c>
      <c r="CX55" s="1323">
        <v>365</v>
      </c>
      <c r="CY55" s="248">
        <v>1</v>
      </c>
      <c r="CZ55" s="261">
        <v>0</v>
      </c>
      <c r="DA55" s="1325" t="s">
        <v>2236</v>
      </c>
      <c r="DB55" s="538">
        <v>40</v>
      </c>
      <c r="DC55" s="1325">
        <v>0.1</v>
      </c>
      <c r="DD55" s="261">
        <v>1</v>
      </c>
      <c r="DE55" s="261">
        <v>0</v>
      </c>
      <c r="DF55" s="313" t="str">
        <f>IF(A55=FALSE,"",IF(Detail!CH55="","N/A",YEAR(Detail!F55)&amp;Detail!CK55&amp;Detail!CH55&amp;"-"&amp;Detail!$CH$13&amp;" (100%/"&amp;Detail!CL55&amp;"/"&amp;Detail!CM55&amp;"D)"))</f>
        <v/>
      </c>
      <c r="DG55" s="1406" t="s">
        <v>2236</v>
      </c>
      <c r="DH55" s="518" t="s">
        <v>2278</v>
      </c>
      <c r="DI55" s="241">
        <f t="shared" si="10"/>
        <v>7</v>
      </c>
      <c r="DJ55" s="243">
        <f t="shared" si="11"/>
        <v>365</v>
      </c>
      <c r="DK55" s="258">
        <v>1</v>
      </c>
      <c r="DL55" s="261">
        <v>0</v>
      </c>
      <c r="DM55" s="1325" t="s">
        <v>2236</v>
      </c>
      <c r="DN55" s="538">
        <v>40</v>
      </c>
      <c r="DO55" s="1325">
        <f t="shared" si="12"/>
        <v>0.1</v>
      </c>
      <c r="DP55" s="261">
        <v>1</v>
      </c>
      <c r="DQ55" s="261">
        <v>0</v>
      </c>
      <c r="DR55" s="920" t="str">
        <f>IF(A55=FALSE,"",IF(Detail!CP55="","N/A",YEAR(Detail!F55)&amp;Detail!CS55&amp;Detail!CP55&amp;"-"&amp;Detail!$CP$13))</f>
        <v/>
      </c>
      <c r="DS55" s="308" t="s">
        <v>2236</v>
      </c>
      <c r="DT55" s="720" t="s">
        <v>2277</v>
      </c>
      <c r="DU55" s="525">
        <v>50000</v>
      </c>
      <c r="DV55" s="247">
        <v>2</v>
      </c>
      <c r="DW55" s="261">
        <v>0</v>
      </c>
      <c r="DX55" s="261" t="s">
        <v>2236</v>
      </c>
      <c r="DY55" s="264">
        <v>0</v>
      </c>
      <c r="DZ55" s="444">
        <v>0</v>
      </c>
      <c r="EA55" s="444">
        <v>1</v>
      </c>
      <c r="EB55" s="444">
        <v>0</v>
      </c>
      <c r="EC55" s="761" t="str">
        <f>IF(A55=FALSE,"",IF(Detail!CX55="","N/A",YEAR(Detail!F55)&amp;Detail!DA55&amp;Detail!CX55&amp;"-"&amp;Detail!$CX$13))</f>
        <v/>
      </c>
      <c r="ED55" s="445" t="s">
        <v>2236</v>
      </c>
      <c r="EE55" s="720" t="s">
        <v>2277</v>
      </c>
      <c r="EF55" s="525">
        <v>50000</v>
      </c>
      <c r="EG55" s="247">
        <v>2</v>
      </c>
      <c r="EH55" s="261">
        <v>0</v>
      </c>
      <c r="EI55" s="261" t="s">
        <v>2236</v>
      </c>
      <c r="EJ55" s="264">
        <v>0</v>
      </c>
      <c r="EK55" s="444">
        <v>0</v>
      </c>
      <c r="EL55" s="444">
        <v>1</v>
      </c>
      <c r="EM55" s="444">
        <v>0</v>
      </c>
      <c r="EN55" s="333" t="str">
        <f>IF(A55=FALSE,"",IF(Detail!DF55="","N/A",YEAR(Detail!F55)&amp;Detail!DI55&amp;Detail!DF55&amp;"-"&amp;Detail!$DF$13))</f>
        <v/>
      </c>
      <c r="EO55" s="1012" t="s">
        <v>2236</v>
      </c>
      <c r="EP55" s="1012" t="s">
        <v>2277</v>
      </c>
      <c r="EQ55" s="1013">
        <f t="shared" si="13"/>
        <v>0</v>
      </c>
      <c r="ER55" s="1013" t="s">
        <v>2236</v>
      </c>
      <c r="ES55" s="264">
        <v>0</v>
      </c>
      <c r="ET55" s="1013">
        <v>0</v>
      </c>
      <c r="EU55" s="1013">
        <v>1</v>
      </c>
      <c r="EV55" s="1013">
        <v>0</v>
      </c>
      <c r="EW55" s="333" t="str">
        <f>IF(DJ55=FALSE,"",IF(Detail!ET55="","N/A",YEAR(Detail!DN55)&amp;Detail!EW55&amp;Detail!ET55&amp;"-"&amp;Detail!$AL$13&amp;Detail!EU55))</f>
        <v>N/A</v>
      </c>
      <c r="EX55" s="1012" t="s">
        <v>2236</v>
      </c>
      <c r="EY55" s="1012" t="s">
        <v>2277</v>
      </c>
      <c r="EZ55" s="1013">
        <f t="shared" si="14"/>
        <v>0</v>
      </c>
      <c r="FA55" s="1013" t="s">
        <v>2236</v>
      </c>
      <c r="FB55" s="264">
        <v>0</v>
      </c>
      <c r="FC55" s="1013">
        <v>0</v>
      </c>
      <c r="FD55" s="1013">
        <v>1</v>
      </c>
      <c r="FE55" s="1013">
        <v>0</v>
      </c>
    </row>
    <row r="56" spans="1:161" s="422" customFormat="1" ht="30" customHeight="1" outlineLevel="1">
      <c r="A56" s="439" t="b">
        <f>Calcul!A56</f>
        <v>0</v>
      </c>
      <c r="B56" s="510" t="str">
        <f t="shared" si="15"/>
        <v/>
      </c>
      <c r="C56" s="1404" t="b">
        <v>0</v>
      </c>
      <c r="D56" s="1404" t="s">
        <v>2147</v>
      </c>
      <c r="E56" s="1405" t="s">
        <v>2335</v>
      </c>
      <c r="F56" s="243" t="s">
        <v>2146</v>
      </c>
      <c r="G56" s="356" t="str">
        <f>IF(A56=FALSE,"",IF(NAMES!$D$10=FALSE,IF(Detail!H56="","",Detail!H56),IF(Crewlist!D56="","",Crewlist!D56)))</f>
        <v/>
      </c>
      <c r="H56" s="356" t="str">
        <f>IF(A56=FALSE,"",IF(NAMES!$D$10=FALSE,IF(Detail!P56="","",Detail!P56),IF(Crewlist!E56="","",Crewlist!E56)))</f>
        <v/>
      </c>
      <c r="I56" s="356" t="str">
        <f>IF(A56=FALSE,"",IF(NAMES!$D$10=FALSE,IF(Detail!K56="","",Detail!K56),IF(Crewlist!F56="","",Crewlist!F56)))</f>
        <v/>
      </c>
      <c r="J56" s="1001" t="str">
        <f>IF(Crewlist!T56="","",Crewlist!T56)</f>
        <v/>
      </c>
      <c r="K56" s="1001" t="str">
        <f>IF(Crewlist!D56="","",IF(Crewlist!U56="",Crewlist!Y56,IF(DATERENOUVMOINS730&lt;&gt;Crewlist!U56&lt;&gt;Crewlist!Y56,Crewlist!U56,DATERENOUVMOINS365)))</f>
        <v/>
      </c>
      <c r="L56" s="775" t="str">
        <f>IF(Detail!X56="","",Detail!X56)</f>
        <v/>
      </c>
      <c r="M56" s="775" t="str">
        <f>IF(Detail!H56="","",IF(Detail!Y56="",DATERENOUV,IF(Detail!Y56&gt;Detail!D56,Detail!D56,Detail!Y56)))</f>
        <v/>
      </c>
      <c r="N56" s="1015" t="str">
        <f>IF(A56=FALSE,"",IF(NAMES!$D$10=FALSE,IF(B56=B57,IF(O56=O57,0,(DATEDIF(L56,M56,"M")+1)),(DATEDIF(L56,M56,"M")+1)),IF(B56=B57,IF(O56=O57,0,(DATEDIF(J56,K56,"M")+1)),(DATEDIF(J56,K56,"M")+1))))</f>
        <v/>
      </c>
      <c r="O56" s="357" t="str">
        <f t="shared" si="5"/>
        <v/>
      </c>
      <c r="P56" s="358" t="str">
        <f>IF(A56=FALSE,"",IF(NAMES!$D$10=FALSE,IF((DATEDIF(L56,M56,"D")+1)&lt;365,(DATEDIF(L56,M56,"D")+1),365),IF((DATEDIF(J56,K56,"D")+1)&lt;365,(DATEDIF(J56,K56,"D")+1),365)))</f>
        <v/>
      </c>
      <c r="Q56" s="358" t="str">
        <f>IF(A56=FALSE,"",IF(NAMES!$D$10=FALSE,IF(M56="",365,DATEDIF(L56,M56,"D")+1),IF(M56="",365,DATEDIF(J56,K56,"D")+1)))</f>
        <v/>
      </c>
      <c r="R56" s="950" t="str">
        <f>Calcul!X56</f>
        <v/>
      </c>
      <c r="S56" s="950" t="str">
        <f>Calcul!Y56</f>
        <v/>
      </c>
      <c r="T56" s="993" t="str">
        <f>Calcul!AG56</f>
        <v/>
      </c>
      <c r="U56" s="368" t="str">
        <f>IF(A56=FALSE,"",IF(NAMES!$D$10=FALSE,IF(Detail!S56="","",Detail!S56),IF(Crewlist!V56="","",Crewlist!V56)))</f>
        <v/>
      </c>
      <c r="V56" s="245" t="str">
        <f>Calcul!AI56</f>
        <v/>
      </c>
      <c r="W56" s="245" t="str">
        <f>Calcul!AL56</f>
        <v/>
      </c>
      <c r="X56" s="245" t="str">
        <f>Calcul!AM56</f>
        <v/>
      </c>
      <c r="Y56" s="353" t="str">
        <f>Calcul!AN56</f>
        <v/>
      </c>
      <c r="Z56" s="245" t="str">
        <f>Calcul!AO56</f>
        <v/>
      </c>
      <c r="AA56" s="245" t="str">
        <f>Calcul!AP56</f>
        <v/>
      </c>
      <c r="AB56" s="353" t="str">
        <f>Calcul!AQ56</f>
        <v/>
      </c>
      <c r="AC56" s="353" t="str">
        <f>IF(C56=FALSE,"",Calcul!BE56+Calcul!BF56)</f>
        <v/>
      </c>
      <c r="AD56" s="353" t="str">
        <f>IF(C56=FALSE,"",(Calcul!BG56+Calcul!BH56)+SUM(Calcul!BI56:BN56))</f>
        <v/>
      </c>
      <c r="AE56" s="353" t="str">
        <f>Calcul!BP56</f>
        <v/>
      </c>
      <c r="AF56" s="332" t="str">
        <f>IF(A56=FALSE,"",YEAR(Detail!F56)&amp;Detail!AG56&amp;Detail!AD56&amp;"-"&amp;Detail!$AD$13&amp;Detail!AE56)</f>
        <v/>
      </c>
      <c r="AG56" s="1406" t="s">
        <v>2236</v>
      </c>
      <c r="AH56" s="701" t="s">
        <v>2277</v>
      </c>
      <c r="AI56" s="1407">
        <v>0</v>
      </c>
      <c r="AJ56" s="1407" t="s">
        <v>2236</v>
      </c>
      <c r="AK56" s="1410">
        <v>32</v>
      </c>
      <c r="AL56" s="508">
        <v>0</v>
      </c>
      <c r="AM56" s="261">
        <v>1</v>
      </c>
      <c r="AN56" s="261">
        <v>0</v>
      </c>
      <c r="AO56" s="333" t="str">
        <f>IF(A56=FALSE,"",IF(Detail!AL56="","N/A",YEAR(Detail!F56)&amp;Detail!AO56&amp;Detail!AL56&amp;"-"&amp;Detail!$AL$13&amp;Detail!AM56))</f>
        <v/>
      </c>
      <c r="AP56" s="1406" t="s">
        <v>2236</v>
      </c>
      <c r="AQ56" s="701" t="s">
        <v>2277</v>
      </c>
      <c r="AR56" s="1407">
        <f t="shared" si="7"/>
        <v>0</v>
      </c>
      <c r="AS56" s="261" t="s">
        <v>2236</v>
      </c>
      <c r="AT56" s="264">
        <v>0</v>
      </c>
      <c r="AU56" s="261">
        <v>0</v>
      </c>
      <c r="AV56" s="261">
        <v>1</v>
      </c>
      <c r="AW56" s="261">
        <v>0</v>
      </c>
      <c r="AX56" s="920" t="str">
        <f>IF(A56=FALSE,"",IF(Detail!AT56="","N/A",YEAR(Detail!F56)&amp;Detail!AW56&amp;Detail!AT56&amp;"-"&amp;Detail!$AT$13))</f>
        <v/>
      </c>
      <c r="AY56" s="1408" t="s">
        <v>2236</v>
      </c>
      <c r="AZ56" s="308" t="s">
        <v>2278</v>
      </c>
      <c r="BA56" s="440" t="str">
        <f>IF(A56=FALSE,"",51000+(Detail!AA56*7000))</f>
        <v/>
      </c>
      <c r="BB56" s="1412">
        <v>50000</v>
      </c>
      <c r="BC56" s="247">
        <v>3</v>
      </c>
      <c r="BD56" s="261">
        <v>0</v>
      </c>
      <c r="BE56" s="1325" t="s">
        <v>2236</v>
      </c>
      <c r="BF56" s="264">
        <v>0</v>
      </c>
      <c r="BG56" s="508">
        <v>0</v>
      </c>
      <c r="BH56" s="261">
        <v>1</v>
      </c>
      <c r="BI56" s="261">
        <v>0</v>
      </c>
      <c r="BJ56" s="311" t="str">
        <f>IF(A56=FALSE,"",IF(Detail!BB56="","N/A",YEAR(Detail!F56)&amp;Detail!BE56&amp;Detail!BB56&amp;"-"&amp;Detail!$BB$13))</f>
        <v/>
      </c>
      <c r="BK56" s="1354" t="s">
        <v>2236</v>
      </c>
      <c r="BL56" s="527" t="s">
        <v>2278</v>
      </c>
      <c r="BM56" s="440" t="str">
        <f>IF(A56=FALSE,"",51000+(Detail!AA56*7000))</f>
        <v/>
      </c>
      <c r="BN56" s="1412">
        <v>50000</v>
      </c>
      <c r="BO56" s="247">
        <v>3</v>
      </c>
      <c r="BP56" s="261">
        <v>0</v>
      </c>
      <c r="BQ56" s="261" t="s">
        <v>2236</v>
      </c>
      <c r="BR56" s="264">
        <v>0</v>
      </c>
      <c r="BS56" s="508">
        <v>0</v>
      </c>
      <c r="BT56" s="261">
        <v>1</v>
      </c>
      <c r="BU56" s="261">
        <v>0</v>
      </c>
      <c r="BV56" s="311" t="str">
        <f>IF(A56=FALSE,"",IF(Detail!BJ56="","N/A",YEAR(Detail!F56)&amp;Detail!BM56&amp;Detail!BJ56&amp;"-"&amp;Detail!$BJ$13))</f>
        <v/>
      </c>
      <c r="BW56" s="1409" t="s">
        <v>2236</v>
      </c>
      <c r="BX56" s="527" t="s">
        <v>2278</v>
      </c>
      <c r="BY56" s="440" t="str">
        <f t="shared" si="8"/>
        <v/>
      </c>
      <c r="BZ56" s="1412">
        <v>50000</v>
      </c>
      <c r="CA56" s="247">
        <v>3</v>
      </c>
      <c r="CB56" s="261">
        <v>0</v>
      </c>
      <c r="CC56" s="261" t="s">
        <v>2236</v>
      </c>
      <c r="CD56" s="264">
        <v>0</v>
      </c>
      <c r="CE56" s="508">
        <v>0</v>
      </c>
      <c r="CF56" s="261">
        <v>1</v>
      </c>
      <c r="CG56" s="261">
        <v>0</v>
      </c>
      <c r="CH56" s="311" t="str">
        <f>IF(A56=FALSE,"",IF(Detail!BR56="","N/A",YEAR(Detail!F56)&amp;Detail!BU56&amp;Detail!BR56&amp;"-"&amp;Detail!$BR$13))</f>
        <v/>
      </c>
      <c r="CI56" s="1327" t="s">
        <v>2236</v>
      </c>
      <c r="CJ56" s="527" t="s">
        <v>2278</v>
      </c>
      <c r="CK56" s="440" t="str">
        <f t="shared" si="9"/>
        <v/>
      </c>
      <c r="CL56" s="1412">
        <v>50000</v>
      </c>
      <c r="CM56" s="247">
        <v>3</v>
      </c>
      <c r="CN56" s="261">
        <v>0</v>
      </c>
      <c r="CO56" s="261" t="s">
        <v>2236</v>
      </c>
      <c r="CP56" s="264">
        <v>0</v>
      </c>
      <c r="CQ56" s="508">
        <v>0</v>
      </c>
      <c r="CR56" s="261">
        <v>1</v>
      </c>
      <c r="CS56" s="261">
        <v>0</v>
      </c>
      <c r="CT56" s="311" t="str">
        <f>IF(A56=FALSE,"",IF(Detail!BZ56="","N/A",YEAR(Detail!F56)&amp;Detail!CC56&amp;Detail!BZ56&amp;"-"&amp;Detail!$BZ$13&amp;" (100%/"&amp;Detail!CD56&amp;"/"&amp;Detail!CE56&amp;"D)"))</f>
        <v/>
      </c>
      <c r="CU56" s="1327" t="s">
        <v>2236</v>
      </c>
      <c r="CV56" s="527" t="s">
        <v>2278</v>
      </c>
      <c r="CW56" s="241">
        <v>7</v>
      </c>
      <c r="CX56" s="1323">
        <v>365</v>
      </c>
      <c r="CY56" s="248">
        <v>1</v>
      </c>
      <c r="CZ56" s="261">
        <v>0</v>
      </c>
      <c r="DA56" s="1325" t="s">
        <v>2236</v>
      </c>
      <c r="DB56" s="538">
        <v>40</v>
      </c>
      <c r="DC56" s="1325">
        <v>0.1</v>
      </c>
      <c r="DD56" s="261">
        <v>1</v>
      </c>
      <c r="DE56" s="261">
        <v>0</v>
      </c>
      <c r="DF56" s="313" t="str">
        <f>IF(A56=FALSE,"",IF(Detail!CH56="","N/A",YEAR(Detail!F56)&amp;Detail!CK56&amp;Detail!CH56&amp;"-"&amp;Detail!$CH$13&amp;" (100%/"&amp;Detail!CL56&amp;"/"&amp;Detail!CM56&amp;"D)"))</f>
        <v/>
      </c>
      <c r="DG56" s="1406" t="s">
        <v>2236</v>
      </c>
      <c r="DH56" s="518" t="s">
        <v>2278</v>
      </c>
      <c r="DI56" s="241">
        <f t="shared" si="10"/>
        <v>7</v>
      </c>
      <c r="DJ56" s="243">
        <f t="shared" si="11"/>
        <v>365</v>
      </c>
      <c r="DK56" s="258">
        <v>1</v>
      </c>
      <c r="DL56" s="261">
        <v>0</v>
      </c>
      <c r="DM56" s="1325" t="s">
        <v>2236</v>
      </c>
      <c r="DN56" s="538">
        <v>40</v>
      </c>
      <c r="DO56" s="1325">
        <f t="shared" si="12"/>
        <v>0.1</v>
      </c>
      <c r="DP56" s="261">
        <v>1</v>
      </c>
      <c r="DQ56" s="261">
        <v>0</v>
      </c>
      <c r="DR56" s="920" t="str">
        <f>IF(A56=FALSE,"",IF(Detail!CP56="","N/A",YEAR(Detail!F56)&amp;Detail!CS56&amp;Detail!CP56&amp;"-"&amp;Detail!$CP$13))</f>
        <v/>
      </c>
      <c r="DS56" s="308" t="s">
        <v>2236</v>
      </c>
      <c r="DT56" s="720" t="s">
        <v>2277</v>
      </c>
      <c r="DU56" s="244">
        <v>50000</v>
      </c>
      <c r="DV56" s="247">
        <v>2</v>
      </c>
      <c r="DW56" s="261">
        <v>0</v>
      </c>
      <c r="DX56" s="261" t="s">
        <v>2236</v>
      </c>
      <c r="DY56" s="264">
        <v>0</v>
      </c>
      <c r="DZ56" s="444">
        <v>0</v>
      </c>
      <c r="EA56" s="444">
        <v>1</v>
      </c>
      <c r="EB56" s="444">
        <v>0</v>
      </c>
      <c r="EC56" s="761" t="str">
        <f>IF(A56=FALSE,"",IF(Detail!CX56="","N/A",YEAR(Detail!F56)&amp;Detail!DA56&amp;Detail!CX56&amp;"-"&amp;Detail!$CX$13))</f>
        <v/>
      </c>
      <c r="ED56" s="445" t="s">
        <v>2236</v>
      </c>
      <c r="EE56" s="720" t="s">
        <v>2277</v>
      </c>
      <c r="EF56" s="244">
        <v>50000</v>
      </c>
      <c r="EG56" s="247">
        <v>2</v>
      </c>
      <c r="EH56" s="261">
        <v>0</v>
      </c>
      <c r="EI56" s="261" t="s">
        <v>2236</v>
      </c>
      <c r="EJ56" s="264">
        <v>0</v>
      </c>
      <c r="EK56" s="444">
        <v>0</v>
      </c>
      <c r="EL56" s="444">
        <v>1</v>
      </c>
      <c r="EM56" s="444">
        <v>0</v>
      </c>
      <c r="EN56" s="333" t="str">
        <f>IF(A56=FALSE,"",IF(Detail!DF56="","N/A",YEAR(Detail!F56)&amp;Detail!DI56&amp;Detail!DF56&amp;"-"&amp;Detail!$DF$13))</f>
        <v/>
      </c>
      <c r="EO56" s="1012" t="s">
        <v>2236</v>
      </c>
      <c r="EP56" s="1012" t="s">
        <v>2277</v>
      </c>
      <c r="EQ56" s="1013">
        <f t="shared" si="13"/>
        <v>0</v>
      </c>
      <c r="ER56" s="1013" t="s">
        <v>2236</v>
      </c>
      <c r="ES56" s="264">
        <v>0</v>
      </c>
      <c r="ET56" s="1013">
        <v>0</v>
      </c>
      <c r="EU56" s="1013">
        <v>1</v>
      </c>
      <c r="EV56" s="1013">
        <v>0</v>
      </c>
      <c r="EW56" s="333" t="str">
        <f>IF(DJ56=FALSE,"",IF(Detail!ET56="","N/A",YEAR(Detail!DN56)&amp;Detail!EW56&amp;Detail!ET56&amp;"-"&amp;Detail!$AL$13&amp;Detail!EU56))</f>
        <v>N/A</v>
      </c>
      <c r="EX56" s="1012" t="s">
        <v>2236</v>
      </c>
      <c r="EY56" s="1012" t="s">
        <v>2277</v>
      </c>
      <c r="EZ56" s="1013">
        <f t="shared" si="14"/>
        <v>0</v>
      </c>
      <c r="FA56" s="1013" t="s">
        <v>2236</v>
      </c>
      <c r="FB56" s="264">
        <v>0</v>
      </c>
      <c r="FC56" s="1013">
        <v>0</v>
      </c>
      <c r="FD56" s="1013">
        <v>1</v>
      </c>
      <c r="FE56" s="1013">
        <v>0</v>
      </c>
    </row>
    <row r="57" spans="1:161" s="422" customFormat="1" ht="30" customHeight="1" outlineLevel="1">
      <c r="A57" s="439" t="b">
        <f>Calcul!A57</f>
        <v>0</v>
      </c>
      <c r="B57" s="510" t="str">
        <f t="shared" si="15"/>
        <v/>
      </c>
      <c r="C57" s="1404" t="b">
        <v>0</v>
      </c>
      <c r="D57" s="1404" t="s">
        <v>2147</v>
      </c>
      <c r="E57" s="1405" t="s">
        <v>2335</v>
      </c>
      <c r="F57" s="243" t="s">
        <v>2146</v>
      </c>
      <c r="G57" s="356" t="str">
        <f>IF(A57=FALSE,"",IF(NAMES!$D$10=FALSE,IF(Detail!H57="","",Detail!H57),IF(Crewlist!D57="","",Crewlist!D57)))</f>
        <v/>
      </c>
      <c r="H57" s="356" t="str">
        <f>IF(A57=FALSE,"",IF(NAMES!$D$10=FALSE,IF(Detail!P57="","",Detail!P57),IF(Crewlist!E57="","",Crewlist!E57)))</f>
        <v/>
      </c>
      <c r="I57" s="356" t="str">
        <f>IF(A57=FALSE,"",IF(NAMES!$D$10=FALSE,IF(Detail!K57="","",Detail!K57),IF(Crewlist!F57="","",Crewlist!F57)))</f>
        <v/>
      </c>
      <c r="J57" s="1001" t="str">
        <f>IF(Crewlist!T57="","",Crewlist!T57)</f>
        <v/>
      </c>
      <c r="K57" s="1001" t="str">
        <f>IF(Crewlist!D57="","",IF(Crewlist!U57="",Crewlist!Y57,IF(DATERENOUVMOINS730&lt;&gt;Crewlist!U57&lt;&gt;Crewlist!Y57,Crewlist!U57,DATERENOUVMOINS365)))</f>
        <v/>
      </c>
      <c r="L57" s="775" t="str">
        <f>IF(Detail!X57="","",Detail!X57)</f>
        <v/>
      </c>
      <c r="M57" s="775" t="str">
        <f>IF(Detail!H57="","",IF(Detail!Y57="",DATERENOUV,IF(Detail!Y57&gt;Detail!D57,Detail!D57,Detail!Y57)))</f>
        <v/>
      </c>
      <c r="N57" s="1015" t="str">
        <f>IF(A57=FALSE,"",IF(NAMES!$D$10=FALSE,IF(B57=B58,IF(O57=O58,0,(DATEDIF(L57,M57,"M")+1)),(DATEDIF(L57,M57,"M")+1)),IF(B57=B58,IF(O57=O58,0,(DATEDIF(J57,K57,"M")+1)),(DATEDIF(J57,K57,"M")+1))))</f>
        <v/>
      </c>
      <c r="O57" s="357" t="str">
        <f t="shared" si="5"/>
        <v/>
      </c>
      <c r="P57" s="358" t="str">
        <f>IF(A57=FALSE,"",IF(NAMES!$D$10=FALSE,IF((DATEDIF(L57,M57,"D")+1)&lt;365,(DATEDIF(L57,M57,"D")+1),365),IF((DATEDIF(J57,K57,"D")+1)&lt;365,(DATEDIF(J57,K57,"D")+1),365)))</f>
        <v/>
      </c>
      <c r="Q57" s="358" t="str">
        <f>IF(A57=FALSE,"",IF(NAMES!$D$10=FALSE,IF(M57="",365,DATEDIF(L57,M57,"D")+1),IF(M57="",365,DATEDIF(J57,K57,"D")+1)))</f>
        <v/>
      </c>
      <c r="R57" s="950" t="str">
        <f>Calcul!X57</f>
        <v/>
      </c>
      <c r="S57" s="950" t="str">
        <f>Calcul!Y57</f>
        <v/>
      </c>
      <c r="T57" s="993" t="str">
        <f>Calcul!AG57</f>
        <v/>
      </c>
      <c r="U57" s="368" t="str">
        <f>IF(A57=FALSE,"",IF(NAMES!$D$10=FALSE,IF(Detail!S57="","",Detail!S57),IF(Crewlist!V57="","",Crewlist!V57)))</f>
        <v/>
      </c>
      <c r="V57" s="245" t="str">
        <f>Calcul!AI57</f>
        <v/>
      </c>
      <c r="W57" s="245" t="str">
        <f>Calcul!AL57</f>
        <v/>
      </c>
      <c r="X57" s="245" t="str">
        <f>Calcul!AM57</f>
        <v/>
      </c>
      <c r="Y57" s="353" t="str">
        <f>Calcul!AN57</f>
        <v/>
      </c>
      <c r="Z57" s="245" t="str">
        <f>Calcul!AO57</f>
        <v/>
      </c>
      <c r="AA57" s="245" t="str">
        <f>Calcul!AP57</f>
        <v/>
      </c>
      <c r="AB57" s="353" t="str">
        <f>Calcul!AQ57</f>
        <v/>
      </c>
      <c r="AC57" s="353" t="str">
        <f>IF(C57=FALSE,"",Calcul!BE57+Calcul!BF57)</f>
        <v/>
      </c>
      <c r="AD57" s="353" t="str">
        <f>IF(C57=FALSE,"",(Calcul!BG57+Calcul!BH57)+SUM(Calcul!BI57:BN57))</f>
        <v/>
      </c>
      <c r="AE57" s="353" t="str">
        <f>Calcul!BP57</f>
        <v/>
      </c>
      <c r="AF57" s="332" t="str">
        <f>IF(A57=FALSE,"",YEAR(Detail!F57)&amp;Detail!AG57&amp;Detail!AD57&amp;"-"&amp;Detail!$AD$13&amp;Detail!AE57)</f>
        <v/>
      </c>
      <c r="AG57" s="1406" t="s">
        <v>2236</v>
      </c>
      <c r="AH57" s="701" t="s">
        <v>2277</v>
      </c>
      <c r="AI57" s="1407">
        <v>0</v>
      </c>
      <c r="AJ57" s="1407" t="s">
        <v>2236</v>
      </c>
      <c r="AK57" s="1410">
        <v>32</v>
      </c>
      <c r="AL57" s="508">
        <v>0</v>
      </c>
      <c r="AM57" s="261">
        <v>1</v>
      </c>
      <c r="AN57" s="261">
        <v>0</v>
      </c>
      <c r="AO57" s="333" t="str">
        <f>IF(A57=FALSE,"",IF(Detail!AL57="","N/A",YEAR(Detail!F57)&amp;Detail!AO57&amp;Detail!AL57&amp;"-"&amp;Detail!$AL$13&amp;Detail!AM57))</f>
        <v/>
      </c>
      <c r="AP57" s="1406" t="s">
        <v>2236</v>
      </c>
      <c r="AQ57" s="701" t="s">
        <v>2277</v>
      </c>
      <c r="AR57" s="1407">
        <f t="shared" si="7"/>
        <v>0</v>
      </c>
      <c r="AS57" s="261" t="s">
        <v>2236</v>
      </c>
      <c r="AT57" s="264">
        <v>0</v>
      </c>
      <c r="AU57" s="261">
        <v>0</v>
      </c>
      <c r="AV57" s="261">
        <v>1</v>
      </c>
      <c r="AW57" s="261">
        <v>0</v>
      </c>
      <c r="AX57" s="920" t="str">
        <f>IF(A57=FALSE,"",IF(Detail!AT57="","N/A",YEAR(Detail!F57)&amp;Detail!AW57&amp;Detail!AT57&amp;"-"&amp;Detail!$AT$13))</f>
        <v/>
      </c>
      <c r="AY57" s="1408" t="s">
        <v>2236</v>
      </c>
      <c r="AZ57" s="308" t="s">
        <v>2278</v>
      </c>
      <c r="BA57" s="440" t="str">
        <f>IF(A57=FALSE,"",51000+(Detail!AA57*7000))</f>
        <v/>
      </c>
      <c r="BB57" s="1412">
        <v>50000</v>
      </c>
      <c r="BC57" s="247">
        <v>3</v>
      </c>
      <c r="BD57" s="261">
        <v>0</v>
      </c>
      <c r="BE57" s="1325" t="s">
        <v>2236</v>
      </c>
      <c r="BF57" s="264">
        <v>0</v>
      </c>
      <c r="BG57" s="508">
        <v>0</v>
      </c>
      <c r="BH57" s="261">
        <v>1</v>
      </c>
      <c r="BI57" s="261">
        <v>0</v>
      </c>
      <c r="BJ57" s="311" t="str">
        <f>IF(A57=FALSE,"",IF(Detail!BB57="","N/A",YEAR(Detail!F57)&amp;Detail!BE57&amp;Detail!BB57&amp;"-"&amp;Detail!$BB$13))</f>
        <v/>
      </c>
      <c r="BK57" s="1354" t="s">
        <v>2236</v>
      </c>
      <c r="BL57" s="527" t="s">
        <v>2278</v>
      </c>
      <c r="BM57" s="440" t="str">
        <f>IF(A57=FALSE,"",51000+(Detail!AA57*7000))</f>
        <v/>
      </c>
      <c r="BN57" s="1412">
        <v>50000</v>
      </c>
      <c r="BO57" s="247">
        <v>3</v>
      </c>
      <c r="BP57" s="261">
        <v>0</v>
      </c>
      <c r="BQ57" s="261" t="s">
        <v>2236</v>
      </c>
      <c r="BR57" s="264">
        <v>0</v>
      </c>
      <c r="BS57" s="508">
        <v>0</v>
      </c>
      <c r="BT57" s="261">
        <v>1</v>
      </c>
      <c r="BU57" s="261">
        <v>0</v>
      </c>
      <c r="BV57" s="311" t="str">
        <f>IF(A57=FALSE,"",IF(Detail!BJ57="","N/A",YEAR(Detail!F57)&amp;Detail!BM57&amp;Detail!BJ57&amp;"-"&amp;Detail!$BJ$13))</f>
        <v/>
      </c>
      <c r="BW57" s="1409" t="s">
        <v>2236</v>
      </c>
      <c r="BX57" s="527" t="s">
        <v>2278</v>
      </c>
      <c r="BY57" s="440" t="str">
        <f t="shared" si="8"/>
        <v/>
      </c>
      <c r="BZ57" s="1412">
        <v>50000</v>
      </c>
      <c r="CA57" s="247">
        <v>3</v>
      </c>
      <c r="CB57" s="261">
        <v>0</v>
      </c>
      <c r="CC57" s="261" t="s">
        <v>2236</v>
      </c>
      <c r="CD57" s="264">
        <v>0</v>
      </c>
      <c r="CE57" s="508">
        <v>0</v>
      </c>
      <c r="CF57" s="261">
        <v>1</v>
      </c>
      <c r="CG57" s="261">
        <v>0</v>
      </c>
      <c r="CH57" s="311" t="str">
        <f>IF(A57=FALSE,"",IF(Detail!BR57="","N/A",YEAR(Detail!F57)&amp;Detail!BU57&amp;Detail!BR57&amp;"-"&amp;Detail!$BR$13))</f>
        <v/>
      </c>
      <c r="CI57" s="1327" t="s">
        <v>2236</v>
      </c>
      <c r="CJ57" s="527" t="s">
        <v>2278</v>
      </c>
      <c r="CK57" s="440" t="str">
        <f t="shared" si="9"/>
        <v/>
      </c>
      <c r="CL57" s="1412">
        <v>50000</v>
      </c>
      <c r="CM57" s="247">
        <v>3</v>
      </c>
      <c r="CN57" s="261">
        <v>0</v>
      </c>
      <c r="CO57" s="261" t="s">
        <v>2236</v>
      </c>
      <c r="CP57" s="264">
        <v>0</v>
      </c>
      <c r="CQ57" s="508">
        <v>0</v>
      </c>
      <c r="CR57" s="261">
        <v>1</v>
      </c>
      <c r="CS57" s="261">
        <v>0</v>
      </c>
      <c r="CT57" s="311" t="str">
        <f>IF(A57=FALSE,"",IF(Detail!BZ57="","N/A",YEAR(Detail!F57)&amp;Detail!CC57&amp;Detail!BZ57&amp;"-"&amp;Detail!$BZ$13&amp;" (100%/"&amp;Detail!CD57&amp;"/"&amp;Detail!CE57&amp;"D)"))</f>
        <v/>
      </c>
      <c r="CU57" s="1327" t="s">
        <v>2236</v>
      </c>
      <c r="CV57" s="527" t="s">
        <v>2278</v>
      </c>
      <c r="CW57" s="241">
        <v>7</v>
      </c>
      <c r="CX57" s="1323">
        <v>365</v>
      </c>
      <c r="CY57" s="248">
        <v>1</v>
      </c>
      <c r="CZ57" s="261">
        <v>0</v>
      </c>
      <c r="DA57" s="1325" t="s">
        <v>2236</v>
      </c>
      <c r="DB57" s="538">
        <v>40</v>
      </c>
      <c r="DC57" s="1325">
        <v>0.1</v>
      </c>
      <c r="DD57" s="261">
        <v>1</v>
      </c>
      <c r="DE57" s="261">
        <v>0</v>
      </c>
      <c r="DF57" s="313" t="str">
        <f>IF(A57=FALSE,"",IF(Detail!CH57="","N/A",YEAR(Detail!F57)&amp;Detail!CK57&amp;Detail!CH57&amp;"-"&amp;Detail!$CH$13&amp;" (100%/"&amp;Detail!CL57&amp;"/"&amp;Detail!CM57&amp;"D)"))</f>
        <v/>
      </c>
      <c r="DG57" s="1406" t="s">
        <v>2236</v>
      </c>
      <c r="DH57" s="518" t="s">
        <v>2278</v>
      </c>
      <c r="DI57" s="241">
        <f t="shared" si="10"/>
        <v>7</v>
      </c>
      <c r="DJ57" s="243">
        <f t="shared" si="11"/>
        <v>365</v>
      </c>
      <c r="DK57" s="258">
        <v>1</v>
      </c>
      <c r="DL57" s="261">
        <v>0</v>
      </c>
      <c r="DM57" s="1325" t="s">
        <v>2236</v>
      </c>
      <c r="DN57" s="538">
        <v>40</v>
      </c>
      <c r="DO57" s="1325">
        <f t="shared" si="12"/>
        <v>0.1</v>
      </c>
      <c r="DP57" s="261">
        <v>1</v>
      </c>
      <c r="DQ57" s="261">
        <v>0</v>
      </c>
      <c r="DR57" s="920" t="str">
        <f>IF(A57=FALSE,"",IF(Detail!CP57="","N/A",YEAR(Detail!F57)&amp;Detail!CS57&amp;Detail!CP57&amp;"-"&amp;Detail!$CP$13))</f>
        <v/>
      </c>
      <c r="DS57" s="308" t="s">
        <v>2236</v>
      </c>
      <c r="DT57" s="720" t="s">
        <v>2277</v>
      </c>
      <c r="DU57" s="244">
        <v>50000</v>
      </c>
      <c r="DV57" s="247">
        <v>2</v>
      </c>
      <c r="DW57" s="261">
        <v>0</v>
      </c>
      <c r="DX57" s="261" t="s">
        <v>2236</v>
      </c>
      <c r="DY57" s="264">
        <v>0</v>
      </c>
      <c r="DZ57" s="444">
        <v>0</v>
      </c>
      <c r="EA57" s="444">
        <v>1</v>
      </c>
      <c r="EB57" s="444">
        <v>0</v>
      </c>
      <c r="EC57" s="761" t="str">
        <f>IF(A57=FALSE,"",IF(Detail!CX57="","N/A",YEAR(Detail!F57)&amp;Detail!DA57&amp;Detail!CX57&amp;"-"&amp;Detail!$CX$13))</f>
        <v/>
      </c>
      <c r="ED57" s="445" t="s">
        <v>2236</v>
      </c>
      <c r="EE57" s="720" t="s">
        <v>2277</v>
      </c>
      <c r="EF57" s="244">
        <v>50000</v>
      </c>
      <c r="EG57" s="247">
        <v>2</v>
      </c>
      <c r="EH57" s="261">
        <v>0</v>
      </c>
      <c r="EI57" s="261" t="s">
        <v>2236</v>
      </c>
      <c r="EJ57" s="264">
        <v>0</v>
      </c>
      <c r="EK57" s="444">
        <v>0</v>
      </c>
      <c r="EL57" s="444">
        <v>1</v>
      </c>
      <c r="EM57" s="444">
        <v>0</v>
      </c>
      <c r="EN57" s="333" t="str">
        <f>IF(A57=FALSE,"",IF(Detail!DF57="","N/A",YEAR(Detail!F57)&amp;Detail!DI57&amp;Detail!DF57&amp;"-"&amp;Detail!$DF$13))</f>
        <v/>
      </c>
      <c r="EO57" s="1012" t="s">
        <v>2236</v>
      </c>
      <c r="EP57" s="1012" t="s">
        <v>2277</v>
      </c>
      <c r="EQ57" s="1013">
        <f t="shared" si="13"/>
        <v>0</v>
      </c>
      <c r="ER57" s="1013" t="s">
        <v>2236</v>
      </c>
      <c r="ES57" s="264">
        <v>0</v>
      </c>
      <c r="ET57" s="1013">
        <v>0</v>
      </c>
      <c r="EU57" s="1013">
        <v>1</v>
      </c>
      <c r="EV57" s="1013">
        <v>0</v>
      </c>
      <c r="EW57" s="333" t="str">
        <f>IF(DJ57=FALSE,"",IF(Detail!ET57="","N/A",YEAR(Detail!DN57)&amp;Detail!EW57&amp;Detail!ET57&amp;"-"&amp;Detail!$AL$13&amp;Detail!EU57))</f>
        <v>N/A</v>
      </c>
      <c r="EX57" s="1012" t="s">
        <v>2236</v>
      </c>
      <c r="EY57" s="1012" t="s">
        <v>2277</v>
      </c>
      <c r="EZ57" s="1013">
        <f t="shared" si="14"/>
        <v>0</v>
      </c>
      <c r="FA57" s="1013" t="s">
        <v>2236</v>
      </c>
      <c r="FB57" s="264">
        <v>0</v>
      </c>
      <c r="FC57" s="1013">
        <v>0</v>
      </c>
      <c r="FD57" s="1013">
        <v>1</v>
      </c>
      <c r="FE57" s="1013">
        <v>0</v>
      </c>
    </row>
    <row r="58" spans="1:161" s="422" customFormat="1" ht="30" customHeight="1" outlineLevel="1">
      <c r="A58" s="439" t="b">
        <f>Calcul!A58</f>
        <v>0</v>
      </c>
      <c r="B58" s="510" t="str">
        <f t="shared" si="15"/>
        <v/>
      </c>
      <c r="C58" s="1404" t="b">
        <v>0</v>
      </c>
      <c r="D58" s="1404" t="s">
        <v>2147</v>
      </c>
      <c r="E58" s="1405" t="s">
        <v>2335</v>
      </c>
      <c r="F58" s="243" t="s">
        <v>2146</v>
      </c>
      <c r="G58" s="356" t="str">
        <f>IF(A58=FALSE,"",IF(NAMES!$D$10=FALSE,IF(Detail!H58="","",Detail!H58),IF(Crewlist!D58="","",Crewlist!D58)))</f>
        <v/>
      </c>
      <c r="H58" s="356" t="str">
        <f>IF(A58=FALSE,"",IF(NAMES!$D$10=FALSE,IF(Detail!P58="","",Detail!P58),IF(Crewlist!E58="","",Crewlist!E58)))</f>
        <v/>
      </c>
      <c r="I58" s="356" t="str">
        <f>IF(A58=FALSE,"",IF(NAMES!$D$10=FALSE,IF(Detail!K58="","",Detail!K58),IF(Crewlist!F58="","",Crewlist!F58)))</f>
        <v/>
      </c>
      <c r="J58" s="1001" t="str">
        <f>IF(Crewlist!T58="","",Crewlist!T58)</f>
        <v/>
      </c>
      <c r="K58" s="1001" t="str">
        <f>IF(Crewlist!D58="","",IF(Crewlist!U58="",Crewlist!Y58,IF(DATERENOUVMOINS730&lt;&gt;Crewlist!U58&lt;&gt;Crewlist!Y58,Crewlist!U58,DATERENOUVMOINS365)))</f>
        <v/>
      </c>
      <c r="L58" s="775" t="str">
        <f>IF(Detail!X58="","",Detail!X58)</f>
        <v/>
      </c>
      <c r="M58" s="775" t="str">
        <f>IF(Detail!H58="","",IF(Detail!Y58="",DATERENOUV,IF(Detail!Y58&gt;Detail!D58,Detail!D58,Detail!Y58)))</f>
        <v/>
      </c>
      <c r="N58" s="1015" t="str">
        <f>IF(A58=FALSE,"",IF(NAMES!$D$10=FALSE,IF(B58=B59,IF(O58=O59,0,(DATEDIF(L58,M58,"M")+1)),(DATEDIF(L58,M58,"M")+1)),IF(B58=B59,IF(O58=O59,0,(DATEDIF(J58,K58,"M")+1)),(DATEDIF(J58,K58,"M")+1))))</f>
        <v/>
      </c>
      <c r="O58" s="357" t="str">
        <f t="shared" si="5"/>
        <v/>
      </c>
      <c r="P58" s="358" t="str">
        <f>IF(A58=FALSE,"",IF(NAMES!$D$10=FALSE,IF((DATEDIF(L58,M58,"D")+1)&lt;365,(DATEDIF(L58,M58,"D")+1),365),IF((DATEDIF(J58,K58,"D")+1)&lt;365,(DATEDIF(J58,K58,"D")+1),365)))</f>
        <v/>
      </c>
      <c r="Q58" s="358" t="str">
        <f>IF(A58=FALSE,"",IF(NAMES!$D$10=FALSE,IF(M58="",365,DATEDIF(L58,M58,"D")+1),IF(M58="",365,DATEDIF(J58,K58,"D")+1)))</f>
        <v/>
      </c>
      <c r="R58" s="950" t="str">
        <f>Calcul!X58</f>
        <v/>
      </c>
      <c r="S58" s="950" t="str">
        <f>Calcul!Y58</f>
        <v/>
      </c>
      <c r="T58" s="993" t="str">
        <f>Calcul!AG58</f>
        <v/>
      </c>
      <c r="U58" s="368" t="str">
        <f>IF(A58=FALSE,"",IF(NAMES!$D$10=FALSE,IF(Detail!S58="","",Detail!S58),IF(Crewlist!V58="","",Crewlist!V58)))</f>
        <v/>
      </c>
      <c r="V58" s="245" t="str">
        <f>Calcul!AI58</f>
        <v/>
      </c>
      <c r="W58" s="245" t="str">
        <f>Calcul!AL58</f>
        <v/>
      </c>
      <c r="X58" s="245" t="str">
        <f>Calcul!AM58</f>
        <v/>
      </c>
      <c r="Y58" s="353" t="str">
        <f>Calcul!AN58</f>
        <v/>
      </c>
      <c r="Z58" s="245" t="str">
        <f>Calcul!AO58</f>
        <v/>
      </c>
      <c r="AA58" s="245" t="str">
        <f>Calcul!AP58</f>
        <v/>
      </c>
      <c r="AB58" s="353" t="str">
        <f>Calcul!AQ58</f>
        <v/>
      </c>
      <c r="AC58" s="353" t="str">
        <f>IF(C58=FALSE,"",Calcul!BE58+Calcul!BF58)</f>
        <v/>
      </c>
      <c r="AD58" s="353" t="str">
        <f>IF(C58=FALSE,"",(Calcul!BG58+Calcul!BH58)+SUM(Calcul!BI58:BN58))</f>
        <v/>
      </c>
      <c r="AE58" s="353" t="str">
        <f>Calcul!BP58</f>
        <v/>
      </c>
      <c r="AF58" s="332" t="str">
        <f>IF(A58=FALSE,"",YEAR(Detail!F58)&amp;Detail!AG58&amp;Detail!AD58&amp;"-"&amp;Detail!$AD$13&amp;Detail!AE58)</f>
        <v/>
      </c>
      <c r="AG58" s="1406" t="s">
        <v>2236</v>
      </c>
      <c r="AH58" s="701" t="s">
        <v>2277</v>
      </c>
      <c r="AI58" s="1407">
        <v>0</v>
      </c>
      <c r="AJ58" s="1407" t="s">
        <v>2236</v>
      </c>
      <c r="AK58" s="1410">
        <v>32</v>
      </c>
      <c r="AL58" s="508">
        <v>0</v>
      </c>
      <c r="AM58" s="261">
        <v>1</v>
      </c>
      <c r="AN58" s="261">
        <v>0</v>
      </c>
      <c r="AO58" s="333" t="str">
        <f>IF(A58=FALSE,"",IF(Detail!AL58="","N/A",YEAR(Detail!F58)&amp;Detail!AO58&amp;Detail!AL58&amp;"-"&amp;Detail!$AL$13&amp;Detail!AM58))</f>
        <v/>
      </c>
      <c r="AP58" s="1406" t="s">
        <v>2236</v>
      </c>
      <c r="AQ58" s="701" t="s">
        <v>2277</v>
      </c>
      <c r="AR58" s="1407">
        <f t="shared" si="7"/>
        <v>0</v>
      </c>
      <c r="AS58" s="261" t="s">
        <v>2236</v>
      </c>
      <c r="AT58" s="264">
        <v>0</v>
      </c>
      <c r="AU58" s="261">
        <v>0</v>
      </c>
      <c r="AV58" s="261">
        <v>1</v>
      </c>
      <c r="AW58" s="261">
        <v>0</v>
      </c>
      <c r="AX58" s="920" t="str">
        <f>IF(A58=FALSE,"",IF(Detail!AT58="","N/A",YEAR(Detail!F58)&amp;Detail!AW58&amp;Detail!AT58&amp;"-"&amp;Detail!$AT$13))</f>
        <v/>
      </c>
      <c r="AY58" s="1408" t="s">
        <v>2236</v>
      </c>
      <c r="AZ58" s="308" t="s">
        <v>2278</v>
      </c>
      <c r="BA58" s="440" t="str">
        <f>IF(A58=FALSE,"",51000+(Detail!AA58*7000))</f>
        <v/>
      </c>
      <c r="BB58" s="1412">
        <v>50000</v>
      </c>
      <c r="BC58" s="247">
        <v>3</v>
      </c>
      <c r="BD58" s="261">
        <v>0</v>
      </c>
      <c r="BE58" s="1325" t="s">
        <v>2236</v>
      </c>
      <c r="BF58" s="264">
        <v>0</v>
      </c>
      <c r="BG58" s="508">
        <v>0</v>
      </c>
      <c r="BH58" s="261">
        <v>1</v>
      </c>
      <c r="BI58" s="261">
        <v>0</v>
      </c>
      <c r="BJ58" s="311" t="str">
        <f>IF(A58=FALSE,"",IF(Detail!BB58="","N/A",YEAR(Detail!F58)&amp;Detail!BE58&amp;Detail!BB58&amp;"-"&amp;Detail!$BB$13))</f>
        <v/>
      </c>
      <c r="BK58" s="1354" t="s">
        <v>2236</v>
      </c>
      <c r="BL58" s="527" t="s">
        <v>2278</v>
      </c>
      <c r="BM58" s="440" t="str">
        <f>IF(A58=FALSE,"",51000+(Detail!AA58*7000))</f>
        <v/>
      </c>
      <c r="BN58" s="1412">
        <v>50000</v>
      </c>
      <c r="BO58" s="247">
        <v>3</v>
      </c>
      <c r="BP58" s="261">
        <v>0</v>
      </c>
      <c r="BQ58" s="261" t="s">
        <v>2236</v>
      </c>
      <c r="BR58" s="264">
        <v>0</v>
      </c>
      <c r="BS58" s="508">
        <v>0</v>
      </c>
      <c r="BT58" s="261">
        <v>1</v>
      </c>
      <c r="BU58" s="261">
        <v>0</v>
      </c>
      <c r="BV58" s="311" t="str">
        <f>IF(A58=FALSE,"",IF(Detail!BJ58="","N/A",YEAR(Detail!F58)&amp;Detail!BM58&amp;Detail!BJ58&amp;"-"&amp;Detail!$BJ$13))</f>
        <v/>
      </c>
      <c r="BW58" s="1409" t="s">
        <v>2236</v>
      </c>
      <c r="BX58" s="527" t="s">
        <v>2278</v>
      </c>
      <c r="BY58" s="440" t="str">
        <f t="shared" si="8"/>
        <v/>
      </c>
      <c r="BZ58" s="1412">
        <v>50000</v>
      </c>
      <c r="CA58" s="247">
        <v>3</v>
      </c>
      <c r="CB58" s="261">
        <v>0</v>
      </c>
      <c r="CC58" s="261" t="s">
        <v>2236</v>
      </c>
      <c r="CD58" s="264">
        <v>0</v>
      </c>
      <c r="CE58" s="508">
        <v>0</v>
      </c>
      <c r="CF58" s="261">
        <v>1</v>
      </c>
      <c r="CG58" s="261">
        <v>0</v>
      </c>
      <c r="CH58" s="311" t="str">
        <f>IF(A58=FALSE,"",IF(Detail!BR58="","N/A",YEAR(Detail!F58)&amp;Detail!BU58&amp;Detail!BR58&amp;"-"&amp;Detail!$BR$13))</f>
        <v/>
      </c>
      <c r="CI58" s="1327" t="s">
        <v>2236</v>
      </c>
      <c r="CJ58" s="527" t="s">
        <v>2278</v>
      </c>
      <c r="CK58" s="440" t="str">
        <f t="shared" si="9"/>
        <v/>
      </c>
      <c r="CL58" s="1412">
        <v>50000</v>
      </c>
      <c r="CM58" s="247">
        <v>3</v>
      </c>
      <c r="CN58" s="261">
        <v>0</v>
      </c>
      <c r="CO58" s="261" t="s">
        <v>2236</v>
      </c>
      <c r="CP58" s="264">
        <v>0</v>
      </c>
      <c r="CQ58" s="508">
        <v>0</v>
      </c>
      <c r="CR58" s="261">
        <v>1</v>
      </c>
      <c r="CS58" s="261">
        <v>0</v>
      </c>
      <c r="CT58" s="311" t="str">
        <f>IF(A58=FALSE,"",IF(Detail!BZ58="","N/A",YEAR(Detail!F58)&amp;Detail!CC58&amp;Detail!BZ58&amp;"-"&amp;Detail!$BZ$13&amp;" (100%/"&amp;Detail!CD58&amp;"/"&amp;Detail!CE58&amp;"D)"))</f>
        <v/>
      </c>
      <c r="CU58" s="1327" t="s">
        <v>2236</v>
      </c>
      <c r="CV58" s="527" t="s">
        <v>2278</v>
      </c>
      <c r="CW58" s="241">
        <v>7</v>
      </c>
      <c r="CX58" s="1323">
        <v>365</v>
      </c>
      <c r="CY58" s="248">
        <v>1</v>
      </c>
      <c r="CZ58" s="261">
        <v>0</v>
      </c>
      <c r="DA58" s="1325" t="s">
        <v>2236</v>
      </c>
      <c r="DB58" s="538">
        <v>40</v>
      </c>
      <c r="DC58" s="1325">
        <v>0.1</v>
      </c>
      <c r="DD58" s="261">
        <v>1</v>
      </c>
      <c r="DE58" s="261">
        <v>0</v>
      </c>
      <c r="DF58" s="313" t="str">
        <f>IF(A58=FALSE,"",IF(Detail!CH58="","N/A",YEAR(Detail!F58)&amp;Detail!CK58&amp;Detail!CH58&amp;"-"&amp;Detail!$CH$13&amp;" (100%/"&amp;Detail!CL58&amp;"/"&amp;Detail!CM58&amp;"D)"))</f>
        <v/>
      </c>
      <c r="DG58" s="1406" t="s">
        <v>2236</v>
      </c>
      <c r="DH58" s="518" t="s">
        <v>2278</v>
      </c>
      <c r="DI58" s="241">
        <f t="shared" si="10"/>
        <v>7</v>
      </c>
      <c r="DJ58" s="243">
        <f t="shared" si="11"/>
        <v>365</v>
      </c>
      <c r="DK58" s="258">
        <v>1</v>
      </c>
      <c r="DL58" s="261">
        <v>0</v>
      </c>
      <c r="DM58" s="1325" t="s">
        <v>2236</v>
      </c>
      <c r="DN58" s="538">
        <v>40</v>
      </c>
      <c r="DO58" s="1325">
        <f t="shared" si="12"/>
        <v>0.1</v>
      </c>
      <c r="DP58" s="261">
        <v>1</v>
      </c>
      <c r="DQ58" s="261">
        <v>0</v>
      </c>
      <c r="DR58" s="920" t="str">
        <f>IF(A58=FALSE,"",IF(Detail!CP58="","N/A",YEAR(Detail!F58)&amp;Detail!CS58&amp;Detail!CP58&amp;"-"&amp;Detail!$CP$13))</f>
        <v/>
      </c>
      <c r="DS58" s="308" t="s">
        <v>2236</v>
      </c>
      <c r="DT58" s="720" t="s">
        <v>2277</v>
      </c>
      <c r="DU58" s="244">
        <v>50000</v>
      </c>
      <c r="DV58" s="247">
        <v>2</v>
      </c>
      <c r="DW58" s="261">
        <v>0</v>
      </c>
      <c r="DX58" s="261" t="s">
        <v>2236</v>
      </c>
      <c r="DY58" s="264">
        <v>0</v>
      </c>
      <c r="DZ58" s="444">
        <v>0</v>
      </c>
      <c r="EA58" s="444">
        <v>1</v>
      </c>
      <c r="EB58" s="444">
        <v>0</v>
      </c>
      <c r="EC58" s="761" t="str">
        <f>IF(A58=FALSE,"",IF(Detail!CX58="","N/A",YEAR(Detail!F58)&amp;Detail!DA58&amp;Detail!CX58&amp;"-"&amp;Detail!$CX$13))</f>
        <v/>
      </c>
      <c r="ED58" s="445" t="s">
        <v>2236</v>
      </c>
      <c r="EE58" s="720" t="s">
        <v>2277</v>
      </c>
      <c r="EF58" s="244">
        <v>50000</v>
      </c>
      <c r="EG58" s="247">
        <v>2</v>
      </c>
      <c r="EH58" s="261">
        <v>0</v>
      </c>
      <c r="EI58" s="261" t="s">
        <v>2236</v>
      </c>
      <c r="EJ58" s="264">
        <v>0</v>
      </c>
      <c r="EK58" s="444">
        <v>0</v>
      </c>
      <c r="EL58" s="444">
        <v>1</v>
      </c>
      <c r="EM58" s="444">
        <v>0</v>
      </c>
      <c r="EN58" s="333" t="str">
        <f>IF(A58=FALSE,"",IF(Detail!DF58="","N/A",YEAR(Detail!F58)&amp;Detail!DI58&amp;Detail!DF58&amp;"-"&amp;Detail!$DF$13))</f>
        <v/>
      </c>
      <c r="EO58" s="1012" t="s">
        <v>2236</v>
      </c>
      <c r="EP58" s="1012" t="s">
        <v>2277</v>
      </c>
      <c r="EQ58" s="1013">
        <f t="shared" si="13"/>
        <v>0</v>
      </c>
      <c r="ER58" s="1013" t="s">
        <v>2236</v>
      </c>
      <c r="ES58" s="264">
        <v>0</v>
      </c>
      <c r="ET58" s="1013">
        <v>0</v>
      </c>
      <c r="EU58" s="1013">
        <v>1</v>
      </c>
      <c r="EV58" s="1013">
        <v>0</v>
      </c>
      <c r="EW58" s="333" t="str">
        <f>IF(DJ58=FALSE,"",IF(Detail!ET58="","N/A",YEAR(Detail!DN58)&amp;Detail!EW58&amp;Detail!ET58&amp;"-"&amp;Detail!$AL$13&amp;Detail!EU58))</f>
        <v>N/A</v>
      </c>
      <c r="EX58" s="1012" t="s">
        <v>2236</v>
      </c>
      <c r="EY58" s="1012" t="s">
        <v>2277</v>
      </c>
      <c r="EZ58" s="1013">
        <f t="shared" si="14"/>
        <v>0</v>
      </c>
      <c r="FA58" s="1013" t="s">
        <v>2236</v>
      </c>
      <c r="FB58" s="264">
        <v>0</v>
      </c>
      <c r="FC58" s="1013">
        <v>0</v>
      </c>
      <c r="FD58" s="1013">
        <v>1</v>
      </c>
      <c r="FE58" s="1013">
        <v>0</v>
      </c>
    </row>
    <row r="59" spans="1:161" s="422" customFormat="1" ht="30" customHeight="1" outlineLevel="1">
      <c r="A59" s="439" t="b">
        <f>Calcul!A59</f>
        <v>0</v>
      </c>
      <c r="B59" s="510" t="str">
        <f t="shared" si="15"/>
        <v/>
      </c>
      <c r="C59" s="1404" t="b">
        <v>0</v>
      </c>
      <c r="D59" s="1404" t="s">
        <v>2147</v>
      </c>
      <c r="E59" s="1405" t="s">
        <v>2335</v>
      </c>
      <c r="F59" s="243" t="s">
        <v>2146</v>
      </c>
      <c r="G59" s="356" t="str">
        <f>IF(A59=FALSE,"",IF(NAMES!$D$10=FALSE,IF(Detail!H59="","",Detail!H59),IF(Crewlist!D59="","",Crewlist!D59)))</f>
        <v/>
      </c>
      <c r="H59" s="356" t="str">
        <f>IF(A59=FALSE,"",IF(NAMES!$D$10=FALSE,IF(Detail!P59="","",Detail!P59),IF(Crewlist!E59="","",Crewlist!E59)))</f>
        <v/>
      </c>
      <c r="I59" s="356" t="str">
        <f>IF(A59=FALSE,"",IF(NAMES!$D$10=FALSE,IF(Detail!K59="","",Detail!K59),IF(Crewlist!F59="","",Crewlist!F59)))</f>
        <v/>
      </c>
      <c r="J59" s="1001" t="str">
        <f>IF(Crewlist!T59="","",Crewlist!T59)</f>
        <v/>
      </c>
      <c r="K59" s="1001" t="str">
        <f>IF(Crewlist!D59="","",IF(Crewlist!U59="",Crewlist!Y59,IF(DATERENOUVMOINS730&lt;&gt;Crewlist!U59&lt;&gt;Crewlist!Y59,Crewlist!U59,DATERENOUVMOINS365)))</f>
        <v/>
      </c>
      <c r="L59" s="775" t="str">
        <f>IF(Detail!X59="","",Detail!X59)</f>
        <v/>
      </c>
      <c r="M59" s="775" t="str">
        <f>IF(Detail!H59="","",IF(Detail!Y59="",DATERENOUV,IF(Detail!Y59&gt;Detail!D59,Detail!D59,Detail!Y59)))</f>
        <v/>
      </c>
      <c r="N59" s="1015" t="str">
        <f>IF(A59=FALSE,"",IF(NAMES!$D$10=FALSE,IF(B59=B60,IF(O59=O60,0,(DATEDIF(L59,M59,"M")+1)),(DATEDIF(L59,M59,"M")+1)),IF(B59=B60,IF(O59=O60,0,(DATEDIF(J59,K59,"M")+1)),(DATEDIF(J59,K59,"M")+1))))</f>
        <v/>
      </c>
      <c r="O59" s="357" t="str">
        <f t="shared" si="5"/>
        <v/>
      </c>
      <c r="P59" s="358" t="str">
        <f>IF(A59=FALSE,"",IF(NAMES!$D$10=FALSE,IF((DATEDIF(L59,M59,"D")+1)&lt;365,(DATEDIF(L59,M59,"D")+1),365),IF((DATEDIF(J59,K59,"D")+1)&lt;365,(DATEDIF(J59,K59,"D")+1),365)))</f>
        <v/>
      </c>
      <c r="Q59" s="358" t="str">
        <f>IF(A59=FALSE,"",IF(NAMES!$D$10=FALSE,IF(M59="",365,DATEDIF(L59,M59,"D")+1),IF(M59="",365,DATEDIF(J59,K59,"D")+1)))</f>
        <v/>
      </c>
      <c r="R59" s="950" t="str">
        <f>Calcul!X59</f>
        <v/>
      </c>
      <c r="S59" s="950" t="str">
        <f>Calcul!Y59</f>
        <v/>
      </c>
      <c r="T59" s="993" t="str">
        <f>Calcul!AG59</f>
        <v/>
      </c>
      <c r="U59" s="368" t="str">
        <f>IF(A59=FALSE,"",IF(NAMES!$D$10=FALSE,IF(Detail!S59="","",Detail!S59),IF(Crewlist!V59="","",Crewlist!V59)))</f>
        <v/>
      </c>
      <c r="V59" s="245" t="str">
        <f>Calcul!AI59</f>
        <v/>
      </c>
      <c r="W59" s="245" t="str">
        <f>Calcul!AL59</f>
        <v/>
      </c>
      <c r="X59" s="245" t="str">
        <f>Calcul!AM59</f>
        <v/>
      </c>
      <c r="Y59" s="353" t="str">
        <f>Calcul!AN59</f>
        <v/>
      </c>
      <c r="Z59" s="245" t="str">
        <f>Calcul!AO59</f>
        <v/>
      </c>
      <c r="AA59" s="245" t="str">
        <f>Calcul!AP59</f>
        <v/>
      </c>
      <c r="AB59" s="353" t="str">
        <f>Calcul!AQ59</f>
        <v/>
      </c>
      <c r="AC59" s="353" t="str">
        <f>IF(C59=FALSE,"",Calcul!BE59+Calcul!BF59)</f>
        <v/>
      </c>
      <c r="AD59" s="353" t="str">
        <f>IF(C59=FALSE,"",(Calcul!BG59+Calcul!BH59)+SUM(Calcul!BI59:BN59))</f>
        <v/>
      </c>
      <c r="AE59" s="353" t="str">
        <f>Calcul!BP59</f>
        <v/>
      </c>
      <c r="AF59" s="332" t="str">
        <f>IF(A59=FALSE,"",YEAR(Detail!F59)&amp;Detail!AG59&amp;Detail!AD59&amp;"-"&amp;Detail!$AD$13&amp;Detail!AE59)</f>
        <v/>
      </c>
      <c r="AG59" s="1406" t="s">
        <v>2236</v>
      </c>
      <c r="AH59" s="701" t="s">
        <v>2277</v>
      </c>
      <c r="AI59" s="1407">
        <v>0</v>
      </c>
      <c r="AJ59" s="1407" t="s">
        <v>2236</v>
      </c>
      <c r="AK59" s="1410">
        <v>32</v>
      </c>
      <c r="AL59" s="508">
        <v>0</v>
      </c>
      <c r="AM59" s="261">
        <v>1</v>
      </c>
      <c r="AN59" s="261">
        <v>0</v>
      </c>
      <c r="AO59" s="333" t="str">
        <f>IF(A59=FALSE,"",IF(Detail!AL59="","N/A",YEAR(Detail!F59)&amp;Detail!AO59&amp;Detail!AL59&amp;"-"&amp;Detail!$AL$13&amp;Detail!AM59))</f>
        <v/>
      </c>
      <c r="AP59" s="1406" t="s">
        <v>2236</v>
      </c>
      <c r="AQ59" s="701" t="s">
        <v>2277</v>
      </c>
      <c r="AR59" s="1407">
        <f t="shared" si="7"/>
        <v>0</v>
      </c>
      <c r="AS59" s="261" t="s">
        <v>2236</v>
      </c>
      <c r="AT59" s="264">
        <v>0</v>
      </c>
      <c r="AU59" s="261">
        <v>0</v>
      </c>
      <c r="AV59" s="261">
        <v>1</v>
      </c>
      <c r="AW59" s="261">
        <v>0</v>
      </c>
      <c r="AX59" s="920" t="str">
        <f>IF(A59=FALSE,"",IF(Detail!AT59="","N/A",YEAR(Detail!F59)&amp;Detail!AW59&amp;Detail!AT59&amp;"-"&amp;Detail!$AT$13))</f>
        <v/>
      </c>
      <c r="AY59" s="1408" t="s">
        <v>2236</v>
      </c>
      <c r="AZ59" s="308" t="s">
        <v>2278</v>
      </c>
      <c r="BA59" s="440" t="str">
        <f>IF(A59=FALSE,"",51000+(Detail!AA59*7000))</f>
        <v/>
      </c>
      <c r="BB59" s="1412">
        <v>50000</v>
      </c>
      <c r="BC59" s="247">
        <v>3</v>
      </c>
      <c r="BD59" s="261">
        <v>0</v>
      </c>
      <c r="BE59" s="1325" t="s">
        <v>2236</v>
      </c>
      <c r="BF59" s="264">
        <v>0</v>
      </c>
      <c r="BG59" s="508">
        <v>0</v>
      </c>
      <c r="BH59" s="261">
        <v>1</v>
      </c>
      <c r="BI59" s="261">
        <v>0</v>
      </c>
      <c r="BJ59" s="311" t="str">
        <f>IF(A59=FALSE,"",IF(Detail!BB59="","N/A",YEAR(Detail!F59)&amp;Detail!BE59&amp;Detail!BB59&amp;"-"&amp;Detail!$BB$13))</f>
        <v/>
      </c>
      <c r="BK59" s="1354" t="s">
        <v>2236</v>
      </c>
      <c r="BL59" s="527" t="s">
        <v>2278</v>
      </c>
      <c r="BM59" s="440" t="str">
        <f>IF(A59=FALSE,"",51000+(Detail!AA59*7000))</f>
        <v/>
      </c>
      <c r="BN59" s="1412">
        <v>50000</v>
      </c>
      <c r="BO59" s="247">
        <v>3</v>
      </c>
      <c r="BP59" s="261">
        <v>0</v>
      </c>
      <c r="BQ59" s="261" t="s">
        <v>2236</v>
      </c>
      <c r="BR59" s="264">
        <v>0</v>
      </c>
      <c r="BS59" s="508">
        <v>0</v>
      </c>
      <c r="BT59" s="261">
        <v>1</v>
      </c>
      <c r="BU59" s="261">
        <v>0</v>
      </c>
      <c r="BV59" s="311" t="str">
        <f>IF(A59=FALSE,"",IF(Detail!BJ59="","N/A",YEAR(Detail!F59)&amp;Detail!BM59&amp;Detail!BJ59&amp;"-"&amp;Detail!$BJ$13))</f>
        <v/>
      </c>
      <c r="BW59" s="1409" t="s">
        <v>2236</v>
      </c>
      <c r="BX59" s="527" t="s">
        <v>2278</v>
      </c>
      <c r="BY59" s="440" t="str">
        <f t="shared" si="8"/>
        <v/>
      </c>
      <c r="BZ59" s="1412">
        <v>50000</v>
      </c>
      <c r="CA59" s="247">
        <v>3</v>
      </c>
      <c r="CB59" s="261">
        <v>0</v>
      </c>
      <c r="CC59" s="261" t="s">
        <v>2236</v>
      </c>
      <c r="CD59" s="264">
        <v>0</v>
      </c>
      <c r="CE59" s="508">
        <v>0</v>
      </c>
      <c r="CF59" s="261">
        <v>1</v>
      </c>
      <c r="CG59" s="261">
        <v>0</v>
      </c>
      <c r="CH59" s="311" t="str">
        <f>IF(A59=FALSE,"",IF(Detail!BR59="","N/A",YEAR(Detail!F59)&amp;Detail!BU59&amp;Detail!BR59&amp;"-"&amp;Detail!$BR$13))</f>
        <v/>
      </c>
      <c r="CI59" s="1327" t="s">
        <v>2236</v>
      </c>
      <c r="CJ59" s="527" t="s">
        <v>2278</v>
      </c>
      <c r="CK59" s="440" t="str">
        <f t="shared" si="9"/>
        <v/>
      </c>
      <c r="CL59" s="1412">
        <v>50000</v>
      </c>
      <c r="CM59" s="247">
        <v>3</v>
      </c>
      <c r="CN59" s="261">
        <v>0</v>
      </c>
      <c r="CO59" s="261" t="s">
        <v>2236</v>
      </c>
      <c r="CP59" s="264">
        <v>0</v>
      </c>
      <c r="CQ59" s="508">
        <v>0</v>
      </c>
      <c r="CR59" s="261">
        <v>1</v>
      </c>
      <c r="CS59" s="261">
        <v>0</v>
      </c>
      <c r="CT59" s="311" t="str">
        <f>IF(A59=FALSE,"",IF(Detail!BZ59="","N/A",YEAR(Detail!F59)&amp;Detail!CC59&amp;Detail!BZ59&amp;"-"&amp;Detail!$BZ$13&amp;" (100%/"&amp;Detail!CD59&amp;"/"&amp;Detail!CE59&amp;"D)"))</f>
        <v/>
      </c>
      <c r="CU59" s="1327" t="s">
        <v>2236</v>
      </c>
      <c r="CV59" s="527" t="s">
        <v>2278</v>
      </c>
      <c r="CW59" s="241">
        <v>7</v>
      </c>
      <c r="CX59" s="1323">
        <v>365</v>
      </c>
      <c r="CY59" s="248">
        <v>1</v>
      </c>
      <c r="CZ59" s="261">
        <v>0</v>
      </c>
      <c r="DA59" s="1325" t="s">
        <v>2236</v>
      </c>
      <c r="DB59" s="538">
        <v>40</v>
      </c>
      <c r="DC59" s="1325">
        <v>0.1</v>
      </c>
      <c r="DD59" s="261">
        <v>1</v>
      </c>
      <c r="DE59" s="261">
        <v>0</v>
      </c>
      <c r="DF59" s="313" t="str">
        <f>IF(A59=FALSE,"",IF(Detail!CH59="","N/A",YEAR(Detail!F59)&amp;Detail!CK59&amp;Detail!CH59&amp;"-"&amp;Detail!$CH$13&amp;" (100%/"&amp;Detail!CL59&amp;"/"&amp;Detail!CM59&amp;"D)"))</f>
        <v/>
      </c>
      <c r="DG59" s="1406" t="s">
        <v>2236</v>
      </c>
      <c r="DH59" s="518" t="s">
        <v>2278</v>
      </c>
      <c r="DI59" s="241">
        <f t="shared" si="10"/>
        <v>7</v>
      </c>
      <c r="DJ59" s="243">
        <f t="shared" si="11"/>
        <v>365</v>
      </c>
      <c r="DK59" s="258">
        <v>1</v>
      </c>
      <c r="DL59" s="261">
        <v>0</v>
      </c>
      <c r="DM59" s="1325" t="s">
        <v>2236</v>
      </c>
      <c r="DN59" s="538">
        <v>40</v>
      </c>
      <c r="DO59" s="1325">
        <f t="shared" si="12"/>
        <v>0.1</v>
      </c>
      <c r="DP59" s="261">
        <v>1</v>
      </c>
      <c r="DQ59" s="261">
        <v>0</v>
      </c>
      <c r="DR59" s="920" t="str">
        <f>IF(A59=FALSE,"",IF(Detail!CP59="","N/A",YEAR(Detail!F59)&amp;Detail!CS59&amp;Detail!CP59&amp;"-"&amp;Detail!$CP$13))</f>
        <v/>
      </c>
      <c r="DS59" s="308" t="s">
        <v>2236</v>
      </c>
      <c r="DT59" s="720" t="s">
        <v>2277</v>
      </c>
      <c r="DU59" s="244">
        <v>50000</v>
      </c>
      <c r="DV59" s="247">
        <v>2</v>
      </c>
      <c r="DW59" s="261">
        <v>0</v>
      </c>
      <c r="DX59" s="261" t="s">
        <v>2236</v>
      </c>
      <c r="DY59" s="264">
        <v>0</v>
      </c>
      <c r="DZ59" s="444">
        <v>0</v>
      </c>
      <c r="EA59" s="444">
        <v>1</v>
      </c>
      <c r="EB59" s="444">
        <v>0</v>
      </c>
      <c r="EC59" s="761" t="str">
        <f>IF(A59=FALSE,"",IF(Detail!CX59="","N/A",YEAR(Detail!F59)&amp;Detail!DA59&amp;Detail!CX59&amp;"-"&amp;Detail!$CX$13))</f>
        <v/>
      </c>
      <c r="ED59" s="445" t="s">
        <v>2236</v>
      </c>
      <c r="EE59" s="720" t="s">
        <v>2277</v>
      </c>
      <c r="EF59" s="244">
        <v>50000</v>
      </c>
      <c r="EG59" s="247">
        <v>2</v>
      </c>
      <c r="EH59" s="261">
        <v>0</v>
      </c>
      <c r="EI59" s="261" t="s">
        <v>2236</v>
      </c>
      <c r="EJ59" s="264">
        <v>0</v>
      </c>
      <c r="EK59" s="444">
        <v>0</v>
      </c>
      <c r="EL59" s="444">
        <v>1</v>
      </c>
      <c r="EM59" s="444">
        <v>0</v>
      </c>
      <c r="EN59" s="333" t="str">
        <f>IF(A59=FALSE,"",IF(Detail!DF59="","N/A",YEAR(Detail!F59)&amp;Detail!DI59&amp;Detail!DF59&amp;"-"&amp;Detail!$DF$13))</f>
        <v/>
      </c>
      <c r="EO59" s="1012" t="s">
        <v>2236</v>
      </c>
      <c r="EP59" s="1012" t="s">
        <v>2277</v>
      </c>
      <c r="EQ59" s="1013">
        <f t="shared" si="13"/>
        <v>0</v>
      </c>
      <c r="ER59" s="1013" t="s">
        <v>2236</v>
      </c>
      <c r="ES59" s="264">
        <v>0</v>
      </c>
      <c r="ET59" s="1013">
        <v>0</v>
      </c>
      <c r="EU59" s="1013">
        <v>1</v>
      </c>
      <c r="EV59" s="1013">
        <v>0</v>
      </c>
      <c r="EW59" s="333" t="str">
        <f>IF(DJ59=FALSE,"",IF(Detail!ET59="","N/A",YEAR(Detail!DN59)&amp;Detail!EW59&amp;Detail!ET59&amp;"-"&amp;Detail!$AL$13&amp;Detail!EU59))</f>
        <v>N/A</v>
      </c>
      <c r="EX59" s="1012" t="s">
        <v>2236</v>
      </c>
      <c r="EY59" s="1012" t="s">
        <v>2277</v>
      </c>
      <c r="EZ59" s="1013">
        <f t="shared" si="14"/>
        <v>0</v>
      </c>
      <c r="FA59" s="1013" t="s">
        <v>2236</v>
      </c>
      <c r="FB59" s="264">
        <v>0</v>
      </c>
      <c r="FC59" s="1013">
        <v>0</v>
      </c>
      <c r="FD59" s="1013">
        <v>1</v>
      </c>
      <c r="FE59" s="1013">
        <v>0</v>
      </c>
    </row>
    <row r="60" spans="1:161" s="422" customFormat="1" ht="30" customHeight="1" outlineLevel="1">
      <c r="A60" s="439" t="b">
        <f>Calcul!A60</f>
        <v>0</v>
      </c>
      <c r="B60" s="510" t="str">
        <f t="shared" si="15"/>
        <v/>
      </c>
      <c r="C60" s="1404" t="b">
        <v>0</v>
      </c>
      <c r="D60" s="1404" t="s">
        <v>2147</v>
      </c>
      <c r="E60" s="1405" t="s">
        <v>2335</v>
      </c>
      <c r="F60" s="243" t="s">
        <v>2146</v>
      </c>
      <c r="G60" s="356" t="str">
        <f>IF(A60=FALSE,"",IF(NAMES!$D$10=FALSE,IF(Detail!H60="","",Detail!H60),IF(Crewlist!D60="","",Crewlist!D60)))</f>
        <v/>
      </c>
      <c r="H60" s="356" t="str">
        <f>IF(A60=FALSE,"",IF(NAMES!$D$10=FALSE,IF(Detail!P60="","",Detail!P60),IF(Crewlist!E60="","",Crewlist!E60)))</f>
        <v/>
      </c>
      <c r="I60" s="356" t="str">
        <f>IF(A60=FALSE,"",IF(NAMES!$D$10=FALSE,IF(Detail!K60="","",Detail!K60),IF(Crewlist!F60="","",Crewlist!F60)))</f>
        <v/>
      </c>
      <c r="J60" s="1001" t="str">
        <f>IF(Crewlist!T60="","",Crewlist!T60)</f>
        <v/>
      </c>
      <c r="K60" s="1001" t="str">
        <f>IF(Crewlist!D60="","",IF(Crewlist!U60="",Crewlist!Y60,IF(DATERENOUVMOINS730&lt;&gt;Crewlist!U60&lt;&gt;Crewlist!Y60,Crewlist!U60,DATERENOUVMOINS365)))</f>
        <v/>
      </c>
      <c r="L60" s="775" t="str">
        <f>IF(Detail!X60="","",Detail!X60)</f>
        <v/>
      </c>
      <c r="M60" s="775" t="str">
        <f>IF(Detail!H60="","",IF(Detail!Y60="",DATERENOUV,IF(Detail!Y60&gt;Detail!D60,Detail!D60,Detail!Y60)))</f>
        <v/>
      </c>
      <c r="N60" s="1015" t="str">
        <f>IF(A60=FALSE,"",IF(NAMES!$D$10=FALSE,IF(B60=B61,IF(O60=O61,0,(DATEDIF(L60,M60,"M")+1)),(DATEDIF(L60,M60,"M")+1)),IF(B60=B61,IF(O60=O61,0,(DATEDIF(J60,K60,"M")+1)),(DATEDIF(J60,K60,"M")+1))))</f>
        <v/>
      </c>
      <c r="O60" s="357" t="str">
        <f t="shared" si="5"/>
        <v/>
      </c>
      <c r="P60" s="358" t="str">
        <f>IF(A60=FALSE,"",IF(NAMES!$D$10=FALSE,IF((DATEDIF(L60,M60,"D")+1)&lt;365,(DATEDIF(L60,M60,"D")+1),365),IF((DATEDIF(J60,K60,"D")+1)&lt;365,(DATEDIF(J60,K60,"D")+1),365)))</f>
        <v/>
      </c>
      <c r="Q60" s="358" t="str">
        <f>IF(A60=FALSE,"",IF(NAMES!$D$10=FALSE,IF(M60="",365,DATEDIF(L60,M60,"D")+1),IF(M60="",365,DATEDIF(J60,K60,"D")+1)))</f>
        <v/>
      </c>
      <c r="R60" s="950" t="str">
        <f>Calcul!X60</f>
        <v/>
      </c>
      <c r="S60" s="950" t="str">
        <f>Calcul!Y60</f>
        <v/>
      </c>
      <c r="T60" s="993" t="str">
        <f>Calcul!AG60</f>
        <v/>
      </c>
      <c r="U60" s="368" t="str">
        <f>IF(A60=FALSE,"",IF(NAMES!$D$10=FALSE,IF(Detail!S60="","",Detail!S60),IF(Crewlist!V60="","",Crewlist!V60)))</f>
        <v/>
      </c>
      <c r="V60" s="245" t="str">
        <f>Calcul!AI60</f>
        <v/>
      </c>
      <c r="W60" s="245" t="str">
        <f>Calcul!AL60</f>
        <v/>
      </c>
      <c r="X60" s="245" t="str">
        <f>Calcul!AM60</f>
        <v/>
      </c>
      <c r="Y60" s="353" t="str">
        <f>Calcul!AN60</f>
        <v/>
      </c>
      <c r="Z60" s="245" t="str">
        <f>Calcul!AO60</f>
        <v/>
      </c>
      <c r="AA60" s="245" t="str">
        <f>Calcul!AP60</f>
        <v/>
      </c>
      <c r="AB60" s="353" t="str">
        <f>Calcul!AQ60</f>
        <v/>
      </c>
      <c r="AC60" s="353" t="str">
        <f>IF(C60=FALSE,"",Calcul!BE60+Calcul!BF60)</f>
        <v/>
      </c>
      <c r="AD60" s="353" t="str">
        <f>IF(C60=FALSE,"",(Calcul!BG60+Calcul!BH60)+SUM(Calcul!BI60:BN60))</f>
        <v/>
      </c>
      <c r="AE60" s="353" t="str">
        <f>Calcul!BP60</f>
        <v/>
      </c>
      <c r="AF60" s="332" t="str">
        <f>IF(A60=FALSE,"",YEAR(Detail!F60)&amp;Detail!AG60&amp;Detail!AD60&amp;"-"&amp;Detail!$AD$13&amp;Detail!AE60)</f>
        <v/>
      </c>
      <c r="AG60" s="1406" t="s">
        <v>2236</v>
      </c>
      <c r="AH60" s="701" t="s">
        <v>2277</v>
      </c>
      <c r="AI60" s="1407">
        <v>0</v>
      </c>
      <c r="AJ60" s="1407" t="s">
        <v>2236</v>
      </c>
      <c r="AK60" s="1410">
        <v>32</v>
      </c>
      <c r="AL60" s="508">
        <v>0</v>
      </c>
      <c r="AM60" s="261">
        <v>1</v>
      </c>
      <c r="AN60" s="261">
        <v>0</v>
      </c>
      <c r="AO60" s="333" t="str">
        <f>IF(A60=FALSE,"",IF(Detail!AL60="","N/A",YEAR(Detail!F60)&amp;Detail!AO60&amp;Detail!AL60&amp;"-"&amp;Detail!$AL$13&amp;Detail!AM60))</f>
        <v/>
      </c>
      <c r="AP60" s="1406" t="s">
        <v>2236</v>
      </c>
      <c r="AQ60" s="701" t="s">
        <v>2277</v>
      </c>
      <c r="AR60" s="1407">
        <f t="shared" si="7"/>
        <v>0</v>
      </c>
      <c r="AS60" s="261" t="s">
        <v>2236</v>
      </c>
      <c r="AT60" s="264">
        <v>0</v>
      </c>
      <c r="AU60" s="261">
        <v>0</v>
      </c>
      <c r="AV60" s="261">
        <v>1</v>
      </c>
      <c r="AW60" s="261">
        <v>0</v>
      </c>
      <c r="AX60" s="920" t="str">
        <f>IF(A60=FALSE,"",IF(Detail!AT60="","N/A",YEAR(Detail!F60)&amp;Detail!AW60&amp;Detail!AT60&amp;"-"&amp;Detail!$AT$13))</f>
        <v/>
      </c>
      <c r="AY60" s="1408" t="s">
        <v>2236</v>
      </c>
      <c r="AZ60" s="308" t="s">
        <v>2278</v>
      </c>
      <c r="BA60" s="440" t="str">
        <f>IF(A60=FALSE,"",51000+(Detail!AA60*7000))</f>
        <v/>
      </c>
      <c r="BB60" s="1412">
        <v>50000</v>
      </c>
      <c r="BC60" s="247">
        <v>3</v>
      </c>
      <c r="BD60" s="261">
        <v>0</v>
      </c>
      <c r="BE60" s="1325" t="s">
        <v>2236</v>
      </c>
      <c r="BF60" s="264">
        <v>0</v>
      </c>
      <c r="BG60" s="508">
        <v>0</v>
      </c>
      <c r="BH60" s="261">
        <v>1</v>
      </c>
      <c r="BI60" s="261">
        <v>0</v>
      </c>
      <c r="BJ60" s="311" t="str">
        <f>IF(A60=FALSE,"",IF(Detail!BB60="","N/A",YEAR(Detail!F60)&amp;Detail!BE60&amp;Detail!BB60&amp;"-"&amp;Detail!$BB$13))</f>
        <v/>
      </c>
      <c r="BK60" s="1354" t="s">
        <v>2236</v>
      </c>
      <c r="BL60" s="527" t="s">
        <v>2278</v>
      </c>
      <c r="BM60" s="440" t="str">
        <f>IF(A60=FALSE,"",51000+(Detail!AA60*7000))</f>
        <v/>
      </c>
      <c r="BN60" s="1412">
        <v>50000</v>
      </c>
      <c r="BO60" s="247">
        <v>3</v>
      </c>
      <c r="BP60" s="261">
        <v>0</v>
      </c>
      <c r="BQ60" s="261" t="s">
        <v>2236</v>
      </c>
      <c r="BR60" s="264">
        <v>0</v>
      </c>
      <c r="BS60" s="508">
        <v>0</v>
      </c>
      <c r="BT60" s="261">
        <v>1</v>
      </c>
      <c r="BU60" s="261">
        <v>0</v>
      </c>
      <c r="BV60" s="311" t="str">
        <f>IF(A60=FALSE,"",IF(Detail!BJ60="","N/A",YEAR(Detail!F60)&amp;Detail!BM60&amp;Detail!BJ60&amp;"-"&amp;Detail!$BJ$13))</f>
        <v/>
      </c>
      <c r="BW60" s="1409" t="s">
        <v>2236</v>
      </c>
      <c r="BX60" s="527" t="s">
        <v>2278</v>
      </c>
      <c r="BY60" s="440" t="str">
        <f t="shared" si="8"/>
        <v/>
      </c>
      <c r="BZ60" s="1412">
        <v>50000</v>
      </c>
      <c r="CA60" s="247">
        <v>3</v>
      </c>
      <c r="CB60" s="261">
        <v>0</v>
      </c>
      <c r="CC60" s="261" t="s">
        <v>2236</v>
      </c>
      <c r="CD60" s="264">
        <v>0</v>
      </c>
      <c r="CE60" s="508">
        <v>0</v>
      </c>
      <c r="CF60" s="261">
        <v>1</v>
      </c>
      <c r="CG60" s="261">
        <v>0</v>
      </c>
      <c r="CH60" s="311" t="str">
        <f>IF(A60=FALSE,"",IF(Detail!BR60="","N/A",YEAR(Detail!F60)&amp;Detail!BU60&amp;Detail!BR60&amp;"-"&amp;Detail!$BR$13))</f>
        <v/>
      </c>
      <c r="CI60" s="1327" t="s">
        <v>2236</v>
      </c>
      <c r="CJ60" s="527" t="s">
        <v>2278</v>
      </c>
      <c r="CK60" s="440" t="str">
        <f t="shared" si="9"/>
        <v/>
      </c>
      <c r="CL60" s="1412">
        <v>50000</v>
      </c>
      <c r="CM60" s="247">
        <v>3</v>
      </c>
      <c r="CN60" s="261">
        <v>0</v>
      </c>
      <c r="CO60" s="261" t="s">
        <v>2236</v>
      </c>
      <c r="CP60" s="264">
        <v>0</v>
      </c>
      <c r="CQ60" s="508">
        <v>0</v>
      </c>
      <c r="CR60" s="261">
        <v>1</v>
      </c>
      <c r="CS60" s="261">
        <v>0</v>
      </c>
      <c r="CT60" s="311" t="str">
        <f>IF(A60=FALSE,"",IF(Detail!BZ60="","N/A",YEAR(Detail!F60)&amp;Detail!CC60&amp;Detail!BZ60&amp;"-"&amp;Detail!$BZ$13&amp;" (100%/"&amp;Detail!CD60&amp;"/"&amp;Detail!CE60&amp;"D)"))</f>
        <v/>
      </c>
      <c r="CU60" s="1327" t="s">
        <v>2236</v>
      </c>
      <c r="CV60" s="527" t="s">
        <v>2278</v>
      </c>
      <c r="CW60" s="241">
        <v>7</v>
      </c>
      <c r="CX60" s="1323">
        <v>365</v>
      </c>
      <c r="CY60" s="248">
        <v>1</v>
      </c>
      <c r="CZ60" s="261">
        <v>0</v>
      </c>
      <c r="DA60" s="1325" t="s">
        <v>2236</v>
      </c>
      <c r="DB60" s="538">
        <v>40</v>
      </c>
      <c r="DC60" s="1325">
        <v>0.1</v>
      </c>
      <c r="DD60" s="261">
        <v>1</v>
      </c>
      <c r="DE60" s="261">
        <v>0</v>
      </c>
      <c r="DF60" s="313" t="str">
        <f>IF(A60=FALSE,"",IF(Detail!CH60="","N/A",YEAR(Detail!F60)&amp;Detail!CK60&amp;Detail!CH60&amp;"-"&amp;Detail!$CH$13&amp;" (100%/"&amp;Detail!CL60&amp;"/"&amp;Detail!CM60&amp;"D)"))</f>
        <v/>
      </c>
      <c r="DG60" s="1354" t="s">
        <v>2236</v>
      </c>
      <c r="DH60" s="518" t="s">
        <v>2278</v>
      </c>
      <c r="DI60" s="241">
        <f t="shared" si="10"/>
        <v>7</v>
      </c>
      <c r="DJ60" s="243">
        <f t="shared" si="11"/>
        <v>365</v>
      </c>
      <c r="DK60" s="258">
        <v>1</v>
      </c>
      <c r="DL60" s="261">
        <v>0</v>
      </c>
      <c r="DM60" s="1325" t="s">
        <v>2236</v>
      </c>
      <c r="DN60" s="538">
        <v>40</v>
      </c>
      <c r="DO60" s="1325">
        <f t="shared" si="12"/>
        <v>0.1</v>
      </c>
      <c r="DP60" s="261">
        <v>1</v>
      </c>
      <c r="DQ60" s="261">
        <v>0</v>
      </c>
      <c r="DR60" s="920" t="str">
        <f>IF(A60=FALSE,"",IF(Detail!CP60="","N/A",YEAR(Detail!F60)&amp;Detail!CS60&amp;Detail!CP60&amp;"-"&amp;Detail!$CP$13))</f>
        <v/>
      </c>
      <c r="DS60" s="308" t="s">
        <v>2236</v>
      </c>
      <c r="DT60" s="720" t="s">
        <v>2277</v>
      </c>
      <c r="DU60" s="244">
        <v>50000</v>
      </c>
      <c r="DV60" s="247">
        <v>2</v>
      </c>
      <c r="DW60" s="261">
        <v>0</v>
      </c>
      <c r="DX60" s="261" t="s">
        <v>2236</v>
      </c>
      <c r="DY60" s="264">
        <v>0</v>
      </c>
      <c r="DZ60" s="444">
        <v>0</v>
      </c>
      <c r="EA60" s="444">
        <v>1</v>
      </c>
      <c r="EB60" s="444">
        <v>0</v>
      </c>
      <c r="EC60" s="761" t="str">
        <f>IF(A60=FALSE,"",IF(Detail!CX60="","N/A",YEAR(Detail!F60)&amp;Detail!DA60&amp;Detail!CX60&amp;"-"&amp;Detail!$CX$13))</f>
        <v/>
      </c>
      <c r="ED60" s="445" t="s">
        <v>2236</v>
      </c>
      <c r="EE60" s="720" t="s">
        <v>2277</v>
      </c>
      <c r="EF60" s="244">
        <v>50000</v>
      </c>
      <c r="EG60" s="247">
        <v>2</v>
      </c>
      <c r="EH60" s="261">
        <v>0</v>
      </c>
      <c r="EI60" s="261" t="s">
        <v>2236</v>
      </c>
      <c r="EJ60" s="264">
        <v>0</v>
      </c>
      <c r="EK60" s="444">
        <v>0</v>
      </c>
      <c r="EL60" s="444">
        <v>1</v>
      </c>
      <c r="EM60" s="444">
        <v>0</v>
      </c>
      <c r="EN60" s="333" t="str">
        <f>IF(A60=FALSE,"",IF(Detail!DF60="","N/A",YEAR(Detail!F60)&amp;Detail!DI60&amp;Detail!DF60&amp;"-"&amp;Detail!$DF$13))</f>
        <v/>
      </c>
      <c r="EO60" s="1012" t="s">
        <v>2236</v>
      </c>
      <c r="EP60" s="1012" t="s">
        <v>2277</v>
      </c>
      <c r="EQ60" s="1013">
        <f t="shared" si="13"/>
        <v>0</v>
      </c>
      <c r="ER60" s="1013" t="s">
        <v>2236</v>
      </c>
      <c r="ES60" s="264">
        <v>0</v>
      </c>
      <c r="ET60" s="1013">
        <v>0</v>
      </c>
      <c r="EU60" s="1013">
        <v>1</v>
      </c>
      <c r="EV60" s="1013">
        <v>0</v>
      </c>
      <c r="EW60" s="333" t="str">
        <f>IF(DJ60=FALSE,"",IF(Detail!ET60="","N/A",YEAR(Detail!DN60)&amp;Detail!EW60&amp;Detail!ET60&amp;"-"&amp;Detail!$AL$13&amp;Detail!EU60))</f>
        <v>N/A</v>
      </c>
      <c r="EX60" s="1012" t="s">
        <v>2236</v>
      </c>
      <c r="EY60" s="1012" t="s">
        <v>2277</v>
      </c>
      <c r="EZ60" s="1013">
        <f t="shared" si="14"/>
        <v>0</v>
      </c>
      <c r="FA60" s="1013" t="s">
        <v>2236</v>
      </c>
      <c r="FB60" s="264">
        <v>0</v>
      </c>
      <c r="FC60" s="1013">
        <v>0</v>
      </c>
      <c r="FD60" s="1013">
        <v>1</v>
      </c>
      <c r="FE60" s="1013">
        <v>0</v>
      </c>
    </row>
    <row r="61" spans="1:161" s="422" customFormat="1" ht="30" customHeight="1" outlineLevel="1">
      <c r="A61" s="439" t="b">
        <f>Calcul!A61</f>
        <v>0</v>
      </c>
      <c r="B61" s="510" t="str">
        <f t="shared" si="15"/>
        <v/>
      </c>
      <c r="C61" s="1404" t="b">
        <v>0</v>
      </c>
      <c r="D61" s="1404" t="s">
        <v>2147</v>
      </c>
      <c r="E61" s="1405" t="s">
        <v>2335</v>
      </c>
      <c r="F61" s="243" t="s">
        <v>2146</v>
      </c>
      <c r="G61" s="356" t="str">
        <f>IF(A61=FALSE,"",IF(NAMES!$D$10=FALSE,IF(Detail!H61="","",Detail!H61),IF(Crewlist!D61="","",Crewlist!D61)))</f>
        <v/>
      </c>
      <c r="H61" s="356" t="str">
        <f>IF(A61=FALSE,"",IF(NAMES!$D$10=FALSE,IF(Detail!P61="","",Detail!P61),IF(Crewlist!E61="","",Crewlist!E61)))</f>
        <v/>
      </c>
      <c r="I61" s="356" t="str">
        <f>IF(A61=FALSE,"",IF(NAMES!$D$10=FALSE,IF(Detail!K61="","",Detail!K61),IF(Crewlist!F61="","",Crewlist!F61)))</f>
        <v/>
      </c>
      <c r="J61" s="1001" t="str">
        <f>IF(Crewlist!T61="","",Crewlist!T61)</f>
        <v/>
      </c>
      <c r="K61" s="1001" t="str">
        <f>IF(Crewlist!D61="","",IF(Crewlist!U61="",Crewlist!Y61,IF(DATERENOUVMOINS730&lt;&gt;Crewlist!U61&lt;&gt;Crewlist!Y61,Crewlist!U61,DATERENOUVMOINS365)))</f>
        <v/>
      </c>
      <c r="L61" s="775" t="str">
        <f>IF(Detail!X61="","",Detail!X61)</f>
        <v/>
      </c>
      <c r="M61" s="775" t="str">
        <f>IF(Detail!H61="","",IF(Detail!Y61="",DATERENOUV,IF(Detail!Y61&gt;Detail!D61,Detail!D61,Detail!Y61)))</f>
        <v/>
      </c>
      <c r="N61" s="1015" t="str">
        <f>IF(A61=FALSE,"",IF(NAMES!$D$10=FALSE,IF(B61=B62,IF(O61=O62,0,(DATEDIF(L61,M61,"M")+1)),(DATEDIF(L61,M61,"M")+1)),IF(B61=B62,IF(O61=O62,0,(DATEDIF(J61,K61,"M")+1)),(DATEDIF(J61,K61,"M")+1))))</f>
        <v/>
      </c>
      <c r="O61" s="357" t="str">
        <f t="shared" si="5"/>
        <v/>
      </c>
      <c r="P61" s="358" t="str">
        <f>IF(A61=FALSE,"",IF(NAMES!$D$10=FALSE,IF((DATEDIF(L61,M61,"D")+1)&lt;365,(DATEDIF(L61,M61,"D")+1),365),IF((DATEDIF(J61,K61,"D")+1)&lt;365,(DATEDIF(J61,K61,"D")+1),365)))</f>
        <v/>
      </c>
      <c r="Q61" s="358" t="str">
        <f>IF(A61=FALSE,"",IF(NAMES!$D$10=FALSE,IF(M61="",365,DATEDIF(L61,M61,"D")+1),IF(M61="",365,DATEDIF(J61,K61,"D")+1)))</f>
        <v/>
      </c>
      <c r="R61" s="950" t="str">
        <f>Calcul!X61</f>
        <v/>
      </c>
      <c r="S61" s="950" t="str">
        <f>Calcul!Y61</f>
        <v/>
      </c>
      <c r="T61" s="993" t="str">
        <f>Calcul!AG61</f>
        <v/>
      </c>
      <c r="U61" s="368" t="str">
        <f>IF(A61=FALSE,"",IF(NAMES!$D$10=FALSE,IF(Detail!S61="","",Detail!S61),IF(Crewlist!V61="","",Crewlist!V61)))</f>
        <v/>
      </c>
      <c r="V61" s="245" t="str">
        <f>Calcul!AI61</f>
        <v/>
      </c>
      <c r="W61" s="245" t="str">
        <f>Calcul!AL61</f>
        <v/>
      </c>
      <c r="X61" s="245" t="str">
        <f>Calcul!AM61</f>
        <v/>
      </c>
      <c r="Y61" s="353" t="str">
        <f>Calcul!AN61</f>
        <v/>
      </c>
      <c r="Z61" s="245" t="str">
        <f>Calcul!AO61</f>
        <v/>
      </c>
      <c r="AA61" s="245" t="str">
        <f>Calcul!AP61</f>
        <v/>
      </c>
      <c r="AB61" s="353" t="str">
        <f>Calcul!AQ61</f>
        <v/>
      </c>
      <c r="AC61" s="353" t="str">
        <f>IF(C61=FALSE,"",Calcul!BE61+Calcul!BF61)</f>
        <v/>
      </c>
      <c r="AD61" s="353" t="str">
        <f>IF(C61=FALSE,"",(Calcul!BG61+Calcul!BH61)+SUM(Calcul!BI61:BN61))</f>
        <v/>
      </c>
      <c r="AE61" s="353" t="str">
        <f>Calcul!BP61</f>
        <v/>
      </c>
      <c r="AF61" s="332" t="str">
        <f>IF(A61=FALSE,"",YEAR(Detail!F61)&amp;Detail!AG61&amp;Detail!AD61&amp;"-"&amp;Detail!$AD$13&amp;Detail!AE61)</f>
        <v/>
      </c>
      <c r="AG61" s="1406" t="s">
        <v>2236</v>
      </c>
      <c r="AH61" s="701" t="s">
        <v>2277</v>
      </c>
      <c r="AI61" s="1407">
        <v>0</v>
      </c>
      <c r="AJ61" s="1407" t="s">
        <v>2236</v>
      </c>
      <c r="AK61" s="1410">
        <v>32</v>
      </c>
      <c r="AL61" s="508">
        <v>0</v>
      </c>
      <c r="AM61" s="261">
        <v>1</v>
      </c>
      <c r="AN61" s="261">
        <v>0</v>
      </c>
      <c r="AO61" s="333" t="str">
        <f>IF(A61=FALSE,"",IF(Detail!AL61="","N/A",YEAR(Detail!F61)&amp;Detail!AO61&amp;Detail!AL61&amp;"-"&amp;Detail!$AL$13&amp;Detail!AM61))</f>
        <v/>
      </c>
      <c r="AP61" s="1406" t="s">
        <v>2236</v>
      </c>
      <c r="AQ61" s="701" t="s">
        <v>2277</v>
      </c>
      <c r="AR61" s="1407">
        <f t="shared" si="7"/>
        <v>0</v>
      </c>
      <c r="AS61" s="261" t="s">
        <v>2236</v>
      </c>
      <c r="AT61" s="264">
        <v>0</v>
      </c>
      <c r="AU61" s="261">
        <v>0</v>
      </c>
      <c r="AV61" s="261">
        <v>1</v>
      </c>
      <c r="AW61" s="261">
        <v>0</v>
      </c>
      <c r="AX61" s="920" t="str">
        <f>IF(A61=FALSE,"",IF(Detail!AT61="","N/A",YEAR(Detail!F61)&amp;Detail!AW61&amp;Detail!AT61&amp;"-"&amp;Detail!$AT$13))</f>
        <v/>
      </c>
      <c r="AY61" s="1408" t="s">
        <v>2236</v>
      </c>
      <c r="AZ61" s="308" t="s">
        <v>2278</v>
      </c>
      <c r="BA61" s="440" t="str">
        <f>IF(A61=FALSE,"",51000+(Detail!AA61*7000))</f>
        <v/>
      </c>
      <c r="BB61" s="1412">
        <v>50000</v>
      </c>
      <c r="BC61" s="247">
        <v>3</v>
      </c>
      <c r="BD61" s="261">
        <v>0</v>
      </c>
      <c r="BE61" s="1325" t="s">
        <v>2236</v>
      </c>
      <c r="BF61" s="264">
        <v>0</v>
      </c>
      <c r="BG61" s="508">
        <v>0</v>
      </c>
      <c r="BH61" s="261">
        <v>1</v>
      </c>
      <c r="BI61" s="261">
        <v>0</v>
      </c>
      <c r="BJ61" s="311" t="str">
        <f>IF(A61=FALSE,"",IF(Detail!BB61="","N/A",YEAR(Detail!F61)&amp;Detail!BE61&amp;Detail!BB61&amp;"-"&amp;Detail!$BB$13))</f>
        <v/>
      </c>
      <c r="BK61" s="1354" t="s">
        <v>2236</v>
      </c>
      <c r="BL61" s="527" t="s">
        <v>2278</v>
      </c>
      <c r="BM61" s="440" t="str">
        <f>IF(A61=FALSE,"",51000+(Detail!AA61*7000))</f>
        <v/>
      </c>
      <c r="BN61" s="1412">
        <v>50000</v>
      </c>
      <c r="BO61" s="247">
        <v>3</v>
      </c>
      <c r="BP61" s="261">
        <v>0</v>
      </c>
      <c r="BQ61" s="261" t="s">
        <v>2236</v>
      </c>
      <c r="BR61" s="264">
        <v>0</v>
      </c>
      <c r="BS61" s="508">
        <v>0</v>
      </c>
      <c r="BT61" s="261">
        <v>1</v>
      </c>
      <c r="BU61" s="261">
        <v>0</v>
      </c>
      <c r="BV61" s="311" t="str">
        <f>IF(A61=FALSE,"",IF(Detail!BJ61="","N/A",YEAR(Detail!F61)&amp;Detail!BM61&amp;Detail!BJ61&amp;"-"&amp;Detail!$BJ$13))</f>
        <v/>
      </c>
      <c r="BW61" s="1409" t="s">
        <v>2236</v>
      </c>
      <c r="BX61" s="527" t="s">
        <v>2278</v>
      </c>
      <c r="BY61" s="440" t="str">
        <f t="shared" si="8"/>
        <v/>
      </c>
      <c r="BZ61" s="1412">
        <v>50000</v>
      </c>
      <c r="CA61" s="247">
        <v>3</v>
      </c>
      <c r="CB61" s="261">
        <v>0</v>
      </c>
      <c r="CC61" s="261" t="s">
        <v>2236</v>
      </c>
      <c r="CD61" s="264">
        <v>0</v>
      </c>
      <c r="CE61" s="508">
        <v>0</v>
      </c>
      <c r="CF61" s="261">
        <v>1</v>
      </c>
      <c r="CG61" s="261">
        <v>0</v>
      </c>
      <c r="CH61" s="311" t="str">
        <f>IF(A61=FALSE,"",IF(Detail!BR61="","N/A",YEAR(Detail!F61)&amp;Detail!BU61&amp;Detail!BR61&amp;"-"&amp;Detail!$BR$13))</f>
        <v/>
      </c>
      <c r="CI61" s="1327" t="s">
        <v>2236</v>
      </c>
      <c r="CJ61" s="527" t="s">
        <v>2278</v>
      </c>
      <c r="CK61" s="440" t="str">
        <f t="shared" si="9"/>
        <v/>
      </c>
      <c r="CL61" s="1412">
        <v>50000</v>
      </c>
      <c r="CM61" s="247">
        <v>3</v>
      </c>
      <c r="CN61" s="261">
        <v>0</v>
      </c>
      <c r="CO61" s="261" t="s">
        <v>2236</v>
      </c>
      <c r="CP61" s="264">
        <v>0</v>
      </c>
      <c r="CQ61" s="508">
        <v>0</v>
      </c>
      <c r="CR61" s="261">
        <v>1</v>
      </c>
      <c r="CS61" s="261">
        <v>0</v>
      </c>
      <c r="CT61" s="311" t="str">
        <f>IF(A61=FALSE,"",IF(Detail!BZ61="","N/A",YEAR(Detail!F61)&amp;Detail!CC61&amp;Detail!BZ61&amp;"-"&amp;Detail!$BZ$13&amp;" (100%/"&amp;Detail!CD61&amp;"/"&amp;Detail!CE61&amp;"D)"))</f>
        <v/>
      </c>
      <c r="CU61" s="1327" t="s">
        <v>2236</v>
      </c>
      <c r="CV61" s="527" t="s">
        <v>2278</v>
      </c>
      <c r="CW61" s="241">
        <v>7</v>
      </c>
      <c r="CX61" s="1323">
        <v>365</v>
      </c>
      <c r="CY61" s="248">
        <v>1</v>
      </c>
      <c r="CZ61" s="261">
        <v>0</v>
      </c>
      <c r="DA61" s="1325" t="s">
        <v>2236</v>
      </c>
      <c r="DB61" s="538">
        <v>40</v>
      </c>
      <c r="DC61" s="1325">
        <v>0.1</v>
      </c>
      <c r="DD61" s="261">
        <v>1</v>
      </c>
      <c r="DE61" s="261">
        <v>0</v>
      </c>
      <c r="DF61" s="313" t="str">
        <f>IF(A61=FALSE,"",IF(Detail!CH61="","N/A",YEAR(Detail!F61)&amp;Detail!CK61&amp;Detail!CH61&amp;"-"&amp;Detail!$CH$13&amp;" (100%/"&amp;Detail!CL61&amp;"/"&amp;Detail!CM61&amp;"D)"))</f>
        <v/>
      </c>
      <c r="DG61" s="1354" t="s">
        <v>2236</v>
      </c>
      <c r="DH61" s="518" t="s">
        <v>2278</v>
      </c>
      <c r="DI61" s="241">
        <f t="shared" si="10"/>
        <v>7</v>
      </c>
      <c r="DJ61" s="243">
        <f t="shared" si="11"/>
        <v>365</v>
      </c>
      <c r="DK61" s="258">
        <v>1</v>
      </c>
      <c r="DL61" s="261">
        <v>0</v>
      </c>
      <c r="DM61" s="1325" t="s">
        <v>2236</v>
      </c>
      <c r="DN61" s="538">
        <v>40</v>
      </c>
      <c r="DO61" s="1325">
        <f t="shared" si="12"/>
        <v>0.1</v>
      </c>
      <c r="DP61" s="261">
        <v>1</v>
      </c>
      <c r="DQ61" s="261">
        <v>0</v>
      </c>
      <c r="DR61" s="920" t="str">
        <f>IF(A61=FALSE,"",IF(Detail!CP61="","N/A",YEAR(Detail!F61)&amp;Detail!CS61&amp;Detail!CP61&amp;"-"&amp;Detail!$CP$13))</f>
        <v/>
      </c>
      <c r="DS61" s="308" t="s">
        <v>2236</v>
      </c>
      <c r="DT61" s="720" t="s">
        <v>2277</v>
      </c>
      <c r="DU61" s="244">
        <v>50000</v>
      </c>
      <c r="DV61" s="247">
        <v>2</v>
      </c>
      <c r="DW61" s="261">
        <v>0</v>
      </c>
      <c r="DX61" s="261" t="s">
        <v>2236</v>
      </c>
      <c r="DY61" s="264">
        <v>0</v>
      </c>
      <c r="DZ61" s="444">
        <v>0</v>
      </c>
      <c r="EA61" s="444">
        <v>1</v>
      </c>
      <c r="EB61" s="444">
        <v>0</v>
      </c>
      <c r="EC61" s="761" t="str">
        <f>IF(A61=FALSE,"",IF(Detail!CX61="","N/A",YEAR(Detail!F61)&amp;Detail!DA61&amp;Detail!CX61&amp;"-"&amp;Detail!$CX$13))</f>
        <v/>
      </c>
      <c r="ED61" s="445" t="s">
        <v>2236</v>
      </c>
      <c r="EE61" s="720" t="s">
        <v>2277</v>
      </c>
      <c r="EF61" s="244">
        <v>50000</v>
      </c>
      <c r="EG61" s="247">
        <v>2</v>
      </c>
      <c r="EH61" s="261">
        <v>0</v>
      </c>
      <c r="EI61" s="261" t="s">
        <v>2236</v>
      </c>
      <c r="EJ61" s="264">
        <v>0</v>
      </c>
      <c r="EK61" s="444">
        <v>0</v>
      </c>
      <c r="EL61" s="444">
        <v>1</v>
      </c>
      <c r="EM61" s="444">
        <v>0</v>
      </c>
      <c r="EN61" s="333" t="str">
        <f>IF(A61=FALSE,"",IF(Detail!DF61="","N/A",YEAR(Detail!F61)&amp;Detail!DI61&amp;Detail!DF61&amp;"-"&amp;Detail!$DF$13))</f>
        <v/>
      </c>
      <c r="EO61" s="1012" t="s">
        <v>2236</v>
      </c>
      <c r="EP61" s="1012" t="s">
        <v>2277</v>
      </c>
      <c r="EQ61" s="1013">
        <f t="shared" si="13"/>
        <v>0</v>
      </c>
      <c r="ER61" s="1013" t="s">
        <v>2236</v>
      </c>
      <c r="ES61" s="264">
        <v>0</v>
      </c>
      <c r="ET61" s="1013">
        <v>0</v>
      </c>
      <c r="EU61" s="1013">
        <v>1</v>
      </c>
      <c r="EV61" s="1013">
        <v>0</v>
      </c>
      <c r="EW61" s="333" t="str">
        <f>IF(DJ61=FALSE,"",IF(Detail!ET61="","N/A",YEAR(Detail!DN61)&amp;Detail!EW61&amp;Detail!ET61&amp;"-"&amp;Detail!$AL$13&amp;Detail!EU61))</f>
        <v>N/A</v>
      </c>
      <c r="EX61" s="1012" t="s">
        <v>2236</v>
      </c>
      <c r="EY61" s="1012" t="s">
        <v>2277</v>
      </c>
      <c r="EZ61" s="1013">
        <f t="shared" si="14"/>
        <v>0</v>
      </c>
      <c r="FA61" s="1013" t="s">
        <v>2236</v>
      </c>
      <c r="FB61" s="264">
        <v>0</v>
      </c>
      <c r="FC61" s="1013">
        <v>0</v>
      </c>
      <c r="FD61" s="1013">
        <v>1</v>
      </c>
      <c r="FE61" s="1013">
        <v>0</v>
      </c>
    </row>
    <row r="62" spans="1:161" s="422" customFormat="1" ht="30" customHeight="1" outlineLevel="1">
      <c r="A62" s="439" t="b">
        <f>Calcul!A62</f>
        <v>0</v>
      </c>
      <c r="B62" s="510" t="str">
        <f t="shared" si="15"/>
        <v/>
      </c>
      <c r="C62" s="1404" t="b">
        <v>0</v>
      </c>
      <c r="D62" s="1404" t="s">
        <v>2147</v>
      </c>
      <c r="E62" s="1405" t="s">
        <v>2335</v>
      </c>
      <c r="F62" s="243" t="s">
        <v>2146</v>
      </c>
      <c r="G62" s="356" t="str">
        <f>IF(A62=FALSE,"",IF(NAMES!$D$10=FALSE,IF(Detail!H62="","",Detail!H62),IF(Crewlist!D62="","",Crewlist!D62)))</f>
        <v/>
      </c>
      <c r="H62" s="356" t="str">
        <f>IF(A62=FALSE,"",IF(NAMES!$D$10=FALSE,IF(Detail!P62="","",Detail!P62),IF(Crewlist!E62="","",Crewlist!E62)))</f>
        <v/>
      </c>
      <c r="I62" s="356" t="str">
        <f>IF(A62=FALSE,"",IF(NAMES!$D$10=FALSE,IF(Detail!K62="","",Detail!K62),IF(Crewlist!F62="","",Crewlist!F62)))</f>
        <v/>
      </c>
      <c r="J62" s="1001" t="str">
        <f>IF(Crewlist!T62="","",Crewlist!T62)</f>
        <v/>
      </c>
      <c r="K62" s="1001" t="str">
        <f>IF(Crewlist!D62="","",IF(Crewlist!U62="",Crewlist!Y62,IF(DATERENOUVMOINS730&lt;&gt;Crewlist!U62&lt;&gt;Crewlist!Y62,Crewlist!U62,DATERENOUVMOINS365)))</f>
        <v/>
      </c>
      <c r="L62" s="775" t="str">
        <f>IF(Detail!X62="","",Detail!X62)</f>
        <v/>
      </c>
      <c r="M62" s="775" t="str">
        <f>IF(Detail!H62="","",IF(Detail!Y62="",DATERENOUV,IF(Detail!Y62&gt;Detail!D62,Detail!D62,Detail!Y62)))</f>
        <v/>
      </c>
      <c r="N62" s="1015" t="str">
        <f>IF(A62=FALSE,"",IF(NAMES!$D$10=FALSE,IF(B62=B63,IF(O62=O63,0,(DATEDIF(L62,M62,"M")+1)),(DATEDIF(L62,M62,"M")+1)),IF(B62=B63,IF(O62=O63,0,(DATEDIF(J62,K62,"M")+1)),(DATEDIF(J62,K62,"M")+1))))</f>
        <v/>
      </c>
      <c r="O62" s="357" t="str">
        <f t="shared" si="5"/>
        <v/>
      </c>
      <c r="P62" s="358" t="str">
        <f>IF(A62=FALSE,"",IF(NAMES!$D$10=FALSE,IF((DATEDIF(L62,M62,"D")+1)&lt;365,(DATEDIF(L62,M62,"D")+1),365),IF((DATEDIF(J62,K62,"D")+1)&lt;365,(DATEDIF(J62,K62,"D")+1),365)))</f>
        <v/>
      </c>
      <c r="Q62" s="358" t="str">
        <f>IF(A62=FALSE,"",IF(NAMES!$D$10=FALSE,IF(M62="",365,DATEDIF(L62,M62,"D")+1),IF(M62="",365,DATEDIF(J62,K62,"D")+1)))</f>
        <v/>
      </c>
      <c r="R62" s="950" t="str">
        <f>Calcul!X62</f>
        <v/>
      </c>
      <c r="S62" s="950" t="str">
        <f>Calcul!Y62</f>
        <v/>
      </c>
      <c r="T62" s="993" t="str">
        <f>Calcul!AG62</f>
        <v/>
      </c>
      <c r="U62" s="368" t="str">
        <f>IF(A62=FALSE,"",IF(NAMES!$D$10=FALSE,IF(Detail!S62="","",Detail!S62),IF(Crewlist!V62="","",Crewlist!V62)))</f>
        <v/>
      </c>
      <c r="V62" s="245" t="str">
        <f>Calcul!AI62</f>
        <v/>
      </c>
      <c r="W62" s="245" t="str">
        <f>Calcul!AL62</f>
        <v/>
      </c>
      <c r="X62" s="245" t="str">
        <f>Calcul!AM62</f>
        <v/>
      </c>
      <c r="Y62" s="353" t="str">
        <f>Calcul!AN62</f>
        <v/>
      </c>
      <c r="Z62" s="245" t="str">
        <f>Calcul!AO62</f>
        <v/>
      </c>
      <c r="AA62" s="245" t="str">
        <f>Calcul!AP62</f>
        <v/>
      </c>
      <c r="AB62" s="353" t="str">
        <f>Calcul!AQ62</f>
        <v/>
      </c>
      <c r="AC62" s="353" t="str">
        <f>IF(C62=FALSE,"",Calcul!BE62+Calcul!BF62)</f>
        <v/>
      </c>
      <c r="AD62" s="353" t="str">
        <f>IF(C62=FALSE,"",(Calcul!BG62+Calcul!BH62)+SUM(Calcul!BI62:BN62))</f>
        <v/>
      </c>
      <c r="AE62" s="353" t="str">
        <f>Calcul!BP62</f>
        <v/>
      </c>
      <c r="AF62" s="332" t="str">
        <f>IF(A62=FALSE,"",YEAR(Detail!F62)&amp;Detail!AG62&amp;Detail!AD62&amp;"-"&amp;Detail!$AD$13&amp;Detail!AE62)</f>
        <v/>
      </c>
      <c r="AG62" s="1406" t="s">
        <v>2236</v>
      </c>
      <c r="AH62" s="701" t="s">
        <v>2277</v>
      </c>
      <c r="AI62" s="1407">
        <v>0</v>
      </c>
      <c r="AJ62" s="1407" t="s">
        <v>2236</v>
      </c>
      <c r="AK62" s="1410">
        <v>32</v>
      </c>
      <c r="AL62" s="508">
        <v>0</v>
      </c>
      <c r="AM62" s="261">
        <v>1</v>
      </c>
      <c r="AN62" s="261">
        <v>0</v>
      </c>
      <c r="AO62" s="333" t="str">
        <f>IF(A62=FALSE,"",IF(Detail!AL62="","N/A",YEAR(Detail!F62)&amp;Detail!AO62&amp;Detail!AL62&amp;"-"&amp;Detail!$AL$13&amp;Detail!AM62))</f>
        <v/>
      </c>
      <c r="AP62" s="1406" t="s">
        <v>2236</v>
      </c>
      <c r="AQ62" s="701" t="s">
        <v>2277</v>
      </c>
      <c r="AR62" s="1407">
        <f t="shared" si="7"/>
        <v>0</v>
      </c>
      <c r="AS62" s="261" t="s">
        <v>2236</v>
      </c>
      <c r="AT62" s="264">
        <v>0</v>
      </c>
      <c r="AU62" s="261">
        <v>0</v>
      </c>
      <c r="AV62" s="261">
        <v>1</v>
      </c>
      <c r="AW62" s="261">
        <v>0</v>
      </c>
      <c r="AX62" s="920" t="str">
        <f>IF(A62=FALSE,"",IF(Detail!AT62="","N/A",YEAR(Detail!F62)&amp;Detail!AW62&amp;Detail!AT62&amp;"-"&amp;Detail!$AT$13))</f>
        <v/>
      </c>
      <c r="AY62" s="1408" t="s">
        <v>2236</v>
      </c>
      <c r="AZ62" s="308" t="s">
        <v>2278</v>
      </c>
      <c r="BA62" s="440" t="str">
        <f>IF(A62=FALSE,"",51000+(Detail!AA62*7000))</f>
        <v/>
      </c>
      <c r="BB62" s="1412">
        <v>50000</v>
      </c>
      <c r="BC62" s="247">
        <v>3</v>
      </c>
      <c r="BD62" s="261">
        <v>0</v>
      </c>
      <c r="BE62" s="1325" t="s">
        <v>2236</v>
      </c>
      <c r="BF62" s="264">
        <v>0</v>
      </c>
      <c r="BG62" s="508">
        <v>0</v>
      </c>
      <c r="BH62" s="261">
        <v>1</v>
      </c>
      <c r="BI62" s="261">
        <v>0</v>
      </c>
      <c r="BJ62" s="311" t="str">
        <f>IF(A62=FALSE,"",IF(Detail!BB62="","N/A",YEAR(Detail!F62)&amp;Detail!BE62&amp;Detail!BB62&amp;"-"&amp;Detail!$BB$13))</f>
        <v/>
      </c>
      <c r="BK62" s="1354" t="s">
        <v>2236</v>
      </c>
      <c r="BL62" s="527" t="s">
        <v>2278</v>
      </c>
      <c r="BM62" s="440" t="str">
        <f>IF(A62=FALSE,"",51000+(Detail!AA62*7000))</f>
        <v/>
      </c>
      <c r="BN62" s="1412">
        <v>50000</v>
      </c>
      <c r="BO62" s="247">
        <v>3</v>
      </c>
      <c r="BP62" s="261">
        <v>0</v>
      </c>
      <c r="BQ62" s="261" t="s">
        <v>2236</v>
      </c>
      <c r="BR62" s="264">
        <v>0</v>
      </c>
      <c r="BS62" s="508">
        <v>0</v>
      </c>
      <c r="BT62" s="261">
        <v>1</v>
      </c>
      <c r="BU62" s="261">
        <v>0</v>
      </c>
      <c r="BV62" s="311" t="str">
        <f>IF(A62=FALSE,"",IF(Detail!BJ62="","N/A",YEAR(Detail!F62)&amp;Detail!BM62&amp;Detail!BJ62&amp;"-"&amp;Detail!$BJ$13))</f>
        <v/>
      </c>
      <c r="BW62" s="1409" t="s">
        <v>2236</v>
      </c>
      <c r="BX62" s="527" t="s">
        <v>2278</v>
      </c>
      <c r="BY62" s="440" t="str">
        <f t="shared" si="8"/>
        <v/>
      </c>
      <c r="BZ62" s="1412">
        <v>50000</v>
      </c>
      <c r="CA62" s="247">
        <v>3</v>
      </c>
      <c r="CB62" s="261">
        <v>0</v>
      </c>
      <c r="CC62" s="261" t="s">
        <v>2236</v>
      </c>
      <c r="CD62" s="264">
        <v>0</v>
      </c>
      <c r="CE62" s="508">
        <v>0</v>
      </c>
      <c r="CF62" s="261">
        <v>1</v>
      </c>
      <c r="CG62" s="261">
        <v>0</v>
      </c>
      <c r="CH62" s="311" t="str">
        <f>IF(A62=FALSE,"",IF(Detail!BR62="","N/A",YEAR(Detail!F62)&amp;Detail!BU62&amp;Detail!BR62&amp;"-"&amp;Detail!$BR$13))</f>
        <v/>
      </c>
      <c r="CI62" s="1327" t="s">
        <v>2236</v>
      </c>
      <c r="CJ62" s="527" t="s">
        <v>2278</v>
      </c>
      <c r="CK62" s="440" t="str">
        <f t="shared" si="9"/>
        <v/>
      </c>
      <c r="CL62" s="1412">
        <v>50000</v>
      </c>
      <c r="CM62" s="247">
        <v>3</v>
      </c>
      <c r="CN62" s="261">
        <v>0</v>
      </c>
      <c r="CO62" s="261" t="s">
        <v>2236</v>
      </c>
      <c r="CP62" s="264">
        <v>0</v>
      </c>
      <c r="CQ62" s="508">
        <v>0</v>
      </c>
      <c r="CR62" s="261">
        <v>1</v>
      </c>
      <c r="CS62" s="261">
        <v>0</v>
      </c>
      <c r="CT62" s="311" t="str">
        <f>IF(A62=FALSE,"",IF(Detail!BZ62="","N/A",YEAR(Detail!F62)&amp;Detail!CC62&amp;Detail!BZ62&amp;"-"&amp;Detail!$BZ$13&amp;" (100%/"&amp;Detail!CD62&amp;"/"&amp;Detail!CE62&amp;"D)"))</f>
        <v/>
      </c>
      <c r="CU62" s="1327" t="s">
        <v>2236</v>
      </c>
      <c r="CV62" s="527" t="s">
        <v>2278</v>
      </c>
      <c r="CW62" s="241">
        <v>7</v>
      </c>
      <c r="CX62" s="1323">
        <v>365</v>
      </c>
      <c r="CY62" s="248">
        <v>1</v>
      </c>
      <c r="CZ62" s="261">
        <v>0</v>
      </c>
      <c r="DA62" s="1325" t="s">
        <v>2236</v>
      </c>
      <c r="DB62" s="538">
        <v>40</v>
      </c>
      <c r="DC62" s="1325">
        <v>0.1</v>
      </c>
      <c r="DD62" s="261">
        <v>1</v>
      </c>
      <c r="DE62" s="261">
        <v>0</v>
      </c>
      <c r="DF62" s="313" t="str">
        <f>IF(A62=FALSE,"",IF(Detail!CH62="","N/A",YEAR(Detail!F62)&amp;Detail!CK62&amp;Detail!CH62&amp;"-"&amp;Detail!$CH$13&amp;" (100%/"&amp;Detail!CL62&amp;"/"&amp;Detail!CM62&amp;"D)"))</f>
        <v/>
      </c>
      <c r="DG62" s="1354" t="s">
        <v>2236</v>
      </c>
      <c r="DH62" s="518" t="s">
        <v>2278</v>
      </c>
      <c r="DI62" s="241">
        <f t="shared" si="10"/>
        <v>7</v>
      </c>
      <c r="DJ62" s="243">
        <f t="shared" si="11"/>
        <v>365</v>
      </c>
      <c r="DK62" s="258">
        <v>1</v>
      </c>
      <c r="DL62" s="261">
        <v>0</v>
      </c>
      <c r="DM62" s="1325" t="s">
        <v>2236</v>
      </c>
      <c r="DN62" s="538">
        <v>40</v>
      </c>
      <c r="DO62" s="1325">
        <f t="shared" si="12"/>
        <v>0.1</v>
      </c>
      <c r="DP62" s="261">
        <v>1</v>
      </c>
      <c r="DQ62" s="261">
        <v>0</v>
      </c>
      <c r="DR62" s="920" t="str">
        <f>IF(A62=FALSE,"",IF(Detail!CP62="","N/A",YEAR(Detail!F62)&amp;Detail!CS62&amp;Detail!CP62&amp;"-"&amp;Detail!$CP$13))</f>
        <v/>
      </c>
      <c r="DS62" s="308" t="s">
        <v>2236</v>
      </c>
      <c r="DT62" s="720" t="s">
        <v>2277</v>
      </c>
      <c r="DU62" s="244">
        <v>50000</v>
      </c>
      <c r="DV62" s="247">
        <v>2</v>
      </c>
      <c r="DW62" s="261">
        <v>0</v>
      </c>
      <c r="DX62" s="261" t="s">
        <v>2236</v>
      </c>
      <c r="DY62" s="264">
        <v>0</v>
      </c>
      <c r="DZ62" s="444">
        <v>0</v>
      </c>
      <c r="EA62" s="444">
        <v>1</v>
      </c>
      <c r="EB62" s="444">
        <v>0</v>
      </c>
      <c r="EC62" s="761" t="str">
        <f>IF(A62=FALSE,"",IF(Detail!CX62="","N/A",YEAR(Detail!F62)&amp;Detail!DA62&amp;Detail!CX62&amp;"-"&amp;Detail!$CX$13))</f>
        <v/>
      </c>
      <c r="ED62" s="445" t="s">
        <v>2236</v>
      </c>
      <c r="EE62" s="720" t="s">
        <v>2277</v>
      </c>
      <c r="EF62" s="244">
        <v>50000</v>
      </c>
      <c r="EG62" s="247">
        <v>2</v>
      </c>
      <c r="EH62" s="261">
        <v>0</v>
      </c>
      <c r="EI62" s="261" t="s">
        <v>2236</v>
      </c>
      <c r="EJ62" s="264">
        <v>0</v>
      </c>
      <c r="EK62" s="444">
        <v>0</v>
      </c>
      <c r="EL62" s="444">
        <v>1</v>
      </c>
      <c r="EM62" s="444">
        <v>0</v>
      </c>
      <c r="EN62" s="333" t="str">
        <f>IF(A62=FALSE,"",IF(Detail!DF62="","N/A",YEAR(Detail!F62)&amp;Detail!DI62&amp;Detail!DF62&amp;"-"&amp;Detail!$DF$13))</f>
        <v/>
      </c>
      <c r="EO62" s="1012" t="s">
        <v>2236</v>
      </c>
      <c r="EP62" s="1012" t="s">
        <v>2277</v>
      </c>
      <c r="EQ62" s="1013">
        <f t="shared" si="13"/>
        <v>0</v>
      </c>
      <c r="ER62" s="1013" t="s">
        <v>2236</v>
      </c>
      <c r="ES62" s="264">
        <v>0</v>
      </c>
      <c r="ET62" s="1013">
        <v>0</v>
      </c>
      <c r="EU62" s="1013">
        <v>1</v>
      </c>
      <c r="EV62" s="1013">
        <v>0</v>
      </c>
      <c r="EW62" s="333" t="str">
        <f>IF(DJ62=FALSE,"",IF(Detail!ET62="","N/A",YEAR(Detail!DN62)&amp;Detail!EW62&amp;Detail!ET62&amp;"-"&amp;Detail!$AL$13&amp;Detail!EU62))</f>
        <v>N/A</v>
      </c>
      <c r="EX62" s="1012" t="s">
        <v>2236</v>
      </c>
      <c r="EY62" s="1012" t="s">
        <v>2277</v>
      </c>
      <c r="EZ62" s="1013">
        <f t="shared" si="14"/>
        <v>0</v>
      </c>
      <c r="FA62" s="1013" t="s">
        <v>2236</v>
      </c>
      <c r="FB62" s="264">
        <v>0</v>
      </c>
      <c r="FC62" s="1013">
        <v>0</v>
      </c>
      <c r="FD62" s="1013">
        <v>1</v>
      </c>
      <c r="FE62" s="1013">
        <v>0</v>
      </c>
    </row>
    <row r="63" spans="1:161" s="422" customFormat="1" ht="30" customHeight="1" outlineLevel="1">
      <c r="A63" s="439" t="b">
        <f>Calcul!A63</f>
        <v>0</v>
      </c>
      <c r="B63" s="510" t="str">
        <f t="shared" si="15"/>
        <v/>
      </c>
      <c r="C63" s="1404" t="b">
        <v>0</v>
      </c>
      <c r="D63" s="1404" t="s">
        <v>2147</v>
      </c>
      <c r="E63" s="1405" t="s">
        <v>2335</v>
      </c>
      <c r="F63" s="243" t="s">
        <v>2146</v>
      </c>
      <c r="G63" s="356" t="str">
        <f>IF(A63=FALSE,"",IF(NAMES!$D$10=FALSE,IF(Detail!H63="","",Detail!H63),IF(Crewlist!D63="","",Crewlist!D63)))</f>
        <v/>
      </c>
      <c r="H63" s="356" t="str">
        <f>IF(A63=FALSE,"",IF(NAMES!$D$10=FALSE,IF(Detail!P63="","",Detail!P63),IF(Crewlist!E63="","",Crewlist!E63)))</f>
        <v/>
      </c>
      <c r="I63" s="356" t="str">
        <f>IF(A63=FALSE,"",IF(NAMES!$D$10=FALSE,IF(Detail!K63="","",Detail!K63),IF(Crewlist!F63="","",Crewlist!F63)))</f>
        <v/>
      </c>
      <c r="J63" s="1001" t="str">
        <f>IF(Crewlist!T63="","",Crewlist!T63)</f>
        <v/>
      </c>
      <c r="K63" s="1001" t="str">
        <f>IF(Crewlist!D63="","",IF(Crewlist!U63="",Crewlist!Y63,IF(DATERENOUVMOINS730&lt;&gt;Crewlist!U63&lt;&gt;Crewlist!Y63,Crewlist!U63,DATERENOUVMOINS365)))</f>
        <v/>
      </c>
      <c r="L63" s="775" t="str">
        <f>IF(Detail!X63="","",Detail!X63)</f>
        <v/>
      </c>
      <c r="M63" s="775" t="str">
        <f>IF(Detail!H63="","",IF(Detail!Y63="",DATERENOUV,IF(Detail!Y63&gt;Detail!D63,Detail!D63,Detail!Y63)))</f>
        <v/>
      </c>
      <c r="N63" s="1015" t="str">
        <f>IF(A63=FALSE,"",IF(NAMES!$D$10=FALSE,IF(B63=B64,IF(O63=O64,0,(DATEDIF(L63,M63,"M")+1)),(DATEDIF(L63,M63,"M")+1)),IF(B63=B64,IF(O63=O64,0,(DATEDIF(J63,K63,"M")+1)),(DATEDIF(J63,K63,"M")+1))))</f>
        <v/>
      </c>
      <c r="O63" s="357" t="str">
        <f t="shared" si="5"/>
        <v/>
      </c>
      <c r="P63" s="358" t="str">
        <f>IF(A63=FALSE,"",IF(NAMES!$D$10=FALSE,IF((DATEDIF(L63,M63,"D")+1)&lt;365,(DATEDIF(L63,M63,"D")+1),365),IF((DATEDIF(J63,K63,"D")+1)&lt;365,(DATEDIF(J63,K63,"D")+1),365)))</f>
        <v/>
      </c>
      <c r="Q63" s="358" t="str">
        <f>IF(A63=FALSE,"",IF(NAMES!$D$10=FALSE,IF(M63="",365,DATEDIF(L63,M63,"D")+1),IF(M63="",365,DATEDIF(J63,K63,"D")+1)))</f>
        <v/>
      </c>
      <c r="R63" s="950" t="str">
        <f>Calcul!X63</f>
        <v/>
      </c>
      <c r="S63" s="950" t="str">
        <f>Calcul!Y63</f>
        <v/>
      </c>
      <c r="T63" s="993" t="str">
        <f>Calcul!AG63</f>
        <v/>
      </c>
      <c r="U63" s="368" t="str">
        <f>IF(A63=FALSE,"",IF(NAMES!$D$10=FALSE,IF(Detail!S63="","",Detail!S63),IF(Crewlist!V63="","",Crewlist!V63)))</f>
        <v/>
      </c>
      <c r="V63" s="245" t="str">
        <f>Calcul!AI63</f>
        <v/>
      </c>
      <c r="W63" s="245" t="str">
        <f>Calcul!AL63</f>
        <v/>
      </c>
      <c r="X63" s="245" t="str">
        <f>Calcul!AM63</f>
        <v/>
      </c>
      <c r="Y63" s="353" t="str">
        <f>Calcul!AN63</f>
        <v/>
      </c>
      <c r="Z63" s="245" t="str">
        <f>Calcul!AO63</f>
        <v/>
      </c>
      <c r="AA63" s="245" t="str">
        <f>Calcul!AP63</f>
        <v/>
      </c>
      <c r="AB63" s="353" t="str">
        <f>Calcul!AQ63</f>
        <v/>
      </c>
      <c r="AC63" s="353" t="str">
        <f>IF(C63=FALSE,"",Calcul!BE63+Calcul!BF63)</f>
        <v/>
      </c>
      <c r="AD63" s="353" t="str">
        <f>IF(C63=FALSE,"",(Calcul!BG63+Calcul!BH63)+SUM(Calcul!BI63:BN63))</f>
        <v/>
      </c>
      <c r="AE63" s="353" t="str">
        <f>Calcul!BP63</f>
        <v/>
      </c>
      <c r="AF63" s="332" t="str">
        <f>IF(A63=FALSE,"",YEAR(Detail!F63)&amp;Detail!AG63&amp;Detail!AD63&amp;"-"&amp;Detail!$AD$13&amp;Detail!AE63)</f>
        <v/>
      </c>
      <c r="AG63" s="1406" t="s">
        <v>2236</v>
      </c>
      <c r="AH63" s="701" t="s">
        <v>2277</v>
      </c>
      <c r="AI63" s="1407">
        <v>0</v>
      </c>
      <c r="AJ63" s="1407" t="s">
        <v>2236</v>
      </c>
      <c r="AK63" s="1410">
        <v>32</v>
      </c>
      <c r="AL63" s="508">
        <v>0</v>
      </c>
      <c r="AM63" s="261">
        <v>1</v>
      </c>
      <c r="AN63" s="261">
        <v>0</v>
      </c>
      <c r="AO63" s="333" t="str">
        <f>IF(A63=FALSE,"",IF(Detail!AL63="","N/A",YEAR(Detail!F63)&amp;Detail!AO63&amp;Detail!AL63&amp;"-"&amp;Detail!$AL$13&amp;Detail!AM63))</f>
        <v/>
      </c>
      <c r="AP63" s="1406" t="s">
        <v>2236</v>
      </c>
      <c r="AQ63" s="701" t="s">
        <v>2277</v>
      </c>
      <c r="AR63" s="1407">
        <f t="shared" si="7"/>
        <v>0</v>
      </c>
      <c r="AS63" s="261" t="s">
        <v>2236</v>
      </c>
      <c r="AT63" s="264">
        <v>0</v>
      </c>
      <c r="AU63" s="261">
        <v>0</v>
      </c>
      <c r="AV63" s="261">
        <v>1</v>
      </c>
      <c r="AW63" s="261">
        <v>0</v>
      </c>
      <c r="AX63" s="920" t="str">
        <f>IF(A63=FALSE,"",IF(Detail!AT63="","N/A",YEAR(Detail!F63)&amp;Detail!AW63&amp;Detail!AT63&amp;"-"&amp;Detail!$AT$13))</f>
        <v/>
      </c>
      <c r="AY63" s="1408" t="s">
        <v>2236</v>
      </c>
      <c r="AZ63" s="308" t="s">
        <v>2278</v>
      </c>
      <c r="BA63" s="440" t="str">
        <f>IF(A63=FALSE,"",51000+(Detail!AA63*7000))</f>
        <v/>
      </c>
      <c r="BB63" s="1412">
        <v>50000</v>
      </c>
      <c r="BC63" s="247">
        <v>3</v>
      </c>
      <c r="BD63" s="261">
        <v>0</v>
      </c>
      <c r="BE63" s="1325" t="s">
        <v>2236</v>
      </c>
      <c r="BF63" s="264">
        <v>0</v>
      </c>
      <c r="BG63" s="508">
        <v>0</v>
      </c>
      <c r="BH63" s="261">
        <v>1</v>
      </c>
      <c r="BI63" s="261">
        <v>0</v>
      </c>
      <c r="BJ63" s="311" t="str">
        <f>IF(A63=FALSE,"",IF(Detail!BB63="","N/A",YEAR(Detail!F63)&amp;Detail!BE63&amp;Detail!BB63&amp;"-"&amp;Detail!$BB$13))</f>
        <v/>
      </c>
      <c r="BK63" s="1354" t="s">
        <v>2236</v>
      </c>
      <c r="BL63" s="527" t="s">
        <v>2278</v>
      </c>
      <c r="BM63" s="440" t="str">
        <f>IF(A63=FALSE,"",51000+(Detail!AA63*7000))</f>
        <v/>
      </c>
      <c r="BN63" s="1412">
        <v>50000</v>
      </c>
      <c r="BO63" s="247">
        <v>3</v>
      </c>
      <c r="BP63" s="261">
        <v>0</v>
      </c>
      <c r="BQ63" s="261" t="s">
        <v>2236</v>
      </c>
      <c r="BR63" s="264">
        <v>0</v>
      </c>
      <c r="BS63" s="508">
        <v>0</v>
      </c>
      <c r="BT63" s="261">
        <v>1</v>
      </c>
      <c r="BU63" s="261">
        <v>0</v>
      </c>
      <c r="BV63" s="311" t="str">
        <f>IF(A63=FALSE,"",IF(Detail!BJ63="","N/A",YEAR(Detail!F63)&amp;Detail!BM63&amp;Detail!BJ63&amp;"-"&amp;Detail!$BJ$13))</f>
        <v/>
      </c>
      <c r="BW63" s="1409" t="s">
        <v>2236</v>
      </c>
      <c r="BX63" s="527" t="s">
        <v>2278</v>
      </c>
      <c r="BY63" s="440" t="str">
        <f t="shared" si="8"/>
        <v/>
      </c>
      <c r="BZ63" s="1412">
        <v>50000</v>
      </c>
      <c r="CA63" s="247">
        <v>3</v>
      </c>
      <c r="CB63" s="261">
        <v>0</v>
      </c>
      <c r="CC63" s="261" t="s">
        <v>2236</v>
      </c>
      <c r="CD63" s="264">
        <v>0</v>
      </c>
      <c r="CE63" s="508">
        <v>0</v>
      </c>
      <c r="CF63" s="261">
        <v>1</v>
      </c>
      <c r="CG63" s="261">
        <v>0</v>
      </c>
      <c r="CH63" s="311" t="str">
        <f>IF(A63=FALSE,"",IF(Detail!BR63="","N/A",YEAR(Detail!F63)&amp;Detail!BU63&amp;Detail!BR63&amp;"-"&amp;Detail!$BR$13))</f>
        <v/>
      </c>
      <c r="CI63" s="1327" t="s">
        <v>2236</v>
      </c>
      <c r="CJ63" s="527" t="s">
        <v>2278</v>
      </c>
      <c r="CK63" s="440" t="str">
        <f t="shared" si="9"/>
        <v/>
      </c>
      <c r="CL63" s="1412">
        <v>50000</v>
      </c>
      <c r="CM63" s="247">
        <v>3</v>
      </c>
      <c r="CN63" s="261">
        <v>0</v>
      </c>
      <c r="CO63" s="261" t="s">
        <v>2236</v>
      </c>
      <c r="CP63" s="264">
        <v>0</v>
      </c>
      <c r="CQ63" s="508">
        <v>0</v>
      </c>
      <c r="CR63" s="261">
        <v>1</v>
      </c>
      <c r="CS63" s="261">
        <v>0</v>
      </c>
      <c r="CT63" s="311" t="str">
        <f>IF(A63=FALSE,"",IF(Detail!BZ63="","N/A",YEAR(Detail!F63)&amp;Detail!CC63&amp;Detail!BZ63&amp;"-"&amp;Detail!$BZ$13&amp;" (100%/"&amp;Detail!CD63&amp;"/"&amp;Detail!CE63&amp;"D)"))</f>
        <v/>
      </c>
      <c r="CU63" s="1327" t="s">
        <v>2236</v>
      </c>
      <c r="CV63" s="527" t="s">
        <v>2278</v>
      </c>
      <c r="CW63" s="241">
        <v>7</v>
      </c>
      <c r="CX63" s="1323">
        <v>365</v>
      </c>
      <c r="CY63" s="248">
        <v>1</v>
      </c>
      <c r="CZ63" s="261">
        <v>0</v>
      </c>
      <c r="DA63" s="1325" t="s">
        <v>2236</v>
      </c>
      <c r="DB63" s="538">
        <v>40</v>
      </c>
      <c r="DC63" s="1325">
        <v>0.1</v>
      </c>
      <c r="DD63" s="261">
        <v>1</v>
      </c>
      <c r="DE63" s="261">
        <v>0</v>
      </c>
      <c r="DF63" s="313" t="str">
        <f>IF(A63=FALSE,"",IF(Detail!CH63="","N/A",YEAR(Detail!F63)&amp;Detail!CK63&amp;Detail!CH63&amp;"-"&amp;Detail!$CH$13&amp;" (100%/"&amp;Detail!CL63&amp;"/"&amp;Detail!CM63&amp;"D)"))</f>
        <v/>
      </c>
      <c r="DG63" s="1354" t="s">
        <v>2236</v>
      </c>
      <c r="DH63" s="518" t="s">
        <v>2278</v>
      </c>
      <c r="DI63" s="241">
        <f t="shared" si="10"/>
        <v>7</v>
      </c>
      <c r="DJ63" s="243">
        <f t="shared" si="11"/>
        <v>365</v>
      </c>
      <c r="DK63" s="258">
        <v>1</v>
      </c>
      <c r="DL63" s="261">
        <v>0</v>
      </c>
      <c r="DM63" s="1325" t="s">
        <v>2236</v>
      </c>
      <c r="DN63" s="538">
        <v>40</v>
      </c>
      <c r="DO63" s="1325">
        <f t="shared" si="12"/>
        <v>0.1</v>
      </c>
      <c r="DP63" s="261">
        <v>1</v>
      </c>
      <c r="DQ63" s="261">
        <v>0</v>
      </c>
      <c r="DR63" s="920" t="str">
        <f>IF(A63=FALSE,"",IF(Detail!CP63="","N/A",YEAR(Detail!F63)&amp;Detail!CS63&amp;Detail!CP63&amp;"-"&amp;Detail!$CP$13))</f>
        <v/>
      </c>
      <c r="DS63" s="308" t="s">
        <v>2236</v>
      </c>
      <c r="DT63" s="720" t="s">
        <v>2277</v>
      </c>
      <c r="DU63" s="244">
        <v>50000</v>
      </c>
      <c r="DV63" s="247">
        <v>2</v>
      </c>
      <c r="DW63" s="261">
        <v>0</v>
      </c>
      <c r="DX63" s="261" t="s">
        <v>2236</v>
      </c>
      <c r="DY63" s="264">
        <v>0</v>
      </c>
      <c r="DZ63" s="444">
        <v>0</v>
      </c>
      <c r="EA63" s="444">
        <v>1</v>
      </c>
      <c r="EB63" s="444">
        <v>0</v>
      </c>
      <c r="EC63" s="761" t="str">
        <f>IF(A63=FALSE,"",IF(Detail!CX63="","N/A",YEAR(Detail!F63)&amp;Detail!DA63&amp;Detail!CX63&amp;"-"&amp;Detail!$CX$13))</f>
        <v/>
      </c>
      <c r="ED63" s="445" t="s">
        <v>2236</v>
      </c>
      <c r="EE63" s="720" t="s">
        <v>2277</v>
      </c>
      <c r="EF63" s="244">
        <v>50000</v>
      </c>
      <c r="EG63" s="247">
        <v>2</v>
      </c>
      <c r="EH63" s="261">
        <v>0</v>
      </c>
      <c r="EI63" s="261" t="s">
        <v>2236</v>
      </c>
      <c r="EJ63" s="264">
        <v>0</v>
      </c>
      <c r="EK63" s="444">
        <v>0</v>
      </c>
      <c r="EL63" s="444">
        <v>1</v>
      </c>
      <c r="EM63" s="444">
        <v>0</v>
      </c>
      <c r="EN63" s="333" t="str">
        <f>IF(A63=FALSE,"",IF(Detail!DF63="","N/A",YEAR(Detail!F63)&amp;Detail!DI63&amp;Detail!DF63&amp;"-"&amp;Detail!$DF$13))</f>
        <v/>
      </c>
      <c r="EO63" s="1012" t="s">
        <v>2236</v>
      </c>
      <c r="EP63" s="1012" t="s">
        <v>2277</v>
      </c>
      <c r="EQ63" s="1013">
        <f t="shared" si="13"/>
        <v>0</v>
      </c>
      <c r="ER63" s="1013" t="s">
        <v>2236</v>
      </c>
      <c r="ES63" s="264">
        <v>0</v>
      </c>
      <c r="ET63" s="1013">
        <v>0</v>
      </c>
      <c r="EU63" s="1013">
        <v>1</v>
      </c>
      <c r="EV63" s="1013">
        <v>0</v>
      </c>
      <c r="EW63" s="333" t="str">
        <f>IF(DJ63=FALSE,"",IF(Detail!ET63="","N/A",YEAR(Detail!DN63)&amp;Detail!EW63&amp;Detail!ET63&amp;"-"&amp;Detail!$AL$13&amp;Detail!EU63))</f>
        <v>N/A</v>
      </c>
      <c r="EX63" s="1012" t="s">
        <v>2236</v>
      </c>
      <c r="EY63" s="1012" t="s">
        <v>2277</v>
      </c>
      <c r="EZ63" s="1013">
        <f t="shared" si="14"/>
        <v>0</v>
      </c>
      <c r="FA63" s="1013" t="s">
        <v>2236</v>
      </c>
      <c r="FB63" s="264">
        <v>0</v>
      </c>
      <c r="FC63" s="1013">
        <v>0</v>
      </c>
      <c r="FD63" s="1013">
        <v>1</v>
      </c>
      <c r="FE63" s="1013">
        <v>0</v>
      </c>
    </row>
    <row r="64" spans="1:161" s="422" customFormat="1" ht="30" customHeight="1" outlineLevel="1">
      <c r="A64" s="439" t="b">
        <f>Calcul!A64</f>
        <v>0</v>
      </c>
      <c r="B64" s="510" t="str">
        <f t="shared" si="15"/>
        <v/>
      </c>
      <c r="C64" s="1404" t="b">
        <v>0</v>
      </c>
      <c r="D64" s="1404" t="s">
        <v>2147</v>
      </c>
      <c r="E64" s="1405" t="s">
        <v>2335</v>
      </c>
      <c r="F64" s="243" t="s">
        <v>2146</v>
      </c>
      <c r="G64" s="356" t="str">
        <f>IF(A64=FALSE,"",IF(NAMES!$D$10=FALSE,IF(Detail!H64="","",Detail!H64),IF(Crewlist!D64="","",Crewlist!D64)))</f>
        <v/>
      </c>
      <c r="H64" s="356" t="str">
        <f>IF(A64=FALSE,"",IF(NAMES!$D$10=FALSE,IF(Detail!P64="","",Detail!P64),IF(Crewlist!E64="","",Crewlist!E64)))</f>
        <v/>
      </c>
      <c r="I64" s="356" t="str">
        <f>IF(A64=FALSE,"",IF(NAMES!$D$10=FALSE,IF(Detail!K64="","",Detail!K64),IF(Crewlist!F64="","",Crewlist!F64)))</f>
        <v/>
      </c>
      <c r="J64" s="1001" t="str">
        <f>IF(Crewlist!T64="","",Crewlist!T64)</f>
        <v/>
      </c>
      <c r="K64" s="1001" t="str">
        <f>IF(Crewlist!D64="","",IF(Crewlist!U64="",Crewlist!Y64,IF(DATERENOUVMOINS730&lt;&gt;Crewlist!U64&lt;&gt;Crewlist!Y64,Crewlist!U64,DATERENOUVMOINS365)))</f>
        <v/>
      </c>
      <c r="L64" s="775" t="str">
        <f>IF(Detail!X64="","",Detail!X64)</f>
        <v/>
      </c>
      <c r="M64" s="775" t="str">
        <f>IF(Detail!H64="","",IF(Detail!Y64="",DATERENOUV,IF(Detail!Y64&gt;Detail!D64,Detail!D64,Detail!Y64)))</f>
        <v/>
      </c>
      <c r="N64" s="1015" t="str">
        <f>IF(A64=FALSE,"",IF(NAMES!$D$10=FALSE,IF(B64=B65,IF(O64=O65,0,(DATEDIF(L64,M64,"M")+1)),(DATEDIF(L64,M64,"M")+1)),IF(B64=B65,IF(O64=O65,0,(DATEDIF(J64,K64,"M")+1)),(DATEDIF(J64,K64,"M")+1))))</f>
        <v/>
      </c>
      <c r="O64" s="357" t="str">
        <f t="shared" si="5"/>
        <v/>
      </c>
      <c r="P64" s="358" t="str">
        <f>IF(A64=FALSE,"",IF(NAMES!$D$10=FALSE,IF((DATEDIF(L64,M64,"D")+1)&lt;365,(DATEDIF(L64,M64,"D")+1),365),IF((DATEDIF(J64,K64,"D")+1)&lt;365,(DATEDIF(J64,K64,"D")+1),365)))</f>
        <v/>
      </c>
      <c r="Q64" s="358" t="str">
        <f>IF(A64=FALSE,"",IF(NAMES!$D$10=FALSE,IF(M64="",365,DATEDIF(L64,M64,"D")+1),IF(M64="",365,DATEDIF(J64,K64,"D")+1)))</f>
        <v/>
      </c>
      <c r="R64" s="950" t="str">
        <f>Calcul!X64</f>
        <v/>
      </c>
      <c r="S64" s="950" t="str">
        <f>Calcul!Y64</f>
        <v/>
      </c>
      <c r="T64" s="993" t="str">
        <f>Calcul!AG64</f>
        <v/>
      </c>
      <c r="U64" s="368" t="str">
        <f>IF(A64=FALSE,"",IF(NAMES!$D$10=FALSE,IF(Detail!S64="","",Detail!S64),IF(Crewlist!V64="","",Crewlist!V64)))</f>
        <v/>
      </c>
      <c r="V64" s="245" t="str">
        <f>Calcul!AI64</f>
        <v/>
      </c>
      <c r="W64" s="245" t="str">
        <f>Calcul!AL64</f>
        <v/>
      </c>
      <c r="X64" s="245" t="str">
        <f>Calcul!AM64</f>
        <v/>
      </c>
      <c r="Y64" s="353" t="str">
        <f>Calcul!AN64</f>
        <v/>
      </c>
      <c r="Z64" s="245" t="str">
        <f>Calcul!AO64</f>
        <v/>
      </c>
      <c r="AA64" s="245" t="str">
        <f>Calcul!AP64</f>
        <v/>
      </c>
      <c r="AB64" s="353" t="str">
        <f>Calcul!AQ64</f>
        <v/>
      </c>
      <c r="AC64" s="353" t="str">
        <f>IF(C64=FALSE,"",Calcul!BE64+Calcul!BF64)</f>
        <v/>
      </c>
      <c r="AD64" s="353" t="str">
        <f>IF(C64=FALSE,"",(Calcul!BG64+Calcul!BH64)+SUM(Calcul!BI64:BN64))</f>
        <v/>
      </c>
      <c r="AE64" s="353" t="str">
        <f>Calcul!BP64</f>
        <v/>
      </c>
      <c r="AF64" s="332" t="str">
        <f>IF(A64=FALSE,"",YEAR(Detail!F64)&amp;Detail!AG64&amp;Detail!AD64&amp;"-"&amp;Detail!$AD$13&amp;Detail!AE64)</f>
        <v/>
      </c>
      <c r="AG64" s="1406" t="s">
        <v>2236</v>
      </c>
      <c r="AH64" s="701" t="s">
        <v>2277</v>
      </c>
      <c r="AI64" s="1407">
        <v>0</v>
      </c>
      <c r="AJ64" s="1407" t="s">
        <v>2236</v>
      </c>
      <c r="AK64" s="1410">
        <v>32</v>
      </c>
      <c r="AL64" s="508">
        <v>0</v>
      </c>
      <c r="AM64" s="261">
        <v>1</v>
      </c>
      <c r="AN64" s="261">
        <v>0</v>
      </c>
      <c r="AO64" s="333" t="str">
        <f>IF(A64=FALSE,"",IF(Detail!AL64="","N/A",YEAR(Detail!F64)&amp;Detail!AO64&amp;Detail!AL64&amp;"-"&amp;Detail!$AL$13&amp;Detail!AM64))</f>
        <v/>
      </c>
      <c r="AP64" s="1406" t="s">
        <v>2236</v>
      </c>
      <c r="AQ64" s="701" t="s">
        <v>2277</v>
      </c>
      <c r="AR64" s="1407">
        <f t="shared" si="7"/>
        <v>0</v>
      </c>
      <c r="AS64" s="261" t="s">
        <v>2236</v>
      </c>
      <c r="AT64" s="264">
        <v>0</v>
      </c>
      <c r="AU64" s="261">
        <v>0</v>
      </c>
      <c r="AV64" s="261">
        <v>1</v>
      </c>
      <c r="AW64" s="261">
        <v>0</v>
      </c>
      <c r="AX64" s="920" t="str">
        <f>IF(A64=FALSE,"",IF(Detail!AT64="","N/A",YEAR(Detail!F64)&amp;Detail!AW64&amp;Detail!AT64&amp;"-"&amp;Detail!$AT$13))</f>
        <v/>
      </c>
      <c r="AY64" s="1408" t="s">
        <v>2236</v>
      </c>
      <c r="AZ64" s="308" t="s">
        <v>2278</v>
      </c>
      <c r="BA64" s="440" t="str">
        <f>IF(A64=FALSE,"",51000+(Detail!AA64*7000))</f>
        <v/>
      </c>
      <c r="BB64" s="1412">
        <v>50000</v>
      </c>
      <c r="BC64" s="247">
        <v>3</v>
      </c>
      <c r="BD64" s="261">
        <v>0</v>
      </c>
      <c r="BE64" s="1325" t="s">
        <v>2236</v>
      </c>
      <c r="BF64" s="264">
        <v>0</v>
      </c>
      <c r="BG64" s="508">
        <v>0</v>
      </c>
      <c r="BH64" s="261">
        <v>1</v>
      </c>
      <c r="BI64" s="261">
        <v>0</v>
      </c>
      <c r="BJ64" s="311" t="str">
        <f>IF(A64=FALSE,"",IF(Detail!BB64="","N/A",YEAR(Detail!F64)&amp;Detail!BE64&amp;Detail!BB64&amp;"-"&amp;Detail!$BB$13))</f>
        <v/>
      </c>
      <c r="BK64" s="1354" t="s">
        <v>2236</v>
      </c>
      <c r="BL64" s="527" t="s">
        <v>2278</v>
      </c>
      <c r="BM64" s="440" t="str">
        <f>IF(A64=FALSE,"",51000+(Detail!AA64*7000))</f>
        <v/>
      </c>
      <c r="BN64" s="1412">
        <v>50000</v>
      </c>
      <c r="BO64" s="247">
        <v>3</v>
      </c>
      <c r="BP64" s="261">
        <v>0</v>
      </c>
      <c r="BQ64" s="261" t="s">
        <v>2236</v>
      </c>
      <c r="BR64" s="264">
        <v>0</v>
      </c>
      <c r="BS64" s="508">
        <v>0</v>
      </c>
      <c r="BT64" s="261">
        <v>1</v>
      </c>
      <c r="BU64" s="261">
        <v>0</v>
      </c>
      <c r="BV64" s="311" t="str">
        <f>IF(A64=FALSE,"",IF(Detail!BJ64="","N/A",YEAR(Detail!F64)&amp;Detail!BM64&amp;Detail!BJ64&amp;"-"&amp;Detail!$BJ$13))</f>
        <v/>
      </c>
      <c r="BW64" s="1409" t="s">
        <v>2236</v>
      </c>
      <c r="BX64" s="527" t="s">
        <v>2278</v>
      </c>
      <c r="BY64" s="440" t="str">
        <f t="shared" si="8"/>
        <v/>
      </c>
      <c r="BZ64" s="1412">
        <v>50000</v>
      </c>
      <c r="CA64" s="247">
        <v>3</v>
      </c>
      <c r="CB64" s="261">
        <v>0</v>
      </c>
      <c r="CC64" s="261" t="s">
        <v>2236</v>
      </c>
      <c r="CD64" s="264">
        <v>0</v>
      </c>
      <c r="CE64" s="508">
        <v>0</v>
      </c>
      <c r="CF64" s="261">
        <v>1</v>
      </c>
      <c r="CG64" s="261">
        <v>0</v>
      </c>
      <c r="CH64" s="311" t="str">
        <f>IF(A64=FALSE,"",IF(Detail!BR64="","N/A",YEAR(Detail!F64)&amp;Detail!BU64&amp;Detail!BR64&amp;"-"&amp;Detail!$BR$13))</f>
        <v/>
      </c>
      <c r="CI64" s="1327" t="s">
        <v>2236</v>
      </c>
      <c r="CJ64" s="527" t="s">
        <v>2278</v>
      </c>
      <c r="CK64" s="440" t="str">
        <f t="shared" si="9"/>
        <v/>
      </c>
      <c r="CL64" s="1412">
        <v>50000</v>
      </c>
      <c r="CM64" s="247">
        <v>3</v>
      </c>
      <c r="CN64" s="261">
        <v>0</v>
      </c>
      <c r="CO64" s="261" t="s">
        <v>2236</v>
      </c>
      <c r="CP64" s="264">
        <v>0</v>
      </c>
      <c r="CQ64" s="508">
        <v>0</v>
      </c>
      <c r="CR64" s="261">
        <v>1</v>
      </c>
      <c r="CS64" s="261">
        <v>0</v>
      </c>
      <c r="CT64" s="311" t="str">
        <f>IF(A64=FALSE,"",IF(Detail!BZ64="","N/A",YEAR(Detail!F64)&amp;Detail!CC64&amp;Detail!BZ64&amp;"-"&amp;Detail!$BZ$13&amp;" (100%/"&amp;Detail!CD64&amp;"/"&amp;Detail!CE64&amp;"D)"))</f>
        <v/>
      </c>
      <c r="CU64" s="1327" t="s">
        <v>2236</v>
      </c>
      <c r="CV64" s="527" t="s">
        <v>2278</v>
      </c>
      <c r="CW64" s="241">
        <v>7</v>
      </c>
      <c r="CX64" s="1323">
        <v>365</v>
      </c>
      <c r="CY64" s="248">
        <v>1</v>
      </c>
      <c r="CZ64" s="261">
        <v>0</v>
      </c>
      <c r="DA64" s="1325" t="s">
        <v>2236</v>
      </c>
      <c r="DB64" s="538">
        <v>40</v>
      </c>
      <c r="DC64" s="1325">
        <v>0.1</v>
      </c>
      <c r="DD64" s="261">
        <v>1</v>
      </c>
      <c r="DE64" s="261">
        <v>0</v>
      </c>
      <c r="DF64" s="313" t="str">
        <f>IF(A64=FALSE,"",IF(Detail!CH64="","N/A",YEAR(Detail!F64)&amp;Detail!CK64&amp;Detail!CH64&amp;"-"&amp;Detail!$CH$13&amp;" (100%/"&amp;Detail!CL64&amp;"/"&amp;Detail!CM64&amp;"D)"))</f>
        <v/>
      </c>
      <c r="DG64" s="1354" t="s">
        <v>2236</v>
      </c>
      <c r="DH64" s="518" t="s">
        <v>2278</v>
      </c>
      <c r="DI64" s="241">
        <f t="shared" si="10"/>
        <v>7</v>
      </c>
      <c r="DJ64" s="243">
        <f t="shared" si="11"/>
        <v>365</v>
      </c>
      <c r="DK64" s="258">
        <v>1</v>
      </c>
      <c r="DL64" s="261">
        <v>0</v>
      </c>
      <c r="DM64" s="1325" t="s">
        <v>2236</v>
      </c>
      <c r="DN64" s="538">
        <v>40</v>
      </c>
      <c r="DO64" s="1325">
        <f t="shared" si="12"/>
        <v>0.1</v>
      </c>
      <c r="DP64" s="261">
        <v>1</v>
      </c>
      <c r="DQ64" s="261">
        <v>0</v>
      </c>
      <c r="DR64" s="920" t="str">
        <f>IF(A64=FALSE,"",IF(Detail!CP64="","N/A",YEAR(Detail!F64)&amp;Detail!CS64&amp;Detail!CP64&amp;"-"&amp;Detail!$CP$13))</f>
        <v/>
      </c>
      <c r="DS64" s="308" t="s">
        <v>2236</v>
      </c>
      <c r="DT64" s="720" t="s">
        <v>2277</v>
      </c>
      <c r="DU64" s="244">
        <v>50000</v>
      </c>
      <c r="DV64" s="247">
        <v>2</v>
      </c>
      <c r="DW64" s="261">
        <v>0</v>
      </c>
      <c r="DX64" s="261" t="s">
        <v>2236</v>
      </c>
      <c r="DY64" s="264">
        <v>0</v>
      </c>
      <c r="DZ64" s="444">
        <v>0</v>
      </c>
      <c r="EA64" s="444">
        <v>1</v>
      </c>
      <c r="EB64" s="444">
        <v>0</v>
      </c>
      <c r="EC64" s="761" t="str">
        <f>IF(A64=FALSE,"",IF(Detail!CX64="","N/A",YEAR(Detail!F64)&amp;Detail!DA64&amp;Detail!CX64&amp;"-"&amp;Detail!$CX$13))</f>
        <v/>
      </c>
      <c r="ED64" s="445" t="s">
        <v>2236</v>
      </c>
      <c r="EE64" s="720" t="s">
        <v>2277</v>
      </c>
      <c r="EF64" s="244">
        <v>50000</v>
      </c>
      <c r="EG64" s="247">
        <v>2</v>
      </c>
      <c r="EH64" s="261">
        <v>0</v>
      </c>
      <c r="EI64" s="261" t="s">
        <v>2236</v>
      </c>
      <c r="EJ64" s="264">
        <v>0</v>
      </c>
      <c r="EK64" s="444">
        <v>0</v>
      </c>
      <c r="EL64" s="444">
        <v>1</v>
      </c>
      <c r="EM64" s="444">
        <v>0</v>
      </c>
      <c r="EN64" s="333" t="str">
        <f>IF(A64=FALSE,"",IF(Detail!DF64="","N/A",YEAR(Detail!F64)&amp;Detail!DI64&amp;Detail!DF64&amp;"-"&amp;Detail!$DF$13))</f>
        <v/>
      </c>
      <c r="EO64" s="1012" t="s">
        <v>2236</v>
      </c>
      <c r="EP64" s="1012" t="s">
        <v>2277</v>
      </c>
      <c r="EQ64" s="1013">
        <f t="shared" si="13"/>
        <v>0</v>
      </c>
      <c r="ER64" s="1013" t="s">
        <v>2236</v>
      </c>
      <c r="ES64" s="264">
        <v>0</v>
      </c>
      <c r="ET64" s="1013">
        <v>0</v>
      </c>
      <c r="EU64" s="1013">
        <v>1</v>
      </c>
      <c r="EV64" s="1013">
        <v>0</v>
      </c>
      <c r="EW64" s="333" t="str">
        <f>IF(DJ64=FALSE,"",IF(Detail!ET64="","N/A",YEAR(Detail!DN64)&amp;Detail!EW64&amp;Detail!ET64&amp;"-"&amp;Detail!$AL$13&amp;Detail!EU64))</f>
        <v>N/A</v>
      </c>
      <c r="EX64" s="1012" t="s">
        <v>2236</v>
      </c>
      <c r="EY64" s="1012" t="s">
        <v>2277</v>
      </c>
      <c r="EZ64" s="1013">
        <f t="shared" si="14"/>
        <v>0</v>
      </c>
      <c r="FA64" s="1013" t="s">
        <v>2236</v>
      </c>
      <c r="FB64" s="264">
        <v>0</v>
      </c>
      <c r="FC64" s="1013">
        <v>0</v>
      </c>
      <c r="FD64" s="1013">
        <v>1</v>
      </c>
      <c r="FE64" s="1013">
        <v>0</v>
      </c>
    </row>
    <row r="65" spans="1:161" s="422" customFormat="1" ht="30" customHeight="1" outlineLevel="1">
      <c r="A65" s="439" t="b">
        <f>Calcul!A65</f>
        <v>0</v>
      </c>
      <c r="B65" s="510" t="str">
        <f t="shared" si="15"/>
        <v/>
      </c>
      <c r="C65" s="1404" t="b">
        <v>0</v>
      </c>
      <c r="D65" s="1404" t="s">
        <v>2147</v>
      </c>
      <c r="E65" s="1405" t="s">
        <v>2335</v>
      </c>
      <c r="F65" s="243" t="s">
        <v>2146</v>
      </c>
      <c r="G65" s="356" t="str">
        <f>IF(A65=FALSE,"",IF(NAMES!$D$10=FALSE,IF(Detail!H65="","",Detail!H65),IF(Crewlist!D65="","",Crewlist!D65)))</f>
        <v/>
      </c>
      <c r="H65" s="356" t="str">
        <f>IF(A65=FALSE,"",IF(NAMES!$D$10=FALSE,IF(Detail!P65="","",Detail!P65),IF(Crewlist!E65="","",Crewlist!E65)))</f>
        <v/>
      </c>
      <c r="I65" s="356" t="str">
        <f>IF(A65=FALSE,"",IF(NAMES!$D$10=FALSE,IF(Detail!K65="","",Detail!K65),IF(Crewlist!F65="","",Crewlist!F65)))</f>
        <v/>
      </c>
      <c r="J65" s="1001" t="str">
        <f>IF(Crewlist!T65="","",Crewlist!T65)</f>
        <v/>
      </c>
      <c r="K65" s="1001" t="str">
        <f>IF(Crewlist!D65="","",IF(Crewlist!U65="",Crewlist!Y65,IF(DATERENOUVMOINS730&lt;&gt;Crewlist!U65&lt;&gt;Crewlist!Y65,Crewlist!U65,DATERENOUVMOINS365)))</f>
        <v/>
      </c>
      <c r="L65" s="775" t="str">
        <f>IF(Detail!X65="","",Detail!X65)</f>
        <v/>
      </c>
      <c r="M65" s="775" t="str">
        <f>IF(Detail!H65="","",IF(Detail!Y65="",DATERENOUV,IF(Detail!Y65&gt;Detail!D65,Detail!D65,Detail!Y65)))</f>
        <v/>
      </c>
      <c r="N65" s="1015" t="str">
        <f>IF(A65=FALSE,"",IF(NAMES!$D$10=FALSE,IF(B65=B66,IF(O65=O66,0,(DATEDIF(L65,M65,"M")+1)),(DATEDIF(L65,M65,"M")+1)),IF(B65=B66,IF(O65=O66,0,(DATEDIF(J65,K65,"M")+1)),(DATEDIF(J65,K65,"M")+1))))</f>
        <v/>
      </c>
      <c r="O65" s="357" t="str">
        <f t="shared" si="5"/>
        <v/>
      </c>
      <c r="P65" s="358" t="str">
        <f>IF(A65=FALSE,"",IF(NAMES!$D$10=FALSE,IF((DATEDIF(L65,M65,"D")+1)&lt;365,(DATEDIF(L65,M65,"D")+1),365),IF((DATEDIF(J65,K65,"D")+1)&lt;365,(DATEDIF(J65,K65,"D")+1),365)))</f>
        <v/>
      </c>
      <c r="Q65" s="358" t="str">
        <f>IF(A65=FALSE,"",IF(NAMES!$D$10=FALSE,IF(M65="",365,DATEDIF(L65,M65,"D")+1),IF(M65="",365,DATEDIF(J65,K65,"D")+1)))</f>
        <v/>
      </c>
      <c r="R65" s="950" t="str">
        <f>Calcul!X65</f>
        <v/>
      </c>
      <c r="S65" s="950" t="str">
        <f>Calcul!Y65</f>
        <v/>
      </c>
      <c r="T65" s="993" t="str">
        <f>Calcul!AG65</f>
        <v/>
      </c>
      <c r="U65" s="368" t="str">
        <f>IF(A65=FALSE,"",IF(NAMES!$D$10=FALSE,IF(Detail!S65="","",Detail!S65),IF(Crewlist!V65="","",Crewlist!V65)))</f>
        <v/>
      </c>
      <c r="V65" s="245" t="str">
        <f>Calcul!AI65</f>
        <v/>
      </c>
      <c r="W65" s="245" t="str">
        <f>Calcul!AL65</f>
        <v/>
      </c>
      <c r="X65" s="245" t="str">
        <f>Calcul!AM65</f>
        <v/>
      </c>
      <c r="Y65" s="353" t="str">
        <f>Calcul!AN65</f>
        <v/>
      </c>
      <c r="Z65" s="245" t="str">
        <f>Calcul!AO65</f>
        <v/>
      </c>
      <c r="AA65" s="245" t="str">
        <f>Calcul!AP65</f>
        <v/>
      </c>
      <c r="AB65" s="353" t="str">
        <f>Calcul!AQ65</f>
        <v/>
      </c>
      <c r="AC65" s="353" t="str">
        <f>IF(C65=FALSE,"",Calcul!BE65+Calcul!BF65)</f>
        <v/>
      </c>
      <c r="AD65" s="353" t="str">
        <f>IF(C65=FALSE,"",(Calcul!BG65+Calcul!BH65)+SUM(Calcul!BI65:BN65))</f>
        <v/>
      </c>
      <c r="AE65" s="353" t="str">
        <f>Calcul!BP65</f>
        <v/>
      </c>
      <c r="AF65" s="332" t="str">
        <f>IF(A65=FALSE,"",YEAR(Detail!F65)&amp;Detail!AG65&amp;Detail!AD65&amp;"-"&amp;Detail!$AD$13&amp;Detail!AE65)</f>
        <v/>
      </c>
      <c r="AG65" s="1406" t="s">
        <v>2236</v>
      </c>
      <c r="AH65" s="701" t="s">
        <v>2277</v>
      </c>
      <c r="AI65" s="1407">
        <v>0</v>
      </c>
      <c r="AJ65" s="1407" t="s">
        <v>2236</v>
      </c>
      <c r="AK65" s="1410">
        <v>32</v>
      </c>
      <c r="AL65" s="508">
        <v>0</v>
      </c>
      <c r="AM65" s="261">
        <v>1</v>
      </c>
      <c r="AN65" s="261">
        <v>0</v>
      </c>
      <c r="AO65" s="333" t="str">
        <f>IF(A65=FALSE,"",IF(Detail!AL65="","N/A",YEAR(Detail!F65)&amp;Detail!AO65&amp;Detail!AL65&amp;"-"&amp;Detail!$AL$13&amp;Detail!AM65))</f>
        <v/>
      </c>
      <c r="AP65" s="1406" t="s">
        <v>2236</v>
      </c>
      <c r="AQ65" s="701" t="s">
        <v>2277</v>
      </c>
      <c r="AR65" s="1407">
        <f t="shared" si="7"/>
        <v>0</v>
      </c>
      <c r="AS65" s="261" t="s">
        <v>2236</v>
      </c>
      <c r="AT65" s="264">
        <v>0</v>
      </c>
      <c r="AU65" s="261">
        <v>0</v>
      </c>
      <c r="AV65" s="261">
        <v>1</v>
      </c>
      <c r="AW65" s="261">
        <v>0</v>
      </c>
      <c r="AX65" s="920" t="str">
        <f>IF(A65=FALSE,"",IF(Detail!AT65="","N/A",YEAR(Detail!F65)&amp;Detail!AW65&amp;Detail!AT65&amp;"-"&amp;Detail!$AT$13))</f>
        <v/>
      </c>
      <c r="AY65" s="1408" t="s">
        <v>2236</v>
      </c>
      <c r="AZ65" s="308" t="s">
        <v>2278</v>
      </c>
      <c r="BA65" s="440" t="str">
        <f>IF(A65=FALSE,"",51000+(Detail!AA65*7000))</f>
        <v/>
      </c>
      <c r="BB65" s="1412">
        <v>50000</v>
      </c>
      <c r="BC65" s="247">
        <v>3</v>
      </c>
      <c r="BD65" s="261">
        <v>0</v>
      </c>
      <c r="BE65" s="1325" t="s">
        <v>2236</v>
      </c>
      <c r="BF65" s="264">
        <v>0</v>
      </c>
      <c r="BG65" s="508">
        <v>0</v>
      </c>
      <c r="BH65" s="261">
        <v>1</v>
      </c>
      <c r="BI65" s="261">
        <v>0</v>
      </c>
      <c r="BJ65" s="311" t="str">
        <f>IF(A65=FALSE,"",IF(Detail!BB65="","N/A",YEAR(Detail!F65)&amp;Detail!BE65&amp;Detail!BB65&amp;"-"&amp;Detail!$BB$13))</f>
        <v/>
      </c>
      <c r="BK65" s="1354" t="s">
        <v>2236</v>
      </c>
      <c r="BL65" s="527" t="s">
        <v>2278</v>
      </c>
      <c r="BM65" s="440" t="str">
        <f>IF(A65=FALSE,"",51000+(Detail!AA65*7000))</f>
        <v/>
      </c>
      <c r="BN65" s="1412">
        <v>50000</v>
      </c>
      <c r="BO65" s="247">
        <v>3</v>
      </c>
      <c r="BP65" s="261">
        <v>0</v>
      </c>
      <c r="BQ65" s="261" t="s">
        <v>2236</v>
      </c>
      <c r="BR65" s="264">
        <v>0</v>
      </c>
      <c r="BS65" s="508">
        <v>0</v>
      </c>
      <c r="BT65" s="261">
        <v>1</v>
      </c>
      <c r="BU65" s="261">
        <v>0</v>
      </c>
      <c r="BV65" s="311" t="str">
        <f>IF(A65=FALSE,"",IF(Detail!BJ65="","N/A",YEAR(Detail!F65)&amp;Detail!BM65&amp;Detail!BJ65&amp;"-"&amp;Detail!$BJ$13))</f>
        <v/>
      </c>
      <c r="BW65" s="1409" t="s">
        <v>2236</v>
      </c>
      <c r="BX65" s="527" t="s">
        <v>2278</v>
      </c>
      <c r="BY65" s="440" t="str">
        <f t="shared" si="8"/>
        <v/>
      </c>
      <c r="BZ65" s="1412">
        <v>50000</v>
      </c>
      <c r="CA65" s="247">
        <v>3</v>
      </c>
      <c r="CB65" s="261">
        <v>0</v>
      </c>
      <c r="CC65" s="261" t="s">
        <v>2236</v>
      </c>
      <c r="CD65" s="264">
        <v>0</v>
      </c>
      <c r="CE65" s="508">
        <v>0</v>
      </c>
      <c r="CF65" s="261">
        <v>1</v>
      </c>
      <c r="CG65" s="261">
        <v>0</v>
      </c>
      <c r="CH65" s="311" t="str">
        <f>IF(A65=FALSE,"",IF(Detail!BR65="","N/A",YEAR(Detail!F65)&amp;Detail!BU65&amp;Detail!BR65&amp;"-"&amp;Detail!$BR$13))</f>
        <v/>
      </c>
      <c r="CI65" s="1327" t="s">
        <v>2236</v>
      </c>
      <c r="CJ65" s="527" t="s">
        <v>2278</v>
      </c>
      <c r="CK65" s="440" t="str">
        <f t="shared" si="9"/>
        <v/>
      </c>
      <c r="CL65" s="1412">
        <v>50000</v>
      </c>
      <c r="CM65" s="247">
        <v>3</v>
      </c>
      <c r="CN65" s="261">
        <v>0</v>
      </c>
      <c r="CO65" s="261" t="s">
        <v>2236</v>
      </c>
      <c r="CP65" s="264">
        <v>0</v>
      </c>
      <c r="CQ65" s="508">
        <v>0</v>
      </c>
      <c r="CR65" s="261">
        <v>1</v>
      </c>
      <c r="CS65" s="261">
        <v>0</v>
      </c>
      <c r="CT65" s="311" t="str">
        <f>IF(A65=FALSE,"",IF(Detail!BZ65="","N/A",YEAR(Detail!F65)&amp;Detail!CC65&amp;Detail!BZ65&amp;"-"&amp;Detail!$BZ$13&amp;" (100%/"&amp;Detail!CD65&amp;"/"&amp;Detail!CE65&amp;"D)"))</f>
        <v/>
      </c>
      <c r="CU65" s="1327" t="s">
        <v>2236</v>
      </c>
      <c r="CV65" s="527" t="s">
        <v>2278</v>
      </c>
      <c r="CW65" s="241">
        <v>7</v>
      </c>
      <c r="CX65" s="1323">
        <v>365</v>
      </c>
      <c r="CY65" s="248">
        <v>1</v>
      </c>
      <c r="CZ65" s="261">
        <v>0</v>
      </c>
      <c r="DA65" s="1325" t="s">
        <v>2236</v>
      </c>
      <c r="DB65" s="538">
        <v>40</v>
      </c>
      <c r="DC65" s="1325">
        <v>0.1</v>
      </c>
      <c r="DD65" s="261">
        <v>1</v>
      </c>
      <c r="DE65" s="261">
        <v>0</v>
      </c>
      <c r="DF65" s="313" t="str">
        <f>IF(A65=FALSE,"",IF(Detail!CH65="","N/A",YEAR(Detail!F65)&amp;Detail!CK65&amp;Detail!CH65&amp;"-"&amp;Detail!$CH$13&amp;" (100%/"&amp;Detail!CL65&amp;"/"&amp;Detail!CM65&amp;"D)"))</f>
        <v/>
      </c>
      <c r="DG65" s="1354" t="s">
        <v>2236</v>
      </c>
      <c r="DH65" s="518" t="s">
        <v>2278</v>
      </c>
      <c r="DI65" s="241">
        <f t="shared" si="10"/>
        <v>7</v>
      </c>
      <c r="DJ65" s="243">
        <f t="shared" si="11"/>
        <v>365</v>
      </c>
      <c r="DK65" s="258">
        <v>1</v>
      </c>
      <c r="DL65" s="261">
        <v>0</v>
      </c>
      <c r="DM65" s="1325" t="s">
        <v>2236</v>
      </c>
      <c r="DN65" s="538">
        <v>40</v>
      </c>
      <c r="DO65" s="1325">
        <f t="shared" si="12"/>
        <v>0.1</v>
      </c>
      <c r="DP65" s="261">
        <v>1</v>
      </c>
      <c r="DQ65" s="261">
        <v>0</v>
      </c>
      <c r="DR65" s="920" t="str">
        <f>IF(A65=FALSE,"",IF(Detail!CP65="","N/A",YEAR(Detail!F65)&amp;Detail!CS65&amp;Detail!CP65&amp;"-"&amp;Detail!$CP$13))</f>
        <v/>
      </c>
      <c r="DS65" s="308" t="s">
        <v>2236</v>
      </c>
      <c r="DT65" s="720" t="s">
        <v>2277</v>
      </c>
      <c r="DU65" s="244">
        <v>50000</v>
      </c>
      <c r="DV65" s="247">
        <v>2</v>
      </c>
      <c r="DW65" s="261">
        <v>0</v>
      </c>
      <c r="DX65" s="261" t="s">
        <v>2236</v>
      </c>
      <c r="DY65" s="264">
        <v>0</v>
      </c>
      <c r="DZ65" s="444">
        <v>0</v>
      </c>
      <c r="EA65" s="444">
        <v>1</v>
      </c>
      <c r="EB65" s="444">
        <v>0</v>
      </c>
      <c r="EC65" s="761" t="str">
        <f>IF(A65=FALSE,"",IF(Detail!CX65="","N/A",YEAR(Detail!F65)&amp;Detail!DA65&amp;Detail!CX65&amp;"-"&amp;Detail!$CX$13))</f>
        <v/>
      </c>
      <c r="ED65" s="445" t="s">
        <v>2236</v>
      </c>
      <c r="EE65" s="720" t="s">
        <v>2277</v>
      </c>
      <c r="EF65" s="244">
        <v>50000</v>
      </c>
      <c r="EG65" s="247">
        <v>2</v>
      </c>
      <c r="EH65" s="261">
        <v>0</v>
      </c>
      <c r="EI65" s="261" t="s">
        <v>2236</v>
      </c>
      <c r="EJ65" s="264">
        <v>0</v>
      </c>
      <c r="EK65" s="444">
        <v>0</v>
      </c>
      <c r="EL65" s="444">
        <v>1</v>
      </c>
      <c r="EM65" s="444">
        <v>0</v>
      </c>
      <c r="EN65" s="333" t="str">
        <f>IF(A65=FALSE,"",IF(Detail!DF65="","N/A",YEAR(Detail!F65)&amp;Detail!DI65&amp;Detail!DF65&amp;"-"&amp;Detail!$DF$13))</f>
        <v/>
      </c>
      <c r="EO65" s="1012" t="s">
        <v>2236</v>
      </c>
      <c r="EP65" s="1012" t="s">
        <v>2277</v>
      </c>
      <c r="EQ65" s="1013">
        <f t="shared" si="13"/>
        <v>0</v>
      </c>
      <c r="ER65" s="1013" t="s">
        <v>2236</v>
      </c>
      <c r="ES65" s="264">
        <v>0</v>
      </c>
      <c r="ET65" s="1013">
        <v>0</v>
      </c>
      <c r="EU65" s="1013">
        <v>1</v>
      </c>
      <c r="EV65" s="1013">
        <v>0</v>
      </c>
      <c r="EW65" s="333" t="str">
        <f>IF(DJ65=FALSE,"",IF(Detail!ET65="","N/A",YEAR(Detail!DN65)&amp;Detail!EW65&amp;Detail!ET65&amp;"-"&amp;Detail!$AL$13&amp;Detail!EU65))</f>
        <v>N/A</v>
      </c>
      <c r="EX65" s="1012" t="s">
        <v>2236</v>
      </c>
      <c r="EY65" s="1012" t="s">
        <v>2277</v>
      </c>
      <c r="EZ65" s="1013">
        <f t="shared" si="14"/>
        <v>0</v>
      </c>
      <c r="FA65" s="1013" t="s">
        <v>2236</v>
      </c>
      <c r="FB65" s="264">
        <v>0</v>
      </c>
      <c r="FC65" s="1013">
        <v>0</v>
      </c>
      <c r="FD65" s="1013">
        <v>1</v>
      </c>
      <c r="FE65" s="1013">
        <v>0</v>
      </c>
    </row>
    <row r="66" spans="1:161" s="422" customFormat="1" ht="30" customHeight="1" outlineLevel="1">
      <c r="A66" s="439" t="b">
        <f>Calcul!A66</f>
        <v>0</v>
      </c>
      <c r="B66" s="510" t="str">
        <f t="shared" si="15"/>
        <v/>
      </c>
      <c r="C66" s="1404" t="b">
        <v>0</v>
      </c>
      <c r="D66" s="1404" t="s">
        <v>2147</v>
      </c>
      <c r="E66" s="1405" t="s">
        <v>2335</v>
      </c>
      <c r="F66" s="243" t="s">
        <v>2146</v>
      </c>
      <c r="G66" s="356" t="str">
        <f>IF(A66=FALSE,"",IF(NAMES!$D$10=FALSE,IF(Detail!H66="","",Detail!H66),IF(Crewlist!D66="","",Crewlist!D66)))</f>
        <v/>
      </c>
      <c r="H66" s="356" t="str">
        <f>IF(A66=FALSE,"",IF(NAMES!$D$10=FALSE,IF(Detail!P66="","",Detail!P66),IF(Crewlist!E66="","",Crewlist!E66)))</f>
        <v/>
      </c>
      <c r="I66" s="356" t="str">
        <f>IF(A66=FALSE,"",IF(NAMES!$D$10=FALSE,IF(Detail!K66="","",Detail!K66),IF(Crewlist!F66="","",Crewlist!F66)))</f>
        <v/>
      </c>
      <c r="J66" s="1001" t="str">
        <f>IF(Crewlist!T66="","",Crewlist!T66)</f>
        <v/>
      </c>
      <c r="K66" s="1001" t="str">
        <f>IF(Crewlist!D66="","",IF(Crewlist!U66="",Crewlist!Y66,IF(DATERENOUVMOINS730&lt;&gt;Crewlist!U66&lt;&gt;Crewlist!Y66,Crewlist!U66,DATERENOUVMOINS365)))</f>
        <v/>
      </c>
      <c r="L66" s="775" t="str">
        <f>IF(Detail!X66="","",Detail!X66)</f>
        <v/>
      </c>
      <c r="M66" s="775" t="str">
        <f>IF(Detail!H66="","",IF(Detail!Y66="",DATERENOUV,IF(Detail!Y66&gt;Detail!D66,Detail!D66,Detail!Y66)))</f>
        <v/>
      </c>
      <c r="N66" s="1015" t="str">
        <f>IF(A66=FALSE,"",IF(NAMES!$D$10=FALSE,IF(B66=B67,IF(O66=O67,0,(DATEDIF(L66,M66,"M")+1)),(DATEDIF(L66,M66,"M")+1)),IF(B66=B67,IF(O66=O67,0,(DATEDIF(J66,K66,"M")+1)),(DATEDIF(J66,K66,"M")+1))))</f>
        <v/>
      </c>
      <c r="O66" s="357" t="str">
        <f t="shared" si="5"/>
        <v/>
      </c>
      <c r="P66" s="358" t="str">
        <f>IF(A66=FALSE,"",IF(NAMES!$D$10=FALSE,IF((DATEDIF(L66,M66,"D")+1)&lt;365,(DATEDIF(L66,M66,"D")+1),365),IF((DATEDIF(J66,K66,"D")+1)&lt;365,(DATEDIF(J66,K66,"D")+1),365)))</f>
        <v/>
      </c>
      <c r="Q66" s="358" t="str">
        <f>IF(A66=FALSE,"",IF(NAMES!$D$10=FALSE,IF(M66="",365,DATEDIF(L66,M66,"D")+1),IF(M66="",365,DATEDIF(J66,K66,"D")+1)))</f>
        <v/>
      </c>
      <c r="R66" s="950" t="str">
        <f>Calcul!X66</f>
        <v/>
      </c>
      <c r="S66" s="950" t="str">
        <f>Calcul!Y66</f>
        <v/>
      </c>
      <c r="T66" s="993" t="str">
        <f>Calcul!AG66</f>
        <v/>
      </c>
      <c r="U66" s="368" t="str">
        <f>IF(A66=FALSE,"",IF(NAMES!$D$10=FALSE,IF(Detail!S66="","",Detail!S66),IF(Crewlist!V66="","",Crewlist!V66)))</f>
        <v/>
      </c>
      <c r="V66" s="245" t="str">
        <f>Calcul!AI66</f>
        <v/>
      </c>
      <c r="W66" s="245" t="str">
        <f>Calcul!AL66</f>
        <v/>
      </c>
      <c r="X66" s="245" t="str">
        <f>Calcul!AM66</f>
        <v/>
      </c>
      <c r="Y66" s="353" t="str">
        <f>Calcul!AN66</f>
        <v/>
      </c>
      <c r="Z66" s="245" t="str">
        <f>Calcul!AO66</f>
        <v/>
      </c>
      <c r="AA66" s="245" t="str">
        <f>Calcul!AP66</f>
        <v/>
      </c>
      <c r="AB66" s="353" t="str">
        <f>Calcul!AQ66</f>
        <v/>
      </c>
      <c r="AC66" s="353" t="str">
        <f>IF(C66=FALSE,"",Calcul!BE66+Calcul!BF66)</f>
        <v/>
      </c>
      <c r="AD66" s="353" t="str">
        <f>IF(C66=FALSE,"",(Calcul!BG66+Calcul!BH66)+SUM(Calcul!BI66:BN66))</f>
        <v/>
      </c>
      <c r="AE66" s="353" t="str">
        <f>Calcul!BP66</f>
        <v/>
      </c>
      <c r="AF66" s="332" t="str">
        <f>IF(A66=FALSE,"",YEAR(Detail!F66)&amp;Detail!AG66&amp;Detail!AD66&amp;"-"&amp;Detail!$AD$13&amp;Detail!AE66)</f>
        <v/>
      </c>
      <c r="AG66" s="1406" t="s">
        <v>2236</v>
      </c>
      <c r="AH66" s="701" t="s">
        <v>2277</v>
      </c>
      <c r="AI66" s="1407">
        <v>0</v>
      </c>
      <c r="AJ66" s="1407" t="s">
        <v>2236</v>
      </c>
      <c r="AK66" s="1410">
        <v>32</v>
      </c>
      <c r="AL66" s="508">
        <v>0</v>
      </c>
      <c r="AM66" s="261">
        <v>1</v>
      </c>
      <c r="AN66" s="261">
        <v>0</v>
      </c>
      <c r="AO66" s="333" t="str">
        <f>IF(A66=FALSE,"",IF(Detail!AL66="","N/A",YEAR(Detail!F66)&amp;Detail!AO66&amp;Detail!AL66&amp;"-"&amp;Detail!$AL$13&amp;Detail!AM66))</f>
        <v/>
      </c>
      <c r="AP66" s="1406" t="s">
        <v>2236</v>
      </c>
      <c r="AQ66" s="701" t="s">
        <v>2277</v>
      </c>
      <c r="AR66" s="1407">
        <f t="shared" si="7"/>
        <v>0</v>
      </c>
      <c r="AS66" s="261" t="s">
        <v>2236</v>
      </c>
      <c r="AT66" s="264">
        <v>0</v>
      </c>
      <c r="AU66" s="261">
        <v>0</v>
      </c>
      <c r="AV66" s="261">
        <v>1</v>
      </c>
      <c r="AW66" s="261">
        <v>0</v>
      </c>
      <c r="AX66" s="920" t="str">
        <f>IF(A66=FALSE,"",IF(Detail!AT66="","N/A",YEAR(Detail!F66)&amp;Detail!AW66&amp;Detail!AT66&amp;"-"&amp;Detail!$AT$13))</f>
        <v/>
      </c>
      <c r="AY66" s="1408" t="s">
        <v>2236</v>
      </c>
      <c r="AZ66" s="308" t="s">
        <v>2278</v>
      </c>
      <c r="BA66" s="440" t="str">
        <f>IF(A66=FALSE,"",51000+(Detail!AA66*7000))</f>
        <v/>
      </c>
      <c r="BB66" s="1412">
        <v>50000</v>
      </c>
      <c r="BC66" s="247">
        <v>3</v>
      </c>
      <c r="BD66" s="261">
        <v>0</v>
      </c>
      <c r="BE66" s="1325" t="s">
        <v>2236</v>
      </c>
      <c r="BF66" s="264">
        <v>0</v>
      </c>
      <c r="BG66" s="508">
        <v>0</v>
      </c>
      <c r="BH66" s="261">
        <v>1</v>
      </c>
      <c r="BI66" s="261">
        <v>0</v>
      </c>
      <c r="BJ66" s="311" t="str">
        <f>IF(A66=FALSE,"",IF(Detail!BB66="","N/A",YEAR(Detail!F66)&amp;Detail!BE66&amp;Detail!BB66&amp;"-"&amp;Detail!$BB$13))</f>
        <v/>
      </c>
      <c r="BK66" s="1354" t="s">
        <v>2236</v>
      </c>
      <c r="BL66" s="527" t="s">
        <v>2278</v>
      </c>
      <c r="BM66" s="440" t="str">
        <f>IF(A66=FALSE,"",51000+(Detail!AA66*7000))</f>
        <v/>
      </c>
      <c r="BN66" s="1412">
        <v>50000</v>
      </c>
      <c r="BO66" s="247">
        <v>3</v>
      </c>
      <c r="BP66" s="261">
        <v>0</v>
      </c>
      <c r="BQ66" s="261" t="s">
        <v>2236</v>
      </c>
      <c r="BR66" s="264">
        <v>0</v>
      </c>
      <c r="BS66" s="508">
        <v>0</v>
      </c>
      <c r="BT66" s="261">
        <v>1</v>
      </c>
      <c r="BU66" s="261">
        <v>0</v>
      </c>
      <c r="BV66" s="311" t="str">
        <f>IF(A66=FALSE,"",IF(Detail!BJ66="","N/A",YEAR(Detail!F66)&amp;Detail!BM66&amp;Detail!BJ66&amp;"-"&amp;Detail!$BJ$13))</f>
        <v/>
      </c>
      <c r="BW66" s="1409" t="s">
        <v>2236</v>
      </c>
      <c r="BX66" s="527" t="s">
        <v>2278</v>
      </c>
      <c r="BY66" s="440" t="str">
        <f t="shared" si="8"/>
        <v/>
      </c>
      <c r="BZ66" s="1412">
        <v>50000</v>
      </c>
      <c r="CA66" s="247">
        <v>3</v>
      </c>
      <c r="CB66" s="261">
        <v>0</v>
      </c>
      <c r="CC66" s="261" t="s">
        <v>2236</v>
      </c>
      <c r="CD66" s="264">
        <v>0</v>
      </c>
      <c r="CE66" s="508">
        <v>0</v>
      </c>
      <c r="CF66" s="261">
        <v>1</v>
      </c>
      <c r="CG66" s="261">
        <v>0</v>
      </c>
      <c r="CH66" s="311" t="str">
        <f>IF(A66=FALSE,"",IF(Detail!BR66="","N/A",YEAR(Detail!F66)&amp;Detail!BU66&amp;Detail!BR66&amp;"-"&amp;Detail!$BR$13))</f>
        <v/>
      </c>
      <c r="CI66" s="1327" t="s">
        <v>2236</v>
      </c>
      <c r="CJ66" s="527" t="s">
        <v>2278</v>
      </c>
      <c r="CK66" s="440" t="str">
        <f t="shared" si="9"/>
        <v/>
      </c>
      <c r="CL66" s="1412">
        <v>50000</v>
      </c>
      <c r="CM66" s="247">
        <v>3</v>
      </c>
      <c r="CN66" s="261">
        <v>0</v>
      </c>
      <c r="CO66" s="261" t="s">
        <v>2236</v>
      </c>
      <c r="CP66" s="264">
        <v>0</v>
      </c>
      <c r="CQ66" s="508">
        <v>0</v>
      </c>
      <c r="CR66" s="261">
        <v>1</v>
      </c>
      <c r="CS66" s="261">
        <v>0</v>
      </c>
      <c r="CT66" s="311" t="str">
        <f>IF(A66=FALSE,"",IF(Detail!BZ66="","N/A",YEAR(Detail!F66)&amp;Detail!CC66&amp;Detail!BZ66&amp;"-"&amp;Detail!$BZ$13&amp;" (100%/"&amp;Detail!CD66&amp;"/"&amp;Detail!CE66&amp;"D)"))</f>
        <v/>
      </c>
      <c r="CU66" s="1327" t="s">
        <v>2236</v>
      </c>
      <c r="CV66" s="527" t="s">
        <v>2278</v>
      </c>
      <c r="CW66" s="241">
        <v>7</v>
      </c>
      <c r="CX66" s="1323">
        <v>365</v>
      </c>
      <c r="CY66" s="248">
        <v>1</v>
      </c>
      <c r="CZ66" s="261">
        <v>0</v>
      </c>
      <c r="DA66" s="1325" t="s">
        <v>2236</v>
      </c>
      <c r="DB66" s="538">
        <v>40</v>
      </c>
      <c r="DC66" s="1325">
        <v>0.1</v>
      </c>
      <c r="DD66" s="261">
        <v>1</v>
      </c>
      <c r="DE66" s="261">
        <v>0</v>
      </c>
      <c r="DF66" s="313" t="str">
        <f>IF(A66=FALSE,"",IF(Detail!CH66="","N/A",YEAR(Detail!F66)&amp;Detail!CK66&amp;Detail!CH66&amp;"-"&amp;Detail!$CH$13&amp;" (100%/"&amp;Detail!CL66&amp;"/"&amp;Detail!CM66&amp;"D)"))</f>
        <v/>
      </c>
      <c r="DG66" s="1354" t="s">
        <v>2236</v>
      </c>
      <c r="DH66" s="518" t="s">
        <v>2278</v>
      </c>
      <c r="DI66" s="241">
        <f t="shared" si="10"/>
        <v>7</v>
      </c>
      <c r="DJ66" s="243">
        <f t="shared" si="11"/>
        <v>365</v>
      </c>
      <c r="DK66" s="258">
        <v>1</v>
      </c>
      <c r="DL66" s="261">
        <v>0</v>
      </c>
      <c r="DM66" s="1325" t="s">
        <v>2236</v>
      </c>
      <c r="DN66" s="538">
        <v>40</v>
      </c>
      <c r="DO66" s="1325">
        <f t="shared" si="12"/>
        <v>0.1</v>
      </c>
      <c r="DP66" s="261">
        <v>1</v>
      </c>
      <c r="DQ66" s="261">
        <v>0</v>
      </c>
      <c r="DR66" s="920" t="str">
        <f>IF(A66=FALSE,"",IF(Detail!CP66="","N/A",YEAR(Detail!F66)&amp;Detail!CS66&amp;Detail!CP66&amp;"-"&amp;Detail!$CP$13))</f>
        <v/>
      </c>
      <c r="DS66" s="308" t="s">
        <v>2236</v>
      </c>
      <c r="DT66" s="720" t="s">
        <v>2277</v>
      </c>
      <c r="DU66" s="244">
        <v>50000</v>
      </c>
      <c r="DV66" s="247">
        <v>2</v>
      </c>
      <c r="DW66" s="261">
        <v>0</v>
      </c>
      <c r="DX66" s="261" t="s">
        <v>2236</v>
      </c>
      <c r="DY66" s="264">
        <v>0</v>
      </c>
      <c r="DZ66" s="444">
        <v>0</v>
      </c>
      <c r="EA66" s="444">
        <v>1</v>
      </c>
      <c r="EB66" s="444">
        <v>0</v>
      </c>
      <c r="EC66" s="761" t="str">
        <f>IF(A66=FALSE,"",IF(Detail!CX66="","N/A",YEAR(Detail!F66)&amp;Detail!DA66&amp;Detail!CX66&amp;"-"&amp;Detail!$CX$13))</f>
        <v/>
      </c>
      <c r="ED66" s="445" t="s">
        <v>2236</v>
      </c>
      <c r="EE66" s="720" t="s">
        <v>2277</v>
      </c>
      <c r="EF66" s="244">
        <v>50000</v>
      </c>
      <c r="EG66" s="247">
        <v>2</v>
      </c>
      <c r="EH66" s="261">
        <v>0</v>
      </c>
      <c r="EI66" s="261" t="s">
        <v>2236</v>
      </c>
      <c r="EJ66" s="264">
        <v>0</v>
      </c>
      <c r="EK66" s="444">
        <v>0</v>
      </c>
      <c r="EL66" s="444">
        <v>1</v>
      </c>
      <c r="EM66" s="444">
        <v>0</v>
      </c>
      <c r="EN66" s="333" t="str">
        <f>IF(A66=FALSE,"",IF(Detail!DF66="","N/A",YEAR(Detail!F66)&amp;Detail!DI66&amp;Detail!DF66&amp;"-"&amp;Detail!$DF$13))</f>
        <v/>
      </c>
      <c r="EO66" s="1012" t="s">
        <v>2236</v>
      </c>
      <c r="EP66" s="1012" t="s">
        <v>2277</v>
      </c>
      <c r="EQ66" s="1013">
        <f t="shared" si="13"/>
        <v>0</v>
      </c>
      <c r="ER66" s="1013" t="s">
        <v>2236</v>
      </c>
      <c r="ES66" s="264">
        <v>0</v>
      </c>
      <c r="ET66" s="1013">
        <v>0</v>
      </c>
      <c r="EU66" s="1013">
        <v>1</v>
      </c>
      <c r="EV66" s="1013">
        <v>0</v>
      </c>
      <c r="EW66" s="333" t="str">
        <f>IF(DJ66=FALSE,"",IF(Detail!ET66="","N/A",YEAR(Detail!DN66)&amp;Detail!EW66&amp;Detail!ET66&amp;"-"&amp;Detail!$AL$13&amp;Detail!EU66))</f>
        <v>N/A</v>
      </c>
      <c r="EX66" s="1012" t="s">
        <v>2236</v>
      </c>
      <c r="EY66" s="1012" t="s">
        <v>2277</v>
      </c>
      <c r="EZ66" s="1013">
        <f t="shared" si="14"/>
        <v>0</v>
      </c>
      <c r="FA66" s="1013" t="s">
        <v>2236</v>
      </c>
      <c r="FB66" s="264">
        <v>0</v>
      </c>
      <c r="FC66" s="1013">
        <v>0</v>
      </c>
      <c r="FD66" s="1013">
        <v>1</v>
      </c>
      <c r="FE66" s="1013">
        <v>0</v>
      </c>
    </row>
    <row r="67" spans="1:161" s="422" customFormat="1" ht="30" customHeight="1" outlineLevel="1">
      <c r="A67" s="439" t="b">
        <f>Calcul!A67</f>
        <v>0</v>
      </c>
      <c r="B67" s="510" t="str">
        <f t="shared" si="15"/>
        <v/>
      </c>
      <c r="C67" s="1404" t="b">
        <v>0</v>
      </c>
      <c r="D67" s="1404" t="s">
        <v>2147</v>
      </c>
      <c r="E67" s="1405" t="s">
        <v>2335</v>
      </c>
      <c r="F67" s="243" t="s">
        <v>2146</v>
      </c>
      <c r="G67" s="356" t="str">
        <f>IF(A67=FALSE,"",IF(NAMES!$D$10=FALSE,IF(Detail!H67="","",Detail!H67),IF(Crewlist!D67="","",Crewlist!D67)))</f>
        <v/>
      </c>
      <c r="H67" s="356" t="str">
        <f>IF(A67=FALSE,"",IF(NAMES!$D$10=FALSE,IF(Detail!P67="","",Detail!P67),IF(Crewlist!E67="","",Crewlist!E67)))</f>
        <v/>
      </c>
      <c r="I67" s="356" t="str">
        <f>IF(A67=FALSE,"",IF(NAMES!$D$10=FALSE,IF(Detail!K67="","",Detail!K67),IF(Crewlist!F67="","",Crewlist!F67)))</f>
        <v/>
      </c>
      <c r="J67" s="1001" t="str">
        <f>IF(Crewlist!T67="","",Crewlist!T67)</f>
        <v/>
      </c>
      <c r="K67" s="1001" t="str">
        <f>IF(Crewlist!D67="","",IF(Crewlist!U67="",Crewlist!Y67,IF(DATERENOUVMOINS730&lt;&gt;Crewlist!U67&lt;&gt;Crewlist!Y67,Crewlist!U67,DATERENOUVMOINS365)))</f>
        <v/>
      </c>
      <c r="L67" s="775" t="str">
        <f>IF(Detail!X67="","",Detail!X67)</f>
        <v/>
      </c>
      <c r="M67" s="775" t="str">
        <f>IF(Detail!H67="","",IF(Detail!Y67="",DATERENOUV,IF(Detail!Y67&gt;Detail!D67,Detail!D67,Detail!Y67)))</f>
        <v/>
      </c>
      <c r="N67" s="1015" t="str">
        <f>IF(A67=FALSE,"",IF(NAMES!$D$10=FALSE,IF(B67=B68,IF(O67=O68,0,(DATEDIF(L67,M67,"M")+1)),(DATEDIF(L67,M67,"M")+1)),IF(B67=B68,IF(O67=O68,0,(DATEDIF(J67,K67,"M")+1)),(DATEDIF(J67,K67,"M")+1))))</f>
        <v/>
      </c>
      <c r="O67" s="357" t="str">
        <f t="shared" si="5"/>
        <v/>
      </c>
      <c r="P67" s="358" t="str">
        <f>IF(A67=FALSE,"",IF(NAMES!$D$10=FALSE,IF((DATEDIF(L67,M67,"D")+1)&lt;365,(DATEDIF(L67,M67,"D")+1),365),IF((DATEDIF(J67,K67,"D")+1)&lt;365,(DATEDIF(J67,K67,"D")+1),365)))</f>
        <v/>
      </c>
      <c r="Q67" s="358" t="str">
        <f>IF(A67=FALSE,"",IF(NAMES!$D$10=FALSE,IF(M67="",365,DATEDIF(L67,M67,"D")+1),IF(M67="",365,DATEDIF(J67,K67,"D")+1)))</f>
        <v/>
      </c>
      <c r="R67" s="950" t="str">
        <f>Calcul!X67</f>
        <v/>
      </c>
      <c r="S67" s="950" t="str">
        <f>Calcul!Y67</f>
        <v/>
      </c>
      <c r="T67" s="993" t="str">
        <f>Calcul!AG67</f>
        <v/>
      </c>
      <c r="U67" s="368" t="str">
        <f>IF(A67=FALSE,"",IF(NAMES!$D$10=FALSE,IF(Detail!S67="","",Detail!S67),IF(Crewlist!V67="","",Crewlist!V67)))</f>
        <v/>
      </c>
      <c r="V67" s="245" t="str">
        <f>Calcul!AI67</f>
        <v/>
      </c>
      <c r="W67" s="245" t="str">
        <f>Calcul!AL67</f>
        <v/>
      </c>
      <c r="X67" s="245" t="str">
        <f>Calcul!AM67</f>
        <v/>
      </c>
      <c r="Y67" s="353" t="str">
        <f>Calcul!AN67</f>
        <v/>
      </c>
      <c r="Z67" s="245" t="str">
        <f>Calcul!AO67</f>
        <v/>
      </c>
      <c r="AA67" s="245" t="str">
        <f>Calcul!AP67</f>
        <v/>
      </c>
      <c r="AB67" s="353" t="str">
        <f>Calcul!AQ67</f>
        <v/>
      </c>
      <c r="AC67" s="353" t="str">
        <f>IF(C67=FALSE,"",Calcul!BE67+Calcul!BF67)</f>
        <v/>
      </c>
      <c r="AD67" s="353" t="str">
        <f>IF(C67=FALSE,"",(Calcul!BG67+Calcul!BH67)+SUM(Calcul!BI67:BN67))</f>
        <v/>
      </c>
      <c r="AE67" s="353" t="str">
        <f>Calcul!BP67</f>
        <v/>
      </c>
      <c r="AF67" s="332" t="str">
        <f>IF(A67=FALSE,"",YEAR(Detail!F67)&amp;Detail!AG67&amp;Detail!AD67&amp;"-"&amp;Detail!$AD$13&amp;Detail!AE67)</f>
        <v/>
      </c>
      <c r="AG67" s="1406" t="s">
        <v>2236</v>
      </c>
      <c r="AH67" s="701" t="s">
        <v>2277</v>
      </c>
      <c r="AI67" s="1407">
        <v>0</v>
      </c>
      <c r="AJ67" s="1407" t="s">
        <v>2236</v>
      </c>
      <c r="AK67" s="1410">
        <v>32</v>
      </c>
      <c r="AL67" s="508">
        <v>0</v>
      </c>
      <c r="AM67" s="261">
        <v>1</v>
      </c>
      <c r="AN67" s="261">
        <v>0</v>
      </c>
      <c r="AO67" s="333" t="str">
        <f>IF(A67=FALSE,"",IF(Detail!AL67="","N/A",YEAR(Detail!F67)&amp;Detail!AO67&amp;Detail!AL67&amp;"-"&amp;Detail!$AL$13&amp;Detail!AM67))</f>
        <v/>
      </c>
      <c r="AP67" s="1406" t="s">
        <v>2236</v>
      </c>
      <c r="AQ67" s="701" t="s">
        <v>2277</v>
      </c>
      <c r="AR67" s="1407">
        <f t="shared" si="7"/>
        <v>0</v>
      </c>
      <c r="AS67" s="261" t="s">
        <v>2236</v>
      </c>
      <c r="AT67" s="264">
        <v>0</v>
      </c>
      <c r="AU67" s="261">
        <v>0</v>
      </c>
      <c r="AV67" s="261">
        <v>1</v>
      </c>
      <c r="AW67" s="261">
        <v>0</v>
      </c>
      <c r="AX67" s="920" t="str">
        <f>IF(A67=FALSE,"",IF(Detail!AT67="","N/A",YEAR(Detail!F67)&amp;Detail!AW67&amp;Detail!AT67&amp;"-"&amp;Detail!$AT$13))</f>
        <v/>
      </c>
      <c r="AY67" s="1408" t="s">
        <v>2236</v>
      </c>
      <c r="AZ67" s="308" t="s">
        <v>2278</v>
      </c>
      <c r="BA67" s="440" t="str">
        <f>IF(A67=FALSE,"",51000+(Detail!AA67*7000))</f>
        <v/>
      </c>
      <c r="BB67" s="1412">
        <v>50000</v>
      </c>
      <c r="BC67" s="247">
        <v>3</v>
      </c>
      <c r="BD67" s="261">
        <v>0</v>
      </c>
      <c r="BE67" s="1325" t="s">
        <v>2236</v>
      </c>
      <c r="BF67" s="264">
        <v>0</v>
      </c>
      <c r="BG67" s="508">
        <v>0</v>
      </c>
      <c r="BH67" s="261">
        <v>1</v>
      </c>
      <c r="BI67" s="261">
        <v>0</v>
      </c>
      <c r="BJ67" s="311" t="str">
        <f>IF(A67=FALSE,"",IF(Detail!BB67="","N/A",YEAR(Detail!F67)&amp;Detail!BE67&amp;Detail!BB67&amp;"-"&amp;Detail!$BB$13))</f>
        <v/>
      </c>
      <c r="BK67" s="1354" t="s">
        <v>2236</v>
      </c>
      <c r="BL67" s="527" t="s">
        <v>2278</v>
      </c>
      <c r="BM67" s="440" t="str">
        <f>IF(A67=FALSE,"",51000+(Detail!AA67*7000))</f>
        <v/>
      </c>
      <c r="BN67" s="1412">
        <v>50000</v>
      </c>
      <c r="BO67" s="247">
        <v>3</v>
      </c>
      <c r="BP67" s="261">
        <v>0</v>
      </c>
      <c r="BQ67" s="261" t="s">
        <v>2236</v>
      </c>
      <c r="BR67" s="264">
        <v>0</v>
      </c>
      <c r="BS67" s="508">
        <v>0</v>
      </c>
      <c r="BT67" s="261">
        <v>1</v>
      </c>
      <c r="BU67" s="261">
        <v>0</v>
      </c>
      <c r="BV67" s="311" t="str">
        <f>IF(A67=FALSE,"",IF(Detail!BJ67="","N/A",YEAR(Detail!F67)&amp;Detail!BM67&amp;Detail!BJ67&amp;"-"&amp;Detail!$BJ$13))</f>
        <v/>
      </c>
      <c r="BW67" s="1409" t="s">
        <v>2236</v>
      </c>
      <c r="BX67" s="527" t="s">
        <v>2278</v>
      </c>
      <c r="BY67" s="440" t="str">
        <f t="shared" si="8"/>
        <v/>
      </c>
      <c r="BZ67" s="1412">
        <v>50000</v>
      </c>
      <c r="CA67" s="247">
        <v>3</v>
      </c>
      <c r="CB67" s="261">
        <v>0</v>
      </c>
      <c r="CC67" s="261" t="s">
        <v>2236</v>
      </c>
      <c r="CD67" s="264">
        <v>0</v>
      </c>
      <c r="CE67" s="508">
        <v>0</v>
      </c>
      <c r="CF67" s="261">
        <v>1</v>
      </c>
      <c r="CG67" s="261">
        <v>0</v>
      </c>
      <c r="CH67" s="311" t="str">
        <f>IF(A67=FALSE,"",IF(Detail!BR67="","N/A",YEAR(Detail!F67)&amp;Detail!BU67&amp;Detail!BR67&amp;"-"&amp;Detail!$BR$13))</f>
        <v/>
      </c>
      <c r="CI67" s="1327" t="s">
        <v>2236</v>
      </c>
      <c r="CJ67" s="527" t="s">
        <v>2278</v>
      </c>
      <c r="CK67" s="440" t="str">
        <f t="shared" si="9"/>
        <v/>
      </c>
      <c r="CL67" s="1412">
        <v>50000</v>
      </c>
      <c r="CM67" s="247">
        <v>3</v>
      </c>
      <c r="CN67" s="261">
        <v>0</v>
      </c>
      <c r="CO67" s="261" t="s">
        <v>2236</v>
      </c>
      <c r="CP67" s="264">
        <v>0</v>
      </c>
      <c r="CQ67" s="508">
        <v>0</v>
      </c>
      <c r="CR67" s="261">
        <v>1</v>
      </c>
      <c r="CS67" s="261">
        <v>0</v>
      </c>
      <c r="CT67" s="311" t="str">
        <f>IF(A67=FALSE,"",IF(Detail!BZ67="","N/A",YEAR(Detail!F67)&amp;Detail!CC67&amp;Detail!BZ67&amp;"-"&amp;Detail!$BZ$13&amp;" (100%/"&amp;Detail!CD67&amp;"/"&amp;Detail!CE67&amp;"D)"))</f>
        <v/>
      </c>
      <c r="CU67" s="1327" t="s">
        <v>2236</v>
      </c>
      <c r="CV67" s="527" t="s">
        <v>2278</v>
      </c>
      <c r="CW67" s="241">
        <v>7</v>
      </c>
      <c r="CX67" s="1323">
        <v>365</v>
      </c>
      <c r="CY67" s="248">
        <v>1</v>
      </c>
      <c r="CZ67" s="261">
        <v>0</v>
      </c>
      <c r="DA67" s="1325" t="s">
        <v>2236</v>
      </c>
      <c r="DB67" s="538">
        <v>40</v>
      </c>
      <c r="DC67" s="1325">
        <v>0.1</v>
      </c>
      <c r="DD67" s="261">
        <v>1</v>
      </c>
      <c r="DE67" s="261">
        <v>0</v>
      </c>
      <c r="DF67" s="313" t="str">
        <f>IF(A67=FALSE,"",IF(Detail!CH67="","N/A",YEAR(Detail!F67)&amp;Detail!CK67&amp;Detail!CH67&amp;"-"&amp;Detail!$CH$13&amp;" (100%/"&amp;Detail!CL67&amp;"/"&amp;Detail!CM67&amp;"D)"))</f>
        <v/>
      </c>
      <c r="DG67" s="1354" t="s">
        <v>2236</v>
      </c>
      <c r="DH67" s="518" t="s">
        <v>2278</v>
      </c>
      <c r="DI67" s="241">
        <f t="shared" si="10"/>
        <v>7</v>
      </c>
      <c r="DJ67" s="243">
        <f t="shared" si="11"/>
        <v>365</v>
      </c>
      <c r="DK67" s="258">
        <v>1</v>
      </c>
      <c r="DL67" s="261">
        <v>0</v>
      </c>
      <c r="DM67" s="1325" t="s">
        <v>2236</v>
      </c>
      <c r="DN67" s="538">
        <v>40</v>
      </c>
      <c r="DO67" s="1325">
        <f t="shared" si="12"/>
        <v>0.1</v>
      </c>
      <c r="DP67" s="261">
        <v>1</v>
      </c>
      <c r="DQ67" s="261">
        <v>0</v>
      </c>
      <c r="DR67" s="920" t="str">
        <f>IF(A67=FALSE,"",IF(Detail!CP67="","N/A",YEAR(Detail!F67)&amp;Detail!CS67&amp;Detail!CP67&amp;"-"&amp;Detail!$CP$13))</f>
        <v/>
      </c>
      <c r="DS67" s="308" t="s">
        <v>2236</v>
      </c>
      <c r="DT67" s="720" t="s">
        <v>2277</v>
      </c>
      <c r="DU67" s="244">
        <v>50000</v>
      </c>
      <c r="DV67" s="247">
        <v>2</v>
      </c>
      <c r="DW67" s="261">
        <v>0</v>
      </c>
      <c r="DX67" s="261" t="s">
        <v>2236</v>
      </c>
      <c r="DY67" s="264">
        <v>0</v>
      </c>
      <c r="DZ67" s="444">
        <v>0</v>
      </c>
      <c r="EA67" s="444">
        <v>1</v>
      </c>
      <c r="EB67" s="444">
        <v>0</v>
      </c>
      <c r="EC67" s="761" t="str">
        <f>IF(A67=FALSE,"",IF(Detail!CX67="","N/A",YEAR(Detail!F67)&amp;Detail!DA67&amp;Detail!CX67&amp;"-"&amp;Detail!$CX$13))</f>
        <v/>
      </c>
      <c r="ED67" s="445" t="s">
        <v>2236</v>
      </c>
      <c r="EE67" s="720" t="s">
        <v>2277</v>
      </c>
      <c r="EF67" s="244">
        <v>50000</v>
      </c>
      <c r="EG67" s="247">
        <v>2</v>
      </c>
      <c r="EH67" s="261">
        <v>0</v>
      </c>
      <c r="EI67" s="261" t="s">
        <v>2236</v>
      </c>
      <c r="EJ67" s="264">
        <v>0</v>
      </c>
      <c r="EK67" s="444">
        <v>0</v>
      </c>
      <c r="EL67" s="444">
        <v>1</v>
      </c>
      <c r="EM67" s="444">
        <v>0</v>
      </c>
      <c r="EN67" s="333" t="str">
        <f>IF(A67=FALSE,"",IF(Detail!DF67="","N/A",YEAR(Detail!F67)&amp;Detail!DI67&amp;Detail!DF67&amp;"-"&amp;Detail!$DF$13))</f>
        <v/>
      </c>
      <c r="EO67" s="1012" t="s">
        <v>2236</v>
      </c>
      <c r="EP67" s="1012" t="s">
        <v>2277</v>
      </c>
      <c r="EQ67" s="1013">
        <f t="shared" si="13"/>
        <v>0</v>
      </c>
      <c r="ER67" s="1013" t="s">
        <v>2236</v>
      </c>
      <c r="ES67" s="264">
        <v>0</v>
      </c>
      <c r="ET67" s="1013">
        <v>0</v>
      </c>
      <c r="EU67" s="1013">
        <v>1</v>
      </c>
      <c r="EV67" s="1013">
        <v>0</v>
      </c>
      <c r="EW67" s="333" t="str">
        <f>IF(DJ67=FALSE,"",IF(Detail!ET67="","N/A",YEAR(Detail!DN67)&amp;Detail!EW67&amp;Detail!ET67&amp;"-"&amp;Detail!$AL$13&amp;Detail!EU67))</f>
        <v>N/A</v>
      </c>
      <c r="EX67" s="1012" t="s">
        <v>2236</v>
      </c>
      <c r="EY67" s="1012" t="s">
        <v>2277</v>
      </c>
      <c r="EZ67" s="1013">
        <f t="shared" si="14"/>
        <v>0</v>
      </c>
      <c r="FA67" s="1013" t="s">
        <v>2236</v>
      </c>
      <c r="FB67" s="264">
        <v>0</v>
      </c>
      <c r="FC67" s="1013">
        <v>0</v>
      </c>
      <c r="FD67" s="1013">
        <v>1</v>
      </c>
      <c r="FE67" s="1013">
        <v>0</v>
      </c>
    </row>
    <row r="68" spans="1:161" s="422" customFormat="1" ht="30" customHeight="1" outlineLevel="1">
      <c r="A68" s="439" t="b">
        <f>Calcul!A68</f>
        <v>0</v>
      </c>
      <c r="B68" s="510" t="str">
        <f t="shared" si="15"/>
        <v/>
      </c>
      <c r="C68" s="1404" t="b">
        <v>0</v>
      </c>
      <c r="D68" s="1404" t="s">
        <v>2147</v>
      </c>
      <c r="E68" s="1405" t="s">
        <v>2335</v>
      </c>
      <c r="F68" s="243" t="s">
        <v>2146</v>
      </c>
      <c r="G68" s="356" t="str">
        <f>IF(A68=FALSE,"",IF(NAMES!$D$10=FALSE,IF(Detail!H68="","",Detail!H68),IF(Crewlist!D68="","",Crewlist!D68)))</f>
        <v/>
      </c>
      <c r="H68" s="356" t="str">
        <f>IF(A68=FALSE,"",IF(NAMES!$D$10=FALSE,IF(Detail!P68="","",Detail!P68),IF(Crewlist!E68="","",Crewlist!E68)))</f>
        <v/>
      </c>
      <c r="I68" s="356" t="str">
        <f>IF(A68=FALSE,"",IF(NAMES!$D$10=FALSE,IF(Detail!K68="","",Detail!K68),IF(Crewlist!F68="","",Crewlist!F68)))</f>
        <v/>
      </c>
      <c r="J68" s="1001" t="str">
        <f>IF(Crewlist!T68="","",Crewlist!T68)</f>
        <v/>
      </c>
      <c r="K68" s="1001" t="str">
        <f>IF(Crewlist!D68="","",IF(Crewlist!U68="",Crewlist!Y68,IF(DATERENOUVMOINS730&lt;&gt;Crewlist!U68&lt;&gt;Crewlist!Y68,Crewlist!U68,DATERENOUVMOINS365)))</f>
        <v/>
      </c>
      <c r="L68" s="775" t="str">
        <f>IF(Detail!X68="","",Detail!X68)</f>
        <v/>
      </c>
      <c r="M68" s="775" t="str">
        <f>IF(Detail!H68="","",IF(Detail!Y68="",DATERENOUV,IF(Detail!Y68&gt;Detail!D68,Detail!D68,Detail!Y68)))</f>
        <v/>
      </c>
      <c r="N68" s="1015" t="str">
        <f>IF(A68=FALSE,"",IF(NAMES!$D$10=FALSE,IF(B68=B69,IF(O68=O69,0,(DATEDIF(L68,M68,"M")+1)),(DATEDIF(L68,M68,"M")+1)),IF(B68=B69,IF(O68=O69,0,(DATEDIF(J68,K68,"M")+1)),(DATEDIF(J68,K68,"M")+1))))</f>
        <v/>
      </c>
      <c r="O68" s="357" t="str">
        <f t="shared" si="5"/>
        <v/>
      </c>
      <c r="P68" s="358" t="str">
        <f>IF(A68=FALSE,"",IF(NAMES!$D$10=FALSE,IF((DATEDIF(L68,M68,"D")+1)&lt;365,(DATEDIF(L68,M68,"D")+1),365),IF((DATEDIF(J68,K68,"D")+1)&lt;365,(DATEDIF(J68,K68,"D")+1),365)))</f>
        <v/>
      </c>
      <c r="Q68" s="358" t="str">
        <f>IF(A68=FALSE,"",IF(NAMES!$D$10=FALSE,IF(M68="",365,DATEDIF(L68,M68,"D")+1),IF(M68="",365,DATEDIF(J68,K68,"D")+1)))</f>
        <v/>
      </c>
      <c r="R68" s="950" t="str">
        <f>Calcul!X68</f>
        <v/>
      </c>
      <c r="S68" s="950" t="str">
        <f>Calcul!Y68</f>
        <v/>
      </c>
      <c r="T68" s="993" t="str">
        <f>Calcul!AG68</f>
        <v/>
      </c>
      <c r="U68" s="368" t="str">
        <f>IF(A68=FALSE,"",IF(NAMES!$D$10=FALSE,IF(Detail!S68="","",Detail!S68),IF(Crewlist!V68="","",Crewlist!V68)))</f>
        <v/>
      </c>
      <c r="V68" s="245" t="str">
        <f>Calcul!AI68</f>
        <v/>
      </c>
      <c r="W68" s="245" t="str">
        <f>Calcul!AL68</f>
        <v/>
      </c>
      <c r="X68" s="245" t="str">
        <f>Calcul!AM68</f>
        <v/>
      </c>
      <c r="Y68" s="353" t="str">
        <f>Calcul!AN68</f>
        <v/>
      </c>
      <c r="Z68" s="245" t="str">
        <f>Calcul!AO68</f>
        <v/>
      </c>
      <c r="AA68" s="245" t="str">
        <f>Calcul!AP68</f>
        <v/>
      </c>
      <c r="AB68" s="353" t="str">
        <f>Calcul!AQ68</f>
        <v/>
      </c>
      <c r="AC68" s="353" t="str">
        <f>IF(C68=FALSE,"",Calcul!BE68+Calcul!BF68)</f>
        <v/>
      </c>
      <c r="AD68" s="353" t="str">
        <f>IF(C68=FALSE,"",(Calcul!BG68+Calcul!BH68)+SUM(Calcul!BI68:BN68))</f>
        <v/>
      </c>
      <c r="AE68" s="353" t="str">
        <f>Calcul!BP68</f>
        <v/>
      </c>
      <c r="AF68" s="332" t="str">
        <f>IF(A68=FALSE,"",YEAR(Detail!F68)&amp;Detail!AG68&amp;Detail!AD68&amp;"-"&amp;Detail!$AD$13&amp;Detail!AE68)</f>
        <v/>
      </c>
      <c r="AG68" s="1406" t="s">
        <v>2236</v>
      </c>
      <c r="AH68" s="701" t="s">
        <v>2277</v>
      </c>
      <c r="AI68" s="1407">
        <v>0</v>
      </c>
      <c r="AJ68" s="1407" t="s">
        <v>2236</v>
      </c>
      <c r="AK68" s="1410">
        <v>32</v>
      </c>
      <c r="AL68" s="508">
        <v>0</v>
      </c>
      <c r="AM68" s="261">
        <v>1</v>
      </c>
      <c r="AN68" s="261">
        <v>0</v>
      </c>
      <c r="AO68" s="333" t="str">
        <f>IF(A68=FALSE,"",IF(Detail!AL68="","N/A",YEAR(Detail!F68)&amp;Detail!AO68&amp;Detail!AL68&amp;"-"&amp;Detail!$AL$13&amp;Detail!AM68))</f>
        <v/>
      </c>
      <c r="AP68" s="1406" t="s">
        <v>2236</v>
      </c>
      <c r="AQ68" s="701" t="s">
        <v>2277</v>
      </c>
      <c r="AR68" s="1407">
        <f t="shared" si="7"/>
        <v>0</v>
      </c>
      <c r="AS68" s="261" t="s">
        <v>2236</v>
      </c>
      <c r="AT68" s="264">
        <v>0</v>
      </c>
      <c r="AU68" s="261">
        <v>0</v>
      </c>
      <c r="AV68" s="261">
        <v>1</v>
      </c>
      <c r="AW68" s="261">
        <v>0</v>
      </c>
      <c r="AX68" s="920" t="str">
        <f>IF(A68=FALSE,"",IF(Detail!AT68="","N/A",YEAR(Detail!F68)&amp;Detail!AW68&amp;Detail!AT68&amp;"-"&amp;Detail!$AT$13))</f>
        <v/>
      </c>
      <c r="AY68" s="1408" t="s">
        <v>2236</v>
      </c>
      <c r="AZ68" s="308" t="s">
        <v>2278</v>
      </c>
      <c r="BA68" s="440" t="str">
        <f>IF(A68=FALSE,"",51000+(Detail!AA68*7000))</f>
        <v/>
      </c>
      <c r="BB68" s="1412">
        <v>50000</v>
      </c>
      <c r="BC68" s="247">
        <v>3</v>
      </c>
      <c r="BD68" s="261">
        <v>0</v>
      </c>
      <c r="BE68" s="1325" t="s">
        <v>2236</v>
      </c>
      <c r="BF68" s="264">
        <v>0</v>
      </c>
      <c r="BG68" s="508">
        <v>0</v>
      </c>
      <c r="BH68" s="261">
        <v>1</v>
      </c>
      <c r="BI68" s="261">
        <v>0</v>
      </c>
      <c r="BJ68" s="311" t="str">
        <f>IF(A68=FALSE,"",IF(Detail!BB68="","N/A",YEAR(Detail!F68)&amp;Detail!BE68&amp;Detail!BB68&amp;"-"&amp;Detail!$BB$13))</f>
        <v/>
      </c>
      <c r="BK68" s="1354" t="s">
        <v>2236</v>
      </c>
      <c r="BL68" s="527" t="s">
        <v>2278</v>
      </c>
      <c r="BM68" s="440" t="str">
        <f>IF(A68=FALSE,"",51000+(Detail!AA68*7000))</f>
        <v/>
      </c>
      <c r="BN68" s="1412">
        <v>50000</v>
      </c>
      <c r="BO68" s="247">
        <v>3</v>
      </c>
      <c r="BP68" s="261">
        <v>0</v>
      </c>
      <c r="BQ68" s="261" t="s">
        <v>2236</v>
      </c>
      <c r="BR68" s="264">
        <v>0</v>
      </c>
      <c r="BS68" s="508">
        <v>0</v>
      </c>
      <c r="BT68" s="261">
        <v>1</v>
      </c>
      <c r="BU68" s="261">
        <v>0</v>
      </c>
      <c r="BV68" s="311" t="str">
        <f>IF(A68=FALSE,"",IF(Detail!BJ68="","N/A",YEAR(Detail!F68)&amp;Detail!BM68&amp;Detail!BJ68&amp;"-"&amp;Detail!$BJ$13))</f>
        <v/>
      </c>
      <c r="BW68" s="1409" t="s">
        <v>2236</v>
      </c>
      <c r="BX68" s="527" t="s">
        <v>2278</v>
      </c>
      <c r="BY68" s="440" t="str">
        <f t="shared" si="8"/>
        <v/>
      </c>
      <c r="BZ68" s="1412">
        <v>50000</v>
      </c>
      <c r="CA68" s="247">
        <v>3</v>
      </c>
      <c r="CB68" s="261">
        <v>0</v>
      </c>
      <c r="CC68" s="261" t="s">
        <v>2236</v>
      </c>
      <c r="CD68" s="264">
        <v>0</v>
      </c>
      <c r="CE68" s="508">
        <v>0</v>
      </c>
      <c r="CF68" s="261">
        <v>1</v>
      </c>
      <c r="CG68" s="261">
        <v>0</v>
      </c>
      <c r="CH68" s="311" t="str">
        <f>IF(A68=FALSE,"",IF(Detail!BR68="","N/A",YEAR(Detail!F68)&amp;Detail!BU68&amp;Detail!BR68&amp;"-"&amp;Detail!$BR$13))</f>
        <v/>
      </c>
      <c r="CI68" s="1327" t="s">
        <v>2236</v>
      </c>
      <c r="CJ68" s="527" t="s">
        <v>2278</v>
      </c>
      <c r="CK68" s="440" t="str">
        <f t="shared" si="9"/>
        <v/>
      </c>
      <c r="CL68" s="1412">
        <v>50000</v>
      </c>
      <c r="CM68" s="247">
        <v>3</v>
      </c>
      <c r="CN68" s="261">
        <v>0</v>
      </c>
      <c r="CO68" s="261" t="s">
        <v>2236</v>
      </c>
      <c r="CP68" s="264">
        <v>0</v>
      </c>
      <c r="CQ68" s="508">
        <v>0</v>
      </c>
      <c r="CR68" s="261">
        <v>1</v>
      </c>
      <c r="CS68" s="261">
        <v>0</v>
      </c>
      <c r="CT68" s="311" t="str">
        <f>IF(A68=FALSE,"",IF(Detail!BZ68="","N/A",YEAR(Detail!F68)&amp;Detail!CC68&amp;Detail!BZ68&amp;"-"&amp;Detail!$BZ$13&amp;" (100%/"&amp;Detail!CD68&amp;"/"&amp;Detail!CE68&amp;"D)"))</f>
        <v/>
      </c>
      <c r="CU68" s="1327" t="s">
        <v>2236</v>
      </c>
      <c r="CV68" s="527" t="s">
        <v>2278</v>
      </c>
      <c r="CW68" s="241">
        <v>7</v>
      </c>
      <c r="CX68" s="1323">
        <v>365</v>
      </c>
      <c r="CY68" s="248">
        <v>1</v>
      </c>
      <c r="CZ68" s="261">
        <v>0</v>
      </c>
      <c r="DA68" s="1325" t="s">
        <v>2236</v>
      </c>
      <c r="DB68" s="538">
        <v>40</v>
      </c>
      <c r="DC68" s="1325">
        <v>0.1</v>
      </c>
      <c r="DD68" s="261">
        <v>1</v>
      </c>
      <c r="DE68" s="261">
        <v>0</v>
      </c>
      <c r="DF68" s="313" t="str">
        <f>IF(A68=FALSE,"",IF(Detail!CH68="","N/A",YEAR(Detail!F68)&amp;Detail!CK68&amp;Detail!CH68&amp;"-"&amp;Detail!$CH$13&amp;" (100%/"&amp;Detail!CL68&amp;"/"&amp;Detail!CM68&amp;"D)"))</f>
        <v/>
      </c>
      <c r="DG68" s="1354" t="s">
        <v>2236</v>
      </c>
      <c r="DH68" s="518" t="s">
        <v>2278</v>
      </c>
      <c r="DI68" s="241">
        <f t="shared" si="10"/>
        <v>7</v>
      </c>
      <c r="DJ68" s="243">
        <f t="shared" si="11"/>
        <v>365</v>
      </c>
      <c r="DK68" s="258">
        <v>1</v>
      </c>
      <c r="DL68" s="261">
        <v>0</v>
      </c>
      <c r="DM68" s="1325" t="s">
        <v>2236</v>
      </c>
      <c r="DN68" s="538">
        <v>40</v>
      </c>
      <c r="DO68" s="1325">
        <f t="shared" si="12"/>
        <v>0.1</v>
      </c>
      <c r="DP68" s="261">
        <v>1</v>
      </c>
      <c r="DQ68" s="261">
        <v>0</v>
      </c>
      <c r="DR68" s="920" t="str">
        <f>IF(A68=FALSE,"",IF(Detail!CP68="","N/A",YEAR(Detail!F68)&amp;Detail!CS68&amp;Detail!CP68&amp;"-"&amp;Detail!$CP$13))</f>
        <v/>
      </c>
      <c r="DS68" s="308" t="s">
        <v>2236</v>
      </c>
      <c r="DT68" s="720" t="s">
        <v>2277</v>
      </c>
      <c r="DU68" s="244">
        <v>50000</v>
      </c>
      <c r="DV68" s="247">
        <v>2</v>
      </c>
      <c r="DW68" s="261">
        <v>0</v>
      </c>
      <c r="DX68" s="261" t="s">
        <v>2236</v>
      </c>
      <c r="DY68" s="264">
        <v>0</v>
      </c>
      <c r="DZ68" s="444">
        <v>0</v>
      </c>
      <c r="EA68" s="444">
        <v>1</v>
      </c>
      <c r="EB68" s="444">
        <v>0</v>
      </c>
      <c r="EC68" s="761" t="str">
        <f>IF(A68=FALSE,"",IF(Detail!CX68="","N/A",YEAR(Detail!F68)&amp;Detail!DA68&amp;Detail!CX68&amp;"-"&amp;Detail!$CX$13))</f>
        <v/>
      </c>
      <c r="ED68" s="445" t="s">
        <v>2236</v>
      </c>
      <c r="EE68" s="720" t="s">
        <v>2277</v>
      </c>
      <c r="EF68" s="244">
        <v>50000</v>
      </c>
      <c r="EG68" s="247">
        <v>2</v>
      </c>
      <c r="EH68" s="261">
        <v>0</v>
      </c>
      <c r="EI68" s="261" t="s">
        <v>2236</v>
      </c>
      <c r="EJ68" s="264">
        <v>0</v>
      </c>
      <c r="EK68" s="444">
        <v>0</v>
      </c>
      <c r="EL68" s="444">
        <v>1</v>
      </c>
      <c r="EM68" s="444">
        <v>0</v>
      </c>
      <c r="EN68" s="333" t="str">
        <f>IF(A68=FALSE,"",IF(Detail!DF68="","N/A",YEAR(Detail!F68)&amp;Detail!DI68&amp;Detail!DF68&amp;"-"&amp;Detail!$DF$13))</f>
        <v/>
      </c>
      <c r="EO68" s="1012" t="s">
        <v>2236</v>
      </c>
      <c r="EP68" s="1012" t="s">
        <v>2277</v>
      </c>
      <c r="EQ68" s="1013">
        <f t="shared" si="13"/>
        <v>0</v>
      </c>
      <c r="ER68" s="1013" t="s">
        <v>2236</v>
      </c>
      <c r="ES68" s="264">
        <v>0</v>
      </c>
      <c r="ET68" s="1013">
        <v>0</v>
      </c>
      <c r="EU68" s="1013">
        <v>1</v>
      </c>
      <c r="EV68" s="1013">
        <v>0</v>
      </c>
      <c r="EW68" s="333" t="str">
        <f>IF(DJ68=FALSE,"",IF(Detail!ET68="","N/A",YEAR(Detail!DN68)&amp;Detail!EW68&amp;Detail!ET68&amp;"-"&amp;Detail!$AL$13&amp;Detail!EU68))</f>
        <v>N/A</v>
      </c>
      <c r="EX68" s="1012" t="s">
        <v>2236</v>
      </c>
      <c r="EY68" s="1012" t="s">
        <v>2277</v>
      </c>
      <c r="EZ68" s="1013">
        <f t="shared" si="14"/>
        <v>0</v>
      </c>
      <c r="FA68" s="1013" t="s">
        <v>2236</v>
      </c>
      <c r="FB68" s="264">
        <v>0</v>
      </c>
      <c r="FC68" s="1013">
        <v>0</v>
      </c>
      <c r="FD68" s="1013">
        <v>1</v>
      </c>
      <c r="FE68" s="1013">
        <v>0</v>
      </c>
    </row>
    <row r="69" spans="1:161" s="422" customFormat="1" ht="30" customHeight="1" outlineLevel="1">
      <c r="A69" s="439" t="b">
        <f>Calcul!A69</f>
        <v>0</v>
      </c>
      <c r="B69" s="510" t="str">
        <f t="shared" si="15"/>
        <v/>
      </c>
      <c r="C69" s="1404" t="b">
        <v>0</v>
      </c>
      <c r="D69" s="1404" t="s">
        <v>2147</v>
      </c>
      <c r="E69" s="1405" t="s">
        <v>2335</v>
      </c>
      <c r="F69" s="243" t="s">
        <v>2146</v>
      </c>
      <c r="G69" s="356" t="str">
        <f>IF(A69=FALSE,"",IF(NAMES!$D$10=FALSE,IF(Detail!H69="","",Detail!H69),IF(Crewlist!D69="","",Crewlist!D69)))</f>
        <v/>
      </c>
      <c r="H69" s="356" t="str">
        <f>IF(A69=FALSE,"",IF(NAMES!$D$10=FALSE,IF(Detail!P69="","",Detail!P69),IF(Crewlist!E69="","",Crewlist!E69)))</f>
        <v/>
      </c>
      <c r="I69" s="356" t="str">
        <f>IF(A69=FALSE,"",IF(NAMES!$D$10=FALSE,IF(Detail!K69="","",Detail!K69),IF(Crewlist!F69="","",Crewlist!F69)))</f>
        <v/>
      </c>
      <c r="J69" s="1001" t="str">
        <f>IF(Crewlist!T69="","",Crewlist!T69)</f>
        <v/>
      </c>
      <c r="K69" s="1001" t="str">
        <f>IF(Crewlist!D69="","",IF(Crewlist!U69="",Crewlist!Y69,IF(DATERENOUVMOINS730&lt;&gt;Crewlist!U69&lt;&gt;Crewlist!Y69,Crewlist!U69,DATERENOUVMOINS365)))</f>
        <v/>
      </c>
      <c r="L69" s="775" t="str">
        <f>IF(Detail!X69="","",Detail!X69)</f>
        <v/>
      </c>
      <c r="M69" s="775" t="str">
        <f>IF(Detail!H69="","",IF(Detail!Y69="",DATERENOUV,IF(Detail!Y69&gt;Detail!D69,Detail!D69,Detail!Y69)))</f>
        <v/>
      </c>
      <c r="N69" s="1015" t="str">
        <f>IF(A69=FALSE,"",IF(NAMES!$D$10=FALSE,IF(B69=B70,IF(O69=O70,0,(DATEDIF(L69,M69,"M")+1)),(DATEDIF(L69,M69,"M")+1)),IF(B69=B70,IF(O69=O70,0,(DATEDIF(J69,K69,"M")+1)),(DATEDIF(J69,K69,"M")+1))))</f>
        <v/>
      </c>
      <c r="O69" s="357" t="str">
        <f t="shared" si="5"/>
        <v/>
      </c>
      <c r="P69" s="358" t="str">
        <f>IF(A69=FALSE,"",IF(NAMES!$D$10=FALSE,IF((DATEDIF(L69,M69,"D")+1)&lt;365,(DATEDIF(L69,M69,"D")+1),365),IF((DATEDIF(J69,K69,"D")+1)&lt;365,(DATEDIF(J69,K69,"D")+1),365)))</f>
        <v/>
      </c>
      <c r="Q69" s="358" t="str">
        <f>IF(A69=FALSE,"",IF(NAMES!$D$10=FALSE,IF(M69="",365,DATEDIF(L69,M69,"D")+1),IF(M69="",365,DATEDIF(J69,K69,"D")+1)))</f>
        <v/>
      </c>
      <c r="R69" s="950" t="str">
        <f>Calcul!X69</f>
        <v/>
      </c>
      <c r="S69" s="950" t="str">
        <f>Calcul!Y69</f>
        <v/>
      </c>
      <c r="T69" s="993" t="str">
        <f>Calcul!AG69</f>
        <v/>
      </c>
      <c r="U69" s="368" t="str">
        <f>IF(A69=FALSE,"",IF(NAMES!$D$10=FALSE,IF(Detail!S69="","",Detail!S69),IF(Crewlist!V69="","",Crewlist!V69)))</f>
        <v/>
      </c>
      <c r="V69" s="245" t="str">
        <f>Calcul!AI69</f>
        <v/>
      </c>
      <c r="W69" s="245" t="str">
        <f>Calcul!AL69</f>
        <v/>
      </c>
      <c r="X69" s="245" t="str">
        <f>Calcul!AM69</f>
        <v/>
      </c>
      <c r="Y69" s="353" t="str">
        <f>Calcul!AN69</f>
        <v/>
      </c>
      <c r="Z69" s="245" t="str">
        <f>Calcul!AO69</f>
        <v/>
      </c>
      <c r="AA69" s="245" t="str">
        <f>Calcul!AP69</f>
        <v/>
      </c>
      <c r="AB69" s="353" t="str">
        <f>Calcul!AQ69</f>
        <v/>
      </c>
      <c r="AC69" s="353" t="str">
        <f>IF(C69=FALSE,"",Calcul!BE69+Calcul!BF69)</f>
        <v/>
      </c>
      <c r="AD69" s="353" t="str">
        <f>IF(C69=FALSE,"",(Calcul!BG69+Calcul!BH69)+SUM(Calcul!BI69:BN69))</f>
        <v/>
      </c>
      <c r="AE69" s="353" t="str">
        <f>Calcul!BP69</f>
        <v/>
      </c>
      <c r="AF69" s="332" t="str">
        <f>IF(A69=FALSE,"",YEAR(Detail!F69)&amp;Detail!AG69&amp;Detail!AD69&amp;"-"&amp;Detail!$AD$13&amp;Detail!AE69)</f>
        <v/>
      </c>
      <c r="AG69" s="1406" t="s">
        <v>2236</v>
      </c>
      <c r="AH69" s="701" t="s">
        <v>2277</v>
      </c>
      <c r="AI69" s="1407">
        <v>0</v>
      </c>
      <c r="AJ69" s="1407" t="s">
        <v>2236</v>
      </c>
      <c r="AK69" s="1410">
        <v>32</v>
      </c>
      <c r="AL69" s="508">
        <v>0</v>
      </c>
      <c r="AM69" s="261">
        <v>1</v>
      </c>
      <c r="AN69" s="261">
        <v>0</v>
      </c>
      <c r="AO69" s="333" t="str">
        <f>IF(A69=FALSE,"",IF(Detail!AL69="","N/A",YEAR(Detail!F69)&amp;Detail!AO69&amp;Detail!AL69&amp;"-"&amp;Detail!$AL$13&amp;Detail!AM69))</f>
        <v/>
      </c>
      <c r="AP69" s="1406" t="s">
        <v>2236</v>
      </c>
      <c r="AQ69" s="701" t="s">
        <v>2277</v>
      </c>
      <c r="AR69" s="1407">
        <f t="shared" si="7"/>
        <v>0</v>
      </c>
      <c r="AS69" s="261" t="s">
        <v>2236</v>
      </c>
      <c r="AT69" s="264">
        <v>0</v>
      </c>
      <c r="AU69" s="261">
        <v>0</v>
      </c>
      <c r="AV69" s="261">
        <v>1</v>
      </c>
      <c r="AW69" s="261">
        <v>0</v>
      </c>
      <c r="AX69" s="920" t="str">
        <f>IF(A69=FALSE,"",IF(Detail!AT69="","N/A",YEAR(Detail!F69)&amp;Detail!AW69&amp;Detail!AT69&amp;"-"&amp;Detail!$AT$13))</f>
        <v/>
      </c>
      <c r="AY69" s="1408" t="s">
        <v>2236</v>
      </c>
      <c r="AZ69" s="308" t="s">
        <v>2278</v>
      </c>
      <c r="BA69" s="440" t="str">
        <f>IF(A69=FALSE,"",51000+(Detail!AA69*7000))</f>
        <v/>
      </c>
      <c r="BB69" s="1412">
        <v>50000</v>
      </c>
      <c r="BC69" s="247">
        <v>3</v>
      </c>
      <c r="BD69" s="261">
        <v>0</v>
      </c>
      <c r="BE69" s="1325" t="s">
        <v>2236</v>
      </c>
      <c r="BF69" s="264">
        <v>0</v>
      </c>
      <c r="BG69" s="508">
        <v>0</v>
      </c>
      <c r="BH69" s="261">
        <v>1</v>
      </c>
      <c r="BI69" s="261">
        <v>0</v>
      </c>
      <c r="BJ69" s="311" t="str">
        <f>IF(A69=FALSE,"",IF(Detail!BB69="","N/A",YEAR(Detail!F69)&amp;Detail!BE69&amp;Detail!BB69&amp;"-"&amp;Detail!$BB$13))</f>
        <v/>
      </c>
      <c r="BK69" s="1354" t="s">
        <v>2236</v>
      </c>
      <c r="BL69" s="527" t="s">
        <v>2278</v>
      </c>
      <c r="BM69" s="440" t="str">
        <f>IF(A69=FALSE,"",51000+(Detail!AA69*7000))</f>
        <v/>
      </c>
      <c r="BN69" s="1412">
        <v>50000</v>
      </c>
      <c r="BO69" s="247">
        <v>3</v>
      </c>
      <c r="BP69" s="261">
        <v>0</v>
      </c>
      <c r="BQ69" s="261" t="s">
        <v>2236</v>
      </c>
      <c r="BR69" s="264">
        <v>0</v>
      </c>
      <c r="BS69" s="508">
        <v>0</v>
      </c>
      <c r="BT69" s="261">
        <v>1</v>
      </c>
      <c r="BU69" s="261">
        <v>0</v>
      </c>
      <c r="BV69" s="311" t="str">
        <f>IF(A69=FALSE,"",IF(Detail!BJ69="","N/A",YEAR(Detail!F69)&amp;Detail!BM69&amp;Detail!BJ69&amp;"-"&amp;Detail!$BJ$13))</f>
        <v/>
      </c>
      <c r="BW69" s="1409" t="s">
        <v>2236</v>
      </c>
      <c r="BX69" s="527" t="s">
        <v>2278</v>
      </c>
      <c r="BY69" s="440" t="str">
        <f t="shared" si="8"/>
        <v/>
      </c>
      <c r="BZ69" s="1412">
        <v>50000</v>
      </c>
      <c r="CA69" s="247">
        <v>3</v>
      </c>
      <c r="CB69" s="261">
        <v>0</v>
      </c>
      <c r="CC69" s="261" t="s">
        <v>2236</v>
      </c>
      <c r="CD69" s="264">
        <v>0</v>
      </c>
      <c r="CE69" s="508">
        <v>0</v>
      </c>
      <c r="CF69" s="261">
        <v>1</v>
      </c>
      <c r="CG69" s="261">
        <v>0</v>
      </c>
      <c r="CH69" s="311" t="str">
        <f>IF(A69=FALSE,"",IF(Detail!BR69="","N/A",YEAR(Detail!F69)&amp;Detail!BU69&amp;Detail!BR69&amp;"-"&amp;Detail!$BR$13))</f>
        <v/>
      </c>
      <c r="CI69" s="1327" t="s">
        <v>2236</v>
      </c>
      <c r="CJ69" s="527" t="s">
        <v>2278</v>
      </c>
      <c r="CK69" s="440" t="str">
        <f t="shared" si="9"/>
        <v/>
      </c>
      <c r="CL69" s="1412">
        <v>50000</v>
      </c>
      <c r="CM69" s="247">
        <v>3</v>
      </c>
      <c r="CN69" s="261">
        <v>0</v>
      </c>
      <c r="CO69" s="261" t="s">
        <v>2236</v>
      </c>
      <c r="CP69" s="264">
        <v>0</v>
      </c>
      <c r="CQ69" s="508">
        <v>0</v>
      </c>
      <c r="CR69" s="261">
        <v>1</v>
      </c>
      <c r="CS69" s="261">
        <v>0</v>
      </c>
      <c r="CT69" s="311" t="str">
        <f>IF(A69=FALSE,"",IF(Detail!BZ69="","N/A",YEAR(Detail!F69)&amp;Detail!CC69&amp;Detail!BZ69&amp;"-"&amp;Detail!$BZ$13&amp;" (100%/"&amp;Detail!CD69&amp;"/"&amp;Detail!CE69&amp;"D)"))</f>
        <v/>
      </c>
      <c r="CU69" s="1327" t="s">
        <v>2236</v>
      </c>
      <c r="CV69" s="527" t="s">
        <v>2278</v>
      </c>
      <c r="CW69" s="241">
        <v>7</v>
      </c>
      <c r="CX69" s="1323">
        <v>365</v>
      </c>
      <c r="CY69" s="248">
        <v>1</v>
      </c>
      <c r="CZ69" s="261">
        <v>0</v>
      </c>
      <c r="DA69" s="1325" t="s">
        <v>2236</v>
      </c>
      <c r="DB69" s="538">
        <v>40</v>
      </c>
      <c r="DC69" s="1325">
        <v>0.1</v>
      </c>
      <c r="DD69" s="261">
        <v>1</v>
      </c>
      <c r="DE69" s="261">
        <v>0</v>
      </c>
      <c r="DF69" s="313" t="str">
        <f>IF(A69=FALSE,"",IF(Detail!CH69="","N/A",YEAR(Detail!F69)&amp;Detail!CK69&amp;Detail!CH69&amp;"-"&amp;Detail!$CH$13&amp;" (100%/"&amp;Detail!CL69&amp;"/"&amp;Detail!CM69&amp;"D)"))</f>
        <v/>
      </c>
      <c r="DG69" s="1354" t="s">
        <v>2236</v>
      </c>
      <c r="DH69" s="518" t="s">
        <v>2278</v>
      </c>
      <c r="DI69" s="241">
        <f t="shared" si="10"/>
        <v>7</v>
      </c>
      <c r="DJ69" s="243">
        <f t="shared" si="11"/>
        <v>365</v>
      </c>
      <c r="DK69" s="258">
        <v>1</v>
      </c>
      <c r="DL69" s="261">
        <v>0</v>
      </c>
      <c r="DM69" s="1325" t="s">
        <v>2236</v>
      </c>
      <c r="DN69" s="538">
        <v>40</v>
      </c>
      <c r="DO69" s="1325">
        <f t="shared" si="12"/>
        <v>0.1</v>
      </c>
      <c r="DP69" s="261">
        <v>1</v>
      </c>
      <c r="DQ69" s="261">
        <v>0</v>
      </c>
      <c r="DR69" s="920" t="str">
        <f>IF(A69=FALSE,"",IF(Detail!CP69="","N/A",YEAR(Detail!F69)&amp;Detail!CS69&amp;Detail!CP69&amp;"-"&amp;Detail!$CP$13))</f>
        <v/>
      </c>
      <c r="DS69" s="308" t="s">
        <v>2236</v>
      </c>
      <c r="DT69" s="720" t="s">
        <v>2277</v>
      </c>
      <c r="DU69" s="244">
        <v>50000</v>
      </c>
      <c r="DV69" s="247">
        <v>2</v>
      </c>
      <c r="DW69" s="261">
        <v>0</v>
      </c>
      <c r="DX69" s="261" t="s">
        <v>2236</v>
      </c>
      <c r="DY69" s="264">
        <v>0</v>
      </c>
      <c r="DZ69" s="444">
        <v>0</v>
      </c>
      <c r="EA69" s="444">
        <v>1</v>
      </c>
      <c r="EB69" s="444">
        <v>0</v>
      </c>
      <c r="EC69" s="761" t="str">
        <f>IF(A69=FALSE,"",IF(Detail!CX69="","N/A",YEAR(Detail!F69)&amp;Detail!DA69&amp;Detail!CX69&amp;"-"&amp;Detail!$CX$13))</f>
        <v/>
      </c>
      <c r="ED69" s="445" t="s">
        <v>2236</v>
      </c>
      <c r="EE69" s="720" t="s">
        <v>2277</v>
      </c>
      <c r="EF69" s="244">
        <v>50000</v>
      </c>
      <c r="EG69" s="247">
        <v>2</v>
      </c>
      <c r="EH69" s="261">
        <v>0</v>
      </c>
      <c r="EI69" s="261" t="s">
        <v>2236</v>
      </c>
      <c r="EJ69" s="264">
        <v>0</v>
      </c>
      <c r="EK69" s="444">
        <v>0</v>
      </c>
      <c r="EL69" s="444">
        <v>1</v>
      </c>
      <c r="EM69" s="444">
        <v>0</v>
      </c>
      <c r="EN69" s="333" t="str">
        <f>IF(A69=FALSE,"",IF(Detail!DF69="","N/A",YEAR(Detail!F69)&amp;Detail!DI69&amp;Detail!DF69&amp;"-"&amp;Detail!$DF$13))</f>
        <v/>
      </c>
      <c r="EO69" s="1012" t="s">
        <v>2236</v>
      </c>
      <c r="EP69" s="1012" t="s">
        <v>2277</v>
      </c>
      <c r="EQ69" s="1013">
        <f t="shared" si="13"/>
        <v>0</v>
      </c>
      <c r="ER69" s="1013" t="s">
        <v>2236</v>
      </c>
      <c r="ES69" s="264">
        <v>0</v>
      </c>
      <c r="ET69" s="1013">
        <v>0</v>
      </c>
      <c r="EU69" s="1013">
        <v>1</v>
      </c>
      <c r="EV69" s="1013">
        <v>0</v>
      </c>
      <c r="EW69" s="333" t="str">
        <f>IF(DJ69=FALSE,"",IF(Detail!ET69="","N/A",YEAR(Detail!DN69)&amp;Detail!EW69&amp;Detail!ET69&amp;"-"&amp;Detail!$AL$13&amp;Detail!EU69))</f>
        <v>N/A</v>
      </c>
      <c r="EX69" s="1012" t="s">
        <v>2236</v>
      </c>
      <c r="EY69" s="1012" t="s">
        <v>2277</v>
      </c>
      <c r="EZ69" s="1013">
        <f t="shared" si="14"/>
        <v>0</v>
      </c>
      <c r="FA69" s="1013" t="s">
        <v>2236</v>
      </c>
      <c r="FB69" s="264">
        <v>0</v>
      </c>
      <c r="FC69" s="1013">
        <v>0</v>
      </c>
      <c r="FD69" s="1013">
        <v>1</v>
      </c>
      <c r="FE69" s="1013">
        <v>0</v>
      </c>
    </row>
    <row r="70" spans="1:161" s="422" customFormat="1" ht="30" customHeight="1" outlineLevel="1">
      <c r="A70" s="439" t="b">
        <f>Calcul!A70</f>
        <v>0</v>
      </c>
      <c r="B70" s="510" t="str">
        <f t="shared" si="15"/>
        <v/>
      </c>
      <c r="C70" s="1404" t="b">
        <v>0</v>
      </c>
      <c r="D70" s="1404" t="s">
        <v>2147</v>
      </c>
      <c r="E70" s="1405" t="s">
        <v>2335</v>
      </c>
      <c r="F70" s="243" t="s">
        <v>2146</v>
      </c>
      <c r="G70" s="356" t="str">
        <f>IF(A70=FALSE,"",IF(NAMES!$D$10=FALSE,IF(Detail!H70="","",Detail!H70),IF(Crewlist!D70="","",Crewlist!D70)))</f>
        <v/>
      </c>
      <c r="H70" s="356" t="str">
        <f>IF(A70=FALSE,"",IF(NAMES!$D$10=FALSE,IF(Detail!P70="","",Detail!P70),IF(Crewlist!E70="","",Crewlist!E70)))</f>
        <v/>
      </c>
      <c r="I70" s="356" t="str">
        <f>IF(A70=FALSE,"",IF(NAMES!$D$10=FALSE,IF(Detail!K70="","",Detail!K70),IF(Crewlist!F70="","",Crewlist!F70)))</f>
        <v/>
      </c>
      <c r="J70" s="1001" t="str">
        <f>IF(Crewlist!T70="","",Crewlist!T70)</f>
        <v/>
      </c>
      <c r="K70" s="1001" t="str">
        <f>IF(Crewlist!D70="","",IF(Crewlist!U70="",Crewlist!Y70,IF(DATERENOUVMOINS730&lt;&gt;Crewlist!U70&lt;&gt;Crewlist!Y70,Crewlist!U70,DATERENOUVMOINS365)))</f>
        <v/>
      </c>
      <c r="L70" s="775" t="str">
        <f>IF(Detail!X70="","",Detail!X70)</f>
        <v/>
      </c>
      <c r="M70" s="775" t="str">
        <f>IF(Detail!H70="","",IF(Detail!Y70="",DATERENOUV,IF(Detail!Y70&gt;Detail!D70,Detail!D70,Detail!Y70)))</f>
        <v/>
      </c>
      <c r="N70" s="1015" t="str">
        <f>IF(A70=FALSE,"",IF(NAMES!$D$10=FALSE,IF(B70=B71,IF(O70=O71,0,(DATEDIF(L70,M70,"M")+1)),(DATEDIF(L70,M70,"M")+1)),IF(B70=B71,IF(O70=O71,0,(DATEDIF(J70,K70,"M")+1)),(DATEDIF(J70,K70,"M")+1))))</f>
        <v/>
      </c>
      <c r="O70" s="357" t="str">
        <f t="shared" si="5"/>
        <v/>
      </c>
      <c r="P70" s="358" t="str">
        <f>IF(A70=FALSE,"",IF(NAMES!$D$10=FALSE,IF((DATEDIF(L70,M70,"D")+1)&lt;365,(DATEDIF(L70,M70,"D")+1),365),IF((DATEDIF(J70,K70,"D")+1)&lt;365,(DATEDIF(J70,K70,"D")+1),365)))</f>
        <v/>
      </c>
      <c r="Q70" s="358" t="str">
        <f>IF(A70=FALSE,"",IF(NAMES!$D$10=FALSE,IF(M70="",365,DATEDIF(L70,M70,"D")+1),IF(M70="",365,DATEDIF(J70,K70,"D")+1)))</f>
        <v/>
      </c>
      <c r="R70" s="950" t="str">
        <f>Calcul!X70</f>
        <v/>
      </c>
      <c r="S70" s="950" t="str">
        <f>Calcul!Y70</f>
        <v/>
      </c>
      <c r="T70" s="993" t="str">
        <f>Calcul!AG70</f>
        <v/>
      </c>
      <c r="U70" s="368" t="str">
        <f>IF(A70=FALSE,"",IF(NAMES!$D$10=FALSE,IF(Detail!S70="","",Detail!S70),IF(Crewlist!V70="","",Crewlist!V70)))</f>
        <v/>
      </c>
      <c r="V70" s="245" t="str">
        <f>Calcul!AI70</f>
        <v/>
      </c>
      <c r="W70" s="245" t="str">
        <f>Calcul!AL70</f>
        <v/>
      </c>
      <c r="X70" s="245" t="str">
        <f>Calcul!AM70</f>
        <v/>
      </c>
      <c r="Y70" s="353" t="str">
        <f>Calcul!AN70</f>
        <v/>
      </c>
      <c r="Z70" s="245" t="str">
        <f>Calcul!AO70</f>
        <v/>
      </c>
      <c r="AA70" s="245" t="str">
        <f>Calcul!AP70</f>
        <v/>
      </c>
      <c r="AB70" s="353" t="str">
        <f>Calcul!AQ70</f>
        <v/>
      </c>
      <c r="AC70" s="353" t="str">
        <f>IF(C70=FALSE,"",Calcul!BE70+Calcul!BF70)</f>
        <v/>
      </c>
      <c r="AD70" s="353" t="str">
        <f>IF(C70=FALSE,"",(Calcul!BG70+Calcul!BH70)+SUM(Calcul!BI70:BN70))</f>
        <v/>
      </c>
      <c r="AE70" s="353" t="str">
        <f>Calcul!BP70</f>
        <v/>
      </c>
      <c r="AF70" s="332" t="str">
        <f>IF(A70=FALSE,"",YEAR(Detail!F70)&amp;Detail!AG70&amp;Detail!AD70&amp;"-"&amp;Detail!$AD$13&amp;Detail!AE70)</f>
        <v/>
      </c>
      <c r="AG70" s="1406" t="s">
        <v>2236</v>
      </c>
      <c r="AH70" s="701" t="s">
        <v>2277</v>
      </c>
      <c r="AI70" s="1407">
        <v>0</v>
      </c>
      <c r="AJ70" s="1407" t="s">
        <v>2236</v>
      </c>
      <c r="AK70" s="1410">
        <v>32</v>
      </c>
      <c r="AL70" s="508">
        <v>0</v>
      </c>
      <c r="AM70" s="261">
        <v>1</v>
      </c>
      <c r="AN70" s="261">
        <v>0</v>
      </c>
      <c r="AO70" s="333" t="str">
        <f>IF(A70=FALSE,"",IF(Detail!AL70="","N/A",YEAR(Detail!F70)&amp;Detail!AO70&amp;Detail!AL70&amp;"-"&amp;Detail!$AL$13&amp;Detail!AM70))</f>
        <v/>
      </c>
      <c r="AP70" s="1406" t="s">
        <v>2236</v>
      </c>
      <c r="AQ70" s="701" t="s">
        <v>2277</v>
      </c>
      <c r="AR70" s="1407">
        <f t="shared" si="7"/>
        <v>0</v>
      </c>
      <c r="AS70" s="261" t="s">
        <v>2236</v>
      </c>
      <c r="AT70" s="264">
        <v>0</v>
      </c>
      <c r="AU70" s="261">
        <v>0</v>
      </c>
      <c r="AV70" s="261">
        <v>1</v>
      </c>
      <c r="AW70" s="261">
        <v>0</v>
      </c>
      <c r="AX70" s="920" t="str">
        <f>IF(A70=FALSE,"",IF(Detail!AT70="","N/A",YEAR(Detail!F70)&amp;Detail!AW70&amp;Detail!AT70&amp;"-"&amp;Detail!$AT$13))</f>
        <v/>
      </c>
      <c r="AY70" s="1408" t="s">
        <v>2236</v>
      </c>
      <c r="AZ70" s="308" t="s">
        <v>2278</v>
      </c>
      <c r="BA70" s="440" t="str">
        <f>IF(A70=FALSE,"",51000+(Detail!AA70*7000))</f>
        <v/>
      </c>
      <c r="BB70" s="1412">
        <v>50000</v>
      </c>
      <c r="BC70" s="247">
        <v>3</v>
      </c>
      <c r="BD70" s="261">
        <v>0</v>
      </c>
      <c r="BE70" s="1325" t="s">
        <v>2236</v>
      </c>
      <c r="BF70" s="264">
        <v>0</v>
      </c>
      <c r="BG70" s="508">
        <v>0</v>
      </c>
      <c r="BH70" s="261">
        <v>1</v>
      </c>
      <c r="BI70" s="261">
        <v>0</v>
      </c>
      <c r="BJ70" s="311" t="str">
        <f>IF(A70=FALSE,"",IF(Detail!BB70="","N/A",YEAR(Detail!F70)&amp;Detail!BE70&amp;Detail!BB70&amp;"-"&amp;Detail!$BB$13))</f>
        <v/>
      </c>
      <c r="BK70" s="1354" t="s">
        <v>2236</v>
      </c>
      <c r="BL70" s="527" t="s">
        <v>2278</v>
      </c>
      <c r="BM70" s="440" t="str">
        <f>IF(A70=FALSE,"",51000+(Detail!AA70*7000))</f>
        <v/>
      </c>
      <c r="BN70" s="1412">
        <v>50000</v>
      </c>
      <c r="BO70" s="247">
        <v>3</v>
      </c>
      <c r="BP70" s="261">
        <v>0</v>
      </c>
      <c r="BQ70" s="261" t="s">
        <v>2236</v>
      </c>
      <c r="BR70" s="264">
        <v>0</v>
      </c>
      <c r="BS70" s="508">
        <v>0</v>
      </c>
      <c r="BT70" s="261">
        <v>1</v>
      </c>
      <c r="BU70" s="261">
        <v>0</v>
      </c>
      <c r="BV70" s="311" t="str">
        <f>IF(A70=FALSE,"",IF(Detail!BJ70="","N/A",YEAR(Detail!F70)&amp;Detail!BM70&amp;Detail!BJ70&amp;"-"&amp;Detail!$BJ$13))</f>
        <v/>
      </c>
      <c r="BW70" s="1409" t="s">
        <v>2236</v>
      </c>
      <c r="BX70" s="527" t="s">
        <v>2278</v>
      </c>
      <c r="BY70" s="440" t="str">
        <f t="shared" si="8"/>
        <v/>
      </c>
      <c r="BZ70" s="1412">
        <v>50000</v>
      </c>
      <c r="CA70" s="247">
        <v>3</v>
      </c>
      <c r="CB70" s="261">
        <v>0</v>
      </c>
      <c r="CC70" s="261" t="s">
        <v>2236</v>
      </c>
      <c r="CD70" s="264">
        <v>0</v>
      </c>
      <c r="CE70" s="508">
        <v>0</v>
      </c>
      <c r="CF70" s="261">
        <v>1</v>
      </c>
      <c r="CG70" s="261">
        <v>0</v>
      </c>
      <c r="CH70" s="311" t="str">
        <f>IF(A70=FALSE,"",IF(Detail!BR70="","N/A",YEAR(Detail!F70)&amp;Detail!BU70&amp;Detail!BR70&amp;"-"&amp;Detail!$BR$13))</f>
        <v/>
      </c>
      <c r="CI70" s="1327" t="s">
        <v>2236</v>
      </c>
      <c r="CJ70" s="527" t="s">
        <v>2278</v>
      </c>
      <c r="CK70" s="440" t="str">
        <f t="shared" si="9"/>
        <v/>
      </c>
      <c r="CL70" s="1412">
        <v>50000</v>
      </c>
      <c r="CM70" s="247">
        <v>3</v>
      </c>
      <c r="CN70" s="261">
        <v>0</v>
      </c>
      <c r="CO70" s="261" t="s">
        <v>2236</v>
      </c>
      <c r="CP70" s="264">
        <v>0</v>
      </c>
      <c r="CQ70" s="508">
        <v>0</v>
      </c>
      <c r="CR70" s="261">
        <v>1</v>
      </c>
      <c r="CS70" s="261">
        <v>0</v>
      </c>
      <c r="CT70" s="311" t="str">
        <f>IF(A70=FALSE,"",IF(Detail!BZ70="","N/A",YEAR(Detail!F70)&amp;Detail!CC70&amp;Detail!BZ70&amp;"-"&amp;Detail!$BZ$13&amp;" (100%/"&amp;Detail!CD70&amp;"/"&amp;Detail!CE70&amp;"D)"))</f>
        <v/>
      </c>
      <c r="CU70" s="1327" t="s">
        <v>2236</v>
      </c>
      <c r="CV70" s="527" t="s">
        <v>2278</v>
      </c>
      <c r="CW70" s="241">
        <v>7</v>
      </c>
      <c r="CX70" s="1323">
        <v>365</v>
      </c>
      <c r="CY70" s="248">
        <v>1</v>
      </c>
      <c r="CZ70" s="261">
        <v>0</v>
      </c>
      <c r="DA70" s="1325" t="s">
        <v>2236</v>
      </c>
      <c r="DB70" s="538">
        <v>40</v>
      </c>
      <c r="DC70" s="1325">
        <v>0.1</v>
      </c>
      <c r="DD70" s="261">
        <v>1</v>
      </c>
      <c r="DE70" s="261">
        <v>0</v>
      </c>
      <c r="DF70" s="313" t="str">
        <f>IF(A70=FALSE,"",IF(Detail!CH70="","N/A",YEAR(Detail!F70)&amp;Detail!CK70&amp;Detail!CH70&amp;"-"&amp;Detail!$CH$13&amp;" (100%/"&amp;Detail!CL70&amp;"/"&amp;Detail!CM70&amp;"D)"))</f>
        <v/>
      </c>
      <c r="DG70" s="1354" t="s">
        <v>2236</v>
      </c>
      <c r="DH70" s="518" t="s">
        <v>2278</v>
      </c>
      <c r="DI70" s="241">
        <f t="shared" si="10"/>
        <v>7</v>
      </c>
      <c r="DJ70" s="243">
        <f t="shared" si="11"/>
        <v>365</v>
      </c>
      <c r="DK70" s="258">
        <v>1</v>
      </c>
      <c r="DL70" s="261">
        <v>0</v>
      </c>
      <c r="DM70" s="1325" t="s">
        <v>2236</v>
      </c>
      <c r="DN70" s="538">
        <v>40</v>
      </c>
      <c r="DO70" s="1325">
        <f t="shared" si="12"/>
        <v>0.1</v>
      </c>
      <c r="DP70" s="261">
        <v>1</v>
      </c>
      <c r="DQ70" s="261">
        <v>0</v>
      </c>
      <c r="DR70" s="920" t="str">
        <f>IF(A70=FALSE,"",IF(Detail!CP70="","N/A",YEAR(Detail!F70)&amp;Detail!CS70&amp;Detail!CP70&amp;"-"&amp;Detail!$CP$13))</f>
        <v/>
      </c>
      <c r="DS70" s="308" t="s">
        <v>2236</v>
      </c>
      <c r="DT70" s="720" t="s">
        <v>2277</v>
      </c>
      <c r="DU70" s="244">
        <v>50000</v>
      </c>
      <c r="DV70" s="247">
        <v>2</v>
      </c>
      <c r="DW70" s="261">
        <v>0</v>
      </c>
      <c r="DX70" s="261" t="s">
        <v>2236</v>
      </c>
      <c r="DY70" s="264">
        <v>0</v>
      </c>
      <c r="DZ70" s="444">
        <v>0</v>
      </c>
      <c r="EA70" s="444">
        <v>1</v>
      </c>
      <c r="EB70" s="444">
        <v>0</v>
      </c>
      <c r="EC70" s="761" t="str">
        <f>IF(A70=FALSE,"",IF(Detail!CX70="","N/A",YEAR(Detail!F70)&amp;Detail!DA70&amp;Detail!CX70&amp;"-"&amp;Detail!$CX$13))</f>
        <v/>
      </c>
      <c r="ED70" s="445" t="s">
        <v>2236</v>
      </c>
      <c r="EE70" s="720" t="s">
        <v>2277</v>
      </c>
      <c r="EF70" s="244">
        <v>50000</v>
      </c>
      <c r="EG70" s="247">
        <v>2</v>
      </c>
      <c r="EH70" s="261">
        <v>0</v>
      </c>
      <c r="EI70" s="261" t="s">
        <v>2236</v>
      </c>
      <c r="EJ70" s="264">
        <v>0</v>
      </c>
      <c r="EK70" s="444">
        <v>0</v>
      </c>
      <c r="EL70" s="444">
        <v>1</v>
      </c>
      <c r="EM70" s="444">
        <v>0</v>
      </c>
      <c r="EN70" s="333" t="str">
        <f>IF(A70=FALSE,"",IF(Detail!DF70="","N/A",YEAR(Detail!F70)&amp;Detail!DI70&amp;Detail!DF70&amp;"-"&amp;Detail!$DF$13))</f>
        <v/>
      </c>
      <c r="EO70" s="1012" t="s">
        <v>2236</v>
      </c>
      <c r="EP70" s="1012" t="s">
        <v>2277</v>
      </c>
      <c r="EQ70" s="1013">
        <f t="shared" si="13"/>
        <v>0</v>
      </c>
      <c r="ER70" s="1013" t="s">
        <v>2236</v>
      </c>
      <c r="ES70" s="264">
        <v>0</v>
      </c>
      <c r="ET70" s="1013">
        <v>0</v>
      </c>
      <c r="EU70" s="1013">
        <v>1</v>
      </c>
      <c r="EV70" s="1013">
        <v>0</v>
      </c>
      <c r="EW70" s="333" t="str">
        <f>IF(DJ70=FALSE,"",IF(Detail!ET70="","N/A",YEAR(Detail!DN70)&amp;Detail!EW70&amp;Detail!ET70&amp;"-"&amp;Detail!$AL$13&amp;Detail!EU70))</f>
        <v>N/A</v>
      </c>
      <c r="EX70" s="1012" t="s">
        <v>2236</v>
      </c>
      <c r="EY70" s="1012" t="s">
        <v>2277</v>
      </c>
      <c r="EZ70" s="1013">
        <f t="shared" si="14"/>
        <v>0</v>
      </c>
      <c r="FA70" s="1013" t="s">
        <v>2236</v>
      </c>
      <c r="FB70" s="264">
        <v>0</v>
      </c>
      <c r="FC70" s="1013">
        <v>0</v>
      </c>
      <c r="FD70" s="1013">
        <v>1</v>
      </c>
      <c r="FE70" s="1013">
        <v>0</v>
      </c>
    </row>
    <row r="71" spans="1:161" s="422" customFormat="1" ht="30" customHeight="1" outlineLevel="1">
      <c r="A71" s="439" t="b">
        <f>Calcul!A71</f>
        <v>0</v>
      </c>
      <c r="B71" s="510" t="str">
        <f t="shared" si="15"/>
        <v/>
      </c>
      <c r="C71" s="1404" t="b">
        <v>0</v>
      </c>
      <c r="D71" s="1404" t="s">
        <v>2147</v>
      </c>
      <c r="E71" s="1405" t="s">
        <v>2335</v>
      </c>
      <c r="F71" s="243" t="s">
        <v>2146</v>
      </c>
      <c r="G71" s="356" t="str">
        <f>IF(A71=FALSE,"",IF(NAMES!$D$10=FALSE,IF(Detail!H71="","",Detail!H71),IF(Crewlist!D71="","",Crewlist!D71)))</f>
        <v/>
      </c>
      <c r="H71" s="356" t="str">
        <f>IF(A71=FALSE,"",IF(NAMES!$D$10=FALSE,IF(Detail!P71="","",Detail!P71),IF(Crewlist!E71="","",Crewlist!E71)))</f>
        <v/>
      </c>
      <c r="I71" s="356" t="str">
        <f>IF(A71=FALSE,"",IF(NAMES!$D$10=FALSE,IF(Detail!K71="","",Detail!K71),IF(Crewlist!F71="","",Crewlist!F71)))</f>
        <v/>
      </c>
      <c r="J71" s="1001" t="str">
        <f>IF(Crewlist!T71="","",Crewlist!T71)</f>
        <v/>
      </c>
      <c r="K71" s="1001" t="str">
        <f>IF(Crewlist!D71="","",IF(Crewlist!U71="",Crewlist!Y71,IF(DATERENOUVMOINS730&lt;&gt;Crewlist!U71&lt;&gt;Crewlist!Y71,Crewlist!U71,DATERENOUVMOINS365)))</f>
        <v/>
      </c>
      <c r="L71" s="775" t="str">
        <f>IF(Detail!X71="","",Detail!X71)</f>
        <v/>
      </c>
      <c r="M71" s="775" t="str">
        <f>IF(Detail!H71="","",IF(Detail!Y71="",DATERENOUV,IF(Detail!Y71&gt;Detail!D71,Detail!D71,Detail!Y71)))</f>
        <v/>
      </c>
      <c r="N71" s="1015" t="str">
        <f>IF(A71=FALSE,"",IF(NAMES!$D$10=FALSE,IF(B71=B72,IF(O71=O72,0,(DATEDIF(L71,M71,"M")+1)),(DATEDIF(L71,M71,"M")+1)),IF(B71=B72,IF(O71=O72,0,(DATEDIF(J71,K71,"M")+1)),(DATEDIF(J71,K71,"M")+1))))</f>
        <v/>
      </c>
      <c r="O71" s="357" t="str">
        <f t="shared" si="5"/>
        <v/>
      </c>
      <c r="P71" s="358" t="str">
        <f>IF(A71=FALSE,"",IF(NAMES!$D$10=FALSE,IF((DATEDIF(L71,M71,"D")+1)&lt;365,(DATEDIF(L71,M71,"D")+1),365),IF((DATEDIF(J71,K71,"D")+1)&lt;365,(DATEDIF(J71,K71,"D")+1),365)))</f>
        <v/>
      </c>
      <c r="Q71" s="358" t="str">
        <f>IF(A71=FALSE,"",IF(NAMES!$D$10=FALSE,IF(M71="",365,DATEDIF(L71,M71,"D")+1),IF(M71="",365,DATEDIF(J71,K71,"D")+1)))</f>
        <v/>
      </c>
      <c r="R71" s="950" t="str">
        <f>Calcul!X71</f>
        <v/>
      </c>
      <c r="S71" s="950" t="str">
        <f>Calcul!Y71</f>
        <v/>
      </c>
      <c r="T71" s="993" t="str">
        <f>Calcul!AG71</f>
        <v/>
      </c>
      <c r="U71" s="368" t="str">
        <f>IF(A71=FALSE,"",IF(NAMES!$D$10=FALSE,IF(Detail!S71="","",Detail!S71),IF(Crewlist!V71="","",Crewlist!V71)))</f>
        <v/>
      </c>
      <c r="V71" s="245" t="str">
        <f>Calcul!AI71</f>
        <v/>
      </c>
      <c r="W71" s="245" t="str">
        <f>Calcul!AL71</f>
        <v/>
      </c>
      <c r="X71" s="245" t="str">
        <f>Calcul!AM71</f>
        <v/>
      </c>
      <c r="Y71" s="353" t="str">
        <f>Calcul!AN71</f>
        <v/>
      </c>
      <c r="Z71" s="245" t="str">
        <f>Calcul!AO71</f>
        <v/>
      </c>
      <c r="AA71" s="245" t="str">
        <f>Calcul!AP71</f>
        <v/>
      </c>
      <c r="AB71" s="353" t="str">
        <f>Calcul!AQ71</f>
        <v/>
      </c>
      <c r="AC71" s="353" t="str">
        <f>IF(C71=FALSE,"",Calcul!BE71+Calcul!BF71)</f>
        <v/>
      </c>
      <c r="AD71" s="353" t="str">
        <f>IF(C71=FALSE,"",(Calcul!BG71+Calcul!BH71)+SUM(Calcul!BI71:BN71))</f>
        <v/>
      </c>
      <c r="AE71" s="353" t="str">
        <f>Calcul!BP71</f>
        <v/>
      </c>
      <c r="AF71" s="332" t="str">
        <f>IF(A71=FALSE,"",YEAR(Detail!F71)&amp;Detail!AG71&amp;Detail!AD71&amp;"-"&amp;Detail!$AD$13&amp;Detail!AE71)</f>
        <v/>
      </c>
      <c r="AG71" s="1406" t="s">
        <v>2236</v>
      </c>
      <c r="AH71" s="701" t="s">
        <v>2277</v>
      </c>
      <c r="AI71" s="1407">
        <v>0</v>
      </c>
      <c r="AJ71" s="1407" t="s">
        <v>2236</v>
      </c>
      <c r="AK71" s="1410">
        <v>32</v>
      </c>
      <c r="AL71" s="508">
        <v>0</v>
      </c>
      <c r="AM71" s="261">
        <v>1</v>
      </c>
      <c r="AN71" s="261">
        <v>0</v>
      </c>
      <c r="AO71" s="333" t="str">
        <f>IF(A71=FALSE,"",IF(Detail!AL71="","N/A",YEAR(Detail!F71)&amp;Detail!AO71&amp;Detail!AL71&amp;"-"&amp;Detail!$AL$13&amp;Detail!AM71))</f>
        <v/>
      </c>
      <c r="AP71" s="1406" t="s">
        <v>2236</v>
      </c>
      <c r="AQ71" s="701" t="s">
        <v>2277</v>
      </c>
      <c r="AR71" s="1407">
        <f t="shared" si="7"/>
        <v>0</v>
      </c>
      <c r="AS71" s="261" t="s">
        <v>2236</v>
      </c>
      <c r="AT71" s="264">
        <v>0</v>
      </c>
      <c r="AU71" s="261">
        <v>0</v>
      </c>
      <c r="AV71" s="261">
        <v>1</v>
      </c>
      <c r="AW71" s="261">
        <v>0</v>
      </c>
      <c r="AX71" s="920" t="str">
        <f>IF(A71=FALSE,"",IF(Detail!AT71="","N/A",YEAR(Detail!F71)&amp;Detail!AW71&amp;Detail!AT71&amp;"-"&amp;Detail!$AT$13))</f>
        <v/>
      </c>
      <c r="AY71" s="1408" t="s">
        <v>2236</v>
      </c>
      <c r="AZ71" s="308" t="s">
        <v>2278</v>
      </c>
      <c r="BA71" s="440" t="str">
        <f>IF(A71=FALSE,"",51000+(Detail!AA71*7000))</f>
        <v/>
      </c>
      <c r="BB71" s="1412">
        <v>50000</v>
      </c>
      <c r="BC71" s="247">
        <v>3</v>
      </c>
      <c r="BD71" s="261">
        <v>0</v>
      </c>
      <c r="BE71" s="1325" t="s">
        <v>2236</v>
      </c>
      <c r="BF71" s="264">
        <v>0</v>
      </c>
      <c r="BG71" s="508">
        <v>0</v>
      </c>
      <c r="BH71" s="261">
        <v>1</v>
      </c>
      <c r="BI71" s="261">
        <v>0</v>
      </c>
      <c r="BJ71" s="311" t="str">
        <f>IF(A71=FALSE,"",IF(Detail!BB71="","N/A",YEAR(Detail!F71)&amp;Detail!BE71&amp;Detail!BB71&amp;"-"&amp;Detail!$BB$13))</f>
        <v/>
      </c>
      <c r="BK71" s="1354" t="s">
        <v>2236</v>
      </c>
      <c r="BL71" s="527" t="s">
        <v>2278</v>
      </c>
      <c r="BM71" s="440" t="str">
        <f>IF(A71=FALSE,"",51000+(Detail!AA71*7000))</f>
        <v/>
      </c>
      <c r="BN71" s="1412">
        <v>50000</v>
      </c>
      <c r="BO71" s="247">
        <v>3</v>
      </c>
      <c r="BP71" s="261">
        <v>0</v>
      </c>
      <c r="BQ71" s="261" t="s">
        <v>2236</v>
      </c>
      <c r="BR71" s="264">
        <v>0</v>
      </c>
      <c r="BS71" s="508">
        <v>0</v>
      </c>
      <c r="BT71" s="261">
        <v>1</v>
      </c>
      <c r="BU71" s="261">
        <v>0</v>
      </c>
      <c r="BV71" s="311" t="str">
        <f>IF(A71=FALSE,"",IF(Detail!BJ71="","N/A",YEAR(Detail!F71)&amp;Detail!BM71&amp;Detail!BJ71&amp;"-"&amp;Detail!$BJ$13))</f>
        <v/>
      </c>
      <c r="BW71" s="1409" t="s">
        <v>2236</v>
      </c>
      <c r="BX71" s="527" t="s">
        <v>2278</v>
      </c>
      <c r="BY71" s="440" t="str">
        <f t="shared" si="8"/>
        <v/>
      </c>
      <c r="BZ71" s="1412">
        <v>50000</v>
      </c>
      <c r="CA71" s="247">
        <v>3</v>
      </c>
      <c r="CB71" s="261">
        <v>0</v>
      </c>
      <c r="CC71" s="261" t="s">
        <v>2236</v>
      </c>
      <c r="CD71" s="264">
        <v>0</v>
      </c>
      <c r="CE71" s="508">
        <v>0</v>
      </c>
      <c r="CF71" s="261">
        <v>1</v>
      </c>
      <c r="CG71" s="261">
        <v>0</v>
      </c>
      <c r="CH71" s="311" t="str">
        <f>IF(A71=FALSE,"",IF(Detail!BR71="","N/A",YEAR(Detail!F71)&amp;Detail!BU71&amp;Detail!BR71&amp;"-"&amp;Detail!$BR$13))</f>
        <v/>
      </c>
      <c r="CI71" s="1327" t="s">
        <v>2236</v>
      </c>
      <c r="CJ71" s="527" t="s">
        <v>2278</v>
      </c>
      <c r="CK71" s="440" t="str">
        <f t="shared" si="9"/>
        <v/>
      </c>
      <c r="CL71" s="1412">
        <v>50000</v>
      </c>
      <c r="CM71" s="247">
        <v>3</v>
      </c>
      <c r="CN71" s="261">
        <v>0</v>
      </c>
      <c r="CO71" s="261" t="s">
        <v>2236</v>
      </c>
      <c r="CP71" s="264">
        <v>0</v>
      </c>
      <c r="CQ71" s="508">
        <v>0</v>
      </c>
      <c r="CR71" s="261">
        <v>1</v>
      </c>
      <c r="CS71" s="261">
        <v>0</v>
      </c>
      <c r="CT71" s="311" t="str">
        <f>IF(A71=FALSE,"",IF(Detail!BZ71="","N/A",YEAR(Detail!F71)&amp;Detail!CC71&amp;Detail!BZ71&amp;"-"&amp;Detail!$BZ$13&amp;" (100%/"&amp;Detail!CD71&amp;"/"&amp;Detail!CE71&amp;"D)"))</f>
        <v/>
      </c>
      <c r="CU71" s="1327" t="s">
        <v>2236</v>
      </c>
      <c r="CV71" s="527" t="s">
        <v>2278</v>
      </c>
      <c r="CW71" s="241">
        <v>7</v>
      </c>
      <c r="CX71" s="1323">
        <v>365</v>
      </c>
      <c r="CY71" s="248">
        <v>1</v>
      </c>
      <c r="CZ71" s="261">
        <v>0</v>
      </c>
      <c r="DA71" s="1325" t="s">
        <v>2236</v>
      </c>
      <c r="DB71" s="538">
        <v>40</v>
      </c>
      <c r="DC71" s="1325">
        <v>0.1</v>
      </c>
      <c r="DD71" s="261">
        <v>1</v>
      </c>
      <c r="DE71" s="261">
        <v>0</v>
      </c>
      <c r="DF71" s="313" t="str">
        <f>IF(A71=FALSE,"",IF(Detail!CH71="","N/A",YEAR(Detail!F71)&amp;Detail!CK71&amp;Detail!CH71&amp;"-"&amp;Detail!$CH$13&amp;" (100%/"&amp;Detail!CL71&amp;"/"&amp;Detail!CM71&amp;"D)"))</f>
        <v/>
      </c>
      <c r="DG71" s="1354" t="s">
        <v>2236</v>
      </c>
      <c r="DH71" s="518" t="s">
        <v>2278</v>
      </c>
      <c r="DI71" s="241">
        <f t="shared" si="10"/>
        <v>7</v>
      </c>
      <c r="DJ71" s="243">
        <f t="shared" si="11"/>
        <v>365</v>
      </c>
      <c r="DK71" s="258">
        <v>1</v>
      </c>
      <c r="DL71" s="261">
        <v>0</v>
      </c>
      <c r="DM71" s="1325" t="s">
        <v>2236</v>
      </c>
      <c r="DN71" s="538">
        <v>40</v>
      </c>
      <c r="DO71" s="1325">
        <f t="shared" si="12"/>
        <v>0.1</v>
      </c>
      <c r="DP71" s="261">
        <v>1</v>
      </c>
      <c r="DQ71" s="261">
        <v>0</v>
      </c>
      <c r="DR71" s="920" t="str">
        <f>IF(A71=FALSE,"",IF(Detail!CP71="","N/A",YEAR(Detail!F71)&amp;Detail!CS71&amp;Detail!CP71&amp;"-"&amp;Detail!$CP$13))</f>
        <v/>
      </c>
      <c r="DS71" s="308" t="s">
        <v>2236</v>
      </c>
      <c r="DT71" s="720" t="s">
        <v>2277</v>
      </c>
      <c r="DU71" s="244">
        <v>50000</v>
      </c>
      <c r="DV71" s="247">
        <v>2</v>
      </c>
      <c r="DW71" s="261">
        <v>0</v>
      </c>
      <c r="DX71" s="261" t="s">
        <v>2236</v>
      </c>
      <c r="DY71" s="264">
        <v>0</v>
      </c>
      <c r="DZ71" s="444">
        <v>0</v>
      </c>
      <c r="EA71" s="444">
        <v>1</v>
      </c>
      <c r="EB71" s="444">
        <v>0</v>
      </c>
      <c r="EC71" s="761" t="str">
        <f>IF(A71=FALSE,"",IF(Detail!CX71="","N/A",YEAR(Detail!F71)&amp;Detail!DA71&amp;Detail!CX71&amp;"-"&amp;Detail!$CX$13))</f>
        <v/>
      </c>
      <c r="ED71" s="445" t="s">
        <v>2236</v>
      </c>
      <c r="EE71" s="720" t="s">
        <v>2277</v>
      </c>
      <c r="EF71" s="244">
        <v>50000</v>
      </c>
      <c r="EG71" s="247">
        <v>2</v>
      </c>
      <c r="EH71" s="261">
        <v>0</v>
      </c>
      <c r="EI71" s="261" t="s">
        <v>2236</v>
      </c>
      <c r="EJ71" s="264">
        <v>0</v>
      </c>
      <c r="EK71" s="444">
        <v>0</v>
      </c>
      <c r="EL71" s="444">
        <v>1</v>
      </c>
      <c r="EM71" s="444">
        <v>0</v>
      </c>
      <c r="EN71" s="333" t="str">
        <f>IF(A71=FALSE,"",IF(Detail!DF71="","N/A",YEAR(Detail!F71)&amp;Detail!DI71&amp;Detail!DF71&amp;"-"&amp;Detail!$DF$13))</f>
        <v/>
      </c>
      <c r="EO71" s="1012" t="s">
        <v>2236</v>
      </c>
      <c r="EP71" s="1012" t="s">
        <v>2277</v>
      </c>
      <c r="EQ71" s="1013">
        <f t="shared" si="13"/>
        <v>0</v>
      </c>
      <c r="ER71" s="1013" t="s">
        <v>2236</v>
      </c>
      <c r="ES71" s="264">
        <v>0</v>
      </c>
      <c r="ET71" s="1013">
        <v>0</v>
      </c>
      <c r="EU71" s="1013">
        <v>1</v>
      </c>
      <c r="EV71" s="1013">
        <v>0</v>
      </c>
      <c r="EW71" s="333" t="str">
        <f>IF(DJ71=FALSE,"",IF(Detail!ET71="","N/A",YEAR(Detail!DN71)&amp;Detail!EW71&amp;Detail!ET71&amp;"-"&amp;Detail!$AL$13&amp;Detail!EU71))</f>
        <v>N/A</v>
      </c>
      <c r="EX71" s="1012" t="s">
        <v>2236</v>
      </c>
      <c r="EY71" s="1012" t="s">
        <v>2277</v>
      </c>
      <c r="EZ71" s="1013">
        <f t="shared" si="14"/>
        <v>0</v>
      </c>
      <c r="FA71" s="1013" t="s">
        <v>2236</v>
      </c>
      <c r="FB71" s="264">
        <v>0</v>
      </c>
      <c r="FC71" s="1013">
        <v>0</v>
      </c>
      <c r="FD71" s="1013">
        <v>1</v>
      </c>
      <c r="FE71" s="1013">
        <v>0</v>
      </c>
    </row>
    <row r="72" spans="1:161" s="422" customFormat="1" ht="30" customHeight="1" outlineLevel="1">
      <c r="A72" s="439" t="b">
        <f>Calcul!A72</f>
        <v>0</v>
      </c>
      <c r="B72" s="510" t="str">
        <f t="shared" si="15"/>
        <v/>
      </c>
      <c r="C72" s="1404" t="b">
        <v>0</v>
      </c>
      <c r="D72" s="1404" t="s">
        <v>2147</v>
      </c>
      <c r="E72" s="1405" t="s">
        <v>2335</v>
      </c>
      <c r="F72" s="243" t="s">
        <v>2146</v>
      </c>
      <c r="G72" s="356" t="str">
        <f>IF(A72=FALSE,"",IF(NAMES!$D$10=FALSE,IF(Detail!H72="","",Detail!H72),IF(Crewlist!D72="","",Crewlist!D72)))</f>
        <v/>
      </c>
      <c r="H72" s="356" t="str">
        <f>IF(A72=FALSE,"",IF(NAMES!$D$10=FALSE,IF(Detail!P72="","",Detail!P72),IF(Crewlist!E72="","",Crewlist!E72)))</f>
        <v/>
      </c>
      <c r="I72" s="356" t="str">
        <f>IF(A72=FALSE,"",IF(NAMES!$D$10=FALSE,IF(Detail!K72="","",Detail!K72),IF(Crewlist!F72="","",Crewlist!F72)))</f>
        <v/>
      </c>
      <c r="J72" s="1001" t="str">
        <f>IF(Crewlist!T72="","",Crewlist!T72)</f>
        <v/>
      </c>
      <c r="K72" s="1001" t="str">
        <f>IF(Crewlist!D72="","",IF(Crewlist!U72="",Crewlist!Y72,IF(DATERENOUVMOINS730&lt;&gt;Crewlist!U72&lt;&gt;Crewlist!Y72,Crewlist!U72,DATERENOUVMOINS365)))</f>
        <v/>
      </c>
      <c r="L72" s="775" t="str">
        <f>IF(Detail!X72="","",Detail!X72)</f>
        <v/>
      </c>
      <c r="M72" s="775" t="str">
        <f>IF(Detail!H72="","",IF(Detail!Y72="",DATERENOUV,IF(Detail!Y72&gt;Detail!D72,Detail!D72,Detail!Y72)))</f>
        <v/>
      </c>
      <c r="N72" s="1015" t="str">
        <f>IF(A72=FALSE,"",IF(NAMES!$D$10=FALSE,IF(B72=B73,IF(O72=O73,0,(DATEDIF(L72,M72,"M")+1)),(DATEDIF(L72,M72,"M")+1)),IF(B72=B73,IF(O72=O73,0,(DATEDIF(J72,K72,"M")+1)),(DATEDIF(J72,K72,"M")+1))))</f>
        <v/>
      </c>
      <c r="O72" s="357" t="str">
        <f t="shared" si="5"/>
        <v/>
      </c>
      <c r="P72" s="358" t="str">
        <f>IF(A72=FALSE,"",IF(NAMES!$D$10=FALSE,IF((DATEDIF(L72,M72,"D")+1)&lt;365,(DATEDIF(L72,M72,"D")+1),365),IF((DATEDIF(J72,K72,"D")+1)&lt;365,(DATEDIF(J72,K72,"D")+1),365)))</f>
        <v/>
      </c>
      <c r="Q72" s="358" t="str">
        <f>IF(A72=FALSE,"",IF(NAMES!$D$10=FALSE,IF(M72="",365,DATEDIF(L72,M72,"D")+1),IF(M72="",365,DATEDIF(J72,K72,"D")+1)))</f>
        <v/>
      </c>
      <c r="R72" s="950" t="str">
        <f>Calcul!X72</f>
        <v/>
      </c>
      <c r="S72" s="950" t="str">
        <f>Calcul!Y72</f>
        <v/>
      </c>
      <c r="T72" s="993" t="str">
        <f>Calcul!AG72</f>
        <v/>
      </c>
      <c r="U72" s="368" t="str">
        <f>IF(A72=FALSE,"",IF(NAMES!$D$10=FALSE,IF(Detail!S72="","",Detail!S72),IF(Crewlist!V72="","",Crewlist!V72)))</f>
        <v/>
      </c>
      <c r="V72" s="245" t="str">
        <f>Calcul!AI72</f>
        <v/>
      </c>
      <c r="W72" s="245" t="str">
        <f>Calcul!AL72</f>
        <v/>
      </c>
      <c r="X72" s="245" t="str">
        <f>Calcul!AM72</f>
        <v/>
      </c>
      <c r="Y72" s="353" t="str">
        <f>Calcul!AN72</f>
        <v/>
      </c>
      <c r="Z72" s="245" t="str">
        <f>Calcul!AO72</f>
        <v/>
      </c>
      <c r="AA72" s="245" t="str">
        <f>Calcul!AP72</f>
        <v/>
      </c>
      <c r="AB72" s="353" t="str">
        <f>Calcul!AQ72</f>
        <v/>
      </c>
      <c r="AC72" s="353" t="str">
        <f>IF(C72=FALSE,"",Calcul!BE72+Calcul!BF72)</f>
        <v/>
      </c>
      <c r="AD72" s="353" t="str">
        <f>IF(C72=FALSE,"",(Calcul!BG72+Calcul!BH72)+SUM(Calcul!BI72:BN72))</f>
        <v/>
      </c>
      <c r="AE72" s="353" t="str">
        <f>Calcul!BP72</f>
        <v/>
      </c>
      <c r="AF72" s="332" t="str">
        <f>IF(A72=FALSE,"",YEAR(Detail!F72)&amp;Detail!AG72&amp;Detail!AD72&amp;"-"&amp;Detail!$AD$13&amp;Detail!AE72)</f>
        <v/>
      </c>
      <c r="AG72" s="1406" t="s">
        <v>2236</v>
      </c>
      <c r="AH72" s="701" t="s">
        <v>2277</v>
      </c>
      <c r="AI72" s="1407">
        <v>0</v>
      </c>
      <c r="AJ72" s="1407" t="s">
        <v>2236</v>
      </c>
      <c r="AK72" s="1410">
        <v>32</v>
      </c>
      <c r="AL72" s="508">
        <v>0</v>
      </c>
      <c r="AM72" s="261">
        <v>1</v>
      </c>
      <c r="AN72" s="261">
        <v>0</v>
      </c>
      <c r="AO72" s="333" t="str">
        <f>IF(A72=FALSE,"",IF(Detail!AL72="","N/A",YEAR(Detail!F72)&amp;Detail!AO72&amp;Detail!AL72&amp;"-"&amp;Detail!$AL$13&amp;Detail!AM72))</f>
        <v/>
      </c>
      <c r="AP72" s="1406" t="s">
        <v>2236</v>
      </c>
      <c r="AQ72" s="701" t="s">
        <v>2277</v>
      </c>
      <c r="AR72" s="1407">
        <f t="shared" si="7"/>
        <v>0</v>
      </c>
      <c r="AS72" s="261" t="s">
        <v>2236</v>
      </c>
      <c r="AT72" s="264">
        <v>0</v>
      </c>
      <c r="AU72" s="261">
        <v>0</v>
      </c>
      <c r="AV72" s="261">
        <v>1</v>
      </c>
      <c r="AW72" s="261">
        <v>0</v>
      </c>
      <c r="AX72" s="920" t="str">
        <f>IF(A72=FALSE,"",IF(Detail!AT72="","N/A",YEAR(Detail!F72)&amp;Detail!AW72&amp;Detail!AT72&amp;"-"&amp;Detail!$AT$13))</f>
        <v/>
      </c>
      <c r="AY72" s="1408" t="s">
        <v>2236</v>
      </c>
      <c r="AZ72" s="308" t="s">
        <v>2278</v>
      </c>
      <c r="BA72" s="440" t="str">
        <f>IF(A72=FALSE,"",51000+(Detail!AA72*7000))</f>
        <v/>
      </c>
      <c r="BB72" s="1412">
        <v>50000</v>
      </c>
      <c r="BC72" s="247">
        <v>3</v>
      </c>
      <c r="BD72" s="261">
        <v>0</v>
      </c>
      <c r="BE72" s="261" t="s">
        <v>2236</v>
      </c>
      <c r="BF72" s="264">
        <v>0</v>
      </c>
      <c r="BG72" s="508">
        <v>0</v>
      </c>
      <c r="BH72" s="261">
        <v>1</v>
      </c>
      <c r="BI72" s="261">
        <v>0</v>
      </c>
      <c r="BJ72" s="311" t="str">
        <f>IF(A72=FALSE,"",IF(Detail!BB72="","N/A",YEAR(Detail!F72)&amp;Detail!BE72&amp;Detail!BB72&amp;"-"&amp;Detail!$BB$13))</f>
        <v/>
      </c>
      <c r="BK72" s="1354" t="s">
        <v>2236</v>
      </c>
      <c r="BL72" s="527" t="s">
        <v>2278</v>
      </c>
      <c r="BM72" s="440" t="str">
        <f>IF(A72=FALSE,"",51000+(Detail!AA72*7000))</f>
        <v/>
      </c>
      <c r="BN72" s="1412">
        <v>50000</v>
      </c>
      <c r="BO72" s="247">
        <v>3</v>
      </c>
      <c r="BP72" s="261">
        <v>0</v>
      </c>
      <c r="BQ72" s="261" t="s">
        <v>2236</v>
      </c>
      <c r="BR72" s="264">
        <v>0</v>
      </c>
      <c r="BS72" s="508">
        <v>0</v>
      </c>
      <c r="BT72" s="261">
        <v>1</v>
      </c>
      <c r="BU72" s="261">
        <v>0</v>
      </c>
      <c r="BV72" s="311" t="str">
        <f>IF(A72=FALSE,"",IF(Detail!BJ72="","N/A",YEAR(Detail!F72)&amp;Detail!BM72&amp;Detail!BJ72&amp;"-"&amp;Detail!$BJ$13))</f>
        <v/>
      </c>
      <c r="BW72" s="1409" t="s">
        <v>2236</v>
      </c>
      <c r="BX72" s="527" t="s">
        <v>2278</v>
      </c>
      <c r="BY72" s="440" t="str">
        <f t="shared" si="8"/>
        <v/>
      </c>
      <c r="BZ72" s="1412">
        <v>50000</v>
      </c>
      <c r="CA72" s="247">
        <v>3</v>
      </c>
      <c r="CB72" s="261">
        <v>0</v>
      </c>
      <c r="CC72" s="261" t="s">
        <v>2236</v>
      </c>
      <c r="CD72" s="264">
        <v>0</v>
      </c>
      <c r="CE72" s="508">
        <v>0</v>
      </c>
      <c r="CF72" s="261">
        <v>1</v>
      </c>
      <c r="CG72" s="261">
        <v>0</v>
      </c>
      <c r="CH72" s="311" t="str">
        <f>IF(A72=FALSE,"",IF(Detail!BR72="","N/A",YEAR(Detail!F72)&amp;Detail!BU72&amp;Detail!BR72&amp;"-"&amp;Detail!$BR$13))</f>
        <v/>
      </c>
      <c r="CI72" s="1327" t="s">
        <v>2236</v>
      </c>
      <c r="CJ72" s="527" t="s">
        <v>2278</v>
      </c>
      <c r="CK72" s="440" t="str">
        <f t="shared" si="9"/>
        <v/>
      </c>
      <c r="CL72" s="1412">
        <v>50000</v>
      </c>
      <c r="CM72" s="247">
        <v>3</v>
      </c>
      <c r="CN72" s="261">
        <v>0</v>
      </c>
      <c r="CO72" s="261" t="s">
        <v>2236</v>
      </c>
      <c r="CP72" s="264">
        <v>0</v>
      </c>
      <c r="CQ72" s="508">
        <v>0</v>
      </c>
      <c r="CR72" s="261">
        <v>1</v>
      </c>
      <c r="CS72" s="261">
        <v>0</v>
      </c>
      <c r="CT72" s="311" t="str">
        <f>IF(A72=FALSE,"",IF(Detail!BZ72="","N/A",YEAR(Detail!F72)&amp;Detail!CC72&amp;Detail!BZ72&amp;"-"&amp;Detail!$BZ$13&amp;" (100%/"&amp;Detail!CD72&amp;"/"&amp;Detail!CE72&amp;"D)"))</f>
        <v/>
      </c>
      <c r="CU72" s="1327" t="s">
        <v>2236</v>
      </c>
      <c r="CV72" s="527" t="s">
        <v>2278</v>
      </c>
      <c r="CW72" s="241">
        <v>7</v>
      </c>
      <c r="CX72" s="1323">
        <v>365</v>
      </c>
      <c r="CY72" s="248">
        <v>1</v>
      </c>
      <c r="CZ72" s="261">
        <v>0</v>
      </c>
      <c r="DA72" s="1325" t="s">
        <v>2236</v>
      </c>
      <c r="DB72" s="538">
        <v>40</v>
      </c>
      <c r="DC72" s="1325">
        <v>0.1</v>
      </c>
      <c r="DD72" s="261">
        <v>1</v>
      </c>
      <c r="DE72" s="261">
        <v>0</v>
      </c>
      <c r="DF72" s="313" t="str">
        <f>IF(A72=FALSE,"",IF(Detail!CH72="","N/A",YEAR(Detail!F72)&amp;Detail!CK72&amp;Detail!CH72&amp;"-"&amp;Detail!$CH$13&amp;" (100%/"&amp;Detail!CL72&amp;"/"&amp;Detail!CM72&amp;"D)"))</f>
        <v/>
      </c>
      <c r="DG72" s="1354" t="s">
        <v>2236</v>
      </c>
      <c r="DH72" s="518" t="s">
        <v>2278</v>
      </c>
      <c r="DI72" s="241">
        <f t="shared" si="10"/>
        <v>7</v>
      </c>
      <c r="DJ72" s="243">
        <f t="shared" si="11"/>
        <v>365</v>
      </c>
      <c r="DK72" s="258">
        <v>1</v>
      </c>
      <c r="DL72" s="261">
        <v>0</v>
      </c>
      <c r="DM72" s="1325" t="s">
        <v>2236</v>
      </c>
      <c r="DN72" s="538">
        <v>40</v>
      </c>
      <c r="DO72" s="1325">
        <f t="shared" si="12"/>
        <v>0.1</v>
      </c>
      <c r="DP72" s="261">
        <v>1</v>
      </c>
      <c r="DQ72" s="261">
        <v>0</v>
      </c>
      <c r="DR72" s="920" t="str">
        <f>IF(A72=FALSE,"",IF(Detail!CP72="","N/A",YEAR(Detail!F72)&amp;Detail!CS72&amp;Detail!CP72&amp;"-"&amp;Detail!$CP$13))</f>
        <v/>
      </c>
      <c r="DS72" s="308" t="s">
        <v>2236</v>
      </c>
      <c r="DT72" s="720" t="s">
        <v>2277</v>
      </c>
      <c r="DU72" s="244">
        <v>50000</v>
      </c>
      <c r="DV72" s="247">
        <v>2</v>
      </c>
      <c r="DW72" s="261">
        <v>0</v>
      </c>
      <c r="DX72" s="261" t="s">
        <v>2236</v>
      </c>
      <c r="DY72" s="264">
        <v>0</v>
      </c>
      <c r="DZ72" s="444">
        <v>0</v>
      </c>
      <c r="EA72" s="444">
        <v>1</v>
      </c>
      <c r="EB72" s="444">
        <v>0</v>
      </c>
      <c r="EC72" s="761" t="str">
        <f>IF(A72=FALSE,"",IF(Detail!CX72="","N/A",YEAR(Detail!F72)&amp;Detail!DA72&amp;Detail!CX72&amp;"-"&amp;Detail!$CX$13))</f>
        <v/>
      </c>
      <c r="ED72" s="445" t="s">
        <v>2236</v>
      </c>
      <c r="EE72" s="720" t="s">
        <v>2277</v>
      </c>
      <c r="EF72" s="244">
        <v>50000</v>
      </c>
      <c r="EG72" s="247">
        <v>2</v>
      </c>
      <c r="EH72" s="261">
        <v>0</v>
      </c>
      <c r="EI72" s="261" t="s">
        <v>2236</v>
      </c>
      <c r="EJ72" s="264">
        <v>0</v>
      </c>
      <c r="EK72" s="444">
        <v>0</v>
      </c>
      <c r="EL72" s="444">
        <v>1</v>
      </c>
      <c r="EM72" s="444">
        <v>0</v>
      </c>
      <c r="EN72" s="333" t="str">
        <f>IF(A72=FALSE,"",IF(Detail!DF72="","N/A",YEAR(Detail!F72)&amp;Detail!DI72&amp;Detail!DF72&amp;"-"&amp;Detail!$DF$13))</f>
        <v/>
      </c>
      <c r="EO72" s="1012" t="s">
        <v>2236</v>
      </c>
      <c r="EP72" s="1012" t="s">
        <v>2277</v>
      </c>
      <c r="EQ72" s="1013">
        <f t="shared" si="13"/>
        <v>0</v>
      </c>
      <c r="ER72" s="1013" t="s">
        <v>2236</v>
      </c>
      <c r="ES72" s="264">
        <v>0</v>
      </c>
      <c r="ET72" s="1013">
        <v>0</v>
      </c>
      <c r="EU72" s="1013">
        <v>1</v>
      </c>
      <c r="EV72" s="1013">
        <v>0</v>
      </c>
      <c r="EW72" s="333" t="str">
        <f>IF(DJ72=FALSE,"",IF(Detail!ET72="","N/A",YEAR(Detail!DN72)&amp;Detail!EW72&amp;Detail!ET72&amp;"-"&amp;Detail!$AL$13&amp;Detail!EU72))</f>
        <v>N/A</v>
      </c>
      <c r="EX72" s="1012" t="s">
        <v>2236</v>
      </c>
      <c r="EY72" s="1012" t="s">
        <v>2277</v>
      </c>
      <c r="EZ72" s="1013">
        <f t="shared" si="14"/>
        <v>0</v>
      </c>
      <c r="FA72" s="1013" t="s">
        <v>2236</v>
      </c>
      <c r="FB72" s="264">
        <v>0</v>
      </c>
      <c r="FC72" s="1013">
        <v>0</v>
      </c>
      <c r="FD72" s="1013">
        <v>1</v>
      </c>
      <c r="FE72" s="1013">
        <v>0</v>
      </c>
    </row>
    <row r="73" spans="1:161" s="422" customFormat="1" ht="30" customHeight="1" outlineLevel="1">
      <c r="A73" s="439" t="b">
        <f>Calcul!A73</f>
        <v>0</v>
      </c>
      <c r="B73" s="510" t="str">
        <f t="shared" si="15"/>
        <v/>
      </c>
      <c r="C73" s="1404" t="b">
        <v>0</v>
      </c>
      <c r="D73" s="1404" t="s">
        <v>2147</v>
      </c>
      <c r="E73" s="1405" t="s">
        <v>2335</v>
      </c>
      <c r="F73" s="243" t="s">
        <v>2146</v>
      </c>
      <c r="G73" s="356" t="str">
        <f>IF(A73=FALSE,"",IF(NAMES!$D$10=FALSE,IF(Detail!H73="","",Detail!H73),IF(Crewlist!D73="","",Crewlist!D73)))</f>
        <v/>
      </c>
      <c r="H73" s="356" t="str">
        <f>IF(A73=FALSE,"",IF(NAMES!$D$10=FALSE,IF(Detail!P73="","",Detail!P73),IF(Crewlist!E73="","",Crewlist!E73)))</f>
        <v/>
      </c>
      <c r="I73" s="356" t="str">
        <f>IF(A73=FALSE,"",IF(NAMES!$D$10=FALSE,IF(Detail!K73="","",Detail!K73),IF(Crewlist!F73="","",Crewlist!F73)))</f>
        <v/>
      </c>
      <c r="J73" s="1001" t="str">
        <f>IF(Crewlist!T73="","",Crewlist!T73)</f>
        <v/>
      </c>
      <c r="K73" s="1001" t="str">
        <f>IF(Crewlist!D73="","",IF(Crewlist!U73="",Crewlist!Y73,IF(DATERENOUVMOINS730&lt;&gt;Crewlist!U73&lt;&gt;Crewlist!Y73,Crewlist!U73,DATERENOUVMOINS365)))</f>
        <v/>
      </c>
      <c r="L73" s="775" t="str">
        <f>IF(Detail!X73="","",Detail!X73)</f>
        <v/>
      </c>
      <c r="M73" s="775" t="str">
        <f>IF(Detail!H73="","",IF(Detail!Y73="",DATERENOUV,IF(Detail!Y73&gt;Detail!D73,Detail!D73,Detail!Y73)))</f>
        <v/>
      </c>
      <c r="N73" s="1015" t="str">
        <f>IF(A73=FALSE,"",IF(NAMES!$D$10=FALSE,IF(B73=B74,IF(O73=O74,0,(DATEDIF(L73,M73,"M")+1)),(DATEDIF(L73,M73,"M")+1)),IF(B73=B74,IF(O73=O74,0,(DATEDIF(J73,K73,"M")+1)),(DATEDIF(J73,K73,"M")+1))))</f>
        <v/>
      </c>
      <c r="O73" s="357" t="str">
        <f t="shared" si="5"/>
        <v/>
      </c>
      <c r="P73" s="358" t="str">
        <f>IF(A73=FALSE,"",IF(NAMES!$D$10=FALSE,IF((DATEDIF(L73,M73,"D")+1)&lt;365,(DATEDIF(L73,M73,"D")+1),365),IF((DATEDIF(J73,K73,"D")+1)&lt;365,(DATEDIF(J73,K73,"D")+1),365)))</f>
        <v/>
      </c>
      <c r="Q73" s="358" t="str">
        <f>IF(A73=FALSE,"",IF(NAMES!$D$10=FALSE,IF(M73="",365,DATEDIF(L73,M73,"D")+1),IF(M73="",365,DATEDIF(J73,K73,"D")+1)))</f>
        <v/>
      </c>
      <c r="R73" s="950" t="str">
        <f>Calcul!X73</f>
        <v/>
      </c>
      <c r="S73" s="950" t="str">
        <f>Calcul!Y73</f>
        <v/>
      </c>
      <c r="T73" s="993" t="str">
        <f>Calcul!AG73</f>
        <v/>
      </c>
      <c r="U73" s="368" t="str">
        <f>IF(A73=FALSE,"",IF(NAMES!$D$10=FALSE,IF(Detail!S73="","",Detail!S73),IF(Crewlist!V73="","",Crewlist!V73)))</f>
        <v/>
      </c>
      <c r="V73" s="245" t="str">
        <f>Calcul!AI73</f>
        <v/>
      </c>
      <c r="W73" s="245" t="str">
        <f>Calcul!AL73</f>
        <v/>
      </c>
      <c r="X73" s="245" t="str">
        <f>Calcul!AM73</f>
        <v/>
      </c>
      <c r="Y73" s="353" t="str">
        <f>Calcul!AN73</f>
        <v/>
      </c>
      <c r="Z73" s="245" t="str">
        <f>Calcul!AO73</f>
        <v/>
      </c>
      <c r="AA73" s="245" t="str">
        <f>Calcul!AP73</f>
        <v/>
      </c>
      <c r="AB73" s="353" t="str">
        <f>Calcul!AQ73</f>
        <v/>
      </c>
      <c r="AC73" s="353" t="str">
        <f>IF(C73=FALSE,"",Calcul!BE73+Calcul!BF73)</f>
        <v/>
      </c>
      <c r="AD73" s="353" t="str">
        <f>IF(C73=FALSE,"",(Calcul!BG73+Calcul!BH73)+SUM(Calcul!BI73:BN73))</f>
        <v/>
      </c>
      <c r="AE73" s="353" t="str">
        <f>Calcul!BP73</f>
        <v/>
      </c>
      <c r="AF73" s="332" t="str">
        <f>IF(A73=FALSE,"",YEAR(Detail!F73)&amp;Detail!AG73&amp;Detail!AD73&amp;"-"&amp;Detail!$AD$13&amp;Detail!AE73)</f>
        <v/>
      </c>
      <c r="AG73" s="1406" t="s">
        <v>2236</v>
      </c>
      <c r="AH73" s="701" t="s">
        <v>2277</v>
      </c>
      <c r="AI73" s="1407">
        <v>0</v>
      </c>
      <c r="AJ73" s="1407" t="s">
        <v>2236</v>
      </c>
      <c r="AK73" s="1410">
        <v>32</v>
      </c>
      <c r="AL73" s="508">
        <v>0</v>
      </c>
      <c r="AM73" s="261">
        <v>1</v>
      </c>
      <c r="AN73" s="261">
        <v>0</v>
      </c>
      <c r="AO73" s="333" t="str">
        <f>IF(A73=FALSE,"",IF(Detail!AL73="","N/A",YEAR(Detail!F73)&amp;Detail!AO73&amp;Detail!AL73&amp;"-"&amp;Detail!$AL$13&amp;Detail!AM73))</f>
        <v/>
      </c>
      <c r="AP73" s="1406" t="s">
        <v>2236</v>
      </c>
      <c r="AQ73" s="701" t="s">
        <v>2277</v>
      </c>
      <c r="AR73" s="1407">
        <f t="shared" si="7"/>
        <v>0</v>
      </c>
      <c r="AS73" s="261" t="s">
        <v>2236</v>
      </c>
      <c r="AT73" s="264">
        <v>0</v>
      </c>
      <c r="AU73" s="261">
        <v>0</v>
      </c>
      <c r="AV73" s="261">
        <v>1</v>
      </c>
      <c r="AW73" s="261">
        <v>0</v>
      </c>
      <c r="AX73" s="920" t="str">
        <f>IF(A73=FALSE,"",IF(Detail!AT73="","N/A",YEAR(Detail!F73)&amp;Detail!AW73&amp;Detail!AT73&amp;"-"&amp;Detail!$AT$13))</f>
        <v/>
      </c>
      <c r="AY73" s="1408" t="s">
        <v>2236</v>
      </c>
      <c r="AZ73" s="308" t="s">
        <v>2278</v>
      </c>
      <c r="BA73" s="440" t="str">
        <f>IF(A73=FALSE,"",51000+(Detail!AA73*7000))</f>
        <v/>
      </c>
      <c r="BB73" s="1412">
        <v>50000</v>
      </c>
      <c r="BC73" s="247">
        <v>3</v>
      </c>
      <c r="BD73" s="261">
        <v>0</v>
      </c>
      <c r="BE73" s="261" t="s">
        <v>2236</v>
      </c>
      <c r="BF73" s="264">
        <v>0</v>
      </c>
      <c r="BG73" s="508">
        <v>0</v>
      </c>
      <c r="BH73" s="261">
        <v>1</v>
      </c>
      <c r="BI73" s="261">
        <v>0</v>
      </c>
      <c r="BJ73" s="311" t="str">
        <f>IF(A73=FALSE,"",IF(Detail!BB73="","N/A",YEAR(Detail!F73)&amp;Detail!BE73&amp;Detail!BB73&amp;"-"&amp;Detail!$BB$13))</f>
        <v/>
      </c>
      <c r="BK73" s="1354" t="s">
        <v>2236</v>
      </c>
      <c r="BL73" s="527" t="s">
        <v>2278</v>
      </c>
      <c r="BM73" s="440" t="str">
        <f>IF(A73=FALSE,"",51000+(Detail!AA73*7000))</f>
        <v/>
      </c>
      <c r="BN73" s="1412">
        <v>50000</v>
      </c>
      <c r="BO73" s="247">
        <v>3</v>
      </c>
      <c r="BP73" s="261">
        <v>0</v>
      </c>
      <c r="BQ73" s="261" t="s">
        <v>2236</v>
      </c>
      <c r="BR73" s="264">
        <v>0</v>
      </c>
      <c r="BS73" s="508">
        <v>0</v>
      </c>
      <c r="BT73" s="261">
        <v>1</v>
      </c>
      <c r="BU73" s="261">
        <v>0</v>
      </c>
      <c r="BV73" s="311" t="str">
        <f>IF(A73=FALSE,"",IF(Detail!BJ73="","N/A",YEAR(Detail!F73)&amp;Detail!BM73&amp;Detail!BJ73&amp;"-"&amp;Detail!$BJ$13))</f>
        <v/>
      </c>
      <c r="BW73" s="1409" t="s">
        <v>2236</v>
      </c>
      <c r="BX73" s="527" t="s">
        <v>2278</v>
      </c>
      <c r="BY73" s="440" t="str">
        <f t="shared" si="8"/>
        <v/>
      </c>
      <c r="BZ73" s="1412">
        <v>50000</v>
      </c>
      <c r="CA73" s="247">
        <v>3</v>
      </c>
      <c r="CB73" s="261">
        <v>0</v>
      </c>
      <c r="CC73" s="261" t="s">
        <v>2236</v>
      </c>
      <c r="CD73" s="264">
        <v>0</v>
      </c>
      <c r="CE73" s="508">
        <v>0</v>
      </c>
      <c r="CF73" s="261">
        <v>1</v>
      </c>
      <c r="CG73" s="261">
        <v>0</v>
      </c>
      <c r="CH73" s="311" t="str">
        <f>IF(A73=FALSE,"",IF(Detail!BR73="","N/A",YEAR(Detail!F73)&amp;Detail!BU73&amp;Detail!BR73&amp;"-"&amp;Detail!$BR$13))</f>
        <v/>
      </c>
      <c r="CI73" s="1327" t="s">
        <v>2236</v>
      </c>
      <c r="CJ73" s="527" t="s">
        <v>2278</v>
      </c>
      <c r="CK73" s="440" t="str">
        <f t="shared" si="9"/>
        <v/>
      </c>
      <c r="CL73" s="1412">
        <v>50000</v>
      </c>
      <c r="CM73" s="247">
        <v>3</v>
      </c>
      <c r="CN73" s="261">
        <v>0</v>
      </c>
      <c r="CO73" s="261" t="s">
        <v>2236</v>
      </c>
      <c r="CP73" s="264">
        <v>0</v>
      </c>
      <c r="CQ73" s="508">
        <v>0</v>
      </c>
      <c r="CR73" s="261">
        <v>1</v>
      </c>
      <c r="CS73" s="261">
        <v>0</v>
      </c>
      <c r="CT73" s="311" t="str">
        <f>IF(A73=FALSE,"",IF(Detail!BZ73="","N/A",YEAR(Detail!F73)&amp;Detail!CC73&amp;Detail!BZ73&amp;"-"&amp;Detail!$BZ$13&amp;" (100%/"&amp;Detail!CD73&amp;"/"&amp;Detail!CE73&amp;"D)"))</f>
        <v/>
      </c>
      <c r="CU73" s="1327" t="s">
        <v>2236</v>
      </c>
      <c r="CV73" s="527" t="s">
        <v>2278</v>
      </c>
      <c r="CW73" s="241">
        <v>7</v>
      </c>
      <c r="CX73" s="1323">
        <v>365</v>
      </c>
      <c r="CY73" s="248">
        <v>1</v>
      </c>
      <c r="CZ73" s="261">
        <v>0</v>
      </c>
      <c r="DA73" s="1325" t="s">
        <v>2236</v>
      </c>
      <c r="DB73" s="538">
        <v>40</v>
      </c>
      <c r="DC73" s="1325">
        <v>0.1</v>
      </c>
      <c r="DD73" s="261">
        <v>1</v>
      </c>
      <c r="DE73" s="261">
        <v>0</v>
      </c>
      <c r="DF73" s="313" t="str">
        <f>IF(A73=FALSE,"",IF(Detail!CH73="","N/A",YEAR(Detail!F73)&amp;Detail!CK73&amp;Detail!CH73&amp;"-"&amp;Detail!$CH$13&amp;" (100%/"&amp;Detail!CL73&amp;"/"&amp;Detail!CM73&amp;"D)"))</f>
        <v/>
      </c>
      <c r="DG73" s="1354" t="s">
        <v>2236</v>
      </c>
      <c r="DH73" s="518" t="s">
        <v>2278</v>
      </c>
      <c r="DI73" s="241">
        <f t="shared" si="10"/>
        <v>7</v>
      </c>
      <c r="DJ73" s="243">
        <f t="shared" si="11"/>
        <v>365</v>
      </c>
      <c r="DK73" s="258">
        <v>1</v>
      </c>
      <c r="DL73" s="261">
        <v>0</v>
      </c>
      <c r="DM73" s="1325" t="s">
        <v>2236</v>
      </c>
      <c r="DN73" s="538">
        <v>40</v>
      </c>
      <c r="DO73" s="1325">
        <f t="shared" si="12"/>
        <v>0.1</v>
      </c>
      <c r="DP73" s="261">
        <v>1</v>
      </c>
      <c r="DQ73" s="261">
        <v>0</v>
      </c>
      <c r="DR73" s="920" t="str">
        <f>IF(A73=FALSE,"",IF(Detail!CP73="","N/A",YEAR(Detail!F73)&amp;Detail!CS73&amp;Detail!CP73&amp;"-"&amp;Detail!$CP$13))</f>
        <v/>
      </c>
      <c r="DS73" s="308" t="s">
        <v>2236</v>
      </c>
      <c r="DT73" s="720" t="s">
        <v>2277</v>
      </c>
      <c r="DU73" s="244">
        <v>50000</v>
      </c>
      <c r="DV73" s="247">
        <v>2</v>
      </c>
      <c r="DW73" s="261">
        <v>0</v>
      </c>
      <c r="DX73" s="261" t="s">
        <v>2236</v>
      </c>
      <c r="DY73" s="264">
        <v>0</v>
      </c>
      <c r="DZ73" s="444">
        <v>0</v>
      </c>
      <c r="EA73" s="444">
        <v>1</v>
      </c>
      <c r="EB73" s="444">
        <v>0</v>
      </c>
      <c r="EC73" s="761" t="str">
        <f>IF(A73=FALSE,"",IF(Detail!CX73="","N/A",YEAR(Detail!F73)&amp;Detail!DA73&amp;Detail!CX73&amp;"-"&amp;Detail!$CX$13))</f>
        <v/>
      </c>
      <c r="ED73" s="445" t="s">
        <v>2236</v>
      </c>
      <c r="EE73" s="720" t="s">
        <v>2277</v>
      </c>
      <c r="EF73" s="244">
        <v>50000</v>
      </c>
      <c r="EG73" s="247">
        <v>2</v>
      </c>
      <c r="EH73" s="261">
        <v>0</v>
      </c>
      <c r="EI73" s="261" t="s">
        <v>2236</v>
      </c>
      <c r="EJ73" s="264">
        <v>0</v>
      </c>
      <c r="EK73" s="444">
        <v>0</v>
      </c>
      <c r="EL73" s="444">
        <v>1</v>
      </c>
      <c r="EM73" s="444">
        <v>0</v>
      </c>
      <c r="EN73" s="333" t="str">
        <f>IF(A73=FALSE,"",IF(Detail!DF73="","N/A",YEAR(Detail!F73)&amp;Detail!DI73&amp;Detail!DF73&amp;"-"&amp;Detail!$DF$13))</f>
        <v/>
      </c>
      <c r="EO73" s="1012" t="s">
        <v>2236</v>
      </c>
      <c r="EP73" s="1012" t="s">
        <v>2277</v>
      </c>
      <c r="EQ73" s="1013">
        <f t="shared" si="13"/>
        <v>0</v>
      </c>
      <c r="ER73" s="1013" t="s">
        <v>2236</v>
      </c>
      <c r="ES73" s="264">
        <v>0</v>
      </c>
      <c r="ET73" s="1013">
        <v>0</v>
      </c>
      <c r="EU73" s="1013">
        <v>1</v>
      </c>
      <c r="EV73" s="1013">
        <v>0</v>
      </c>
      <c r="EW73" s="333" t="str">
        <f>IF(DJ73=FALSE,"",IF(Detail!ET73="","N/A",YEAR(Detail!DN73)&amp;Detail!EW73&amp;Detail!ET73&amp;"-"&amp;Detail!$AL$13&amp;Detail!EU73))</f>
        <v>N/A</v>
      </c>
      <c r="EX73" s="1012" t="s">
        <v>2236</v>
      </c>
      <c r="EY73" s="1012" t="s">
        <v>2277</v>
      </c>
      <c r="EZ73" s="1013">
        <f t="shared" si="14"/>
        <v>0</v>
      </c>
      <c r="FA73" s="1013" t="s">
        <v>2236</v>
      </c>
      <c r="FB73" s="264">
        <v>0</v>
      </c>
      <c r="FC73" s="1013">
        <v>0</v>
      </c>
      <c r="FD73" s="1013">
        <v>1</v>
      </c>
      <c r="FE73" s="1013">
        <v>0</v>
      </c>
    </row>
    <row r="74" spans="1:161" s="422" customFormat="1" ht="30" customHeight="1" outlineLevel="1">
      <c r="A74" s="439" t="b">
        <f>Calcul!A74</f>
        <v>0</v>
      </c>
      <c r="B74" s="510" t="str">
        <f t="shared" si="15"/>
        <v/>
      </c>
      <c r="C74" s="1404" t="b">
        <v>0</v>
      </c>
      <c r="D74" s="1404" t="s">
        <v>2147</v>
      </c>
      <c r="E74" s="1405" t="s">
        <v>2335</v>
      </c>
      <c r="F74" s="243" t="s">
        <v>2146</v>
      </c>
      <c r="G74" s="356" t="str">
        <f>IF(A74=FALSE,"",IF(NAMES!$D$10=FALSE,IF(Detail!H74="","",Detail!H74),IF(Crewlist!D74="","",Crewlist!D74)))</f>
        <v/>
      </c>
      <c r="H74" s="356" t="str">
        <f>IF(A74=FALSE,"",IF(NAMES!$D$10=FALSE,IF(Detail!P74="","",Detail!P74),IF(Crewlist!E74="","",Crewlist!E74)))</f>
        <v/>
      </c>
      <c r="I74" s="356" t="str">
        <f>IF(A74=FALSE,"",IF(NAMES!$D$10=FALSE,IF(Detail!K74="","",Detail!K74),IF(Crewlist!F74="","",Crewlist!F74)))</f>
        <v/>
      </c>
      <c r="J74" s="1001" t="str">
        <f>IF(Crewlist!T74="","",Crewlist!T74)</f>
        <v/>
      </c>
      <c r="K74" s="1001" t="str">
        <f>IF(Crewlist!D74="","",IF(Crewlist!U74="",Crewlist!Y74,IF(DATERENOUVMOINS730&lt;&gt;Crewlist!U74&lt;&gt;Crewlist!Y74,Crewlist!U74,DATERENOUVMOINS365)))</f>
        <v/>
      </c>
      <c r="L74" s="775" t="str">
        <f>IF(Detail!X74="","",Detail!X74)</f>
        <v/>
      </c>
      <c r="M74" s="775" t="str">
        <f>IF(Detail!H74="","",IF(Detail!Y74="",DATERENOUV,IF(Detail!Y74&gt;Detail!D74,Detail!D74,Detail!Y74)))</f>
        <v/>
      </c>
      <c r="N74" s="1015" t="str">
        <f>IF(A74=FALSE,"",IF(NAMES!$D$10=FALSE,IF(B74=B75,IF(O74=O75,0,(DATEDIF(L74,M74,"M")+1)),(DATEDIF(L74,M74,"M")+1)),IF(B74=B75,IF(O74=O75,0,(DATEDIF(J74,K74,"M")+1)),(DATEDIF(J74,K74,"M")+1))))</f>
        <v/>
      </c>
      <c r="O74" s="357" t="str">
        <f t="shared" si="5"/>
        <v/>
      </c>
      <c r="P74" s="358" t="str">
        <f>IF(A74=FALSE,"",IF(NAMES!$D$10=FALSE,IF((DATEDIF(L74,M74,"D")+1)&lt;365,(DATEDIF(L74,M74,"D")+1),365),IF((DATEDIF(J74,K74,"D")+1)&lt;365,(DATEDIF(J74,K74,"D")+1),365)))</f>
        <v/>
      </c>
      <c r="Q74" s="358" t="str">
        <f>IF(A74=FALSE,"",IF(NAMES!$D$10=FALSE,IF(M74="",365,DATEDIF(L74,M74,"D")+1),IF(M74="",365,DATEDIF(J74,K74,"D")+1)))</f>
        <v/>
      </c>
      <c r="R74" s="950" t="str">
        <f>Calcul!X74</f>
        <v/>
      </c>
      <c r="S74" s="950" t="str">
        <f>Calcul!Y74</f>
        <v/>
      </c>
      <c r="T74" s="993" t="str">
        <f>Calcul!AG74</f>
        <v/>
      </c>
      <c r="U74" s="368" t="str">
        <f>IF(A74=FALSE,"",IF(NAMES!$D$10=FALSE,IF(Detail!S74="","",Detail!S74),IF(Crewlist!V74="","",Crewlist!V74)))</f>
        <v/>
      </c>
      <c r="V74" s="245" t="str">
        <f>Calcul!AI74</f>
        <v/>
      </c>
      <c r="W74" s="245" t="str">
        <f>Calcul!AL74</f>
        <v/>
      </c>
      <c r="X74" s="245" t="str">
        <f>Calcul!AM74</f>
        <v/>
      </c>
      <c r="Y74" s="353" t="str">
        <f>Calcul!AN74</f>
        <v/>
      </c>
      <c r="Z74" s="245" t="str">
        <f>Calcul!AO74</f>
        <v/>
      </c>
      <c r="AA74" s="245" t="str">
        <f>Calcul!AP74</f>
        <v/>
      </c>
      <c r="AB74" s="353" t="str">
        <f>Calcul!AQ74</f>
        <v/>
      </c>
      <c r="AC74" s="353" t="str">
        <f>IF(C74=FALSE,"",Calcul!BE74+Calcul!BF74)</f>
        <v/>
      </c>
      <c r="AD74" s="353" t="str">
        <f>IF(C74=FALSE,"",(Calcul!BG74+Calcul!BH74)+SUM(Calcul!BI74:BN74))</f>
        <v/>
      </c>
      <c r="AE74" s="353" t="str">
        <f>Calcul!BP74</f>
        <v/>
      </c>
      <c r="AF74" s="332" t="str">
        <f>IF(A74=FALSE,"",YEAR(Detail!F74)&amp;Detail!AG74&amp;Detail!AD74&amp;"-"&amp;Detail!$AD$13&amp;Detail!AE74)</f>
        <v/>
      </c>
      <c r="AG74" s="1406" t="s">
        <v>2236</v>
      </c>
      <c r="AH74" s="701" t="s">
        <v>2277</v>
      </c>
      <c r="AI74" s="1407">
        <v>0</v>
      </c>
      <c r="AJ74" s="1407" t="s">
        <v>2236</v>
      </c>
      <c r="AK74" s="1410">
        <v>32</v>
      </c>
      <c r="AL74" s="508">
        <v>0</v>
      </c>
      <c r="AM74" s="261">
        <v>1</v>
      </c>
      <c r="AN74" s="261">
        <v>0</v>
      </c>
      <c r="AO74" s="333" t="str">
        <f>IF(A74=FALSE,"",IF(Detail!AL74="","N/A",YEAR(Detail!F74)&amp;Detail!AO74&amp;Detail!AL74&amp;"-"&amp;Detail!$AL$13&amp;Detail!AM74))</f>
        <v/>
      </c>
      <c r="AP74" s="1406" t="s">
        <v>2236</v>
      </c>
      <c r="AQ74" s="701" t="s">
        <v>2277</v>
      </c>
      <c r="AR74" s="1407">
        <f t="shared" si="7"/>
        <v>0</v>
      </c>
      <c r="AS74" s="261" t="s">
        <v>2236</v>
      </c>
      <c r="AT74" s="264">
        <v>0</v>
      </c>
      <c r="AU74" s="261">
        <v>0</v>
      </c>
      <c r="AV74" s="261">
        <v>1</v>
      </c>
      <c r="AW74" s="261">
        <v>0</v>
      </c>
      <c r="AX74" s="920" t="str">
        <f>IF(A74=FALSE,"",IF(Detail!AT74="","N/A",YEAR(Detail!F74)&amp;Detail!AW74&amp;Detail!AT74&amp;"-"&amp;Detail!$AT$13))</f>
        <v/>
      </c>
      <c r="AY74" s="1408" t="s">
        <v>2236</v>
      </c>
      <c r="AZ74" s="308" t="s">
        <v>2278</v>
      </c>
      <c r="BA74" s="440" t="str">
        <f>IF(A74=FALSE,"",51000+(Detail!AA74*7000))</f>
        <v/>
      </c>
      <c r="BB74" s="1412">
        <v>50000</v>
      </c>
      <c r="BC74" s="247">
        <v>3</v>
      </c>
      <c r="BD74" s="261">
        <v>0</v>
      </c>
      <c r="BE74" s="261" t="s">
        <v>2236</v>
      </c>
      <c r="BF74" s="264">
        <v>0</v>
      </c>
      <c r="BG74" s="508">
        <v>0</v>
      </c>
      <c r="BH74" s="261">
        <v>1</v>
      </c>
      <c r="BI74" s="261">
        <v>0</v>
      </c>
      <c r="BJ74" s="311" t="str">
        <f>IF(A74=FALSE,"",IF(Detail!BB74="","N/A",YEAR(Detail!F74)&amp;Detail!BE74&amp;Detail!BB74&amp;"-"&amp;Detail!$BB$13))</f>
        <v/>
      </c>
      <c r="BK74" s="1354" t="s">
        <v>2236</v>
      </c>
      <c r="BL74" s="527" t="s">
        <v>2278</v>
      </c>
      <c r="BM74" s="440" t="str">
        <f>IF(A74=FALSE,"",51000+(Detail!AA74*7000))</f>
        <v/>
      </c>
      <c r="BN74" s="1412">
        <v>50000</v>
      </c>
      <c r="BO74" s="247">
        <v>3</v>
      </c>
      <c r="BP74" s="261">
        <v>0</v>
      </c>
      <c r="BQ74" s="261" t="s">
        <v>2236</v>
      </c>
      <c r="BR74" s="264">
        <v>0</v>
      </c>
      <c r="BS74" s="508">
        <v>0</v>
      </c>
      <c r="BT74" s="261">
        <v>1</v>
      </c>
      <c r="BU74" s="261">
        <v>0</v>
      </c>
      <c r="BV74" s="311" t="str">
        <f>IF(A74=FALSE,"",IF(Detail!BJ74="","N/A",YEAR(Detail!F74)&amp;Detail!BM74&amp;Detail!BJ74&amp;"-"&amp;Detail!$BJ$13))</f>
        <v/>
      </c>
      <c r="BW74" s="1409" t="s">
        <v>2236</v>
      </c>
      <c r="BX74" s="527" t="s">
        <v>2278</v>
      </c>
      <c r="BY74" s="440" t="str">
        <f t="shared" si="8"/>
        <v/>
      </c>
      <c r="BZ74" s="1412">
        <v>50000</v>
      </c>
      <c r="CA74" s="247">
        <v>3</v>
      </c>
      <c r="CB74" s="261">
        <v>0</v>
      </c>
      <c r="CC74" s="261" t="s">
        <v>2236</v>
      </c>
      <c r="CD74" s="264">
        <v>0</v>
      </c>
      <c r="CE74" s="508">
        <v>0</v>
      </c>
      <c r="CF74" s="261">
        <v>1</v>
      </c>
      <c r="CG74" s="261">
        <v>0</v>
      </c>
      <c r="CH74" s="311" t="str">
        <f>IF(A74=FALSE,"",IF(Detail!BR74="","N/A",YEAR(Detail!F74)&amp;Detail!BU74&amp;Detail!BR74&amp;"-"&amp;Detail!$BR$13))</f>
        <v/>
      </c>
      <c r="CI74" s="1327" t="s">
        <v>2236</v>
      </c>
      <c r="CJ74" s="527" t="s">
        <v>2278</v>
      </c>
      <c r="CK74" s="440" t="str">
        <f t="shared" si="9"/>
        <v/>
      </c>
      <c r="CL74" s="1412">
        <v>50000</v>
      </c>
      <c r="CM74" s="247">
        <v>3</v>
      </c>
      <c r="CN74" s="261">
        <v>0</v>
      </c>
      <c r="CO74" s="261" t="s">
        <v>2236</v>
      </c>
      <c r="CP74" s="264">
        <v>0</v>
      </c>
      <c r="CQ74" s="508">
        <v>0</v>
      </c>
      <c r="CR74" s="261">
        <v>1</v>
      </c>
      <c r="CS74" s="261">
        <v>0</v>
      </c>
      <c r="CT74" s="311" t="str">
        <f>IF(A74=FALSE,"",IF(Detail!BZ74="","N/A",YEAR(Detail!F74)&amp;Detail!CC74&amp;Detail!BZ74&amp;"-"&amp;Detail!$BZ$13&amp;" (100%/"&amp;Detail!CD74&amp;"/"&amp;Detail!CE74&amp;"D)"))</f>
        <v/>
      </c>
      <c r="CU74" s="1327" t="s">
        <v>2236</v>
      </c>
      <c r="CV74" s="527" t="s">
        <v>2278</v>
      </c>
      <c r="CW74" s="241">
        <v>7</v>
      </c>
      <c r="CX74" s="1323">
        <v>365</v>
      </c>
      <c r="CY74" s="248">
        <v>1</v>
      </c>
      <c r="CZ74" s="261">
        <v>0</v>
      </c>
      <c r="DA74" s="1325" t="s">
        <v>2236</v>
      </c>
      <c r="DB74" s="538">
        <v>40</v>
      </c>
      <c r="DC74" s="1325">
        <v>0.1</v>
      </c>
      <c r="DD74" s="261">
        <v>1</v>
      </c>
      <c r="DE74" s="261">
        <v>0</v>
      </c>
      <c r="DF74" s="313" t="str">
        <f>IF(A74=FALSE,"",IF(Detail!CH74="","N/A",YEAR(Detail!F74)&amp;Detail!CK74&amp;Detail!CH74&amp;"-"&amp;Detail!$CH$13&amp;" (100%/"&amp;Detail!CL74&amp;"/"&amp;Detail!CM74&amp;"D)"))</f>
        <v/>
      </c>
      <c r="DG74" s="1354" t="s">
        <v>2236</v>
      </c>
      <c r="DH74" s="518" t="s">
        <v>2278</v>
      </c>
      <c r="DI74" s="241">
        <f t="shared" si="10"/>
        <v>7</v>
      </c>
      <c r="DJ74" s="243">
        <f t="shared" si="11"/>
        <v>365</v>
      </c>
      <c r="DK74" s="258">
        <v>1</v>
      </c>
      <c r="DL74" s="261">
        <v>0</v>
      </c>
      <c r="DM74" s="1325" t="s">
        <v>2236</v>
      </c>
      <c r="DN74" s="538">
        <v>40</v>
      </c>
      <c r="DO74" s="1325">
        <f t="shared" si="12"/>
        <v>0.1</v>
      </c>
      <c r="DP74" s="261">
        <v>1</v>
      </c>
      <c r="DQ74" s="261">
        <v>0</v>
      </c>
      <c r="DR74" s="920" t="str">
        <f>IF(A74=FALSE,"",IF(Detail!CP74="","N/A",YEAR(Detail!F74)&amp;Detail!CS74&amp;Detail!CP74&amp;"-"&amp;Detail!$CP$13))</f>
        <v/>
      </c>
      <c r="DS74" s="308" t="s">
        <v>2236</v>
      </c>
      <c r="DT74" s="720" t="s">
        <v>2277</v>
      </c>
      <c r="DU74" s="244">
        <v>50000</v>
      </c>
      <c r="DV74" s="247">
        <v>2</v>
      </c>
      <c r="DW74" s="261">
        <v>0</v>
      </c>
      <c r="DX74" s="261" t="s">
        <v>2236</v>
      </c>
      <c r="DY74" s="264">
        <v>0</v>
      </c>
      <c r="DZ74" s="444">
        <v>0</v>
      </c>
      <c r="EA74" s="444">
        <v>1</v>
      </c>
      <c r="EB74" s="444">
        <v>0</v>
      </c>
      <c r="EC74" s="761" t="str">
        <f>IF(A74=FALSE,"",IF(Detail!CX74="","N/A",YEAR(Detail!F74)&amp;Detail!DA74&amp;Detail!CX74&amp;"-"&amp;Detail!$CX$13))</f>
        <v/>
      </c>
      <c r="ED74" s="445" t="s">
        <v>2236</v>
      </c>
      <c r="EE74" s="720" t="s">
        <v>2277</v>
      </c>
      <c r="EF74" s="244">
        <v>50000</v>
      </c>
      <c r="EG74" s="247">
        <v>2</v>
      </c>
      <c r="EH74" s="261">
        <v>0</v>
      </c>
      <c r="EI74" s="261" t="s">
        <v>2236</v>
      </c>
      <c r="EJ74" s="264">
        <v>0</v>
      </c>
      <c r="EK74" s="444">
        <v>0</v>
      </c>
      <c r="EL74" s="444">
        <v>1</v>
      </c>
      <c r="EM74" s="444">
        <v>0</v>
      </c>
      <c r="EN74" s="333" t="str">
        <f>IF(A74=FALSE,"",IF(Detail!DF74="","N/A",YEAR(Detail!F74)&amp;Detail!DI74&amp;Detail!DF74&amp;"-"&amp;Detail!$DF$13))</f>
        <v/>
      </c>
      <c r="EO74" s="1012" t="s">
        <v>2236</v>
      </c>
      <c r="EP74" s="1012" t="s">
        <v>2277</v>
      </c>
      <c r="EQ74" s="1013">
        <f t="shared" si="13"/>
        <v>0</v>
      </c>
      <c r="ER74" s="1013" t="s">
        <v>2236</v>
      </c>
      <c r="ES74" s="264">
        <v>0</v>
      </c>
      <c r="ET74" s="1013">
        <v>0</v>
      </c>
      <c r="EU74" s="1013">
        <v>1</v>
      </c>
      <c r="EV74" s="1013">
        <v>0</v>
      </c>
      <c r="EW74" s="333" t="str">
        <f>IF(DJ74=FALSE,"",IF(Detail!ET74="","N/A",YEAR(Detail!DN74)&amp;Detail!EW74&amp;Detail!ET74&amp;"-"&amp;Detail!$AL$13&amp;Detail!EU74))</f>
        <v>N/A</v>
      </c>
      <c r="EX74" s="1012" t="s">
        <v>2236</v>
      </c>
      <c r="EY74" s="1012" t="s">
        <v>2277</v>
      </c>
      <c r="EZ74" s="1013">
        <f t="shared" si="14"/>
        <v>0</v>
      </c>
      <c r="FA74" s="1013" t="s">
        <v>2236</v>
      </c>
      <c r="FB74" s="264">
        <v>0</v>
      </c>
      <c r="FC74" s="1013">
        <v>0</v>
      </c>
      <c r="FD74" s="1013">
        <v>1</v>
      </c>
      <c r="FE74" s="1013">
        <v>0</v>
      </c>
    </row>
    <row r="75" spans="1:161" s="422" customFormat="1" ht="30" customHeight="1" outlineLevel="1">
      <c r="A75" s="439" t="b">
        <f>Calcul!A75</f>
        <v>0</v>
      </c>
      <c r="B75" s="510" t="str">
        <f t="shared" si="15"/>
        <v/>
      </c>
      <c r="C75" s="1404" t="b">
        <v>0</v>
      </c>
      <c r="D75" s="1404" t="s">
        <v>2147</v>
      </c>
      <c r="E75" s="1405" t="s">
        <v>2335</v>
      </c>
      <c r="F75" s="243" t="s">
        <v>2146</v>
      </c>
      <c r="G75" s="356" t="str">
        <f>IF(A75=FALSE,"",IF(NAMES!$D$10=FALSE,IF(Detail!H75="","",Detail!H75),IF(Crewlist!D75="","",Crewlist!D75)))</f>
        <v/>
      </c>
      <c r="H75" s="356" t="str">
        <f>IF(A75=FALSE,"",IF(NAMES!$D$10=FALSE,IF(Detail!P75="","",Detail!P75),IF(Crewlist!E75="","",Crewlist!E75)))</f>
        <v/>
      </c>
      <c r="I75" s="356" t="str">
        <f>IF(A75=FALSE,"",IF(NAMES!$D$10=FALSE,IF(Detail!K75="","",Detail!K75),IF(Crewlist!F75="","",Crewlist!F75)))</f>
        <v/>
      </c>
      <c r="J75" s="1001" t="str">
        <f>IF(Crewlist!T75="","",Crewlist!T75)</f>
        <v/>
      </c>
      <c r="K75" s="1001" t="str">
        <f>IF(Crewlist!D75="","",IF(Crewlist!U75="",Crewlist!Y75,IF(DATERENOUVMOINS730&lt;&gt;Crewlist!U75&lt;&gt;Crewlist!Y75,Crewlist!U75,DATERENOUVMOINS365)))</f>
        <v/>
      </c>
      <c r="L75" s="775" t="str">
        <f>IF(Detail!X75="","",Detail!X75)</f>
        <v/>
      </c>
      <c r="M75" s="775" t="str">
        <f>IF(Detail!H75="","",IF(Detail!Y75="",DATERENOUV,IF(Detail!Y75&gt;Detail!D75,Detail!D75,Detail!Y75)))</f>
        <v/>
      </c>
      <c r="N75" s="1015" t="str">
        <f>IF(A75=FALSE,"",IF(NAMES!$D$10=FALSE,IF(B75=B76,IF(O75=O76,0,(DATEDIF(L75,M75,"M")+1)),(DATEDIF(L75,M75,"M")+1)),IF(B75=B76,IF(O75=O76,0,(DATEDIF(J75,K75,"M")+1)),(DATEDIF(J75,K75,"M")+1))))</f>
        <v/>
      </c>
      <c r="O75" s="357" t="str">
        <f t="shared" si="5"/>
        <v/>
      </c>
      <c r="P75" s="358" t="str">
        <f>IF(A75=FALSE,"",IF(NAMES!$D$10=FALSE,IF((DATEDIF(L75,M75,"D")+1)&lt;365,(DATEDIF(L75,M75,"D")+1),365),IF((DATEDIF(J75,K75,"D")+1)&lt;365,(DATEDIF(J75,K75,"D")+1),365)))</f>
        <v/>
      </c>
      <c r="Q75" s="358" t="str">
        <f>IF(A75=FALSE,"",IF(NAMES!$D$10=FALSE,IF(M75="",365,DATEDIF(L75,M75,"D")+1),IF(M75="",365,DATEDIF(J75,K75,"D")+1)))</f>
        <v/>
      </c>
      <c r="R75" s="950" t="str">
        <f>Calcul!X75</f>
        <v/>
      </c>
      <c r="S75" s="950" t="str">
        <f>Calcul!Y75</f>
        <v/>
      </c>
      <c r="T75" s="993" t="str">
        <f>Calcul!AG75</f>
        <v/>
      </c>
      <c r="U75" s="368" t="str">
        <f>IF(A75=FALSE,"",IF(NAMES!$D$10=FALSE,IF(Detail!S75="","",Detail!S75),IF(Crewlist!V75="","",Crewlist!V75)))</f>
        <v/>
      </c>
      <c r="V75" s="245" t="str">
        <f>Calcul!AI75</f>
        <v/>
      </c>
      <c r="W75" s="245" t="str">
        <f>Calcul!AL75</f>
        <v/>
      </c>
      <c r="X75" s="245" t="str">
        <f>Calcul!AM75</f>
        <v/>
      </c>
      <c r="Y75" s="353" t="str">
        <f>Calcul!AN75</f>
        <v/>
      </c>
      <c r="Z75" s="245" t="str">
        <f>Calcul!AO75</f>
        <v/>
      </c>
      <c r="AA75" s="245" t="str">
        <f>Calcul!AP75</f>
        <v/>
      </c>
      <c r="AB75" s="353" t="str">
        <f>Calcul!AQ75</f>
        <v/>
      </c>
      <c r="AC75" s="353" t="str">
        <f>IF(C75=FALSE,"",Calcul!BE75+Calcul!BF75)</f>
        <v/>
      </c>
      <c r="AD75" s="353" t="str">
        <f>IF(C75=FALSE,"",(Calcul!BG75+Calcul!BH75)+SUM(Calcul!BI75:BN75))</f>
        <v/>
      </c>
      <c r="AE75" s="353" t="str">
        <f>Calcul!BP75</f>
        <v/>
      </c>
      <c r="AF75" s="332" t="str">
        <f>IF(A75=FALSE,"",YEAR(Detail!F75)&amp;Detail!AG75&amp;Detail!AD75&amp;"-"&amp;Detail!$AD$13&amp;Detail!AE75)</f>
        <v/>
      </c>
      <c r="AG75" s="1406" t="s">
        <v>2236</v>
      </c>
      <c r="AH75" s="701" t="s">
        <v>2277</v>
      </c>
      <c r="AI75" s="1407">
        <v>0</v>
      </c>
      <c r="AJ75" s="1407" t="s">
        <v>2236</v>
      </c>
      <c r="AK75" s="1410">
        <v>32</v>
      </c>
      <c r="AL75" s="508">
        <v>0</v>
      </c>
      <c r="AM75" s="261">
        <v>1</v>
      </c>
      <c r="AN75" s="261">
        <v>0</v>
      </c>
      <c r="AO75" s="333" t="str">
        <f>IF(A75=FALSE,"",IF(Detail!AL75="","N/A",YEAR(Detail!F75)&amp;Detail!AO75&amp;Detail!AL75&amp;"-"&amp;Detail!$AL$13&amp;Detail!AM75))</f>
        <v/>
      </c>
      <c r="AP75" s="1406" t="s">
        <v>2236</v>
      </c>
      <c r="AQ75" s="701" t="s">
        <v>2277</v>
      </c>
      <c r="AR75" s="1407">
        <f t="shared" si="7"/>
        <v>0</v>
      </c>
      <c r="AS75" s="261" t="s">
        <v>2236</v>
      </c>
      <c r="AT75" s="264">
        <v>0</v>
      </c>
      <c r="AU75" s="261">
        <v>0</v>
      </c>
      <c r="AV75" s="261">
        <v>1</v>
      </c>
      <c r="AW75" s="261">
        <v>0</v>
      </c>
      <c r="AX75" s="920" t="str">
        <f>IF(A75=FALSE,"",IF(Detail!AT75="","N/A",YEAR(Detail!F75)&amp;Detail!AW75&amp;Detail!AT75&amp;"-"&amp;Detail!$AT$13))</f>
        <v/>
      </c>
      <c r="AY75" s="1408" t="s">
        <v>2236</v>
      </c>
      <c r="AZ75" s="308" t="s">
        <v>2278</v>
      </c>
      <c r="BA75" s="440" t="str">
        <f>IF(A75=FALSE,"",51000+(Detail!AA75*7000))</f>
        <v/>
      </c>
      <c r="BB75" s="1412">
        <v>50000</v>
      </c>
      <c r="BC75" s="247">
        <v>3</v>
      </c>
      <c r="BD75" s="261">
        <v>0</v>
      </c>
      <c r="BE75" s="261" t="s">
        <v>2236</v>
      </c>
      <c r="BF75" s="264">
        <v>0</v>
      </c>
      <c r="BG75" s="508">
        <v>0</v>
      </c>
      <c r="BH75" s="261">
        <v>1</v>
      </c>
      <c r="BI75" s="261">
        <v>0</v>
      </c>
      <c r="BJ75" s="311" t="str">
        <f>IF(A75=FALSE,"",IF(Detail!BB75="","N/A",YEAR(Detail!F75)&amp;Detail!BE75&amp;Detail!BB75&amp;"-"&amp;Detail!$BB$13))</f>
        <v/>
      </c>
      <c r="BK75" s="1354" t="s">
        <v>2236</v>
      </c>
      <c r="BL75" s="527" t="s">
        <v>2278</v>
      </c>
      <c r="BM75" s="440" t="str">
        <f>IF(A75=FALSE,"",51000+(Detail!AA75*7000))</f>
        <v/>
      </c>
      <c r="BN75" s="1412">
        <v>50000</v>
      </c>
      <c r="BO75" s="247">
        <v>3</v>
      </c>
      <c r="BP75" s="261">
        <v>0</v>
      </c>
      <c r="BQ75" s="261" t="s">
        <v>2236</v>
      </c>
      <c r="BR75" s="264">
        <v>0</v>
      </c>
      <c r="BS75" s="508">
        <v>0</v>
      </c>
      <c r="BT75" s="261">
        <v>1</v>
      </c>
      <c r="BU75" s="261">
        <v>0</v>
      </c>
      <c r="BV75" s="311" t="str">
        <f>IF(A75=FALSE,"",IF(Detail!BJ75="","N/A",YEAR(Detail!F75)&amp;Detail!BM75&amp;Detail!BJ75&amp;"-"&amp;Detail!$BJ$13))</f>
        <v/>
      </c>
      <c r="BW75" s="1409" t="s">
        <v>2236</v>
      </c>
      <c r="BX75" s="527" t="s">
        <v>2278</v>
      </c>
      <c r="BY75" s="440" t="str">
        <f t="shared" si="8"/>
        <v/>
      </c>
      <c r="BZ75" s="1412">
        <v>50000</v>
      </c>
      <c r="CA75" s="247">
        <v>3</v>
      </c>
      <c r="CB75" s="261">
        <v>0</v>
      </c>
      <c r="CC75" s="261" t="s">
        <v>2236</v>
      </c>
      <c r="CD75" s="264">
        <v>0</v>
      </c>
      <c r="CE75" s="508">
        <v>0</v>
      </c>
      <c r="CF75" s="261">
        <v>1</v>
      </c>
      <c r="CG75" s="261">
        <v>0</v>
      </c>
      <c r="CH75" s="311" t="str">
        <f>IF(A75=FALSE,"",IF(Detail!BR75="","N/A",YEAR(Detail!F75)&amp;Detail!BU75&amp;Detail!BR75&amp;"-"&amp;Detail!$BR$13))</f>
        <v/>
      </c>
      <c r="CI75" s="1327" t="s">
        <v>2236</v>
      </c>
      <c r="CJ75" s="527" t="s">
        <v>2278</v>
      </c>
      <c r="CK75" s="440" t="str">
        <f t="shared" si="9"/>
        <v/>
      </c>
      <c r="CL75" s="1412">
        <v>50000</v>
      </c>
      <c r="CM75" s="247">
        <v>3</v>
      </c>
      <c r="CN75" s="261">
        <v>0</v>
      </c>
      <c r="CO75" s="261" t="s">
        <v>2236</v>
      </c>
      <c r="CP75" s="264">
        <v>0</v>
      </c>
      <c r="CQ75" s="508">
        <v>0</v>
      </c>
      <c r="CR75" s="261">
        <v>1</v>
      </c>
      <c r="CS75" s="261">
        <v>0</v>
      </c>
      <c r="CT75" s="311" t="str">
        <f>IF(A75=FALSE,"",IF(Detail!BZ75="","N/A",YEAR(Detail!F75)&amp;Detail!CC75&amp;Detail!BZ75&amp;"-"&amp;Detail!$BZ$13&amp;" (100%/"&amp;Detail!CD75&amp;"/"&amp;Detail!CE75&amp;"D)"))</f>
        <v/>
      </c>
      <c r="CU75" s="1327" t="s">
        <v>2236</v>
      </c>
      <c r="CV75" s="527" t="s">
        <v>2278</v>
      </c>
      <c r="CW75" s="241">
        <v>7</v>
      </c>
      <c r="CX75" s="1323">
        <v>365</v>
      </c>
      <c r="CY75" s="248">
        <v>1</v>
      </c>
      <c r="CZ75" s="261">
        <v>0</v>
      </c>
      <c r="DA75" s="1325" t="s">
        <v>2236</v>
      </c>
      <c r="DB75" s="538">
        <v>40</v>
      </c>
      <c r="DC75" s="1325">
        <v>0.1</v>
      </c>
      <c r="DD75" s="261">
        <v>1</v>
      </c>
      <c r="DE75" s="261">
        <v>0</v>
      </c>
      <c r="DF75" s="313" t="str">
        <f>IF(A75=FALSE,"",IF(Detail!CH75="","N/A",YEAR(Detail!F75)&amp;Detail!CK75&amp;Detail!CH75&amp;"-"&amp;Detail!$CH$13&amp;" (100%/"&amp;Detail!CL75&amp;"/"&amp;Detail!CM75&amp;"D)"))</f>
        <v/>
      </c>
      <c r="DG75" s="1354" t="s">
        <v>2236</v>
      </c>
      <c r="DH75" s="518" t="s">
        <v>2278</v>
      </c>
      <c r="DI75" s="241">
        <f t="shared" si="10"/>
        <v>7</v>
      </c>
      <c r="DJ75" s="243">
        <f t="shared" si="11"/>
        <v>365</v>
      </c>
      <c r="DK75" s="258">
        <v>1</v>
      </c>
      <c r="DL75" s="261">
        <v>0</v>
      </c>
      <c r="DM75" s="1325" t="s">
        <v>2236</v>
      </c>
      <c r="DN75" s="538">
        <v>40</v>
      </c>
      <c r="DO75" s="1325">
        <f t="shared" si="12"/>
        <v>0.1</v>
      </c>
      <c r="DP75" s="261">
        <v>1</v>
      </c>
      <c r="DQ75" s="261">
        <v>0</v>
      </c>
      <c r="DR75" s="920" t="str">
        <f>IF(A75=FALSE,"",IF(Detail!CP75="","N/A",YEAR(Detail!F75)&amp;Detail!CS75&amp;Detail!CP75&amp;"-"&amp;Detail!$CP$13))</f>
        <v/>
      </c>
      <c r="DS75" s="308" t="s">
        <v>2236</v>
      </c>
      <c r="DT75" s="720" t="s">
        <v>2277</v>
      </c>
      <c r="DU75" s="244">
        <v>50000</v>
      </c>
      <c r="DV75" s="247">
        <v>2</v>
      </c>
      <c r="DW75" s="261">
        <v>0</v>
      </c>
      <c r="DX75" s="261" t="s">
        <v>2236</v>
      </c>
      <c r="DY75" s="264">
        <v>0</v>
      </c>
      <c r="DZ75" s="444">
        <v>0</v>
      </c>
      <c r="EA75" s="444">
        <v>1</v>
      </c>
      <c r="EB75" s="444">
        <v>0</v>
      </c>
      <c r="EC75" s="761" t="str">
        <f>IF(A75=FALSE,"",IF(Detail!CX75="","N/A",YEAR(Detail!F75)&amp;Detail!DA75&amp;Detail!CX75&amp;"-"&amp;Detail!$CX$13))</f>
        <v/>
      </c>
      <c r="ED75" s="445" t="s">
        <v>2236</v>
      </c>
      <c r="EE75" s="720" t="s">
        <v>2277</v>
      </c>
      <c r="EF75" s="244">
        <v>50000</v>
      </c>
      <c r="EG75" s="247">
        <v>2</v>
      </c>
      <c r="EH75" s="261">
        <v>0</v>
      </c>
      <c r="EI75" s="261" t="s">
        <v>2236</v>
      </c>
      <c r="EJ75" s="264">
        <v>0</v>
      </c>
      <c r="EK75" s="444">
        <v>0</v>
      </c>
      <c r="EL75" s="444">
        <v>1</v>
      </c>
      <c r="EM75" s="444">
        <v>0</v>
      </c>
      <c r="EN75" s="333" t="str">
        <f>IF(A75=FALSE,"",IF(Detail!DF75="","N/A",YEAR(Detail!F75)&amp;Detail!DI75&amp;Detail!DF75&amp;"-"&amp;Detail!$DF$13))</f>
        <v/>
      </c>
      <c r="EO75" s="1012" t="s">
        <v>2236</v>
      </c>
      <c r="EP75" s="1012" t="s">
        <v>2277</v>
      </c>
      <c r="EQ75" s="1013">
        <f t="shared" si="13"/>
        <v>0</v>
      </c>
      <c r="ER75" s="1013" t="s">
        <v>2236</v>
      </c>
      <c r="ES75" s="264">
        <v>0</v>
      </c>
      <c r="ET75" s="1013">
        <v>0</v>
      </c>
      <c r="EU75" s="1013">
        <v>1</v>
      </c>
      <c r="EV75" s="1013">
        <v>0</v>
      </c>
      <c r="EW75" s="333" t="str">
        <f>IF(DJ75=FALSE,"",IF(Detail!ET75="","N/A",YEAR(Detail!DN75)&amp;Detail!EW75&amp;Detail!ET75&amp;"-"&amp;Detail!$AL$13&amp;Detail!EU75))</f>
        <v>N/A</v>
      </c>
      <c r="EX75" s="1012" t="s">
        <v>2236</v>
      </c>
      <c r="EY75" s="1012" t="s">
        <v>2277</v>
      </c>
      <c r="EZ75" s="1013">
        <f t="shared" si="14"/>
        <v>0</v>
      </c>
      <c r="FA75" s="1013" t="s">
        <v>2236</v>
      </c>
      <c r="FB75" s="264">
        <v>0</v>
      </c>
      <c r="FC75" s="1013">
        <v>0</v>
      </c>
      <c r="FD75" s="1013">
        <v>1</v>
      </c>
      <c r="FE75" s="1013">
        <v>0</v>
      </c>
    </row>
    <row r="76" spans="1:161" s="422" customFormat="1" ht="30" customHeight="1" outlineLevel="1">
      <c r="A76" s="439" t="b">
        <f>Calcul!A76</f>
        <v>0</v>
      </c>
      <c r="B76" s="510" t="str">
        <f t="shared" si="15"/>
        <v/>
      </c>
      <c r="C76" s="1404" t="b">
        <v>0</v>
      </c>
      <c r="D76" s="1404" t="s">
        <v>2147</v>
      </c>
      <c r="E76" s="1405" t="s">
        <v>2335</v>
      </c>
      <c r="F76" s="243" t="s">
        <v>2146</v>
      </c>
      <c r="G76" s="356" t="str">
        <f>IF(A76=FALSE,"",IF(NAMES!$D$10=FALSE,IF(Detail!H76="","",Detail!H76),IF(Crewlist!D76="","",Crewlist!D76)))</f>
        <v/>
      </c>
      <c r="H76" s="356" t="str">
        <f>IF(A76=FALSE,"",IF(NAMES!$D$10=FALSE,IF(Detail!P76="","",Detail!P76),IF(Crewlist!E76="","",Crewlist!E76)))</f>
        <v/>
      </c>
      <c r="I76" s="356" t="str">
        <f>IF(A76=FALSE,"",IF(NAMES!$D$10=FALSE,IF(Detail!K76="","",Detail!K76),IF(Crewlist!F76="","",Crewlist!F76)))</f>
        <v/>
      </c>
      <c r="J76" s="1001" t="str">
        <f>IF(Crewlist!T76="","",Crewlist!T76)</f>
        <v/>
      </c>
      <c r="K76" s="1001" t="str">
        <f>IF(Crewlist!D76="","",IF(Crewlist!U76="",Crewlist!Y76,IF(DATERENOUVMOINS730&lt;&gt;Crewlist!U76&lt;&gt;Crewlist!Y76,Crewlist!U76,DATERENOUVMOINS365)))</f>
        <v/>
      </c>
      <c r="L76" s="775" t="str">
        <f>IF(Detail!X76="","",Detail!X76)</f>
        <v/>
      </c>
      <c r="M76" s="775" t="str">
        <f>IF(Detail!H76="","",IF(Detail!Y76="",DATERENOUV,IF(Detail!Y76&gt;Detail!D76,Detail!D76,Detail!Y76)))</f>
        <v/>
      </c>
      <c r="N76" s="1015" t="str">
        <f>IF(A76=FALSE,"",IF(NAMES!$D$10=FALSE,IF(B76=B77,IF(O76=O77,0,(DATEDIF(L76,M76,"M")+1)),(DATEDIF(L76,M76,"M")+1)),IF(B76=B77,IF(O76=O77,0,(DATEDIF(J76,K76,"M")+1)),(DATEDIF(J76,K76,"M")+1))))</f>
        <v/>
      </c>
      <c r="O76" s="357" t="str">
        <f t="shared" si="5"/>
        <v/>
      </c>
      <c r="P76" s="358" t="str">
        <f>IF(A76=FALSE,"",IF(NAMES!$D$10=FALSE,IF((DATEDIF(L76,M76,"D")+1)&lt;365,(DATEDIF(L76,M76,"D")+1),365),IF((DATEDIF(J76,K76,"D")+1)&lt;365,(DATEDIF(J76,K76,"D")+1),365)))</f>
        <v/>
      </c>
      <c r="Q76" s="358" t="str">
        <f>IF(A76=FALSE,"",IF(NAMES!$D$10=FALSE,IF(M76="",365,DATEDIF(L76,M76,"D")+1),IF(M76="",365,DATEDIF(J76,K76,"D")+1)))</f>
        <v/>
      </c>
      <c r="R76" s="950" t="str">
        <f>Calcul!X76</f>
        <v/>
      </c>
      <c r="S76" s="950" t="str">
        <f>Calcul!Y76</f>
        <v/>
      </c>
      <c r="T76" s="993" t="str">
        <f>Calcul!AG76</f>
        <v/>
      </c>
      <c r="U76" s="368" t="str">
        <f>IF(A76=FALSE,"",IF(NAMES!$D$10=FALSE,IF(Detail!S76="","",Detail!S76),IF(Crewlist!V76="","",Crewlist!V76)))</f>
        <v/>
      </c>
      <c r="V76" s="245" t="str">
        <f>Calcul!AI76</f>
        <v/>
      </c>
      <c r="W76" s="245" t="str">
        <f>Calcul!AL76</f>
        <v/>
      </c>
      <c r="X76" s="245" t="str">
        <f>Calcul!AM76</f>
        <v/>
      </c>
      <c r="Y76" s="353" t="str">
        <f>Calcul!AN76</f>
        <v/>
      </c>
      <c r="Z76" s="245" t="str">
        <f>Calcul!AO76</f>
        <v/>
      </c>
      <c r="AA76" s="245" t="str">
        <f>Calcul!AP76</f>
        <v/>
      </c>
      <c r="AB76" s="353" t="str">
        <f>Calcul!AQ76</f>
        <v/>
      </c>
      <c r="AC76" s="353" t="str">
        <f>IF(C76=FALSE,"",Calcul!BE76+Calcul!BF76)</f>
        <v/>
      </c>
      <c r="AD76" s="353" t="str">
        <f>IF(C76=FALSE,"",(Calcul!BG76+Calcul!BH76)+SUM(Calcul!BI76:BN76))</f>
        <v/>
      </c>
      <c r="AE76" s="353" t="str">
        <f>Calcul!BP76</f>
        <v/>
      </c>
      <c r="AF76" s="332" t="str">
        <f>IF(A76=FALSE,"",YEAR(Detail!F76)&amp;Detail!AG76&amp;Detail!AD76&amp;"-"&amp;Detail!$AD$13&amp;Detail!AE76)</f>
        <v/>
      </c>
      <c r="AG76" s="1406" t="s">
        <v>2236</v>
      </c>
      <c r="AH76" s="701" t="s">
        <v>2277</v>
      </c>
      <c r="AI76" s="1407">
        <v>0</v>
      </c>
      <c r="AJ76" s="1407" t="s">
        <v>2236</v>
      </c>
      <c r="AK76" s="1410">
        <v>32</v>
      </c>
      <c r="AL76" s="508">
        <v>0</v>
      </c>
      <c r="AM76" s="261">
        <v>1</v>
      </c>
      <c r="AN76" s="261">
        <v>0</v>
      </c>
      <c r="AO76" s="333" t="str">
        <f>IF(A76=FALSE,"",IF(Detail!AL76="","N/A",YEAR(Detail!F76)&amp;Detail!AO76&amp;Detail!AL76&amp;"-"&amp;Detail!$AL$13&amp;Detail!AM76))</f>
        <v/>
      </c>
      <c r="AP76" s="1406" t="s">
        <v>2236</v>
      </c>
      <c r="AQ76" s="701" t="s">
        <v>2277</v>
      </c>
      <c r="AR76" s="1407">
        <f t="shared" si="7"/>
        <v>0</v>
      </c>
      <c r="AS76" s="261" t="s">
        <v>2236</v>
      </c>
      <c r="AT76" s="264">
        <v>0</v>
      </c>
      <c r="AU76" s="261">
        <v>0</v>
      </c>
      <c r="AV76" s="261">
        <v>1</v>
      </c>
      <c r="AW76" s="261">
        <v>0</v>
      </c>
      <c r="AX76" s="920" t="str">
        <f>IF(A76=FALSE,"",IF(Detail!AT76="","N/A",YEAR(Detail!F76)&amp;Detail!AW76&amp;Detail!AT76&amp;"-"&amp;Detail!$AT$13))</f>
        <v/>
      </c>
      <c r="AY76" s="1408" t="s">
        <v>2236</v>
      </c>
      <c r="AZ76" s="308" t="s">
        <v>2278</v>
      </c>
      <c r="BA76" s="440" t="str">
        <f>IF(A76=FALSE,"",51000+(Detail!AA76*7000))</f>
        <v/>
      </c>
      <c r="BB76" s="1412">
        <v>50000</v>
      </c>
      <c r="BC76" s="247">
        <v>3</v>
      </c>
      <c r="BD76" s="261">
        <v>0</v>
      </c>
      <c r="BE76" s="261" t="s">
        <v>2236</v>
      </c>
      <c r="BF76" s="264">
        <v>0</v>
      </c>
      <c r="BG76" s="508">
        <v>0</v>
      </c>
      <c r="BH76" s="261">
        <v>1</v>
      </c>
      <c r="BI76" s="261">
        <v>0</v>
      </c>
      <c r="BJ76" s="311" t="str">
        <f>IF(A76=FALSE,"",IF(Detail!BB76="","N/A",YEAR(Detail!F76)&amp;Detail!BE76&amp;Detail!BB76&amp;"-"&amp;Detail!$BB$13))</f>
        <v/>
      </c>
      <c r="BK76" s="1354" t="s">
        <v>2236</v>
      </c>
      <c r="BL76" s="527" t="s">
        <v>2278</v>
      </c>
      <c r="BM76" s="440" t="str">
        <f>IF(A76=FALSE,"",51000+(Detail!AA76*7000))</f>
        <v/>
      </c>
      <c r="BN76" s="1412">
        <v>50000</v>
      </c>
      <c r="BO76" s="247">
        <v>3</v>
      </c>
      <c r="BP76" s="261">
        <v>0</v>
      </c>
      <c r="BQ76" s="261" t="s">
        <v>2236</v>
      </c>
      <c r="BR76" s="264">
        <v>0</v>
      </c>
      <c r="BS76" s="508">
        <v>0</v>
      </c>
      <c r="BT76" s="261">
        <v>1</v>
      </c>
      <c r="BU76" s="261">
        <v>0</v>
      </c>
      <c r="BV76" s="311" t="str">
        <f>IF(A76=FALSE,"",IF(Detail!BJ76="","N/A",YEAR(Detail!F76)&amp;Detail!BM76&amp;Detail!BJ76&amp;"-"&amp;Detail!$BJ$13))</f>
        <v/>
      </c>
      <c r="BW76" s="1409" t="s">
        <v>2236</v>
      </c>
      <c r="BX76" s="527" t="s">
        <v>2278</v>
      </c>
      <c r="BY76" s="440" t="str">
        <f t="shared" si="8"/>
        <v/>
      </c>
      <c r="BZ76" s="1412">
        <v>50000</v>
      </c>
      <c r="CA76" s="247">
        <v>3</v>
      </c>
      <c r="CB76" s="261">
        <v>0</v>
      </c>
      <c r="CC76" s="261" t="s">
        <v>2236</v>
      </c>
      <c r="CD76" s="264">
        <v>0</v>
      </c>
      <c r="CE76" s="508">
        <v>0</v>
      </c>
      <c r="CF76" s="261">
        <v>1</v>
      </c>
      <c r="CG76" s="261">
        <v>0</v>
      </c>
      <c r="CH76" s="311" t="str">
        <f>IF(A76=FALSE,"",IF(Detail!BR76="","N/A",YEAR(Detail!F76)&amp;Detail!BU76&amp;Detail!BR76&amp;"-"&amp;Detail!$BR$13))</f>
        <v/>
      </c>
      <c r="CI76" s="1327" t="s">
        <v>2236</v>
      </c>
      <c r="CJ76" s="527" t="s">
        <v>2278</v>
      </c>
      <c r="CK76" s="440" t="str">
        <f t="shared" si="9"/>
        <v/>
      </c>
      <c r="CL76" s="1412">
        <v>50000</v>
      </c>
      <c r="CM76" s="247">
        <v>3</v>
      </c>
      <c r="CN76" s="261">
        <v>0</v>
      </c>
      <c r="CO76" s="261" t="s">
        <v>2236</v>
      </c>
      <c r="CP76" s="264">
        <v>0</v>
      </c>
      <c r="CQ76" s="508">
        <v>0</v>
      </c>
      <c r="CR76" s="261">
        <v>1</v>
      </c>
      <c r="CS76" s="261">
        <v>0</v>
      </c>
      <c r="CT76" s="311" t="str">
        <f>IF(A76=FALSE,"",IF(Detail!BZ76="","N/A",YEAR(Detail!F76)&amp;Detail!CC76&amp;Detail!BZ76&amp;"-"&amp;Detail!$BZ$13&amp;" (100%/"&amp;Detail!CD76&amp;"/"&amp;Detail!CE76&amp;"D)"))</f>
        <v/>
      </c>
      <c r="CU76" s="1327" t="s">
        <v>2236</v>
      </c>
      <c r="CV76" s="527" t="s">
        <v>2278</v>
      </c>
      <c r="CW76" s="241">
        <v>7</v>
      </c>
      <c r="CX76" s="1323">
        <v>365</v>
      </c>
      <c r="CY76" s="248">
        <v>1</v>
      </c>
      <c r="CZ76" s="261">
        <v>0</v>
      </c>
      <c r="DA76" s="1325" t="s">
        <v>2236</v>
      </c>
      <c r="DB76" s="538">
        <v>40</v>
      </c>
      <c r="DC76" s="1325">
        <v>0.1</v>
      </c>
      <c r="DD76" s="261">
        <v>1</v>
      </c>
      <c r="DE76" s="261">
        <v>0</v>
      </c>
      <c r="DF76" s="313" t="str">
        <f>IF(A76=FALSE,"",IF(Detail!CH76="","N/A",YEAR(Detail!F76)&amp;Detail!CK76&amp;Detail!CH76&amp;"-"&amp;Detail!$CH$13&amp;" (100%/"&amp;Detail!CL76&amp;"/"&amp;Detail!CM76&amp;"D)"))</f>
        <v/>
      </c>
      <c r="DG76" s="1354" t="s">
        <v>2236</v>
      </c>
      <c r="DH76" s="518" t="s">
        <v>2278</v>
      </c>
      <c r="DI76" s="241">
        <f t="shared" si="10"/>
        <v>7</v>
      </c>
      <c r="DJ76" s="243">
        <f t="shared" si="11"/>
        <v>365</v>
      </c>
      <c r="DK76" s="258">
        <v>1</v>
      </c>
      <c r="DL76" s="261">
        <v>0</v>
      </c>
      <c r="DM76" s="1325" t="s">
        <v>2236</v>
      </c>
      <c r="DN76" s="538">
        <v>40</v>
      </c>
      <c r="DO76" s="1325">
        <f t="shared" si="12"/>
        <v>0.1</v>
      </c>
      <c r="DP76" s="261">
        <v>1</v>
      </c>
      <c r="DQ76" s="261">
        <v>0</v>
      </c>
      <c r="DR76" s="920" t="str">
        <f>IF(A76=FALSE,"",IF(Detail!CP76="","N/A",YEAR(Detail!F76)&amp;Detail!CS76&amp;Detail!CP76&amp;"-"&amp;Detail!$CP$13))</f>
        <v/>
      </c>
      <c r="DS76" s="308" t="s">
        <v>2236</v>
      </c>
      <c r="DT76" s="720" t="s">
        <v>2277</v>
      </c>
      <c r="DU76" s="244">
        <v>50000</v>
      </c>
      <c r="DV76" s="247">
        <v>2</v>
      </c>
      <c r="DW76" s="261">
        <v>0</v>
      </c>
      <c r="DX76" s="261" t="s">
        <v>2236</v>
      </c>
      <c r="DY76" s="264">
        <v>0</v>
      </c>
      <c r="DZ76" s="444">
        <v>0</v>
      </c>
      <c r="EA76" s="444">
        <v>1</v>
      </c>
      <c r="EB76" s="444">
        <v>0</v>
      </c>
      <c r="EC76" s="761" t="str">
        <f>IF(A76=FALSE,"",IF(Detail!CX76="","N/A",YEAR(Detail!F76)&amp;Detail!DA76&amp;Detail!CX76&amp;"-"&amp;Detail!$CX$13))</f>
        <v/>
      </c>
      <c r="ED76" s="445" t="s">
        <v>2236</v>
      </c>
      <c r="EE76" s="720" t="s">
        <v>2277</v>
      </c>
      <c r="EF76" s="244">
        <v>50000</v>
      </c>
      <c r="EG76" s="247">
        <v>2</v>
      </c>
      <c r="EH76" s="261">
        <v>0</v>
      </c>
      <c r="EI76" s="261" t="s">
        <v>2236</v>
      </c>
      <c r="EJ76" s="264">
        <v>0</v>
      </c>
      <c r="EK76" s="444">
        <v>0</v>
      </c>
      <c r="EL76" s="444">
        <v>1</v>
      </c>
      <c r="EM76" s="444">
        <v>0</v>
      </c>
      <c r="EN76" s="333" t="str">
        <f>IF(A76=FALSE,"",IF(Detail!DF76="","N/A",YEAR(Detail!F76)&amp;Detail!DI76&amp;Detail!DF76&amp;"-"&amp;Detail!$DF$13))</f>
        <v/>
      </c>
      <c r="EO76" s="1012" t="s">
        <v>2236</v>
      </c>
      <c r="EP76" s="1012" t="s">
        <v>2277</v>
      </c>
      <c r="EQ76" s="1013">
        <f t="shared" si="13"/>
        <v>0</v>
      </c>
      <c r="ER76" s="1013" t="s">
        <v>2236</v>
      </c>
      <c r="ES76" s="264">
        <v>0</v>
      </c>
      <c r="ET76" s="1013">
        <v>0</v>
      </c>
      <c r="EU76" s="1013">
        <v>1</v>
      </c>
      <c r="EV76" s="1013">
        <v>0</v>
      </c>
      <c r="EW76" s="333" t="str">
        <f>IF(DJ76=FALSE,"",IF(Detail!ET76="","N/A",YEAR(Detail!DN76)&amp;Detail!EW76&amp;Detail!ET76&amp;"-"&amp;Detail!$AL$13&amp;Detail!EU76))</f>
        <v>N/A</v>
      </c>
      <c r="EX76" s="1012" t="s">
        <v>2236</v>
      </c>
      <c r="EY76" s="1012" t="s">
        <v>2277</v>
      </c>
      <c r="EZ76" s="1013">
        <f t="shared" si="14"/>
        <v>0</v>
      </c>
      <c r="FA76" s="1013" t="s">
        <v>2236</v>
      </c>
      <c r="FB76" s="264">
        <v>0</v>
      </c>
      <c r="FC76" s="1013">
        <v>0</v>
      </c>
      <c r="FD76" s="1013">
        <v>1</v>
      </c>
      <c r="FE76" s="1013">
        <v>0</v>
      </c>
    </row>
    <row r="77" spans="1:161" s="422" customFormat="1" ht="30" customHeight="1" outlineLevel="1">
      <c r="A77" s="439" t="b">
        <f>Calcul!A77</f>
        <v>0</v>
      </c>
      <c r="B77" s="510" t="str">
        <f t="shared" si="15"/>
        <v/>
      </c>
      <c r="C77" s="1404" t="b">
        <v>0</v>
      </c>
      <c r="D77" s="1404" t="s">
        <v>2147</v>
      </c>
      <c r="E77" s="1405" t="s">
        <v>2335</v>
      </c>
      <c r="F77" s="243" t="s">
        <v>2146</v>
      </c>
      <c r="G77" s="356" t="str">
        <f>IF(A77=FALSE,"",IF(NAMES!$D$10=FALSE,IF(Detail!H77="","",Detail!H77),IF(Crewlist!D77="","",Crewlist!D77)))</f>
        <v/>
      </c>
      <c r="H77" s="356" t="str">
        <f>IF(A77=FALSE,"",IF(NAMES!$D$10=FALSE,IF(Detail!P77="","",Detail!P77),IF(Crewlist!E77="","",Crewlist!E77)))</f>
        <v/>
      </c>
      <c r="I77" s="356" t="str">
        <f>IF(A77=FALSE,"",IF(NAMES!$D$10=FALSE,IF(Detail!K77="","",Detail!K77),IF(Crewlist!F77="","",Crewlist!F77)))</f>
        <v/>
      </c>
      <c r="J77" s="1001" t="str">
        <f>IF(Crewlist!T77="","",Crewlist!T77)</f>
        <v/>
      </c>
      <c r="K77" s="1001" t="str">
        <f>IF(Crewlist!D77="","",IF(Crewlist!U77="",Crewlist!Y77,IF(DATERENOUVMOINS730&lt;&gt;Crewlist!U77&lt;&gt;Crewlist!Y77,Crewlist!U77,DATERENOUVMOINS365)))</f>
        <v/>
      </c>
      <c r="L77" s="775" t="str">
        <f>IF(Detail!X77="","",Detail!X77)</f>
        <v/>
      </c>
      <c r="M77" s="775" t="str">
        <f>IF(Detail!H77="","",IF(Detail!Y77="",DATERENOUV,IF(Detail!Y77&gt;Detail!D77,Detail!D77,Detail!Y77)))</f>
        <v/>
      </c>
      <c r="N77" s="1015" t="str">
        <f>IF(A77=FALSE,"",IF(NAMES!$D$10=FALSE,IF(B77=B78,IF(O77=O78,0,(DATEDIF(L77,M77,"M")+1)),(DATEDIF(L77,M77,"M")+1)),IF(B77=B78,IF(O77=O78,0,(DATEDIF(J77,K77,"M")+1)),(DATEDIF(J77,K77,"M")+1))))</f>
        <v/>
      </c>
      <c r="O77" s="357" t="str">
        <f t="shared" si="5"/>
        <v/>
      </c>
      <c r="P77" s="358" t="str">
        <f>IF(A77=FALSE,"",IF(NAMES!$D$10=FALSE,IF((DATEDIF(L77,M77,"D")+1)&lt;365,(DATEDIF(L77,M77,"D")+1),365),IF((DATEDIF(J77,K77,"D")+1)&lt;365,(DATEDIF(J77,K77,"D")+1),365)))</f>
        <v/>
      </c>
      <c r="Q77" s="358" t="str">
        <f>IF(A77=FALSE,"",IF(NAMES!$D$10=FALSE,IF(M77="",365,DATEDIF(L77,M77,"D")+1),IF(M77="",365,DATEDIF(J77,K77,"D")+1)))</f>
        <v/>
      </c>
      <c r="R77" s="950" t="str">
        <f>Calcul!X77</f>
        <v/>
      </c>
      <c r="S77" s="950" t="str">
        <f>Calcul!Y77</f>
        <v/>
      </c>
      <c r="T77" s="993" t="str">
        <f>Calcul!AG77</f>
        <v/>
      </c>
      <c r="U77" s="368" t="str">
        <f>IF(A77=FALSE,"",IF(NAMES!$D$10=FALSE,IF(Detail!S77="","",Detail!S77),IF(Crewlist!V77="","",Crewlist!V77)))</f>
        <v/>
      </c>
      <c r="V77" s="245" t="str">
        <f>Calcul!AI77</f>
        <v/>
      </c>
      <c r="W77" s="245" t="str">
        <f>Calcul!AL77</f>
        <v/>
      </c>
      <c r="X77" s="245" t="str">
        <f>Calcul!AM77</f>
        <v/>
      </c>
      <c r="Y77" s="353" t="str">
        <f>Calcul!AN77</f>
        <v/>
      </c>
      <c r="Z77" s="245" t="str">
        <f>Calcul!AO77</f>
        <v/>
      </c>
      <c r="AA77" s="245" t="str">
        <f>Calcul!AP77</f>
        <v/>
      </c>
      <c r="AB77" s="353" t="str">
        <f>Calcul!AQ77</f>
        <v/>
      </c>
      <c r="AC77" s="353" t="str">
        <f>IF(C77=FALSE,"",Calcul!BE77+Calcul!BF77)</f>
        <v/>
      </c>
      <c r="AD77" s="353" t="str">
        <f>IF(C77=FALSE,"",(Calcul!BG77+Calcul!BH77)+SUM(Calcul!BI77:BN77))</f>
        <v/>
      </c>
      <c r="AE77" s="353" t="str">
        <f>Calcul!BP77</f>
        <v/>
      </c>
      <c r="AF77" s="332" t="str">
        <f>IF(A77=FALSE,"",YEAR(Detail!F77)&amp;Detail!AG77&amp;Detail!AD77&amp;"-"&amp;Detail!$AD$13&amp;Detail!AE77)</f>
        <v/>
      </c>
      <c r="AG77" s="1406" t="s">
        <v>2236</v>
      </c>
      <c r="AH77" s="701" t="s">
        <v>2277</v>
      </c>
      <c r="AI77" s="1407">
        <v>0</v>
      </c>
      <c r="AJ77" s="1407" t="s">
        <v>2236</v>
      </c>
      <c r="AK77" s="1410">
        <v>32</v>
      </c>
      <c r="AL77" s="508">
        <v>0</v>
      </c>
      <c r="AM77" s="261">
        <v>1</v>
      </c>
      <c r="AN77" s="261">
        <v>0</v>
      </c>
      <c r="AO77" s="333" t="str">
        <f>IF(A77=FALSE,"",IF(Detail!AL77="","N/A",YEAR(Detail!F77)&amp;Detail!AO77&amp;Detail!AL77&amp;"-"&amp;Detail!$AL$13&amp;Detail!AM77))</f>
        <v/>
      </c>
      <c r="AP77" s="1406" t="s">
        <v>2236</v>
      </c>
      <c r="AQ77" s="701" t="s">
        <v>2277</v>
      </c>
      <c r="AR77" s="1407">
        <f t="shared" si="7"/>
        <v>0</v>
      </c>
      <c r="AS77" s="261" t="s">
        <v>2236</v>
      </c>
      <c r="AT77" s="264">
        <v>0</v>
      </c>
      <c r="AU77" s="261">
        <v>0</v>
      </c>
      <c r="AV77" s="261">
        <v>1</v>
      </c>
      <c r="AW77" s="261">
        <v>0</v>
      </c>
      <c r="AX77" s="920" t="str">
        <f>IF(A77=FALSE,"",IF(Detail!AT77="","N/A",YEAR(Detail!F77)&amp;Detail!AW77&amp;Detail!AT77&amp;"-"&amp;Detail!$AT$13))</f>
        <v/>
      </c>
      <c r="AY77" s="1408" t="s">
        <v>2236</v>
      </c>
      <c r="AZ77" s="308" t="s">
        <v>2278</v>
      </c>
      <c r="BA77" s="440" t="str">
        <f>IF(A77=FALSE,"",51000+(Detail!AA77*7000))</f>
        <v/>
      </c>
      <c r="BB77" s="1412">
        <v>50000</v>
      </c>
      <c r="BC77" s="247">
        <v>3</v>
      </c>
      <c r="BD77" s="261">
        <v>0</v>
      </c>
      <c r="BE77" s="261" t="s">
        <v>2236</v>
      </c>
      <c r="BF77" s="264">
        <v>0</v>
      </c>
      <c r="BG77" s="508">
        <v>0</v>
      </c>
      <c r="BH77" s="261">
        <v>1</v>
      </c>
      <c r="BI77" s="261">
        <v>0</v>
      </c>
      <c r="BJ77" s="311" t="str">
        <f>IF(A77=FALSE,"",IF(Detail!BB77="","N/A",YEAR(Detail!F77)&amp;Detail!BE77&amp;Detail!BB77&amp;"-"&amp;Detail!$BB$13))</f>
        <v/>
      </c>
      <c r="BK77" s="1354" t="s">
        <v>2236</v>
      </c>
      <c r="BL77" s="527" t="s">
        <v>2278</v>
      </c>
      <c r="BM77" s="440" t="str">
        <f>IF(A77=FALSE,"",51000+(Detail!AA77*7000))</f>
        <v/>
      </c>
      <c r="BN77" s="1412">
        <v>50000</v>
      </c>
      <c r="BO77" s="247">
        <v>3</v>
      </c>
      <c r="BP77" s="261">
        <v>0</v>
      </c>
      <c r="BQ77" s="261" t="s">
        <v>2236</v>
      </c>
      <c r="BR77" s="264">
        <v>0</v>
      </c>
      <c r="BS77" s="508">
        <v>0</v>
      </c>
      <c r="BT77" s="261">
        <v>1</v>
      </c>
      <c r="BU77" s="261">
        <v>0</v>
      </c>
      <c r="BV77" s="311" t="str">
        <f>IF(A77=FALSE,"",IF(Detail!BJ77="","N/A",YEAR(Detail!F77)&amp;Detail!BM77&amp;Detail!BJ77&amp;"-"&amp;Detail!$BJ$13))</f>
        <v/>
      </c>
      <c r="BW77" s="1409" t="s">
        <v>2236</v>
      </c>
      <c r="BX77" s="527" t="s">
        <v>2278</v>
      </c>
      <c r="BY77" s="440" t="str">
        <f t="shared" si="8"/>
        <v/>
      </c>
      <c r="BZ77" s="1412">
        <v>50000</v>
      </c>
      <c r="CA77" s="247">
        <v>3</v>
      </c>
      <c r="CB77" s="261">
        <v>0</v>
      </c>
      <c r="CC77" s="261" t="s">
        <v>2236</v>
      </c>
      <c r="CD77" s="264">
        <v>0</v>
      </c>
      <c r="CE77" s="508">
        <v>0</v>
      </c>
      <c r="CF77" s="261">
        <v>1</v>
      </c>
      <c r="CG77" s="261">
        <v>0</v>
      </c>
      <c r="CH77" s="311" t="str">
        <f>IF(A77=FALSE,"",IF(Detail!BR77="","N/A",YEAR(Detail!F77)&amp;Detail!BU77&amp;Detail!BR77&amp;"-"&amp;Detail!$BR$13))</f>
        <v/>
      </c>
      <c r="CI77" s="1327" t="s">
        <v>2236</v>
      </c>
      <c r="CJ77" s="527" t="s">
        <v>2278</v>
      </c>
      <c r="CK77" s="440" t="str">
        <f t="shared" si="9"/>
        <v/>
      </c>
      <c r="CL77" s="1412">
        <v>50000</v>
      </c>
      <c r="CM77" s="247">
        <v>3</v>
      </c>
      <c r="CN77" s="261">
        <v>0</v>
      </c>
      <c r="CO77" s="261" t="s">
        <v>2236</v>
      </c>
      <c r="CP77" s="264">
        <v>0</v>
      </c>
      <c r="CQ77" s="508">
        <v>0</v>
      </c>
      <c r="CR77" s="261">
        <v>1</v>
      </c>
      <c r="CS77" s="261">
        <v>0</v>
      </c>
      <c r="CT77" s="311" t="str">
        <f>IF(A77=FALSE,"",IF(Detail!BZ77="","N/A",YEAR(Detail!F77)&amp;Detail!CC77&amp;Detail!BZ77&amp;"-"&amp;Detail!$BZ$13&amp;" (100%/"&amp;Detail!CD77&amp;"/"&amp;Detail!CE77&amp;"D)"))</f>
        <v/>
      </c>
      <c r="CU77" s="1327" t="s">
        <v>2236</v>
      </c>
      <c r="CV77" s="527" t="s">
        <v>2278</v>
      </c>
      <c r="CW77" s="241">
        <v>7</v>
      </c>
      <c r="CX77" s="1323">
        <v>365</v>
      </c>
      <c r="CY77" s="248">
        <v>1</v>
      </c>
      <c r="CZ77" s="261">
        <v>0</v>
      </c>
      <c r="DA77" s="1325" t="s">
        <v>2236</v>
      </c>
      <c r="DB77" s="538">
        <v>40</v>
      </c>
      <c r="DC77" s="1325">
        <v>0.1</v>
      </c>
      <c r="DD77" s="261">
        <v>1</v>
      </c>
      <c r="DE77" s="261">
        <v>0</v>
      </c>
      <c r="DF77" s="313" t="str">
        <f>IF(A77=FALSE,"",IF(Detail!CH77="","N/A",YEAR(Detail!F77)&amp;Detail!CK77&amp;Detail!CH77&amp;"-"&amp;Detail!$CH$13&amp;" (100%/"&amp;Detail!CL77&amp;"/"&amp;Detail!CM77&amp;"D)"))</f>
        <v/>
      </c>
      <c r="DG77" s="1354" t="s">
        <v>2236</v>
      </c>
      <c r="DH77" s="518" t="s">
        <v>2278</v>
      </c>
      <c r="DI77" s="241">
        <f t="shared" si="10"/>
        <v>7</v>
      </c>
      <c r="DJ77" s="243">
        <f t="shared" si="11"/>
        <v>365</v>
      </c>
      <c r="DK77" s="258">
        <v>1</v>
      </c>
      <c r="DL77" s="261">
        <v>0</v>
      </c>
      <c r="DM77" s="1325" t="s">
        <v>2236</v>
      </c>
      <c r="DN77" s="538">
        <v>40</v>
      </c>
      <c r="DO77" s="1325">
        <f t="shared" si="12"/>
        <v>0.1</v>
      </c>
      <c r="DP77" s="261">
        <v>1</v>
      </c>
      <c r="DQ77" s="261">
        <v>0</v>
      </c>
      <c r="DR77" s="920" t="str">
        <f>IF(A77=FALSE,"",IF(Detail!CP77="","N/A",YEAR(Detail!F77)&amp;Detail!CS77&amp;Detail!CP77&amp;"-"&amp;Detail!$CP$13))</f>
        <v/>
      </c>
      <c r="DS77" s="308" t="s">
        <v>2236</v>
      </c>
      <c r="DT77" s="720" t="s">
        <v>2277</v>
      </c>
      <c r="DU77" s="244">
        <v>50000</v>
      </c>
      <c r="DV77" s="247">
        <v>2</v>
      </c>
      <c r="DW77" s="261">
        <v>0</v>
      </c>
      <c r="DX77" s="261" t="s">
        <v>2236</v>
      </c>
      <c r="DY77" s="264">
        <v>0</v>
      </c>
      <c r="DZ77" s="444">
        <v>0</v>
      </c>
      <c r="EA77" s="444">
        <v>1</v>
      </c>
      <c r="EB77" s="444">
        <v>0</v>
      </c>
      <c r="EC77" s="761" t="str">
        <f>IF(A77=FALSE,"",IF(Detail!CX77="","N/A",YEAR(Detail!F77)&amp;Detail!DA77&amp;Detail!CX77&amp;"-"&amp;Detail!$CX$13))</f>
        <v/>
      </c>
      <c r="ED77" s="445" t="s">
        <v>2236</v>
      </c>
      <c r="EE77" s="720" t="s">
        <v>2277</v>
      </c>
      <c r="EF77" s="244">
        <v>50000</v>
      </c>
      <c r="EG77" s="247">
        <v>2</v>
      </c>
      <c r="EH77" s="261">
        <v>0</v>
      </c>
      <c r="EI77" s="261" t="s">
        <v>2236</v>
      </c>
      <c r="EJ77" s="264">
        <v>0</v>
      </c>
      <c r="EK77" s="444">
        <v>0</v>
      </c>
      <c r="EL77" s="444">
        <v>1</v>
      </c>
      <c r="EM77" s="444">
        <v>0</v>
      </c>
      <c r="EN77" s="333" t="str">
        <f>IF(A77=FALSE,"",IF(Detail!DF77="","N/A",YEAR(Detail!F77)&amp;Detail!DI77&amp;Detail!DF77&amp;"-"&amp;Detail!$DF$13))</f>
        <v/>
      </c>
      <c r="EO77" s="1012" t="s">
        <v>2236</v>
      </c>
      <c r="EP77" s="1012" t="s">
        <v>2277</v>
      </c>
      <c r="EQ77" s="1013">
        <f t="shared" si="13"/>
        <v>0</v>
      </c>
      <c r="ER77" s="1013" t="s">
        <v>2236</v>
      </c>
      <c r="ES77" s="264">
        <v>0</v>
      </c>
      <c r="ET77" s="1013">
        <v>0</v>
      </c>
      <c r="EU77" s="1013">
        <v>1</v>
      </c>
      <c r="EV77" s="1013">
        <v>0</v>
      </c>
      <c r="EW77" s="333" t="str">
        <f>IF(DJ77=FALSE,"",IF(Detail!ET77="","N/A",YEAR(Detail!DN77)&amp;Detail!EW77&amp;Detail!ET77&amp;"-"&amp;Detail!$AL$13&amp;Detail!EU77))</f>
        <v>N/A</v>
      </c>
      <c r="EX77" s="1012" t="s">
        <v>2236</v>
      </c>
      <c r="EY77" s="1012" t="s">
        <v>2277</v>
      </c>
      <c r="EZ77" s="1013">
        <f t="shared" si="14"/>
        <v>0</v>
      </c>
      <c r="FA77" s="1013" t="s">
        <v>2236</v>
      </c>
      <c r="FB77" s="264">
        <v>0</v>
      </c>
      <c r="FC77" s="1013">
        <v>0</v>
      </c>
      <c r="FD77" s="1013">
        <v>1</v>
      </c>
      <c r="FE77" s="1013">
        <v>0</v>
      </c>
    </row>
    <row r="78" spans="1:161" s="422" customFormat="1" ht="30" customHeight="1" outlineLevel="1">
      <c r="A78" s="439" t="b">
        <f>Calcul!A78</f>
        <v>0</v>
      </c>
      <c r="B78" s="510" t="str">
        <f t="shared" si="15"/>
        <v/>
      </c>
      <c r="C78" s="1404" t="b">
        <v>0</v>
      </c>
      <c r="D78" s="1404" t="s">
        <v>2147</v>
      </c>
      <c r="E78" s="1405" t="s">
        <v>2335</v>
      </c>
      <c r="F78" s="243" t="s">
        <v>2146</v>
      </c>
      <c r="G78" s="356" t="str">
        <f>IF(A78=FALSE,"",IF(NAMES!$D$10=FALSE,IF(Detail!H78="","",Detail!H78),IF(Crewlist!D78="","",Crewlist!D78)))</f>
        <v/>
      </c>
      <c r="H78" s="356" t="str">
        <f>IF(A78=FALSE,"",IF(NAMES!$D$10=FALSE,IF(Detail!P78="","",Detail!P78),IF(Crewlist!E78="","",Crewlist!E78)))</f>
        <v/>
      </c>
      <c r="I78" s="356" t="str">
        <f>IF(A78=FALSE,"",IF(NAMES!$D$10=FALSE,IF(Detail!K78="","",Detail!K78),IF(Crewlist!F78="","",Crewlist!F78)))</f>
        <v/>
      </c>
      <c r="J78" s="1001" t="str">
        <f>IF(Crewlist!T78="","",Crewlist!T78)</f>
        <v/>
      </c>
      <c r="K78" s="1001" t="str">
        <f>IF(Crewlist!D78="","",IF(Crewlist!U78="",Crewlist!Y78,IF(DATERENOUVMOINS730&lt;&gt;Crewlist!U78&lt;&gt;Crewlist!Y78,Crewlist!U78,DATERENOUVMOINS365)))</f>
        <v/>
      </c>
      <c r="L78" s="775" t="str">
        <f>IF(Detail!X78="","",Detail!X78)</f>
        <v/>
      </c>
      <c r="M78" s="775" t="str">
        <f>IF(Detail!H78="","",IF(Detail!Y78="",DATERENOUV,IF(Detail!Y78&gt;Detail!D78,Detail!D78,Detail!Y78)))</f>
        <v/>
      </c>
      <c r="N78" s="1015" t="str">
        <f>IF(A78=FALSE,"",IF(NAMES!$D$10=FALSE,IF(B78=B79,IF(O78=O79,0,(DATEDIF(L78,M78,"M")+1)),(DATEDIF(L78,M78,"M")+1)),IF(B78=B79,IF(O78=O79,0,(DATEDIF(J78,K78,"M")+1)),(DATEDIF(J78,K78,"M")+1))))</f>
        <v/>
      </c>
      <c r="O78" s="357" t="str">
        <f t="shared" si="5"/>
        <v/>
      </c>
      <c r="P78" s="358" t="str">
        <f>IF(A78=FALSE,"",IF(NAMES!$D$10=FALSE,IF((DATEDIF(L78,M78,"D")+1)&lt;365,(DATEDIF(L78,M78,"D")+1),365),IF((DATEDIF(J78,K78,"D")+1)&lt;365,(DATEDIF(J78,K78,"D")+1),365)))</f>
        <v/>
      </c>
      <c r="Q78" s="358" t="str">
        <f>IF(A78=FALSE,"",IF(NAMES!$D$10=FALSE,IF(M78="",365,DATEDIF(L78,M78,"D")+1),IF(M78="",365,DATEDIF(J78,K78,"D")+1)))</f>
        <v/>
      </c>
      <c r="R78" s="950" t="str">
        <f>Calcul!X78</f>
        <v/>
      </c>
      <c r="S78" s="950" t="str">
        <f>Calcul!Y78</f>
        <v/>
      </c>
      <c r="T78" s="993" t="str">
        <f>Calcul!AG78</f>
        <v/>
      </c>
      <c r="U78" s="368" t="str">
        <f>IF(A78=FALSE,"",IF(NAMES!$D$10=FALSE,IF(Detail!S78="","",Detail!S78),IF(Crewlist!V78="","",Crewlist!V78)))</f>
        <v/>
      </c>
      <c r="V78" s="245" t="str">
        <f>Calcul!AI78</f>
        <v/>
      </c>
      <c r="W78" s="245" t="str">
        <f>Calcul!AL78</f>
        <v/>
      </c>
      <c r="X78" s="245" t="str">
        <f>Calcul!AM78</f>
        <v/>
      </c>
      <c r="Y78" s="353" t="str">
        <f>Calcul!AN78</f>
        <v/>
      </c>
      <c r="Z78" s="245" t="str">
        <f>Calcul!AO78</f>
        <v/>
      </c>
      <c r="AA78" s="245" t="str">
        <f>Calcul!AP78</f>
        <v/>
      </c>
      <c r="AB78" s="353" t="str">
        <f>Calcul!AQ78</f>
        <v/>
      </c>
      <c r="AC78" s="353" t="str">
        <f>IF(C78=FALSE,"",Calcul!BE78+Calcul!BF78)</f>
        <v/>
      </c>
      <c r="AD78" s="353" t="str">
        <f>IF(C78=FALSE,"",(Calcul!BG78+Calcul!BH78)+SUM(Calcul!BI78:BN78))</f>
        <v/>
      </c>
      <c r="AE78" s="353" t="str">
        <f>Calcul!BP78</f>
        <v/>
      </c>
      <c r="AF78" s="332" t="str">
        <f>IF(A78=FALSE,"",YEAR(Detail!F78)&amp;Detail!AG78&amp;Detail!AD78&amp;"-"&amp;Detail!$AD$13&amp;Detail!AE78)</f>
        <v/>
      </c>
      <c r="AG78" s="1406" t="s">
        <v>2236</v>
      </c>
      <c r="AH78" s="701" t="s">
        <v>2277</v>
      </c>
      <c r="AI78" s="917">
        <v>0</v>
      </c>
      <c r="AJ78" s="1407" t="s">
        <v>2236</v>
      </c>
      <c r="AK78" s="1410">
        <v>32</v>
      </c>
      <c r="AL78" s="508">
        <v>0</v>
      </c>
      <c r="AM78" s="261">
        <v>1</v>
      </c>
      <c r="AN78" s="261">
        <v>0</v>
      </c>
      <c r="AO78" s="333" t="str">
        <f>IF(A78=FALSE,"",IF(Detail!AL78="","N/A",YEAR(Detail!F78)&amp;Detail!AO78&amp;Detail!AL78&amp;"-"&amp;Detail!$AL$13&amp;Detail!AM78))</f>
        <v/>
      </c>
      <c r="AP78" s="1406" t="s">
        <v>2236</v>
      </c>
      <c r="AQ78" s="701" t="s">
        <v>2277</v>
      </c>
      <c r="AR78" s="1013">
        <f t="shared" si="7"/>
        <v>0</v>
      </c>
      <c r="AS78" s="261" t="s">
        <v>2236</v>
      </c>
      <c r="AT78" s="264">
        <v>0</v>
      </c>
      <c r="AU78" s="261">
        <v>0</v>
      </c>
      <c r="AV78" s="261">
        <v>1</v>
      </c>
      <c r="AW78" s="261">
        <v>0</v>
      </c>
      <c r="AX78" s="920" t="str">
        <f>IF(A78=FALSE,"",IF(Detail!AT78="","N/A",YEAR(Detail!F78)&amp;Detail!AW78&amp;Detail!AT78&amp;"-"&amp;Detail!$AT$13))</f>
        <v/>
      </c>
      <c r="AY78" s="1014" t="s">
        <v>2236</v>
      </c>
      <c r="AZ78" s="308" t="s">
        <v>2278</v>
      </c>
      <c r="BA78" s="440" t="str">
        <f>IF(A78=FALSE,"",51000+(Detail!AA78*7000))</f>
        <v/>
      </c>
      <c r="BB78" s="1412">
        <v>50000</v>
      </c>
      <c r="BC78" s="247">
        <v>3</v>
      </c>
      <c r="BD78" s="261">
        <v>0</v>
      </c>
      <c r="BE78" s="261" t="s">
        <v>2236</v>
      </c>
      <c r="BF78" s="264">
        <v>0</v>
      </c>
      <c r="BG78" s="508">
        <v>0</v>
      </c>
      <c r="BH78" s="261">
        <v>1</v>
      </c>
      <c r="BI78" s="261">
        <v>0</v>
      </c>
      <c r="BJ78" s="311" t="str">
        <f>IF(A78=FALSE,"",IF(Detail!BB78="","N/A",YEAR(Detail!F78)&amp;Detail!BE78&amp;Detail!BB78&amp;"-"&amp;Detail!$BB$13))</f>
        <v/>
      </c>
      <c r="BK78" s="1354" t="s">
        <v>2236</v>
      </c>
      <c r="BL78" s="527" t="s">
        <v>2278</v>
      </c>
      <c r="BM78" s="440" t="str">
        <f>IF(A78=FALSE,"",51000+(Detail!AA78*7000))</f>
        <v/>
      </c>
      <c r="BN78" s="1412">
        <v>50000</v>
      </c>
      <c r="BO78" s="247">
        <v>3</v>
      </c>
      <c r="BP78" s="261">
        <v>0</v>
      </c>
      <c r="BQ78" s="261" t="s">
        <v>2236</v>
      </c>
      <c r="BR78" s="264">
        <v>0</v>
      </c>
      <c r="BS78" s="508">
        <v>0</v>
      </c>
      <c r="BT78" s="261">
        <v>1</v>
      </c>
      <c r="BU78" s="261">
        <v>0</v>
      </c>
      <c r="BV78" s="311" t="str">
        <f>IF(A78=FALSE,"",IF(Detail!BJ78="","N/A",YEAR(Detail!F78)&amp;Detail!BM78&amp;Detail!BJ78&amp;"-"&amp;Detail!$BJ$13))</f>
        <v/>
      </c>
      <c r="BW78" s="1409" t="s">
        <v>2236</v>
      </c>
      <c r="BX78" s="527" t="s">
        <v>2278</v>
      </c>
      <c r="BY78" s="440" t="str">
        <f t="shared" si="8"/>
        <v/>
      </c>
      <c r="BZ78" s="1412">
        <v>50000</v>
      </c>
      <c r="CA78" s="247">
        <v>3</v>
      </c>
      <c r="CB78" s="261">
        <v>0</v>
      </c>
      <c r="CC78" s="261" t="s">
        <v>2236</v>
      </c>
      <c r="CD78" s="264">
        <v>0</v>
      </c>
      <c r="CE78" s="508">
        <v>0</v>
      </c>
      <c r="CF78" s="261">
        <v>1</v>
      </c>
      <c r="CG78" s="261">
        <v>0</v>
      </c>
      <c r="CH78" s="311" t="str">
        <f>IF(A78=FALSE,"",IF(Detail!BR78="","N/A",YEAR(Detail!F78)&amp;Detail!BU78&amp;Detail!BR78&amp;"-"&amp;Detail!$BR$13))</f>
        <v/>
      </c>
      <c r="CI78" s="1327" t="s">
        <v>2236</v>
      </c>
      <c r="CJ78" s="527" t="s">
        <v>2278</v>
      </c>
      <c r="CK78" s="440" t="str">
        <f t="shared" si="9"/>
        <v/>
      </c>
      <c r="CL78" s="1412">
        <v>50000</v>
      </c>
      <c r="CM78" s="247">
        <v>3</v>
      </c>
      <c r="CN78" s="261">
        <v>0</v>
      </c>
      <c r="CO78" s="261" t="s">
        <v>2236</v>
      </c>
      <c r="CP78" s="264">
        <v>0</v>
      </c>
      <c r="CQ78" s="508">
        <v>0</v>
      </c>
      <c r="CR78" s="261">
        <v>1</v>
      </c>
      <c r="CS78" s="261">
        <v>0</v>
      </c>
      <c r="CT78" s="311" t="str">
        <f>IF(A78=FALSE,"",IF(Detail!BZ78="","N/A",YEAR(Detail!F78)&amp;Detail!CC78&amp;Detail!BZ78&amp;"-"&amp;Detail!$BZ$13&amp;" (100%/"&amp;Detail!CD78&amp;"/"&amp;Detail!CE78&amp;"D)"))</f>
        <v/>
      </c>
      <c r="CU78" s="1327" t="s">
        <v>2236</v>
      </c>
      <c r="CV78" s="527" t="s">
        <v>2278</v>
      </c>
      <c r="CW78" s="241">
        <v>7</v>
      </c>
      <c r="CX78" s="1323">
        <v>365</v>
      </c>
      <c r="CY78" s="248">
        <v>1</v>
      </c>
      <c r="CZ78" s="261">
        <v>0</v>
      </c>
      <c r="DA78" s="1325" t="s">
        <v>2236</v>
      </c>
      <c r="DB78" s="538">
        <v>40</v>
      </c>
      <c r="DC78" s="1325">
        <v>0.1</v>
      </c>
      <c r="DD78" s="261">
        <v>1</v>
      </c>
      <c r="DE78" s="261">
        <v>0</v>
      </c>
      <c r="DF78" s="313" t="str">
        <f>IF(A78=FALSE,"",IF(Detail!CH78="","N/A",YEAR(Detail!F78)&amp;Detail!CK78&amp;Detail!CH78&amp;"-"&amp;Detail!$CH$13&amp;" (100%/"&amp;Detail!CL78&amp;"/"&amp;Detail!CM78&amp;"D)"))</f>
        <v/>
      </c>
      <c r="DG78" s="1354" t="s">
        <v>2236</v>
      </c>
      <c r="DH78" s="518" t="s">
        <v>2278</v>
      </c>
      <c r="DI78" s="241">
        <f t="shared" si="10"/>
        <v>7</v>
      </c>
      <c r="DJ78" s="243">
        <f t="shared" si="11"/>
        <v>365</v>
      </c>
      <c r="DK78" s="258">
        <v>1</v>
      </c>
      <c r="DL78" s="261">
        <v>0</v>
      </c>
      <c r="DM78" s="1325" t="s">
        <v>2236</v>
      </c>
      <c r="DN78" s="538">
        <v>96</v>
      </c>
      <c r="DO78" s="1325">
        <f t="shared" si="12"/>
        <v>0.1</v>
      </c>
      <c r="DP78" s="261">
        <v>1</v>
      </c>
      <c r="DQ78" s="261">
        <v>0</v>
      </c>
      <c r="DR78" s="920" t="str">
        <f>IF(A78=FALSE,"",IF(Detail!CP78="","N/A",YEAR(Detail!F78)&amp;Detail!CS78&amp;Detail!CP78&amp;"-"&amp;Detail!$CP$13))</f>
        <v/>
      </c>
      <c r="DS78" s="308" t="s">
        <v>2236</v>
      </c>
      <c r="DT78" s="720" t="s">
        <v>2277</v>
      </c>
      <c r="DU78" s="244">
        <v>50000</v>
      </c>
      <c r="DV78" s="247">
        <v>2</v>
      </c>
      <c r="DW78" s="261">
        <v>0</v>
      </c>
      <c r="DX78" s="261" t="s">
        <v>2236</v>
      </c>
      <c r="DY78" s="264">
        <v>0</v>
      </c>
      <c r="DZ78" s="444">
        <v>0</v>
      </c>
      <c r="EA78" s="444">
        <v>1</v>
      </c>
      <c r="EB78" s="444">
        <v>0</v>
      </c>
      <c r="EC78" s="761" t="str">
        <f>IF(A78=FALSE,"",IF(Detail!CX78="","N/A",YEAR(Detail!F78)&amp;Detail!DA78&amp;Detail!CX78&amp;"-"&amp;Detail!$CX$13))</f>
        <v/>
      </c>
      <c r="ED78" s="445" t="s">
        <v>2236</v>
      </c>
      <c r="EE78" s="720" t="s">
        <v>2277</v>
      </c>
      <c r="EF78" s="244">
        <v>50000</v>
      </c>
      <c r="EG78" s="247">
        <v>2</v>
      </c>
      <c r="EH78" s="261">
        <v>0</v>
      </c>
      <c r="EI78" s="261" t="s">
        <v>2236</v>
      </c>
      <c r="EJ78" s="264">
        <v>0</v>
      </c>
      <c r="EK78" s="444">
        <v>0</v>
      </c>
      <c r="EL78" s="444">
        <v>1</v>
      </c>
      <c r="EM78" s="444">
        <v>0</v>
      </c>
      <c r="EN78" s="333" t="str">
        <f>IF(A78=FALSE,"",IF(Detail!DF78="","N/A",YEAR(Detail!F78)&amp;Detail!DI78&amp;Detail!DF78&amp;"-"&amp;Detail!$DF$13))</f>
        <v/>
      </c>
      <c r="EO78" s="1012" t="s">
        <v>2236</v>
      </c>
      <c r="EP78" s="1012" t="s">
        <v>2277</v>
      </c>
      <c r="EQ78" s="1013">
        <f t="shared" si="13"/>
        <v>0</v>
      </c>
      <c r="ER78" s="1013" t="s">
        <v>2236</v>
      </c>
      <c r="ES78" s="264">
        <v>0</v>
      </c>
      <c r="ET78" s="1013">
        <v>0</v>
      </c>
      <c r="EU78" s="1013">
        <v>1</v>
      </c>
      <c r="EV78" s="1013">
        <v>0</v>
      </c>
      <c r="EW78" s="333" t="str">
        <f>IF(DJ78=FALSE,"",IF(Detail!ET78="","N/A",YEAR(Detail!DN78)&amp;Detail!EW78&amp;Detail!ET78&amp;"-"&amp;Detail!$AL$13&amp;Detail!EU78))</f>
        <v>N/A</v>
      </c>
      <c r="EX78" s="1012" t="s">
        <v>2236</v>
      </c>
      <c r="EY78" s="1012" t="s">
        <v>2277</v>
      </c>
      <c r="EZ78" s="1013">
        <f t="shared" si="14"/>
        <v>0</v>
      </c>
      <c r="FA78" s="1013" t="s">
        <v>2236</v>
      </c>
      <c r="FB78" s="264">
        <v>0</v>
      </c>
      <c r="FC78" s="1013">
        <v>0</v>
      </c>
      <c r="FD78" s="1013">
        <v>1</v>
      </c>
      <c r="FE78" s="1013">
        <v>0</v>
      </c>
    </row>
    <row r="79" spans="1:161" s="422" customFormat="1" ht="30" customHeight="1" outlineLevel="1">
      <c r="A79" s="439" t="b">
        <f>Calcul!A79</f>
        <v>0</v>
      </c>
      <c r="B79" s="510" t="str">
        <f t="shared" ref="B79:B110" si="16">IF(A79=FALSE,"",CONCATENATE(C79,G79,O79,L79))</f>
        <v/>
      </c>
      <c r="C79" s="1404" t="b">
        <v>0</v>
      </c>
      <c r="D79" s="1404" t="s">
        <v>2147</v>
      </c>
      <c r="E79" s="1405" t="s">
        <v>2335</v>
      </c>
      <c r="F79" s="243" t="s">
        <v>2146</v>
      </c>
      <c r="G79" s="356" t="str">
        <f>IF(A79=FALSE,"",IF(NAMES!$D$10=FALSE,IF(Detail!H79="","",Detail!H79),IF(Crewlist!D79="","",Crewlist!D79)))</f>
        <v/>
      </c>
      <c r="H79" s="356" t="str">
        <f>IF(A79=FALSE,"",IF(NAMES!$D$10=FALSE,IF(Detail!P79="","",Detail!P79),IF(Crewlist!E79="","",Crewlist!E79)))</f>
        <v/>
      </c>
      <c r="I79" s="356" t="str">
        <f>IF(A79=FALSE,"",IF(NAMES!$D$10=FALSE,IF(Detail!K79="","",Detail!K79),IF(Crewlist!F79="","",Crewlist!F79)))</f>
        <v/>
      </c>
      <c r="J79" s="1001" t="str">
        <f>IF(Crewlist!T79="","",Crewlist!T79)</f>
        <v/>
      </c>
      <c r="K79" s="1001" t="str">
        <f>IF(Crewlist!D79="","",IF(Crewlist!U79="",Crewlist!Y79,IF(DATERENOUVMOINS730&lt;&gt;Crewlist!U79&lt;&gt;Crewlist!Y79,Crewlist!U79,DATERENOUVMOINS365)))</f>
        <v/>
      </c>
      <c r="L79" s="775" t="str">
        <f>IF(Detail!X79="","",Detail!X79)</f>
        <v/>
      </c>
      <c r="M79" s="775" t="str">
        <f>IF(Detail!H79="","",IF(Detail!Y79="",DATERENOUV,IF(Detail!Y79&gt;Detail!D79,Detail!D79,Detail!Y79)))</f>
        <v/>
      </c>
      <c r="N79" s="1015" t="str">
        <f>IF(A79=FALSE,"",IF(NAMES!$D$10=FALSE,IF(B79=B80,IF(O79=O80,0,(DATEDIF(L79,M79,"M")+1)),(DATEDIF(L79,M79,"M")+1)),IF(B79=B80,IF(O79=O80,0,(DATEDIF(J79,K79,"M")+1)),(DATEDIF(J79,K79,"M")+1))))</f>
        <v/>
      </c>
      <c r="O79" s="357" t="str">
        <f t="shared" si="5"/>
        <v/>
      </c>
      <c r="P79" s="358" t="str">
        <f>IF(A79=FALSE,"",IF(NAMES!$D$10=FALSE,IF((DATEDIF(L79,M79,"D")+1)&lt;365,(DATEDIF(L79,M79,"D")+1),365),IF((DATEDIF(J79,K79,"D")+1)&lt;365,(DATEDIF(J79,K79,"D")+1),365)))</f>
        <v/>
      </c>
      <c r="Q79" s="358" t="str">
        <f>IF(A79=FALSE,"",IF(NAMES!$D$10=FALSE,IF(M79="",365,DATEDIF(L79,M79,"D")+1),IF(M79="",365,DATEDIF(J79,K79,"D")+1)))</f>
        <v/>
      </c>
      <c r="R79" s="950" t="str">
        <f>Calcul!X79</f>
        <v/>
      </c>
      <c r="S79" s="950" t="str">
        <f>Calcul!Y79</f>
        <v/>
      </c>
      <c r="T79" s="993" t="str">
        <f>Calcul!AG79</f>
        <v/>
      </c>
      <c r="U79" s="368" t="str">
        <f>IF(A79=FALSE,"",IF(NAMES!$D$10=FALSE,IF(Detail!S79="","",Detail!S79),IF(Crewlist!V79="","",Crewlist!V79)))</f>
        <v/>
      </c>
      <c r="V79" s="245" t="str">
        <f>Calcul!AI79</f>
        <v/>
      </c>
      <c r="W79" s="245" t="str">
        <f>Calcul!AL79</f>
        <v/>
      </c>
      <c r="X79" s="245" t="str">
        <f>Calcul!AM79</f>
        <v/>
      </c>
      <c r="Y79" s="353" t="str">
        <f>Calcul!AN79</f>
        <v/>
      </c>
      <c r="Z79" s="245" t="str">
        <f>Calcul!AO79</f>
        <v/>
      </c>
      <c r="AA79" s="245" t="str">
        <f>Calcul!AP79</f>
        <v/>
      </c>
      <c r="AB79" s="353" t="str">
        <f>Calcul!AQ79</f>
        <v/>
      </c>
      <c r="AC79" s="353" t="str">
        <f>IF(C79=FALSE,"",Calcul!BE79+Calcul!BF79)</f>
        <v/>
      </c>
      <c r="AD79" s="353" t="str">
        <f>IF(C79=FALSE,"",(Calcul!BG79+Calcul!BH79)+SUM(Calcul!BI79:BN79))</f>
        <v/>
      </c>
      <c r="AE79" s="353" t="str">
        <f>Calcul!BP79</f>
        <v/>
      </c>
      <c r="AF79" s="332" t="str">
        <f>IF(A79=FALSE,"",YEAR(Detail!F79)&amp;Detail!AG79&amp;Detail!AD79&amp;"-"&amp;Detail!$AD$13&amp;Detail!AE79)</f>
        <v/>
      </c>
      <c r="AG79" s="1406" t="s">
        <v>2236</v>
      </c>
      <c r="AH79" s="527" t="s">
        <v>2277</v>
      </c>
      <c r="AI79" s="917">
        <v>0</v>
      </c>
      <c r="AJ79" s="1407" t="s">
        <v>2236</v>
      </c>
      <c r="AK79" s="1410">
        <v>32</v>
      </c>
      <c r="AL79" s="508">
        <v>0</v>
      </c>
      <c r="AM79" s="261">
        <v>1</v>
      </c>
      <c r="AN79" s="261">
        <v>0</v>
      </c>
      <c r="AO79" s="333" t="str">
        <f>IF(A79=FALSE,"",IF(Detail!AL79="","N/A",YEAR(Detail!F79)&amp;Detail!AO79&amp;Detail!AL79&amp;"-"&amp;Detail!$AL$13&amp;Detail!AM79))</f>
        <v/>
      </c>
      <c r="AP79" s="1406" t="s">
        <v>2236</v>
      </c>
      <c r="AQ79" s="701" t="s">
        <v>2277</v>
      </c>
      <c r="AR79" s="1013">
        <f t="shared" si="7"/>
        <v>0</v>
      </c>
      <c r="AS79" s="261" t="s">
        <v>2236</v>
      </c>
      <c r="AT79" s="264">
        <v>0</v>
      </c>
      <c r="AU79" s="261">
        <v>0</v>
      </c>
      <c r="AV79" s="261">
        <v>1</v>
      </c>
      <c r="AW79" s="261">
        <v>0</v>
      </c>
      <c r="AX79" s="920" t="str">
        <f>IF(A79=FALSE,"",IF(Detail!AT79="","N/A",YEAR(Detail!F79)&amp;Detail!AW79&amp;Detail!AT79&amp;"-"&amp;Detail!$AT$13))</f>
        <v/>
      </c>
      <c r="AY79" s="1014" t="s">
        <v>2236</v>
      </c>
      <c r="AZ79" s="308" t="s">
        <v>2278</v>
      </c>
      <c r="BA79" s="440" t="str">
        <f>IF(A79=FALSE,"",51000+(Detail!AA79*7000))</f>
        <v/>
      </c>
      <c r="BB79" s="1412">
        <v>50000</v>
      </c>
      <c r="BC79" s="247">
        <v>3</v>
      </c>
      <c r="BD79" s="261">
        <v>0</v>
      </c>
      <c r="BE79" s="261" t="s">
        <v>2236</v>
      </c>
      <c r="BF79" s="264">
        <v>0</v>
      </c>
      <c r="BG79" s="508">
        <v>0</v>
      </c>
      <c r="BH79" s="261">
        <v>1</v>
      </c>
      <c r="BI79" s="261">
        <v>0</v>
      </c>
      <c r="BJ79" s="311" t="str">
        <f>IF(A79=FALSE,"",IF(Detail!BB79="","N/A",YEAR(Detail!F79)&amp;Detail!BE79&amp;Detail!BB79&amp;"-"&amp;Detail!$BB$13))</f>
        <v/>
      </c>
      <c r="BK79" s="1354" t="s">
        <v>2236</v>
      </c>
      <c r="BL79" s="527" t="s">
        <v>2278</v>
      </c>
      <c r="BM79" s="440" t="str">
        <f>IF(A79=FALSE,"",51000+(Detail!AA79*7000))</f>
        <v/>
      </c>
      <c r="BN79" s="1412">
        <v>50000</v>
      </c>
      <c r="BO79" s="247">
        <v>3</v>
      </c>
      <c r="BP79" s="261">
        <v>0</v>
      </c>
      <c r="BQ79" s="261" t="s">
        <v>2236</v>
      </c>
      <c r="BR79" s="264">
        <v>0</v>
      </c>
      <c r="BS79" s="508">
        <v>0</v>
      </c>
      <c r="BT79" s="261">
        <v>1</v>
      </c>
      <c r="BU79" s="261">
        <v>0</v>
      </c>
      <c r="BV79" s="311" t="str">
        <f>IF(A79=FALSE,"",IF(Detail!BJ79="","N/A",YEAR(Detail!F79)&amp;Detail!BM79&amp;Detail!BJ79&amp;"-"&amp;Detail!$BJ$13))</f>
        <v/>
      </c>
      <c r="BW79" s="1409" t="s">
        <v>2236</v>
      </c>
      <c r="BX79" s="527" t="s">
        <v>2278</v>
      </c>
      <c r="BY79" s="440" t="str">
        <f t="shared" si="8"/>
        <v/>
      </c>
      <c r="BZ79" s="1412">
        <v>50000</v>
      </c>
      <c r="CA79" s="247">
        <v>3</v>
      </c>
      <c r="CB79" s="261">
        <v>0</v>
      </c>
      <c r="CC79" s="261" t="s">
        <v>2236</v>
      </c>
      <c r="CD79" s="264">
        <v>0</v>
      </c>
      <c r="CE79" s="508">
        <v>0</v>
      </c>
      <c r="CF79" s="261">
        <v>1</v>
      </c>
      <c r="CG79" s="261">
        <v>0</v>
      </c>
      <c r="CH79" s="311" t="str">
        <f>IF(A79=FALSE,"",IF(Detail!BR79="","N/A",YEAR(Detail!F79)&amp;Detail!BU79&amp;Detail!BR79&amp;"-"&amp;Detail!$BR$13))</f>
        <v/>
      </c>
      <c r="CI79" s="1327" t="s">
        <v>2236</v>
      </c>
      <c r="CJ79" s="527" t="s">
        <v>2278</v>
      </c>
      <c r="CK79" s="440" t="str">
        <f t="shared" si="9"/>
        <v/>
      </c>
      <c r="CL79" s="1412">
        <v>50000</v>
      </c>
      <c r="CM79" s="247">
        <v>3</v>
      </c>
      <c r="CN79" s="261">
        <v>0</v>
      </c>
      <c r="CO79" s="261" t="s">
        <v>2236</v>
      </c>
      <c r="CP79" s="264">
        <v>0</v>
      </c>
      <c r="CQ79" s="508">
        <v>0</v>
      </c>
      <c r="CR79" s="261">
        <v>1</v>
      </c>
      <c r="CS79" s="261">
        <v>0</v>
      </c>
      <c r="CT79" s="311" t="str">
        <f>IF(A79=FALSE,"",IF(Detail!BZ79="","N/A",YEAR(Detail!F79)&amp;Detail!CC79&amp;Detail!BZ79&amp;"-"&amp;Detail!$BZ$13&amp;" (100%/"&amp;Detail!CD79&amp;"/"&amp;Detail!CE79&amp;"D)"))</f>
        <v/>
      </c>
      <c r="CU79" s="1327" t="s">
        <v>2236</v>
      </c>
      <c r="CV79" s="527" t="s">
        <v>2278</v>
      </c>
      <c r="CW79" s="241">
        <v>7</v>
      </c>
      <c r="CX79" s="1323">
        <v>365</v>
      </c>
      <c r="CY79" s="248">
        <v>1</v>
      </c>
      <c r="CZ79" s="261">
        <v>0</v>
      </c>
      <c r="DA79" s="1325" t="s">
        <v>2236</v>
      </c>
      <c r="DB79" s="538">
        <v>40</v>
      </c>
      <c r="DC79" s="1325">
        <v>0.1</v>
      </c>
      <c r="DD79" s="261">
        <v>1</v>
      </c>
      <c r="DE79" s="261">
        <v>0</v>
      </c>
      <c r="DF79" s="313" t="str">
        <f>IF(A79=FALSE,"",IF(Detail!CH79="","N/A",YEAR(Detail!F79)&amp;Detail!CK79&amp;Detail!CH79&amp;"-"&amp;Detail!$CH$13&amp;" (100%/"&amp;Detail!CL79&amp;"/"&amp;Detail!CM79&amp;"D)"))</f>
        <v/>
      </c>
      <c r="DG79" s="1354" t="s">
        <v>2236</v>
      </c>
      <c r="DH79" s="518" t="s">
        <v>2278</v>
      </c>
      <c r="DI79" s="241">
        <f t="shared" si="10"/>
        <v>7</v>
      </c>
      <c r="DJ79" s="243">
        <f t="shared" si="11"/>
        <v>365</v>
      </c>
      <c r="DK79" s="258">
        <v>1</v>
      </c>
      <c r="DL79" s="261">
        <v>0</v>
      </c>
      <c r="DM79" s="1325" t="s">
        <v>2236</v>
      </c>
      <c r="DN79" s="538">
        <v>96</v>
      </c>
      <c r="DO79" s="1325">
        <f t="shared" si="12"/>
        <v>0.1</v>
      </c>
      <c r="DP79" s="261">
        <v>1</v>
      </c>
      <c r="DQ79" s="261">
        <v>0</v>
      </c>
      <c r="DR79" s="920" t="str">
        <f>IF(A79=FALSE,"",IF(Detail!CP79="","N/A",YEAR(Detail!F79)&amp;Detail!CS79&amp;Detail!CP79&amp;"-"&amp;Detail!$CP$13))</f>
        <v/>
      </c>
      <c r="DS79" s="308" t="s">
        <v>2236</v>
      </c>
      <c r="DT79" s="720" t="s">
        <v>2277</v>
      </c>
      <c r="DU79" s="244">
        <v>50000</v>
      </c>
      <c r="DV79" s="247">
        <v>2</v>
      </c>
      <c r="DW79" s="261">
        <v>0</v>
      </c>
      <c r="DX79" s="261" t="s">
        <v>2236</v>
      </c>
      <c r="DY79" s="264">
        <v>0</v>
      </c>
      <c r="DZ79" s="444">
        <v>0</v>
      </c>
      <c r="EA79" s="444">
        <v>1</v>
      </c>
      <c r="EB79" s="444">
        <v>0</v>
      </c>
      <c r="EC79" s="761" t="str">
        <f>IF(A79=FALSE,"",IF(Detail!CX79="","N/A",YEAR(Detail!F79)&amp;Detail!DA79&amp;Detail!CX79&amp;"-"&amp;Detail!$CX$13))</f>
        <v/>
      </c>
      <c r="ED79" s="445" t="s">
        <v>2236</v>
      </c>
      <c r="EE79" s="720" t="s">
        <v>2277</v>
      </c>
      <c r="EF79" s="244">
        <v>50000</v>
      </c>
      <c r="EG79" s="247">
        <v>2</v>
      </c>
      <c r="EH79" s="261">
        <v>0</v>
      </c>
      <c r="EI79" s="261" t="s">
        <v>2236</v>
      </c>
      <c r="EJ79" s="264">
        <v>0</v>
      </c>
      <c r="EK79" s="444">
        <v>0</v>
      </c>
      <c r="EL79" s="444">
        <v>1</v>
      </c>
      <c r="EM79" s="444">
        <v>0</v>
      </c>
      <c r="EN79" s="333" t="str">
        <f>IF(A79=FALSE,"",IF(Detail!DF79="","N/A",YEAR(Detail!F79)&amp;Detail!DI79&amp;Detail!DF79&amp;"-"&amp;Detail!$DF$13))</f>
        <v/>
      </c>
      <c r="EO79" s="1012" t="s">
        <v>2236</v>
      </c>
      <c r="EP79" s="1012" t="s">
        <v>2277</v>
      </c>
      <c r="EQ79" s="1013">
        <f t="shared" si="13"/>
        <v>0</v>
      </c>
      <c r="ER79" s="1013" t="s">
        <v>2236</v>
      </c>
      <c r="ES79" s="264">
        <v>0</v>
      </c>
      <c r="ET79" s="1013">
        <v>0</v>
      </c>
      <c r="EU79" s="1013">
        <v>1</v>
      </c>
      <c r="EV79" s="1013">
        <v>0</v>
      </c>
      <c r="EW79" s="333" t="str">
        <f>IF(DJ79=FALSE,"",IF(Detail!ET79="","N/A",YEAR(Detail!DN79)&amp;Detail!EW79&amp;Detail!ET79&amp;"-"&amp;Detail!$AL$13&amp;Detail!EU79))</f>
        <v>N/A</v>
      </c>
      <c r="EX79" s="1012" t="s">
        <v>2236</v>
      </c>
      <c r="EY79" s="1012" t="s">
        <v>2277</v>
      </c>
      <c r="EZ79" s="1013">
        <f t="shared" si="14"/>
        <v>0</v>
      </c>
      <c r="FA79" s="1013" t="s">
        <v>2236</v>
      </c>
      <c r="FB79" s="264">
        <v>0</v>
      </c>
      <c r="FC79" s="1013">
        <v>0</v>
      </c>
      <c r="FD79" s="1013">
        <v>1</v>
      </c>
      <c r="FE79" s="1013">
        <v>0</v>
      </c>
    </row>
    <row r="80" spans="1:161" s="422" customFormat="1" ht="30" customHeight="1" outlineLevel="1">
      <c r="A80" s="439" t="b">
        <f>Calcul!A80</f>
        <v>0</v>
      </c>
      <c r="B80" s="510" t="str">
        <f t="shared" si="16"/>
        <v/>
      </c>
      <c r="C80" s="1404" t="b">
        <v>0</v>
      </c>
      <c r="D80" s="1404" t="s">
        <v>2147</v>
      </c>
      <c r="E80" s="1011" t="s">
        <v>2335</v>
      </c>
      <c r="F80" s="243" t="s">
        <v>2146</v>
      </c>
      <c r="G80" s="356" t="str">
        <f>IF(A80=FALSE,"",IF(NAMES!$D$10=FALSE,IF(Detail!H80="","",Detail!H80),IF(Crewlist!D80="","",Crewlist!D80)))</f>
        <v/>
      </c>
      <c r="H80" s="356" t="str">
        <f>IF(A80=FALSE,"",IF(NAMES!$D$10=FALSE,IF(Detail!P80="","",Detail!P80),IF(Crewlist!E80="","",Crewlist!E80)))</f>
        <v/>
      </c>
      <c r="I80" s="356" t="str">
        <f>IF(A80=FALSE,"",IF(NAMES!$D$10=FALSE,IF(Detail!K80="","",Detail!K80),IF(Crewlist!F80="","",Crewlist!F80)))</f>
        <v/>
      </c>
      <c r="J80" s="1001" t="str">
        <f>IF(Crewlist!T80="","",Crewlist!T80)</f>
        <v/>
      </c>
      <c r="K80" s="1001" t="str">
        <f>IF(Crewlist!D80="","",IF(Crewlist!U80="",Crewlist!Y80,IF(DATERENOUVMOINS730&lt;&gt;Crewlist!U80&lt;&gt;Crewlist!Y80,Crewlist!U80,DATERENOUVMOINS365)))</f>
        <v/>
      </c>
      <c r="L80" s="775" t="str">
        <f>IF(Detail!X80="","",Detail!X80)</f>
        <v/>
      </c>
      <c r="M80" s="775" t="str">
        <f>IF(Detail!H80="","",IF(Detail!Y80="",DATERENOUV,IF(Detail!Y80&gt;Detail!D80,Detail!D80,Detail!Y80)))</f>
        <v/>
      </c>
      <c r="N80" s="1015" t="str">
        <f>IF(A80=FALSE,"",IF(NAMES!$D$10=FALSE,IF(B80=B81,IF(O80=O81,0,(DATEDIF(L80,M80,"M")+1)),(DATEDIF(L80,M80,"M")+1)),IF(B80=B81,IF(O80=O81,0,(DATEDIF(J80,K80,"M")+1)),(DATEDIF(J80,K80,"M")+1))))</f>
        <v/>
      </c>
      <c r="O80" s="357" t="str">
        <f t="shared" ref="O80:O120" si="17">TEXT(L80,"mmmm")</f>
        <v/>
      </c>
      <c r="P80" s="358" t="str">
        <f>IF(A80=FALSE,"",IF(NAMES!$D$10=FALSE,IF((DATEDIF(L80,M80,"D")+1)&lt;365,(DATEDIF(L80,M80,"D")+1),365),IF((DATEDIF(J80,K80,"D")+1)&lt;365,(DATEDIF(J80,K80,"D")+1),365)))</f>
        <v/>
      </c>
      <c r="Q80" s="358" t="str">
        <f>IF(A80=FALSE,"",IF(NAMES!$D$10=FALSE,IF(M80="",365,DATEDIF(L80,M80,"D")+1),IF(M80="",365,DATEDIF(J80,K80,"D")+1)))</f>
        <v/>
      </c>
      <c r="R80" s="950" t="str">
        <f>Calcul!X80</f>
        <v/>
      </c>
      <c r="S80" s="950" t="str">
        <f>Calcul!Y80</f>
        <v/>
      </c>
      <c r="T80" s="993" t="str">
        <f>Calcul!AG80</f>
        <v/>
      </c>
      <c r="U80" s="368" t="str">
        <f>IF(A80=FALSE,"",IF(NAMES!$D$10=FALSE,IF(Detail!S80="","",Detail!S80),IF(Crewlist!V80="","",Crewlist!V80)))</f>
        <v/>
      </c>
      <c r="V80" s="245" t="str">
        <f>Calcul!AI80</f>
        <v/>
      </c>
      <c r="W80" s="245" t="str">
        <f>Calcul!AL80</f>
        <v/>
      </c>
      <c r="X80" s="245" t="str">
        <f>Calcul!AM80</f>
        <v/>
      </c>
      <c r="Y80" s="353" t="str">
        <f>Calcul!AN80</f>
        <v/>
      </c>
      <c r="Z80" s="245" t="str">
        <f>Calcul!AO80</f>
        <v/>
      </c>
      <c r="AA80" s="245" t="str">
        <f>Calcul!AP80</f>
        <v/>
      </c>
      <c r="AB80" s="353" t="str">
        <f>Calcul!AQ80</f>
        <v/>
      </c>
      <c r="AC80" s="353" t="str">
        <f>IF(C80=FALSE,"",Calcul!BE80+Calcul!BF80)</f>
        <v/>
      </c>
      <c r="AD80" s="353" t="str">
        <f>IF(C80=FALSE,"",(Calcul!BG80+Calcul!BH80)+SUM(Calcul!BI80:BN80))</f>
        <v/>
      </c>
      <c r="AE80" s="353" t="str">
        <f>Calcul!BP80</f>
        <v/>
      </c>
      <c r="AF80" s="332" t="str">
        <f>IF(A80=FALSE,"",YEAR(Detail!F80)&amp;Detail!AG80&amp;Detail!AD80&amp;"-"&amp;Detail!$AD$13&amp;Detail!AE80)</f>
        <v/>
      </c>
      <c r="AG80" s="1406" t="s">
        <v>2236</v>
      </c>
      <c r="AH80" s="527" t="s">
        <v>2277</v>
      </c>
      <c r="AI80" s="917">
        <v>0</v>
      </c>
      <c r="AJ80" s="1407" t="s">
        <v>2236</v>
      </c>
      <c r="AK80" s="1410">
        <v>32</v>
      </c>
      <c r="AL80" s="508">
        <v>0</v>
      </c>
      <c r="AM80" s="261">
        <v>1</v>
      </c>
      <c r="AN80" s="261">
        <v>0</v>
      </c>
      <c r="AO80" s="333" t="str">
        <f>IF(A80=FALSE,"",IF(Detail!AL80="","N/A",YEAR(Detail!F80)&amp;Detail!AO80&amp;Detail!AL80&amp;"-"&amp;Detail!$AL$13&amp;Detail!AM80))</f>
        <v/>
      </c>
      <c r="AP80" s="1406" t="s">
        <v>2236</v>
      </c>
      <c r="AQ80" s="701" t="s">
        <v>2277</v>
      </c>
      <c r="AR80" s="1013">
        <f t="shared" ref="AR80:AR120" si="18">AI80</f>
        <v>0</v>
      </c>
      <c r="AS80" s="261" t="s">
        <v>2236</v>
      </c>
      <c r="AT80" s="264">
        <v>0</v>
      </c>
      <c r="AU80" s="261">
        <v>0</v>
      </c>
      <c r="AV80" s="261">
        <v>1</v>
      </c>
      <c r="AW80" s="261">
        <v>0</v>
      </c>
      <c r="AX80" s="920" t="str">
        <f>IF(A80=FALSE,"",IF(Detail!AT80="","N/A",YEAR(Detail!F80)&amp;Detail!AW80&amp;Detail!AT80&amp;"-"&amp;Detail!$AT$13))</f>
        <v/>
      </c>
      <c r="AY80" s="1014" t="s">
        <v>2236</v>
      </c>
      <c r="AZ80" s="308" t="s">
        <v>2278</v>
      </c>
      <c r="BA80" s="440" t="str">
        <f>IF(A80=FALSE,"",51000+(Detail!AA80*7000))</f>
        <v/>
      </c>
      <c r="BB80" s="1412">
        <v>50000</v>
      </c>
      <c r="BC80" s="247">
        <v>3</v>
      </c>
      <c r="BD80" s="261">
        <v>0</v>
      </c>
      <c r="BE80" s="261" t="s">
        <v>2236</v>
      </c>
      <c r="BF80" s="264">
        <v>0</v>
      </c>
      <c r="BG80" s="508">
        <v>0</v>
      </c>
      <c r="BH80" s="261">
        <v>1</v>
      </c>
      <c r="BI80" s="261">
        <v>0</v>
      </c>
      <c r="BJ80" s="311" t="str">
        <f>IF(A80=FALSE,"",IF(Detail!BB80="","N/A",YEAR(Detail!F80)&amp;Detail!BE80&amp;Detail!BB80&amp;"-"&amp;Detail!$BB$13))</f>
        <v/>
      </c>
      <c r="BK80" s="1354" t="s">
        <v>2236</v>
      </c>
      <c r="BL80" s="527" t="s">
        <v>2278</v>
      </c>
      <c r="BM80" s="440" t="str">
        <f>IF(A80=FALSE,"",51000+(Detail!AA80*7000))</f>
        <v/>
      </c>
      <c r="BN80" s="1412">
        <v>50000</v>
      </c>
      <c r="BO80" s="247">
        <v>3</v>
      </c>
      <c r="BP80" s="261">
        <v>0</v>
      </c>
      <c r="BQ80" s="261" t="s">
        <v>2236</v>
      </c>
      <c r="BR80" s="264">
        <v>0</v>
      </c>
      <c r="BS80" s="508">
        <v>0</v>
      </c>
      <c r="BT80" s="261">
        <v>1</v>
      </c>
      <c r="BU80" s="261">
        <v>0</v>
      </c>
      <c r="BV80" s="311" t="str">
        <f>IF(A80=FALSE,"",IF(Detail!BJ80="","N/A",YEAR(Detail!F80)&amp;Detail!BM80&amp;Detail!BJ80&amp;"-"&amp;Detail!$BJ$13))</f>
        <v/>
      </c>
      <c r="BW80" s="1409" t="s">
        <v>2236</v>
      </c>
      <c r="BX80" s="527" t="s">
        <v>2278</v>
      </c>
      <c r="BY80" s="440" t="str">
        <f t="shared" ref="BY80:BY120" si="19">IF(A80=FALSE,"",60000)</f>
        <v/>
      </c>
      <c r="BZ80" s="1412">
        <v>50000</v>
      </c>
      <c r="CA80" s="247">
        <v>3</v>
      </c>
      <c r="CB80" s="261">
        <v>0</v>
      </c>
      <c r="CC80" s="261" t="s">
        <v>2236</v>
      </c>
      <c r="CD80" s="264">
        <v>0</v>
      </c>
      <c r="CE80" s="508">
        <v>0</v>
      </c>
      <c r="CF80" s="261">
        <v>1</v>
      </c>
      <c r="CG80" s="261">
        <v>0</v>
      </c>
      <c r="CH80" s="311" t="str">
        <f>IF(A80=FALSE,"",IF(Detail!BR80="","N/A",YEAR(Detail!F80)&amp;Detail!BU80&amp;Detail!BR80&amp;"-"&amp;Detail!$BR$13))</f>
        <v/>
      </c>
      <c r="CI80" s="1327" t="s">
        <v>2236</v>
      </c>
      <c r="CJ80" s="527" t="s">
        <v>2278</v>
      </c>
      <c r="CK80" s="440" t="str">
        <f t="shared" ref="CK80:CK120" si="20">IF(A80=FALSE,"",60000)</f>
        <v/>
      </c>
      <c r="CL80" s="1412">
        <v>50000</v>
      </c>
      <c r="CM80" s="247">
        <v>3</v>
      </c>
      <c r="CN80" s="261">
        <v>0</v>
      </c>
      <c r="CO80" s="261" t="s">
        <v>2236</v>
      </c>
      <c r="CP80" s="264">
        <v>0</v>
      </c>
      <c r="CQ80" s="508">
        <v>0</v>
      </c>
      <c r="CR80" s="261">
        <v>1</v>
      </c>
      <c r="CS80" s="261">
        <v>0</v>
      </c>
      <c r="CT80" s="311" t="str">
        <f>IF(A80=FALSE,"",IF(Detail!BZ80="","N/A",YEAR(Detail!F80)&amp;Detail!CC80&amp;Detail!BZ80&amp;"-"&amp;Detail!$BZ$13&amp;" (100%/"&amp;Detail!CD80&amp;"/"&amp;Detail!CE80&amp;"D)"))</f>
        <v/>
      </c>
      <c r="CU80" s="1327" t="s">
        <v>2236</v>
      </c>
      <c r="CV80" s="527" t="s">
        <v>2278</v>
      </c>
      <c r="CW80" s="241">
        <v>7</v>
      </c>
      <c r="CX80" s="1323">
        <v>365</v>
      </c>
      <c r="CY80" s="248">
        <v>1</v>
      </c>
      <c r="CZ80" s="261">
        <v>0</v>
      </c>
      <c r="DA80" s="1325" t="s">
        <v>2236</v>
      </c>
      <c r="DB80" s="538">
        <v>40</v>
      </c>
      <c r="DC80" s="1325">
        <v>0.1</v>
      </c>
      <c r="DD80" s="261">
        <v>1</v>
      </c>
      <c r="DE80" s="261">
        <v>0</v>
      </c>
      <c r="DF80" s="313" t="str">
        <f>IF(A80=FALSE,"",IF(Detail!CH80="","N/A",YEAR(Detail!F80)&amp;Detail!CK80&amp;Detail!CH80&amp;"-"&amp;Detail!$CH$13&amp;" (100%/"&amp;Detail!CL80&amp;"/"&amp;Detail!CM80&amp;"D)"))</f>
        <v/>
      </c>
      <c r="DG80" s="1354" t="s">
        <v>2236</v>
      </c>
      <c r="DH80" s="518" t="s">
        <v>2278</v>
      </c>
      <c r="DI80" s="241">
        <f t="shared" ref="DI80:DI120" si="21">CW80</f>
        <v>7</v>
      </c>
      <c r="DJ80" s="243">
        <f t="shared" ref="DJ80:DJ120" si="22">CX80</f>
        <v>365</v>
      </c>
      <c r="DK80" s="258">
        <v>1</v>
      </c>
      <c r="DL80" s="261">
        <v>0</v>
      </c>
      <c r="DM80" s="1325" t="s">
        <v>2236</v>
      </c>
      <c r="DN80" s="538">
        <v>96</v>
      </c>
      <c r="DO80" s="1325">
        <f t="shared" ref="DO80:DO120" si="23">DC80</f>
        <v>0.1</v>
      </c>
      <c r="DP80" s="261">
        <v>1</v>
      </c>
      <c r="DQ80" s="261">
        <v>0</v>
      </c>
      <c r="DR80" s="920" t="str">
        <f>IF(A80=FALSE,"",IF(Detail!CP80="","N/A",YEAR(Detail!F80)&amp;Detail!CS80&amp;Detail!CP80&amp;"-"&amp;Detail!$CP$13))</f>
        <v/>
      </c>
      <c r="DS80" s="308" t="s">
        <v>2236</v>
      </c>
      <c r="DT80" s="720" t="s">
        <v>2277</v>
      </c>
      <c r="DU80" s="244">
        <v>50000</v>
      </c>
      <c r="DV80" s="247">
        <v>2</v>
      </c>
      <c r="DW80" s="261">
        <v>0</v>
      </c>
      <c r="DX80" s="261" t="s">
        <v>2236</v>
      </c>
      <c r="DY80" s="264">
        <v>0</v>
      </c>
      <c r="DZ80" s="444">
        <v>0</v>
      </c>
      <c r="EA80" s="444">
        <v>1</v>
      </c>
      <c r="EB80" s="444">
        <v>0</v>
      </c>
      <c r="EC80" s="761" t="str">
        <f>IF(A80=FALSE,"",IF(Detail!CX80="","N/A",YEAR(Detail!F80)&amp;Detail!DA80&amp;Detail!CX80&amp;"-"&amp;Detail!$CX$13))</f>
        <v/>
      </c>
      <c r="ED80" s="445" t="s">
        <v>2236</v>
      </c>
      <c r="EE80" s="720" t="s">
        <v>2277</v>
      </c>
      <c r="EF80" s="244">
        <v>50000</v>
      </c>
      <c r="EG80" s="247">
        <v>2</v>
      </c>
      <c r="EH80" s="261">
        <v>0</v>
      </c>
      <c r="EI80" s="261" t="s">
        <v>2236</v>
      </c>
      <c r="EJ80" s="264">
        <v>0</v>
      </c>
      <c r="EK80" s="444">
        <v>0</v>
      </c>
      <c r="EL80" s="444">
        <v>1</v>
      </c>
      <c r="EM80" s="444">
        <v>0</v>
      </c>
      <c r="EN80" s="333" t="str">
        <f>IF(A80=FALSE,"",IF(Detail!DF80="","N/A",YEAR(Detail!F80)&amp;Detail!DI80&amp;Detail!DF80&amp;"-"&amp;Detail!$DF$13))</f>
        <v/>
      </c>
      <c r="EO80" s="1012" t="s">
        <v>2236</v>
      </c>
      <c r="EP80" s="1012" t="s">
        <v>2277</v>
      </c>
      <c r="EQ80" s="1013">
        <f t="shared" ref="EQ80:EQ120" si="24">EH80</f>
        <v>0</v>
      </c>
      <c r="ER80" s="1013" t="s">
        <v>2236</v>
      </c>
      <c r="ES80" s="264">
        <v>0</v>
      </c>
      <c r="ET80" s="1013">
        <v>0</v>
      </c>
      <c r="EU80" s="1013">
        <v>1</v>
      </c>
      <c r="EV80" s="1013">
        <v>0</v>
      </c>
      <c r="EW80" s="333" t="str">
        <f>IF(DJ80=FALSE,"",IF(Detail!ET80="","N/A",YEAR(Detail!DN80)&amp;Detail!EW80&amp;Detail!ET80&amp;"-"&amp;Detail!$AL$13&amp;Detail!EU80))</f>
        <v>N/A</v>
      </c>
      <c r="EX80" s="1012" t="s">
        <v>2236</v>
      </c>
      <c r="EY80" s="1012" t="s">
        <v>2277</v>
      </c>
      <c r="EZ80" s="1013">
        <f t="shared" ref="EZ80:EZ120" si="25">EQ80</f>
        <v>0</v>
      </c>
      <c r="FA80" s="1013" t="s">
        <v>2236</v>
      </c>
      <c r="FB80" s="264">
        <v>0</v>
      </c>
      <c r="FC80" s="1013">
        <v>0</v>
      </c>
      <c r="FD80" s="1013">
        <v>1</v>
      </c>
      <c r="FE80" s="1013">
        <v>0</v>
      </c>
    </row>
    <row r="81" spans="1:161" s="422" customFormat="1" ht="30" customHeight="1" outlineLevel="1">
      <c r="A81" s="439" t="b">
        <f>Calcul!A81</f>
        <v>0</v>
      </c>
      <c r="B81" s="510" t="str">
        <f t="shared" si="16"/>
        <v/>
      </c>
      <c r="C81" s="1404" t="b">
        <v>0</v>
      </c>
      <c r="D81" s="1404" t="s">
        <v>2147</v>
      </c>
      <c r="E81" s="1011" t="s">
        <v>2335</v>
      </c>
      <c r="F81" s="243" t="s">
        <v>2146</v>
      </c>
      <c r="G81" s="356" t="str">
        <f>IF(A81=FALSE,"",IF(NAMES!$D$10=FALSE,IF(Detail!H81="","",Detail!H81),IF(Crewlist!D81="","",Crewlist!D81)))</f>
        <v/>
      </c>
      <c r="H81" s="356" t="str">
        <f>IF(A81=FALSE,"",IF(NAMES!$D$10=FALSE,IF(Detail!P81="","",Detail!P81),IF(Crewlist!E81="","",Crewlist!E81)))</f>
        <v/>
      </c>
      <c r="I81" s="356" t="str">
        <f>IF(A81=FALSE,"",IF(NAMES!$D$10=FALSE,IF(Detail!K81="","",Detail!K81),IF(Crewlist!F81="","",Crewlist!F81)))</f>
        <v/>
      </c>
      <c r="J81" s="1001" t="str">
        <f>IF(Crewlist!T81="","",Crewlist!T81)</f>
        <v/>
      </c>
      <c r="K81" s="1001" t="str">
        <f>IF(Crewlist!D81="","",IF(Crewlist!U81="",Crewlist!Y81,IF(DATERENOUVMOINS730&lt;&gt;Crewlist!U81&lt;&gt;Crewlist!Y81,Crewlist!U81,DATERENOUVMOINS365)))</f>
        <v/>
      </c>
      <c r="L81" s="775" t="str">
        <f>IF(Detail!X81="","",Detail!X81)</f>
        <v/>
      </c>
      <c r="M81" s="775" t="str">
        <f>IF(Detail!H81="","",IF(Detail!Y81="",DATERENOUV,IF(Detail!Y81&gt;Detail!D81,Detail!D81,Detail!Y81)))</f>
        <v/>
      </c>
      <c r="N81" s="1015" t="str">
        <f>IF(A81=FALSE,"",IF(NAMES!$D$10=FALSE,IF(B81=B82,IF(O81=O82,0,(DATEDIF(L81,M81,"M")+1)),(DATEDIF(L81,M81,"M")+1)),IF(B81=B82,IF(O81=O82,0,(DATEDIF(J81,K81,"M")+1)),(DATEDIF(J81,K81,"M")+1))))</f>
        <v/>
      </c>
      <c r="O81" s="357" t="str">
        <f t="shared" si="17"/>
        <v/>
      </c>
      <c r="P81" s="358" t="str">
        <f>IF(A81=FALSE,"",IF(NAMES!$D$10=FALSE,IF((DATEDIF(L81,M81,"D")+1)&lt;365,(DATEDIF(L81,M81,"D")+1),365),IF((DATEDIF(J81,K81,"D")+1)&lt;365,(DATEDIF(J81,K81,"D")+1),365)))</f>
        <v/>
      </c>
      <c r="Q81" s="358" t="str">
        <f>IF(A81=FALSE,"",IF(NAMES!$D$10=FALSE,IF(M81="",365,DATEDIF(L81,M81,"D")+1),IF(M81="",365,DATEDIF(J81,K81,"D")+1)))</f>
        <v/>
      </c>
      <c r="R81" s="950" t="str">
        <f>Calcul!X81</f>
        <v/>
      </c>
      <c r="S81" s="950" t="str">
        <f>Calcul!Y81</f>
        <v/>
      </c>
      <c r="T81" s="993" t="str">
        <f>Calcul!AG81</f>
        <v/>
      </c>
      <c r="U81" s="368" t="str">
        <f>IF(A81=FALSE,"",IF(NAMES!$D$10=FALSE,IF(Detail!S81="","",Detail!S81),IF(Crewlist!V81="","",Crewlist!V81)))</f>
        <v/>
      </c>
      <c r="V81" s="245" t="str">
        <f>Calcul!AI81</f>
        <v/>
      </c>
      <c r="W81" s="245" t="str">
        <f>Calcul!AL81</f>
        <v/>
      </c>
      <c r="X81" s="245" t="str">
        <f>Calcul!AM81</f>
        <v/>
      </c>
      <c r="Y81" s="353" t="str">
        <f>Calcul!AN81</f>
        <v/>
      </c>
      <c r="Z81" s="245" t="str">
        <f>Calcul!AO81</f>
        <v/>
      </c>
      <c r="AA81" s="245" t="str">
        <f>Calcul!AP81</f>
        <v/>
      </c>
      <c r="AB81" s="353" t="str">
        <f>Calcul!AQ81</f>
        <v/>
      </c>
      <c r="AC81" s="353" t="str">
        <f>IF(C81=FALSE,"",Calcul!BE81+Calcul!BF81)</f>
        <v/>
      </c>
      <c r="AD81" s="353" t="str">
        <f>IF(C81=FALSE,"",(Calcul!BG81+Calcul!BH81)+SUM(Calcul!BI81:BN81))</f>
        <v/>
      </c>
      <c r="AE81" s="353" t="str">
        <f>Calcul!BP81</f>
        <v/>
      </c>
      <c r="AF81" s="332" t="str">
        <f>IF(A81=FALSE,"",YEAR(Detail!F81)&amp;Detail!AG81&amp;Detail!AD81&amp;"-"&amp;Detail!$AD$13&amp;Detail!AE81)</f>
        <v/>
      </c>
      <c r="AG81" s="1406" t="s">
        <v>2236</v>
      </c>
      <c r="AH81" s="527" t="s">
        <v>2277</v>
      </c>
      <c r="AI81" s="917">
        <v>0</v>
      </c>
      <c r="AJ81" s="1407" t="s">
        <v>2236</v>
      </c>
      <c r="AK81" s="1410">
        <v>32</v>
      </c>
      <c r="AL81" s="508">
        <v>0</v>
      </c>
      <c r="AM81" s="261">
        <v>1</v>
      </c>
      <c r="AN81" s="261">
        <v>0</v>
      </c>
      <c r="AO81" s="333" t="str">
        <f>IF(A81=FALSE,"",IF(Detail!AL81="","N/A",YEAR(Detail!F81)&amp;Detail!AO81&amp;Detail!AL81&amp;"-"&amp;Detail!$AL$13&amp;Detail!AM81))</f>
        <v/>
      </c>
      <c r="AP81" s="1406" t="s">
        <v>2236</v>
      </c>
      <c r="AQ81" s="701" t="s">
        <v>2277</v>
      </c>
      <c r="AR81" s="1013">
        <f t="shared" si="18"/>
        <v>0</v>
      </c>
      <c r="AS81" s="261" t="s">
        <v>2236</v>
      </c>
      <c r="AT81" s="264">
        <v>0</v>
      </c>
      <c r="AU81" s="261">
        <v>0</v>
      </c>
      <c r="AV81" s="261">
        <v>1</v>
      </c>
      <c r="AW81" s="261">
        <v>0</v>
      </c>
      <c r="AX81" s="920" t="str">
        <f>IF(A81=FALSE,"",IF(Detail!AT81="","N/A",YEAR(Detail!F81)&amp;Detail!AW81&amp;Detail!AT81&amp;"-"&amp;Detail!$AT$13))</f>
        <v/>
      </c>
      <c r="AY81" s="1014" t="s">
        <v>2236</v>
      </c>
      <c r="AZ81" s="308" t="s">
        <v>2278</v>
      </c>
      <c r="BA81" s="440" t="str">
        <f>IF(A81=FALSE,"",51000+(Detail!AA81*7000))</f>
        <v/>
      </c>
      <c r="BB81" s="1412">
        <v>50000</v>
      </c>
      <c r="BC81" s="247">
        <v>3</v>
      </c>
      <c r="BD81" s="261">
        <v>0</v>
      </c>
      <c r="BE81" s="261" t="s">
        <v>2236</v>
      </c>
      <c r="BF81" s="264">
        <v>0</v>
      </c>
      <c r="BG81" s="508">
        <v>0</v>
      </c>
      <c r="BH81" s="261">
        <v>1</v>
      </c>
      <c r="BI81" s="261">
        <v>0</v>
      </c>
      <c r="BJ81" s="311" t="str">
        <f>IF(A81=FALSE,"",IF(Detail!BB81="","N/A",YEAR(Detail!F81)&amp;Detail!BE81&amp;Detail!BB81&amp;"-"&amp;Detail!$BB$13))</f>
        <v/>
      </c>
      <c r="BK81" s="1354" t="s">
        <v>2236</v>
      </c>
      <c r="BL81" s="527" t="s">
        <v>2278</v>
      </c>
      <c r="BM81" s="440" t="str">
        <f>IF(A81=FALSE,"",51000+(Detail!AA81*7000))</f>
        <v/>
      </c>
      <c r="BN81" s="1412">
        <v>50000</v>
      </c>
      <c r="BO81" s="247">
        <v>3</v>
      </c>
      <c r="BP81" s="261">
        <v>0</v>
      </c>
      <c r="BQ81" s="261" t="s">
        <v>2236</v>
      </c>
      <c r="BR81" s="264">
        <v>0</v>
      </c>
      <c r="BS81" s="508">
        <v>0</v>
      </c>
      <c r="BT81" s="261">
        <v>1</v>
      </c>
      <c r="BU81" s="261">
        <v>0</v>
      </c>
      <c r="BV81" s="311" t="str">
        <f>IF(A81=FALSE,"",IF(Detail!BJ81="","N/A",YEAR(Detail!F81)&amp;Detail!BM81&amp;Detail!BJ81&amp;"-"&amp;Detail!$BJ$13))</f>
        <v/>
      </c>
      <c r="BW81" s="1409" t="s">
        <v>2236</v>
      </c>
      <c r="BX81" s="527" t="s">
        <v>2278</v>
      </c>
      <c r="BY81" s="440" t="str">
        <f t="shared" si="19"/>
        <v/>
      </c>
      <c r="BZ81" s="1412">
        <v>50000</v>
      </c>
      <c r="CA81" s="247">
        <v>3</v>
      </c>
      <c r="CB81" s="261">
        <v>0</v>
      </c>
      <c r="CC81" s="261" t="s">
        <v>2236</v>
      </c>
      <c r="CD81" s="264">
        <v>0</v>
      </c>
      <c r="CE81" s="508">
        <v>0</v>
      </c>
      <c r="CF81" s="261">
        <v>1</v>
      </c>
      <c r="CG81" s="261">
        <v>0</v>
      </c>
      <c r="CH81" s="311" t="str">
        <f>IF(A81=FALSE,"",IF(Detail!BR81="","N/A",YEAR(Detail!F81)&amp;Detail!BU81&amp;Detail!BR81&amp;"-"&amp;Detail!$BR$13))</f>
        <v/>
      </c>
      <c r="CI81" s="1327" t="s">
        <v>2236</v>
      </c>
      <c r="CJ81" s="527" t="s">
        <v>2278</v>
      </c>
      <c r="CK81" s="440" t="str">
        <f t="shared" si="20"/>
        <v/>
      </c>
      <c r="CL81" s="1412">
        <v>50000</v>
      </c>
      <c r="CM81" s="247">
        <v>3</v>
      </c>
      <c r="CN81" s="261">
        <v>0</v>
      </c>
      <c r="CO81" s="261" t="s">
        <v>2236</v>
      </c>
      <c r="CP81" s="264">
        <v>0</v>
      </c>
      <c r="CQ81" s="508">
        <v>0</v>
      </c>
      <c r="CR81" s="261">
        <v>1</v>
      </c>
      <c r="CS81" s="261">
        <v>0</v>
      </c>
      <c r="CT81" s="311" t="str">
        <f>IF(A81=FALSE,"",IF(Detail!BZ81="","N/A",YEAR(Detail!F81)&amp;Detail!CC81&amp;Detail!BZ81&amp;"-"&amp;Detail!$BZ$13&amp;" (100%/"&amp;Detail!CD81&amp;"/"&amp;Detail!CE81&amp;"D)"))</f>
        <v/>
      </c>
      <c r="CU81" s="1327" t="s">
        <v>2236</v>
      </c>
      <c r="CV81" s="527" t="s">
        <v>2278</v>
      </c>
      <c r="CW81" s="241">
        <v>7</v>
      </c>
      <c r="CX81" s="1323">
        <v>365</v>
      </c>
      <c r="CY81" s="248">
        <v>1</v>
      </c>
      <c r="CZ81" s="261">
        <v>0</v>
      </c>
      <c r="DA81" s="1325" t="s">
        <v>2236</v>
      </c>
      <c r="DB81" s="538">
        <v>40</v>
      </c>
      <c r="DC81" s="1325">
        <v>0.1</v>
      </c>
      <c r="DD81" s="261">
        <v>1</v>
      </c>
      <c r="DE81" s="261">
        <v>0</v>
      </c>
      <c r="DF81" s="313" t="str">
        <f>IF(A81=FALSE,"",IF(Detail!CH81="","N/A",YEAR(Detail!F81)&amp;Detail!CK81&amp;Detail!CH81&amp;"-"&amp;Detail!$CH$13&amp;" (100%/"&amp;Detail!CL81&amp;"/"&amp;Detail!CM81&amp;"D)"))</f>
        <v/>
      </c>
      <c r="DG81" s="1354" t="s">
        <v>2236</v>
      </c>
      <c r="DH81" s="518" t="s">
        <v>2278</v>
      </c>
      <c r="DI81" s="241">
        <f t="shared" si="21"/>
        <v>7</v>
      </c>
      <c r="DJ81" s="243">
        <f t="shared" si="22"/>
        <v>365</v>
      </c>
      <c r="DK81" s="258">
        <v>1</v>
      </c>
      <c r="DL81" s="261">
        <v>0</v>
      </c>
      <c r="DM81" s="1325" t="s">
        <v>2236</v>
      </c>
      <c r="DN81" s="538">
        <v>96</v>
      </c>
      <c r="DO81" s="1325">
        <f t="shared" si="23"/>
        <v>0.1</v>
      </c>
      <c r="DP81" s="261">
        <v>1</v>
      </c>
      <c r="DQ81" s="261">
        <v>0</v>
      </c>
      <c r="DR81" s="920" t="str">
        <f>IF(A81=FALSE,"",IF(Detail!CP81="","N/A",YEAR(Detail!F81)&amp;Detail!CS81&amp;Detail!CP81&amp;"-"&amp;Detail!$CP$13))</f>
        <v/>
      </c>
      <c r="DS81" s="308" t="s">
        <v>2236</v>
      </c>
      <c r="DT81" s="720" t="s">
        <v>2277</v>
      </c>
      <c r="DU81" s="244">
        <v>50000</v>
      </c>
      <c r="DV81" s="247">
        <v>2</v>
      </c>
      <c r="DW81" s="261">
        <v>0</v>
      </c>
      <c r="DX81" s="261" t="s">
        <v>2236</v>
      </c>
      <c r="DY81" s="264">
        <v>0</v>
      </c>
      <c r="DZ81" s="444">
        <v>0</v>
      </c>
      <c r="EA81" s="444">
        <v>1</v>
      </c>
      <c r="EB81" s="444">
        <v>0</v>
      </c>
      <c r="EC81" s="761" t="str">
        <f>IF(A81=FALSE,"",IF(Detail!CX81="","N/A",YEAR(Detail!F81)&amp;Detail!DA81&amp;Detail!CX81&amp;"-"&amp;Detail!$CX$13))</f>
        <v/>
      </c>
      <c r="ED81" s="445" t="s">
        <v>2236</v>
      </c>
      <c r="EE81" s="720" t="s">
        <v>2277</v>
      </c>
      <c r="EF81" s="244">
        <v>50000</v>
      </c>
      <c r="EG81" s="247">
        <v>2</v>
      </c>
      <c r="EH81" s="261">
        <v>0</v>
      </c>
      <c r="EI81" s="261" t="s">
        <v>2236</v>
      </c>
      <c r="EJ81" s="264">
        <v>0</v>
      </c>
      <c r="EK81" s="444">
        <v>0</v>
      </c>
      <c r="EL81" s="444">
        <v>1</v>
      </c>
      <c r="EM81" s="444">
        <v>0</v>
      </c>
      <c r="EN81" s="333" t="str">
        <f>IF(A81=FALSE,"",IF(Detail!DF81="","N/A",YEAR(Detail!F81)&amp;Detail!DI81&amp;Detail!DF81&amp;"-"&amp;Detail!$DF$13))</f>
        <v/>
      </c>
      <c r="EO81" s="1012" t="s">
        <v>2236</v>
      </c>
      <c r="EP81" s="1012" t="s">
        <v>2277</v>
      </c>
      <c r="EQ81" s="1013">
        <f t="shared" si="24"/>
        <v>0</v>
      </c>
      <c r="ER81" s="1013" t="s">
        <v>2236</v>
      </c>
      <c r="ES81" s="264">
        <v>0</v>
      </c>
      <c r="ET81" s="1013">
        <v>0</v>
      </c>
      <c r="EU81" s="1013">
        <v>1</v>
      </c>
      <c r="EV81" s="1013">
        <v>0</v>
      </c>
      <c r="EW81" s="333" t="str">
        <f>IF(DJ81=FALSE,"",IF(Detail!ET81="","N/A",YEAR(Detail!DN81)&amp;Detail!EW81&amp;Detail!ET81&amp;"-"&amp;Detail!$AL$13&amp;Detail!EU81))</f>
        <v>N/A</v>
      </c>
      <c r="EX81" s="1012" t="s">
        <v>2236</v>
      </c>
      <c r="EY81" s="1012" t="s">
        <v>2277</v>
      </c>
      <c r="EZ81" s="1013">
        <f t="shared" si="25"/>
        <v>0</v>
      </c>
      <c r="FA81" s="1013" t="s">
        <v>2236</v>
      </c>
      <c r="FB81" s="264">
        <v>0</v>
      </c>
      <c r="FC81" s="1013">
        <v>0</v>
      </c>
      <c r="FD81" s="1013">
        <v>1</v>
      </c>
      <c r="FE81" s="1013">
        <v>0</v>
      </c>
    </row>
    <row r="82" spans="1:161" s="422" customFormat="1" ht="30" customHeight="1" outlineLevel="1">
      <c r="A82" s="439" t="b">
        <f>Calcul!A82</f>
        <v>0</v>
      </c>
      <c r="B82" s="510" t="str">
        <f t="shared" si="16"/>
        <v/>
      </c>
      <c r="C82" s="1404" t="b">
        <v>0</v>
      </c>
      <c r="D82" s="1404" t="s">
        <v>2147</v>
      </c>
      <c r="E82" s="1011" t="s">
        <v>2335</v>
      </c>
      <c r="F82" s="243" t="s">
        <v>2146</v>
      </c>
      <c r="G82" s="356" t="str">
        <f>IF(A82=FALSE,"",IF(NAMES!$D$10=FALSE,IF(Detail!H82="","",Detail!H82),IF(Crewlist!D82="","",Crewlist!D82)))</f>
        <v/>
      </c>
      <c r="H82" s="356" t="str">
        <f>IF(A82=FALSE,"",IF(NAMES!$D$10=FALSE,IF(Detail!P82="","",Detail!P82),IF(Crewlist!E82="","",Crewlist!E82)))</f>
        <v/>
      </c>
      <c r="I82" s="356" t="str">
        <f>IF(A82=FALSE,"",IF(NAMES!$D$10=FALSE,IF(Detail!K82="","",Detail!K82),IF(Crewlist!F82="","",Crewlist!F82)))</f>
        <v/>
      </c>
      <c r="J82" s="1001" t="str">
        <f>IF(Crewlist!T82="","",Crewlist!T82)</f>
        <v/>
      </c>
      <c r="K82" s="1001" t="str">
        <f>IF(Crewlist!D82="","",IF(Crewlist!U82="",Crewlist!Y82,IF(DATERENOUVMOINS730&lt;&gt;Crewlist!U82&lt;&gt;Crewlist!Y82,Crewlist!U82,DATERENOUVMOINS365)))</f>
        <v/>
      </c>
      <c r="L82" s="775" t="str">
        <f>IF(Detail!X82="","",Detail!X82)</f>
        <v/>
      </c>
      <c r="M82" s="775" t="str">
        <f>IF(Detail!H82="","",IF(Detail!Y82="",DATERENOUV,IF(Detail!Y82&gt;Detail!D82,Detail!D82,Detail!Y82)))</f>
        <v/>
      </c>
      <c r="N82" s="1015" t="str">
        <f>IF(A82=FALSE,"",IF(NAMES!$D$10=FALSE,IF(B82=B83,IF(O82=O83,0,(DATEDIF(L82,M82,"M")+1)),(DATEDIF(L82,M82,"M")+1)),IF(B82=B83,IF(O82=O83,0,(DATEDIF(J82,K82,"M")+1)),(DATEDIF(J82,K82,"M")+1))))</f>
        <v/>
      </c>
      <c r="O82" s="357" t="str">
        <f t="shared" si="17"/>
        <v/>
      </c>
      <c r="P82" s="358" t="str">
        <f>IF(A82=FALSE,"",IF(NAMES!$D$10=FALSE,IF((DATEDIF(L82,M82,"D")+1)&lt;365,(DATEDIF(L82,M82,"D")+1),365),IF((DATEDIF(J82,K82,"D")+1)&lt;365,(DATEDIF(J82,K82,"D")+1),365)))</f>
        <v/>
      </c>
      <c r="Q82" s="358" t="str">
        <f>IF(A82=FALSE,"",IF(NAMES!$D$10=FALSE,IF(M82="",365,DATEDIF(L82,M82,"D")+1),IF(M82="",365,DATEDIF(J82,K82,"D")+1)))</f>
        <v/>
      </c>
      <c r="R82" s="950" t="str">
        <f>Calcul!X82</f>
        <v/>
      </c>
      <c r="S82" s="950" t="str">
        <f>Calcul!Y82</f>
        <v/>
      </c>
      <c r="T82" s="993" t="str">
        <f>Calcul!AG82</f>
        <v/>
      </c>
      <c r="U82" s="368" t="str">
        <f>IF(A82=FALSE,"",IF(NAMES!$D$10=FALSE,IF(Detail!S82="","",Detail!S82),IF(Crewlist!V82="","",Crewlist!V82)))</f>
        <v/>
      </c>
      <c r="V82" s="245" t="str">
        <f>Calcul!AI82</f>
        <v/>
      </c>
      <c r="W82" s="245" t="str">
        <f>Calcul!AL82</f>
        <v/>
      </c>
      <c r="X82" s="245" t="str">
        <f>Calcul!AM82</f>
        <v/>
      </c>
      <c r="Y82" s="353" t="str">
        <f>Calcul!AN82</f>
        <v/>
      </c>
      <c r="Z82" s="245" t="str">
        <f>Calcul!AO82</f>
        <v/>
      </c>
      <c r="AA82" s="245" t="str">
        <f>Calcul!AP82</f>
        <v/>
      </c>
      <c r="AB82" s="353" t="str">
        <f>Calcul!AQ82</f>
        <v/>
      </c>
      <c r="AC82" s="353" t="str">
        <f>IF(C82=FALSE,"",Calcul!BE82+Calcul!BF82)</f>
        <v/>
      </c>
      <c r="AD82" s="353" t="str">
        <f>IF(C82=FALSE,"",(Calcul!BG82+Calcul!BH82)+SUM(Calcul!BI82:BN82))</f>
        <v/>
      </c>
      <c r="AE82" s="353" t="str">
        <f>Calcul!BP82</f>
        <v/>
      </c>
      <c r="AF82" s="332" t="str">
        <f>IF(A82=FALSE,"",YEAR(Detail!F82)&amp;Detail!AG82&amp;Detail!AD82&amp;"-"&amp;Detail!$AD$13&amp;Detail!AE82)</f>
        <v/>
      </c>
      <c r="AG82" s="1406" t="s">
        <v>2236</v>
      </c>
      <c r="AH82" s="527" t="s">
        <v>2277</v>
      </c>
      <c r="AI82" s="917">
        <v>0</v>
      </c>
      <c r="AJ82" s="1407" t="s">
        <v>2236</v>
      </c>
      <c r="AK82" s="1410">
        <v>32</v>
      </c>
      <c r="AL82" s="508">
        <v>0</v>
      </c>
      <c r="AM82" s="261">
        <v>1</v>
      </c>
      <c r="AN82" s="261">
        <v>0</v>
      </c>
      <c r="AO82" s="333" t="str">
        <f>IF(A82=FALSE,"",IF(Detail!AL82="","N/A",YEAR(Detail!F82)&amp;Detail!AO82&amp;Detail!AL82&amp;"-"&amp;Detail!$AL$13&amp;Detail!AM82))</f>
        <v/>
      </c>
      <c r="AP82" s="1406" t="s">
        <v>2236</v>
      </c>
      <c r="AQ82" s="701" t="s">
        <v>2277</v>
      </c>
      <c r="AR82" s="1013">
        <f t="shared" si="18"/>
        <v>0</v>
      </c>
      <c r="AS82" s="261" t="s">
        <v>2236</v>
      </c>
      <c r="AT82" s="264">
        <v>0</v>
      </c>
      <c r="AU82" s="261">
        <v>0</v>
      </c>
      <c r="AV82" s="261">
        <v>1</v>
      </c>
      <c r="AW82" s="261">
        <v>0</v>
      </c>
      <c r="AX82" s="920" t="str">
        <f>IF(A82=FALSE,"",IF(Detail!AT82="","N/A",YEAR(Detail!F82)&amp;Detail!AW82&amp;Detail!AT82&amp;"-"&amp;Detail!$AT$13))</f>
        <v/>
      </c>
      <c r="AY82" s="1014" t="s">
        <v>2236</v>
      </c>
      <c r="AZ82" s="308" t="s">
        <v>2278</v>
      </c>
      <c r="BA82" s="440" t="str">
        <f>IF(A82=FALSE,"",51000+(Detail!AA82*7000))</f>
        <v/>
      </c>
      <c r="BB82" s="1412">
        <v>50000</v>
      </c>
      <c r="BC82" s="247">
        <v>3</v>
      </c>
      <c r="BD82" s="261">
        <v>0</v>
      </c>
      <c r="BE82" s="261" t="s">
        <v>2236</v>
      </c>
      <c r="BF82" s="264">
        <v>0</v>
      </c>
      <c r="BG82" s="508">
        <v>0</v>
      </c>
      <c r="BH82" s="261">
        <v>1</v>
      </c>
      <c r="BI82" s="261">
        <v>0</v>
      </c>
      <c r="BJ82" s="311" t="str">
        <f>IF(A82=FALSE,"",IF(Detail!BB82="","N/A",YEAR(Detail!F82)&amp;Detail!BE82&amp;Detail!BB82&amp;"-"&amp;Detail!$BB$13))</f>
        <v/>
      </c>
      <c r="BK82" s="1354" t="s">
        <v>2236</v>
      </c>
      <c r="BL82" s="527" t="s">
        <v>2278</v>
      </c>
      <c r="BM82" s="440" t="str">
        <f>IF(A82=FALSE,"",51000+(Detail!AA82*7000))</f>
        <v/>
      </c>
      <c r="BN82" s="1412">
        <v>50000</v>
      </c>
      <c r="BO82" s="247">
        <v>3</v>
      </c>
      <c r="BP82" s="261">
        <v>0</v>
      </c>
      <c r="BQ82" s="261" t="s">
        <v>2236</v>
      </c>
      <c r="BR82" s="264">
        <v>0</v>
      </c>
      <c r="BS82" s="508">
        <v>0</v>
      </c>
      <c r="BT82" s="261">
        <v>1</v>
      </c>
      <c r="BU82" s="261">
        <v>0</v>
      </c>
      <c r="BV82" s="311" t="str">
        <f>IF(A82=FALSE,"",IF(Detail!BJ82="","N/A",YEAR(Detail!F82)&amp;Detail!BM82&amp;Detail!BJ82&amp;"-"&amp;Detail!$BJ$13))</f>
        <v/>
      </c>
      <c r="BW82" s="1409" t="s">
        <v>2236</v>
      </c>
      <c r="BX82" s="527" t="s">
        <v>2278</v>
      </c>
      <c r="BY82" s="440" t="str">
        <f t="shared" si="19"/>
        <v/>
      </c>
      <c r="BZ82" s="1412">
        <v>50000</v>
      </c>
      <c r="CA82" s="247">
        <v>3</v>
      </c>
      <c r="CB82" s="261">
        <v>0</v>
      </c>
      <c r="CC82" s="261" t="s">
        <v>2236</v>
      </c>
      <c r="CD82" s="264">
        <v>0</v>
      </c>
      <c r="CE82" s="508">
        <v>0</v>
      </c>
      <c r="CF82" s="261">
        <v>1</v>
      </c>
      <c r="CG82" s="261">
        <v>0</v>
      </c>
      <c r="CH82" s="311" t="str">
        <f>IF(A82=FALSE,"",IF(Detail!BR82="","N/A",YEAR(Detail!F82)&amp;Detail!BU82&amp;Detail!BR82&amp;"-"&amp;Detail!$BR$13))</f>
        <v/>
      </c>
      <c r="CI82" s="1327" t="s">
        <v>2236</v>
      </c>
      <c r="CJ82" s="527" t="s">
        <v>2278</v>
      </c>
      <c r="CK82" s="440" t="str">
        <f t="shared" si="20"/>
        <v/>
      </c>
      <c r="CL82" s="1412">
        <v>50000</v>
      </c>
      <c r="CM82" s="247">
        <v>3</v>
      </c>
      <c r="CN82" s="261">
        <v>0</v>
      </c>
      <c r="CO82" s="261" t="s">
        <v>2236</v>
      </c>
      <c r="CP82" s="264">
        <v>0</v>
      </c>
      <c r="CQ82" s="508">
        <v>0</v>
      </c>
      <c r="CR82" s="261">
        <v>1</v>
      </c>
      <c r="CS82" s="261">
        <v>0</v>
      </c>
      <c r="CT82" s="311" t="str">
        <f>IF(A82=FALSE,"",IF(Detail!BZ82="","N/A",YEAR(Detail!F82)&amp;Detail!CC82&amp;Detail!BZ82&amp;"-"&amp;Detail!$BZ$13&amp;" (100%/"&amp;Detail!CD82&amp;"/"&amp;Detail!CE82&amp;"D)"))</f>
        <v/>
      </c>
      <c r="CU82" s="1327" t="s">
        <v>2236</v>
      </c>
      <c r="CV82" s="527" t="s">
        <v>2278</v>
      </c>
      <c r="CW82" s="241">
        <v>7</v>
      </c>
      <c r="CX82" s="1323">
        <v>365</v>
      </c>
      <c r="CY82" s="248">
        <v>1</v>
      </c>
      <c r="CZ82" s="261">
        <v>0</v>
      </c>
      <c r="DA82" s="1325" t="s">
        <v>2236</v>
      </c>
      <c r="DB82" s="538">
        <v>40</v>
      </c>
      <c r="DC82" s="1325">
        <v>0.1</v>
      </c>
      <c r="DD82" s="261">
        <v>1</v>
      </c>
      <c r="DE82" s="261">
        <v>0</v>
      </c>
      <c r="DF82" s="313" t="str">
        <f>IF(A82=FALSE,"",IF(Detail!CH82="","N/A",YEAR(Detail!F82)&amp;Detail!CK82&amp;Detail!CH82&amp;"-"&amp;Detail!$CH$13&amp;" (100%/"&amp;Detail!CL82&amp;"/"&amp;Detail!CM82&amp;"D)"))</f>
        <v/>
      </c>
      <c r="DG82" s="1354" t="s">
        <v>2236</v>
      </c>
      <c r="DH82" s="518" t="s">
        <v>2278</v>
      </c>
      <c r="DI82" s="241">
        <f t="shared" si="21"/>
        <v>7</v>
      </c>
      <c r="DJ82" s="243">
        <f t="shared" si="22"/>
        <v>365</v>
      </c>
      <c r="DK82" s="258">
        <v>1</v>
      </c>
      <c r="DL82" s="261">
        <v>0</v>
      </c>
      <c r="DM82" s="1325" t="s">
        <v>2236</v>
      </c>
      <c r="DN82" s="538">
        <v>96</v>
      </c>
      <c r="DO82" s="1325">
        <f t="shared" si="23"/>
        <v>0.1</v>
      </c>
      <c r="DP82" s="261">
        <v>1</v>
      </c>
      <c r="DQ82" s="261">
        <v>0</v>
      </c>
      <c r="DR82" s="920" t="str">
        <f>IF(A82=FALSE,"",IF(Detail!CP82="","N/A",YEAR(Detail!F82)&amp;Detail!CS82&amp;Detail!CP82&amp;"-"&amp;Detail!$CP$13))</f>
        <v/>
      </c>
      <c r="DS82" s="308" t="s">
        <v>2236</v>
      </c>
      <c r="DT82" s="720" t="s">
        <v>2277</v>
      </c>
      <c r="DU82" s="244">
        <v>50000</v>
      </c>
      <c r="DV82" s="247">
        <v>2</v>
      </c>
      <c r="DW82" s="261">
        <v>0</v>
      </c>
      <c r="DX82" s="261" t="s">
        <v>2236</v>
      </c>
      <c r="DY82" s="264">
        <v>0</v>
      </c>
      <c r="DZ82" s="444">
        <v>0</v>
      </c>
      <c r="EA82" s="444">
        <v>1</v>
      </c>
      <c r="EB82" s="444">
        <v>0</v>
      </c>
      <c r="EC82" s="761" t="str">
        <f>IF(A82=FALSE,"",IF(Detail!CX82="","N/A",YEAR(Detail!F82)&amp;Detail!DA82&amp;Detail!CX82&amp;"-"&amp;Detail!$CX$13))</f>
        <v/>
      </c>
      <c r="ED82" s="445" t="s">
        <v>2236</v>
      </c>
      <c r="EE82" s="720" t="s">
        <v>2277</v>
      </c>
      <c r="EF82" s="244">
        <v>50000</v>
      </c>
      <c r="EG82" s="247">
        <v>2</v>
      </c>
      <c r="EH82" s="261">
        <v>0</v>
      </c>
      <c r="EI82" s="261" t="s">
        <v>2236</v>
      </c>
      <c r="EJ82" s="264">
        <v>0</v>
      </c>
      <c r="EK82" s="444">
        <v>0</v>
      </c>
      <c r="EL82" s="444">
        <v>1</v>
      </c>
      <c r="EM82" s="444">
        <v>0</v>
      </c>
      <c r="EN82" s="333" t="str">
        <f>IF(A82=FALSE,"",IF(Detail!DF82="","N/A",YEAR(Detail!F82)&amp;Detail!DI82&amp;Detail!DF82&amp;"-"&amp;Detail!$DF$13))</f>
        <v/>
      </c>
      <c r="EO82" s="1012" t="s">
        <v>2236</v>
      </c>
      <c r="EP82" s="1012" t="s">
        <v>2277</v>
      </c>
      <c r="EQ82" s="1013">
        <f t="shared" si="24"/>
        <v>0</v>
      </c>
      <c r="ER82" s="1013" t="s">
        <v>2236</v>
      </c>
      <c r="ES82" s="264">
        <v>0</v>
      </c>
      <c r="ET82" s="1013">
        <v>0</v>
      </c>
      <c r="EU82" s="1013">
        <v>1</v>
      </c>
      <c r="EV82" s="1013">
        <v>0</v>
      </c>
      <c r="EW82" s="333" t="str">
        <f>IF(DJ82=FALSE,"",IF(Detail!ET82="","N/A",YEAR(Detail!DN82)&amp;Detail!EW82&amp;Detail!ET82&amp;"-"&amp;Detail!$AL$13&amp;Detail!EU82))</f>
        <v>N/A</v>
      </c>
      <c r="EX82" s="1012" t="s">
        <v>2236</v>
      </c>
      <c r="EY82" s="1012" t="s">
        <v>2277</v>
      </c>
      <c r="EZ82" s="1013">
        <f t="shared" si="25"/>
        <v>0</v>
      </c>
      <c r="FA82" s="1013" t="s">
        <v>2236</v>
      </c>
      <c r="FB82" s="264">
        <v>0</v>
      </c>
      <c r="FC82" s="1013">
        <v>0</v>
      </c>
      <c r="FD82" s="1013">
        <v>1</v>
      </c>
      <c r="FE82" s="1013">
        <v>0</v>
      </c>
    </row>
    <row r="83" spans="1:161" s="422" customFormat="1" ht="30" customHeight="1" outlineLevel="1">
      <c r="A83" s="439" t="b">
        <f>Calcul!A83</f>
        <v>0</v>
      </c>
      <c r="B83" s="510" t="str">
        <f t="shared" si="16"/>
        <v/>
      </c>
      <c r="C83" s="1404" t="b">
        <v>0</v>
      </c>
      <c r="D83" s="241" t="s">
        <v>2147</v>
      </c>
      <c r="E83" s="1011" t="s">
        <v>2335</v>
      </c>
      <c r="F83" s="243" t="s">
        <v>2146</v>
      </c>
      <c r="G83" s="356" t="str">
        <f>IF(A83=FALSE,"",IF(NAMES!$D$10=FALSE,IF(Detail!H83="","",Detail!H83),IF(Crewlist!D83="","",Crewlist!D83)))</f>
        <v/>
      </c>
      <c r="H83" s="356" t="str">
        <f>IF(A83=FALSE,"",IF(NAMES!$D$10=FALSE,IF(Detail!P83="","",Detail!P83),IF(Crewlist!E83="","",Crewlist!E83)))</f>
        <v/>
      </c>
      <c r="I83" s="356" t="str">
        <f>IF(A83=FALSE,"",IF(NAMES!$D$10=FALSE,IF(Detail!K83="","",Detail!K83),IF(Crewlist!F83="","",Crewlist!F83)))</f>
        <v/>
      </c>
      <c r="J83" s="1001" t="str">
        <f>IF(Crewlist!T83="","",Crewlist!T83)</f>
        <v/>
      </c>
      <c r="K83" s="1001" t="str">
        <f>IF(Crewlist!D83="","",IF(Crewlist!U83="",Crewlist!Y83,IF(DATERENOUVMOINS730&lt;&gt;Crewlist!U83&lt;&gt;Crewlist!Y83,Crewlist!U83,DATERENOUVMOINS365)))</f>
        <v/>
      </c>
      <c r="L83" s="775" t="str">
        <f>IF(Detail!X83="","",Detail!X83)</f>
        <v/>
      </c>
      <c r="M83" s="775" t="str">
        <f>IF(Detail!H83="","",IF(Detail!Y83="",DATERENOUV,IF(Detail!Y83&gt;Detail!D83,Detail!D83,Detail!Y83)))</f>
        <v/>
      </c>
      <c r="N83" s="1015" t="str">
        <f>IF(A83=FALSE,"",IF(NAMES!$D$10=FALSE,IF(B83=B84,IF(O83=O84,0,(DATEDIF(L83,M83,"M")+1)),(DATEDIF(L83,M83,"M")+1)),IF(B83=B84,IF(O83=O84,0,(DATEDIF(J83,K83,"M")+1)),(DATEDIF(J83,K83,"M")+1))))</f>
        <v/>
      </c>
      <c r="O83" s="357" t="str">
        <f t="shared" si="17"/>
        <v/>
      </c>
      <c r="P83" s="358" t="str">
        <f>IF(A83=FALSE,"",IF(NAMES!$D$10=FALSE,IF((DATEDIF(L83,M83,"D")+1)&lt;365,(DATEDIF(L83,M83,"D")+1),365),IF((DATEDIF(J83,K83,"D")+1)&lt;365,(DATEDIF(J83,K83,"D")+1),365)))</f>
        <v/>
      </c>
      <c r="Q83" s="358" t="str">
        <f>IF(A83=FALSE,"",IF(NAMES!$D$10=FALSE,IF(M83="",365,DATEDIF(L83,M83,"D")+1),IF(M83="",365,DATEDIF(J83,K83,"D")+1)))</f>
        <v/>
      </c>
      <c r="R83" s="950" t="str">
        <f>Calcul!X83</f>
        <v/>
      </c>
      <c r="S83" s="950" t="str">
        <f>Calcul!Y83</f>
        <v/>
      </c>
      <c r="T83" s="993" t="str">
        <f>Calcul!AG83</f>
        <v/>
      </c>
      <c r="U83" s="368" t="str">
        <f>IF(A83=FALSE,"",IF(NAMES!$D$10=FALSE,IF(Detail!S83="","",Detail!S83),IF(Crewlist!V83="","",Crewlist!V83)))</f>
        <v/>
      </c>
      <c r="V83" s="245" t="str">
        <f>Calcul!AI83</f>
        <v/>
      </c>
      <c r="W83" s="245" t="str">
        <f>Calcul!AL83</f>
        <v/>
      </c>
      <c r="X83" s="245" t="str">
        <f>Calcul!AM83</f>
        <v/>
      </c>
      <c r="Y83" s="353" t="str">
        <f>Calcul!AN83</f>
        <v/>
      </c>
      <c r="Z83" s="245" t="str">
        <f>Calcul!AO83</f>
        <v/>
      </c>
      <c r="AA83" s="245" t="str">
        <f>Calcul!AP83</f>
        <v/>
      </c>
      <c r="AB83" s="353" t="str">
        <f>Calcul!AQ83</f>
        <v/>
      </c>
      <c r="AC83" s="353" t="str">
        <f>IF(C83=FALSE,"",Calcul!BE83+Calcul!BF83)</f>
        <v/>
      </c>
      <c r="AD83" s="353" t="str">
        <f>IF(C83=FALSE,"",(Calcul!BG83+Calcul!BH83)+SUM(Calcul!BI83:BN83))</f>
        <v/>
      </c>
      <c r="AE83" s="353" t="str">
        <f>Calcul!BP83</f>
        <v/>
      </c>
      <c r="AF83" s="332" t="str">
        <f>IF(A83=FALSE,"",YEAR(Detail!F83)&amp;Detail!AG83&amp;Detail!AD83&amp;"-"&amp;Detail!$AD$13&amp;Detail!AE83)</f>
        <v/>
      </c>
      <c r="AG83" s="1406" t="s">
        <v>2236</v>
      </c>
      <c r="AH83" s="527" t="s">
        <v>2277</v>
      </c>
      <c r="AI83" s="917">
        <v>0</v>
      </c>
      <c r="AJ83" s="1407" t="s">
        <v>2236</v>
      </c>
      <c r="AK83" s="1410">
        <v>32</v>
      </c>
      <c r="AL83" s="508">
        <v>0</v>
      </c>
      <c r="AM83" s="261">
        <v>1</v>
      </c>
      <c r="AN83" s="261">
        <v>0</v>
      </c>
      <c r="AO83" s="333" t="str">
        <f>IF(A83=FALSE,"",IF(Detail!AL83="","N/A",YEAR(Detail!F83)&amp;Detail!AO83&amp;Detail!AL83&amp;"-"&amp;Detail!$AL$13&amp;Detail!AM83))</f>
        <v/>
      </c>
      <c r="AP83" s="1406" t="s">
        <v>2236</v>
      </c>
      <c r="AQ83" s="701" t="s">
        <v>2277</v>
      </c>
      <c r="AR83" s="1013">
        <f t="shared" si="18"/>
        <v>0</v>
      </c>
      <c r="AS83" s="261" t="s">
        <v>2236</v>
      </c>
      <c r="AT83" s="264">
        <v>0</v>
      </c>
      <c r="AU83" s="261">
        <v>0</v>
      </c>
      <c r="AV83" s="261">
        <v>1</v>
      </c>
      <c r="AW83" s="261">
        <v>0</v>
      </c>
      <c r="AX83" s="920" t="str">
        <f>IF(A83=FALSE,"",IF(Detail!AT83="","N/A",YEAR(Detail!F83)&amp;Detail!AW83&amp;Detail!AT83&amp;"-"&amp;Detail!$AT$13))</f>
        <v/>
      </c>
      <c r="AY83" s="1014" t="s">
        <v>2236</v>
      </c>
      <c r="AZ83" s="308" t="s">
        <v>2278</v>
      </c>
      <c r="BA83" s="440" t="str">
        <f>IF(A83=FALSE,"",51000+(Detail!AA83*7000))</f>
        <v/>
      </c>
      <c r="BB83" s="1412">
        <v>50000</v>
      </c>
      <c r="BC83" s="247">
        <v>3</v>
      </c>
      <c r="BD83" s="261">
        <v>0</v>
      </c>
      <c r="BE83" s="261" t="s">
        <v>2236</v>
      </c>
      <c r="BF83" s="264">
        <v>0</v>
      </c>
      <c r="BG83" s="508">
        <v>0</v>
      </c>
      <c r="BH83" s="261">
        <v>1</v>
      </c>
      <c r="BI83" s="261">
        <v>0</v>
      </c>
      <c r="BJ83" s="311" t="str">
        <f>IF(A83=FALSE,"",IF(Detail!BB83="","N/A",YEAR(Detail!F83)&amp;Detail!BE83&amp;Detail!BB83&amp;"-"&amp;Detail!$BB$13))</f>
        <v/>
      </c>
      <c r="BK83" s="1354" t="s">
        <v>2236</v>
      </c>
      <c r="BL83" s="527" t="s">
        <v>2278</v>
      </c>
      <c r="BM83" s="440" t="str">
        <f>IF(A83=FALSE,"",51000+(Detail!AA83*7000))</f>
        <v/>
      </c>
      <c r="BN83" s="1412">
        <v>50000</v>
      </c>
      <c r="BO83" s="247">
        <v>3</v>
      </c>
      <c r="BP83" s="261">
        <v>0</v>
      </c>
      <c r="BQ83" s="261" t="s">
        <v>2236</v>
      </c>
      <c r="BR83" s="264">
        <v>0</v>
      </c>
      <c r="BS83" s="508">
        <v>0</v>
      </c>
      <c r="BT83" s="261">
        <v>1</v>
      </c>
      <c r="BU83" s="261">
        <v>0</v>
      </c>
      <c r="BV83" s="311" t="str">
        <f>IF(A83=FALSE,"",IF(Detail!BJ83="","N/A",YEAR(Detail!F83)&amp;Detail!BM83&amp;Detail!BJ83&amp;"-"&amp;Detail!$BJ$13))</f>
        <v/>
      </c>
      <c r="BW83" s="1409" t="s">
        <v>2236</v>
      </c>
      <c r="BX83" s="527" t="s">
        <v>2278</v>
      </c>
      <c r="BY83" s="440" t="str">
        <f t="shared" si="19"/>
        <v/>
      </c>
      <c r="BZ83" s="1412">
        <v>50000</v>
      </c>
      <c r="CA83" s="247">
        <v>3</v>
      </c>
      <c r="CB83" s="261">
        <v>0</v>
      </c>
      <c r="CC83" s="261" t="s">
        <v>2236</v>
      </c>
      <c r="CD83" s="264">
        <v>0</v>
      </c>
      <c r="CE83" s="508">
        <v>0</v>
      </c>
      <c r="CF83" s="261">
        <v>1</v>
      </c>
      <c r="CG83" s="261">
        <v>0</v>
      </c>
      <c r="CH83" s="311" t="str">
        <f>IF(A83=FALSE,"",IF(Detail!BR83="","N/A",YEAR(Detail!F83)&amp;Detail!BU83&amp;Detail!BR83&amp;"-"&amp;Detail!$BR$13))</f>
        <v/>
      </c>
      <c r="CI83" s="1327" t="s">
        <v>2236</v>
      </c>
      <c r="CJ83" s="527" t="s">
        <v>2278</v>
      </c>
      <c r="CK83" s="440" t="str">
        <f t="shared" si="20"/>
        <v/>
      </c>
      <c r="CL83" s="1412">
        <v>50000</v>
      </c>
      <c r="CM83" s="247">
        <v>3</v>
      </c>
      <c r="CN83" s="261">
        <v>0</v>
      </c>
      <c r="CO83" s="261" t="s">
        <v>2236</v>
      </c>
      <c r="CP83" s="264">
        <v>0</v>
      </c>
      <c r="CQ83" s="508">
        <v>0</v>
      </c>
      <c r="CR83" s="261">
        <v>1</v>
      </c>
      <c r="CS83" s="261">
        <v>0</v>
      </c>
      <c r="CT83" s="311" t="str">
        <f>IF(A83=FALSE,"",IF(Detail!BZ83="","N/A",YEAR(Detail!F83)&amp;Detail!CC83&amp;Detail!BZ83&amp;"-"&amp;Detail!$BZ$13&amp;" (100%/"&amp;Detail!CD83&amp;"/"&amp;Detail!CE83&amp;"D)"))</f>
        <v/>
      </c>
      <c r="CU83" s="1327" t="s">
        <v>2236</v>
      </c>
      <c r="CV83" s="527" t="s">
        <v>2278</v>
      </c>
      <c r="CW83" s="241">
        <v>7</v>
      </c>
      <c r="CX83" s="1323">
        <v>365</v>
      </c>
      <c r="CY83" s="248">
        <v>1</v>
      </c>
      <c r="CZ83" s="261">
        <v>0</v>
      </c>
      <c r="DA83" s="1325" t="s">
        <v>2236</v>
      </c>
      <c r="DB83" s="538">
        <v>40</v>
      </c>
      <c r="DC83" s="1325">
        <v>0.1</v>
      </c>
      <c r="DD83" s="261">
        <v>1</v>
      </c>
      <c r="DE83" s="261">
        <v>0</v>
      </c>
      <c r="DF83" s="313" t="str">
        <f>IF(A83=FALSE,"",IF(Detail!CH83="","N/A",YEAR(Detail!F83)&amp;Detail!CK83&amp;Detail!CH83&amp;"-"&amp;Detail!$CH$13&amp;" (100%/"&amp;Detail!CL83&amp;"/"&amp;Detail!CM83&amp;"D)"))</f>
        <v/>
      </c>
      <c r="DG83" s="1354" t="s">
        <v>2236</v>
      </c>
      <c r="DH83" s="518" t="s">
        <v>2278</v>
      </c>
      <c r="DI83" s="241">
        <f t="shared" si="21"/>
        <v>7</v>
      </c>
      <c r="DJ83" s="243">
        <f t="shared" si="22"/>
        <v>365</v>
      </c>
      <c r="DK83" s="258">
        <v>1</v>
      </c>
      <c r="DL83" s="261">
        <v>0</v>
      </c>
      <c r="DM83" s="1325" t="s">
        <v>2236</v>
      </c>
      <c r="DN83" s="538">
        <v>96</v>
      </c>
      <c r="DO83" s="1325">
        <f t="shared" si="23"/>
        <v>0.1</v>
      </c>
      <c r="DP83" s="261">
        <v>1</v>
      </c>
      <c r="DQ83" s="261">
        <v>0</v>
      </c>
      <c r="DR83" s="920" t="str">
        <f>IF(A83=FALSE,"",IF(Detail!CP83="","N/A",YEAR(Detail!F83)&amp;Detail!CS83&amp;Detail!CP83&amp;"-"&amp;Detail!$CP$13))</f>
        <v/>
      </c>
      <c r="DS83" s="308" t="s">
        <v>2236</v>
      </c>
      <c r="DT83" s="720" t="s">
        <v>2277</v>
      </c>
      <c r="DU83" s="244">
        <v>50000</v>
      </c>
      <c r="DV83" s="247">
        <v>2</v>
      </c>
      <c r="DW83" s="261">
        <v>0</v>
      </c>
      <c r="DX83" s="261" t="s">
        <v>2236</v>
      </c>
      <c r="DY83" s="264">
        <v>0</v>
      </c>
      <c r="DZ83" s="444">
        <v>0</v>
      </c>
      <c r="EA83" s="444">
        <v>1</v>
      </c>
      <c r="EB83" s="444">
        <v>0</v>
      </c>
      <c r="EC83" s="761" t="str">
        <f>IF(A83=FALSE,"",IF(Detail!CX83="","N/A",YEAR(Detail!F83)&amp;Detail!DA83&amp;Detail!CX83&amp;"-"&amp;Detail!$CX$13))</f>
        <v/>
      </c>
      <c r="ED83" s="445" t="s">
        <v>2236</v>
      </c>
      <c r="EE83" s="720" t="s">
        <v>2277</v>
      </c>
      <c r="EF83" s="244">
        <v>50000</v>
      </c>
      <c r="EG83" s="247">
        <v>2</v>
      </c>
      <c r="EH83" s="261">
        <v>0</v>
      </c>
      <c r="EI83" s="261" t="s">
        <v>2236</v>
      </c>
      <c r="EJ83" s="264">
        <v>0</v>
      </c>
      <c r="EK83" s="444">
        <v>0</v>
      </c>
      <c r="EL83" s="444">
        <v>1</v>
      </c>
      <c r="EM83" s="444">
        <v>0</v>
      </c>
      <c r="EN83" s="333" t="str">
        <f>IF(A83=FALSE,"",IF(Detail!DF83="","N/A",YEAR(Detail!F83)&amp;Detail!DI83&amp;Detail!DF83&amp;"-"&amp;Detail!$DF$13))</f>
        <v/>
      </c>
      <c r="EO83" s="1012" t="s">
        <v>2236</v>
      </c>
      <c r="EP83" s="1012" t="s">
        <v>2277</v>
      </c>
      <c r="EQ83" s="1013">
        <f t="shared" si="24"/>
        <v>0</v>
      </c>
      <c r="ER83" s="1013" t="s">
        <v>2236</v>
      </c>
      <c r="ES83" s="264">
        <v>0</v>
      </c>
      <c r="ET83" s="1013">
        <v>0</v>
      </c>
      <c r="EU83" s="1013">
        <v>1</v>
      </c>
      <c r="EV83" s="1013">
        <v>0</v>
      </c>
      <c r="EW83" s="333" t="str">
        <f>IF(DJ83=FALSE,"",IF(Detail!ET83="","N/A",YEAR(Detail!DN83)&amp;Detail!EW83&amp;Detail!ET83&amp;"-"&amp;Detail!$AL$13&amp;Detail!EU83))</f>
        <v>N/A</v>
      </c>
      <c r="EX83" s="1012" t="s">
        <v>2236</v>
      </c>
      <c r="EY83" s="1012" t="s">
        <v>2277</v>
      </c>
      <c r="EZ83" s="1013">
        <f t="shared" si="25"/>
        <v>0</v>
      </c>
      <c r="FA83" s="1013" t="s">
        <v>2236</v>
      </c>
      <c r="FB83" s="264">
        <v>0</v>
      </c>
      <c r="FC83" s="1013">
        <v>0</v>
      </c>
      <c r="FD83" s="1013">
        <v>1</v>
      </c>
      <c r="FE83" s="1013">
        <v>0</v>
      </c>
    </row>
    <row r="84" spans="1:161" s="422" customFormat="1" ht="30" customHeight="1" outlineLevel="1">
      <c r="A84" s="439" t="b">
        <f>Calcul!A84</f>
        <v>0</v>
      </c>
      <c r="B84" s="510" t="str">
        <f t="shared" si="16"/>
        <v/>
      </c>
      <c r="C84" s="1404" t="b">
        <v>0</v>
      </c>
      <c r="D84" s="241" t="s">
        <v>2147</v>
      </c>
      <c r="E84" s="1011" t="s">
        <v>2335</v>
      </c>
      <c r="F84" s="243" t="s">
        <v>2146</v>
      </c>
      <c r="G84" s="356" t="str">
        <f>IF(A84=FALSE,"",IF(NAMES!$D$10=FALSE,IF(Detail!H84="","",Detail!H84),IF(Crewlist!D84="","",Crewlist!D84)))</f>
        <v/>
      </c>
      <c r="H84" s="356" t="str">
        <f>IF(A84=FALSE,"",IF(NAMES!$D$10=FALSE,IF(Detail!P84="","",Detail!P84),IF(Crewlist!E84="","",Crewlist!E84)))</f>
        <v/>
      </c>
      <c r="I84" s="356" t="str">
        <f>IF(A84=FALSE,"",IF(NAMES!$D$10=FALSE,IF(Detail!K84="","",Detail!K84),IF(Crewlist!F84="","",Crewlist!F84)))</f>
        <v/>
      </c>
      <c r="J84" s="1001" t="str">
        <f>IF(Crewlist!T84="","",Crewlist!T84)</f>
        <v/>
      </c>
      <c r="K84" s="1001" t="str">
        <f>IF(Crewlist!D84="","",IF(Crewlist!U84="",Crewlist!Y84,IF(DATERENOUVMOINS730&lt;&gt;Crewlist!U84&lt;&gt;Crewlist!Y84,Crewlist!U84,DATERENOUVMOINS365)))</f>
        <v/>
      </c>
      <c r="L84" s="775" t="str">
        <f>IF(Detail!X84="","",Detail!X84)</f>
        <v/>
      </c>
      <c r="M84" s="775" t="str">
        <f>IF(Detail!H84="","",IF(Detail!Y84="",DATERENOUV,IF(Detail!Y84&gt;Detail!D84,Detail!D84,Detail!Y84)))</f>
        <v/>
      </c>
      <c r="N84" s="1015" t="str">
        <f>IF(A84=FALSE,"",IF(NAMES!$D$10=FALSE,IF(B84=B85,IF(O84=O85,0,(DATEDIF(L84,M84,"M")+1)),(DATEDIF(L84,M84,"M")+1)),IF(B84=B85,IF(O84=O85,0,(DATEDIF(J84,K84,"M")+1)),(DATEDIF(J84,K84,"M")+1))))</f>
        <v/>
      </c>
      <c r="O84" s="357" t="str">
        <f t="shared" si="17"/>
        <v/>
      </c>
      <c r="P84" s="358" t="str">
        <f>IF(A84=FALSE,"",IF(NAMES!$D$10=FALSE,IF((DATEDIF(L84,M84,"D")+1)&lt;365,(DATEDIF(L84,M84,"D")+1),365),IF((DATEDIF(J84,K84,"D")+1)&lt;365,(DATEDIF(J84,K84,"D")+1),365)))</f>
        <v/>
      </c>
      <c r="Q84" s="358" t="str">
        <f>IF(A84=FALSE,"",IF(NAMES!$D$10=FALSE,IF(M84="",365,DATEDIF(L84,M84,"D")+1),IF(M84="",365,DATEDIF(J84,K84,"D")+1)))</f>
        <v/>
      </c>
      <c r="R84" s="950" t="str">
        <f>Calcul!X84</f>
        <v/>
      </c>
      <c r="S84" s="950" t="str">
        <f>Calcul!Y84</f>
        <v/>
      </c>
      <c r="T84" s="993" t="str">
        <f>Calcul!AG84</f>
        <v/>
      </c>
      <c r="U84" s="368" t="str">
        <f>IF(A84=FALSE,"",IF(NAMES!$D$10=FALSE,IF(Detail!S84="","",Detail!S84),IF(Crewlist!V84="","",Crewlist!V84)))</f>
        <v/>
      </c>
      <c r="V84" s="245" t="str">
        <f>Calcul!AI84</f>
        <v/>
      </c>
      <c r="W84" s="245" t="str">
        <f>Calcul!AL84</f>
        <v/>
      </c>
      <c r="X84" s="245" t="str">
        <f>Calcul!AM84</f>
        <v/>
      </c>
      <c r="Y84" s="353" t="str">
        <f>Calcul!AN84</f>
        <v/>
      </c>
      <c r="Z84" s="245" t="str">
        <f>Calcul!AO84</f>
        <v/>
      </c>
      <c r="AA84" s="245" t="str">
        <f>Calcul!AP84</f>
        <v/>
      </c>
      <c r="AB84" s="353" t="str">
        <f>Calcul!AQ84</f>
        <v/>
      </c>
      <c r="AC84" s="353" t="str">
        <f>IF(C84=FALSE,"",Calcul!BE84+Calcul!BF84)</f>
        <v/>
      </c>
      <c r="AD84" s="353" t="str">
        <f>IF(C84=FALSE,"",(Calcul!BG84+Calcul!BH84)+SUM(Calcul!BI84:BN84))</f>
        <v/>
      </c>
      <c r="AE84" s="353" t="str">
        <f>Calcul!BP84</f>
        <v/>
      </c>
      <c r="AF84" s="332" t="str">
        <f>IF(A84=FALSE,"",YEAR(Detail!F84)&amp;Detail!AG84&amp;Detail!AD84&amp;"-"&amp;Detail!$AD$13&amp;Detail!AE84)</f>
        <v/>
      </c>
      <c r="AG84" s="1406" t="s">
        <v>2236</v>
      </c>
      <c r="AH84" s="527" t="s">
        <v>2277</v>
      </c>
      <c r="AI84" s="917">
        <v>0</v>
      </c>
      <c r="AJ84" s="1407" t="s">
        <v>2236</v>
      </c>
      <c r="AK84" s="1410">
        <v>32</v>
      </c>
      <c r="AL84" s="508">
        <v>0</v>
      </c>
      <c r="AM84" s="261">
        <v>1</v>
      </c>
      <c r="AN84" s="261">
        <v>0</v>
      </c>
      <c r="AO84" s="333" t="str">
        <f>IF(A84=FALSE,"",IF(Detail!AL84="","N/A",YEAR(Detail!F84)&amp;Detail!AO84&amp;Detail!AL84&amp;"-"&amp;Detail!$AL$13&amp;Detail!AM84))</f>
        <v/>
      </c>
      <c r="AP84" s="1406" t="s">
        <v>2236</v>
      </c>
      <c r="AQ84" s="701" t="s">
        <v>2277</v>
      </c>
      <c r="AR84" s="1013">
        <f t="shared" si="18"/>
        <v>0</v>
      </c>
      <c r="AS84" s="261" t="s">
        <v>2236</v>
      </c>
      <c r="AT84" s="264">
        <v>0</v>
      </c>
      <c r="AU84" s="261">
        <v>0</v>
      </c>
      <c r="AV84" s="261">
        <v>1</v>
      </c>
      <c r="AW84" s="261">
        <v>0</v>
      </c>
      <c r="AX84" s="920" t="str">
        <f>IF(A84=FALSE,"",IF(Detail!AT84="","N/A",YEAR(Detail!F84)&amp;Detail!AW84&amp;Detail!AT84&amp;"-"&amp;Detail!$AT$13))</f>
        <v/>
      </c>
      <c r="AY84" s="1014" t="s">
        <v>2236</v>
      </c>
      <c r="AZ84" s="308" t="s">
        <v>2278</v>
      </c>
      <c r="BA84" s="440" t="str">
        <f>IF(A84=FALSE,"",51000+(Detail!AA84*7000))</f>
        <v/>
      </c>
      <c r="BB84" s="1412">
        <v>50000</v>
      </c>
      <c r="BC84" s="247">
        <v>3</v>
      </c>
      <c r="BD84" s="261">
        <v>0</v>
      </c>
      <c r="BE84" s="261" t="s">
        <v>2236</v>
      </c>
      <c r="BF84" s="264">
        <v>0</v>
      </c>
      <c r="BG84" s="508">
        <v>0</v>
      </c>
      <c r="BH84" s="261">
        <v>1</v>
      </c>
      <c r="BI84" s="261">
        <v>0</v>
      </c>
      <c r="BJ84" s="311" t="str">
        <f>IF(A84=FALSE,"",IF(Detail!BB84="","N/A",YEAR(Detail!F84)&amp;Detail!BE84&amp;Detail!BB84&amp;"-"&amp;Detail!$BB$13))</f>
        <v/>
      </c>
      <c r="BK84" s="1354" t="s">
        <v>2236</v>
      </c>
      <c r="BL84" s="527" t="s">
        <v>2278</v>
      </c>
      <c r="BM84" s="440" t="str">
        <f>IF(A84=FALSE,"",51000+(Detail!AA84*7000))</f>
        <v/>
      </c>
      <c r="BN84" s="1412">
        <v>50000</v>
      </c>
      <c r="BO84" s="247">
        <v>3</v>
      </c>
      <c r="BP84" s="261">
        <v>0</v>
      </c>
      <c r="BQ84" s="261" t="s">
        <v>2236</v>
      </c>
      <c r="BR84" s="264">
        <v>0</v>
      </c>
      <c r="BS84" s="508">
        <v>0</v>
      </c>
      <c r="BT84" s="261">
        <v>1</v>
      </c>
      <c r="BU84" s="261">
        <v>0</v>
      </c>
      <c r="BV84" s="311" t="str">
        <f>IF(A84=FALSE,"",IF(Detail!BJ84="","N/A",YEAR(Detail!F84)&amp;Detail!BM84&amp;Detail!BJ84&amp;"-"&amp;Detail!$BJ$13))</f>
        <v/>
      </c>
      <c r="BW84" s="1409" t="s">
        <v>2236</v>
      </c>
      <c r="BX84" s="527" t="s">
        <v>2278</v>
      </c>
      <c r="BY84" s="440" t="str">
        <f t="shared" si="19"/>
        <v/>
      </c>
      <c r="BZ84" s="1412">
        <v>50000</v>
      </c>
      <c r="CA84" s="247">
        <v>3</v>
      </c>
      <c r="CB84" s="261">
        <v>0</v>
      </c>
      <c r="CC84" s="261" t="s">
        <v>2236</v>
      </c>
      <c r="CD84" s="264">
        <v>0</v>
      </c>
      <c r="CE84" s="508">
        <v>0</v>
      </c>
      <c r="CF84" s="261">
        <v>1</v>
      </c>
      <c r="CG84" s="261">
        <v>0</v>
      </c>
      <c r="CH84" s="311" t="str">
        <f>IF(A84=FALSE,"",IF(Detail!BR84="","N/A",YEAR(Detail!F84)&amp;Detail!BU84&amp;Detail!BR84&amp;"-"&amp;Detail!$BR$13))</f>
        <v/>
      </c>
      <c r="CI84" s="1327" t="s">
        <v>2236</v>
      </c>
      <c r="CJ84" s="527" t="s">
        <v>2278</v>
      </c>
      <c r="CK84" s="440" t="str">
        <f t="shared" si="20"/>
        <v/>
      </c>
      <c r="CL84" s="1412">
        <v>50000</v>
      </c>
      <c r="CM84" s="247">
        <v>3</v>
      </c>
      <c r="CN84" s="261">
        <v>0</v>
      </c>
      <c r="CO84" s="261" t="s">
        <v>2236</v>
      </c>
      <c r="CP84" s="264">
        <v>0</v>
      </c>
      <c r="CQ84" s="508">
        <v>0</v>
      </c>
      <c r="CR84" s="261">
        <v>1</v>
      </c>
      <c r="CS84" s="261">
        <v>0</v>
      </c>
      <c r="CT84" s="311" t="str">
        <f>IF(A84=FALSE,"",IF(Detail!BZ84="","N/A",YEAR(Detail!F84)&amp;Detail!CC84&amp;Detail!BZ84&amp;"-"&amp;Detail!$BZ$13&amp;" (100%/"&amp;Detail!CD84&amp;"/"&amp;Detail!CE84&amp;"D)"))</f>
        <v/>
      </c>
      <c r="CU84" s="1016" t="s">
        <v>2236</v>
      </c>
      <c r="CV84" s="527" t="s">
        <v>2278</v>
      </c>
      <c r="CW84" s="241">
        <v>7</v>
      </c>
      <c r="CX84" s="1323">
        <v>365</v>
      </c>
      <c r="CY84" s="248">
        <v>1</v>
      </c>
      <c r="CZ84" s="261">
        <v>0</v>
      </c>
      <c r="DA84" s="1325" t="s">
        <v>2236</v>
      </c>
      <c r="DB84" s="538">
        <v>40</v>
      </c>
      <c r="DC84" s="1325">
        <v>0.1</v>
      </c>
      <c r="DD84" s="261">
        <v>1</v>
      </c>
      <c r="DE84" s="261">
        <v>0</v>
      </c>
      <c r="DF84" s="313" t="str">
        <f>IF(A84=FALSE,"",IF(Detail!CH84="","N/A",YEAR(Detail!F84)&amp;Detail!CK84&amp;Detail!CH84&amp;"-"&amp;Detail!$CH$13&amp;" (100%/"&amp;Detail!CL84&amp;"/"&amp;Detail!CM84&amp;"D)"))</f>
        <v/>
      </c>
      <c r="DG84" s="1354" t="s">
        <v>2236</v>
      </c>
      <c r="DH84" s="518" t="s">
        <v>2278</v>
      </c>
      <c r="DI84" s="241">
        <f t="shared" si="21"/>
        <v>7</v>
      </c>
      <c r="DJ84" s="243">
        <f t="shared" si="22"/>
        <v>365</v>
      </c>
      <c r="DK84" s="258">
        <v>1</v>
      </c>
      <c r="DL84" s="261">
        <v>0</v>
      </c>
      <c r="DM84" s="1325" t="s">
        <v>2236</v>
      </c>
      <c r="DN84" s="538">
        <v>96</v>
      </c>
      <c r="DO84" s="1325">
        <f t="shared" si="23"/>
        <v>0.1</v>
      </c>
      <c r="DP84" s="261">
        <v>1</v>
      </c>
      <c r="DQ84" s="261">
        <v>0</v>
      </c>
      <c r="DR84" s="920" t="str">
        <f>IF(A84=FALSE,"",IF(Detail!CP84="","N/A",YEAR(Detail!F84)&amp;Detail!CS84&amp;Detail!CP84&amp;"-"&amp;Detail!$CP$13))</f>
        <v/>
      </c>
      <c r="DS84" s="308" t="s">
        <v>2236</v>
      </c>
      <c r="DT84" s="720" t="s">
        <v>2277</v>
      </c>
      <c r="DU84" s="244">
        <v>50000</v>
      </c>
      <c r="DV84" s="247">
        <v>2</v>
      </c>
      <c r="DW84" s="261">
        <v>0</v>
      </c>
      <c r="DX84" s="261" t="s">
        <v>2236</v>
      </c>
      <c r="DY84" s="264">
        <v>0</v>
      </c>
      <c r="DZ84" s="444">
        <v>0</v>
      </c>
      <c r="EA84" s="444">
        <v>1</v>
      </c>
      <c r="EB84" s="444">
        <v>0</v>
      </c>
      <c r="EC84" s="761" t="str">
        <f>IF(A84=FALSE,"",IF(Detail!CX84="","N/A",YEAR(Detail!F84)&amp;Detail!DA84&amp;Detail!CX84&amp;"-"&amp;Detail!$CX$13))</f>
        <v/>
      </c>
      <c r="ED84" s="445" t="s">
        <v>2236</v>
      </c>
      <c r="EE84" s="720" t="s">
        <v>2277</v>
      </c>
      <c r="EF84" s="244">
        <v>50000</v>
      </c>
      <c r="EG84" s="247">
        <v>2</v>
      </c>
      <c r="EH84" s="261">
        <v>0</v>
      </c>
      <c r="EI84" s="261" t="s">
        <v>2236</v>
      </c>
      <c r="EJ84" s="264">
        <v>0</v>
      </c>
      <c r="EK84" s="444">
        <v>0</v>
      </c>
      <c r="EL84" s="444">
        <v>1</v>
      </c>
      <c r="EM84" s="444">
        <v>0</v>
      </c>
      <c r="EN84" s="333" t="str">
        <f>IF(A84=FALSE,"",IF(Detail!DF84="","N/A",YEAR(Detail!F84)&amp;Detail!DI84&amp;Detail!DF84&amp;"-"&amp;Detail!$DF$13))</f>
        <v/>
      </c>
      <c r="EO84" s="1012" t="s">
        <v>2236</v>
      </c>
      <c r="EP84" s="1012" t="s">
        <v>2277</v>
      </c>
      <c r="EQ84" s="1013">
        <f t="shared" si="24"/>
        <v>0</v>
      </c>
      <c r="ER84" s="1013" t="s">
        <v>2236</v>
      </c>
      <c r="ES84" s="264">
        <v>0</v>
      </c>
      <c r="ET84" s="1013">
        <v>0</v>
      </c>
      <c r="EU84" s="1013">
        <v>1</v>
      </c>
      <c r="EV84" s="1013">
        <v>0</v>
      </c>
      <c r="EW84" s="333" t="str">
        <f>IF(DJ84=FALSE,"",IF(Detail!ET84="","N/A",YEAR(Detail!DN84)&amp;Detail!EW84&amp;Detail!ET84&amp;"-"&amp;Detail!$AL$13&amp;Detail!EU84))</f>
        <v>N/A</v>
      </c>
      <c r="EX84" s="1012" t="s">
        <v>2236</v>
      </c>
      <c r="EY84" s="1012" t="s">
        <v>2277</v>
      </c>
      <c r="EZ84" s="1013">
        <f t="shared" si="25"/>
        <v>0</v>
      </c>
      <c r="FA84" s="1013" t="s">
        <v>2236</v>
      </c>
      <c r="FB84" s="264">
        <v>0</v>
      </c>
      <c r="FC84" s="1013">
        <v>0</v>
      </c>
      <c r="FD84" s="1013">
        <v>1</v>
      </c>
      <c r="FE84" s="1013">
        <v>0</v>
      </c>
    </row>
    <row r="85" spans="1:161" s="422" customFormat="1" ht="30" customHeight="1" outlineLevel="1">
      <c r="A85" s="439" t="b">
        <f>Calcul!A85</f>
        <v>0</v>
      </c>
      <c r="B85" s="510" t="str">
        <f t="shared" si="16"/>
        <v/>
      </c>
      <c r="C85" s="1404" t="b">
        <v>0</v>
      </c>
      <c r="D85" s="241" t="s">
        <v>2147</v>
      </c>
      <c r="E85" s="1011" t="s">
        <v>2335</v>
      </c>
      <c r="F85" s="243" t="s">
        <v>2146</v>
      </c>
      <c r="G85" s="356" t="str">
        <f>IF(A85=FALSE,"",IF(NAMES!$D$10=FALSE,IF(Detail!H85="","",Detail!H85),IF(Crewlist!D85="","",Crewlist!D85)))</f>
        <v/>
      </c>
      <c r="H85" s="356" t="str">
        <f>IF(A85=FALSE,"",IF(NAMES!$D$10=FALSE,IF(Detail!P85="","",Detail!P85),IF(Crewlist!E85="","",Crewlist!E85)))</f>
        <v/>
      </c>
      <c r="I85" s="356" t="str">
        <f>IF(A85=FALSE,"",IF(NAMES!$D$10=FALSE,IF(Detail!K85="","",Detail!K85),IF(Crewlist!F85="","",Crewlist!F85)))</f>
        <v/>
      </c>
      <c r="J85" s="1001" t="str">
        <f>IF(Crewlist!T85="","",Crewlist!T85)</f>
        <v/>
      </c>
      <c r="K85" s="1001" t="str">
        <f>IF(Crewlist!D85="","",IF(Crewlist!U85="",Crewlist!Y85,IF(DATERENOUVMOINS730&lt;&gt;Crewlist!U85&lt;&gt;Crewlist!Y85,Crewlist!U85,DATERENOUVMOINS365)))</f>
        <v/>
      </c>
      <c r="L85" s="775" t="str">
        <f>IF(Detail!X85="","",Detail!X85)</f>
        <v/>
      </c>
      <c r="M85" s="775" t="str">
        <f>IF(Detail!H85="","",IF(Detail!Y85="",DATERENOUV,IF(Detail!Y85&gt;Detail!D85,Detail!D85,Detail!Y85)))</f>
        <v/>
      </c>
      <c r="N85" s="1015" t="str">
        <f>IF(A85=FALSE,"",IF(NAMES!$D$10=FALSE,IF(B85=B86,IF(O85=O86,0,(DATEDIF(L85,M85,"M")+1)),(DATEDIF(L85,M85,"M")+1)),IF(B85=B86,IF(O85=O86,0,(DATEDIF(J85,K85,"M")+1)),(DATEDIF(J85,K85,"M")+1))))</f>
        <v/>
      </c>
      <c r="O85" s="357" t="str">
        <f t="shared" si="17"/>
        <v/>
      </c>
      <c r="P85" s="358" t="str">
        <f>IF(A85=FALSE,"",IF(NAMES!$D$10=FALSE,IF((DATEDIF(L85,M85,"D")+1)&lt;365,(DATEDIF(L85,M85,"D")+1),365),IF((DATEDIF(J85,K85,"D")+1)&lt;365,(DATEDIF(J85,K85,"D")+1),365)))</f>
        <v/>
      </c>
      <c r="Q85" s="358" t="str">
        <f>IF(A85=FALSE,"",IF(NAMES!$D$10=FALSE,IF(M85="",365,DATEDIF(L85,M85,"D")+1),IF(M85="",365,DATEDIF(J85,K85,"D")+1)))</f>
        <v/>
      </c>
      <c r="R85" s="950" t="str">
        <f>Calcul!X85</f>
        <v/>
      </c>
      <c r="S85" s="950" t="str">
        <f>Calcul!Y85</f>
        <v/>
      </c>
      <c r="T85" s="993" t="str">
        <f>Calcul!AG85</f>
        <v/>
      </c>
      <c r="U85" s="368" t="str">
        <f>IF(A85=FALSE,"",IF(NAMES!$D$10=FALSE,IF(Detail!S85="","",Detail!S85),IF(Crewlist!V85="","",Crewlist!V85)))</f>
        <v/>
      </c>
      <c r="V85" s="245" t="str">
        <f>Calcul!AI85</f>
        <v/>
      </c>
      <c r="W85" s="245" t="str">
        <f>Calcul!AL85</f>
        <v/>
      </c>
      <c r="X85" s="245" t="str">
        <f>Calcul!AM85</f>
        <v/>
      </c>
      <c r="Y85" s="353" t="str">
        <f>Calcul!AN85</f>
        <v/>
      </c>
      <c r="Z85" s="245" t="str">
        <f>Calcul!AO85</f>
        <v/>
      </c>
      <c r="AA85" s="245" t="str">
        <f>Calcul!AP85</f>
        <v/>
      </c>
      <c r="AB85" s="353" t="str">
        <f>Calcul!AQ85</f>
        <v/>
      </c>
      <c r="AC85" s="353" t="str">
        <f>IF(C85=FALSE,"",Calcul!BE85+Calcul!BF85)</f>
        <v/>
      </c>
      <c r="AD85" s="353" t="str">
        <f>IF(C85=FALSE,"",(Calcul!BG85+Calcul!BH85)+SUM(Calcul!BI85:BN85))</f>
        <v/>
      </c>
      <c r="AE85" s="353" t="str">
        <f>Calcul!BP85</f>
        <v/>
      </c>
      <c r="AF85" s="332" t="str">
        <f>IF(A85=FALSE,"",YEAR(Detail!F85)&amp;Detail!AG85&amp;Detail!AD85&amp;"-"&amp;Detail!$AD$13&amp;Detail!AE85)</f>
        <v/>
      </c>
      <c r="AG85" s="1406" t="s">
        <v>2236</v>
      </c>
      <c r="AH85" s="527" t="s">
        <v>2277</v>
      </c>
      <c r="AI85" s="917">
        <v>0</v>
      </c>
      <c r="AJ85" s="1407" t="s">
        <v>2236</v>
      </c>
      <c r="AK85" s="1410">
        <v>32</v>
      </c>
      <c r="AL85" s="508">
        <v>0</v>
      </c>
      <c r="AM85" s="261">
        <v>1</v>
      </c>
      <c r="AN85" s="261">
        <v>0</v>
      </c>
      <c r="AO85" s="333" t="str">
        <f>IF(A85=FALSE,"",IF(Detail!AL85="","N/A",YEAR(Detail!F85)&amp;Detail!AO85&amp;Detail!AL85&amp;"-"&amp;Detail!$AL$13&amp;Detail!AM85))</f>
        <v/>
      </c>
      <c r="AP85" s="1406" t="s">
        <v>2236</v>
      </c>
      <c r="AQ85" s="701" t="s">
        <v>2277</v>
      </c>
      <c r="AR85" s="1013">
        <f t="shared" si="18"/>
        <v>0</v>
      </c>
      <c r="AS85" s="261" t="s">
        <v>2236</v>
      </c>
      <c r="AT85" s="264">
        <v>0</v>
      </c>
      <c r="AU85" s="261">
        <v>0</v>
      </c>
      <c r="AV85" s="261">
        <v>1</v>
      </c>
      <c r="AW85" s="261">
        <v>0</v>
      </c>
      <c r="AX85" s="920" t="str">
        <f>IF(A85=FALSE,"",IF(Detail!AT85="","N/A",YEAR(Detail!F85)&amp;Detail!AW85&amp;Detail!AT85&amp;"-"&amp;Detail!$AT$13))</f>
        <v/>
      </c>
      <c r="AY85" s="1014" t="s">
        <v>2236</v>
      </c>
      <c r="AZ85" s="308" t="s">
        <v>2278</v>
      </c>
      <c r="BA85" s="440" t="str">
        <f>IF(A85=FALSE,"",51000+(Detail!AA85*7000))</f>
        <v/>
      </c>
      <c r="BB85" s="1412">
        <v>50000</v>
      </c>
      <c r="BC85" s="247">
        <v>3</v>
      </c>
      <c r="BD85" s="261">
        <v>0</v>
      </c>
      <c r="BE85" s="261" t="s">
        <v>2236</v>
      </c>
      <c r="BF85" s="264">
        <v>0</v>
      </c>
      <c r="BG85" s="508">
        <v>0</v>
      </c>
      <c r="BH85" s="261">
        <v>1</v>
      </c>
      <c r="BI85" s="261">
        <v>0</v>
      </c>
      <c r="BJ85" s="311" t="str">
        <f>IF(A85=FALSE,"",IF(Detail!BB85="","N/A",YEAR(Detail!F85)&amp;Detail!BE85&amp;Detail!BB85&amp;"-"&amp;Detail!$BB$13))</f>
        <v/>
      </c>
      <c r="BK85" s="1354" t="s">
        <v>2236</v>
      </c>
      <c r="BL85" s="527" t="s">
        <v>2278</v>
      </c>
      <c r="BM85" s="440" t="str">
        <f>IF(A85=FALSE,"",51000+(Detail!AA85*7000))</f>
        <v/>
      </c>
      <c r="BN85" s="1412">
        <v>50000</v>
      </c>
      <c r="BO85" s="247">
        <v>3</v>
      </c>
      <c r="BP85" s="261">
        <v>0</v>
      </c>
      <c r="BQ85" s="261" t="s">
        <v>2236</v>
      </c>
      <c r="BR85" s="264">
        <v>0</v>
      </c>
      <c r="BS85" s="508">
        <v>0</v>
      </c>
      <c r="BT85" s="261">
        <v>1</v>
      </c>
      <c r="BU85" s="261">
        <v>0</v>
      </c>
      <c r="BV85" s="311" t="str">
        <f>IF(A85=FALSE,"",IF(Detail!BJ85="","N/A",YEAR(Detail!F85)&amp;Detail!BM85&amp;Detail!BJ85&amp;"-"&amp;Detail!$BJ$13))</f>
        <v/>
      </c>
      <c r="BW85" s="1409" t="s">
        <v>2236</v>
      </c>
      <c r="BX85" s="527" t="s">
        <v>2278</v>
      </c>
      <c r="BY85" s="440" t="str">
        <f t="shared" si="19"/>
        <v/>
      </c>
      <c r="BZ85" s="1412">
        <v>50000</v>
      </c>
      <c r="CA85" s="247">
        <v>3</v>
      </c>
      <c r="CB85" s="261">
        <v>0</v>
      </c>
      <c r="CC85" s="261" t="s">
        <v>2236</v>
      </c>
      <c r="CD85" s="264">
        <v>0</v>
      </c>
      <c r="CE85" s="508">
        <v>0</v>
      </c>
      <c r="CF85" s="261">
        <v>1</v>
      </c>
      <c r="CG85" s="261">
        <v>0</v>
      </c>
      <c r="CH85" s="311" t="str">
        <f>IF(A85=FALSE,"",IF(Detail!BR85="","N/A",YEAR(Detail!F85)&amp;Detail!BU85&amp;Detail!BR85&amp;"-"&amp;Detail!$BR$13))</f>
        <v/>
      </c>
      <c r="CI85" s="1327" t="s">
        <v>2236</v>
      </c>
      <c r="CJ85" s="527" t="s">
        <v>2278</v>
      </c>
      <c r="CK85" s="440" t="str">
        <f t="shared" si="20"/>
        <v/>
      </c>
      <c r="CL85" s="1412">
        <v>50000</v>
      </c>
      <c r="CM85" s="247">
        <v>3</v>
      </c>
      <c r="CN85" s="261">
        <v>0</v>
      </c>
      <c r="CO85" s="261" t="s">
        <v>2236</v>
      </c>
      <c r="CP85" s="264">
        <v>0</v>
      </c>
      <c r="CQ85" s="508">
        <v>0</v>
      </c>
      <c r="CR85" s="261">
        <v>1</v>
      </c>
      <c r="CS85" s="261">
        <v>0</v>
      </c>
      <c r="CT85" s="311" t="str">
        <f>IF(A85=FALSE,"",IF(Detail!BZ85="","N/A",YEAR(Detail!F85)&amp;Detail!CC85&amp;Detail!BZ85&amp;"-"&amp;Detail!$BZ$13&amp;" (100%/"&amp;Detail!CD85&amp;"/"&amp;Detail!CE85&amp;"D)"))</f>
        <v/>
      </c>
      <c r="CU85" s="1016" t="s">
        <v>2236</v>
      </c>
      <c r="CV85" s="527" t="s">
        <v>2278</v>
      </c>
      <c r="CW85" s="241">
        <v>7</v>
      </c>
      <c r="CX85" s="1323">
        <v>365</v>
      </c>
      <c r="CY85" s="248">
        <v>1</v>
      </c>
      <c r="CZ85" s="261">
        <v>0</v>
      </c>
      <c r="DA85" s="1325" t="s">
        <v>2236</v>
      </c>
      <c r="DB85" s="538">
        <v>40</v>
      </c>
      <c r="DC85" s="1325">
        <v>0.1</v>
      </c>
      <c r="DD85" s="261">
        <v>1</v>
      </c>
      <c r="DE85" s="261">
        <v>0</v>
      </c>
      <c r="DF85" s="313" t="str">
        <f>IF(A85=FALSE,"",IF(Detail!CH85="","N/A",YEAR(Detail!F85)&amp;Detail!CK85&amp;Detail!CH85&amp;"-"&amp;Detail!$CH$13&amp;" (100%/"&amp;Detail!CL85&amp;"/"&amp;Detail!CM85&amp;"D)"))</f>
        <v/>
      </c>
      <c r="DG85" s="1354" t="s">
        <v>2236</v>
      </c>
      <c r="DH85" s="518" t="s">
        <v>2278</v>
      </c>
      <c r="DI85" s="241">
        <f t="shared" si="21"/>
        <v>7</v>
      </c>
      <c r="DJ85" s="243">
        <f t="shared" si="22"/>
        <v>365</v>
      </c>
      <c r="DK85" s="258">
        <v>1</v>
      </c>
      <c r="DL85" s="261">
        <v>0</v>
      </c>
      <c r="DM85" s="1325" t="s">
        <v>2236</v>
      </c>
      <c r="DN85" s="538">
        <v>96</v>
      </c>
      <c r="DO85" s="1325">
        <f t="shared" si="23"/>
        <v>0.1</v>
      </c>
      <c r="DP85" s="261">
        <v>1</v>
      </c>
      <c r="DQ85" s="261">
        <v>0</v>
      </c>
      <c r="DR85" s="920" t="str">
        <f>IF(A85=FALSE,"",IF(Detail!CP85="","N/A",YEAR(Detail!F85)&amp;Detail!CS85&amp;Detail!CP85&amp;"-"&amp;Detail!$CP$13))</f>
        <v/>
      </c>
      <c r="DS85" s="308" t="s">
        <v>2236</v>
      </c>
      <c r="DT85" s="720" t="s">
        <v>2277</v>
      </c>
      <c r="DU85" s="244">
        <v>50000</v>
      </c>
      <c r="DV85" s="247">
        <v>2</v>
      </c>
      <c r="DW85" s="261">
        <v>0</v>
      </c>
      <c r="DX85" s="261" t="s">
        <v>2236</v>
      </c>
      <c r="DY85" s="264">
        <v>0</v>
      </c>
      <c r="DZ85" s="444">
        <v>0</v>
      </c>
      <c r="EA85" s="444">
        <v>1</v>
      </c>
      <c r="EB85" s="444">
        <v>0</v>
      </c>
      <c r="EC85" s="761" t="str">
        <f>IF(A85=FALSE,"",IF(Detail!CX85="","N/A",YEAR(Detail!F85)&amp;Detail!DA85&amp;Detail!CX85&amp;"-"&amp;Detail!$CX$13))</f>
        <v/>
      </c>
      <c r="ED85" s="445" t="s">
        <v>2236</v>
      </c>
      <c r="EE85" s="720" t="s">
        <v>2277</v>
      </c>
      <c r="EF85" s="244">
        <v>50000</v>
      </c>
      <c r="EG85" s="247">
        <v>2</v>
      </c>
      <c r="EH85" s="261">
        <v>0</v>
      </c>
      <c r="EI85" s="261" t="s">
        <v>2236</v>
      </c>
      <c r="EJ85" s="264">
        <v>0</v>
      </c>
      <c r="EK85" s="444">
        <v>0</v>
      </c>
      <c r="EL85" s="444">
        <v>1</v>
      </c>
      <c r="EM85" s="444">
        <v>0</v>
      </c>
      <c r="EN85" s="333" t="str">
        <f>IF(A85=FALSE,"",IF(Detail!DF85="","N/A",YEAR(Detail!F85)&amp;Detail!DI85&amp;Detail!DF85&amp;"-"&amp;Detail!$DF$13))</f>
        <v/>
      </c>
      <c r="EO85" s="1012" t="s">
        <v>2236</v>
      </c>
      <c r="EP85" s="1012" t="s">
        <v>2277</v>
      </c>
      <c r="EQ85" s="1013">
        <f t="shared" si="24"/>
        <v>0</v>
      </c>
      <c r="ER85" s="1013" t="s">
        <v>2236</v>
      </c>
      <c r="ES85" s="264">
        <v>0</v>
      </c>
      <c r="ET85" s="1013">
        <v>0</v>
      </c>
      <c r="EU85" s="1013">
        <v>1</v>
      </c>
      <c r="EV85" s="1013">
        <v>0</v>
      </c>
      <c r="EW85" s="333" t="str">
        <f>IF(DJ85=FALSE,"",IF(Detail!ET85="","N/A",YEAR(Detail!DN85)&amp;Detail!EW85&amp;Detail!ET85&amp;"-"&amp;Detail!$AL$13&amp;Detail!EU85))</f>
        <v>N/A</v>
      </c>
      <c r="EX85" s="1012" t="s">
        <v>2236</v>
      </c>
      <c r="EY85" s="1012" t="s">
        <v>2277</v>
      </c>
      <c r="EZ85" s="1013">
        <f t="shared" si="25"/>
        <v>0</v>
      </c>
      <c r="FA85" s="1013" t="s">
        <v>2236</v>
      </c>
      <c r="FB85" s="264">
        <v>0</v>
      </c>
      <c r="FC85" s="1013">
        <v>0</v>
      </c>
      <c r="FD85" s="1013">
        <v>1</v>
      </c>
      <c r="FE85" s="1013">
        <v>0</v>
      </c>
    </row>
    <row r="86" spans="1:161" s="422" customFormat="1" ht="30" customHeight="1" outlineLevel="1">
      <c r="A86" s="439" t="b">
        <f>Calcul!A86</f>
        <v>0</v>
      </c>
      <c r="B86" s="510" t="str">
        <f t="shared" si="16"/>
        <v/>
      </c>
      <c r="C86" s="1404" t="b">
        <v>0</v>
      </c>
      <c r="D86" s="241" t="s">
        <v>2147</v>
      </c>
      <c r="E86" s="1011" t="s">
        <v>2335</v>
      </c>
      <c r="F86" s="243" t="s">
        <v>2146</v>
      </c>
      <c r="G86" s="356" t="str">
        <f>IF(A86=FALSE,"",IF(NAMES!$D$10=FALSE,IF(Detail!H86="","",Detail!H86),IF(Crewlist!D86="","",Crewlist!D86)))</f>
        <v/>
      </c>
      <c r="H86" s="356" t="str">
        <f>IF(A86=FALSE,"",IF(NAMES!$D$10=FALSE,IF(Detail!P86="","",Detail!P86),IF(Crewlist!E86="","",Crewlist!E86)))</f>
        <v/>
      </c>
      <c r="I86" s="356" t="str">
        <f>IF(A86=FALSE,"",IF(NAMES!$D$10=FALSE,IF(Detail!K86="","",Detail!K86),IF(Crewlist!F86="","",Crewlist!F86)))</f>
        <v/>
      </c>
      <c r="J86" s="1001" t="str">
        <f>IF(Crewlist!T86="","",Crewlist!T86)</f>
        <v/>
      </c>
      <c r="K86" s="1001" t="str">
        <f>IF(Crewlist!D86="","",IF(Crewlist!U86="",Crewlist!Y86,IF(DATERENOUVMOINS730&lt;&gt;Crewlist!U86&lt;&gt;Crewlist!Y86,Crewlist!U86,DATERENOUVMOINS365)))</f>
        <v/>
      </c>
      <c r="L86" s="775" t="str">
        <f>IF(Detail!X86="","",Detail!X86)</f>
        <v/>
      </c>
      <c r="M86" s="775" t="str">
        <f>IF(Detail!H86="","",IF(Detail!Y86="",DATERENOUV,IF(Detail!Y86&gt;Detail!D86,Detail!D86,Detail!Y86)))</f>
        <v/>
      </c>
      <c r="N86" s="1015" t="str">
        <f>IF(A86=FALSE,"",IF(NAMES!$D$10=FALSE,IF(B86=B87,IF(O86=O87,0,(DATEDIF(L86,M86,"M")+1)),(DATEDIF(L86,M86,"M")+1)),IF(B86=B87,IF(O86=O87,0,(DATEDIF(J86,K86,"M")+1)),(DATEDIF(J86,K86,"M")+1))))</f>
        <v/>
      </c>
      <c r="O86" s="357" t="str">
        <f t="shared" si="17"/>
        <v/>
      </c>
      <c r="P86" s="358" t="str">
        <f>IF(A86=FALSE,"",IF(NAMES!$D$10=FALSE,IF((DATEDIF(L86,M86,"D")+1)&lt;365,(DATEDIF(L86,M86,"D")+1),365),IF((DATEDIF(J86,K86,"D")+1)&lt;365,(DATEDIF(J86,K86,"D")+1),365)))</f>
        <v/>
      </c>
      <c r="Q86" s="358" t="str">
        <f>IF(A86=FALSE,"",IF(NAMES!$D$10=FALSE,IF(M86="",365,DATEDIF(L86,M86,"D")+1),IF(M86="",365,DATEDIF(J86,K86,"D")+1)))</f>
        <v/>
      </c>
      <c r="R86" s="950" t="str">
        <f>Calcul!X86</f>
        <v/>
      </c>
      <c r="S86" s="950" t="str">
        <f>Calcul!Y86</f>
        <v/>
      </c>
      <c r="T86" s="993" t="str">
        <f>Calcul!AG86</f>
        <v/>
      </c>
      <c r="U86" s="368" t="str">
        <f>IF(A86=FALSE,"",IF(NAMES!$D$10=FALSE,IF(Detail!S86="","",Detail!S86),IF(Crewlist!V86="","",Crewlist!V86)))</f>
        <v/>
      </c>
      <c r="V86" s="245" t="str">
        <f>Calcul!AI86</f>
        <v/>
      </c>
      <c r="W86" s="245" t="str">
        <f>Calcul!AL86</f>
        <v/>
      </c>
      <c r="X86" s="245" t="str">
        <f>Calcul!AM86</f>
        <v/>
      </c>
      <c r="Y86" s="353" t="str">
        <f>Calcul!AN86</f>
        <v/>
      </c>
      <c r="Z86" s="245" t="str">
        <f>Calcul!AO86</f>
        <v/>
      </c>
      <c r="AA86" s="245" t="str">
        <f>Calcul!AP86</f>
        <v/>
      </c>
      <c r="AB86" s="353" t="str">
        <f>Calcul!AQ86</f>
        <v/>
      </c>
      <c r="AC86" s="353" t="str">
        <f>IF(C86=FALSE,"",Calcul!BE86+Calcul!BF86)</f>
        <v/>
      </c>
      <c r="AD86" s="353" t="str">
        <f>IF(C86=FALSE,"",(Calcul!BG86+Calcul!BH86)+SUM(Calcul!BI86:BN86))</f>
        <v/>
      </c>
      <c r="AE86" s="353" t="str">
        <f>Calcul!BP86</f>
        <v/>
      </c>
      <c r="AF86" s="332" t="str">
        <f>IF(A86=FALSE,"",YEAR(Detail!F86)&amp;Detail!AG86&amp;Detail!AD86&amp;"-"&amp;Detail!$AD$13&amp;Detail!AE86)</f>
        <v/>
      </c>
      <c r="AG86" s="1406" t="s">
        <v>2236</v>
      </c>
      <c r="AH86" s="527" t="s">
        <v>2277</v>
      </c>
      <c r="AI86" s="917">
        <v>0</v>
      </c>
      <c r="AJ86" s="1407" t="s">
        <v>2236</v>
      </c>
      <c r="AK86" s="1410">
        <v>32</v>
      </c>
      <c r="AL86" s="508">
        <v>0</v>
      </c>
      <c r="AM86" s="261">
        <v>1</v>
      </c>
      <c r="AN86" s="261">
        <v>0</v>
      </c>
      <c r="AO86" s="333" t="str">
        <f>IF(A86=FALSE,"",IF(Detail!AL86="","N/A",YEAR(Detail!F86)&amp;Detail!AO86&amp;Detail!AL86&amp;"-"&amp;Detail!$AL$13&amp;Detail!AM86))</f>
        <v/>
      </c>
      <c r="AP86" s="1406" t="s">
        <v>2236</v>
      </c>
      <c r="AQ86" s="701" t="s">
        <v>2277</v>
      </c>
      <c r="AR86" s="1013">
        <f t="shared" si="18"/>
        <v>0</v>
      </c>
      <c r="AS86" s="261" t="s">
        <v>2236</v>
      </c>
      <c r="AT86" s="264">
        <v>0</v>
      </c>
      <c r="AU86" s="261">
        <v>0</v>
      </c>
      <c r="AV86" s="261">
        <v>1</v>
      </c>
      <c r="AW86" s="261">
        <v>0</v>
      </c>
      <c r="AX86" s="920" t="str">
        <f>IF(A86=FALSE,"",IF(Detail!AT86="","N/A",YEAR(Detail!F86)&amp;Detail!AW86&amp;Detail!AT86&amp;"-"&amp;Detail!$AT$13))</f>
        <v/>
      </c>
      <c r="AY86" s="1014" t="s">
        <v>2236</v>
      </c>
      <c r="AZ86" s="308" t="s">
        <v>2278</v>
      </c>
      <c r="BA86" s="440" t="str">
        <f>IF(A86=FALSE,"",51000+(Detail!AA86*7000))</f>
        <v/>
      </c>
      <c r="BB86" s="1412">
        <v>50000</v>
      </c>
      <c r="BC86" s="247">
        <v>3</v>
      </c>
      <c r="BD86" s="261">
        <v>0</v>
      </c>
      <c r="BE86" s="261" t="s">
        <v>2236</v>
      </c>
      <c r="BF86" s="264">
        <v>0</v>
      </c>
      <c r="BG86" s="508">
        <v>0</v>
      </c>
      <c r="BH86" s="261">
        <v>1</v>
      </c>
      <c r="BI86" s="261">
        <v>0</v>
      </c>
      <c r="BJ86" s="311" t="str">
        <f>IF(A86=FALSE,"",IF(Detail!BB86="","N/A",YEAR(Detail!F86)&amp;Detail!BE86&amp;Detail!BB86&amp;"-"&amp;Detail!$BB$13))</f>
        <v/>
      </c>
      <c r="BK86" s="1354" t="s">
        <v>2236</v>
      </c>
      <c r="BL86" s="527" t="s">
        <v>2278</v>
      </c>
      <c r="BM86" s="440" t="str">
        <f>IF(A86=FALSE,"",51000+(Detail!AA86*7000))</f>
        <v/>
      </c>
      <c r="BN86" s="1412">
        <v>50000</v>
      </c>
      <c r="BO86" s="247">
        <v>3</v>
      </c>
      <c r="BP86" s="261">
        <v>0</v>
      </c>
      <c r="BQ86" s="261" t="s">
        <v>2236</v>
      </c>
      <c r="BR86" s="264">
        <v>0</v>
      </c>
      <c r="BS86" s="508">
        <v>0</v>
      </c>
      <c r="BT86" s="261">
        <v>1</v>
      </c>
      <c r="BU86" s="261">
        <v>0</v>
      </c>
      <c r="BV86" s="311" t="str">
        <f>IF(A86=FALSE,"",IF(Detail!BJ86="","N/A",YEAR(Detail!F86)&amp;Detail!BM86&amp;Detail!BJ86&amp;"-"&amp;Detail!$BJ$13))</f>
        <v/>
      </c>
      <c r="BW86" s="1409" t="s">
        <v>2236</v>
      </c>
      <c r="BX86" s="527" t="s">
        <v>2278</v>
      </c>
      <c r="BY86" s="440" t="str">
        <f t="shared" si="19"/>
        <v/>
      </c>
      <c r="BZ86" s="1412">
        <v>50000</v>
      </c>
      <c r="CA86" s="247">
        <v>3</v>
      </c>
      <c r="CB86" s="261">
        <v>0</v>
      </c>
      <c r="CC86" s="261" t="s">
        <v>2236</v>
      </c>
      <c r="CD86" s="264">
        <v>0</v>
      </c>
      <c r="CE86" s="508">
        <v>0</v>
      </c>
      <c r="CF86" s="261">
        <v>1</v>
      </c>
      <c r="CG86" s="261">
        <v>0</v>
      </c>
      <c r="CH86" s="311" t="str">
        <f>IF(A86=FALSE,"",IF(Detail!BR86="","N/A",YEAR(Detail!F86)&amp;Detail!BU86&amp;Detail!BR86&amp;"-"&amp;Detail!$BR$13))</f>
        <v/>
      </c>
      <c r="CI86" s="1327" t="s">
        <v>2236</v>
      </c>
      <c r="CJ86" s="527" t="s">
        <v>2278</v>
      </c>
      <c r="CK86" s="440" t="str">
        <f t="shared" si="20"/>
        <v/>
      </c>
      <c r="CL86" s="1412">
        <v>50000</v>
      </c>
      <c r="CM86" s="247">
        <v>3</v>
      </c>
      <c r="CN86" s="261">
        <v>0</v>
      </c>
      <c r="CO86" s="261" t="s">
        <v>2236</v>
      </c>
      <c r="CP86" s="264">
        <v>0</v>
      </c>
      <c r="CQ86" s="508">
        <v>0</v>
      </c>
      <c r="CR86" s="261">
        <v>1</v>
      </c>
      <c r="CS86" s="261">
        <v>0</v>
      </c>
      <c r="CT86" s="311" t="str">
        <f>IF(A86=FALSE,"",IF(Detail!BZ86="","N/A",YEAR(Detail!F86)&amp;Detail!CC86&amp;Detail!BZ86&amp;"-"&amp;Detail!$BZ$13&amp;" (100%/"&amp;Detail!CD86&amp;"/"&amp;Detail!CE86&amp;"D)"))</f>
        <v/>
      </c>
      <c r="CU86" s="1016" t="s">
        <v>2236</v>
      </c>
      <c r="CV86" s="527" t="s">
        <v>2278</v>
      </c>
      <c r="CW86" s="241">
        <v>7</v>
      </c>
      <c r="CX86" s="1323">
        <v>365</v>
      </c>
      <c r="CY86" s="248">
        <v>1</v>
      </c>
      <c r="CZ86" s="261">
        <v>0</v>
      </c>
      <c r="DA86" s="1325" t="s">
        <v>2236</v>
      </c>
      <c r="DB86" s="538">
        <v>40</v>
      </c>
      <c r="DC86" s="1325">
        <v>0.1</v>
      </c>
      <c r="DD86" s="261">
        <v>1</v>
      </c>
      <c r="DE86" s="261">
        <v>0</v>
      </c>
      <c r="DF86" s="313" t="str">
        <f>IF(A86=FALSE,"",IF(Detail!CH86="","N/A",YEAR(Detail!F86)&amp;Detail!CK86&amp;Detail!CH86&amp;"-"&amp;Detail!$CH$13&amp;" (100%/"&amp;Detail!CL86&amp;"/"&amp;Detail!CM86&amp;"D)"))</f>
        <v/>
      </c>
      <c r="DG86" s="1354" t="s">
        <v>2236</v>
      </c>
      <c r="DH86" s="518" t="s">
        <v>2278</v>
      </c>
      <c r="DI86" s="241">
        <f t="shared" si="21"/>
        <v>7</v>
      </c>
      <c r="DJ86" s="243">
        <f t="shared" si="22"/>
        <v>365</v>
      </c>
      <c r="DK86" s="258">
        <v>1</v>
      </c>
      <c r="DL86" s="261">
        <v>0</v>
      </c>
      <c r="DM86" s="1325" t="s">
        <v>2236</v>
      </c>
      <c r="DN86" s="538">
        <v>96</v>
      </c>
      <c r="DO86" s="1325">
        <f t="shared" si="23"/>
        <v>0.1</v>
      </c>
      <c r="DP86" s="261">
        <v>1</v>
      </c>
      <c r="DQ86" s="261">
        <v>0</v>
      </c>
      <c r="DR86" s="920" t="str">
        <f>IF(A86=FALSE,"",IF(Detail!CP86="","N/A",YEAR(Detail!F86)&amp;Detail!CS86&amp;Detail!CP86&amp;"-"&amp;Detail!$CP$13))</f>
        <v/>
      </c>
      <c r="DS86" s="308" t="s">
        <v>2236</v>
      </c>
      <c r="DT86" s="720" t="s">
        <v>2277</v>
      </c>
      <c r="DU86" s="244">
        <v>50000</v>
      </c>
      <c r="DV86" s="247">
        <v>2</v>
      </c>
      <c r="DW86" s="261">
        <v>0</v>
      </c>
      <c r="DX86" s="261" t="s">
        <v>2236</v>
      </c>
      <c r="DY86" s="264">
        <v>0</v>
      </c>
      <c r="DZ86" s="444">
        <v>0</v>
      </c>
      <c r="EA86" s="444">
        <v>1</v>
      </c>
      <c r="EB86" s="444">
        <v>0</v>
      </c>
      <c r="EC86" s="761" t="str">
        <f>IF(A86=FALSE,"",IF(Detail!CX86="","N/A",YEAR(Detail!F86)&amp;Detail!DA86&amp;Detail!CX86&amp;"-"&amp;Detail!$CX$13))</f>
        <v/>
      </c>
      <c r="ED86" s="445" t="s">
        <v>2236</v>
      </c>
      <c r="EE86" s="720" t="s">
        <v>2277</v>
      </c>
      <c r="EF86" s="244">
        <v>50000</v>
      </c>
      <c r="EG86" s="247">
        <v>2</v>
      </c>
      <c r="EH86" s="261">
        <v>0</v>
      </c>
      <c r="EI86" s="261" t="s">
        <v>2236</v>
      </c>
      <c r="EJ86" s="264">
        <v>0</v>
      </c>
      <c r="EK86" s="444">
        <v>0</v>
      </c>
      <c r="EL86" s="444">
        <v>1</v>
      </c>
      <c r="EM86" s="444">
        <v>0</v>
      </c>
      <c r="EN86" s="333" t="str">
        <f>IF(A86=FALSE,"",IF(Detail!DF86="","N/A",YEAR(Detail!F86)&amp;Detail!DI86&amp;Detail!DF86&amp;"-"&amp;Detail!$DF$13))</f>
        <v/>
      </c>
      <c r="EO86" s="1012" t="s">
        <v>2236</v>
      </c>
      <c r="EP86" s="1012" t="s">
        <v>2277</v>
      </c>
      <c r="EQ86" s="1013">
        <f t="shared" si="24"/>
        <v>0</v>
      </c>
      <c r="ER86" s="1013" t="s">
        <v>2236</v>
      </c>
      <c r="ES86" s="264">
        <v>0</v>
      </c>
      <c r="ET86" s="1013">
        <v>0</v>
      </c>
      <c r="EU86" s="1013">
        <v>1</v>
      </c>
      <c r="EV86" s="1013">
        <v>0</v>
      </c>
      <c r="EW86" s="333" t="str">
        <f>IF(DJ86=FALSE,"",IF(Detail!ET86="","N/A",YEAR(Detail!DN86)&amp;Detail!EW86&amp;Detail!ET86&amp;"-"&amp;Detail!$AL$13&amp;Detail!EU86))</f>
        <v>N/A</v>
      </c>
      <c r="EX86" s="1012" t="s">
        <v>2236</v>
      </c>
      <c r="EY86" s="1012" t="s">
        <v>2277</v>
      </c>
      <c r="EZ86" s="1013">
        <f t="shared" si="25"/>
        <v>0</v>
      </c>
      <c r="FA86" s="1013" t="s">
        <v>2236</v>
      </c>
      <c r="FB86" s="264">
        <v>0</v>
      </c>
      <c r="FC86" s="1013">
        <v>0</v>
      </c>
      <c r="FD86" s="1013">
        <v>1</v>
      </c>
      <c r="FE86" s="1013">
        <v>0</v>
      </c>
    </row>
    <row r="87" spans="1:161" s="422" customFormat="1" ht="30" customHeight="1" outlineLevel="1">
      <c r="A87" s="439" t="b">
        <f>Calcul!A87</f>
        <v>0</v>
      </c>
      <c r="B87" s="510" t="str">
        <f t="shared" si="16"/>
        <v/>
      </c>
      <c r="C87" s="1404" t="b">
        <v>0</v>
      </c>
      <c r="D87" s="241" t="s">
        <v>2147</v>
      </c>
      <c r="E87" s="1011" t="s">
        <v>2335</v>
      </c>
      <c r="F87" s="243" t="s">
        <v>2146</v>
      </c>
      <c r="G87" s="356" t="str">
        <f>IF(A87=FALSE,"",IF(NAMES!$D$10=FALSE,IF(Detail!H87="","",Detail!H87),IF(Crewlist!D87="","",Crewlist!D87)))</f>
        <v/>
      </c>
      <c r="H87" s="356" t="str">
        <f>IF(A87=FALSE,"",IF(NAMES!$D$10=FALSE,IF(Detail!P87="","",Detail!P87),IF(Crewlist!E87="","",Crewlist!E87)))</f>
        <v/>
      </c>
      <c r="I87" s="356" t="str">
        <f>IF(A87=FALSE,"",IF(NAMES!$D$10=FALSE,IF(Detail!K87="","",Detail!K87),IF(Crewlist!F87="","",Crewlist!F87)))</f>
        <v/>
      </c>
      <c r="J87" s="1001" t="str">
        <f>IF(Crewlist!T87="","",Crewlist!T87)</f>
        <v/>
      </c>
      <c r="K87" s="1001" t="str">
        <f>IF(Crewlist!D87="","",IF(Crewlist!U87="",Crewlist!Y87,IF(DATERENOUVMOINS730&lt;&gt;Crewlist!U87&lt;&gt;Crewlist!Y87,Crewlist!U87,DATERENOUVMOINS365)))</f>
        <v/>
      </c>
      <c r="L87" s="775" t="str">
        <f>IF(Detail!X87="","",Detail!X87)</f>
        <v/>
      </c>
      <c r="M87" s="775" t="str">
        <f>IF(Detail!H87="","",IF(Detail!Y87="",DATERENOUV,IF(Detail!Y87&gt;Detail!D87,Detail!D87,Detail!Y87)))</f>
        <v/>
      </c>
      <c r="N87" s="1015" t="str">
        <f>IF(A87=FALSE,"",IF(NAMES!$D$10=FALSE,IF(B87=B88,IF(O87=O88,0,(DATEDIF(L87,M87,"M")+1)),(DATEDIF(L87,M87,"M")+1)),IF(B87=B88,IF(O87=O88,0,(DATEDIF(J87,K87,"M")+1)),(DATEDIF(J87,K87,"M")+1))))</f>
        <v/>
      </c>
      <c r="O87" s="357" t="str">
        <f t="shared" si="17"/>
        <v/>
      </c>
      <c r="P87" s="358" t="str">
        <f>IF(A87=FALSE,"",IF(NAMES!$D$10=FALSE,IF((DATEDIF(L87,M87,"D")+1)&lt;365,(DATEDIF(L87,M87,"D")+1),365),IF((DATEDIF(J87,K87,"D")+1)&lt;365,(DATEDIF(J87,K87,"D")+1),365)))</f>
        <v/>
      </c>
      <c r="Q87" s="358" t="str">
        <f>IF(A87=FALSE,"",IF(NAMES!$D$10=FALSE,IF(M87="",365,DATEDIF(L87,M87,"D")+1),IF(M87="",365,DATEDIF(J87,K87,"D")+1)))</f>
        <v/>
      </c>
      <c r="R87" s="950" t="str">
        <f>Calcul!X87</f>
        <v/>
      </c>
      <c r="S87" s="950" t="str">
        <f>Calcul!Y87</f>
        <v/>
      </c>
      <c r="T87" s="993" t="str">
        <f>Calcul!AG87</f>
        <v/>
      </c>
      <c r="U87" s="368" t="str">
        <f>IF(A87=FALSE,"",IF(NAMES!$D$10=FALSE,IF(Detail!S87="","",Detail!S87),IF(Crewlist!V87="","",Crewlist!V87)))</f>
        <v/>
      </c>
      <c r="V87" s="245" t="str">
        <f>Calcul!AI87</f>
        <v/>
      </c>
      <c r="W87" s="245" t="str">
        <f>Calcul!AL87</f>
        <v/>
      </c>
      <c r="X87" s="245" t="str">
        <f>Calcul!AM87</f>
        <v/>
      </c>
      <c r="Y87" s="353" t="str">
        <f>Calcul!AN87</f>
        <v/>
      </c>
      <c r="Z87" s="245" t="str">
        <f>Calcul!AO87</f>
        <v/>
      </c>
      <c r="AA87" s="245" t="str">
        <f>Calcul!AP87</f>
        <v/>
      </c>
      <c r="AB87" s="353" t="str">
        <f>Calcul!AQ87</f>
        <v/>
      </c>
      <c r="AC87" s="353" t="str">
        <f>IF(C87=FALSE,"",Calcul!BE87+Calcul!BF87)</f>
        <v/>
      </c>
      <c r="AD87" s="353" t="str">
        <f>IF(C87=FALSE,"",(Calcul!BG87+Calcul!BH87)+SUM(Calcul!BI87:BN87))</f>
        <v/>
      </c>
      <c r="AE87" s="353" t="str">
        <f>Calcul!BP87</f>
        <v/>
      </c>
      <c r="AF87" s="332" t="str">
        <f>IF(A87=FALSE,"",YEAR(Detail!F87)&amp;Detail!AG87&amp;Detail!AD87&amp;"-"&amp;Detail!$AD$13&amp;Detail!AE87)</f>
        <v/>
      </c>
      <c r="AG87" s="1406" t="s">
        <v>2236</v>
      </c>
      <c r="AH87" s="527" t="s">
        <v>2277</v>
      </c>
      <c r="AI87" s="917">
        <v>0</v>
      </c>
      <c r="AJ87" s="1407" t="s">
        <v>2236</v>
      </c>
      <c r="AK87" s="1410">
        <v>32</v>
      </c>
      <c r="AL87" s="508">
        <v>0</v>
      </c>
      <c r="AM87" s="261">
        <v>1</v>
      </c>
      <c r="AN87" s="261">
        <v>0</v>
      </c>
      <c r="AO87" s="333" t="str">
        <f>IF(A87=FALSE,"",IF(Detail!AL87="","N/A",YEAR(Detail!F87)&amp;Detail!AO87&amp;Detail!AL87&amp;"-"&amp;Detail!$AL$13&amp;Detail!AM87))</f>
        <v/>
      </c>
      <c r="AP87" s="1406" t="s">
        <v>2236</v>
      </c>
      <c r="AQ87" s="701" t="s">
        <v>2277</v>
      </c>
      <c r="AR87" s="1013">
        <f t="shared" si="18"/>
        <v>0</v>
      </c>
      <c r="AS87" s="261" t="s">
        <v>2236</v>
      </c>
      <c r="AT87" s="264">
        <v>0</v>
      </c>
      <c r="AU87" s="261">
        <v>0</v>
      </c>
      <c r="AV87" s="261">
        <v>1</v>
      </c>
      <c r="AW87" s="261">
        <v>0</v>
      </c>
      <c r="AX87" s="920" t="str">
        <f>IF(A87=FALSE,"",IF(Detail!AT87="","N/A",YEAR(Detail!F87)&amp;Detail!AW87&amp;Detail!AT87&amp;"-"&amp;Detail!$AT$13))</f>
        <v/>
      </c>
      <c r="AY87" s="1014" t="s">
        <v>2236</v>
      </c>
      <c r="AZ87" s="308" t="s">
        <v>2278</v>
      </c>
      <c r="BA87" s="440" t="str">
        <f>IF(A87=FALSE,"",51000+(Detail!AA87*7000))</f>
        <v/>
      </c>
      <c r="BB87" s="1412">
        <v>50000</v>
      </c>
      <c r="BC87" s="247">
        <v>3</v>
      </c>
      <c r="BD87" s="261">
        <v>0</v>
      </c>
      <c r="BE87" s="261" t="s">
        <v>2236</v>
      </c>
      <c r="BF87" s="264">
        <v>0</v>
      </c>
      <c r="BG87" s="508">
        <v>0</v>
      </c>
      <c r="BH87" s="261">
        <v>1</v>
      </c>
      <c r="BI87" s="261">
        <v>0</v>
      </c>
      <c r="BJ87" s="311" t="str">
        <f>IF(A87=FALSE,"",IF(Detail!BB87="","N/A",YEAR(Detail!F87)&amp;Detail!BE87&amp;Detail!BB87&amp;"-"&amp;Detail!$BB$13))</f>
        <v/>
      </c>
      <c r="BK87" s="1354" t="s">
        <v>2236</v>
      </c>
      <c r="BL87" s="527" t="s">
        <v>2278</v>
      </c>
      <c r="BM87" s="440" t="str">
        <f>IF(A87=FALSE,"",51000+(Detail!AA87*7000))</f>
        <v/>
      </c>
      <c r="BN87" s="1412">
        <v>50000</v>
      </c>
      <c r="BO87" s="247">
        <v>3</v>
      </c>
      <c r="BP87" s="261">
        <v>0</v>
      </c>
      <c r="BQ87" s="261" t="s">
        <v>2236</v>
      </c>
      <c r="BR87" s="264">
        <v>0</v>
      </c>
      <c r="BS87" s="508">
        <v>0</v>
      </c>
      <c r="BT87" s="261">
        <v>1</v>
      </c>
      <c r="BU87" s="261">
        <v>0</v>
      </c>
      <c r="BV87" s="311" t="str">
        <f>IF(A87=FALSE,"",IF(Detail!BJ87="","N/A",YEAR(Detail!F87)&amp;Detail!BM87&amp;Detail!BJ87&amp;"-"&amp;Detail!$BJ$13))</f>
        <v/>
      </c>
      <c r="BW87" s="1409" t="s">
        <v>2236</v>
      </c>
      <c r="BX87" s="527" t="s">
        <v>2278</v>
      </c>
      <c r="BY87" s="440" t="str">
        <f t="shared" si="19"/>
        <v/>
      </c>
      <c r="BZ87" s="1412">
        <v>50000</v>
      </c>
      <c r="CA87" s="247">
        <v>3</v>
      </c>
      <c r="CB87" s="261">
        <v>0</v>
      </c>
      <c r="CC87" s="261" t="s">
        <v>2236</v>
      </c>
      <c r="CD87" s="264">
        <v>0</v>
      </c>
      <c r="CE87" s="508">
        <v>0</v>
      </c>
      <c r="CF87" s="261">
        <v>1</v>
      </c>
      <c r="CG87" s="261">
        <v>0</v>
      </c>
      <c r="CH87" s="311" t="str">
        <f>IF(A87=FALSE,"",IF(Detail!BR87="","N/A",YEAR(Detail!F87)&amp;Detail!BU87&amp;Detail!BR87&amp;"-"&amp;Detail!$BR$13))</f>
        <v/>
      </c>
      <c r="CI87" s="1327" t="s">
        <v>2236</v>
      </c>
      <c r="CJ87" s="527" t="s">
        <v>2278</v>
      </c>
      <c r="CK87" s="440" t="str">
        <f t="shared" si="20"/>
        <v/>
      </c>
      <c r="CL87" s="1412">
        <v>50000</v>
      </c>
      <c r="CM87" s="247">
        <v>3</v>
      </c>
      <c r="CN87" s="261">
        <v>0</v>
      </c>
      <c r="CO87" s="261" t="s">
        <v>2236</v>
      </c>
      <c r="CP87" s="264">
        <v>0</v>
      </c>
      <c r="CQ87" s="508">
        <v>0</v>
      </c>
      <c r="CR87" s="261">
        <v>1</v>
      </c>
      <c r="CS87" s="261">
        <v>0</v>
      </c>
      <c r="CT87" s="311" t="str">
        <f>IF(A87=FALSE,"",IF(Detail!BZ87="","N/A",YEAR(Detail!F87)&amp;Detail!CC87&amp;Detail!BZ87&amp;"-"&amp;Detail!$BZ$13&amp;" (100%/"&amp;Detail!CD87&amp;"/"&amp;Detail!CE87&amp;"D)"))</f>
        <v/>
      </c>
      <c r="CU87" s="1016" t="s">
        <v>2236</v>
      </c>
      <c r="CV87" s="527" t="s">
        <v>2278</v>
      </c>
      <c r="CW87" s="241">
        <v>7</v>
      </c>
      <c r="CX87" s="1323">
        <v>365</v>
      </c>
      <c r="CY87" s="248">
        <v>1</v>
      </c>
      <c r="CZ87" s="261">
        <v>0</v>
      </c>
      <c r="DA87" s="1325" t="s">
        <v>2236</v>
      </c>
      <c r="DB87" s="538">
        <v>40</v>
      </c>
      <c r="DC87" s="1325">
        <v>0.1</v>
      </c>
      <c r="DD87" s="261">
        <v>1</v>
      </c>
      <c r="DE87" s="261">
        <v>0</v>
      </c>
      <c r="DF87" s="313" t="str">
        <f>IF(A87=FALSE,"",IF(Detail!CH87="","N/A",YEAR(Detail!F87)&amp;Detail!CK87&amp;Detail!CH87&amp;"-"&amp;Detail!$CH$13&amp;" (100%/"&amp;Detail!CL87&amp;"/"&amp;Detail!CM87&amp;"D)"))</f>
        <v/>
      </c>
      <c r="DG87" s="1354" t="s">
        <v>2236</v>
      </c>
      <c r="DH87" s="518" t="s">
        <v>2278</v>
      </c>
      <c r="DI87" s="241">
        <f t="shared" si="21"/>
        <v>7</v>
      </c>
      <c r="DJ87" s="243">
        <f t="shared" si="22"/>
        <v>365</v>
      </c>
      <c r="DK87" s="258">
        <v>1</v>
      </c>
      <c r="DL87" s="261">
        <v>0</v>
      </c>
      <c r="DM87" s="1325" t="s">
        <v>2236</v>
      </c>
      <c r="DN87" s="538">
        <v>96</v>
      </c>
      <c r="DO87" s="1325">
        <f t="shared" si="23"/>
        <v>0.1</v>
      </c>
      <c r="DP87" s="261">
        <v>1</v>
      </c>
      <c r="DQ87" s="261">
        <v>0</v>
      </c>
      <c r="DR87" s="920" t="str">
        <f>IF(A87=FALSE,"",IF(Detail!CP87="","N/A",YEAR(Detail!F87)&amp;Detail!CS87&amp;Detail!CP87&amp;"-"&amp;Detail!$CP$13))</f>
        <v/>
      </c>
      <c r="DS87" s="308" t="s">
        <v>2236</v>
      </c>
      <c r="DT87" s="720" t="s">
        <v>2277</v>
      </c>
      <c r="DU87" s="244">
        <v>50000</v>
      </c>
      <c r="DV87" s="247">
        <v>2</v>
      </c>
      <c r="DW87" s="261">
        <v>0</v>
      </c>
      <c r="DX87" s="261" t="s">
        <v>2236</v>
      </c>
      <c r="DY87" s="264">
        <v>0</v>
      </c>
      <c r="DZ87" s="444">
        <v>0</v>
      </c>
      <c r="EA87" s="444">
        <v>1</v>
      </c>
      <c r="EB87" s="444">
        <v>0</v>
      </c>
      <c r="EC87" s="761" t="str">
        <f>IF(A87=FALSE,"",IF(Detail!CX87="","N/A",YEAR(Detail!F87)&amp;Detail!DA87&amp;Detail!CX87&amp;"-"&amp;Detail!$CX$13))</f>
        <v/>
      </c>
      <c r="ED87" s="445" t="s">
        <v>2236</v>
      </c>
      <c r="EE87" s="720" t="s">
        <v>2277</v>
      </c>
      <c r="EF87" s="244">
        <v>50000</v>
      </c>
      <c r="EG87" s="247">
        <v>2</v>
      </c>
      <c r="EH87" s="261">
        <v>0</v>
      </c>
      <c r="EI87" s="261" t="s">
        <v>2236</v>
      </c>
      <c r="EJ87" s="264">
        <v>0</v>
      </c>
      <c r="EK87" s="444">
        <v>0</v>
      </c>
      <c r="EL87" s="444">
        <v>1</v>
      </c>
      <c r="EM87" s="444">
        <v>0</v>
      </c>
      <c r="EN87" s="333" t="str">
        <f>IF(A87=FALSE,"",IF(Detail!DF87="","N/A",YEAR(Detail!F87)&amp;Detail!DI87&amp;Detail!DF87&amp;"-"&amp;Detail!$DF$13))</f>
        <v/>
      </c>
      <c r="EO87" s="1012" t="s">
        <v>2236</v>
      </c>
      <c r="EP87" s="1012" t="s">
        <v>2277</v>
      </c>
      <c r="EQ87" s="1013">
        <f t="shared" si="24"/>
        <v>0</v>
      </c>
      <c r="ER87" s="1013" t="s">
        <v>2236</v>
      </c>
      <c r="ES87" s="264">
        <v>0</v>
      </c>
      <c r="ET87" s="1013">
        <v>0</v>
      </c>
      <c r="EU87" s="1013">
        <v>1</v>
      </c>
      <c r="EV87" s="1013">
        <v>0</v>
      </c>
      <c r="EW87" s="333" t="str">
        <f>IF(DJ87=FALSE,"",IF(Detail!ET87="","N/A",YEAR(Detail!DN87)&amp;Detail!EW87&amp;Detail!ET87&amp;"-"&amp;Detail!$AL$13&amp;Detail!EU87))</f>
        <v>N/A</v>
      </c>
      <c r="EX87" s="1012" t="s">
        <v>2236</v>
      </c>
      <c r="EY87" s="1012" t="s">
        <v>2277</v>
      </c>
      <c r="EZ87" s="1013">
        <f t="shared" si="25"/>
        <v>0</v>
      </c>
      <c r="FA87" s="1013" t="s">
        <v>2236</v>
      </c>
      <c r="FB87" s="264">
        <v>0</v>
      </c>
      <c r="FC87" s="1013">
        <v>0</v>
      </c>
      <c r="FD87" s="1013">
        <v>1</v>
      </c>
      <c r="FE87" s="1013">
        <v>0</v>
      </c>
    </row>
    <row r="88" spans="1:161" s="422" customFormat="1" ht="30" customHeight="1" outlineLevel="1">
      <c r="A88" s="439" t="b">
        <f>Calcul!A88</f>
        <v>0</v>
      </c>
      <c r="B88" s="510" t="str">
        <f t="shared" si="16"/>
        <v/>
      </c>
      <c r="C88" s="1404" t="b">
        <v>0</v>
      </c>
      <c r="D88" s="241" t="s">
        <v>2147</v>
      </c>
      <c r="E88" s="1011" t="s">
        <v>2335</v>
      </c>
      <c r="F88" s="243" t="s">
        <v>2146</v>
      </c>
      <c r="G88" s="356" t="str">
        <f>IF(A88=FALSE,"",IF(NAMES!$D$10=FALSE,IF(Detail!H88="","",Detail!H88),IF(Crewlist!D88="","",Crewlist!D88)))</f>
        <v/>
      </c>
      <c r="H88" s="356" t="str">
        <f>IF(A88=FALSE,"",IF(NAMES!$D$10=FALSE,IF(Detail!P88="","",Detail!P88),IF(Crewlist!E88="","",Crewlist!E88)))</f>
        <v/>
      </c>
      <c r="I88" s="356" t="str">
        <f>IF(A88=FALSE,"",IF(NAMES!$D$10=FALSE,IF(Detail!K88="","",Detail!K88),IF(Crewlist!F88="","",Crewlist!F88)))</f>
        <v/>
      </c>
      <c r="J88" s="1001" t="str">
        <f>IF(Crewlist!T88="","",Crewlist!T88)</f>
        <v/>
      </c>
      <c r="K88" s="1001" t="str">
        <f>IF(Crewlist!D88="","",IF(Crewlist!U88="",Crewlist!Y88,IF(DATERENOUVMOINS730&lt;&gt;Crewlist!U88&lt;&gt;Crewlist!Y88,Crewlist!U88,DATERENOUVMOINS365)))</f>
        <v/>
      </c>
      <c r="L88" s="775" t="str">
        <f>IF(Detail!X88="","",Detail!X88)</f>
        <v/>
      </c>
      <c r="M88" s="775" t="str">
        <f>IF(Detail!H88="","",IF(Detail!Y88="",DATERENOUV,IF(Detail!Y88&gt;Detail!D88,Detail!D88,Detail!Y88)))</f>
        <v/>
      </c>
      <c r="N88" s="1015" t="str">
        <f>IF(A88=FALSE,"",IF(NAMES!$D$10=FALSE,IF(B88=B89,IF(O88=O89,0,(DATEDIF(L88,M88,"M")+1)),(DATEDIF(L88,M88,"M")+1)),IF(B88=B89,IF(O88=O89,0,(DATEDIF(J88,K88,"M")+1)),(DATEDIF(J88,K88,"M")+1))))</f>
        <v/>
      </c>
      <c r="O88" s="357" t="str">
        <f t="shared" si="17"/>
        <v/>
      </c>
      <c r="P88" s="358" t="str">
        <f>IF(A88=FALSE,"",IF(NAMES!$D$10=FALSE,IF((DATEDIF(L88,M88,"D")+1)&lt;365,(DATEDIF(L88,M88,"D")+1),365),IF((DATEDIF(J88,K88,"D")+1)&lt;365,(DATEDIF(J88,K88,"D")+1),365)))</f>
        <v/>
      </c>
      <c r="Q88" s="358" t="str">
        <f>IF(A88=FALSE,"",IF(NAMES!$D$10=FALSE,IF(M88="",365,DATEDIF(L88,M88,"D")+1),IF(M88="",365,DATEDIF(J88,K88,"D")+1)))</f>
        <v/>
      </c>
      <c r="R88" s="950" t="str">
        <f>Calcul!X88</f>
        <v/>
      </c>
      <c r="S88" s="950" t="str">
        <f>Calcul!Y88</f>
        <v/>
      </c>
      <c r="T88" s="993" t="str">
        <f>Calcul!AG88</f>
        <v/>
      </c>
      <c r="U88" s="368" t="str">
        <f>IF(A88=FALSE,"",IF(NAMES!$D$10=FALSE,IF(Detail!S88="","",Detail!S88),IF(Crewlist!V88="","",Crewlist!V88)))</f>
        <v/>
      </c>
      <c r="V88" s="245" t="str">
        <f>Calcul!AI88</f>
        <v/>
      </c>
      <c r="W88" s="245" t="str">
        <f>Calcul!AL88</f>
        <v/>
      </c>
      <c r="X88" s="245" t="str">
        <f>Calcul!AM88</f>
        <v/>
      </c>
      <c r="Y88" s="353" t="str">
        <f>Calcul!AN88</f>
        <v/>
      </c>
      <c r="Z88" s="245" t="str">
        <f>Calcul!AO88</f>
        <v/>
      </c>
      <c r="AA88" s="245" t="str">
        <f>Calcul!AP88</f>
        <v/>
      </c>
      <c r="AB88" s="353" t="str">
        <f>Calcul!AQ88</f>
        <v/>
      </c>
      <c r="AC88" s="353" t="str">
        <f>IF(C88=FALSE,"",Calcul!BE88+Calcul!BF88)</f>
        <v/>
      </c>
      <c r="AD88" s="353" t="str">
        <f>IF(C88=FALSE,"",(Calcul!BG88+Calcul!BH88)+SUM(Calcul!BI88:BN88))</f>
        <v/>
      </c>
      <c r="AE88" s="353" t="str">
        <f>Calcul!BP88</f>
        <v/>
      </c>
      <c r="AF88" s="332" t="str">
        <f>IF(A88=FALSE,"",YEAR(Detail!F88)&amp;Detail!AG88&amp;Detail!AD88&amp;"-"&amp;Detail!$AD$13&amp;Detail!AE88)</f>
        <v/>
      </c>
      <c r="AG88" s="1406" t="s">
        <v>2236</v>
      </c>
      <c r="AH88" s="527" t="s">
        <v>2277</v>
      </c>
      <c r="AI88" s="917">
        <v>0</v>
      </c>
      <c r="AJ88" s="1407" t="s">
        <v>2236</v>
      </c>
      <c r="AK88" s="1410">
        <v>32</v>
      </c>
      <c r="AL88" s="508">
        <v>0</v>
      </c>
      <c r="AM88" s="261">
        <v>1</v>
      </c>
      <c r="AN88" s="261">
        <v>0</v>
      </c>
      <c r="AO88" s="333" t="str">
        <f>IF(A88=FALSE,"",IF(Detail!AL88="","N/A",YEAR(Detail!F88)&amp;Detail!AO88&amp;Detail!AL88&amp;"-"&amp;Detail!$AL$13&amp;Detail!AM88))</f>
        <v/>
      </c>
      <c r="AP88" s="1406" t="s">
        <v>2236</v>
      </c>
      <c r="AQ88" s="701" t="s">
        <v>2277</v>
      </c>
      <c r="AR88" s="1013">
        <f t="shared" si="18"/>
        <v>0</v>
      </c>
      <c r="AS88" s="261" t="s">
        <v>2236</v>
      </c>
      <c r="AT88" s="264">
        <v>0</v>
      </c>
      <c r="AU88" s="261">
        <v>0</v>
      </c>
      <c r="AV88" s="261">
        <v>1</v>
      </c>
      <c r="AW88" s="261">
        <v>0</v>
      </c>
      <c r="AX88" s="920" t="str">
        <f>IF(A88=FALSE,"",IF(Detail!AT88="","N/A",YEAR(Detail!F88)&amp;Detail!AW88&amp;Detail!AT88&amp;"-"&amp;Detail!$AT$13))</f>
        <v/>
      </c>
      <c r="AY88" s="1014" t="s">
        <v>2236</v>
      </c>
      <c r="AZ88" s="308" t="s">
        <v>2278</v>
      </c>
      <c r="BA88" s="440" t="str">
        <f>IF(A88=FALSE,"",51000+(Detail!AA88*7000))</f>
        <v/>
      </c>
      <c r="BB88" s="1412">
        <v>50000</v>
      </c>
      <c r="BC88" s="247">
        <v>3</v>
      </c>
      <c r="BD88" s="261">
        <v>0</v>
      </c>
      <c r="BE88" s="261" t="s">
        <v>2236</v>
      </c>
      <c r="BF88" s="264">
        <v>0</v>
      </c>
      <c r="BG88" s="508">
        <v>0</v>
      </c>
      <c r="BH88" s="261">
        <v>1</v>
      </c>
      <c r="BI88" s="261">
        <v>0</v>
      </c>
      <c r="BJ88" s="311" t="str">
        <f>IF(A88=FALSE,"",IF(Detail!BB88="","N/A",YEAR(Detail!F88)&amp;Detail!BE88&amp;Detail!BB88&amp;"-"&amp;Detail!$BB$13))</f>
        <v/>
      </c>
      <c r="BK88" s="1354" t="s">
        <v>2236</v>
      </c>
      <c r="BL88" s="527" t="s">
        <v>2278</v>
      </c>
      <c r="BM88" s="440" t="str">
        <f>IF(A88=FALSE,"",51000+(Detail!AA88*7000))</f>
        <v/>
      </c>
      <c r="BN88" s="1412">
        <v>50000</v>
      </c>
      <c r="BO88" s="247">
        <v>3</v>
      </c>
      <c r="BP88" s="261">
        <v>0</v>
      </c>
      <c r="BQ88" s="261" t="s">
        <v>2236</v>
      </c>
      <c r="BR88" s="264">
        <v>0</v>
      </c>
      <c r="BS88" s="508">
        <v>0</v>
      </c>
      <c r="BT88" s="261">
        <v>1</v>
      </c>
      <c r="BU88" s="261">
        <v>0</v>
      </c>
      <c r="BV88" s="311" t="str">
        <f>IF(A88=FALSE,"",IF(Detail!BJ88="","N/A",YEAR(Detail!F88)&amp;Detail!BM88&amp;Detail!BJ88&amp;"-"&amp;Detail!$BJ$13))</f>
        <v/>
      </c>
      <c r="BW88" s="1409" t="s">
        <v>2236</v>
      </c>
      <c r="BX88" s="527" t="s">
        <v>2278</v>
      </c>
      <c r="BY88" s="440" t="str">
        <f t="shared" si="19"/>
        <v/>
      </c>
      <c r="BZ88" s="1412">
        <v>50000</v>
      </c>
      <c r="CA88" s="247">
        <v>3</v>
      </c>
      <c r="CB88" s="261">
        <v>0</v>
      </c>
      <c r="CC88" s="261" t="s">
        <v>2236</v>
      </c>
      <c r="CD88" s="264">
        <v>0</v>
      </c>
      <c r="CE88" s="508">
        <v>0</v>
      </c>
      <c r="CF88" s="261">
        <v>1</v>
      </c>
      <c r="CG88" s="261">
        <v>0</v>
      </c>
      <c r="CH88" s="311" t="str">
        <f>IF(A88=FALSE,"",IF(Detail!BR88="","N/A",YEAR(Detail!F88)&amp;Detail!BU88&amp;Detail!BR88&amp;"-"&amp;Detail!$BR$13))</f>
        <v/>
      </c>
      <c r="CI88" s="925" t="s">
        <v>2236</v>
      </c>
      <c r="CJ88" s="527" t="s">
        <v>2278</v>
      </c>
      <c r="CK88" s="440" t="str">
        <f t="shared" si="20"/>
        <v/>
      </c>
      <c r="CL88" s="1412">
        <v>50000</v>
      </c>
      <c r="CM88" s="247">
        <v>3</v>
      </c>
      <c r="CN88" s="261">
        <v>0</v>
      </c>
      <c r="CO88" s="261" t="s">
        <v>2236</v>
      </c>
      <c r="CP88" s="264">
        <v>0</v>
      </c>
      <c r="CQ88" s="508">
        <v>0</v>
      </c>
      <c r="CR88" s="261">
        <v>1</v>
      </c>
      <c r="CS88" s="261">
        <v>0</v>
      </c>
      <c r="CT88" s="311" t="str">
        <f>IF(A88=FALSE,"",IF(Detail!BZ88="","N/A",YEAR(Detail!F88)&amp;Detail!CC88&amp;Detail!BZ88&amp;"-"&amp;Detail!$BZ$13&amp;" (100%/"&amp;Detail!CD88&amp;"/"&amp;Detail!CE88&amp;"D)"))</f>
        <v/>
      </c>
      <c r="CU88" s="1016" t="s">
        <v>2236</v>
      </c>
      <c r="CV88" s="527" t="s">
        <v>2278</v>
      </c>
      <c r="CW88" s="241">
        <v>7</v>
      </c>
      <c r="CX88" s="1323">
        <v>365</v>
      </c>
      <c r="CY88" s="248">
        <v>1</v>
      </c>
      <c r="CZ88" s="261">
        <v>0</v>
      </c>
      <c r="DA88" s="1325" t="s">
        <v>2236</v>
      </c>
      <c r="DB88" s="538">
        <v>40</v>
      </c>
      <c r="DC88" s="1325">
        <v>0.1</v>
      </c>
      <c r="DD88" s="261">
        <v>1</v>
      </c>
      <c r="DE88" s="261">
        <v>0</v>
      </c>
      <c r="DF88" s="313" t="str">
        <f>IF(A88=FALSE,"",IF(Detail!CH88="","N/A",YEAR(Detail!F88)&amp;Detail!CK88&amp;Detail!CH88&amp;"-"&amp;Detail!$CH$13&amp;" (100%/"&amp;Detail!CL88&amp;"/"&amp;Detail!CM88&amp;"D)"))</f>
        <v/>
      </c>
      <c r="DG88" s="1354" t="s">
        <v>2236</v>
      </c>
      <c r="DH88" s="518" t="s">
        <v>2278</v>
      </c>
      <c r="DI88" s="241">
        <f t="shared" si="21"/>
        <v>7</v>
      </c>
      <c r="DJ88" s="243">
        <f t="shared" si="22"/>
        <v>365</v>
      </c>
      <c r="DK88" s="258">
        <v>1</v>
      </c>
      <c r="DL88" s="261">
        <v>0</v>
      </c>
      <c r="DM88" s="1325" t="s">
        <v>2236</v>
      </c>
      <c r="DN88" s="538">
        <v>96</v>
      </c>
      <c r="DO88" s="1325">
        <f t="shared" si="23"/>
        <v>0.1</v>
      </c>
      <c r="DP88" s="261">
        <v>1</v>
      </c>
      <c r="DQ88" s="261">
        <v>0</v>
      </c>
      <c r="DR88" s="920" t="str">
        <f>IF(A88=FALSE,"",IF(Detail!CP88="","N/A",YEAR(Detail!F88)&amp;Detail!CS88&amp;Detail!CP88&amp;"-"&amp;Detail!$CP$13))</f>
        <v/>
      </c>
      <c r="DS88" s="308" t="s">
        <v>2236</v>
      </c>
      <c r="DT88" s="720" t="s">
        <v>2277</v>
      </c>
      <c r="DU88" s="244">
        <v>50000</v>
      </c>
      <c r="DV88" s="247">
        <v>2</v>
      </c>
      <c r="DW88" s="261">
        <v>0</v>
      </c>
      <c r="DX88" s="261" t="s">
        <v>2236</v>
      </c>
      <c r="DY88" s="264">
        <v>0</v>
      </c>
      <c r="DZ88" s="444">
        <v>0</v>
      </c>
      <c r="EA88" s="444">
        <v>1</v>
      </c>
      <c r="EB88" s="444">
        <v>0</v>
      </c>
      <c r="EC88" s="761" t="str">
        <f>IF(A88=FALSE,"",IF(Detail!CX88="","N/A",YEAR(Detail!F88)&amp;Detail!DA88&amp;Detail!CX88&amp;"-"&amp;Detail!$CX$13))</f>
        <v/>
      </c>
      <c r="ED88" s="445" t="s">
        <v>2236</v>
      </c>
      <c r="EE88" s="720" t="s">
        <v>2277</v>
      </c>
      <c r="EF88" s="244">
        <v>50000</v>
      </c>
      <c r="EG88" s="247">
        <v>2</v>
      </c>
      <c r="EH88" s="261">
        <v>0</v>
      </c>
      <c r="EI88" s="261" t="s">
        <v>2236</v>
      </c>
      <c r="EJ88" s="264">
        <v>0</v>
      </c>
      <c r="EK88" s="444">
        <v>0</v>
      </c>
      <c r="EL88" s="444">
        <v>1</v>
      </c>
      <c r="EM88" s="444">
        <v>0</v>
      </c>
      <c r="EN88" s="333" t="str">
        <f>IF(A88=FALSE,"",IF(Detail!DF88="","N/A",YEAR(Detail!F88)&amp;Detail!DI88&amp;Detail!DF88&amp;"-"&amp;Detail!$DF$13))</f>
        <v/>
      </c>
      <c r="EO88" s="1012" t="s">
        <v>2236</v>
      </c>
      <c r="EP88" s="1012" t="s">
        <v>2277</v>
      </c>
      <c r="EQ88" s="1013">
        <f t="shared" si="24"/>
        <v>0</v>
      </c>
      <c r="ER88" s="1013" t="s">
        <v>2236</v>
      </c>
      <c r="ES88" s="264">
        <v>0</v>
      </c>
      <c r="ET88" s="1013">
        <v>0</v>
      </c>
      <c r="EU88" s="1013">
        <v>1</v>
      </c>
      <c r="EV88" s="1013">
        <v>0</v>
      </c>
      <c r="EW88" s="333" t="str">
        <f>IF(DJ88=FALSE,"",IF(Detail!ET88="","N/A",YEAR(Detail!DN88)&amp;Detail!EW88&amp;Detail!ET88&amp;"-"&amp;Detail!$AL$13&amp;Detail!EU88))</f>
        <v>N/A</v>
      </c>
      <c r="EX88" s="1012" t="s">
        <v>2236</v>
      </c>
      <c r="EY88" s="1012" t="s">
        <v>2277</v>
      </c>
      <c r="EZ88" s="1013">
        <f t="shared" si="25"/>
        <v>0</v>
      </c>
      <c r="FA88" s="1013" t="s">
        <v>2236</v>
      </c>
      <c r="FB88" s="264">
        <v>0</v>
      </c>
      <c r="FC88" s="1013">
        <v>0</v>
      </c>
      <c r="FD88" s="1013">
        <v>1</v>
      </c>
      <c r="FE88" s="1013">
        <v>0</v>
      </c>
    </row>
    <row r="89" spans="1:161" s="422" customFormat="1" ht="30" customHeight="1" outlineLevel="1">
      <c r="A89" s="439" t="b">
        <f>Calcul!A89</f>
        <v>0</v>
      </c>
      <c r="B89" s="510" t="str">
        <f t="shared" si="16"/>
        <v/>
      </c>
      <c r="C89" s="1404" t="b">
        <v>0</v>
      </c>
      <c r="D89" s="241" t="s">
        <v>2147</v>
      </c>
      <c r="E89" s="1011" t="s">
        <v>2335</v>
      </c>
      <c r="F89" s="243" t="s">
        <v>2146</v>
      </c>
      <c r="G89" s="356" t="str">
        <f>IF(A89=FALSE,"",IF(NAMES!$D$10=FALSE,IF(Detail!H89="","",Detail!H89),IF(Crewlist!D89="","",Crewlist!D89)))</f>
        <v/>
      </c>
      <c r="H89" s="356" t="str">
        <f>IF(A89=FALSE,"",IF(NAMES!$D$10=FALSE,IF(Detail!P89="","",Detail!P89),IF(Crewlist!E89="","",Crewlist!E89)))</f>
        <v/>
      </c>
      <c r="I89" s="356" t="str">
        <f>IF(A89=FALSE,"",IF(NAMES!$D$10=FALSE,IF(Detail!K89="","",Detail!K89),IF(Crewlist!F89="","",Crewlist!F89)))</f>
        <v/>
      </c>
      <c r="J89" s="1001" t="str">
        <f>IF(Crewlist!T89="","",Crewlist!T89)</f>
        <v/>
      </c>
      <c r="K89" s="1001" t="str">
        <f>IF(Crewlist!D89="","",IF(Crewlist!U89="",Crewlist!Y89,IF(DATERENOUVMOINS730&lt;&gt;Crewlist!U89&lt;&gt;Crewlist!Y89,Crewlist!U89,DATERENOUVMOINS365)))</f>
        <v/>
      </c>
      <c r="L89" s="775" t="str">
        <f>IF(Detail!X89="","",Detail!X89)</f>
        <v/>
      </c>
      <c r="M89" s="775" t="str">
        <f>IF(Detail!H89="","",IF(Detail!Y89="",DATERENOUV,IF(Detail!Y89&gt;Detail!D89,Detail!D89,Detail!Y89)))</f>
        <v/>
      </c>
      <c r="N89" s="1015" t="str">
        <f>IF(A89=FALSE,"",IF(NAMES!$D$10=FALSE,IF(B89=B90,IF(O89=O90,0,(DATEDIF(L89,M89,"M")+1)),(DATEDIF(L89,M89,"M")+1)),IF(B89=B90,IF(O89=O90,0,(DATEDIF(J89,K89,"M")+1)),(DATEDIF(J89,K89,"M")+1))))</f>
        <v/>
      </c>
      <c r="O89" s="357" t="str">
        <f t="shared" si="17"/>
        <v/>
      </c>
      <c r="P89" s="358" t="str">
        <f>IF(A89=FALSE,"",IF(NAMES!$D$10=FALSE,IF((DATEDIF(L89,M89,"D")+1)&lt;365,(DATEDIF(L89,M89,"D")+1),365),IF((DATEDIF(J89,K89,"D")+1)&lt;365,(DATEDIF(J89,K89,"D")+1),365)))</f>
        <v/>
      </c>
      <c r="Q89" s="358" t="str">
        <f>IF(A89=FALSE,"",IF(NAMES!$D$10=FALSE,IF(M89="",365,DATEDIF(L89,M89,"D")+1),IF(M89="",365,DATEDIF(J89,K89,"D")+1)))</f>
        <v/>
      </c>
      <c r="R89" s="950" t="str">
        <f>Calcul!X89</f>
        <v/>
      </c>
      <c r="S89" s="950" t="str">
        <f>Calcul!Y89</f>
        <v/>
      </c>
      <c r="T89" s="993" t="str">
        <f>Calcul!AG89</f>
        <v/>
      </c>
      <c r="U89" s="368" t="str">
        <f>IF(A89=FALSE,"",IF(NAMES!$D$10=FALSE,IF(Detail!S89="","",Detail!S89),IF(Crewlist!V89="","",Crewlist!V89)))</f>
        <v/>
      </c>
      <c r="V89" s="245" t="str">
        <f>Calcul!AI89</f>
        <v/>
      </c>
      <c r="W89" s="245" t="str">
        <f>Calcul!AL89</f>
        <v/>
      </c>
      <c r="X89" s="245" t="str">
        <f>Calcul!AM89</f>
        <v/>
      </c>
      <c r="Y89" s="353" t="str">
        <f>Calcul!AN89</f>
        <v/>
      </c>
      <c r="Z89" s="245" t="str">
        <f>Calcul!AO89</f>
        <v/>
      </c>
      <c r="AA89" s="245" t="str">
        <f>Calcul!AP89</f>
        <v/>
      </c>
      <c r="AB89" s="353" t="str">
        <f>Calcul!AQ89</f>
        <v/>
      </c>
      <c r="AC89" s="353" t="str">
        <f>IF(C89=FALSE,"",Calcul!BE89+Calcul!BF89)</f>
        <v/>
      </c>
      <c r="AD89" s="353" t="str">
        <f>IF(C89=FALSE,"",(Calcul!BG89+Calcul!BH89)+SUM(Calcul!BI89:BN89))</f>
        <v/>
      </c>
      <c r="AE89" s="353" t="str">
        <f>Calcul!BP89</f>
        <v/>
      </c>
      <c r="AF89" s="332" t="str">
        <f>IF(A89=FALSE,"",YEAR(Detail!F89)&amp;Detail!AG89&amp;Detail!AD89&amp;"-"&amp;Detail!$AD$13&amp;Detail!AE89)</f>
        <v/>
      </c>
      <c r="AG89" s="1406" t="s">
        <v>2236</v>
      </c>
      <c r="AH89" s="527" t="s">
        <v>2277</v>
      </c>
      <c r="AI89" s="917">
        <v>0</v>
      </c>
      <c r="AJ89" s="1407" t="s">
        <v>2236</v>
      </c>
      <c r="AK89" s="1410">
        <v>32</v>
      </c>
      <c r="AL89" s="508">
        <v>0</v>
      </c>
      <c r="AM89" s="261">
        <v>1</v>
      </c>
      <c r="AN89" s="261">
        <v>0</v>
      </c>
      <c r="AO89" s="333" t="str">
        <f>IF(A89=FALSE,"",IF(Detail!AL89="","N/A",YEAR(Detail!F89)&amp;Detail!AO89&amp;Detail!AL89&amp;"-"&amp;Detail!$AL$13&amp;Detail!AM89))</f>
        <v/>
      </c>
      <c r="AP89" s="1406" t="s">
        <v>2236</v>
      </c>
      <c r="AQ89" s="701" t="s">
        <v>2277</v>
      </c>
      <c r="AR89" s="1013">
        <f t="shared" si="18"/>
        <v>0</v>
      </c>
      <c r="AS89" s="261" t="s">
        <v>2236</v>
      </c>
      <c r="AT89" s="264">
        <v>0</v>
      </c>
      <c r="AU89" s="261">
        <v>0</v>
      </c>
      <c r="AV89" s="261">
        <v>1</v>
      </c>
      <c r="AW89" s="261">
        <v>0</v>
      </c>
      <c r="AX89" s="920" t="str">
        <f>IF(A89=FALSE,"",IF(Detail!AT89="","N/A",YEAR(Detail!F89)&amp;Detail!AW89&amp;Detail!AT89&amp;"-"&amp;Detail!$AT$13))</f>
        <v/>
      </c>
      <c r="AY89" s="1014" t="s">
        <v>2236</v>
      </c>
      <c r="AZ89" s="308" t="s">
        <v>2278</v>
      </c>
      <c r="BA89" s="440" t="str">
        <f>IF(A89=FALSE,"",51000+(Detail!AA89*7000))</f>
        <v/>
      </c>
      <c r="BB89" s="1412">
        <v>50000</v>
      </c>
      <c r="BC89" s="247">
        <v>3</v>
      </c>
      <c r="BD89" s="261">
        <v>0</v>
      </c>
      <c r="BE89" s="261" t="s">
        <v>2236</v>
      </c>
      <c r="BF89" s="264">
        <v>0</v>
      </c>
      <c r="BG89" s="508">
        <v>0</v>
      </c>
      <c r="BH89" s="261">
        <v>1</v>
      </c>
      <c r="BI89" s="261">
        <v>0</v>
      </c>
      <c r="BJ89" s="311" t="str">
        <f>IF(A89=FALSE,"",IF(Detail!BB89="","N/A",YEAR(Detail!F89)&amp;Detail!BE89&amp;Detail!BB89&amp;"-"&amp;Detail!$BB$13))</f>
        <v/>
      </c>
      <c r="BK89" s="1354" t="s">
        <v>2236</v>
      </c>
      <c r="BL89" s="527" t="s">
        <v>2278</v>
      </c>
      <c r="BM89" s="440" t="str">
        <f>IF(A89=FALSE,"",51000+(Detail!AA89*7000))</f>
        <v/>
      </c>
      <c r="BN89" s="1412">
        <v>50000</v>
      </c>
      <c r="BO89" s="247">
        <v>3</v>
      </c>
      <c r="BP89" s="261">
        <v>0</v>
      </c>
      <c r="BQ89" s="261" t="s">
        <v>2236</v>
      </c>
      <c r="BR89" s="264">
        <v>0</v>
      </c>
      <c r="BS89" s="508">
        <v>0</v>
      </c>
      <c r="BT89" s="261">
        <v>1</v>
      </c>
      <c r="BU89" s="261">
        <v>0</v>
      </c>
      <c r="BV89" s="311" t="str">
        <f>IF(A89=FALSE,"",IF(Detail!BJ89="","N/A",YEAR(Detail!F89)&amp;Detail!BM89&amp;Detail!BJ89&amp;"-"&amp;Detail!$BJ$13))</f>
        <v/>
      </c>
      <c r="BW89" s="1409" t="s">
        <v>2236</v>
      </c>
      <c r="BX89" s="527" t="s">
        <v>2278</v>
      </c>
      <c r="BY89" s="440" t="str">
        <f t="shared" si="19"/>
        <v/>
      </c>
      <c r="BZ89" s="1412">
        <v>50000</v>
      </c>
      <c r="CA89" s="247">
        <v>3</v>
      </c>
      <c r="CB89" s="261">
        <v>0</v>
      </c>
      <c r="CC89" s="261" t="s">
        <v>2236</v>
      </c>
      <c r="CD89" s="264">
        <v>0</v>
      </c>
      <c r="CE89" s="508">
        <v>0</v>
      </c>
      <c r="CF89" s="261">
        <v>1</v>
      </c>
      <c r="CG89" s="261">
        <v>0</v>
      </c>
      <c r="CH89" s="311" t="str">
        <f>IF(A89=FALSE,"",IF(Detail!BR89="","N/A",YEAR(Detail!F89)&amp;Detail!BU89&amp;Detail!BR89&amp;"-"&amp;Detail!$BR$13))</f>
        <v/>
      </c>
      <c r="CI89" s="925" t="s">
        <v>2236</v>
      </c>
      <c r="CJ89" s="527" t="s">
        <v>2278</v>
      </c>
      <c r="CK89" s="440" t="str">
        <f t="shared" si="20"/>
        <v/>
      </c>
      <c r="CL89" s="1412">
        <v>50000</v>
      </c>
      <c r="CM89" s="247">
        <v>3</v>
      </c>
      <c r="CN89" s="261">
        <v>0</v>
      </c>
      <c r="CO89" s="261" t="s">
        <v>2236</v>
      </c>
      <c r="CP89" s="264">
        <v>0</v>
      </c>
      <c r="CQ89" s="508">
        <v>0</v>
      </c>
      <c r="CR89" s="261">
        <v>1</v>
      </c>
      <c r="CS89" s="261">
        <v>0</v>
      </c>
      <c r="CT89" s="311" t="str">
        <f>IF(A89=FALSE,"",IF(Detail!BZ89="","N/A",YEAR(Detail!F89)&amp;Detail!CC89&amp;Detail!BZ89&amp;"-"&amp;Detail!$BZ$13&amp;" (100%/"&amp;Detail!CD89&amp;"/"&amp;Detail!CE89&amp;"D)"))</f>
        <v/>
      </c>
      <c r="CU89" s="1016" t="s">
        <v>2236</v>
      </c>
      <c r="CV89" s="527" t="s">
        <v>2278</v>
      </c>
      <c r="CW89" s="241">
        <v>7</v>
      </c>
      <c r="CX89" s="1323">
        <v>365</v>
      </c>
      <c r="CY89" s="248">
        <v>1</v>
      </c>
      <c r="CZ89" s="261">
        <v>0</v>
      </c>
      <c r="DA89" s="1325" t="s">
        <v>2236</v>
      </c>
      <c r="DB89" s="538">
        <v>40</v>
      </c>
      <c r="DC89" s="1325">
        <v>0.1</v>
      </c>
      <c r="DD89" s="261">
        <v>1</v>
      </c>
      <c r="DE89" s="261">
        <v>0</v>
      </c>
      <c r="DF89" s="313" t="str">
        <f>IF(A89=FALSE,"",IF(Detail!CH89="","N/A",YEAR(Detail!F89)&amp;Detail!CK89&amp;Detail!CH89&amp;"-"&amp;Detail!$CH$13&amp;" (100%/"&amp;Detail!CL89&amp;"/"&amp;Detail!CM89&amp;"D)"))</f>
        <v/>
      </c>
      <c r="DG89" s="1354" t="s">
        <v>2236</v>
      </c>
      <c r="DH89" s="518" t="s">
        <v>2278</v>
      </c>
      <c r="DI89" s="241">
        <f t="shared" si="21"/>
        <v>7</v>
      </c>
      <c r="DJ89" s="243">
        <f t="shared" si="22"/>
        <v>365</v>
      </c>
      <c r="DK89" s="258">
        <v>1</v>
      </c>
      <c r="DL89" s="261">
        <v>0</v>
      </c>
      <c r="DM89" s="1325" t="s">
        <v>2236</v>
      </c>
      <c r="DN89" s="538">
        <v>96</v>
      </c>
      <c r="DO89" s="1325">
        <f t="shared" si="23"/>
        <v>0.1</v>
      </c>
      <c r="DP89" s="261">
        <v>1</v>
      </c>
      <c r="DQ89" s="261">
        <v>0</v>
      </c>
      <c r="DR89" s="920" t="str">
        <f>IF(A89=FALSE,"",IF(Detail!CP89="","N/A",YEAR(Detail!F89)&amp;Detail!CS89&amp;Detail!CP89&amp;"-"&amp;Detail!$CP$13))</f>
        <v/>
      </c>
      <c r="DS89" s="308" t="s">
        <v>2236</v>
      </c>
      <c r="DT89" s="720" t="s">
        <v>2277</v>
      </c>
      <c r="DU89" s="244">
        <v>50000</v>
      </c>
      <c r="DV89" s="247">
        <v>2</v>
      </c>
      <c r="DW89" s="261">
        <v>0</v>
      </c>
      <c r="DX89" s="261" t="s">
        <v>2236</v>
      </c>
      <c r="DY89" s="264">
        <v>0</v>
      </c>
      <c r="DZ89" s="444">
        <v>0</v>
      </c>
      <c r="EA89" s="444">
        <v>1</v>
      </c>
      <c r="EB89" s="444">
        <v>0</v>
      </c>
      <c r="EC89" s="761" t="str">
        <f>IF(A89=FALSE,"",IF(Detail!CX89="","N/A",YEAR(Detail!F89)&amp;Detail!DA89&amp;Detail!CX89&amp;"-"&amp;Detail!$CX$13))</f>
        <v/>
      </c>
      <c r="ED89" s="445" t="s">
        <v>2236</v>
      </c>
      <c r="EE89" s="720" t="s">
        <v>2277</v>
      </c>
      <c r="EF89" s="244">
        <v>50000</v>
      </c>
      <c r="EG89" s="247">
        <v>2</v>
      </c>
      <c r="EH89" s="261">
        <v>0</v>
      </c>
      <c r="EI89" s="261" t="s">
        <v>2236</v>
      </c>
      <c r="EJ89" s="264">
        <v>0</v>
      </c>
      <c r="EK89" s="444">
        <v>0</v>
      </c>
      <c r="EL89" s="444">
        <v>1</v>
      </c>
      <c r="EM89" s="444">
        <v>0</v>
      </c>
      <c r="EN89" s="333" t="str">
        <f>IF(A89=FALSE,"",IF(Detail!DF89="","N/A",YEAR(Detail!F89)&amp;Detail!DI89&amp;Detail!DF89&amp;"-"&amp;Detail!$DF$13))</f>
        <v/>
      </c>
      <c r="EO89" s="1012" t="s">
        <v>2236</v>
      </c>
      <c r="EP89" s="1012" t="s">
        <v>2277</v>
      </c>
      <c r="EQ89" s="1013">
        <f t="shared" si="24"/>
        <v>0</v>
      </c>
      <c r="ER89" s="1013" t="s">
        <v>2236</v>
      </c>
      <c r="ES89" s="264">
        <v>0</v>
      </c>
      <c r="ET89" s="1013">
        <v>0</v>
      </c>
      <c r="EU89" s="1013">
        <v>1</v>
      </c>
      <c r="EV89" s="1013">
        <v>0</v>
      </c>
      <c r="EW89" s="333" t="str">
        <f>IF(DJ89=FALSE,"",IF(Detail!ET89="","N/A",YEAR(Detail!DN89)&amp;Detail!EW89&amp;Detail!ET89&amp;"-"&amp;Detail!$AL$13&amp;Detail!EU89))</f>
        <v>N/A</v>
      </c>
      <c r="EX89" s="1012" t="s">
        <v>2236</v>
      </c>
      <c r="EY89" s="1012" t="s">
        <v>2277</v>
      </c>
      <c r="EZ89" s="1013">
        <f t="shared" si="25"/>
        <v>0</v>
      </c>
      <c r="FA89" s="1013" t="s">
        <v>2236</v>
      </c>
      <c r="FB89" s="264">
        <v>0</v>
      </c>
      <c r="FC89" s="1013">
        <v>0</v>
      </c>
      <c r="FD89" s="1013">
        <v>1</v>
      </c>
      <c r="FE89" s="1013">
        <v>0</v>
      </c>
    </row>
    <row r="90" spans="1:161" s="422" customFormat="1" ht="30" customHeight="1" outlineLevel="1">
      <c r="A90" s="439" t="b">
        <f>Calcul!A90</f>
        <v>0</v>
      </c>
      <c r="B90" s="510" t="str">
        <f t="shared" si="16"/>
        <v/>
      </c>
      <c r="C90" s="1404" t="b">
        <v>0</v>
      </c>
      <c r="D90" s="241" t="s">
        <v>2147</v>
      </c>
      <c r="E90" s="1011" t="s">
        <v>2335</v>
      </c>
      <c r="F90" s="243" t="s">
        <v>2146</v>
      </c>
      <c r="G90" s="356" t="str">
        <f>IF(A90=FALSE,"",IF(NAMES!$D$10=FALSE,IF(Detail!H90="","",Detail!H90),IF(Crewlist!D90="","",Crewlist!D90)))</f>
        <v/>
      </c>
      <c r="H90" s="356" t="str">
        <f>IF(A90=FALSE,"",IF(NAMES!$D$10=FALSE,IF(Detail!P90="","",Detail!P90),IF(Crewlist!E90="","",Crewlist!E90)))</f>
        <v/>
      </c>
      <c r="I90" s="356" t="str">
        <f>IF(A90=FALSE,"",IF(NAMES!$D$10=FALSE,IF(Detail!K90="","",Detail!K90),IF(Crewlist!F90="","",Crewlist!F90)))</f>
        <v/>
      </c>
      <c r="J90" s="1001" t="str">
        <f>IF(Crewlist!T90="","",Crewlist!T90)</f>
        <v/>
      </c>
      <c r="K90" s="1001" t="str">
        <f>IF(Crewlist!D90="","",IF(Crewlist!U90="",Crewlist!Y90,IF(DATERENOUVMOINS730&lt;&gt;Crewlist!U90&lt;&gt;Crewlist!Y90,Crewlist!U90,DATERENOUVMOINS365)))</f>
        <v/>
      </c>
      <c r="L90" s="775" t="str">
        <f>IF(Detail!X90="","",Detail!X90)</f>
        <v/>
      </c>
      <c r="M90" s="775" t="str">
        <f>IF(Detail!H90="","",IF(Detail!Y90="",DATERENOUV,IF(Detail!Y90&gt;Detail!D90,Detail!D90,Detail!Y90)))</f>
        <v/>
      </c>
      <c r="N90" s="1015" t="str">
        <f>IF(A90=FALSE,"",IF(NAMES!$D$10=FALSE,IF(B90=B91,IF(O90=O91,0,(DATEDIF(L90,M90,"M")+1)),(DATEDIF(L90,M90,"M")+1)),IF(B90=B91,IF(O90=O91,0,(DATEDIF(J90,K90,"M")+1)),(DATEDIF(J90,K90,"M")+1))))</f>
        <v/>
      </c>
      <c r="O90" s="357" t="str">
        <f t="shared" si="17"/>
        <v/>
      </c>
      <c r="P90" s="358" t="str">
        <f>IF(A90=FALSE,"",IF(NAMES!$D$10=FALSE,IF((DATEDIF(L90,M90,"D")+1)&lt;365,(DATEDIF(L90,M90,"D")+1),365),IF((DATEDIF(J90,K90,"D")+1)&lt;365,(DATEDIF(J90,K90,"D")+1),365)))</f>
        <v/>
      </c>
      <c r="Q90" s="358" t="str">
        <f>IF(A90=FALSE,"",IF(NAMES!$D$10=FALSE,IF(M90="",365,DATEDIF(L90,M90,"D")+1),IF(M90="",365,DATEDIF(J90,K90,"D")+1)))</f>
        <v/>
      </c>
      <c r="R90" s="950" t="str">
        <f>Calcul!X90</f>
        <v/>
      </c>
      <c r="S90" s="950" t="str">
        <f>Calcul!Y90</f>
        <v/>
      </c>
      <c r="T90" s="993" t="str">
        <f>Calcul!AG90</f>
        <v/>
      </c>
      <c r="U90" s="368" t="str">
        <f>IF(A90=FALSE,"",IF(NAMES!$D$10=FALSE,IF(Detail!S90="","",Detail!S90),IF(Crewlist!V90="","",Crewlist!V90)))</f>
        <v/>
      </c>
      <c r="V90" s="245" t="str">
        <f>Calcul!AI90</f>
        <v/>
      </c>
      <c r="W90" s="245" t="str">
        <f>Calcul!AL90</f>
        <v/>
      </c>
      <c r="X90" s="245" t="str">
        <f>Calcul!AM90</f>
        <v/>
      </c>
      <c r="Y90" s="353" t="str">
        <f>Calcul!AN90</f>
        <v/>
      </c>
      <c r="Z90" s="245" t="str">
        <f>Calcul!AO90</f>
        <v/>
      </c>
      <c r="AA90" s="245" t="str">
        <f>Calcul!AP90</f>
        <v/>
      </c>
      <c r="AB90" s="353" t="str">
        <f>Calcul!AQ90</f>
        <v/>
      </c>
      <c r="AC90" s="353" t="str">
        <f>IF(C90=FALSE,"",Calcul!BE90+Calcul!BF90)</f>
        <v/>
      </c>
      <c r="AD90" s="353" t="str">
        <f>IF(C90=FALSE,"",(Calcul!BG90+Calcul!BH90)+SUM(Calcul!BI90:BN90))</f>
        <v/>
      </c>
      <c r="AE90" s="353" t="str">
        <f>Calcul!BP90</f>
        <v/>
      </c>
      <c r="AF90" s="332" t="str">
        <f>IF(A90=FALSE,"",YEAR(Detail!F90)&amp;Detail!AG90&amp;Detail!AD90&amp;"-"&amp;Detail!$AD$13&amp;Detail!AE90)</f>
        <v/>
      </c>
      <c r="AG90" s="1406" t="s">
        <v>2236</v>
      </c>
      <c r="AH90" s="527" t="s">
        <v>2277</v>
      </c>
      <c r="AI90" s="917">
        <v>0</v>
      </c>
      <c r="AJ90" s="1407" t="s">
        <v>2236</v>
      </c>
      <c r="AK90" s="1410">
        <v>32</v>
      </c>
      <c r="AL90" s="508">
        <v>0</v>
      </c>
      <c r="AM90" s="261">
        <v>1</v>
      </c>
      <c r="AN90" s="261">
        <v>0</v>
      </c>
      <c r="AO90" s="333" t="str">
        <f>IF(A90=FALSE,"",IF(Detail!AL90="","N/A",YEAR(Detail!F90)&amp;Detail!AO90&amp;Detail!AL90&amp;"-"&amp;Detail!$AL$13&amp;Detail!AM90))</f>
        <v/>
      </c>
      <c r="AP90" s="1406" t="s">
        <v>2236</v>
      </c>
      <c r="AQ90" s="701" t="s">
        <v>2277</v>
      </c>
      <c r="AR90" s="1013">
        <f t="shared" si="18"/>
        <v>0</v>
      </c>
      <c r="AS90" s="261" t="s">
        <v>2236</v>
      </c>
      <c r="AT90" s="264">
        <v>0</v>
      </c>
      <c r="AU90" s="261">
        <v>0</v>
      </c>
      <c r="AV90" s="261">
        <v>1</v>
      </c>
      <c r="AW90" s="261">
        <v>0</v>
      </c>
      <c r="AX90" s="920" t="str">
        <f>IF(A90=FALSE,"",IF(Detail!AT90="","N/A",YEAR(Detail!F90)&amp;Detail!AW90&amp;Detail!AT90&amp;"-"&amp;Detail!$AT$13))</f>
        <v/>
      </c>
      <c r="AY90" s="1014" t="s">
        <v>2236</v>
      </c>
      <c r="AZ90" s="308" t="s">
        <v>2278</v>
      </c>
      <c r="BA90" s="440" t="str">
        <f>IF(A90=FALSE,"",51000+(Detail!AA90*7000))</f>
        <v/>
      </c>
      <c r="BB90" s="1412">
        <v>50000</v>
      </c>
      <c r="BC90" s="247">
        <v>3</v>
      </c>
      <c r="BD90" s="261">
        <v>0</v>
      </c>
      <c r="BE90" s="261" t="s">
        <v>2236</v>
      </c>
      <c r="BF90" s="264">
        <v>0</v>
      </c>
      <c r="BG90" s="508">
        <v>0</v>
      </c>
      <c r="BH90" s="261">
        <v>1</v>
      </c>
      <c r="BI90" s="261">
        <v>0</v>
      </c>
      <c r="BJ90" s="311" t="str">
        <f>IF(A90=FALSE,"",IF(Detail!BB90="","N/A",YEAR(Detail!F90)&amp;Detail!BE90&amp;Detail!BB90&amp;"-"&amp;Detail!$BB$13))</f>
        <v/>
      </c>
      <c r="BK90" s="1354" t="s">
        <v>2236</v>
      </c>
      <c r="BL90" s="527" t="s">
        <v>2278</v>
      </c>
      <c r="BM90" s="440" t="str">
        <f>IF(A90=FALSE,"",51000+(Detail!AA90*7000))</f>
        <v/>
      </c>
      <c r="BN90" s="1412">
        <v>50000</v>
      </c>
      <c r="BO90" s="247">
        <v>3</v>
      </c>
      <c r="BP90" s="261">
        <v>0</v>
      </c>
      <c r="BQ90" s="261" t="s">
        <v>2236</v>
      </c>
      <c r="BR90" s="264">
        <v>0</v>
      </c>
      <c r="BS90" s="508">
        <v>0</v>
      </c>
      <c r="BT90" s="261">
        <v>1</v>
      </c>
      <c r="BU90" s="261">
        <v>0</v>
      </c>
      <c r="BV90" s="311" t="str">
        <f>IF(A90=FALSE,"",IF(Detail!BJ90="","N/A",YEAR(Detail!F90)&amp;Detail!BM90&amp;Detail!BJ90&amp;"-"&amp;Detail!$BJ$13))</f>
        <v/>
      </c>
      <c r="BW90" s="1327" t="s">
        <v>2236</v>
      </c>
      <c r="BX90" s="527" t="s">
        <v>2278</v>
      </c>
      <c r="BY90" s="440" t="str">
        <f t="shared" si="19"/>
        <v/>
      </c>
      <c r="BZ90" s="1412">
        <v>50000</v>
      </c>
      <c r="CA90" s="247">
        <v>3</v>
      </c>
      <c r="CB90" s="261">
        <v>0</v>
      </c>
      <c r="CC90" s="261" t="s">
        <v>2236</v>
      </c>
      <c r="CD90" s="264">
        <v>0</v>
      </c>
      <c r="CE90" s="508">
        <v>0</v>
      </c>
      <c r="CF90" s="261">
        <v>1</v>
      </c>
      <c r="CG90" s="261">
        <v>0</v>
      </c>
      <c r="CH90" s="311" t="str">
        <f>IF(A90=FALSE,"",IF(Detail!BR90="","N/A",YEAR(Detail!F90)&amp;Detail!BU90&amp;Detail!BR90&amp;"-"&amp;Detail!$BR$13))</f>
        <v/>
      </c>
      <c r="CI90" s="925" t="s">
        <v>2236</v>
      </c>
      <c r="CJ90" s="527" t="s">
        <v>2278</v>
      </c>
      <c r="CK90" s="440" t="str">
        <f t="shared" si="20"/>
        <v/>
      </c>
      <c r="CL90" s="1412">
        <v>50000</v>
      </c>
      <c r="CM90" s="247">
        <v>3</v>
      </c>
      <c r="CN90" s="261">
        <v>0</v>
      </c>
      <c r="CO90" s="261" t="s">
        <v>2236</v>
      </c>
      <c r="CP90" s="264">
        <v>0</v>
      </c>
      <c r="CQ90" s="508">
        <v>0</v>
      </c>
      <c r="CR90" s="261">
        <v>1</v>
      </c>
      <c r="CS90" s="261">
        <v>0</v>
      </c>
      <c r="CT90" s="311" t="str">
        <f>IF(A90=FALSE,"",IF(Detail!BZ90="","N/A",YEAR(Detail!F90)&amp;Detail!CC90&amp;Detail!BZ90&amp;"-"&amp;Detail!$BZ$13&amp;" (100%/"&amp;Detail!CD90&amp;"/"&amp;Detail!CE90&amp;"D)"))</f>
        <v/>
      </c>
      <c r="CU90" s="1016" t="s">
        <v>2236</v>
      </c>
      <c r="CV90" s="527" t="s">
        <v>2278</v>
      </c>
      <c r="CW90" s="241">
        <v>7</v>
      </c>
      <c r="CX90" s="1323">
        <v>365</v>
      </c>
      <c r="CY90" s="248">
        <v>1</v>
      </c>
      <c r="CZ90" s="261">
        <v>0</v>
      </c>
      <c r="DA90" s="1325" t="s">
        <v>2236</v>
      </c>
      <c r="DB90" s="538">
        <v>40</v>
      </c>
      <c r="DC90" s="1325">
        <v>0.1</v>
      </c>
      <c r="DD90" s="261">
        <v>1</v>
      </c>
      <c r="DE90" s="261">
        <v>0</v>
      </c>
      <c r="DF90" s="313" t="str">
        <f>IF(A90=FALSE,"",IF(Detail!CH90="","N/A",YEAR(Detail!F90)&amp;Detail!CK90&amp;Detail!CH90&amp;"-"&amp;Detail!$CH$13&amp;" (100%/"&amp;Detail!CL90&amp;"/"&amp;Detail!CM90&amp;"D)"))</f>
        <v/>
      </c>
      <c r="DG90" s="1354" t="s">
        <v>2236</v>
      </c>
      <c r="DH90" s="518" t="s">
        <v>2278</v>
      </c>
      <c r="DI90" s="241">
        <f t="shared" si="21"/>
        <v>7</v>
      </c>
      <c r="DJ90" s="243">
        <f t="shared" si="22"/>
        <v>365</v>
      </c>
      <c r="DK90" s="258">
        <v>1</v>
      </c>
      <c r="DL90" s="261">
        <v>0</v>
      </c>
      <c r="DM90" s="1325" t="s">
        <v>2236</v>
      </c>
      <c r="DN90" s="538">
        <v>96</v>
      </c>
      <c r="DO90" s="1325">
        <f t="shared" si="23"/>
        <v>0.1</v>
      </c>
      <c r="DP90" s="261">
        <v>1</v>
      </c>
      <c r="DQ90" s="261">
        <v>0</v>
      </c>
      <c r="DR90" s="920" t="str">
        <f>IF(A90=FALSE,"",IF(Detail!CP90="","N/A",YEAR(Detail!F90)&amp;Detail!CS90&amp;Detail!CP90&amp;"-"&amp;Detail!$CP$13))</f>
        <v/>
      </c>
      <c r="DS90" s="308" t="s">
        <v>2236</v>
      </c>
      <c r="DT90" s="720" t="s">
        <v>2277</v>
      </c>
      <c r="DU90" s="244">
        <v>50000</v>
      </c>
      <c r="DV90" s="247">
        <v>2</v>
      </c>
      <c r="DW90" s="261">
        <v>0</v>
      </c>
      <c r="DX90" s="261" t="s">
        <v>2236</v>
      </c>
      <c r="DY90" s="264">
        <v>0</v>
      </c>
      <c r="DZ90" s="444">
        <v>0</v>
      </c>
      <c r="EA90" s="444">
        <v>1</v>
      </c>
      <c r="EB90" s="444">
        <v>0</v>
      </c>
      <c r="EC90" s="761" t="str">
        <f>IF(A90=FALSE,"",IF(Detail!CX90="","N/A",YEAR(Detail!F90)&amp;Detail!DA90&amp;Detail!CX90&amp;"-"&amp;Detail!$CX$13))</f>
        <v/>
      </c>
      <c r="ED90" s="445" t="s">
        <v>2236</v>
      </c>
      <c r="EE90" s="720" t="s">
        <v>2277</v>
      </c>
      <c r="EF90" s="244">
        <v>50000</v>
      </c>
      <c r="EG90" s="247">
        <v>2</v>
      </c>
      <c r="EH90" s="261">
        <v>0</v>
      </c>
      <c r="EI90" s="261" t="s">
        <v>2236</v>
      </c>
      <c r="EJ90" s="264">
        <v>0</v>
      </c>
      <c r="EK90" s="444">
        <v>0</v>
      </c>
      <c r="EL90" s="444">
        <v>1</v>
      </c>
      <c r="EM90" s="444">
        <v>0</v>
      </c>
      <c r="EN90" s="333" t="str">
        <f>IF(A90=FALSE,"",IF(Detail!DF90="","N/A",YEAR(Detail!F90)&amp;Detail!DI90&amp;Detail!DF90&amp;"-"&amp;Detail!$DF$13))</f>
        <v/>
      </c>
      <c r="EO90" s="1012" t="s">
        <v>2236</v>
      </c>
      <c r="EP90" s="1012" t="s">
        <v>2277</v>
      </c>
      <c r="EQ90" s="1013">
        <f t="shared" si="24"/>
        <v>0</v>
      </c>
      <c r="ER90" s="1013" t="s">
        <v>2236</v>
      </c>
      <c r="ES90" s="264">
        <v>0</v>
      </c>
      <c r="ET90" s="1013">
        <v>0</v>
      </c>
      <c r="EU90" s="1013">
        <v>1</v>
      </c>
      <c r="EV90" s="1013">
        <v>0</v>
      </c>
      <c r="EW90" s="333" t="str">
        <f>IF(DJ90=FALSE,"",IF(Detail!ET90="","N/A",YEAR(Detail!DN90)&amp;Detail!EW90&amp;Detail!ET90&amp;"-"&amp;Detail!$AL$13&amp;Detail!EU90))</f>
        <v>N/A</v>
      </c>
      <c r="EX90" s="1012" t="s">
        <v>2236</v>
      </c>
      <c r="EY90" s="1012" t="s">
        <v>2277</v>
      </c>
      <c r="EZ90" s="1013">
        <f t="shared" si="25"/>
        <v>0</v>
      </c>
      <c r="FA90" s="1013" t="s">
        <v>2236</v>
      </c>
      <c r="FB90" s="264">
        <v>0</v>
      </c>
      <c r="FC90" s="1013">
        <v>0</v>
      </c>
      <c r="FD90" s="1013">
        <v>1</v>
      </c>
      <c r="FE90" s="1013">
        <v>0</v>
      </c>
    </row>
    <row r="91" spans="1:161" s="422" customFormat="1" ht="30" customHeight="1" outlineLevel="1">
      <c r="A91" s="439" t="b">
        <f>Calcul!A91</f>
        <v>0</v>
      </c>
      <c r="B91" s="510" t="str">
        <f t="shared" si="16"/>
        <v/>
      </c>
      <c r="C91" s="1404" t="b">
        <v>0</v>
      </c>
      <c r="D91" s="241" t="s">
        <v>2147</v>
      </c>
      <c r="E91" s="1011" t="s">
        <v>2335</v>
      </c>
      <c r="F91" s="243" t="s">
        <v>2146</v>
      </c>
      <c r="G91" s="356" t="str">
        <f>IF(A91=FALSE,"",IF(NAMES!$D$10=FALSE,IF(Detail!H91="","",Detail!H91),IF(Crewlist!D91="","",Crewlist!D91)))</f>
        <v/>
      </c>
      <c r="H91" s="356" t="str">
        <f>IF(A91=FALSE,"",IF(NAMES!$D$10=FALSE,IF(Detail!P91="","",Detail!P91),IF(Crewlist!E91="","",Crewlist!E91)))</f>
        <v/>
      </c>
      <c r="I91" s="356" t="str">
        <f>IF(A91=FALSE,"",IF(NAMES!$D$10=FALSE,IF(Detail!K91="","",Detail!K91),IF(Crewlist!F91="","",Crewlist!F91)))</f>
        <v/>
      </c>
      <c r="J91" s="1001" t="str">
        <f>IF(Crewlist!T91="","",Crewlist!T91)</f>
        <v/>
      </c>
      <c r="K91" s="1001" t="str">
        <f>IF(Crewlist!D91="","",IF(Crewlist!U91="",Crewlist!Y91,IF(DATERENOUVMOINS730&lt;&gt;Crewlist!U91&lt;&gt;Crewlist!Y91,Crewlist!U91,DATERENOUVMOINS365)))</f>
        <v/>
      </c>
      <c r="L91" s="775" t="str">
        <f>IF(Detail!X91="","",Detail!X91)</f>
        <v/>
      </c>
      <c r="M91" s="775" t="str">
        <f>IF(Detail!H91="","",IF(Detail!Y91="",DATERENOUV,IF(Detail!Y91&gt;Detail!D91,Detail!D91,Detail!Y91)))</f>
        <v/>
      </c>
      <c r="N91" s="1015" t="str">
        <f>IF(A91=FALSE,"",IF(NAMES!$D$10=FALSE,IF(B91=B92,IF(O91=O92,0,(DATEDIF(L91,M91,"M")+1)),(DATEDIF(L91,M91,"M")+1)),IF(B91=B92,IF(O91=O92,0,(DATEDIF(J91,K91,"M")+1)),(DATEDIF(J91,K91,"M")+1))))</f>
        <v/>
      </c>
      <c r="O91" s="357" t="str">
        <f t="shared" si="17"/>
        <v/>
      </c>
      <c r="P91" s="358" t="str">
        <f>IF(A91=FALSE,"",IF(NAMES!$D$10=FALSE,IF((DATEDIF(L91,M91,"D")+1)&lt;365,(DATEDIF(L91,M91,"D")+1),365),IF((DATEDIF(J91,K91,"D")+1)&lt;365,(DATEDIF(J91,K91,"D")+1),365)))</f>
        <v/>
      </c>
      <c r="Q91" s="358" t="str">
        <f>IF(A91=FALSE,"",IF(NAMES!$D$10=FALSE,IF(M91="",365,DATEDIF(L91,M91,"D")+1),IF(M91="",365,DATEDIF(J91,K91,"D")+1)))</f>
        <v/>
      </c>
      <c r="R91" s="950" t="str">
        <f>Calcul!X91</f>
        <v/>
      </c>
      <c r="S91" s="950" t="str">
        <f>Calcul!Y91</f>
        <v/>
      </c>
      <c r="T91" s="993" t="str">
        <f>Calcul!AG91</f>
        <v/>
      </c>
      <c r="U91" s="368" t="str">
        <f>IF(A91=FALSE,"",IF(NAMES!$D$10=FALSE,IF(Detail!S91="","",Detail!S91),IF(Crewlist!V91="","",Crewlist!V91)))</f>
        <v/>
      </c>
      <c r="V91" s="245" t="str">
        <f>Calcul!AI91</f>
        <v/>
      </c>
      <c r="W91" s="245" t="str">
        <f>Calcul!AL91</f>
        <v/>
      </c>
      <c r="X91" s="245" t="str">
        <f>Calcul!AM91</f>
        <v/>
      </c>
      <c r="Y91" s="353" t="str">
        <f>Calcul!AN91</f>
        <v/>
      </c>
      <c r="Z91" s="245" t="str">
        <f>Calcul!AO91</f>
        <v/>
      </c>
      <c r="AA91" s="245" t="str">
        <f>Calcul!AP91</f>
        <v/>
      </c>
      <c r="AB91" s="353" t="str">
        <f>Calcul!AQ91</f>
        <v/>
      </c>
      <c r="AC91" s="353" t="str">
        <f>IF(C91=FALSE,"",Calcul!BE91+Calcul!BF91)</f>
        <v/>
      </c>
      <c r="AD91" s="353" t="str">
        <f>IF(C91=FALSE,"",(Calcul!BG91+Calcul!BH91)+SUM(Calcul!BI91:BN91))</f>
        <v/>
      </c>
      <c r="AE91" s="353" t="str">
        <f>Calcul!BP91</f>
        <v/>
      </c>
      <c r="AF91" s="332" t="str">
        <f>IF(A91=FALSE,"",YEAR(Detail!F91)&amp;Detail!AG91&amp;Detail!AD91&amp;"-"&amp;Detail!$AD$13&amp;Detail!AE91)</f>
        <v/>
      </c>
      <c r="AG91" s="1406" t="s">
        <v>2236</v>
      </c>
      <c r="AH91" s="527" t="s">
        <v>2277</v>
      </c>
      <c r="AI91" s="917">
        <v>0</v>
      </c>
      <c r="AJ91" s="1407" t="s">
        <v>2236</v>
      </c>
      <c r="AK91" s="1410">
        <v>32</v>
      </c>
      <c r="AL91" s="508">
        <v>0</v>
      </c>
      <c r="AM91" s="261">
        <v>1</v>
      </c>
      <c r="AN91" s="261">
        <v>0</v>
      </c>
      <c r="AO91" s="333" t="str">
        <f>IF(A91=FALSE,"",IF(Detail!AL91="","N/A",YEAR(Detail!F91)&amp;Detail!AO91&amp;Detail!AL91&amp;"-"&amp;Detail!$AL$13&amp;Detail!AM91))</f>
        <v/>
      </c>
      <c r="AP91" s="1406" t="s">
        <v>2236</v>
      </c>
      <c r="AQ91" s="701" t="s">
        <v>2277</v>
      </c>
      <c r="AR91" s="1013">
        <f t="shared" si="18"/>
        <v>0</v>
      </c>
      <c r="AS91" s="261" t="s">
        <v>2236</v>
      </c>
      <c r="AT91" s="264">
        <v>0</v>
      </c>
      <c r="AU91" s="261">
        <v>0</v>
      </c>
      <c r="AV91" s="261">
        <v>1</v>
      </c>
      <c r="AW91" s="261">
        <v>0</v>
      </c>
      <c r="AX91" s="920" t="str">
        <f>IF(A91=FALSE,"",IF(Detail!AT91="","N/A",YEAR(Detail!F91)&amp;Detail!AW91&amp;Detail!AT91&amp;"-"&amp;Detail!$AT$13))</f>
        <v/>
      </c>
      <c r="AY91" s="1014" t="s">
        <v>2236</v>
      </c>
      <c r="AZ91" s="308" t="s">
        <v>2278</v>
      </c>
      <c r="BA91" s="440" t="str">
        <f>IF(A91=FALSE,"",51000+(Detail!AA91*7000))</f>
        <v/>
      </c>
      <c r="BB91" s="1412">
        <v>50000</v>
      </c>
      <c r="BC91" s="247">
        <v>3</v>
      </c>
      <c r="BD91" s="261">
        <v>0</v>
      </c>
      <c r="BE91" s="261" t="s">
        <v>2236</v>
      </c>
      <c r="BF91" s="264">
        <v>0</v>
      </c>
      <c r="BG91" s="508">
        <v>0</v>
      </c>
      <c r="BH91" s="261">
        <v>1</v>
      </c>
      <c r="BI91" s="261">
        <v>0</v>
      </c>
      <c r="BJ91" s="311" t="str">
        <f>IF(A91=FALSE,"",IF(Detail!BB91="","N/A",YEAR(Detail!F91)&amp;Detail!BE91&amp;Detail!BB91&amp;"-"&amp;Detail!$BB$13))</f>
        <v/>
      </c>
      <c r="BK91" s="1354" t="s">
        <v>2236</v>
      </c>
      <c r="BL91" s="527" t="s">
        <v>2278</v>
      </c>
      <c r="BM91" s="440" t="str">
        <f>IF(A91=FALSE,"",51000+(Detail!AA91*7000))</f>
        <v/>
      </c>
      <c r="BN91" s="1412">
        <v>50000</v>
      </c>
      <c r="BO91" s="247">
        <v>3</v>
      </c>
      <c r="BP91" s="261">
        <v>0</v>
      </c>
      <c r="BQ91" s="261" t="s">
        <v>2236</v>
      </c>
      <c r="BR91" s="264">
        <v>0</v>
      </c>
      <c r="BS91" s="508">
        <v>0</v>
      </c>
      <c r="BT91" s="261">
        <v>1</v>
      </c>
      <c r="BU91" s="261">
        <v>0</v>
      </c>
      <c r="BV91" s="311" t="str">
        <f>IF(A91=FALSE,"",IF(Detail!BJ91="","N/A",YEAR(Detail!F91)&amp;Detail!BM91&amp;Detail!BJ91&amp;"-"&amp;Detail!$BJ$13))</f>
        <v/>
      </c>
      <c r="BW91" s="1327" t="s">
        <v>2236</v>
      </c>
      <c r="BX91" s="527" t="s">
        <v>2278</v>
      </c>
      <c r="BY91" s="440" t="str">
        <f t="shared" si="19"/>
        <v/>
      </c>
      <c r="BZ91" s="1412">
        <v>50000</v>
      </c>
      <c r="CA91" s="247">
        <v>3</v>
      </c>
      <c r="CB91" s="261">
        <v>0</v>
      </c>
      <c r="CC91" s="261" t="s">
        <v>2236</v>
      </c>
      <c r="CD91" s="264">
        <v>0</v>
      </c>
      <c r="CE91" s="508">
        <v>0</v>
      </c>
      <c r="CF91" s="261">
        <v>1</v>
      </c>
      <c r="CG91" s="261">
        <v>0</v>
      </c>
      <c r="CH91" s="311" t="str">
        <f>IF(A91=FALSE,"",IF(Detail!BR91="","N/A",YEAR(Detail!F91)&amp;Detail!BU91&amp;Detail!BR91&amp;"-"&amp;Detail!$BR$13))</f>
        <v/>
      </c>
      <c r="CI91" s="925" t="s">
        <v>2236</v>
      </c>
      <c r="CJ91" s="527" t="s">
        <v>2278</v>
      </c>
      <c r="CK91" s="440" t="str">
        <f t="shared" si="20"/>
        <v/>
      </c>
      <c r="CL91" s="1412">
        <v>50000</v>
      </c>
      <c r="CM91" s="247">
        <v>3</v>
      </c>
      <c r="CN91" s="261">
        <v>0</v>
      </c>
      <c r="CO91" s="261" t="s">
        <v>2236</v>
      </c>
      <c r="CP91" s="264">
        <v>0</v>
      </c>
      <c r="CQ91" s="508">
        <v>0</v>
      </c>
      <c r="CR91" s="261">
        <v>1</v>
      </c>
      <c r="CS91" s="261">
        <v>0</v>
      </c>
      <c r="CT91" s="311" t="str">
        <f>IF(A91=FALSE,"",IF(Detail!BZ91="","N/A",YEAR(Detail!F91)&amp;Detail!CC91&amp;Detail!BZ91&amp;"-"&amp;Detail!$BZ$13&amp;" (100%/"&amp;Detail!CD91&amp;"/"&amp;Detail!CE91&amp;"D)"))</f>
        <v/>
      </c>
      <c r="CU91" s="1016" t="s">
        <v>2236</v>
      </c>
      <c r="CV91" s="527" t="s">
        <v>2278</v>
      </c>
      <c r="CW91" s="241">
        <v>7</v>
      </c>
      <c r="CX91" s="1323">
        <v>365</v>
      </c>
      <c r="CY91" s="248">
        <v>1</v>
      </c>
      <c r="CZ91" s="261">
        <v>0</v>
      </c>
      <c r="DA91" s="1325" t="s">
        <v>2236</v>
      </c>
      <c r="DB91" s="538">
        <v>40</v>
      </c>
      <c r="DC91" s="1325">
        <v>0.1</v>
      </c>
      <c r="DD91" s="261">
        <v>1</v>
      </c>
      <c r="DE91" s="261">
        <v>0</v>
      </c>
      <c r="DF91" s="313" t="str">
        <f>IF(A91=FALSE,"",IF(Detail!CH91="","N/A",YEAR(Detail!F91)&amp;Detail!CK91&amp;Detail!CH91&amp;"-"&amp;Detail!$CH$13&amp;" (100%/"&amp;Detail!CL91&amp;"/"&amp;Detail!CM91&amp;"D)"))</f>
        <v/>
      </c>
      <c r="DG91" s="1354" t="s">
        <v>2236</v>
      </c>
      <c r="DH91" s="518" t="s">
        <v>2278</v>
      </c>
      <c r="DI91" s="241">
        <f t="shared" si="21"/>
        <v>7</v>
      </c>
      <c r="DJ91" s="243">
        <f t="shared" si="22"/>
        <v>365</v>
      </c>
      <c r="DK91" s="258">
        <v>1</v>
      </c>
      <c r="DL91" s="261">
        <v>0</v>
      </c>
      <c r="DM91" s="1325" t="s">
        <v>2236</v>
      </c>
      <c r="DN91" s="538">
        <v>96</v>
      </c>
      <c r="DO91" s="1325">
        <f t="shared" si="23"/>
        <v>0.1</v>
      </c>
      <c r="DP91" s="261">
        <v>1</v>
      </c>
      <c r="DQ91" s="261">
        <v>0</v>
      </c>
      <c r="DR91" s="920" t="str">
        <f>IF(A91=FALSE,"",IF(Detail!CP91="","N/A",YEAR(Detail!F91)&amp;Detail!CS91&amp;Detail!CP91&amp;"-"&amp;Detail!$CP$13))</f>
        <v/>
      </c>
      <c r="DS91" s="308" t="s">
        <v>2236</v>
      </c>
      <c r="DT91" s="720" t="s">
        <v>2277</v>
      </c>
      <c r="DU91" s="244">
        <v>50000</v>
      </c>
      <c r="DV91" s="247">
        <v>2</v>
      </c>
      <c r="DW91" s="261">
        <v>0</v>
      </c>
      <c r="DX91" s="261" t="s">
        <v>2236</v>
      </c>
      <c r="DY91" s="264">
        <v>0</v>
      </c>
      <c r="DZ91" s="444">
        <v>0</v>
      </c>
      <c r="EA91" s="444">
        <v>1</v>
      </c>
      <c r="EB91" s="444">
        <v>0</v>
      </c>
      <c r="EC91" s="761" t="str">
        <f>IF(A91=FALSE,"",IF(Detail!CX91="","N/A",YEAR(Detail!F91)&amp;Detail!DA91&amp;Detail!CX91&amp;"-"&amp;Detail!$CX$13))</f>
        <v/>
      </c>
      <c r="ED91" s="445" t="s">
        <v>2236</v>
      </c>
      <c r="EE91" s="720" t="s">
        <v>2277</v>
      </c>
      <c r="EF91" s="244">
        <v>50000</v>
      </c>
      <c r="EG91" s="247">
        <v>2</v>
      </c>
      <c r="EH91" s="261">
        <v>0</v>
      </c>
      <c r="EI91" s="261" t="s">
        <v>2236</v>
      </c>
      <c r="EJ91" s="264">
        <v>0</v>
      </c>
      <c r="EK91" s="444">
        <v>0</v>
      </c>
      <c r="EL91" s="444">
        <v>1</v>
      </c>
      <c r="EM91" s="444">
        <v>0</v>
      </c>
      <c r="EN91" s="333" t="str">
        <f>IF(A91=FALSE,"",IF(Detail!DF91="","N/A",YEAR(Detail!F91)&amp;Detail!DI91&amp;Detail!DF91&amp;"-"&amp;Detail!$DF$13))</f>
        <v/>
      </c>
      <c r="EO91" s="1012" t="s">
        <v>2236</v>
      </c>
      <c r="EP91" s="1012" t="s">
        <v>2277</v>
      </c>
      <c r="EQ91" s="1013">
        <f t="shared" si="24"/>
        <v>0</v>
      </c>
      <c r="ER91" s="1013" t="s">
        <v>2236</v>
      </c>
      <c r="ES91" s="264">
        <v>0</v>
      </c>
      <c r="ET91" s="1013">
        <v>0</v>
      </c>
      <c r="EU91" s="1013">
        <v>1</v>
      </c>
      <c r="EV91" s="1013">
        <v>0</v>
      </c>
      <c r="EW91" s="333" t="str">
        <f>IF(DJ91=FALSE,"",IF(Detail!ET91="","N/A",YEAR(Detail!DN91)&amp;Detail!EW91&amp;Detail!ET91&amp;"-"&amp;Detail!$AL$13&amp;Detail!EU91))</f>
        <v>N/A</v>
      </c>
      <c r="EX91" s="1012" t="s">
        <v>2236</v>
      </c>
      <c r="EY91" s="1012" t="s">
        <v>2277</v>
      </c>
      <c r="EZ91" s="1013">
        <f t="shared" si="25"/>
        <v>0</v>
      </c>
      <c r="FA91" s="1013" t="s">
        <v>2236</v>
      </c>
      <c r="FB91" s="264">
        <v>0</v>
      </c>
      <c r="FC91" s="1013">
        <v>0</v>
      </c>
      <c r="FD91" s="1013">
        <v>1</v>
      </c>
      <c r="FE91" s="1013">
        <v>0</v>
      </c>
    </row>
    <row r="92" spans="1:161" s="422" customFormat="1" ht="30" customHeight="1" outlineLevel="1">
      <c r="A92" s="439" t="b">
        <f>Calcul!A92</f>
        <v>0</v>
      </c>
      <c r="B92" s="510" t="str">
        <f t="shared" si="16"/>
        <v/>
      </c>
      <c r="C92" s="1404" t="b">
        <v>0</v>
      </c>
      <c r="D92" s="241" t="s">
        <v>2147</v>
      </c>
      <c r="E92" s="1011" t="s">
        <v>2335</v>
      </c>
      <c r="F92" s="243" t="s">
        <v>2146</v>
      </c>
      <c r="G92" s="356" t="str">
        <f>IF(A92=FALSE,"",IF(NAMES!$D$10=FALSE,IF(Detail!H92="","",Detail!H92),IF(Crewlist!D92="","",Crewlist!D92)))</f>
        <v/>
      </c>
      <c r="H92" s="356" t="str">
        <f>IF(A92=FALSE,"",IF(NAMES!$D$10=FALSE,IF(Detail!P92="","",Detail!P92),IF(Crewlist!E92="","",Crewlist!E92)))</f>
        <v/>
      </c>
      <c r="I92" s="356" t="str">
        <f>IF(A92=FALSE,"",IF(NAMES!$D$10=FALSE,IF(Detail!K92="","",Detail!K92),IF(Crewlist!F92="","",Crewlist!F92)))</f>
        <v/>
      </c>
      <c r="J92" s="1001" t="str">
        <f>IF(Crewlist!T92="","",Crewlist!T92)</f>
        <v/>
      </c>
      <c r="K92" s="1001" t="str">
        <f>IF(Crewlist!D92="","",IF(Crewlist!U92="",Crewlist!Y92,IF(DATERENOUVMOINS730&lt;&gt;Crewlist!U92&lt;&gt;Crewlist!Y92,Crewlist!U92,DATERENOUVMOINS365)))</f>
        <v/>
      </c>
      <c r="L92" s="775" t="str">
        <f>IF(Detail!X92="","",Detail!X92)</f>
        <v/>
      </c>
      <c r="M92" s="775" t="str">
        <f>IF(Detail!H92="","",IF(Detail!Y92="",DATERENOUV,IF(Detail!Y92&gt;Detail!D92,Detail!D92,Detail!Y92)))</f>
        <v/>
      </c>
      <c r="N92" s="1015" t="str">
        <f>IF(A92=FALSE,"",IF(NAMES!$D$10=FALSE,IF(B92=B93,IF(O92=O93,0,(DATEDIF(L92,M92,"M")+1)),(DATEDIF(L92,M92,"M")+1)),IF(B92=B93,IF(O92=O93,0,(DATEDIF(J92,K92,"M")+1)),(DATEDIF(J92,K92,"M")+1))))</f>
        <v/>
      </c>
      <c r="O92" s="357" t="str">
        <f t="shared" si="17"/>
        <v/>
      </c>
      <c r="P92" s="358" t="str">
        <f>IF(A92=FALSE,"",IF(NAMES!$D$10=FALSE,IF((DATEDIF(L92,M92,"D")+1)&lt;365,(DATEDIF(L92,M92,"D")+1),365),IF((DATEDIF(J92,K92,"D")+1)&lt;365,(DATEDIF(J92,K92,"D")+1),365)))</f>
        <v/>
      </c>
      <c r="Q92" s="358" t="str">
        <f>IF(A92=FALSE,"",IF(NAMES!$D$10=FALSE,IF(M92="",365,DATEDIF(L92,M92,"D")+1),IF(M92="",365,DATEDIF(J92,K92,"D")+1)))</f>
        <v/>
      </c>
      <c r="R92" s="950" t="str">
        <f>Calcul!X92</f>
        <v/>
      </c>
      <c r="S92" s="950" t="str">
        <f>Calcul!Y92</f>
        <v/>
      </c>
      <c r="T92" s="993" t="str">
        <f>Calcul!AG92</f>
        <v/>
      </c>
      <c r="U92" s="368" t="str">
        <f>IF(A92=FALSE,"",IF(NAMES!$D$10=FALSE,IF(Detail!S92="","",Detail!S92),IF(Crewlist!V92="","",Crewlist!V92)))</f>
        <v/>
      </c>
      <c r="V92" s="245" t="str">
        <f>Calcul!AI92</f>
        <v/>
      </c>
      <c r="W92" s="245" t="str">
        <f>Calcul!AL92</f>
        <v/>
      </c>
      <c r="X92" s="245" t="str">
        <f>Calcul!AM92</f>
        <v/>
      </c>
      <c r="Y92" s="353" t="str">
        <f>Calcul!AN92</f>
        <v/>
      </c>
      <c r="Z92" s="245" t="str">
        <f>Calcul!AO92</f>
        <v/>
      </c>
      <c r="AA92" s="245" t="str">
        <f>Calcul!AP92</f>
        <v/>
      </c>
      <c r="AB92" s="353" t="str">
        <f>Calcul!AQ92</f>
        <v/>
      </c>
      <c r="AC92" s="353" t="str">
        <f>IF(C92=FALSE,"",Calcul!BE92+Calcul!BF92)</f>
        <v/>
      </c>
      <c r="AD92" s="353" t="str">
        <f>IF(C92=FALSE,"",(Calcul!BG92+Calcul!BH92)+SUM(Calcul!BI92:BN92))</f>
        <v/>
      </c>
      <c r="AE92" s="353" t="str">
        <f>Calcul!BP92</f>
        <v/>
      </c>
      <c r="AF92" s="332" t="str">
        <f>IF(A92=FALSE,"",YEAR(Detail!F92)&amp;Detail!AG92&amp;Detail!AD92&amp;"-"&amp;Detail!$AD$13&amp;Detail!AE92)</f>
        <v/>
      </c>
      <c r="AG92" s="916" t="s">
        <v>2236</v>
      </c>
      <c r="AH92" s="527" t="s">
        <v>2277</v>
      </c>
      <c r="AI92" s="917">
        <v>0</v>
      </c>
      <c r="AJ92" s="1407" t="s">
        <v>2236</v>
      </c>
      <c r="AK92" s="1410">
        <v>32</v>
      </c>
      <c r="AL92" s="508">
        <v>0</v>
      </c>
      <c r="AM92" s="261">
        <v>1</v>
      </c>
      <c r="AN92" s="261">
        <v>0</v>
      </c>
      <c r="AO92" s="333" t="str">
        <f>IF(A92=FALSE,"",IF(Detail!AL92="","N/A",YEAR(Detail!F92)&amp;Detail!AO92&amp;Detail!AL92&amp;"-"&amp;Detail!$AL$13&amp;Detail!AM92))</f>
        <v/>
      </c>
      <c r="AP92" s="1406" t="s">
        <v>2236</v>
      </c>
      <c r="AQ92" s="701" t="s">
        <v>2277</v>
      </c>
      <c r="AR92" s="1013">
        <f t="shared" si="18"/>
        <v>0</v>
      </c>
      <c r="AS92" s="261" t="s">
        <v>2236</v>
      </c>
      <c r="AT92" s="264">
        <v>0</v>
      </c>
      <c r="AU92" s="261">
        <v>0</v>
      </c>
      <c r="AV92" s="261">
        <v>1</v>
      </c>
      <c r="AW92" s="261">
        <v>0</v>
      </c>
      <c r="AX92" s="920" t="str">
        <f>IF(A92=FALSE,"",IF(Detail!AT92="","N/A",YEAR(Detail!F92)&amp;Detail!AW92&amp;Detail!AT92&amp;"-"&amp;Detail!$AT$13))</f>
        <v/>
      </c>
      <c r="AY92" s="1014" t="s">
        <v>2236</v>
      </c>
      <c r="AZ92" s="308" t="s">
        <v>2278</v>
      </c>
      <c r="BA92" s="440" t="str">
        <f>IF(A92=FALSE,"",51000+(Detail!AA92*7000))</f>
        <v/>
      </c>
      <c r="BB92" s="1412">
        <v>50000</v>
      </c>
      <c r="BC92" s="247">
        <v>3</v>
      </c>
      <c r="BD92" s="261">
        <v>0</v>
      </c>
      <c r="BE92" s="261" t="s">
        <v>2236</v>
      </c>
      <c r="BF92" s="264">
        <v>0</v>
      </c>
      <c r="BG92" s="508">
        <v>0</v>
      </c>
      <c r="BH92" s="261">
        <v>1</v>
      </c>
      <c r="BI92" s="261">
        <v>0</v>
      </c>
      <c r="BJ92" s="311" t="str">
        <f>IF(A92=FALSE,"",IF(Detail!BB92="","N/A",YEAR(Detail!F92)&amp;Detail!BE92&amp;Detail!BB92&amp;"-"&amp;Detail!$BB$13))</f>
        <v/>
      </c>
      <c r="BK92" s="1354" t="s">
        <v>2236</v>
      </c>
      <c r="BL92" s="527" t="s">
        <v>2278</v>
      </c>
      <c r="BM92" s="440" t="str">
        <f>IF(A92=FALSE,"",51000+(Detail!AA92*7000))</f>
        <v/>
      </c>
      <c r="BN92" s="1412">
        <v>50000</v>
      </c>
      <c r="BO92" s="247">
        <v>3</v>
      </c>
      <c r="BP92" s="261">
        <v>0</v>
      </c>
      <c r="BQ92" s="261" t="s">
        <v>2236</v>
      </c>
      <c r="BR92" s="264">
        <v>0</v>
      </c>
      <c r="BS92" s="508">
        <v>0</v>
      </c>
      <c r="BT92" s="261">
        <v>1</v>
      </c>
      <c r="BU92" s="261">
        <v>0</v>
      </c>
      <c r="BV92" s="311" t="str">
        <f>IF(A92=FALSE,"",IF(Detail!BJ92="","N/A",YEAR(Detail!F92)&amp;Detail!BM92&amp;Detail!BJ92&amp;"-"&amp;Detail!$BJ$13))</f>
        <v/>
      </c>
      <c r="BW92" s="1327" t="s">
        <v>2236</v>
      </c>
      <c r="BX92" s="527" t="s">
        <v>2278</v>
      </c>
      <c r="BY92" s="440" t="str">
        <f t="shared" si="19"/>
        <v/>
      </c>
      <c r="BZ92" s="1412">
        <v>50000</v>
      </c>
      <c r="CA92" s="247">
        <v>3</v>
      </c>
      <c r="CB92" s="261">
        <v>0</v>
      </c>
      <c r="CC92" s="261" t="s">
        <v>2236</v>
      </c>
      <c r="CD92" s="264">
        <v>0</v>
      </c>
      <c r="CE92" s="508">
        <v>0</v>
      </c>
      <c r="CF92" s="261">
        <v>1</v>
      </c>
      <c r="CG92" s="261">
        <v>0</v>
      </c>
      <c r="CH92" s="311" t="str">
        <f>IF(A92=FALSE,"",IF(Detail!BR92="","N/A",YEAR(Detail!F92)&amp;Detail!BU92&amp;Detail!BR92&amp;"-"&amp;Detail!$BR$13))</f>
        <v/>
      </c>
      <c r="CI92" s="925" t="s">
        <v>2236</v>
      </c>
      <c r="CJ92" s="527" t="s">
        <v>2278</v>
      </c>
      <c r="CK92" s="440" t="str">
        <f t="shared" si="20"/>
        <v/>
      </c>
      <c r="CL92" s="1412">
        <v>50000</v>
      </c>
      <c r="CM92" s="247">
        <v>3</v>
      </c>
      <c r="CN92" s="261">
        <v>0</v>
      </c>
      <c r="CO92" s="261" t="s">
        <v>2236</v>
      </c>
      <c r="CP92" s="264">
        <v>0</v>
      </c>
      <c r="CQ92" s="508">
        <v>0</v>
      </c>
      <c r="CR92" s="261">
        <v>1</v>
      </c>
      <c r="CS92" s="261">
        <v>0</v>
      </c>
      <c r="CT92" s="311" t="str">
        <f>IF(A92=FALSE,"",IF(Detail!BZ92="","N/A",YEAR(Detail!F92)&amp;Detail!CC92&amp;Detail!BZ92&amp;"-"&amp;Detail!$BZ$13&amp;" (100%/"&amp;Detail!CD92&amp;"/"&amp;Detail!CE92&amp;"D)"))</f>
        <v/>
      </c>
      <c r="CU92" s="1016" t="s">
        <v>2236</v>
      </c>
      <c r="CV92" s="527" t="s">
        <v>2278</v>
      </c>
      <c r="CW92" s="241">
        <v>7</v>
      </c>
      <c r="CX92" s="1323">
        <v>365</v>
      </c>
      <c r="CY92" s="248">
        <v>1</v>
      </c>
      <c r="CZ92" s="261">
        <v>0</v>
      </c>
      <c r="DA92" s="1325" t="s">
        <v>2236</v>
      </c>
      <c r="DB92" s="538">
        <v>40</v>
      </c>
      <c r="DC92" s="1325">
        <v>0.1</v>
      </c>
      <c r="DD92" s="261">
        <v>1</v>
      </c>
      <c r="DE92" s="261">
        <v>0</v>
      </c>
      <c r="DF92" s="313" t="str">
        <f>IF(A92=FALSE,"",IF(Detail!CH92="","N/A",YEAR(Detail!F92)&amp;Detail!CK92&amp;Detail!CH92&amp;"-"&amp;Detail!$CH$13&amp;" (100%/"&amp;Detail!CL92&amp;"/"&amp;Detail!CM92&amp;"D)"))</f>
        <v/>
      </c>
      <c r="DG92" s="1354" t="s">
        <v>2236</v>
      </c>
      <c r="DH92" s="518" t="s">
        <v>2278</v>
      </c>
      <c r="DI92" s="241">
        <f t="shared" si="21"/>
        <v>7</v>
      </c>
      <c r="DJ92" s="243">
        <f t="shared" si="22"/>
        <v>365</v>
      </c>
      <c r="DK92" s="258">
        <v>1</v>
      </c>
      <c r="DL92" s="261">
        <v>0</v>
      </c>
      <c r="DM92" s="1325" t="s">
        <v>2236</v>
      </c>
      <c r="DN92" s="538">
        <v>96</v>
      </c>
      <c r="DO92" s="1325">
        <f t="shared" si="23"/>
        <v>0.1</v>
      </c>
      <c r="DP92" s="261">
        <v>1</v>
      </c>
      <c r="DQ92" s="261">
        <v>0</v>
      </c>
      <c r="DR92" s="920" t="str">
        <f>IF(A92=FALSE,"",IF(Detail!CP92="","N/A",YEAR(Detail!F92)&amp;Detail!CS92&amp;Detail!CP92&amp;"-"&amp;Detail!$CP$13))</f>
        <v/>
      </c>
      <c r="DS92" s="308" t="s">
        <v>2236</v>
      </c>
      <c r="DT92" s="720" t="s">
        <v>2277</v>
      </c>
      <c r="DU92" s="244">
        <v>50000</v>
      </c>
      <c r="DV92" s="247">
        <v>2</v>
      </c>
      <c r="DW92" s="261">
        <v>0</v>
      </c>
      <c r="DX92" s="261" t="s">
        <v>2236</v>
      </c>
      <c r="DY92" s="264">
        <v>0</v>
      </c>
      <c r="DZ92" s="444">
        <v>0</v>
      </c>
      <c r="EA92" s="444">
        <v>1</v>
      </c>
      <c r="EB92" s="444">
        <v>0</v>
      </c>
      <c r="EC92" s="761" t="str">
        <f>IF(A92=FALSE,"",IF(Detail!CX92="","N/A",YEAR(Detail!F92)&amp;Detail!DA92&amp;Detail!CX92&amp;"-"&amp;Detail!$CX$13))</f>
        <v/>
      </c>
      <c r="ED92" s="445" t="s">
        <v>2236</v>
      </c>
      <c r="EE92" s="720" t="s">
        <v>2277</v>
      </c>
      <c r="EF92" s="244">
        <v>50000</v>
      </c>
      <c r="EG92" s="247">
        <v>2</v>
      </c>
      <c r="EH92" s="261">
        <v>0</v>
      </c>
      <c r="EI92" s="261" t="s">
        <v>2236</v>
      </c>
      <c r="EJ92" s="264">
        <v>0</v>
      </c>
      <c r="EK92" s="444">
        <v>0</v>
      </c>
      <c r="EL92" s="444">
        <v>1</v>
      </c>
      <c r="EM92" s="444">
        <v>0</v>
      </c>
      <c r="EN92" s="333" t="str">
        <f>IF(A92=FALSE,"",IF(Detail!DF92="","N/A",YEAR(Detail!F92)&amp;Detail!DI92&amp;Detail!DF92&amp;"-"&amp;Detail!$DF$13))</f>
        <v/>
      </c>
      <c r="EO92" s="1012" t="s">
        <v>2236</v>
      </c>
      <c r="EP92" s="1012" t="s">
        <v>2277</v>
      </c>
      <c r="EQ92" s="1013">
        <f t="shared" si="24"/>
        <v>0</v>
      </c>
      <c r="ER92" s="1013" t="s">
        <v>2236</v>
      </c>
      <c r="ES92" s="264">
        <v>0</v>
      </c>
      <c r="ET92" s="1013">
        <v>0</v>
      </c>
      <c r="EU92" s="1013">
        <v>1</v>
      </c>
      <c r="EV92" s="1013">
        <v>0</v>
      </c>
      <c r="EW92" s="333" t="str">
        <f>IF(DJ92=FALSE,"",IF(Detail!ET92="","N/A",YEAR(Detail!DN92)&amp;Detail!EW92&amp;Detail!ET92&amp;"-"&amp;Detail!$AL$13&amp;Detail!EU92))</f>
        <v>N/A</v>
      </c>
      <c r="EX92" s="1012" t="s">
        <v>2236</v>
      </c>
      <c r="EY92" s="1012" t="s">
        <v>2277</v>
      </c>
      <c r="EZ92" s="1013">
        <f t="shared" si="25"/>
        <v>0</v>
      </c>
      <c r="FA92" s="1013" t="s">
        <v>2236</v>
      </c>
      <c r="FB92" s="264">
        <v>0</v>
      </c>
      <c r="FC92" s="1013">
        <v>0</v>
      </c>
      <c r="FD92" s="1013">
        <v>1</v>
      </c>
      <c r="FE92" s="1013">
        <v>0</v>
      </c>
    </row>
    <row r="93" spans="1:161" s="422" customFormat="1" ht="30" customHeight="1" outlineLevel="1">
      <c r="A93" s="439" t="b">
        <f>Calcul!A93</f>
        <v>0</v>
      </c>
      <c r="B93" s="510" t="str">
        <f t="shared" si="16"/>
        <v/>
      </c>
      <c r="C93" s="1404" t="b">
        <v>0</v>
      </c>
      <c r="D93" s="241" t="s">
        <v>2147</v>
      </c>
      <c r="E93" s="1011" t="s">
        <v>2335</v>
      </c>
      <c r="F93" s="243" t="s">
        <v>2146</v>
      </c>
      <c r="G93" s="356" t="str">
        <f>IF(A93=FALSE,"",IF(NAMES!$D$10=FALSE,IF(Detail!H93="","",Detail!H93),IF(Crewlist!D93="","",Crewlist!D93)))</f>
        <v/>
      </c>
      <c r="H93" s="356" t="str">
        <f>IF(A93=FALSE,"",IF(NAMES!$D$10=FALSE,IF(Detail!P93="","",Detail!P93),IF(Crewlist!E93="","",Crewlist!E93)))</f>
        <v/>
      </c>
      <c r="I93" s="356" t="str">
        <f>IF(A93=FALSE,"",IF(NAMES!$D$10=FALSE,IF(Detail!K93="","",Detail!K93),IF(Crewlist!F93="","",Crewlist!F93)))</f>
        <v/>
      </c>
      <c r="J93" s="1001" t="str">
        <f>IF(Crewlist!T93="","",Crewlist!T93)</f>
        <v/>
      </c>
      <c r="K93" s="1001" t="str">
        <f>IF(Crewlist!D93="","",IF(Crewlist!U93="",Crewlist!Y93,IF(DATERENOUVMOINS730&lt;&gt;Crewlist!U93&lt;&gt;Crewlist!Y93,Crewlist!U93,DATERENOUVMOINS365)))</f>
        <v/>
      </c>
      <c r="L93" s="775" t="str">
        <f>IF(Detail!X93="","",Detail!X93)</f>
        <v/>
      </c>
      <c r="M93" s="775" t="str">
        <f>IF(Detail!H93="","",IF(Detail!Y93="",DATERENOUV,IF(Detail!Y93&gt;Detail!D93,Detail!D93,Detail!Y93)))</f>
        <v/>
      </c>
      <c r="N93" s="1015" t="str">
        <f>IF(A93=FALSE,"",IF(NAMES!$D$10=FALSE,IF(B93=B94,IF(O93=O94,0,(DATEDIF(L93,M93,"M")+1)),(DATEDIF(L93,M93,"M")+1)),IF(B93=B94,IF(O93=O94,0,(DATEDIF(J93,K93,"M")+1)),(DATEDIF(J93,K93,"M")+1))))</f>
        <v/>
      </c>
      <c r="O93" s="357" t="str">
        <f t="shared" si="17"/>
        <v/>
      </c>
      <c r="P93" s="358" t="str">
        <f>IF(A93=FALSE,"",IF(NAMES!$D$10=FALSE,IF((DATEDIF(L93,M93,"D")+1)&lt;365,(DATEDIF(L93,M93,"D")+1),365),IF((DATEDIF(J93,K93,"D")+1)&lt;365,(DATEDIF(J93,K93,"D")+1),365)))</f>
        <v/>
      </c>
      <c r="Q93" s="358" t="str">
        <f>IF(A93=FALSE,"",IF(NAMES!$D$10=FALSE,IF(M93="",365,DATEDIF(L93,M93,"D")+1),IF(M93="",365,DATEDIF(J93,K93,"D")+1)))</f>
        <v/>
      </c>
      <c r="R93" s="950" t="str">
        <f>Calcul!X93</f>
        <v/>
      </c>
      <c r="S93" s="950" t="str">
        <f>Calcul!Y93</f>
        <v/>
      </c>
      <c r="T93" s="993" t="str">
        <f>Calcul!AG93</f>
        <v/>
      </c>
      <c r="U93" s="368" t="str">
        <f>IF(A93=FALSE,"",IF(NAMES!$D$10=FALSE,IF(Detail!S93="","",Detail!S93),IF(Crewlist!V93="","",Crewlist!V93)))</f>
        <v/>
      </c>
      <c r="V93" s="245" t="str">
        <f>Calcul!AI93</f>
        <v/>
      </c>
      <c r="W93" s="245" t="str">
        <f>Calcul!AL93</f>
        <v/>
      </c>
      <c r="X93" s="245" t="str">
        <f>Calcul!AM93</f>
        <v/>
      </c>
      <c r="Y93" s="353" t="str">
        <f>Calcul!AN93</f>
        <v/>
      </c>
      <c r="Z93" s="245" t="str">
        <f>Calcul!AO93</f>
        <v/>
      </c>
      <c r="AA93" s="245" t="str">
        <f>Calcul!AP93</f>
        <v/>
      </c>
      <c r="AB93" s="353" t="str">
        <f>Calcul!AQ93</f>
        <v/>
      </c>
      <c r="AC93" s="353" t="str">
        <f>IF(C93=FALSE,"",Calcul!BE93+Calcul!BF93)</f>
        <v/>
      </c>
      <c r="AD93" s="353" t="str">
        <f>IF(C93=FALSE,"",(Calcul!BG93+Calcul!BH93)+SUM(Calcul!BI93:BN93))</f>
        <v/>
      </c>
      <c r="AE93" s="353" t="str">
        <f>Calcul!BP93</f>
        <v/>
      </c>
      <c r="AF93" s="332" t="str">
        <f>IF(A93=FALSE,"",YEAR(Detail!F93)&amp;Detail!AG93&amp;Detail!AD93&amp;"-"&amp;Detail!$AD$13&amp;Detail!AE93)</f>
        <v/>
      </c>
      <c r="AG93" s="916" t="s">
        <v>2236</v>
      </c>
      <c r="AH93" s="527" t="s">
        <v>2277</v>
      </c>
      <c r="AI93" s="917">
        <v>0</v>
      </c>
      <c r="AJ93" s="1407" t="s">
        <v>2236</v>
      </c>
      <c r="AK93" s="1410">
        <v>32</v>
      </c>
      <c r="AL93" s="508">
        <v>0</v>
      </c>
      <c r="AM93" s="261">
        <v>1</v>
      </c>
      <c r="AN93" s="261">
        <v>0</v>
      </c>
      <c r="AO93" s="333" t="str">
        <f>IF(A93=FALSE,"",IF(Detail!AL93="","N/A",YEAR(Detail!F93)&amp;Detail!AO93&amp;Detail!AL93&amp;"-"&amp;Detail!$AL$13&amp;Detail!AM93))</f>
        <v/>
      </c>
      <c r="AP93" s="1406" t="s">
        <v>2236</v>
      </c>
      <c r="AQ93" s="701" t="s">
        <v>2277</v>
      </c>
      <c r="AR93" s="1013">
        <f t="shared" si="18"/>
        <v>0</v>
      </c>
      <c r="AS93" s="261" t="s">
        <v>2236</v>
      </c>
      <c r="AT93" s="264">
        <v>0</v>
      </c>
      <c r="AU93" s="261">
        <v>0</v>
      </c>
      <c r="AV93" s="261">
        <v>1</v>
      </c>
      <c r="AW93" s="261">
        <v>0</v>
      </c>
      <c r="AX93" s="920" t="str">
        <f>IF(A93=FALSE,"",IF(Detail!AT93="","N/A",YEAR(Detail!F93)&amp;Detail!AW93&amp;Detail!AT93&amp;"-"&amp;Detail!$AT$13))</f>
        <v/>
      </c>
      <c r="AY93" s="1014" t="s">
        <v>2236</v>
      </c>
      <c r="AZ93" s="308" t="s">
        <v>2278</v>
      </c>
      <c r="BA93" s="440" t="str">
        <f>IF(A93=FALSE,"",51000+(Detail!AA93*7000))</f>
        <v/>
      </c>
      <c r="BB93" s="1412">
        <v>50000</v>
      </c>
      <c r="BC93" s="247">
        <v>3</v>
      </c>
      <c r="BD93" s="261">
        <v>0</v>
      </c>
      <c r="BE93" s="261" t="s">
        <v>2236</v>
      </c>
      <c r="BF93" s="264">
        <v>0</v>
      </c>
      <c r="BG93" s="508">
        <v>0</v>
      </c>
      <c r="BH93" s="261">
        <v>1</v>
      </c>
      <c r="BI93" s="261">
        <v>0</v>
      </c>
      <c r="BJ93" s="311" t="str">
        <f>IF(A93=FALSE,"",IF(Detail!BB93="","N/A",YEAR(Detail!F93)&amp;Detail!BE93&amp;Detail!BB93&amp;"-"&amp;Detail!$BB$13))</f>
        <v/>
      </c>
      <c r="BK93" s="1354" t="s">
        <v>2236</v>
      </c>
      <c r="BL93" s="527" t="s">
        <v>2278</v>
      </c>
      <c r="BM93" s="440" t="str">
        <f>IF(A93=FALSE,"",51000+(Detail!AA93*7000))</f>
        <v/>
      </c>
      <c r="BN93" s="1412">
        <v>50000</v>
      </c>
      <c r="BO93" s="247">
        <v>3</v>
      </c>
      <c r="BP93" s="261">
        <v>0</v>
      </c>
      <c r="BQ93" s="261" t="s">
        <v>2236</v>
      </c>
      <c r="BR93" s="264">
        <v>0</v>
      </c>
      <c r="BS93" s="508">
        <v>0</v>
      </c>
      <c r="BT93" s="261">
        <v>1</v>
      </c>
      <c r="BU93" s="261">
        <v>0</v>
      </c>
      <c r="BV93" s="311" t="str">
        <f>IF(A93=FALSE,"",IF(Detail!BJ93="","N/A",YEAR(Detail!F93)&amp;Detail!BM93&amp;Detail!BJ93&amp;"-"&amp;Detail!$BJ$13))</f>
        <v/>
      </c>
      <c r="BW93" s="1327" t="s">
        <v>2236</v>
      </c>
      <c r="BX93" s="527" t="s">
        <v>2278</v>
      </c>
      <c r="BY93" s="440" t="str">
        <f t="shared" si="19"/>
        <v/>
      </c>
      <c r="BZ93" s="1412">
        <v>50000</v>
      </c>
      <c r="CA93" s="247">
        <v>3</v>
      </c>
      <c r="CB93" s="261">
        <v>0</v>
      </c>
      <c r="CC93" s="261" t="s">
        <v>2236</v>
      </c>
      <c r="CD93" s="264">
        <v>0</v>
      </c>
      <c r="CE93" s="508">
        <v>0</v>
      </c>
      <c r="CF93" s="261">
        <v>1</v>
      </c>
      <c r="CG93" s="261">
        <v>0</v>
      </c>
      <c r="CH93" s="311" t="str">
        <f>IF(A93=FALSE,"",IF(Detail!BR93="","N/A",YEAR(Detail!F93)&amp;Detail!BU93&amp;Detail!BR93&amp;"-"&amp;Detail!$BR$13))</f>
        <v/>
      </c>
      <c r="CI93" s="925" t="s">
        <v>2236</v>
      </c>
      <c r="CJ93" s="527" t="s">
        <v>2278</v>
      </c>
      <c r="CK93" s="440" t="str">
        <f t="shared" si="20"/>
        <v/>
      </c>
      <c r="CL93" s="1412">
        <v>50000</v>
      </c>
      <c r="CM93" s="247">
        <v>3</v>
      </c>
      <c r="CN93" s="261">
        <v>0</v>
      </c>
      <c r="CO93" s="261" t="s">
        <v>2236</v>
      </c>
      <c r="CP93" s="264">
        <v>0</v>
      </c>
      <c r="CQ93" s="508">
        <v>0</v>
      </c>
      <c r="CR93" s="261">
        <v>1</v>
      </c>
      <c r="CS93" s="261">
        <v>0</v>
      </c>
      <c r="CT93" s="311" t="str">
        <f>IF(A93=FALSE,"",IF(Detail!BZ93="","N/A",YEAR(Detail!F93)&amp;Detail!CC93&amp;Detail!BZ93&amp;"-"&amp;Detail!$BZ$13&amp;" (100%/"&amp;Detail!CD93&amp;"/"&amp;Detail!CE93&amp;"D)"))</f>
        <v/>
      </c>
      <c r="CU93" s="1016" t="s">
        <v>2236</v>
      </c>
      <c r="CV93" s="527" t="s">
        <v>2278</v>
      </c>
      <c r="CW93" s="241">
        <v>7</v>
      </c>
      <c r="CX93" s="1323">
        <v>365</v>
      </c>
      <c r="CY93" s="248">
        <v>1</v>
      </c>
      <c r="CZ93" s="261">
        <v>0</v>
      </c>
      <c r="DA93" s="1325" t="s">
        <v>2236</v>
      </c>
      <c r="DB93" s="538">
        <v>40</v>
      </c>
      <c r="DC93" s="1325">
        <v>0.1</v>
      </c>
      <c r="DD93" s="261">
        <v>1</v>
      </c>
      <c r="DE93" s="261">
        <v>0</v>
      </c>
      <c r="DF93" s="313" t="str">
        <f>IF(A93=FALSE,"",IF(Detail!CH93="","N/A",YEAR(Detail!F93)&amp;Detail!CK93&amp;Detail!CH93&amp;"-"&amp;Detail!$CH$13&amp;" (100%/"&amp;Detail!CL93&amp;"/"&amp;Detail!CM93&amp;"D)"))</f>
        <v/>
      </c>
      <c r="DG93" s="1354" t="s">
        <v>2236</v>
      </c>
      <c r="DH93" s="518" t="s">
        <v>2278</v>
      </c>
      <c r="DI93" s="241">
        <f t="shared" si="21"/>
        <v>7</v>
      </c>
      <c r="DJ93" s="243">
        <f t="shared" si="22"/>
        <v>365</v>
      </c>
      <c r="DK93" s="258">
        <v>1</v>
      </c>
      <c r="DL93" s="261">
        <v>0</v>
      </c>
      <c r="DM93" s="1325" t="s">
        <v>2236</v>
      </c>
      <c r="DN93" s="538">
        <v>96</v>
      </c>
      <c r="DO93" s="1325">
        <f t="shared" si="23"/>
        <v>0.1</v>
      </c>
      <c r="DP93" s="261">
        <v>1</v>
      </c>
      <c r="DQ93" s="261">
        <v>0</v>
      </c>
      <c r="DR93" s="920" t="str">
        <f>IF(A93=FALSE,"",IF(Detail!CP93="","N/A",YEAR(Detail!F93)&amp;Detail!CS93&amp;Detail!CP93&amp;"-"&amp;Detail!$CP$13))</f>
        <v/>
      </c>
      <c r="DS93" s="308" t="s">
        <v>2236</v>
      </c>
      <c r="DT93" s="720" t="s">
        <v>2277</v>
      </c>
      <c r="DU93" s="244">
        <v>50000</v>
      </c>
      <c r="DV93" s="247">
        <v>2</v>
      </c>
      <c r="DW93" s="261">
        <v>0</v>
      </c>
      <c r="DX93" s="261" t="s">
        <v>2236</v>
      </c>
      <c r="DY93" s="264">
        <v>0</v>
      </c>
      <c r="DZ93" s="444">
        <v>0</v>
      </c>
      <c r="EA93" s="444">
        <v>1</v>
      </c>
      <c r="EB93" s="444">
        <v>0</v>
      </c>
      <c r="EC93" s="761" t="str">
        <f>IF(A93=FALSE,"",IF(Detail!CX93="","N/A",YEAR(Detail!F93)&amp;Detail!DA93&amp;Detail!CX93&amp;"-"&amp;Detail!$CX$13))</f>
        <v/>
      </c>
      <c r="ED93" s="445" t="s">
        <v>2236</v>
      </c>
      <c r="EE93" s="720" t="s">
        <v>2277</v>
      </c>
      <c r="EF93" s="244">
        <v>50000</v>
      </c>
      <c r="EG93" s="247">
        <v>2</v>
      </c>
      <c r="EH93" s="261">
        <v>0</v>
      </c>
      <c r="EI93" s="261" t="s">
        <v>2236</v>
      </c>
      <c r="EJ93" s="264">
        <v>0</v>
      </c>
      <c r="EK93" s="444">
        <v>0</v>
      </c>
      <c r="EL93" s="444">
        <v>1</v>
      </c>
      <c r="EM93" s="444">
        <v>0</v>
      </c>
      <c r="EN93" s="333" t="str">
        <f>IF(A93=FALSE,"",IF(Detail!DF93="","N/A",YEAR(Detail!F93)&amp;Detail!DI93&amp;Detail!DF93&amp;"-"&amp;Detail!$DF$13))</f>
        <v/>
      </c>
      <c r="EO93" s="1012" t="s">
        <v>2236</v>
      </c>
      <c r="EP93" s="1012" t="s">
        <v>2277</v>
      </c>
      <c r="EQ93" s="1013">
        <f t="shared" si="24"/>
        <v>0</v>
      </c>
      <c r="ER93" s="1013" t="s">
        <v>2236</v>
      </c>
      <c r="ES93" s="264">
        <v>0</v>
      </c>
      <c r="ET93" s="1013">
        <v>0</v>
      </c>
      <c r="EU93" s="1013">
        <v>1</v>
      </c>
      <c r="EV93" s="1013">
        <v>0</v>
      </c>
      <c r="EW93" s="333" t="str">
        <f>IF(DJ93=FALSE,"",IF(Detail!ET93="","N/A",YEAR(Detail!DN93)&amp;Detail!EW93&amp;Detail!ET93&amp;"-"&amp;Detail!$AL$13&amp;Detail!EU93))</f>
        <v>N/A</v>
      </c>
      <c r="EX93" s="1012" t="s">
        <v>2236</v>
      </c>
      <c r="EY93" s="1012" t="s">
        <v>2277</v>
      </c>
      <c r="EZ93" s="1013">
        <f t="shared" si="25"/>
        <v>0</v>
      </c>
      <c r="FA93" s="1013" t="s">
        <v>2236</v>
      </c>
      <c r="FB93" s="264">
        <v>0</v>
      </c>
      <c r="FC93" s="1013">
        <v>0</v>
      </c>
      <c r="FD93" s="1013">
        <v>1</v>
      </c>
      <c r="FE93" s="1013">
        <v>0</v>
      </c>
    </row>
    <row r="94" spans="1:161" s="422" customFormat="1" ht="30" customHeight="1" outlineLevel="1">
      <c r="A94" s="439" t="b">
        <f>Calcul!A94</f>
        <v>0</v>
      </c>
      <c r="B94" s="510" t="str">
        <f t="shared" si="16"/>
        <v/>
      </c>
      <c r="C94" s="1404" t="b">
        <v>0</v>
      </c>
      <c r="D94" s="241" t="s">
        <v>2147</v>
      </c>
      <c r="E94" s="1011" t="s">
        <v>2335</v>
      </c>
      <c r="F94" s="243" t="s">
        <v>2146</v>
      </c>
      <c r="G94" s="356" t="str">
        <f>IF(A94=FALSE,"",IF(NAMES!$D$10=FALSE,IF(Detail!H94="","",Detail!H94),IF(Crewlist!D94="","",Crewlist!D94)))</f>
        <v/>
      </c>
      <c r="H94" s="356" t="str">
        <f>IF(A94=FALSE,"",IF(NAMES!$D$10=FALSE,IF(Detail!P94="","",Detail!P94),IF(Crewlist!E94="","",Crewlist!E94)))</f>
        <v/>
      </c>
      <c r="I94" s="356" t="str">
        <f>IF(A94=FALSE,"",IF(NAMES!$D$10=FALSE,IF(Detail!K94="","",Detail!K94),IF(Crewlist!F94="","",Crewlist!F94)))</f>
        <v/>
      </c>
      <c r="J94" s="1001" t="str">
        <f>IF(Crewlist!T94="","",Crewlist!T94)</f>
        <v/>
      </c>
      <c r="K94" s="1001" t="str">
        <f>IF(Crewlist!D94="","",IF(Crewlist!U94="",Crewlist!Y94,IF(DATERENOUVMOINS730&lt;&gt;Crewlist!U94&lt;&gt;Crewlist!Y94,Crewlist!U94,DATERENOUVMOINS365)))</f>
        <v/>
      </c>
      <c r="L94" s="775" t="str">
        <f>IF(Detail!X94="","",Detail!X94)</f>
        <v/>
      </c>
      <c r="M94" s="775" t="str">
        <f>IF(Detail!H94="","",IF(Detail!Y94="",DATERENOUV,IF(Detail!Y94&gt;Detail!D94,Detail!D94,Detail!Y94)))</f>
        <v/>
      </c>
      <c r="N94" s="1015" t="str">
        <f>IF(A94=FALSE,"",IF(NAMES!$D$10=FALSE,IF(B94=B95,IF(O94=O95,0,(DATEDIF(L94,M94,"M")+1)),(DATEDIF(L94,M94,"M")+1)),IF(B94=B95,IF(O94=O95,0,(DATEDIF(J94,K94,"M")+1)),(DATEDIF(J94,K94,"M")+1))))</f>
        <v/>
      </c>
      <c r="O94" s="357" t="str">
        <f t="shared" si="17"/>
        <v/>
      </c>
      <c r="P94" s="358" t="str">
        <f>IF(A94=FALSE,"",IF(NAMES!$D$10=FALSE,IF((DATEDIF(L94,M94,"D")+1)&lt;365,(DATEDIF(L94,M94,"D")+1),365),IF((DATEDIF(J94,K94,"D")+1)&lt;365,(DATEDIF(J94,K94,"D")+1),365)))</f>
        <v/>
      </c>
      <c r="Q94" s="358" t="str">
        <f>IF(A94=FALSE,"",IF(NAMES!$D$10=FALSE,IF(M94="",365,DATEDIF(L94,M94,"D")+1),IF(M94="",365,DATEDIF(J94,K94,"D")+1)))</f>
        <v/>
      </c>
      <c r="R94" s="950" t="str">
        <f>Calcul!X94</f>
        <v/>
      </c>
      <c r="S94" s="950" t="str">
        <f>Calcul!Y94</f>
        <v/>
      </c>
      <c r="T94" s="993" t="str">
        <f>Calcul!AG94</f>
        <v/>
      </c>
      <c r="U94" s="368" t="str">
        <f>IF(A94=FALSE,"",IF(NAMES!$D$10=FALSE,IF(Detail!S94="","",Detail!S94),IF(Crewlist!V94="","",Crewlist!V94)))</f>
        <v/>
      </c>
      <c r="V94" s="245" t="str">
        <f>Calcul!AI94</f>
        <v/>
      </c>
      <c r="W94" s="245" t="str">
        <f>Calcul!AL94</f>
        <v/>
      </c>
      <c r="X94" s="245" t="str">
        <f>Calcul!AM94</f>
        <v/>
      </c>
      <c r="Y94" s="353" t="str">
        <f>Calcul!AN94</f>
        <v/>
      </c>
      <c r="Z94" s="245" t="str">
        <f>Calcul!AO94</f>
        <v/>
      </c>
      <c r="AA94" s="245" t="str">
        <f>Calcul!AP94</f>
        <v/>
      </c>
      <c r="AB94" s="353" t="str">
        <f>Calcul!AQ94</f>
        <v/>
      </c>
      <c r="AC94" s="353" t="str">
        <f>IF(C94=FALSE,"",Calcul!BE94+Calcul!BF94)</f>
        <v/>
      </c>
      <c r="AD94" s="353" t="str">
        <f>IF(C94=FALSE,"",(Calcul!BG94+Calcul!BH94)+SUM(Calcul!BI94:BN94))</f>
        <v/>
      </c>
      <c r="AE94" s="353" t="str">
        <f>Calcul!BP94</f>
        <v/>
      </c>
      <c r="AF94" s="332" t="str">
        <f>IF(A94=FALSE,"",YEAR(Detail!F94)&amp;Detail!AG94&amp;Detail!AD94&amp;"-"&amp;Detail!$AD$13&amp;Detail!AE94)</f>
        <v/>
      </c>
      <c r="AG94" s="916" t="s">
        <v>2236</v>
      </c>
      <c r="AH94" s="527" t="s">
        <v>2277</v>
      </c>
      <c r="AI94" s="917">
        <v>0</v>
      </c>
      <c r="AJ94" s="261" t="s">
        <v>2236</v>
      </c>
      <c r="AK94" s="1410">
        <v>32</v>
      </c>
      <c r="AL94" s="508">
        <v>0</v>
      </c>
      <c r="AM94" s="261">
        <v>1</v>
      </c>
      <c r="AN94" s="261">
        <v>0</v>
      </c>
      <c r="AO94" s="333" t="str">
        <f>IF(A94=FALSE,"",IF(Detail!AL94="","N/A",YEAR(Detail!F94)&amp;Detail!AO94&amp;Detail!AL94&amp;"-"&amp;Detail!$AL$13&amp;Detail!AM94))</f>
        <v/>
      </c>
      <c r="AP94" s="1406" t="s">
        <v>2236</v>
      </c>
      <c r="AQ94" s="701" t="s">
        <v>2277</v>
      </c>
      <c r="AR94" s="1013">
        <f t="shared" si="18"/>
        <v>0</v>
      </c>
      <c r="AS94" s="261" t="s">
        <v>2236</v>
      </c>
      <c r="AT94" s="264">
        <v>0</v>
      </c>
      <c r="AU94" s="261">
        <v>0</v>
      </c>
      <c r="AV94" s="261">
        <v>1</v>
      </c>
      <c r="AW94" s="261">
        <v>0</v>
      </c>
      <c r="AX94" s="920" t="str">
        <f>IF(A94=FALSE,"",IF(Detail!AT94="","N/A",YEAR(Detail!F94)&amp;Detail!AW94&amp;Detail!AT94&amp;"-"&amp;Detail!$AT$13))</f>
        <v/>
      </c>
      <c r="AY94" s="1014" t="s">
        <v>2236</v>
      </c>
      <c r="AZ94" s="308" t="s">
        <v>2278</v>
      </c>
      <c r="BA94" s="440" t="str">
        <f>IF(A94=FALSE,"",51000+(Detail!AA94*7000))</f>
        <v/>
      </c>
      <c r="BB94" s="1412">
        <v>50000</v>
      </c>
      <c r="BC94" s="247">
        <v>3</v>
      </c>
      <c r="BD94" s="261">
        <v>0</v>
      </c>
      <c r="BE94" s="261" t="s">
        <v>2236</v>
      </c>
      <c r="BF94" s="264">
        <v>0</v>
      </c>
      <c r="BG94" s="508">
        <v>0</v>
      </c>
      <c r="BH94" s="261">
        <v>1</v>
      </c>
      <c r="BI94" s="261">
        <v>0</v>
      </c>
      <c r="BJ94" s="311" t="str">
        <f>IF(A94=FALSE,"",IF(Detail!BB94="","N/A",YEAR(Detail!F94)&amp;Detail!BE94&amp;Detail!BB94&amp;"-"&amp;Detail!$BB$13))</f>
        <v/>
      </c>
      <c r="BK94" s="1354" t="s">
        <v>2236</v>
      </c>
      <c r="BL94" s="527" t="s">
        <v>2278</v>
      </c>
      <c r="BM94" s="440" t="str">
        <f>IF(A94=FALSE,"",51000+(Detail!AA94*7000))</f>
        <v/>
      </c>
      <c r="BN94" s="1412">
        <v>50000</v>
      </c>
      <c r="BO94" s="247">
        <v>3</v>
      </c>
      <c r="BP94" s="261">
        <v>0</v>
      </c>
      <c r="BQ94" s="261" t="s">
        <v>2236</v>
      </c>
      <c r="BR94" s="264">
        <v>0</v>
      </c>
      <c r="BS94" s="508">
        <v>0</v>
      </c>
      <c r="BT94" s="261">
        <v>1</v>
      </c>
      <c r="BU94" s="261">
        <v>0</v>
      </c>
      <c r="BV94" s="311" t="str">
        <f>IF(A94=FALSE,"",IF(Detail!BJ94="","N/A",YEAR(Detail!F94)&amp;Detail!BM94&amp;Detail!BJ94&amp;"-"&amp;Detail!$BJ$13))</f>
        <v/>
      </c>
      <c r="BW94" s="1327" t="s">
        <v>2236</v>
      </c>
      <c r="BX94" s="527" t="s">
        <v>2278</v>
      </c>
      <c r="BY94" s="440" t="str">
        <f t="shared" si="19"/>
        <v/>
      </c>
      <c r="BZ94" s="1412">
        <v>50000</v>
      </c>
      <c r="CA94" s="247">
        <v>3</v>
      </c>
      <c r="CB94" s="261">
        <v>0</v>
      </c>
      <c r="CC94" s="261" t="s">
        <v>2236</v>
      </c>
      <c r="CD94" s="264">
        <v>0</v>
      </c>
      <c r="CE94" s="508">
        <v>0</v>
      </c>
      <c r="CF94" s="261">
        <v>1</v>
      </c>
      <c r="CG94" s="261">
        <v>0</v>
      </c>
      <c r="CH94" s="311" t="str">
        <f>IF(A94=FALSE,"",IF(Detail!BR94="","N/A",YEAR(Detail!F94)&amp;Detail!BU94&amp;Detail!BR94&amp;"-"&amp;Detail!$BR$13))</f>
        <v/>
      </c>
      <c r="CI94" s="925" t="s">
        <v>2236</v>
      </c>
      <c r="CJ94" s="527" t="s">
        <v>2278</v>
      </c>
      <c r="CK94" s="440" t="str">
        <f t="shared" si="20"/>
        <v/>
      </c>
      <c r="CL94" s="1412">
        <v>50000</v>
      </c>
      <c r="CM94" s="247">
        <v>3</v>
      </c>
      <c r="CN94" s="261">
        <v>0</v>
      </c>
      <c r="CO94" s="261" t="s">
        <v>2236</v>
      </c>
      <c r="CP94" s="264">
        <v>0</v>
      </c>
      <c r="CQ94" s="508">
        <v>0</v>
      </c>
      <c r="CR94" s="261">
        <v>1</v>
      </c>
      <c r="CS94" s="261">
        <v>0</v>
      </c>
      <c r="CT94" s="311" t="str">
        <f>IF(A94=FALSE,"",IF(Detail!BZ94="","N/A",YEAR(Detail!F94)&amp;Detail!CC94&amp;Detail!BZ94&amp;"-"&amp;Detail!$BZ$13&amp;" (100%/"&amp;Detail!CD94&amp;"/"&amp;Detail!CE94&amp;"D)"))</f>
        <v/>
      </c>
      <c r="CU94" s="1016" t="s">
        <v>2236</v>
      </c>
      <c r="CV94" s="527" t="s">
        <v>2278</v>
      </c>
      <c r="CW94" s="241">
        <v>7</v>
      </c>
      <c r="CX94" s="1323">
        <v>365</v>
      </c>
      <c r="CY94" s="248">
        <v>1</v>
      </c>
      <c r="CZ94" s="261">
        <v>0</v>
      </c>
      <c r="DA94" s="1325" t="s">
        <v>2236</v>
      </c>
      <c r="DB94" s="538">
        <v>40</v>
      </c>
      <c r="DC94" s="1325">
        <v>0.1</v>
      </c>
      <c r="DD94" s="261">
        <v>1</v>
      </c>
      <c r="DE94" s="261">
        <v>0</v>
      </c>
      <c r="DF94" s="313" t="str">
        <f>IF(A94=FALSE,"",IF(Detail!CH94="","N/A",YEAR(Detail!F94)&amp;Detail!CK94&amp;Detail!CH94&amp;"-"&amp;Detail!$CH$13&amp;" (100%/"&amp;Detail!CL94&amp;"/"&amp;Detail!CM94&amp;"D)"))</f>
        <v/>
      </c>
      <c r="DG94" s="1354" t="s">
        <v>2236</v>
      </c>
      <c r="DH94" s="518" t="s">
        <v>2278</v>
      </c>
      <c r="DI94" s="241">
        <f t="shared" si="21"/>
        <v>7</v>
      </c>
      <c r="DJ94" s="243">
        <f t="shared" si="22"/>
        <v>365</v>
      </c>
      <c r="DK94" s="258">
        <v>1</v>
      </c>
      <c r="DL94" s="261">
        <v>0</v>
      </c>
      <c r="DM94" s="1325" t="s">
        <v>2236</v>
      </c>
      <c r="DN94" s="538">
        <v>96</v>
      </c>
      <c r="DO94" s="1325">
        <f t="shared" si="23"/>
        <v>0.1</v>
      </c>
      <c r="DP94" s="261">
        <v>1</v>
      </c>
      <c r="DQ94" s="261">
        <v>0</v>
      </c>
      <c r="DR94" s="920" t="str">
        <f>IF(A94=FALSE,"",IF(Detail!CP94="","N/A",YEAR(Detail!F94)&amp;Detail!CS94&amp;Detail!CP94&amp;"-"&amp;Detail!$CP$13))</f>
        <v/>
      </c>
      <c r="DS94" s="308" t="s">
        <v>2236</v>
      </c>
      <c r="DT94" s="720" t="s">
        <v>2277</v>
      </c>
      <c r="DU94" s="244">
        <v>50000</v>
      </c>
      <c r="DV94" s="247">
        <v>2</v>
      </c>
      <c r="DW94" s="261">
        <v>0</v>
      </c>
      <c r="DX94" s="261" t="s">
        <v>2236</v>
      </c>
      <c r="DY94" s="264">
        <v>0</v>
      </c>
      <c r="DZ94" s="444">
        <v>0</v>
      </c>
      <c r="EA94" s="444">
        <v>1</v>
      </c>
      <c r="EB94" s="444">
        <v>0</v>
      </c>
      <c r="EC94" s="761" t="str">
        <f>IF(A94=FALSE,"",IF(Detail!CX94="","N/A",YEAR(Detail!F94)&amp;Detail!DA94&amp;Detail!CX94&amp;"-"&amp;Detail!$CX$13))</f>
        <v/>
      </c>
      <c r="ED94" s="445" t="s">
        <v>2236</v>
      </c>
      <c r="EE94" s="720" t="s">
        <v>2277</v>
      </c>
      <c r="EF94" s="244">
        <v>50000</v>
      </c>
      <c r="EG94" s="247">
        <v>2</v>
      </c>
      <c r="EH94" s="261">
        <v>0</v>
      </c>
      <c r="EI94" s="261" t="s">
        <v>2236</v>
      </c>
      <c r="EJ94" s="264">
        <v>0</v>
      </c>
      <c r="EK94" s="444">
        <v>0</v>
      </c>
      <c r="EL94" s="444">
        <v>1</v>
      </c>
      <c r="EM94" s="444">
        <v>0</v>
      </c>
      <c r="EN94" s="333" t="str">
        <f>IF(A94=FALSE,"",IF(Detail!DF94="","N/A",YEAR(Detail!F94)&amp;Detail!DI94&amp;Detail!DF94&amp;"-"&amp;Detail!$DF$13))</f>
        <v/>
      </c>
      <c r="EO94" s="1012" t="s">
        <v>2236</v>
      </c>
      <c r="EP94" s="1012" t="s">
        <v>2277</v>
      </c>
      <c r="EQ94" s="1013">
        <f t="shared" si="24"/>
        <v>0</v>
      </c>
      <c r="ER94" s="1013" t="s">
        <v>2236</v>
      </c>
      <c r="ES94" s="264">
        <v>0</v>
      </c>
      <c r="ET94" s="1013">
        <v>0</v>
      </c>
      <c r="EU94" s="1013">
        <v>1</v>
      </c>
      <c r="EV94" s="1013">
        <v>0</v>
      </c>
      <c r="EW94" s="333" t="str">
        <f>IF(DJ94=FALSE,"",IF(Detail!ET94="","N/A",YEAR(Detail!DN94)&amp;Detail!EW94&amp;Detail!ET94&amp;"-"&amp;Detail!$AL$13&amp;Detail!EU94))</f>
        <v>N/A</v>
      </c>
      <c r="EX94" s="1012" t="s">
        <v>2236</v>
      </c>
      <c r="EY94" s="1012" t="s">
        <v>2277</v>
      </c>
      <c r="EZ94" s="1013">
        <f t="shared" si="25"/>
        <v>0</v>
      </c>
      <c r="FA94" s="1013" t="s">
        <v>2236</v>
      </c>
      <c r="FB94" s="264">
        <v>0</v>
      </c>
      <c r="FC94" s="1013">
        <v>0</v>
      </c>
      <c r="FD94" s="1013">
        <v>1</v>
      </c>
      <c r="FE94" s="1013">
        <v>0</v>
      </c>
    </row>
    <row r="95" spans="1:161" s="422" customFormat="1" ht="30" customHeight="1" outlineLevel="1">
      <c r="A95" s="439" t="b">
        <f>Calcul!A95</f>
        <v>0</v>
      </c>
      <c r="B95" s="510" t="str">
        <f t="shared" si="16"/>
        <v/>
      </c>
      <c r="C95" s="1404" t="b">
        <v>0</v>
      </c>
      <c r="D95" s="241" t="s">
        <v>2147</v>
      </c>
      <c r="E95" s="1011" t="s">
        <v>2335</v>
      </c>
      <c r="F95" s="243" t="s">
        <v>2146</v>
      </c>
      <c r="G95" s="356" t="str">
        <f>IF(A95=FALSE,"",IF(NAMES!$D$10=FALSE,IF(Detail!H95="","",Detail!H95),IF(Crewlist!D95="","",Crewlist!D95)))</f>
        <v/>
      </c>
      <c r="H95" s="356" t="str">
        <f>IF(A95=FALSE,"",IF(NAMES!$D$10=FALSE,IF(Detail!P95="","",Detail!P95),IF(Crewlist!E95="","",Crewlist!E95)))</f>
        <v/>
      </c>
      <c r="I95" s="356" t="str">
        <f>IF(A95=FALSE,"",IF(NAMES!$D$10=FALSE,IF(Detail!K95="","",Detail!K95),IF(Crewlist!F95="","",Crewlist!F95)))</f>
        <v/>
      </c>
      <c r="J95" s="1001" t="str">
        <f>IF(Crewlist!T95="","",Crewlist!T95)</f>
        <v/>
      </c>
      <c r="K95" s="1001" t="str">
        <f>IF(Crewlist!D95="","",IF(Crewlist!U95="",Crewlist!Y95,IF(DATERENOUVMOINS730&lt;&gt;Crewlist!U95&lt;&gt;Crewlist!Y95,Crewlist!U95,DATERENOUVMOINS365)))</f>
        <v/>
      </c>
      <c r="L95" s="775" t="str">
        <f>IF(Detail!X95="","",Detail!X95)</f>
        <v/>
      </c>
      <c r="M95" s="775" t="str">
        <f>IF(Detail!H95="","",IF(Detail!Y95="",DATERENOUV,IF(Detail!Y95&gt;Detail!D95,Detail!D95,Detail!Y95)))</f>
        <v/>
      </c>
      <c r="N95" s="1015" t="str">
        <f>IF(A95=FALSE,"",IF(NAMES!$D$10=FALSE,IF(B95=B96,IF(O95=O96,0,(DATEDIF(L95,M95,"M")+1)),(DATEDIF(L95,M95,"M")+1)),IF(B95=B96,IF(O95=O96,0,(DATEDIF(J95,K95,"M")+1)),(DATEDIF(J95,K95,"M")+1))))</f>
        <v/>
      </c>
      <c r="O95" s="357" t="str">
        <f t="shared" si="17"/>
        <v/>
      </c>
      <c r="P95" s="358" t="str">
        <f>IF(A95=FALSE,"",IF(NAMES!$D$10=FALSE,IF((DATEDIF(L95,M95,"D")+1)&lt;365,(DATEDIF(L95,M95,"D")+1),365),IF((DATEDIF(J95,K95,"D")+1)&lt;365,(DATEDIF(J95,K95,"D")+1),365)))</f>
        <v/>
      </c>
      <c r="Q95" s="358" t="str">
        <f>IF(A95=FALSE,"",IF(NAMES!$D$10=FALSE,IF(M95="",365,DATEDIF(L95,M95,"D")+1),IF(M95="",365,DATEDIF(J95,K95,"D")+1)))</f>
        <v/>
      </c>
      <c r="R95" s="950" t="str">
        <f>Calcul!X95</f>
        <v/>
      </c>
      <c r="S95" s="950" t="str">
        <f>Calcul!Y95</f>
        <v/>
      </c>
      <c r="T95" s="993" t="str">
        <f>Calcul!AG95</f>
        <v/>
      </c>
      <c r="U95" s="368" t="str">
        <f>IF(A95=FALSE,"",IF(NAMES!$D$10=FALSE,IF(Detail!S95="","",Detail!S95),IF(Crewlist!V95="","",Crewlist!V95)))</f>
        <v/>
      </c>
      <c r="V95" s="245" t="str">
        <f>Calcul!AI95</f>
        <v/>
      </c>
      <c r="W95" s="245" t="str">
        <f>Calcul!AL95</f>
        <v/>
      </c>
      <c r="X95" s="245" t="str">
        <f>Calcul!AM95</f>
        <v/>
      </c>
      <c r="Y95" s="353" t="str">
        <f>Calcul!AN95</f>
        <v/>
      </c>
      <c r="Z95" s="245" t="str">
        <f>Calcul!AO95</f>
        <v/>
      </c>
      <c r="AA95" s="245" t="str">
        <f>Calcul!AP95</f>
        <v/>
      </c>
      <c r="AB95" s="353" t="str">
        <f>Calcul!AQ95</f>
        <v/>
      </c>
      <c r="AC95" s="353" t="str">
        <f>IF(C95=FALSE,"",Calcul!BE95+Calcul!BF95)</f>
        <v/>
      </c>
      <c r="AD95" s="353" t="str">
        <f>IF(C95=FALSE,"",(Calcul!BG95+Calcul!BH95)+SUM(Calcul!BI95:BN95))</f>
        <v/>
      </c>
      <c r="AE95" s="353" t="str">
        <f>Calcul!BP95</f>
        <v/>
      </c>
      <c r="AF95" s="332" t="str">
        <f>IF(A95=FALSE,"",YEAR(Detail!F95)&amp;Detail!AG95&amp;Detail!AD95&amp;"-"&amp;Detail!$AD$13&amp;Detail!AE95)</f>
        <v/>
      </c>
      <c r="AG95" s="916" t="s">
        <v>2236</v>
      </c>
      <c r="AH95" s="527" t="s">
        <v>2277</v>
      </c>
      <c r="AI95" s="917">
        <v>0</v>
      </c>
      <c r="AJ95" s="261" t="s">
        <v>2236</v>
      </c>
      <c r="AK95" s="1410">
        <v>32</v>
      </c>
      <c r="AL95" s="508">
        <v>0</v>
      </c>
      <c r="AM95" s="261">
        <v>1</v>
      </c>
      <c r="AN95" s="261">
        <v>0</v>
      </c>
      <c r="AO95" s="333" t="str">
        <f>IF(A95=FALSE,"",IF(Detail!AL95="","N/A",YEAR(Detail!F95)&amp;Detail!AO95&amp;Detail!AL95&amp;"-"&amp;Detail!$AL$13&amp;Detail!AM95))</f>
        <v/>
      </c>
      <c r="AP95" s="1406" t="s">
        <v>2236</v>
      </c>
      <c r="AQ95" s="701" t="s">
        <v>2277</v>
      </c>
      <c r="AR95" s="1013">
        <f t="shared" si="18"/>
        <v>0</v>
      </c>
      <c r="AS95" s="261" t="s">
        <v>2236</v>
      </c>
      <c r="AT95" s="264">
        <v>0</v>
      </c>
      <c r="AU95" s="261">
        <v>0</v>
      </c>
      <c r="AV95" s="261">
        <v>1</v>
      </c>
      <c r="AW95" s="261">
        <v>0</v>
      </c>
      <c r="AX95" s="920" t="str">
        <f>IF(A95=FALSE,"",IF(Detail!AT95="","N/A",YEAR(Detail!F95)&amp;Detail!AW95&amp;Detail!AT95&amp;"-"&amp;Detail!$AT$13))</f>
        <v/>
      </c>
      <c r="AY95" s="1014" t="s">
        <v>2236</v>
      </c>
      <c r="AZ95" s="308" t="s">
        <v>2278</v>
      </c>
      <c r="BA95" s="440" t="str">
        <f>IF(A95=FALSE,"",51000+(Detail!AA95*7000))</f>
        <v/>
      </c>
      <c r="BB95" s="1412">
        <v>50000</v>
      </c>
      <c r="BC95" s="247">
        <v>3</v>
      </c>
      <c r="BD95" s="261">
        <v>0</v>
      </c>
      <c r="BE95" s="261" t="s">
        <v>2236</v>
      </c>
      <c r="BF95" s="264">
        <v>0</v>
      </c>
      <c r="BG95" s="508">
        <v>0</v>
      </c>
      <c r="BH95" s="261">
        <v>1</v>
      </c>
      <c r="BI95" s="261">
        <v>0</v>
      </c>
      <c r="BJ95" s="311" t="str">
        <f>IF(A95=FALSE,"",IF(Detail!BB95="","N/A",YEAR(Detail!F95)&amp;Detail!BE95&amp;Detail!BB95&amp;"-"&amp;Detail!$BB$13))</f>
        <v/>
      </c>
      <c r="BK95" s="1354" t="s">
        <v>2236</v>
      </c>
      <c r="BL95" s="527" t="s">
        <v>2278</v>
      </c>
      <c r="BM95" s="440" t="str">
        <f>IF(A95=FALSE,"",51000+(Detail!AA95*7000))</f>
        <v/>
      </c>
      <c r="BN95" s="1412">
        <v>50000</v>
      </c>
      <c r="BO95" s="247">
        <v>3</v>
      </c>
      <c r="BP95" s="261">
        <v>0</v>
      </c>
      <c r="BQ95" s="261" t="s">
        <v>2236</v>
      </c>
      <c r="BR95" s="264">
        <v>0</v>
      </c>
      <c r="BS95" s="508">
        <v>0</v>
      </c>
      <c r="BT95" s="261">
        <v>1</v>
      </c>
      <c r="BU95" s="261">
        <v>0</v>
      </c>
      <c r="BV95" s="311" t="str">
        <f>IF(A95=FALSE,"",IF(Detail!BJ95="","N/A",YEAR(Detail!F95)&amp;Detail!BM95&amp;Detail!BJ95&amp;"-"&amp;Detail!$BJ$13))</f>
        <v/>
      </c>
      <c r="BW95" s="1327" t="s">
        <v>2236</v>
      </c>
      <c r="BX95" s="527" t="s">
        <v>2278</v>
      </c>
      <c r="BY95" s="440" t="str">
        <f t="shared" si="19"/>
        <v/>
      </c>
      <c r="BZ95" s="1412">
        <v>50000</v>
      </c>
      <c r="CA95" s="247">
        <v>3</v>
      </c>
      <c r="CB95" s="261">
        <v>0</v>
      </c>
      <c r="CC95" s="261" t="s">
        <v>2236</v>
      </c>
      <c r="CD95" s="264">
        <v>0</v>
      </c>
      <c r="CE95" s="508">
        <v>0</v>
      </c>
      <c r="CF95" s="261">
        <v>1</v>
      </c>
      <c r="CG95" s="261">
        <v>0</v>
      </c>
      <c r="CH95" s="311" t="str">
        <f>IF(A95=FALSE,"",IF(Detail!BR95="","N/A",YEAR(Detail!F95)&amp;Detail!BU95&amp;Detail!BR95&amp;"-"&amp;Detail!$BR$13))</f>
        <v/>
      </c>
      <c r="CI95" s="925" t="s">
        <v>2236</v>
      </c>
      <c r="CJ95" s="527" t="s">
        <v>2278</v>
      </c>
      <c r="CK95" s="440" t="str">
        <f t="shared" si="20"/>
        <v/>
      </c>
      <c r="CL95" s="1412">
        <v>50000</v>
      </c>
      <c r="CM95" s="247">
        <v>3</v>
      </c>
      <c r="CN95" s="261">
        <v>0</v>
      </c>
      <c r="CO95" s="261" t="s">
        <v>2236</v>
      </c>
      <c r="CP95" s="264">
        <v>0</v>
      </c>
      <c r="CQ95" s="508">
        <v>0</v>
      </c>
      <c r="CR95" s="261">
        <v>1</v>
      </c>
      <c r="CS95" s="261">
        <v>0</v>
      </c>
      <c r="CT95" s="311" t="str">
        <f>IF(A95=FALSE,"",IF(Detail!BZ95="","N/A",YEAR(Detail!F95)&amp;Detail!CC95&amp;Detail!BZ95&amp;"-"&amp;Detail!$BZ$13&amp;" (100%/"&amp;Detail!CD95&amp;"/"&amp;Detail!CE95&amp;"D)"))</f>
        <v/>
      </c>
      <c r="CU95" s="1016" t="s">
        <v>2236</v>
      </c>
      <c r="CV95" s="527" t="s">
        <v>2278</v>
      </c>
      <c r="CW95" s="241">
        <v>7</v>
      </c>
      <c r="CX95" s="1323">
        <v>365</v>
      </c>
      <c r="CY95" s="248">
        <v>1</v>
      </c>
      <c r="CZ95" s="261">
        <v>0</v>
      </c>
      <c r="DA95" s="1325" t="s">
        <v>2236</v>
      </c>
      <c r="DB95" s="538">
        <v>40</v>
      </c>
      <c r="DC95" s="1325">
        <v>0.1</v>
      </c>
      <c r="DD95" s="261">
        <v>1</v>
      </c>
      <c r="DE95" s="261">
        <v>0</v>
      </c>
      <c r="DF95" s="313" t="str">
        <f>IF(A95=FALSE,"",IF(Detail!CH95="","N/A",YEAR(Detail!F95)&amp;Detail!CK95&amp;Detail!CH95&amp;"-"&amp;Detail!$CH$13&amp;" (100%/"&amp;Detail!CL95&amp;"/"&amp;Detail!CM95&amp;"D)"))</f>
        <v/>
      </c>
      <c r="DG95" s="1354" t="s">
        <v>2236</v>
      </c>
      <c r="DH95" s="518" t="s">
        <v>2278</v>
      </c>
      <c r="DI95" s="241">
        <f t="shared" si="21"/>
        <v>7</v>
      </c>
      <c r="DJ95" s="243">
        <f t="shared" si="22"/>
        <v>365</v>
      </c>
      <c r="DK95" s="258">
        <v>1</v>
      </c>
      <c r="DL95" s="261">
        <v>0</v>
      </c>
      <c r="DM95" s="1325" t="s">
        <v>2236</v>
      </c>
      <c r="DN95" s="538">
        <v>96</v>
      </c>
      <c r="DO95" s="1325">
        <f t="shared" si="23"/>
        <v>0.1</v>
      </c>
      <c r="DP95" s="261">
        <v>1</v>
      </c>
      <c r="DQ95" s="261">
        <v>0</v>
      </c>
      <c r="DR95" s="920" t="str">
        <f>IF(A95=FALSE,"",IF(Detail!CP95="","N/A",YEAR(Detail!F95)&amp;Detail!CS95&amp;Detail!CP95&amp;"-"&amp;Detail!$CP$13))</f>
        <v/>
      </c>
      <c r="DS95" s="308" t="s">
        <v>2236</v>
      </c>
      <c r="DT95" s="720" t="s">
        <v>2277</v>
      </c>
      <c r="DU95" s="244">
        <v>50000</v>
      </c>
      <c r="DV95" s="247">
        <v>2</v>
      </c>
      <c r="DW95" s="261">
        <v>0</v>
      </c>
      <c r="DX95" s="261" t="s">
        <v>2236</v>
      </c>
      <c r="DY95" s="264">
        <v>0</v>
      </c>
      <c r="DZ95" s="444">
        <v>0</v>
      </c>
      <c r="EA95" s="444">
        <v>1</v>
      </c>
      <c r="EB95" s="444">
        <v>0</v>
      </c>
      <c r="EC95" s="761" t="str">
        <f>IF(A95=FALSE,"",IF(Detail!CX95="","N/A",YEAR(Detail!F95)&amp;Detail!DA95&amp;Detail!CX95&amp;"-"&amp;Detail!$CX$13))</f>
        <v/>
      </c>
      <c r="ED95" s="445" t="s">
        <v>2236</v>
      </c>
      <c r="EE95" s="720" t="s">
        <v>2277</v>
      </c>
      <c r="EF95" s="244">
        <v>50000</v>
      </c>
      <c r="EG95" s="247">
        <v>2</v>
      </c>
      <c r="EH95" s="261">
        <v>0</v>
      </c>
      <c r="EI95" s="261" t="s">
        <v>2236</v>
      </c>
      <c r="EJ95" s="264">
        <v>0</v>
      </c>
      <c r="EK95" s="444">
        <v>0</v>
      </c>
      <c r="EL95" s="444">
        <v>1</v>
      </c>
      <c r="EM95" s="444">
        <v>0</v>
      </c>
      <c r="EN95" s="333" t="str">
        <f>IF(A95=FALSE,"",IF(Detail!DF95="","N/A",YEAR(Detail!F95)&amp;Detail!DI95&amp;Detail!DF95&amp;"-"&amp;Detail!$DF$13))</f>
        <v/>
      </c>
      <c r="EO95" s="1012" t="s">
        <v>2236</v>
      </c>
      <c r="EP95" s="1012" t="s">
        <v>2277</v>
      </c>
      <c r="EQ95" s="1013">
        <f t="shared" si="24"/>
        <v>0</v>
      </c>
      <c r="ER95" s="1013" t="s">
        <v>2236</v>
      </c>
      <c r="ES95" s="264">
        <v>0</v>
      </c>
      <c r="ET95" s="1013">
        <v>0</v>
      </c>
      <c r="EU95" s="1013">
        <v>1</v>
      </c>
      <c r="EV95" s="1013">
        <v>0</v>
      </c>
      <c r="EW95" s="333" t="str">
        <f>IF(DJ95=FALSE,"",IF(Detail!ET95="","N/A",YEAR(Detail!DN95)&amp;Detail!EW95&amp;Detail!ET95&amp;"-"&amp;Detail!$AL$13&amp;Detail!EU95))</f>
        <v>N/A</v>
      </c>
      <c r="EX95" s="1012" t="s">
        <v>2236</v>
      </c>
      <c r="EY95" s="1012" t="s">
        <v>2277</v>
      </c>
      <c r="EZ95" s="1013">
        <f t="shared" si="25"/>
        <v>0</v>
      </c>
      <c r="FA95" s="1013" t="s">
        <v>2236</v>
      </c>
      <c r="FB95" s="264">
        <v>0</v>
      </c>
      <c r="FC95" s="1013">
        <v>0</v>
      </c>
      <c r="FD95" s="1013">
        <v>1</v>
      </c>
      <c r="FE95" s="1013">
        <v>0</v>
      </c>
    </row>
    <row r="96" spans="1:161" s="422" customFormat="1" ht="30" customHeight="1" outlineLevel="1">
      <c r="A96" s="439" t="b">
        <f>Calcul!A96</f>
        <v>0</v>
      </c>
      <c r="B96" s="510" t="str">
        <f t="shared" si="16"/>
        <v/>
      </c>
      <c r="C96" s="1404" t="b">
        <v>0</v>
      </c>
      <c r="D96" s="241" t="s">
        <v>2147</v>
      </c>
      <c r="E96" s="1011" t="s">
        <v>2335</v>
      </c>
      <c r="F96" s="243" t="s">
        <v>2146</v>
      </c>
      <c r="G96" s="356" t="str">
        <f>IF(A96=FALSE,"",IF(NAMES!$D$10=FALSE,IF(Detail!H96="","",Detail!H96),IF(Crewlist!D96="","",Crewlist!D96)))</f>
        <v/>
      </c>
      <c r="H96" s="356" t="str">
        <f>IF(A96=FALSE,"",IF(NAMES!$D$10=FALSE,IF(Detail!P96="","",Detail!P96),IF(Crewlist!E96="","",Crewlist!E96)))</f>
        <v/>
      </c>
      <c r="I96" s="356" t="str">
        <f>IF(A96=FALSE,"",IF(NAMES!$D$10=FALSE,IF(Detail!K96="","",Detail!K96),IF(Crewlist!F96="","",Crewlist!F96)))</f>
        <v/>
      </c>
      <c r="J96" s="1001" t="str">
        <f>IF(Crewlist!T96="","",Crewlist!T96)</f>
        <v/>
      </c>
      <c r="K96" s="1001" t="str">
        <f>IF(Crewlist!D96="","",IF(Crewlist!U96="",Crewlist!Y96,IF(DATERENOUVMOINS730&lt;&gt;Crewlist!U96&lt;&gt;Crewlist!Y96,Crewlist!U96,DATERENOUVMOINS365)))</f>
        <v/>
      </c>
      <c r="L96" s="775" t="str">
        <f>IF(Detail!X96="","",Detail!X96)</f>
        <v/>
      </c>
      <c r="M96" s="775" t="str">
        <f>IF(Detail!H96="","",IF(Detail!Y96="",DATERENOUV,IF(Detail!Y96&gt;Detail!D96,Detail!D96,Detail!Y96)))</f>
        <v/>
      </c>
      <c r="N96" s="1015" t="str">
        <f>IF(A96=FALSE,"",IF(NAMES!$D$10=FALSE,IF(B96=B97,IF(O96=O97,0,(DATEDIF(L96,M96,"M")+1)),(DATEDIF(L96,M96,"M")+1)),IF(B96=B97,IF(O96=O97,0,(DATEDIF(J96,K96,"M")+1)),(DATEDIF(J96,K96,"M")+1))))</f>
        <v/>
      </c>
      <c r="O96" s="357" t="str">
        <f t="shared" si="17"/>
        <v/>
      </c>
      <c r="P96" s="358" t="str">
        <f>IF(A96=FALSE,"",IF(NAMES!$D$10=FALSE,IF((DATEDIF(L96,M96,"D")+1)&lt;365,(DATEDIF(L96,M96,"D")+1),365),IF((DATEDIF(J96,K96,"D")+1)&lt;365,(DATEDIF(J96,K96,"D")+1),365)))</f>
        <v/>
      </c>
      <c r="Q96" s="358" t="str">
        <f>IF(A96=FALSE,"",IF(NAMES!$D$10=FALSE,IF(M96="",365,DATEDIF(L96,M96,"D")+1),IF(M96="",365,DATEDIF(J96,K96,"D")+1)))</f>
        <v/>
      </c>
      <c r="R96" s="950" t="str">
        <f>Calcul!X96</f>
        <v/>
      </c>
      <c r="S96" s="950" t="str">
        <f>Calcul!Y96</f>
        <v/>
      </c>
      <c r="T96" s="993" t="str">
        <f>Calcul!AG96</f>
        <v/>
      </c>
      <c r="U96" s="368" t="str">
        <f>IF(A96=FALSE,"",IF(NAMES!$D$10=FALSE,IF(Detail!S96="","",Detail!S96),IF(Crewlist!V96="","",Crewlist!V96)))</f>
        <v/>
      </c>
      <c r="V96" s="245" t="str">
        <f>Calcul!AI96</f>
        <v/>
      </c>
      <c r="W96" s="245" t="str">
        <f>Calcul!AL96</f>
        <v/>
      </c>
      <c r="X96" s="245" t="str">
        <f>Calcul!AM96</f>
        <v/>
      </c>
      <c r="Y96" s="353" t="str">
        <f>Calcul!AN96</f>
        <v/>
      </c>
      <c r="Z96" s="245" t="str">
        <f>Calcul!AO96</f>
        <v/>
      </c>
      <c r="AA96" s="245" t="str">
        <f>Calcul!AP96</f>
        <v/>
      </c>
      <c r="AB96" s="353" t="str">
        <f>Calcul!AQ96</f>
        <v/>
      </c>
      <c r="AC96" s="353" t="str">
        <f>IF(C96=FALSE,"",Calcul!BE96+Calcul!BF96)</f>
        <v/>
      </c>
      <c r="AD96" s="353" t="str">
        <f>IF(C96=FALSE,"",(Calcul!BG96+Calcul!BH96)+SUM(Calcul!BI96:BN96))</f>
        <v/>
      </c>
      <c r="AE96" s="353" t="str">
        <f>Calcul!BP96</f>
        <v/>
      </c>
      <c r="AF96" s="332" t="str">
        <f>IF(A96=FALSE,"",YEAR(Detail!F96)&amp;Detail!AG96&amp;Detail!AD96&amp;"-"&amp;Detail!$AD$13&amp;Detail!AE96)</f>
        <v/>
      </c>
      <c r="AG96" s="916" t="s">
        <v>2236</v>
      </c>
      <c r="AH96" s="527" t="s">
        <v>2277</v>
      </c>
      <c r="AI96" s="917">
        <v>0</v>
      </c>
      <c r="AJ96" s="261" t="s">
        <v>2236</v>
      </c>
      <c r="AK96" s="1410">
        <v>32</v>
      </c>
      <c r="AL96" s="508">
        <v>0</v>
      </c>
      <c r="AM96" s="261">
        <v>1</v>
      </c>
      <c r="AN96" s="261">
        <v>0</v>
      </c>
      <c r="AO96" s="333" t="str">
        <f>IF(A96=FALSE,"",IF(Detail!AL96="","N/A",YEAR(Detail!F96)&amp;Detail!AO96&amp;Detail!AL96&amp;"-"&amp;Detail!$AL$13&amp;Detail!AM96))</f>
        <v/>
      </c>
      <c r="AP96" s="1406" t="s">
        <v>2236</v>
      </c>
      <c r="AQ96" s="701" t="s">
        <v>2277</v>
      </c>
      <c r="AR96" s="1013">
        <f t="shared" si="18"/>
        <v>0</v>
      </c>
      <c r="AS96" s="261" t="s">
        <v>2236</v>
      </c>
      <c r="AT96" s="264">
        <v>0</v>
      </c>
      <c r="AU96" s="261">
        <v>0</v>
      </c>
      <c r="AV96" s="261">
        <v>1</v>
      </c>
      <c r="AW96" s="261">
        <v>0</v>
      </c>
      <c r="AX96" s="920" t="str">
        <f>IF(A96=FALSE,"",IF(Detail!AT96="","N/A",YEAR(Detail!F96)&amp;Detail!AW96&amp;Detail!AT96&amp;"-"&amp;Detail!$AT$13))</f>
        <v/>
      </c>
      <c r="AY96" s="1014" t="s">
        <v>2236</v>
      </c>
      <c r="AZ96" s="308" t="s">
        <v>2278</v>
      </c>
      <c r="BA96" s="440" t="str">
        <f>IF(A96=FALSE,"",51000+(Detail!AA96*7000))</f>
        <v/>
      </c>
      <c r="BB96" s="1412">
        <v>50000</v>
      </c>
      <c r="BC96" s="247">
        <v>3</v>
      </c>
      <c r="BD96" s="261">
        <v>0</v>
      </c>
      <c r="BE96" s="261" t="s">
        <v>2236</v>
      </c>
      <c r="BF96" s="264">
        <v>0</v>
      </c>
      <c r="BG96" s="508">
        <v>0</v>
      </c>
      <c r="BH96" s="261">
        <v>1</v>
      </c>
      <c r="BI96" s="261">
        <v>0</v>
      </c>
      <c r="BJ96" s="311" t="str">
        <f>IF(A96=FALSE,"",IF(Detail!BB96="","N/A",YEAR(Detail!F96)&amp;Detail!BE96&amp;Detail!BB96&amp;"-"&amp;Detail!$BB$13))</f>
        <v/>
      </c>
      <c r="BK96" s="1354" t="s">
        <v>2236</v>
      </c>
      <c r="BL96" s="527" t="s">
        <v>2278</v>
      </c>
      <c r="BM96" s="440" t="str">
        <f>IF(A96=FALSE,"",51000+(Detail!AA96*7000))</f>
        <v/>
      </c>
      <c r="BN96" s="1412">
        <v>50000</v>
      </c>
      <c r="BO96" s="247">
        <v>3</v>
      </c>
      <c r="BP96" s="261">
        <v>0</v>
      </c>
      <c r="BQ96" s="261" t="s">
        <v>2236</v>
      </c>
      <c r="BR96" s="264">
        <v>0</v>
      </c>
      <c r="BS96" s="508">
        <v>0</v>
      </c>
      <c r="BT96" s="261">
        <v>1</v>
      </c>
      <c r="BU96" s="261">
        <v>0</v>
      </c>
      <c r="BV96" s="311" t="str">
        <f>IF(A96=FALSE,"",IF(Detail!BJ96="","N/A",YEAR(Detail!F96)&amp;Detail!BM96&amp;Detail!BJ96&amp;"-"&amp;Detail!$BJ$13))</f>
        <v/>
      </c>
      <c r="BW96" s="1327" t="s">
        <v>2236</v>
      </c>
      <c r="BX96" s="527" t="s">
        <v>2278</v>
      </c>
      <c r="BY96" s="440" t="str">
        <f t="shared" si="19"/>
        <v/>
      </c>
      <c r="BZ96" s="1412">
        <v>50000</v>
      </c>
      <c r="CA96" s="247">
        <v>3</v>
      </c>
      <c r="CB96" s="261">
        <v>0</v>
      </c>
      <c r="CC96" s="261" t="s">
        <v>2236</v>
      </c>
      <c r="CD96" s="264">
        <v>0</v>
      </c>
      <c r="CE96" s="508">
        <v>0</v>
      </c>
      <c r="CF96" s="261">
        <v>1</v>
      </c>
      <c r="CG96" s="261">
        <v>0</v>
      </c>
      <c r="CH96" s="311" t="str">
        <f>IF(A96=FALSE,"",IF(Detail!BR96="","N/A",YEAR(Detail!F96)&amp;Detail!BU96&amp;Detail!BR96&amp;"-"&amp;Detail!$BR$13))</f>
        <v/>
      </c>
      <c r="CI96" s="925" t="s">
        <v>2236</v>
      </c>
      <c r="CJ96" s="527" t="s">
        <v>2278</v>
      </c>
      <c r="CK96" s="440" t="str">
        <f t="shared" si="20"/>
        <v/>
      </c>
      <c r="CL96" s="1412">
        <v>50000</v>
      </c>
      <c r="CM96" s="247">
        <v>3</v>
      </c>
      <c r="CN96" s="261">
        <v>0</v>
      </c>
      <c r="CO96" s="261" t="s">
        <v>2236</v>
      </c>
      <c r="CP96" s="264">
        <v>0</v>
      </c>
      <c r="CQ96" s="508">
        <v>0</v>
      </c>
      <c r="CR96" s="261">
        <v>1</v>
      </c>
      <c r="CS96" s="261">
        <v>0</v>
      </c>
      <c r="CT96" s="311" t="str">
        <f>IF(A96=FALSE,"",IF(Detail!BZ96="","N/A",YEAR(Detail!F96)&amp;Detail!CC96&amp;Detail!BZ96&amp;"-"&amp;Detail!$BZ$13&amp;" (100%/"&amp;Detail!CD96&amp;"/"&amp;Detail!CE96&amp;"D)"))</f>
        <v/>
      </c>
      <c r="CU96" s="1016" t="s">
        <v>2236</v>
      </c>
      <c r="CV96" s="527" t="s">
        <v>2278</v>
      </c>
      <c r="CW96" s="241">
        <v>7</v>
      </c>
      <c r="CX96" s="1323">
        <v>365</v>
      </c>
      <c r="CY96" s="248">
        <v>1</v>
      </c>
      <c r="CZ96" s="261">
        <v>0</v>
      </c>
      <c r="DA96" s="1325" t="s">
        <v>2236</v>
      </c>
      <c r="DB96" s="538">
        <v>40</v>
      </c>
      <c r="DC96" s="1325">
        <v>0.1</v>
      </c>
      <c r="DD96" s="261">
        <v>1</v>
      </c>
      <c r="DE96" s="261">
        <v>0</v>
      </c>
      <c r="DF96" s="313" t="str">
        <f>IF(A96=FALSE,"",IF(Detail!CH96="","N/A",YEAR(Detail!F96)&amp;Detail!CK96&amp;Detail!CH96&amp;"-"&amp;Detail!$CH$13&amp;" (100%/"&amp;Detail!CL96&amp;"/"&amp;Detail!CM96&amp;"D)"))</f>
        <v/>
      </c>
      <c r="DG96" s="1354" t="s">
        <v>2236</v>
      </c>
      <c r="DH96" s="518" t="s">
        <v>2278</v>
      </c>
      <c r="DI96" s="241">
        <f t="shared" si="21"/>
        <v>7</v>
      </c>
      <c r="DJ96" s="243">
        <f t="shared" si="22"/>
        <v>365</v>
      </c>
      <c r="DK96" s="258">
        <v>1</v>
      </c>
      <c r="DL96" s="261">
        <v>0</v>
      </c>
      <c r="DM96" s="1325" t="s">
        <v>2236</v>
      </c>
      <c r="DN96" s="538">
        <v>96</v>
      </c>
      <c r="DO96" s="1325">
        <f t="shared" si="23"/>
        <v>0.1</v>
      </c>
      <c r="DP96" s="261">
        <v>1</v>
      </c>
      <c r="DQ96" s="261">
        <v>0</v>
      </c>
      <c r="DR96" s="920" t="str">
        <f>IF(A96=FALSE,"",IF(Detail!CP96="","N/A",YEAR(Detail!F96)&amp;Detail!CS96&amp;Detail!CP96&amp;"-"&amp;Detail!$CP$13))</f>
        <v/>
      </c>
      <c r="DS96" s="308" t="s">
        <v>2236</v>
      </c>
      <c r="DT96" s="720" t="s">
        <v>2277</v>
      </c>
      <c r="DU96" s="244">
        <v>50000</v>
      </c>
      <c r="DV96" s="247">
        <v>2</v>
      </c>
      <c r="DW96" s="261">
        <v>0</v>
      </c>
      <c r="DX96" s="261" t="s">
        <v>2236</v>
      </c>
      <c r="DY96" s="264">
        <v>0</v>
      </c>
      <c r="DZ96" s="444">
        <v>0</v>
      </c>
      <c r="EA96" s="444">
        <v>1</v>
      </c>
      <c r="EB96" s="444">
        <v>0</v>
      </c>
      <c r="EC96" s="761" t="str">
        <f>IF(A96=FALSE,"",IF(Detail!CX96="","N/A",YEAR(Detail!F96)&amp;Detail!DA96&amp;Detail!CX96&amp;"-"&amp;Detail!$CX$13))</f>
        <v/>
      </c>
      <c r="ED96" s="445" t="s">
        <v>2236</v>
      </c>
      <c r="EE96" s="720" t="s">
        <v>2277</v>
      </c>
      <c r="EF96" s="244">
        <v>50000</v>
      </c>
      <c r="EG96" s="247">
        <v>2</v>
      </c>
      <c r="EH96" s="261">
        <v>0</v>
      </c>
      <c r="EI96" s="261" t="s">
        <v>2236</v>
      </c>
      <c r="EJ96" s="264">
        <v>0</v>
      </c>
      <c r="EK96" s="444">
        <v>0</v>
      </c>
      <c r="EL96" s="444">
        <v>1</v>
      </c>
      <c r="EM96" s="444">
        <v>0</v>
      </c>
      <c r="EN96" s="333" t="str">
        <f>IF(A96=FALSE,"",IF(Detail!DF96="","N/A",YEAR(Detail!F96)&amp;Detail!DI96&amp;Detail!DF96&amp;"-"&amp;Detail!$DF$13))</f>
        <v/>
      </c>
      <c r="EO96" s="1012" t="s">
        <v>2236</v>
      </c>
      <c r="EP96" s="1012" t="s">
        <v>2277</v>
      </c>
      <c r="EQ96" s="1013">
        <f t="shared" si="24"/>
        <v>0</v>
      </c>
      <c r="ER96" s="1013" t="s">
        <v>2236</v>
      </c>
      <c r="ES96" s="264">
        <v>0</v>
      </c>
      <c r="ET96" s="1013">
        <v>0</v>
      </c>
      <c r="EU96" s="1013">
        <v>1</v>
      </c>
      <c r="EV96" s="1013">
        <v>0</v>
      </c>
      <c r="EW96" s="333" t="str">
        <f>IF(DJ96=FALSE,"",IF(Detail!ET96="","N/A",YEAR(Detail!DN96)&amp;Detail!EW96&amp;Detail!ET96&amp;"-"&amp;Detail!$AL$13&amp;Detail!EU96))</f>
        <v>N/A</v>
      </c>
      <c r="EX96" s="1012" t="s">
        <v>2236</v>
      </c>
      <c r="EY96" s="1012" t="s">
        <v>2277</v>
      </c>
      <c r="EZ96" s="1013">
        <f t="shared" si="25"/>
        <v>0</v>
      </c>
      <c r="FA96" s="1013" t="s">
        <v>2236</v>
      </c>
      <c r="FB96" s="264">
        <v>0</v>
      </c>
      <c r="FC96" s="1013">
        <v>0</v>
      </c>
      <c r="FD96" s="1013">
        <v>1</v>
      </c>
      <c r="FE96" s="1013">
        <v>0</v>
      </c>
    </row>
    <row r="97" spans="1:161" s="422" customFormat="1" ht="30" customHeight="1" outlineLevel="1">
      <c r="A97" s="439" t="b">
        <f>Calcul!A97</f>
        <v>0</v>
      </c>
      <c r="B97" s="510" t="str">
        <f t="shared" si="16"/>
        <v/>
      </c>
      <c r="C97" s="1404" t="b">
        <v>0</v>
      </c>
      <c r="D97" s="241" t="s">
        <v>2147</v>
      </c>
      <c r="E97" s="1011" t="s">
        <v>2335</v>
      </c>
      <c r="F97" s="243" t="s">
        <v>2146</v>
      </c>
      <c r="G97" s="356" t="str">
        <f>IF(A97=FALSE,"",IF(NAMES!$D$10=FALSE,IF(Detail!H97="","",Detail!H97),IF(Crewlist!D97="","",Crewlist!D97)))</f>
        <v/>
      </c>
      <c r="H97" s="356" t="str">
        <f>IF(A97=FALSE,"",IF(NAMES!$D$10=FALSE,IF(Detail!P97="","",Detail!P97),IF(Crewlist!E97="","",Crewlist!E97)))</f>
        <v/>
      </c>
      <c r="I97" s="356" t="str">
        <f>IF(A97=FALSE,"",IF(NAMES!$D$10=FALSE,IF(Detail!K97="","",Detail!K97),IF(Crewlist!F97="","",Crewlist!F97)))</f>
        <v/>
      </c>
      <c r="J97" s="1001" t="str">
        <f>IF(Crewlist!T97="","",Crewlist!T97)</f>
        <v/>
      </c>
      <c r="K97" s="1001" t="str">
        <f>IF(Crewlist!D97="","",IF(Crewlist!U97="",Crewlist!Y97,IF(DATERENOUVMOINS730&lt;&gt;Crewlist!U97&lt;&gt;Crewlist!Y97,Crewlist!U97,DATERENOUVMOINS365)))</f>
        <v/>
      </c>
      <c r="L97" s="775" t="str">
        <f>IF(Detail!X97="","",Detail!X97)</f>
        <v/>
      </c>
      <c r="M97" s="775" t="str">
        <f>IF(Detail!H97="","",IF(Detail!Y97="",DATERENOUV,IF(Detail!Y97&gt;Detail!D97,Detail!D97,Detail!Y97)))</f>
        <v/>
      </c>
      <c r="N97" s="1015" t="str">
        <f>IF(A97=FALSE,"",IF(NAMES!$D$10=FALSE,IF(B97=B98,IF(O97=O98,0,(DATEDIF(L97,M97,"M")+1)),(DATEDIF(L97,M97,"M")+1)),IF(B97=B98,IF(O97=O98,0,(DATEDIF(J97,K97,"M")+1)),(DATEDIF(J97,K97,"M")+1))))</f>
        <v/>
      </c>
      <c r="O97" s="357" t="str">
        <f t="shared" si="17"/>
        <v/>
      </c>
      <c r="P97" s="358" t="str">
        <f>IF(A97=FALSE,"",IF(NAMES!$D$10=FALSE,IF((DATEDIF(L97,M97,"D")+1)&lt;365,(DATEDIF(L97,M97,"D")+1),365),IF((DATEDIF(J97,K97,"D")+1)&lt;365,(DATEDIF(J97,K97,"D")+1),365)))</f>
        <v/>
      </c>
      <c r="Q97" s="358" t="str">
        <f>IF(A97=FALSE,"",IF(NAMES!$D$10=FALSE,IF(M97="",365,DATEDIF(L97,M97,"D")+1),IF(M97="",365,DATEDIF(J97,K97,"D")+1)))</f>
        <v/>
      </c>
      <c r="R97" s="950" t="str">
        <f>Calcul!X97</f>
        <v/>
      </c>
      <c r="S97" s="950" t="str">
        <f>Calcul!Y97</f>
        <v/>
      </c>
      <c r="T97" s="993" t="str">
        <f>Calcul!AG97</f>
        <v/>
      </c>
      <c r="U97" s="368" t="str">
        <f>IF(A97=FALSE,"",IF(NAMES!$D$10=FALSE,IF(Detail!S97="","",Detail!S97),IF(Crewlist!V97="","",Crewlist!V97)))</f>
        <v/>
      </c>
      <c r="V97" s="245" t="str">
        <f>Calcul!AI97</f>
        <v/>
      </c>
      <c r="W97" s="245" t="str">
        <f>Calcul!AL97</f>
        <v/>
      </c>
      <c r="X97" s="245" t="str">
        <f>Calcul!AM97</f>
        <v/>
      </c>
      <c r="Y97" s="353" t="str">
        <f>Calcul!AN97</f>
        <v/>
      </c>
      <c r="Z97" s="245" t="str">
        <f>Calcul!AO97</f>
        <v/>
      </c>
      <c r="AA97" s="245" t="str">
        <f>Calcul!AP97</f>
        <v/>
      </c>
      <c r="AB97" s="353" t="str">
        <f>Calcul!AQ97</f>
        <v/>
      </c>
      <c r="AC97" s="353" t="str">
        <f>IF(C97=FALSE,"",Calcul!BE97+Calcul!BF97)</f>
        <v/>
      </c>
      <c r="AD97" s="353" t="str">
        <f>IF(C97=FALSE,"",(Calcul!BG97+Calcul!BH97)+SUM(Calcul!BI97:BN97))</f>
        <v/>
      </c>
      <c r="AE97" s="353" t="str">
        <f>Calcul!BP97</f>
        <v/>
      </c>
      <c r="AF97" s="332" t="str">
        <f>IF(A97=FALSE,"",YEAR(Detail!F97)&amp;Detail!AG97&amp;Detail!AD97&amp;"-"&amp;Detail!$AD$13&amp;Detail!AE97)</f>
        <v/>
      </c>
      <c r="AG97" s="916" t="s">
        <v>2236</v>
      </c>
      <c r="AH97" s="527" t="s">
        <v>2277</v>
      </c>
      <c r="AI97" s="917">
        <v>0</v>
      </c>
      <c r="AJ97" s="261" t="s">
        <v>2236</v>
      </c>
      <c r="AK97" s="1410">
        <v>32</v>
      </c>
      <c r="AL97" s="508">
        <v>0</v>
      </c>
      <c r="AM97" s="261">
        <v>1</v>
      </c>
      <c r="AN97" s="261">
        <v>0</v>
      </c>
      <c r="AO97" s="333" t="str">
        <f>IF(A97=FALSE,"",IF(Detail!AL97="","N/A",YEAR(Detail!F97)&amp;Detail!AO97&amp;Detail!AL97&amp;"-"&amp;Detail!$AL$13&amp;Detail!AM97))</f>
        <v/>
      </c>
      <c r="AP97" s="1406" t="s">
        <v>2236</v>
      </c>
      <c r="AQ97" s="701" t="s">
        <v>2277</v>
      </c>
      <c r="AR97" s="1013">
        <f t="shared" si="18"/>
        <v>0</v>
      </c>
      <c r="AS97" s="261" t="s">
        <v>2236</v>
      </c>
      <c r="AT97" s="264">
        <v>0</v>
      </c>
      <c r="AU97" s="261">
        <v>0</v>
      </c>
      <c r="AV97" s="261">
        <v>1</v>
      </c>
      <c r="AW97" s="261">
        <v>0</v>
      </c>
      <c r="AX97" s="920" t="str">
        <f>IF(A97=FALSE,"",IF(Detail!AT97="","N/A",YEAR(Detail!F97)&amp;Detail!AW97&amp;Detail!AT97&amp;"-"&amp;Detail!$AT$13))</f>
        <v/>
      </c>
      <c r="AY97" s="1014" t="s">
        <v>2236</v>
      </c>
      <c r="AZ97" s="308" t="s">
        <v>2278</v>
      </c>
      <c r="BA97" s="440" t="str">
        <f>IF(A97=FALSE,"",51000+(Detail!AA97*7000))</f>
        <v/>
      </c>
      <c r="BB97" s="1412">
        <v>50000</v>
      </c>
      <c r="BC97" s="247">
        <v>3</v>
      </c>
      <c r="BD97" s="261">
        <v>0</v>
      </c>
      <c r="BE97" s="261" t="s">
        <v>2236</v>
      </c>
      <c r="BF97" s="264">
        <v>0</v>
      </c>
      <c r="BG97" s="508">
        <v>0</v>
      </c>
      <c r="BH97" s="261">
        <v>1</v>
      </c>
      <c r="BI97" s="261">
        <v>0</v>
      </c>
      <c r="BJ97" s="311" t="str">
        <f>IF(A97=FALSE,"",IF(Detail!BB97="","N/A",YEAR(Detail!F97)&amp;Detail!BE97&amp;Detail!BB97&amp;"-"&amp;Detail!$BB$13))</f>
        <v/>
      </c>
      <c r="BK97" s="1354" t="s">
        <v>2236</v>
      </c>
      <c r="BL97" s="527" t="s">
        <v>2278</v>
      </c>
      <c r="BM97" s="440" t="str">
        <f>IF(A97=FALSE,"",51000+(Detail!AA97*7000))</f>
        <v/>
      </c>
      <c r="BN97" s="1412">
        <v>50000</v>
      </c>
      <c r="BO97" s="247">
        <v>3</v>
      </c>
      <c r="BP97" s="261">
        <v>0</v>
      </c>
      <c r="BQ97" s="261" t="s">
        <v>2236</v>
      </c>
      <c r="BR97" s="264">
        <v>0</v>
      </c>
      <c r="BS97" s="508">
        <v>0</v>
      </c>
      <c r="BT97" s="261">
        <v>1</v>
      </c>
      <c r="BU97" s="261">
        <v>0</v>
      </c>
      <c r="BV97" s="311" t="str">
        <f>IF(A97=FALSE,"",IF(Detail!BJ97="","N/A",YEAR(Detail!F97)&amp;Detail!BM97&amp;Detail!BJ97&amp;"-"&amp;Detail!$BJ$13))</f>
        <v/>
      </c>
      <c r="BW97" s="1327" t="s">
        <v>2236</v>
      </c>
      <c r="BX97" s="527" t="s">
        <v>2278</v>
      </c>
      <c r="BY97" s="440" t="str">
        <f t="shared" si="19"/>
        <v/>
      </c>
      <c r="BZ97" s="1412">
        <v>50000</v>
      </c>
      <c r="CA97" s="247">
        <v>3</v>
      </c>
      <c r="CB97" s="261">
        <v>0</v>
      </c>
      <c r="CC97" s="261" t="s">
        <v>2236</v>
      </c>
      <c r="CD97" s="264">
        <v>0</v>
      </c>
      <c r="CE97" s="508">
        <v>0</v>
      </c>
      <c r="CF97" s="261">
        <v>1</v>
      </c>
      <c r="CG97" s="261">
        <v>0</v>
      </c>
      <c r="CH97" s="311" t="str">
        <f>IF(A97=FALSE,"",IF(Detail!BR97="","N/A",YEAR(Detail!F97)&amp;Detail!BU97&amp;Detail!BR97&amp;"-"&amp;Detail!$BR$13))</f>
        <v/>
      </c>
      <c r="CI97" s="925" t="s">
        <v>2236</v>
      </c>
      <c r="CJ97" s="527" t="s">
        <v>2278</v>
      </c>
      <c r="CK97" s="440" t="str">
        <f t="shared" si="20"/>
        <v/>
      </c>
      <c r="CL97" s="1412">
        <v>50000</v>
      </c>
      <c r="CM97" s="247">
        <v>3</v>
      </c>
      <c r="CN97" s="261">
        <v>0</v>
      </c>
      <c r="CO97" s="261" t="s">
        <v>2236</v>
      </c>
      <c r="CP97" s="264">
        <v>0</v>
      </c>
      <c r="CQ97" s="508">
        <v>0</v>
      </c>
      <c r="CR97" s="261">
        <v>1</v>
      </c>
      <c r="CS97" s="261">
        <v>0</v>
      </c>
      <c r="CT97" s="311" t="str">
        <f>IF(A97=FALSE,"",IF(Detail!BZ97="","N/A",YEAR(Detail!F97)&amp;Detail!CC97&amp;Detail!BZ97&amp;"-"&amp;Detail!$BZ$13&amp;" (100%/"&amp;Detail!CD97&amp;"/"&amp;Detail!CE97&amp;"D)"))</f>
        <v/>
      </c>
      <c r="CU97" s="1016" t="s">
        <v>2236</v>
      </c>
      <c r="CV97" s="527" t="s">
        <v>2278</v>
      </c>
      <c r="CW97" s="241">
        <v>7</v>
      </c>
      <c r="CX97" s="1323">
        <v>365</v>
      </c>
      <c r="CY97" s="248">
        <v>1</v>
      </c>
      <c r="CZ97" s="261">
        <v>0</v>
      </c>
      <c r="DA97" s="1325" t="s">
        <v>2236</v>
      </c>
      <c r="DB97" s="538">
        <v>40</v>
      </c>
      <c r="DC97" s="1325">
        <v>0.1</v>
      </c>
      <c r="DD97" s="261">
        <v>1</v>
      </c>
      <c r="DE97" s="261">
        <v>0</v>
      </c>
      <c r="DF97" s="313" t="str">
        <f>IF(A97=FALSE,"",IF(Detail!CH97="","N/A",YEAR(Detail!F97)&amp;Detail!CK97&amp;Detail!CH97&amp;"-"&amp;Detail!$CH$13&amp;" (100%/"&amp;Detail!CL97&amp;"/"&amp;Detail!CM97&amp;"D)"))</f>
        <v/>
      </c>
      <c r="DG97" s="1354" t="s">
        <v>2236</v>
      </c>
      <c r="DH97" s="518" t="s">
        <v>2278</v>
      </c>
      <c r="DI97" s="241">
        <f t="shared" si="21"/>
        <v>7</v>
      </c>
      <c r="DJ97" s="243">
        <f t="shared" si="22"/>
        <v>365</v>
      </c>
      <c r="DK97" s="258">
        <v>1</v>
      </c>
      <c r="DL97" s="261">
        <v>0</v>
      </c>
      <c r="DM97" s="1325" t="s">
        <v>2236</v>
      </c>
      <c r="DN97" s="538">
        <v>96</v>
      </c>
      <c r="DO97" s="1325">
        <f t="shared" si="23"/>
        <v>0.1</v>
      </c>
      <c r="DP97" s="261">
        <v>1</v>
      </c>
      <c r="DQ97" s="261">
        <v>0</v>
      </c>
      <c r="DR97" s="920" t="str">
        <f>IF(A97=FALSE,"",IF(Detail!CP97="","N/A",YEAR(Detail!F97)&amp;Detail!CS97&amp;Detail!CP97&amp;"-"&amp;Detail!$CP$13))</f>
        <v/>
      </c>
      <c r="DS97" s="308" t="s">
        <v>2236</v>
      </c>
      <c r="DT97" s="720" t="s">
        <v>2277</v>
      </c>
      <c r="DU97" s="244">
        <v>50000</v>
      </c>
      <c r="DV97" s="247">
        <v>2</v>
      </c>
      <c r="DW97" s="261">
        <v>0</v>
      </c>
      <c r="DX97" s="261" t="s">
        <v>2236</v>
      </c>
      <c r="DY97" s="264">
        <v>0</v>
      </c>
      <c r="DZ97" s="444">
        <v>0</v>
      </c>
      <c r="EA97" s="444">
        <v>1</v>
      </c>
      <c r="EB97" s="444">
        <v>0</v>
      </c>
      <c r="EC97" s="761" t="str">
        <f>IF(A97=FALSE,"",IF(Detail!CX97="","N/A",YEAR(Detail!F97)&amp;Detail!DA97&amp;Detail!CX97&amp;"-"&amp;Detail!$CX$13))</f>
        <v/>
      </c>
      <c r="ED97" s="445" t="s">
        <v>2236</v>
      </c>
      <c r="EE97" s="720" t="s">
        <v>2277</v>
      </c>
      <c r="EF97" s="244">
        <v>50000</v>
      </c>
      <c r="EG97" s="247">
        <v>2</v>
      </c>
      <c r="EH97" s="261">
        <v>0</v>
      </c>
      <c r="EI97" s="261" t="s">
        <v>2236</v>
      </c>
      <c r="EJ97" s="264">
        <v>0</v>
      </c>
      <c r="EK97" s="444">
        <v>0</v>
      </c>
      <c r="EL97" s="444">
        <v>1</v>
      </c>
      <c r="EM97" s="444">
        <v>0</v>
      </c>
      <c r="EN97" s="333" t="str">
        <f>IF(A97=FALSE,"",IF(Detail!DF97="","N/A",YEAR(Detail!F97)&amp;Detail!DI97&amp;Detail!DF97&amp;"-"&amp;Detail!$DF$13))</f>
        <v/>
      </c>
      <c r="EO97" s="1012" t="s">
        <v>2236</v>
      </c>
      <c r="EP97" s="1012" t="s">
        <v>2277</v>
      </c>
      <c r="EQ97" s="1013">
        <f t="shared" si="24"/>
        <v>0</v>
      </c>
      <c r="ER97" s="1013" t="s">
        <v>2236</v>
      </c>
      <c r="ES97" s="264">
        <v>0</v>
      </c>
      <c r="ET97" s="1013">
        <v>0</v>
      </c>
      <c r="EU97" s="1013">
        <v>1</v>
      </c>
      <c r="EV97" s="1013">
        <v>0</v>
      </c>
      <c r="EW97" s="333" t="str">
        <f>IF(DJ97=FALSE,"",IF(Detail!ET97="","N/A",YEAR(Detail!DN97)&amp;Detail!EW97&amp;Detail!ET97&amp;"-"&amp;Detail!$AL$13&amp;Detail!EU97))</f>
        <v>N/A</v>
      </c>
      <c r="EX97" s="1012" t="s">
        <v>2236</v>
      </c>
      <c r="EY97" s="1012" t="s">
        <v>2277</v>
      </c>
      <c r="EZ97" s="1013">
        <f t="shared" si="25"/>
        <v>0</v>
      </c>
      <c r="FA97" s="1013" t="s">
        <v>2236</v>
      </c>
      <c r="FB97" s="264">
        <v>0</v>
      </c>
      <c r="FC97" s="1013">
        <v>0</v>
      </c>
      <c r="FD97" s="1013">
        <v>1</v>
      </c>
      <c r="FE97" s="1013">
        <v>0</v>
      </c>
    </row>
    <row r="98" spans="1:161" s="422" customFormat="1" ht="30" customHeight="1" outlineLevel="1">
      <c r="A98" s="439" t="b">
        <f>Calcul!A98</f>
        <v>0</v>
      </c>
      <c r="B98" s="510" t="str">
        <f t="shared" si="16"/>
        <v/>
      </c>
      <c r="C98" s="1404" t="b">
        <v>0</v>
      </c>
      <c r="D98" s="241" t="s">
        <v>2147</v>
      </c>
      <c r="E98" s="1011" t="s">
        <v>2335</v>
      </c>
      <c r="F98" s="243" t="s">
        <v>2146</v>
      </c>
      <c r="G98" s="356" t="str">
        <f>IF(A98=FALSE,"",IF(NAMES!$D$10=FALSE,IF(Detail!H98="","",Detail!H98),IF(Crewlist!D98="","",Crewlist!D98)))</f>
        <v/>
      </c>
      <c r="H98" s="356" t="str">
        <f>IF(A98=FALSE,"",IF(NAMES!$D$10=FALSE,IF(Detail!P98="","",Detail!P98),IF(Crewlist!E98="","",Crewlist!E98)))</f>
        <v/>
      </c>
      <c r="I98" s="356" t="str">
        <f>IF(A98=FALSE,"",IF(NAMES!$D$10=FALSE,IF(Detail!K98="","",Detail!K98),IF(Crewlist!F98="","",Crewlist!F98)))</f>
        <v/>
      </c>
      <c r="J98" s="1001" t="str">
        <f>IF(Crewlist!T98="","",Crewlist!T98)</f>
        <v/>
      </c>
      <c r="K98" s="1001" t="str">
        <f>IF(Crewlist!D98="","",IF(Crewlist!U98="",Crewlist!Y98,IF(DATERENOUVMOINS730&lt;&gt;Crewlist!U98&lt;&gt;Crewlist!Y98,Crewlist!U98,DATERENOUVMOINS365)))</f>
        <v/>
      </c>
      <c r="L98" s="775" t="str">
        <f>IF(Detail!X98="","",Detail!X98)</f>
        <v/>
      </c>
      <c r="M98" s="775" t="str">
        <f>IF(Detail!H98="","",IF(Detail!Y98="",DATERENOUV,IF(Detail!Y98&gt;Detail!D98,Detail!D98,Detail!Y98)))</f>
        <v/>
      </c>
      <c r="N98" s="1015" t="str">
        <f>IF(A98=FALSE,"",IF(NAMES!$D$10=FALSE,IF(B98=B99,IF(O98=O99,0,(DATEDIF(L98,M98,"M")+1)),(DATEDIF(L98,M98,"M")+1)),IF(B98=B99,IF(O98=O99,0,(DATEDIF(J98,K98,"M")+1)),(DATEDIF(J98,K98,"M")+1))))</f>
        <v/>
      </c>
      <c r="O98" s="357" t="str">
        <f t="shared" si="17"/>
        <v/>
      </c>
      <c r="P98" s="358" t="str">
        <f>IF(A98=FALSE,"",IF(NAMES!$D$10=FALSE,IF((DATEDIF(L98,M98,"D")+1)&lt;365,(DATEDIF(L98,M98,"D")+1),365),IF((DATEDIF(J98,K98,"D")+1)&lt;365,(DATEDIF(J98,K98,"D")+1),365)))</f>
        <v/>
      </c>
      <c r="Q98" s="358" t="str">
        <f>IF(A98=FALSE,"",IF(NAMES!$D$10=FALSE,IF(M98="",365,DATEDIF(L98,M98,"D")+1),IF(M98="",365,DATEDIF(J98,K98,"D")+1)))</f>
        <v/>
      </c>
      <c r="R98" s="950" t="str">
        <f>Calcul!X98</f>
        <v/>
      </c>
      <c r="S98" s="950" t="str">
        <f>Calcul!Y98</f>
        <v/>
      </c>
      <c r="T98" s="993" t="str">
        <f>Calcul!AG98</f>
        <v/>
      </c>
      <c r="U98" s="368" t="str">
        <f>IF(A98=FALSE,"",IF(NAMES!$D$10=FALSE,IF(Detail!S98="","",Detail!S98),IF(Crewlist!V98="","",Crewlist!V98)))</f>
        <v/>
      </c>
      <c r="V98" s="245" t="str">
        <f>Calcul!AI98</f>
        <v/>
      </c>
      <c r="W98" s="245" t="str">
        <f>Calcul!AL98</f>
        <v/>
      </c>
      <c r="X98" s="245" t="str">
        <f>Calcul!AM98</f>
        <v/>
      </c>
      <c r="Y98" s="353" t="str">
        <f>Calcul!AN98</f>
        <v/>
      </c>
      <c r="Z98" s="245" t="str">
        <f>Calcul!AO98</f>
        <v/>
      </c>
      <c r="AA98" s="245" t="str">
        <f>Calcul!AP98</f>
        <v/>
      </c>
      <c r="AB98" s="353" t="str">
        <f>Calcul!AQ98</f>
        <v/>
      </c>
      <c r="AC98" s="353" t="str">
        <f>IF(C98=FALSE,"",Calcul!BE98+Calcul!BF98)</f>
        <v/>
      </c>
      <c r="AD98" s="353" t="str">
        <f>IF(C98=FALSE,"",(Calcul!BG98+Calcul!BH98)+SUM(Calcul!BI98:BN98))</f>
        <v/>
      </c>
      <c r="AE98" s="353" t="str">
        <f>Calcul!BP98</f>
        <v/>
      </c>
      <c r="AF98" s="332" t="str">
        <f>IF(A98=FALSE,"",YEAR(Detail!F98)&amp;Detail!AG98&amp;Detail!AD98&amp;"-"&amp;Detail!$AD$13&amp;Detail!AE98)</f>
        <v/>
      </c>
      <c r="AG98" s="916" t="s">
        <v>2236</v>
      </c>
      <c r="AH98" s="527" t="s">
        <v>2277</v>
      </c>
      <c r="AI98" s="917">
        <v>0</v>
      </c>
      <c r="AJ98" s="261" t="s">
        <v>2236</v>
      </c>
      <c r="AK98" s="1410">
        <v>32</v>
      </c>
      <c r="AL98" s="508">
        <v>0</v>
      </c>
      <c r="AM98" s="261">
        <v>1</v>
      </c>
      <c r="AN98" s="261">
        <v>0</v>
      </c>
      <c r="AO98" s="333" t="str">
        <f>IF(A98=FALSE,"",IF(Detail!AL98="","N/A",YEAR(Detail!F98)&amp;Detail!AO98&amp;Detail!AL98&amp;"-"&amp;Detail!$AL$13&amp;Detail!AM98))</f>
        <v/>
      </c>
      <c r="AP98" s="1406" t="s">
        <v>2236</v>
      </c>
      <c r="AQ98" s="527" t="s">
        <v>2277</v>
      </c>
      <c r="AR98" s="1013">
        <f t="shared" si="18"/>
        <v>0</v>
      </c>
      <c r="AS98" s="261" t="s">
        <v>2236</v>
      </c>
      <c r="AT98" s="264">
        <v>0</v>
      </c>
      <c r="AU98" s="261">
        <v>0</v>
      </c>
      <c r="AV98" s="261">
        <v>1</v>
      </c>
      <c r="AW98" s="261">
        <v>0</v>
      </c>
      <c r="AX98" s="920" t="str">
        <f>IF(A98=FALSE,"",IF(Detail!AT98="","N/A",YEAR(Detail!F98)&amp;Detail!AW98&amp;Detail!AT98&amp;"-"&amp;Detail!$AT$13))</f>
        <v/>
      </c>
      <c r="AY98" s="1014" t="s">
        <v>2236</v>
      </c>
      <c r="AZ98" s="308" t="s">
        <v>2278</v>
      </c>
      <c r="BA98" s="440" t="str">
        <f>IF(A98=FALSE,"",51000+(Detail!AA98*7000))</f>
        <v/>
      </c>
      <c r="BB98" s="1412">
        <v>50000</v>
      </c>
      <c r="BC98" s="247">
        <v>3</v>
      </c>
      <c r="BD98" s="261">
        <v>0</v>
      </c>
      <c r="BE98" s="261" t="s">
        <v>2236</v>
      </c>
      <c r="BF98" s="264">
        <v>0</v>
      </c>
      <c r="BG98" s="508">
        <v>0</v>
      </c>
      <c r="BH98" s="261">
        <v>1</v>
      </c>
      <c r="BI98" s="261">
        <v>0</v>
      </c>
      <c r="BJ98" s="311" t="str">
        <f>IF(A98=FALSE,"",IF(Detail!BB98="","N/A",YEAR(Detail!F98)&amp;Detail!BE98&amp;Detail!BB98&amp;"-"&amp;Detail!$BB$13))</f>
        <v/>
      </c>
      <c r="BK98" s="1354" t="s">
        <v>2236</v>
      </c>
      <c r="BL98" s="527" t="s">
        <v>2278</v>
      </c>
      <c r="BM98" s="440" t="str">
        <f>IF(A98=FALSE,"",51000+(Detail!AA98*7000))</f>
        <v/>
      </c>
      <c r="BN98" s="1412">
        <v>50000</v>
      </c>
      <c r="BO98" s="247">
        <v>3</v>
      </c>
      <c r="BP98" s="261">
        <v>0</v>
      </c>
      <c r="BQ98" s="261" t="s">
        <v>2236</v>
      </c>
      <c r="BR98" s="264">
        <v>0</v>
      </c>
      <c r="BS98" s="508">
        <v>0</v>
      </c>
      <c r="BT98" s="261">
        <v>1</v>
      </c>
      <c r="BU98" s="261">
        <v>0</v>
      </c>
      <c r="BV98" s="311" t="str">
        <f>IF(A98=FALSE,"",IF(Detail!BJ98="","N/A",YEAR(Detail!F98)&amp;Detail!BM98&amp;Detail!BJ98&amp;"-"&amp;Detail!$BJ$13))</f>
        <v/>
      </c>
      <c r="BW98" s="1327" t="s">
        <v>2236</v>
      </c>
      <c r="BX98" s="527" t="s">
        <v>2278</v>
      </c>
      <c r="BY98" s="440" t="str">
        <f t="shared" si="19"/>
        <v/>
      </c>
      <c r="BZ98" s="1412">
        <v>50000</v>
      </c>
      <c r="CA98" s="247">
        <v>3</v>
      </c>
      <c r="CB98" s="261">
        <v>0</v>
      </c>
      <c r="CC98" s="261" t="s">
        <v>2236</v>
      </c>
      <c r="CD98" s="264">
        <v>0</v>
      </c>
      <c r="CE98" s="508">
        <v>0</v>
      </c>
      <c r="CF98" s="261">
        <v>1</v>
      </c>
      <c r="CG98" s="261">
        <v>0</v>
      </c>
      <c r="CH98" s="311" t="str">
        <f>IF(A98=FALSE,"",IF(Detail!BR98="","N/A",YEAR(Detail!F98)&amp;Detail!BU98&amp;Detail!BR98&amp;"-"&amp;Detail!$BR$13))</f>
        <v/>
      </c>
      <c r="CI98" s="925" t="s">
        <v>2236</v>
      </c>
      <c r="CJ98" s="527" t="s">
        <v>2278</v>
      </c>
      <c r="CK98" s="440" t="str">
        <f t="shared" si="20"/>
        <v/>
      </c>
      <c r="CL98" s="1412">
        <v>50000</v>
      </c>
      <c r="CM98" s="247">
        <v>3</v>
      </c>
      <c r="CN98" s="261">
        <v>0</v>
      </c>
      <c r="CO98" s="261" t="s">
        <v>2236</v>
      </c>
      <c r="CP98" s="264">
        <v>0</v>
      </c>
      <c r="CQ98" s="508">
        <v>0</v>
      </c>
      <c r="CR98" s="261">
        <v>1</v>
      </c>
      <c r="CS98" s="261">
        <v>0</v>
      </c>
      <c r="CT98" s="311" t="str">
        <f>IF(A98=FALSE,"",IF(Detail!BZ98="","N/A",YEAR(Detail!F98)&amp;Detail!CC98&amp;Detail!BZ98&amp;"-"&amp;Detail!$BZ$13&amp;" (100%/"&amp;Detail!CD98&amp;"/"&amp;Detail!CE98&amp;"D)"))</f>
        <v/>
      </c>
      <c r="CU98" s="1016" t="s">
        <v>2236</v>
      </c>
      <c r="CV98" s="527" t="s">
        <v>2278</v>
      </c>
      <c r="CW98" s="241">
        <v>7</v>
      </c>
      <c r="CX98" s="1323">
        <v>365</v>
      </c>
      <c r="CY98" s="248">
        <v>1</v>
      </c>
      <c r="CZ98" s="261">
        <v>0</v>
      </c>
      <c r="DA98" s="1325" t="s">
        <v>2236</v>
      </c>
      <c r="DB98" s="538">
        <v>40</v>
      </c>
      <c r="DC98" s="1325">
        <v>0.1</v>
      </c>
      <c r="DD98" s="261">
        <v>1</v>
      </c>
      <c r="DE98" s="261">
        <v>0</v>
      </c>
      <c r="DF98" s="313" t="str">
        <f>IF(A98=FALSE,"",IF(Detail!CH98="","N/A",YEAR(Detail!F98)&amp;Detail!CK98&amp;Detail!CH98&amp;"-"&amp;Detail!$CH$13&amp;" (100%/"&amp;Detail!CL98&amp;"/"&amp;Detail!CM98&amp;"D)"))</f>
        <v/>
      </c>
      <c r="DG98" s="1354" t="s">
        <v>2236</v>
      </c>
      <c r="DH98" s="518" t="s">
        <v>2278</v>
      </c>
      <c r="DI98" s="241">
        <f t="shared" si="21"/>
        <v>7</v>
      </c>
      <c r="DJ98" s="243">
        <f t="shared" si="22"/>
        <v>365</v>
      </c>
      <c r="DK98" s="258">
        <v>1</v>
      </c>
      <c r="DL98" s="261">
        <v>0</v>
      </c>
      <c r="DM98" s="1325" t="s">
        <v>2236</v>
      </c>
      <c r="DN98" s="538">
        <v>96</v>
      </c>
      <c r="DO98" s="1325">
        <f t="shared" si="23"/>
        <v>0.1</v>
      </c>
      <c r="DP98" s="261">
        <v>1</v>
      </c>
      <c r="DQ98" s="261">
        <v>0</v>
      </c>
      <c r="DR98" s="920" t="str">
        <f>IF(A98=FALSE,"",IF(Detail!CP98="","N/A",YEAR(Detail!F98)&amp;Detail!CS98&amp;Detail!CP98&amp;"-"&amp;Detail!$CP$13))</f>
        <v/>
      </c>
      <c r="DS98" s="308" t="s">
        <v>2236</v>
      </c>
      <c r="DT98" s="720" t="s">
        <v>2277</v>
      </c>
      <c r="DU98" s="244">
        <v>50000</v>
      </c>
      <c r="DV98" s="247">
        <v>2</v>
      </c>
      <c r="DW98" s="261">
        <v>0</v>
      </c>
      <c r="DX98" s="261" t="s">
        <v>2236</v>
      </c>
      <c r="DY98" s="264">
        <v>0</v>
      </c>
      <c r="DZ98" s="444">
        <v>0</v>
      </c>
      <c r="EA98" s="444">
        <v>1</v>
      </c>
      <c r="EB98" s="444">
        <v>0</v>
      </c>
      <c r="EC98" s="761" t="str">
        <f>IF(A98=FALSE,"",IF(Detail!CX98="","N/A",YEAR(Detail!F98)&amp;Detail!DA98&amp;Detail!CX98&amp;"-"&amp;Detail!$CX$13))</f>
        <v/>
      </c>
      <c r="ED98" s="445" t="s">
        <v>2236</v>
      </c>
      <c r="EE98" s="720" t="s">
        <v>2277</v>
      </c>
      <c r="EF98" s="244">
        <v>50000</v>
      </c>
      <c r="EG98" s="247">
        <v>2</v>
      </c>
      <c r="EH98" s="261">
        <v>0</v>
      </c>
      <c r="EI98" s="261" t="s">
        <v>2236</v>
      </c>
      <c r="EJ98" s="264">
        <v>0</v>
      </c>
      <c r="EK98" s="444">
        <v>0</v>
      </c>
      <c r="EL98" s="444">
        <v>1</v>
      </c>
      <c r="EM98" s="444">
        <v>0</v>
      </c>
      <c r="EN98" s="333" t="str">
        <f>IF(A98=FALSE,"",IF(Detail!DF98="","N/A",YEAR(Detail!F98)&amp;Detail!DI98&amp;Detail!DF98&amp;"-"&amp;Detail!$DF$13))</f>
        <v/>
      </c>
      <c r="EO98" s="1012" t="s">
        <v>2236</v>
      </c>
      <c r="EP98" s="1012" t="s">
        <v>2277</v>
      </c>
      <c r="EQ98" s="1013">
        <f t="shared" si="24"/>
        <v>0</v>
      </c>
      <c r="ER98" s="1013" t="s">
        <v>2236</v>
      </c>
      <c r="ES98" s="264">
        <v>0</v>
      </c>
      <c r="ET98" s="1013">
        <v>0</v>
      </c>
      <c r="EU98" s="1013">
        <v>1</v>
      </c>
      <c r="EV98" s="1013">
        <v>0</v>
      </c>
      <c r="EW98" s="333" t="str">
        <f>IF(DJ98=FALSE,"",IF(Detail!ET98="","N/A",YEAR(Detail!DN98)&amp;Detail!EW98&amp;Detail!ET98&amp;"-"&amp;Detail!$AL$13&amp;Detail!EU98))</f>
        <v>N/A</v>
      </c>
      <c r="EX98" s="1012" t="s">
        <v>2236</v>
      </c>
      <c r="EY98" s="1012" t="s">
        <v>2277</v>
      </c>
      <c r="EZ98" s="1013">
        <f t="shared" si="25"/>
        <v>0</v>
      </c>
      <c r="FA98" s="1013" t="s">
        <v>2236</v>
      </c>
      <c r="FB98" s="264">
        <v>0</v>
      </c>
      <c r="FC98" s="1013">
        <v>0</v>
      </c>
      <c r="FD98" s="1013">
        <v>1</v>
      </c>
      <c r="FE98" s="1013">
        <v>0</v>
      </c>
    </row>
    <row r="99" spans="1:161" s="422" customFormat="1" ht="30" customHeight="1" outlineLevel="1">
      <c r="A99" s="439" t="b">
        <f>Calcul!A99</f>
        <v>0</v>
      </c>
      <c r="B99" s="510" t="str">
        <f t="shared" si="16"/>
        <v/>
      </c>
      <c r="C99" s="1404" t="b">
        <v>0</v>
      </c>
      <c r="D99" s="241" t="s">
        <v>2147</v>
      </c>
      <c r="E99" s="1011" t="s">
        <v>2335</v>
      </c>
      <c r="F99" s="243" t="s">
        <v>2146</v>
      </c>
      <c r="G99" s="356" t="str">
        <f>IF(A99=FALSE,"",IF(NAMES!$D$10=FALSE,IF(Detail!H99="","",Detail!H99),IF(Crewlist!D99="","",Crewlist!D99)))</f>
        <v/>
      </c>
      <c r="H99" s="356" t="str">
        <f>IF(A99=FALSE,"",IF(NAMES!$D$10=FALSE,IF(Detail!P99="","",Detail!P99),IF(Crewlist!E99="","",Crewlist!E99)))</f>
        <v/>
      </c>
      <c r="I99" s="356" t="str">
        <f>IF(A99=FALSE,"",IF(NAMES!$D$10=FALSE,IF(Detail!K99="","",Detail!K99),IF(Crewlist!F99="","",Crewlist!F99)))</f>
        <v/>
      </c>
      <c r="J99" s="1001" t="str">
        <f>IF(Crewlist!T99="","",Crewlist!T99)</f>
        <v/>
      </c>
      <c r="K99" s="1001" t="str">
        <f>IF(Crewlist!D99="","",IF(Crewlist!U99="",Crewlist!Y99,IF(DATERENOUVMOINS730&lt;&gt;Crewlist!U99&lt;&gt;Crewlist!Y99,Crewlist!U99,DATERENOUVMOINS365)))</f>
        <v/>
      </c>
      <c r="L99" s="775" t="str">
        <f>IF(Detail!X99="","",Detail!X99)</f>
        <v/>
      </c>
      <c r="M99" s="775" t="str">
        <f>IF(Detail!H99="","",IF(Detail!Y99="",DATERENOUV,IF(Detail!Y99&gt;Detail!D99,Detail!D99,Detail!Y99)))</f>
        <v/>
      </c>
      <c r="N99" s="1015" t="str">
        <f>IF(A99=FALSE,"",IF(NAMES!$D$10=FALSE,IF(B99=B100,IF(O99=O100,0,(DATEDIF(L99,M99,"M")+1)),(DATEDIF(L99,M99,"M")+1)),IF(B99=B100,IF(O99=O100,0,(DATEDIF(J99,K99,"M")+1)),(DATEDIF(J99,K99,"M")+1))))</f>
        <v/>
      </c>
      <c r="O99" s="357" t="str">
        <f t="shared" si="17"/>
        <v/>
      </c>
      <c r="P99" s="358" t="str">
        <f>IF(A99=FALSE,"",IF(NAMES!$D$10=FALSE,IF((DATEDIF(L99,M99,"D")+1)&lt;365,(DATEDIF(L99,M99,"D")+1),365),IF((DATEDIF(J99,K99,"D")+1)&lt;365,(DATEDIF(J99,K99,"D")+1),365)))</f>
        <v/>
      </c>
      <c r="Q99" s="358" t="str">
        <f>IF(A99=FALSE,"",IF(NAMES!$D$10=FALSE,IF(M99="",365,DATEDIF(L99,M99,"D")+1),IF(M99="",365,DATEDIF(J99,K99,"D")+1)))</f>
        <v/>
      </c>
      <c r="R99" s="950" t="str">
        <f>Calcul!X99</f>
        <v/>
      </c>
      <c r="S99" s="950" t="str">
        <f>Calcul!Y99</f>
        <v/>
      </c>
      <c r="T99" s="993" t="str">
        <f>Calcul!AG99</f>
        <v/>
      </c>
      <c r="U99" s="368" t="str">
        <f>IF(A99=FALSE,"",IF(NAMES!$D$10=FALSE,IF(Detail!S99="","",Detail!S99),IF(Crewlist!V99="","",Crewlist!V99)))</f>
        <v/>
      </c>
      <c r="V99" s="245" t="str">
        <f>Calcul!AI99</f>
        <v/>
      </c>
      <c r="W99" s="245" t="str">
        <f>Calcul!AL99</f>
        <v/>
      </c>
      <c r="X99" s="245" t="str">
        <f>Calcul!AM99</f>
        <v/>
      </c>
      <c r="Y99" s="353" t="str">
        <f>Calcul!AN99</f>
        <v/>
      </c>
      <c r="Z99" s="245" t="str">
        <f>Calcul!AO99</f>
        <v/>
      </c>
      <c r="AA99" s="245" t="str">
        <f>Calcul!AP99</f>
        <v/>
      </c>
      <c r="AB99" s="353" t="str">
        <f>Calcul!AQ99</f>
        <v/>
      </c>
      <c r="AC99" s="353" t="str">
        <f>IF(C99=FALSE,"",Calcul!BE99+Calcul!BF99)</f>
        <v/>
      </c>
      <c r="AD99" s="353" t="str">
        <f>IF(C99=FALSE,"",(Calcul!BG99+Calcul!BH99)+SUM(Calcul!BI99:BN99))</f>
        <v/>
      </c>
      <c r="AE99" s="353" t="str">
        <f>Calcul!BP99</f>
        <v/>
      </c>
      <c r="AF99" s="332" t="str">
        <f>IF(A99=FALSE,"",YEAR(Detail!F99)&amp;Detail!AG99&amp;Detail!AD99&amp;"-"&amp;Detail!$AD$13&amp;Detail!AE99)</f>
        <v/>
      </c>
      <c r="AG99" s="916" t="s">
        <v>2236</v>
      </c>
      <c r="AH99" s="527" t="s">
        <v>2277</v>
      </c>
      <c r="AI99" s="917">
        <v>0</v>
      </c>
      <c r="AJ99" s="261" t="s">
        <v>2236</v>
      </c>
      <c r="AK99" s="1410">
        <v>32</v>
      </c>
      <c r="AL99" s="508">
        <v>0</v>
      </c>
      <c r="AM99" s="261">
        <v>1</v>
      </c>
      <c r="AN99" s="261">
        <v>0</v>
      </c>
      <c r="AO99" s="333" t="str">
        <f>IF(A99=FALSE,"",IF(Detail!AL99="","N/A",YEAR(Detail!F99)&amp;Detail!AO99&amp;Detail!AL99&amp;"-"&amp;Detail!$AL$13&amp;Detail!AM99))</f>
        <v/>
      </c>
      <c r="AP99" s="1406" t="s">
        <v>2236</v>
      </c>
      <c r="AQ99" s="527" t="s">
        <v>2277</v>
      </c>
      <c r="AR99" s="1013">
        <f t="shared" si="18"/>
        <v>0</v>
      </c>
      <c r="AS99" s="261" t="s">
        <v>2236</v>
      </c>
      <c r="AT99" s="264">
        <v>0</v>
      </c>
      <c r="AU99" s="261">
        <v>0</v>
      </c>
      <c r="AV99" s="261">
        <v>1</v>
      </c>
      <c r="AW99" s="261">
        <v>0</v>
      </c>
      <c r="AX99" s="920" t="str">
        <f>IF(A99=FALSE,"",IF(Detail!AT99="","N/A",YEAR(Detail!F99)&amp;Detail!AW99&amp;Detail!AT99&amp;"-"&amp;Detail!$AT$13))</f>
        <v/>
      </c>
      <c r="AY99" s="1014" t="s">
        <v>2236</v>
      </c>
      <c r="AZ99" s="308" t="s">
        <v>2278</v>
      </c>
      <c r="BA99" s="440" t="str">
        <f>IF(A99=FALSE,"",51000+(Detail!AA99*7000))</f>
        <v/>
      </c>
      <c r="BB99" s="1412">
        <v>50000</v>
      </c>
      <c r="BC99" s="247">
        <v>3</v>
      </c>
      <c r="BD99" s="261">
        <v>0</v>
      </c>
      <c r="BE99" s="261" t="s">
        <v>2236</v>
      </c>
      <c r="BF99" s="264">
        <v>0</v>
      </c>
      <c r="BG99" s="508">
        <v>0</v>
      </c>
      <c r="BH99" s="261">
        <v>1</v>
      </c>
      <c r="BI99" s="261">
        <v>0</v>
      </c>
      <c r="BJ99" s="311" t="str">
        <f>IF(A99=FALSE,"",IF(Detail!BB99="","N/A",YEAR(Detail!F99)&amp;Detail!BE99&amp;Detail!BB99&amp;"-"&amp;Detail!$BB$13))</f>
        <v/>
      </c>
      <c r="BK99" s="1354" t="s">
        <v>2236</v>
      </c>
      <c r="BL99" s="527" t="s">
        <v>2278</v>
      </c>
      <c r="BM99" s="440" t="str">
        <f>IF(A99=FALSE,"",51000+(Detail!AA99*7000))</f>
        <v/>
      </c>
      <c r="BN99" s="1412">
        <v>50000</v>
      </c>
      <c r="BO99" s="247">
        <v>3</v>
      </c>
      <c r="BP99" s="261">
        <v>0</v>
      </c>
      <c r="BQ99" s="261" t="s">
        <v>2236</v>
      </c>
      <c r="BR99" s="264">
        <v>0</v>
      </c>
      <c r="BS99" s="508">
        <v>0</v>
      </c>
      <c r="BT99" s="261">
        <v>1</v>
      </c>
      <c r="BU99" s="261">
        <v>0</v>
      </c>
      <c r="BV99" s="311" t="str">
        <f>IF(A99=FALSE,"",IF(Detail!BJ99="","N/A",YEAR(Detail!F99)&amp;Detail!BM99&amp;Detail!BJ99&amp;"-"&amp;Detail!$BJ$13))</f>
        <v/>
      </c>
      <c r="BW99" s="1327" t="s">
        <v>2236</v>
      </c>
      <c r="BX99" s="527" t="s">
        <v>2278</v>
      </c>
      <c r="BY99" s="440" t="str">
        <f t="shared" si="19"/>
        <v/>
      </c>
      <c r="BZ99" s="1412">
        <v>50000</v>
      </c>
      <c r="CA99" s="247">
        <v>3</v>
      </c>
      <c r="CB99" s="261">
        <v>0</v>
      </c>
      <c r="CC99" s="261" t="s">
        <v>2236</v>
      </c>
      <c r="CD99" s="264">
        <v>0</v>
      </c>
      <c r="CE99" s="508">
        <v>0</v>
      </c>
      <c r="CF99" s="261">
        <v>1</v>
      </c>
      <c r="CG99" s="261">
        <v>0</v>
      </c>
      <c r="CH99" s="311" t="str">
        <f>IF(A99=FALSE,"",IF(Detail!BR99="","N/A",YEAR(Detail!F99)&amp;Detail!BU99&amp;Detail!BR99&amp;"-"&amp;Detail!$BR$13))</f>
        <v/>
      </c>
      <c r="CI99" s="925" t="s">
        <v>2236</v>
      </c>
      <c r="CJ99" s="527" t="s">
        <v>2278</v>
      </c>
      <c r="CK99" s="440" t="str">
        <f t="shared" si="20"/>
        <v/>
      </c>
      <c r="CL99" s="1412">
        <v>50000</v>
      </c>
      <c r="CM99" s="247">
        <v>3</v>
      </c>
      <c r="CN99" s="261">
        <v>0</v>
      </c>
      <c r="CO99" s="261" t="s">
        <v>2236</v>
      </c>
      <c r="CP99" s="264">
        <v>0</v>
      </c>
      <c r="CQ99" s="508">
        <v>0</v>
      </c>
      <c r="CR99" s="261">
        <v>1</v>
      </c>
      <c r="CS99" s="261">
        <v>0</v>
      </c>
      <c r="CT99" s="311" t="str">
        <f>IF(A99=FALSE,"",IF(Detail!BZ99="","N/A",YEAR(Detail!F99)&amp;Detail!CC99&amp;Detail!BZ99&amp;"-"&amp;Detail!$BZ$13&amp;" (100%/"&amp;Detail!CD99&amp;"/"&amp;Detail!CE99&amp;"D)"))</f>
        <v/>
      </c>
      <c r="CU99" s="1016" t="s">
        <v>2236</v>
      </c>
      <c r="CV99" s="527" t="s">
        <v>2278</v>
      </c>
      <c r="CW99" s="241">
        <v>7</v>
      </c>
      <c r="CX99" s="1323">
        <v>365</v>
      </c>
      <c r="CY99" s="248">
        <v>1</v>
      </c>
      <c r="CZ99" s="261">
        <v>0</v>
      </c>
      <c r="DA99" s="1325" t="s">
        <v>2236</v>
      </c>
      <c r="DB99" s="538">
        <v>40</v>
      </c>
      <c r="DC99" s="1325">
        <v>0.1</v>
      </c>
      <c r="DD99" s="261">
        <v>1</v>
      </c>
      <c r="DE99" s="261">
        <v>0</v>
      </c>
      <c r="DF99" s="313" t="str">
        <f>IF(A99=FALSE,"",IF(Detail!CH99="","N/A",YEAR(Detail!F99)&amp;Detail!CK99&amp;Detail!CH99&amp;"-"&amp;Detail!$CH$13&amp;" (100%/"&amp;Detail!CL99&amp;"/"&amp;Detail!CM99&amp;"D)"))</f>
        <v/>
      </c>
      <c r="DG99" s="1354" t="s">
        <v>2236</v>
      </c>
      <c r="DH99" s="518" t="s">
        <v>2278</v>
      </c>
      <c r="DI99" s="241">
        <f t="shared" si="21"/>
        <v>7</v>
      </c>
      <c r="DJ99" s="243">
        <f t="shared" si="22"/>
        <v>365</v>
      </c>
      <c r="DK99" s="258">
        <v>1</v>
      </c>
      <c r="DL99" s="261">
        <v>0</v>
      </c>
      <c r="DM99" s="1325" t="s">
        <v>2236</v>
      </c>
      <c r="DN99" s="538">
        <v>96</v>
      </c>
      <c r="DO99" s="1325">
        <f t="shared" si="23"/>
        <v>0.1</v>
      </c>
      <c r="DP99" s="261">
        <v>1</v>
      </c>
      <c r="DQ99" s="261">
        <v>0</v>
      </c>
      <c r="DR99" s="920" t="str">
        <f>IF(A99=FALSE,"",IF(Detail!CP99="","N/A",YEAR(Detail!F99)&amp;Detail!CS99&amp;Detail!CP99&amp;"-"&amp;Detail!$CP$13))</f>
        <v/>
      </c>
      <c r="DS99" s="308" t="s">
        <v>2236</v>
      </c>
      <c r="DT99" s="720" t="s">
        <v>2277</v>
      </c>
      <c r="DU99" s="244">
        <v>50000</v>
      </c>
      <c r="DV99" s="247">
        <v>2</v>
      </c>
      <c r="DW99" s="261">
        <v>0</v>
      </c>
      <c r="DX99" s="261" t="s">
        <v>2236</v>
      </c>
      <c r="DY99" s="264">
        <v>0</v>
      </c>
      <c r="DZ99" s="444">
        <v>0</v>
      </c>
      <c r="EA99" s="444">
        <v>1</v>
      </c>
      <c r="EB99" s="444">
        <v>0</v>
      </c>
      <c r="EC99" s="761" t="str">
        <f>IF(A99=FALSE,"",IF(Detail!CX99="","N/A",YEAR(Detail!F99)&amp;Detail!DA99&amp;Detail!CX99&amp;"-"&amp;Detail!$CX$13))</f>
        <v/>
      </c>
      <c r="ED99" s="445" t="s">
        <v>2236</v>
      </c>
      <c r="EE99" s="720" t="s">
        <v>2277</v>
      </c>
      <c r="EF99" s="244">
        <v>50000</v>
      </c>
      <c r="EG99" s="247">
        <v>2</v>
      </c>
      <c r="EH99" s="261">
        <v>0</v>
      </c>
      <c r="EI99" s="261" t="s">
        <v>2236</v>
      </c>
      <c r="EJ99" s="264">
        <v>0</v>
      </c>
      <c r="EK99" s="444">
        <v>0</v>
      </c>
      <c r="EL99" s="444">
        <v>1</v>
      </c>
      <c r="EM99" s="444">
        <v>0</v>
      </c>
      <c r="EN99" s="333" t="str">
        <f>IF(A99=FALSE,"",IF(Detail!DF99="","N/A",YEAR(Detail!F99)&amp;Detail!DI99&amp;Detail!DF99&amp;"-"&amp;Detail!$DF$13))</f>
        <v/>
      </c>
      <c r="EO99" s="1012" t="s">
        <v>2236</v>
      </c>
      <c r="EP99" s="1012" t="s">
        <v>2277</v>
      </c>
      <c r="EQ99" s="1013">
        <f t="shared" si="24"/>
        <v>0</v>
      </c>
      <c r="ER99" s="1013" t="s">
        <v>2236</v>
      </c>
      <c r="ES99" s="264">
        <v>0</v>
      </c>
      <c r="ET99" s="1013">
        <v>0</v>
      </c>
      <c r="EU99" s="1013">
        <v>1</v>
      </c>
      <c r="EV99" s="1013">
        <v>0</v>
      </c>
      <c r="EW99" s="333" t="str">
        <f>IF(DJ99=FALSE,"",IF(Detail!ET99="","N/A",YEAR(Detail!DN99)&amp;Detail!EW99&amp;Detail!ET99&amp;"-"&amp;Detail!$AL$13&amp;Detail!EU99))</f>
        <v>N/A</v>
      </c>
      <c r="EX99" s="1012" t="s">
        <v>2236</v>
      </c>
      <c r="EY99" s="1012" t="s">
        <v>2277</v>
      </c>
      <c r="EZ99" s="1013">
        <f t="shared" si="25"/>
        <v>0</v>
      </c>
      <c r="FA99" s="1013" t="s">
        <v>2236</v>
      </c>
      <c r="FB99" s="264">
        <v>0</v>
      </c>
      <c r="FC99" s="1013">
        <v>0</v>
      </c>
      <c r="FD99" s="1013">
        <v>1</v>
      </c>
      <c r="FE99" s="1013">
        <v>0</v>
      </c>
    </row>
    <row r="100" spans="1:161" s="422" customFormat="1" ht="30" customHeight="1" outlineLevel="1">
      <c r="A100" s="439" t="b">
        <f>Calcul!A100</f>
        <v>0</v>
      </c>
      <c r="B100" s="510" t="str">
        <f t="shared" si="16"/>
        <v/>
      </c>
      <c r="C100" s="1404" t="b">
        <v>0</v>
      </c>
      <c r="D100" s="241" t="s">
        <v>2147</v>
      </c>
      <c r="E100" s="1011" t="s">
        <v>2335</v>
      </c>
      <c r="F100" s="243" t="s">
        <v>2146</v>
      </c>
      <c r="G100" s="356" t="str">
        <f>IF(A100=FALSE,"",IF(NAMES!$D$10=FALSE,IF(Detail!H100="","",Detail!H100),IF(Crewlist!D100="","",Crewlist!D100)))</f>
        <v/>
      </c>
      <c r="H100" s="356" t="str">
        <f>IF(A100=FALSE,"",IF(NAMES!$D$10=FALSE,IF(Detail!P100="","",Detail!P100),IF(Crewlist!E100="","",Crewlist!E100)))</f>
        <v/>
      </c>
      <c r="I100" s="356" t="str">
        <f>IF(A100=FALSE,"",IF(NAMES!$D$10=FALSE,IF(Detail!K100="","",Detail!K100),IF(Crewlist!F100="","",Crewlist!F100)))</f>
        <v/>
      </c>
      <c r="J100" s="1001" t="str">
        <f>IF(Crewlist!T100="","",Crewlist!T100)</f>
        <v/>
      </c>
      <c r="K100" s="1001" t="str">
        <f>IF(Crewlist!D100="","",IF(Crewlist!U100="",Crewlist!Y100,IF(DATERENOUVMOINS730&lt;&gt;Crewlist!U100&lt;&gt;Crewlist!Y100,Crewlist!U100,DATERENOUVMOINS365)))</f>
        <v/>
      </c>
      <c r="L100" s="775" t="str">
        <f>IF(Detail!X100="","",Detail!X100)</f>
        <v/>
      </c>
      <c r="M100" s="775" t="str">
        <f>IF(Detail!H100="","",IF(Detail!Y100="",DATERENOUV,IF(Detail!Y100&gt;Detail!D100,Detail!D100,Detail!Y100)))</f>
        <v/>
      </c>
      <c r="N100" s="1015" t="str">
        <f>IF(A100=FALSE,"",IF(NAMES!$D$10=FALSE,IF(B100=B101,IF(O100=O101,0,(DATEDIF(L100,M100,"M")+1)),(DATEDIF(L100,M100,"M")+1)),IF(B100=B101,IF(O100=O101,0,(DATEDIF(J100,K100,"M")+1)),(DATEDIF(J100,K100,"M")+1))))</f>
        <v/>
      </c>
      <c r="O100" s="357" t="str">
        <f t="shared" si="17"/>
        <v/>
      </c>
      <c r="P100" s="358" t="str">
        <f>IF(A100=FALSE,"",IF(NAMES!$D$10=FALSE,IF((DATEDIF(L100,M100,"D")+1)&lt;365,(DATEDIF(L100,M100,"D")+1),365),IF((DATEDIF(J100,K100,"D")+1)&lt;365,(DATEDIF(J100,K100,"D")+1),365)))</f>
        <v/>
      </c>
      <c r="Q100" s="358" t="str">
        <f>IF(A100=FALSE,"",IF(NAMES!$D$10=FALSE,IF(M100="",365,DATEDIF(L100,M100,"D")+1),IF(M100="",365,DATEDIF(J100,K100,"D")+1)))</f>
        <v/>
      </c>
      <c r="R100" s="950" t="str">
        <f>Calcul!X100</f>
        <v/>
      </c>
      <c r="S100" s="950" t="str">
        <f>Calcul!Y100</f>
        <v/>
      </c>
      <c r="T100" s="993" t="str">
        <f>Calcul!AG100</f>
        <v/>
      </c>
      <c r="U100" s="368" t="str">
        <f>IF(A100=FALSE,"",IF(NAMES!$D$10=FALSE,IF(Detail!S100="","",Detail!S100),IF(Crewlist!V100="","",Crewlist!V100)))</f>
        <v/>
      </c>
      <c r="V100" s="245" t="str">
        <f>Calcul!AI100</f>
        <v/>
      </c>
      <c r="W100" s="245" t="str">
        <f>Calcul!AL100</f>
        <v/>
      </c>
      <c r="X100" s="245" t="str">
        <f>Calcul!AM100</f>
        <v/>
      </c>
      <c r="Y100" s="353" t="str">
        <f>Calcul!AN100</f>
        <v/>
      </c>
      <c r="Z100" s="245" t="str">
        <f>Calcul!AO100</f>
        <v/>
      </c>
      <c r="AA100" s="245" t="str">
        <f>Calcul!AP100</f>
        <v/>
      </c>
      <c r="AB100" s="353" t="str">
        <f>Calcul!AQ100</f>
        <v/>
      </c>
      <c r="AC100" s="353" t="str">
        <f>IF(C100=FALSE,"",Calcul!BE100+Calcul!BF100)</f>
        <v/>
      </c>
      <c r="AD100" s="353" t="str">
        <f>IF(C100=FALSE,"",(Calcul!BG100+Calcul!BH100)+SUM(Calcul!BI100:BN100))</f>
        <v/>
      </c>
      <c r="AE100" s="353" t="str">
        <f>Calcul!BP100</f>
        <v/>
      </c>
      <c r="AF100" s="332" t="str">
        <f>IF(A100=FALSE,"",YEAR(Detail!F100)&amp;Detail!AG100&amp;Detail!AD100&amp;"-"&amp;Detail!$AD$13&amp;Detail!AE100)</f>
        <v/>
      </c>
      <c r="AG100" s="916" t="s">
        <v>2236</v>
      </c>
      <c r="AH100" s="527" t="s">
        <v>2277</v>
      </c>
      <c r="AI100" s="917">
        <v>0</v>
      </c>
      <c r="AJ100" s="261" t="s">
        <v>2236</v>
      </c>
      <c r="AK100" s="1410">
        <v>32</v>
      </c>
      <c r="AL100" s="508">
        <v>0</v>
      </c>
      <c r="AM100" s="261">
        <v>1</v>
      </c>
      <c r="AN100" s="261">
        <v>0</v>
      </c>
      <c r="AO100" s="333" t="str">
        <f>IF(A100=FALSE,"",IF(Detail!AL100="","N/A",YEAR(Detail!F100)&amp;Detail!AO100&amp;Detail!AL100&amp;"-"&amp;Detail!$AL$13&amp;Detail!AM100))</f>
        <v/>
      </c>
      <c r="AP100" s="1406" t="s">
        <v>2236</v>
      </c>
      <c r="AQ100" s="527" t="s">
        <v>2277</v>
      </c>
      <c r="AR100" s="1013">
        <f t="shared" si="18"/>
        <v>0</v>
      </c>
      <c r="AS100" s="261" t="s">
        <v>2236</v>
      </c>
      <c r="AT100" s="264">
        <v>0</v>
      </c>
      <c r="AU100" s="261">
        <v>0</v>
      </c>
      <c r="AV100" s="261">
        <v>1</v>
      </c>
      <c r="AW100" s="261">
        <v>0</v>
      </c>
      <c r="AX100" s="920" t="str">
        <f>IF(A100=FALSE,"",IF(Detail!AT100="","N/A",YEAR(Detail!F100)&amp;Detail!AW100&amp;Detail!AT100&amp;"-"&amp;Detail!$AT$13))</f>
        <v/>
      </c>
      <c r="AY100" s="1014" t="s">
        <v>2236</v>
      </c>
      <c r="AZ100" s="308" t="s">
        <v>2278</v>
      </c>
      <c r="BA100" s="440" t="str">
        <f>IF(A100=FALSE,"",51000+(Detail!AA100*7000))</f>
        <v/>
      </c>
      <c r="BB100" s="1412">
        <v>50000</v>
      </c>
      <c r="BC100" s="247">
        <v>3</v>
      </c>
      <c r="BD100" s="261">
        <v>0</v>
      </c>
      <c r="BE100" s="261" t="s">
        <v>2236</v>
      </c>
      <c r="BF100" s="264">
        <v>0</v>
      </c>
      <c r="BG100" s="508">
        <v>0</v>
      </c>
      <c r="BH100" s="261">
        <v>1</v>
      </c>
      <c r="BI100" s="261">
        <v>0</v>
      </c>
      <c r="BJ100" s="311" t="str">
        <f>IF(A100=FALSE,"",IF(Detail!BB100="","N/A",YEAR(Detail!F100)&amp;Detail!BE100&amp;Detail!BB100&amp;"-"&amp;Detail!$BB$13))</f>
        <v/>
      </c>
      <c r="BK100" s="1354" t="s">
        <v>2236</v>
      </c>
      <c r="BL100" s="527" t="s">
        <v>2278</v>
      </c>
      <c r="BM100" s="440" t="str">
        <f>IF(A100=FALSE,"",51000+(Detail!AA100*7000))</f>
        <v/>
      </c>
      <c r="BN100" s="1412">
        <v>50000</v>
      </c>
      <c r="BO100" s="247">
        <v>3</v>
      </c>
      <c r="BP100" s="261">
        <v>0</v>
      </c>
      <c r="BQ100" s="261" t="s">
        <v>2236</v>
      </c>
      <c r="BR100" s="264">
        <v>0</v>
      </c>
      <c r="BS100" s="508">
        <v>0</v>
      </c>
      <c r="BT100" s="261">
        <v>1</v>
      </c>
      <c r="BU100" s="261">
        <v>0</v>
      </c>
      <c r="BV100" s="311" t="str">
        <f>IF(A100=FALSE,"",IF(Detail!BJ100="","N/A",YEAR(Detail!F100)&amp;Detail!BM100&amp;Detail!BJ100&amp;"-"&amp;Detail!$BJ$13))</f>
        <v/>
      </c>
      <c r="BW100" s="1327" t="s">
        <v>2236</v>
      </c>
      <c r="BX100" s="527" t="s">
        <v>2278</v>
      </c>
      <c r="BY100" s="440" t="str">
        <f t="shared" si="19"/>
        <v/>
      </c>
      <c r="BZ100" s="1412">
        <v>50000</v>
      </c>
      <c r="CA100" s="247">
        <v>3</v>
      </c>
      <c r="CB100" s="261">
        <v>0</v>
      </c>
      <c r="CC100" s="261" t="s">
        <v>2236</v>
      </c>
      <c r="CD100" s="264">
        <v>0</v>
      </c>
      <c r="CE100" s="508">
        <v>0</v>
      </c>
      <c r="CF100" s="261">
        <v>1</v>
      </c>
      <c r="CG100" s="261">
        <v>0</v>
      </c>
      <c r="CH100" s="311" t="str">
        <f>IF(A100=FALSE,"",IF(Detail!BR100="","N/A",YEAR(Detail!F100)&amp;Detail!BU100&amp;Detail!BR100&amp;"-"&amp;Detail!$BR$13))</f>
        <v/>
      </c>
      <c r="CI100" s="925" t="s">
        <v>2236</v>
      </c>
      <c r="CJ100" s="527" t="s">
        <v>2278</v>
      </c>
      <c r="CK100" s="440" t="str">
        <f t="shared" si="20"/>
        <v/>
      </c>
      <c r="CL100" s="1412">
        <v>50000</v>
      </c>
      <c r="CM100" s="247">
        <v>3</v>
      </c>
      <c r="CN100" s="261">
        <v>0</v>
      </c>
      <c r="CO100" s="261" t="s">
        <v>2236</v>
      </c>
      <c r="CP100" s="264">
        <v>0</v>
      </c>
      <c r="CQ100" s="508">
        <v>0</v>
      </c>
      <c r="CR100" s="261">
        <v>1</v>
      </c>
      <c r="CS100" s="261">
        <v>0</v>
      </c>
      <c r="CT100" s="311" t="str">
        <f>IF(A100=FALSE,"",IF(Detail!BZ100="","N/A",YEAR(Detail!F100)&amp;Detail!CC100&amp;Detail!BZ100&amp;"-"&amp;Detail!$BZ$13&amp;" (100%/"&amp;Detail!CD100&amp;"/"&amp;Detail!CE100&amp;"D)"))</f>
        <v/>
      </c>
      <c r="CU100" s="1016" t="s">
        <v>2236</v>
      </c>
      <c r="CV100" s="527" t="s">
        <v>2278</v>
      </c>
      <c r="CW100" s="241">
        <v>7</v>
      </c>
      <c r="CX100" s="1323">
        <v>365</v>
      </c>
      <c r="CY100" s="248">
        <v>1</v>
      </c>
      <c r="CZ100" s="261">
        <v>0</v>
      </c>
      <c r="DA100" s="1325" t="s">
        <v>2236</v>
      </c>
      <c r="DB100" s="538">
        <v>40</v>
      </c>
      <c r="DC100" s="1325">
        <v>0.1</v>
      </c>
      <c r="DD100" s="261">
        <v>1</v>
      </c>
      <c r="DE100" s="261">
        <v>0</v>
      </c>
      <c r="DF100" s="313" t="str">
        <f>IF(A100=FALSE,"",IF(Detail!CH100="","N/A",YEAR(Detail!F100)&amp;Detail!CK100&amp;Detail!CH100&amp;"-"&amp;Detail!$CH$13&amp;" (100%/"&amp;Detail!CL100&amp;"/"&amp;Detail!CM100&amp;"D)"))</f>
        <v/>
      </c>
      <c r="DG100" s="1354" t="s">
        <v>2236</v>
      </c>
      <c r="DH100" s="518" t="s">
        <v>2278</v>
      </c>
      <c r="DI100" s="241">
        <f t="shared" si="21"/>
        <v>7</v>
      </c>
      <c r="DJ100" s="243">
        <f t="shared" si="22"/>
        <v>365</v>
      </c>
      <c r="DK100" s="258">
        <v>1</v>
      </c>
      <c r="DL100" s="261">
        <v>0</v>
      </c>
      <c r="DM100" s="1325" t="s">
        <v>2236</v>
      </c>
      <c r="DN100" s="538">
        <v>96</v>
      </c>
      <c r="DO100" s="1325">
        <f t="shared" si="23"/>
        <v>0.1</v>
      </c>
      <c r="DP100" s="261">
        <v>1</v>
      </c>
      <c r="DQ100" s="261">
        <v>0</v>
      </c>
      <c r="DR100" s="920" t="str">
        <f>IF(A100=FALSE,"",IF(Detail!CP100="","N/A",YEAR(Detail!F100)&amp;Detail!CS100&amp;Detail!CP100&amp;"-"&amp;Detail!$CP$13))</f>
        <v/>
      </c>
      <c r="DS100" s="308" t="s">
        <v>2236</v>
      </c>
      <c r="DT100" s="720" t="s">
        <v>2277</v>
      </c>
      <c r="DU100" s="244">
        <v>50000</v>
      </c>
      <c r="DV100" s="247">
        <v>2</v>
      </c>
      <c r="DW100" s="261">
        <v>0</v>
      </c>
      <c r="DX100" s="261" t="s">
        <v>2236</v>
      </c>
      <c r="DY100" s="264">
        <v>0</v>
      </c>
      <c r="DZ100" s="444">
        <v>0</v>
      </c>
      <c r="EA100" s="444">
        <v>1</v>
      </c>
      <c r="EB100" s="444">
        <v>0</v>
      </c>
      <c r="EC100" s="761" t="str">
        <f>IF(A100=FALSE,"",IF(Detail!CX100="","N/A",YEAR(Detail!F100)&amp;Detail!DA100&amp;Detail!CX100&amp;"-"&amp;Detail!$CX$13))</f>
        <v/>
      </c>
      <c r="ED100" s="445" t="s">
        <v>2236</v>
      </c>
      <c r="EE100" s="720" t="s">
        <v>2277</v>
      </c>
      <c r="EF100" s="244">
        <v>50000</v>
      </c>
      <c r="EG100" s="247">
        <v>2</v>
      </c>
      <c r="EH100" s="261">
        <v>0</v>
      </c>
      <c r="EI100" s="261" t="s">
        <v>2236</v>
      </c>
      <c r="EJ100" s="264">
        <v>0</v>
      </c>
      <c r="EK100" s="444">
        <v>0</v>
      </c>
      <c r="EL100" s="444">
        <v>1</v>
      </c>
      <c r="EM100" s="444">
        <v>0</v>
      </c>
      <c r="EN100" s="333" t="str">
        <f>IF(A100=FALSE,"",IF(Detail!DF100="","N/A",YEAR(Detail!F100)&amp;Detail!DI100&amp;Detail!DF100&amp;"-"&amp;Detail!$DF$13))</f>
        <v/>
      </c>
      <c r="EO100" s="1012" t="s">
        <v>2236</v>
      </c>
      <c r="EP100" s="1012" t="s">
        <v>2277</v>
      </c>
      <c r="EQ100" s="1013">
        <f t="shared" si="24"/>
        <v>0</v>
      </c>
      <c r="ER100" s="1013" t="s">
        <v>2236</v>
      </c>
      <c r="ES100" s="264">
        <v>0</v>
      </c>
      <c r="ET100" s="1013">
        <v>0</v>
      </c>
      <c r="EU100" s="1013">
        <v>1</v>
      </c>
      <c r="EV100" s="1013">
        <v>0</v>
      </c>
      <c r="EW100" s="333" t="str">
        <f>IF(DJ100=FALSE,"",IF(Detail!ET100="","N/A",YEAR(Detail!DN100)&amp;Detail!EW100&amp;Detail!ET100&amp;"-"&amp;Detail!$AL$13&amp;Detail!EU100))</f>
        <v>N/A</v>
      </c>
      <c r="EX100" s="1012" t="s">
        <v>2236</v>
      </c>
      <c r="EY100" s="1012" t="s">
        <v>2277</v>
      </c>
      <c r="EZ100" s="1013">
        <f t="shared" si="25"/>
        <v>0</v>
      </c>
      <c r="FA100" s="1013" t="s">
        <v>2236</v>
      </c>
      <c r="FB100" s="264">
        <v>0</v>
      </c>
      <c r="FC100" s="1013">
        <v>0</v>
      </c>
      <c r="FD100" s="1013">
        <v>1</v>
      </c>
      <c r="FE100" s="1013">
        <v>0</v>
      </c>
    </row>
    <row r="101" spans="1:161" s="422" customFormat="1" ht="30" customHeight="1" outlineLevel="1">
      <c r="A101" s="439" t="b">
        <f>Calcul!A101</f>
        <v>0</v>
      </c>
      <c r="B101" s="510" t="str">
        <f t="shared" si="16"/>
        <v/>
      </c>
      <c r="C101" s="1404" t="b">
        <v>0</v>
      </c>
      <c r="D101" s="241" t="s">
        <v>2147</v>
      </c>
      <c r="E101" s="1011" t="s">
        <v>2335</v>
      </c>
      <c r="F101" s="243" t="s">
        <v>2146</v>
      </c>
      <c r="G101" s="356" t="str">
        <f>IF(A101=FALSE,"",IF(NAMES!$D$10=FALSE,IF(Detail!H101="","",Detail!H101),IF(Crewlist!D101="","",Crewlist!D101)))</f>
        <v/>
      </c>
      <c r="H101" s="356" t="str">
        <f>IF(A101=FALSE,"",IF(NAMES!$D$10=FALSE,IF(Detail!P101="","",Detail!P101),IF(Crewlist!E101="","",Crewlist!E101)))</f>
        <v/>
      </c>
      <c r="I101" s="356" t="str">
        <f>IF(A101=FALSE,"",IF(NAMES!$D$10=FALSE,IF(Detail!K101="","",Detail!K101),IF(Crewlist!F101="","",Crewlist!F101)))</f>
        <v/>
      </c>
      <c r="J101" s="1001" t="str">
        <f>IF(Crewlist!T101="","",Crewlist!T101)</f>
        <v/>
      </c>
      <c r="K101" s="1001" t="str">
        <f>IF(Crewlist!D101="","",IF(Crewlist!U101="",Crewlist!Y101,IF(DATERENOUVMOINS730&lt;&gt;Crewlist!U101&lt;&gt;Crewlist!Y101,Crewlist!U101,DATERENOUVMOINS365)))</f>
        <v/>
      </c>
      <c r="L101" s="775" t="str">
        <f>IF(Detail!X101="","",Detail!X101)</f>
        <v/>
      </c>
      <c r="M101" s="775" t="str">
        <f>IF(Detail!H101="","",IF(Detail!Y101="",DATERENOUV,IF(Detail!Y101&gt;Detail!D101,Detail!D101,Detail!Y101)))</f>
        <v/>
      </c>
      <c r="N101" s="1015" t="str">
        <f>IF(A101=FALSE,"",IF(NAMES!$D$10=FALSE,IF(B101=B102,IF(O101=O102,0,(DATEDIF(L101,M101,"M")+1)),(DATEDIF(L101,M101,"M")+1)),IF(B101=B102,IF(O101=O102,0,(DATEDIF(J101,K101,"M")+1)),(DATEDIF(J101,K101,"M")+1))))</f>
        <v/>
      </c>
      <c r="O101" s="357" t="str">
        <f t="shared" si="17"/>
        <v/>
      </c>
      <c r="P101" s="358" t="str">
        <f>IF(A101=FALSE,"",IF(NAMES!$D$10=FALSE,IF((DATEDIF(L101,M101,"D")+1)&lt;365,(DATEDIF(L101,M101,"D")+1),365),IF((DATEDIF(J101,K101,"D")+1)&lt;365,(DATEDIF(J101,K101,"D")+1),365)))</f>
        <v/>
      </c>
      <c r="Q101" s="358" t="str">
        <f>IF(A101=FALSE,"",IF(NAMES!$D$10=FALSE,IF(M101="",365,DATEDIF(L101,M101,"D")+1),IF(M101="",365,DATEDIF(J101,K101,"D")+1)))</f>
        <v/>
      </c>
      <c r="R101" s="950" t="str">
        <f>Calcul!X101</f>
        <v/>
      </c>
      <c r="S101" s="950" t="str">
        <f>Calcul!Y101</f>
        <v/>
      </c>
      <c r="T101" s="993" t="str">
        <f>Calcul!AG101</f>
        <v/>
      </c>
      <c r="U101" s="368" t="str">
        <f>IF(A101=FALSE,"",IF(NAMES!$D$10=FALSE,IF(Detail!S101="","",Detail!S101),IF(Crewlist!V101="","",Crewlist!V101)))</f>
        <v/>
      </c>
      <c r="V101" s="245" t="str">
        <f>Calcul!AI101</f>
        <v/>
      </c>
      <c r="W101" s="245" t="str">
        <f>Calcul!AL101</f>
        <v/>
      </c>
      <c r="X101" s="245" t="str">
        <f>Calcul!AM101</f>
        <v/>
      </c>
      <c r="Y101" s="353" t="str">
        <f>Calcul!AN101</f>
        <v/>
      </c>
      <c r="Z101" s="245" t="str">
        <f>Calcul!AO101</f>
        <v/>
      </c>
      <c r="AA101" s="245" t="str">
        <f>Calcul!AP101</f>
        <v/>
      </c>
      <c r="AB101" s="353" t="str">
        <f>Calcul!AQ101</f>
        <v/>
      </c>
      <c r="AC101" s="353" t="str">
        <f>IF(C101=FALSE,"",Calcul!BE101+Calcul!BF101)</f>
        <v/>
      </c>
      <c r="AD101" s="353" t="str">
        <f>IF(C101=FALSE,"",(Calcul!BG101+Calcul!BH101)+SUM(Calcul!BI101:BN101))</f>
        <v/>
      </c>
      <c r="AE101" s="353" t="str">
        <f>Calcul!BP101</f>
        <v/>
      </c>
      <c r="AF101" s="332" t="str">
        <f>IF(A101=FALSE,"",YEAR(Detail!F101)&amp;Detail!AG101&amp;Detail!AD101&amp;"-"&amp;Detail!$AD$13&amp;Detail!AE101)</f>
        <v/>
      </c>
      <c r="AG101" s="916" t="s">
        <v>2236</v>
      </c>
      <c r="AH101" s="527" t="s">
        <v>2277</v>
      </c>
      <c r="AI101" s="917">
        <v>0</v>
      </c>
      <c r="AJ101" s="261" t="s">
        <v>2236</v>
      </c>
      <c r="AK101" s="1410">
        <v>32</v>
      </c>
      <c r="AL101" s="508">
        <v>0</v>
      </c>
      <c r="AM101" s="261">
        <v>1</v>
      </c>
      <c r="AN101" s="261">
        <v>0</v>
      </c>
      <c r="AO101" s="333" t="str">
        <f>IF(A101=FALSE,"",IF(Detail!AL101="","N/A",YEAR(Detail!F101)&amp;Detail!AO101&amp;Detail!AL101&amp;"-"&amp;Detail!$AL$13&amp;Detail!AM101))</f>
        <v/>
      </c>
      <c r="AP101" s="1406" t="s">
        <v>2236</v>
      </c>
      <c r="AQ101" s="527" t="s">
        <v>2277</v>
      </c>
      <c r="AR101" s="1013">
        <f t="shared" si="18"/>
        <v>0</v>
      </c>
      <c r="AS101" s="261" t="s">
        <v>2236</v>
      </c>
      <c r="AT101" s="264">
        <v>0</v>
      </c>
      <c r="AU101" s="261">
        <v>0</v>
      </c>
      <c r="AV101" s="261">
        <v>1</v>
      </c>
      <c r="AW101" s="261">
        <v>0</v>
      </c>
      <c r="AX101" s="920" t="str">
        <f>IF(A101=FALSE,"",IF(Detail!AT101="","N/A",YEAR(Detail!F101)&amp;Detail!AW101&amp;Detail!AT101&amp;"-"&amp;Detail!$AT$13))</f>
        <v/>
      </c>
      <c r="AY101" s="1014" t="s">
        <v>2236</v>
      </c>
      <c r="AZ101" s="308" t="s">
        <v>2278</v>
      </c>
      <c r="BA101" s="440" t="str">
        <f>IF(A101=FALSE,"",51000+(Detail!AA101*7000))</f>
        <v/>
      </c>
      <c r="BB101" s="1412">
        <v>50000</v>
      </c>
      <c r="BC101" s="247">
        <v>3</v>
      </c>
      <c r="BD101" s="261">
        <v>0</v>
      </c>
      <c r="BE101" s="261" t="s">
        <v>2236</v>
      </c>
      <c r="BF101" s="264">
        <v>0</v>
      </c>
      <c r="BG101" s="508">
        <v>0</v>
      </c>
      <c r="BH101" s="261">
        <v>1</v>
      </c>
      <c r="BI101" s="261">
        <v>0</v>
      </c>
      <c r="BJ101" s="311" t="str">
        <f>IF(A101=FALSE,"",IF(Detail!BB101="","N/A",YEAR(Detail!F101)&amp;Detail!BE101&amp;Detail!BB101&amp;"-"&amp;Detail!$BB$13))</f>
        <v/>
      </c>
      <c r="BK101" s="1354" t="s">
        <v>2236</v>
      </c>
      <c r="BL101" s="527" t="s">
        <v>2278</v>
      </c>
      <c r="BM101" s="440" t="str">
        <f>IF(A101=FALSE,"",51000+(Detail!AA101*7000))</f>
        <v/>
      </c>
      <c r="BN101" s="1412">
        <v>50000</v>
      </c>
      <c r="BO101" s="247">
        <v>3</v>
      </c>
      <c r="BP101" s="261">
        <v>0</v>
      </c>
      <c r="BQ101" s="261" t="s">
        <v>2236</v>
      </c>
      <c r="BR101" s="264">
        <v>0</v>
      </c>
      <c r="BS101" s="508">
        <v>0</v>
      </c>
      <c r="BT101" s="261">
        <v>1</v>
      </c>
      <c r="BU101" s="261">
        <v>0</v>
      </c>
      <c r="BV101" s="311" t="str">
        <f>IF(A101=FALSE,"",IF(Detail!BJ101="","N/A",YEAR(Detail!F101)&amp;Detail!BM101&amp;Detail!BJ101&amp;"-"&amp;Detail!$BJ$13))</f>
        <v/>
      </c>
      <c r="BW101" s="1327" t="s">
        <v>2236</v>
      </c>
      <c r="BX101" s="527" t="s">
        <v>2278</v>
      </c>
      <c r="BY101" s="440" t="str">
        <f t="shared" si="19"/>
        <v/>
      </c>
      <c r="BZ101" s="1412">
        <v>50000</v>
      </c>
      <c r="CA101" s="247">
        <v>3</v>
      </c>
      <c r="CB101" s="261">
        <v>0</v>
      </c>
      <c r="CC101" s="261" t="s">
        <v>2236</v>
      </c>
      <c r="CD101" s="264">
        <v>0</v>
      </c>
      <c r="CE101" s="508">
        <v>0</v>
      </c>
      <c r="CF101" s="261">
        <v>1</v>
      </c>
      <c r="CG101" s="261">
        <v>0</v>
      </c>
      <c r="CH101" s="311" t="str">
        <f>IF(A101=FALSE,"",IF(Detail!BR101="","N/A",YEAR(Detail!F101)&amp;Detail!BU101&amp;Detail!BR101&amp;"-"&amp;Detail!$BR$13))</f>
        <v/>
      </c>
      <c r="CI101" s="925" t="s">
        <v>2236</v>
      </c>
      <c r="CJ101" s="527" t="s">
        <v>2278</v>
      </c>
      <c r="CK101" s="440" t="str">
        <f t="shared" si="20"/>
        <v/>
      </c>
      <c r="CL101" s="1412">
        <v>50000</v>
      </c>
      <c r="CM101" s="247">
        <v>3</v>
      </c>
      <c r="CN101" s="261">
        <v>0</v>
      </c>
      <c r="CO101" s="261" t="s">
        <v>2236</v>
      </c>
      <c r="CP101" s="264">
        <v>0</v>
      </c>
      <c r="CQ101" s="508">
        <v>0</v>
      </c>
      <c r="CR101" s="261">
        <v>1</v>
      </c>
      <c r="CS101" s="261">
        <v>0</v>
      </c>
      <c r="CT101" s="311" t="str">
        <f>IF(A101=FALSE,"",IF(Detail!BZ101="","N/A",YEAR(Detail!F101)&amp;Detail!CC101&amp;Detail!BZ101&amp;"-"&amp;Detail!$BZ$13&amp;" (100%/"&amp;Detail!CD101&amp;"/"&amp;Detail!CE101&amp;"D)"))</f>
        <v/>
      </c>
      <c r="CU101" s="1016" t="s">
        <v>2236</v>
      </c>
      <c r="CV101" s="527" t="s">
        <v>2278</v>
      </c>
      <c r="CW101" s="241">
        <v>7</v>
      </c>
      <c r="CX101" s="1323">
        <v>365</v>
      </c>
      <c r="CY101" s="248">
        <v>1</v>
      </c>
      <c r="CZ101" s="261">
        <v>0</v>
      </c>
      <c r="DA101" s="1325" t="s">
        <v>2236</v>
      </c>
      <c r="DB101" s="538">
        <v>40</v>
      </c>
      <c r="DC101" s="1325">
        <v>0.1</v>
      </c>
      <c r="DD101" s="261">
        <v>1</v>
      </c>
      <c r="DE101" s="261">
        <v>0</v>
      </c>
      <c r="DF101" s="313" t="str">
        <f>IF(A101=FALSE,"",IF(Detail!CH101="","N/A",YEAR(Detail!F101)&amp;Detail!CK101&amp;Detail!CH101&amp;"-"&amp;Detail!$CH$13&amp;" (100%/"&amp;Detail!CL101&amp;"/"&amp;Detail!CM101&amp;"D)"))</f>
        <v/>
      </c>
      <c r="DG101" s="1354" t="s">
        <v>2236</v>
      </c>
      <c r="DH101" s="518" t="s">
        <v>2278</v>
      </c>
      <c r="DI101" s="241">
        <f t="shared" si="21"/>
        <v>7</v>
      </c>
      <c r="DJ101" s="243">
        <f t="shared" si="22"/>
        <v>365</v>
      </c>
      <c r="DK101" s="258">
        <v>1</v>
      </c>
      <c r="DL101" s="261">
        <v>0</v>
      </c>
      <c r="DM101" s="1325" t="s">
        <v>2236</v>
      </c>
      <c r="DN101" s="538">
        <v>96</v>
      </c>
      <c r="DO101" s="1325">
        <f t="shared" si="23"/>
        <v>0.1</v>
      </c>
      <c r="DP101" s="261">
        <v>1</v>
      </c>
      <c r="DQ101" s="261">
        <v>0</v>
      </c>
      <c r="DR101" s="920" t="str">
        <f>IF(A101=FALSE,"",IF(Detail!CP101="","N/A",YEAR(Detail!F101)&amp;Detail!CS101&amp;Detail!CP101&amp;"-"&amp;Detail!$CP$13))</f>
        <v/>
      </c>
      <c r="DS101" s="308" t="s">
        <v>2236</v>
      </c>
      <c r="DT101" s="720" t="s">
        <v>2277</v>
      </c>
      <c r="DU101" s="244">
        <v>50000</v>
      </c>
      <c r="DV101" s="247">
        <v>2</v>
      </c>
      <c r="DW101" s="261">
        <v>0</v>
      </c>
      <c r="DX101" s="261" t="s">
        <v>2236</v>
      </c>
      <c r="DY101" s="264">
        <v>0</v>
      </c>
      <c r="DZ101" s="444">
        <v>0</v>
      </c>
      <c r="EA101" s="444">
        <v>1</v>
      </c>
      <c r="EB101" s="444">
        <v>0</v>
      </c>
      <c r="EC101" s="761" t="str">
        <f>IF(A101=FALSE,"",IF(Detail!CX101="","N/A",YEAR(Detail!F101)&amp;Detail!DA101&amp;Detail!CX101&amp;"-"&amp;Detail!$CX$13))</f>
        <v/>
      </c>
      <c r="ED101" s="445" t="s">
        <v>2236</v>
      </c>
      <c r="EE101" s="720" t="s">
        <v>2277</v>
      </c>
      <c r="EF101" s="244">
        <v>50000</v>
      </c>
      <c r="EG101" s="247">
        <v>2</v>
      </c>
      <c r="EH101" s="261">
        <v>0</v>
      </c>
      <c r="EI101" s="261" t="s">
        <v>2236</v>
      </c>
      <c r="EJ101" s="264">
        <v>0</v>
      </c>
      <c r="EK101" s="444">
        <v>0</v>
      </c>
      <c r="EL101" s="444">
        <v>1</v>
      </c>
      <c r="EM101" s="444">
        <v>0</v>
      </c>
      <c r="EN101" s="333" t="str">
        <f>IF(A101=FALSE,"",IF(Detail!DF101="","N/A",YEAR(Detail!F101)&amp;Detail!DI101&amp;Detail!DF101&amp;"-"&amp;Detail!$DF$13))</f>
        <v/>
      </c>
      <c r="EO101" s="1012" t="s">
        <v>2236</v>
      </c>
      <c r="EP101" s="1012" t="s">
        <v>2277</v>
      </c>
      <c r="EQ101" s="1013">
        <f t="shared" si="24"/>
        <v>0</v>
      </c>
      <c r="ER101" s="1013" t="s">
        <v>2236</v>
      </c>
      <c r="ES101" s="264">
        <v>0</v>
      </c>
      <c r="ET101" s="1013">
        <v>0</v>
      </c>
      <c r="EU101" s="1013">
        <v>1</v>
      </c>
      <c r="EV101" s="1013">
        <v>0</v>
      </c>
      <c r="EW101" s="333" t="str">
        <f>IF(DJ101=FALSE,"",IF(Detail!ET101="","N/A",YEAR(Detail!DN101)&amp;Detail!EW101&amp;Detail!ET101&amp;"-"&amp;Detail!$AL$13&amp;Detail!EU101))</f>
        <v>N/A</v>
      </c>
      <c r="EX101" s="1012" t="s">
        <v>2236</v>
      </c>
      <c r="EY101" s="1012" t="s">
        <v>2277</v>
      </c>
      <c r="EZ101" s="1013">
        <f t="shared" si="25"/>
        <v>0</v>
      </c>
      <c r="FA101" s="1013" t="s">
        <v>2236</v>
      </c>
      <c r="FB101" s="264">
        <v>0</v>
      </c>
      <c r="FC101" s="1013">
        <v>0</v>
      </c>
      <c r="FD101" s="1013">
        <v>1</v>
      </c>
      <c r="FE101" s="1013">
        <v>0</v>
      </c>
    </row>
    <row r="102" spans="1:161" s="422" customFormat="1" ht="30" customHeight="1" outlineLevel="1">
      <c r="A102" s="439" t="b">
        <f>Calcul!A102</f>
        <v>0</v>
      </c>
      <c r="B102" s="510" t="str">
        <f t="shared" si="16"/>
        <v/>
      </c>
      <c r="C102" s="1404" t="b">
        <v>0</v>
      </c>
      <c r="D102" s="241" t="s">
        <v>2147</v>
      </c>
      <c r="E102" s="1011" t="s">
        <v>2335</v>
      </c>
      <c r="F102" s="243" t="s">
        <v>2146</v>
      </c>
      <c r="G102" s="356" t="str">
        <f>IF(A102=FALSE,"",IF(NAMES!$D$10=FALSE,IF(Detail!H102="","",Detail!H102),IF(Crewlist!D102="","",Crewlist!D102)))</f>
        <v/>
      </c>
      <c r="H102" s="356" t="str">
        <f>IF(A102=FALSE,"",IF(NAMES!$D$10=FALSE,IF(Detail!P102="","",Detail!P102),IF(Crewlist!E102="","",Crewlist!E102)))</f>
        <v/>
      </c>
      <c r="I102" s="356" t="str">
        <f>IF(A102=FALSE,"",IF(NAMES!$D$10=FALSE,IF(Detail!K102="","",Detail!K102),IF(Crewlist!F102="","",Crewlist!F102)))</f>
        <v/>
      </c>
      <c r="J102" s="1001" t="str">
        <f>IF(Crewlist!T102="","",Crewlist!T102)</f>
        <v/>
      </c>
      <c r="K102" s="1001" t="str">
        <f>IF(Crewlist!D102="","",IF(Crewlist!U102="",Crewlist!Y102,IF(DATERENOUVMOINS730&lt;&gt;Crewlist!U102&lt;&gt;Crewlist!Y102,Crewlist!U102,DATERENOUVMOINS365)))</f>
        <v/>
      </c>
      <c r="L102" s="775" t="str">
        <f>IF(Detail!X102="","",Detail!X102)</f>
        <v/>
      </c>
      <c r="M102" s="775" t="str">
        <f>IF(Detail!H102="","",IF(Detail!Y102="",DATERENOUV,IF(Detail!Y102&gt;Detail!D102,Detail!D102,Detail!Y102)))</f>
        <v/>
      </c>
      <c r="N102" s="1015" t="str">
        <f>IF(A102=FALSE,"",IF(NAMES!$D$10=FALSE,IF(B102=B103,IF(O102=O103,0,(DATEDIF(L102,M102,"M")+1)),(DATEDIF(L102,M102,"M")+1)),IF(B102=B103,IF(O102=O103,0,(DATEDIF(J102,K102,"M")+1)),(DATEDIF(J102,K102,"M")+1))))</f>
        <v/>
      </c>
      <c r="O102" s="357" t="str">
        <f t="shared" si="17"/>
        <v/>
      </c>
      <c r="P102" s="358" t="str">
        <f>IF(A102=FALSE,"",IF(NAMES!$D$10=FALSE,IF((DATEDIF(L102,M102,"D")+1)&lt;365,(DATEDIF(L102,M102,"D")+1),365),IF((DATEDIF(J102,K102,"D")+1)&lt;365,(DATEDIF(J102,K102,"D")+1),365)))</f>
        <v/>
      </c>
      <c r="Q102" s="358" t="str">
        <f>IF(A102=FALSE,"",IF(NAMES!$D$10=FALSE,IF(M102="",365,DATEDIF(L102,M102,"D")+1),IF(M102="",365,DATEDIF(J102,K102,"D")+1)))</f>
        <v/>
      </c>
      <c r="R102" s="950" t="str">
        <f>Calcul!X102</f>
        <v/>
      </c>
      <c r="S102" s="950" t="str">
        <f>Calcul!Y102</f>
        <v/>
      </c>
      <c r="T102" s="993" t="str">
        <f>Calcul!AG102</f>
        <v/>
      </c>
      <c r="U102" s="368" t="str">
        <f>IF(A102=FALSE,"",IF(NAMES!$D$10=FALSE,IF(Detail!S102="","",Detail!S102),IF(Crewlist!V102="","",Crewlist!V102)))</f>
        <v/>
      </c>
      <c r="V102" s="245" t="str">
        <f>Calcul!AI102</f>
        <v/>
      </c>
      <c r="W102" s="245" t="str">
        <f>Calcul!AL102</f>
        <v/>
      </c>
      <c r="X102" s="245" t="str">
        <f>Calcul!AM102</f>
        <v/>
      </c>
      <c r="Y102" s="353" t="str">
        <f>Calcul!AN102</f>
        <v/>
      </c>
      <c r="Z102" s="245" t="str">
        <f>Calcul!AO102</f>
        <v/>
      </c>
      <c r="AA102" s="245" t="str">
        <f>Calcul!AP102</f>
        <v/>
      </c>
      <c r="AB102" s="353" t="str">
        <f>Calcul!AQ102</f>
        <v/>
      </c>
      <c r="AC102" s="353" t="str">
        <f>IF(C102=FALSE,"",Calcul!BE102+Calcul!BF102)</f>
        <v/>
      </c>
      <c r="AD102" s="353" t="str">
        <f>IF(C102=FALSE,"",(Calcul!BG102+Calcul!BH102)+SUM(Calcul!BI102:BN102))</f>
        <v/>
      </c>
      <c r="AE102" s="353" t="str">
        <f>Calcul!BP102</f>
        <v/>
      </c>
      <c r="AF102" s="332" t="str">
        <f>IF(A102=FALSE,"",YEAR(Detail!F102)&amp;Detail!AG102&amp;Detail!AD102&amp;"-"&amp;Detail!$AD$13&amp;Detail!AE102)</f>
        <v/>
      </c>
      <c r="AG102" s="916" t="s">
        <v>2236</v>
      </c>
      <c r="AH102" s="527" t="s">
        <v>2277</v>
      </c>
      <c r="AI102" s="917">
        <v>0</v>
      </c>
      <c r="AJ102" s="261" t="s">
        <v>2236</v>
      </c>
      <c r="AK102" s="1410">
        <v>32</v>
      </c>
      <c r="AL102" s="508">
        <v>0</v>
      </c>
      <c r="AM102" s="261">
        <v>1</v>
      </c>
      <c r="AN102" s="261">
        <v>0</v>
      </c>
      <c r="AO102" s="333" t="str">
        <f>IF(A102=FALSE,"",IF(Detail!AL102="","N/A",YEAR(Detail!F102)&amp;Detail!AO102&amp;Detail!AL102&amp;"-"&amp;Detail!$AL$13&amp;Detail!AM102))</f>
        <v/>
      </c>
      <c r="AP102" s="1406" t="s">
        <v>2236</v>
      </c>
      <c r="AQ102" s="527" t="s">
        <v>2277</v>
      </c>
      <c r="AR102" s="1013">
        <f t="shared" si="18"/>
        <v>0</v>
      </c>
      <c r="AS102" s="261" t="s">
        <v>2236</v>
      </c>
      <c r="AT102" s="264">
        <v>0</v>
      </c>
      <c r="AU102" s="261">
        <v>0</v>
      </c>
      <c r="AV102" s="261">
        <v>1</v>
      </c>
      <c r="AW102" s="261">
        <v>0</v>
      </c>
      <c r="AX102" s="920" t="str">
        <f>IF(A102=FALSE,"",IF(Detail!AT102="","N/A",YEAR(Detail!F102)&amp;Detail!AW102&amp;Detail!AT102&amp;"-"&amp;Detail!$AT$13))</f>
        <v/>
      </c>
      <c r="AY102" s="1014" t="s">
        <v>2236</v>
      </c>
      <c r="AZ102" s="308" t="s">
        <v>2278</v>
      </c>
      <c r="BA102" s="440" t="str">
        <f>IF(A102=FALSE,"",51000+(Detail!AA102*7000))</f>
        <v/>
      </c>
      <c r="BB102" s="1412">
        <v>50000</v>
      </c>
      <c r="BC102" s="247">
        <v>3</v>
      </c>
      <c r="BD102" s="261">
        <v>0</v>
      </c>
      <c r="BE102" s="261" t="s">
        <v>2236</v>
      </c>
      <c r="BF102" s="264">
        <v>0</v>
      </c>
      <c r="BG102" s="508">
        <v>0</v>
      </c>
      <c r="BH102" s="261">
        <v>1</v>
      </c>
      <c r="BI102" s="261">
        <v>0</v>
      </c>
      <c r="BJ102" s="311" t="str">
        <f>IF(A102=FALSE,"",IF(Detail!BB102="","N/A",YEAR(Detail!F102)&amp;Detail!BE102&amp;Detail!BB102&amp;"-"&amp;Detail!$BB$13))</f>
        <v/>
      </c>
      <c r="BK102" s="1354" t="s">
        <v>2236</v>
      </c>
      <c r="BL102" s="527" t="s">
        <v>2278</v>
      </c>
      <c r="BM102" s="440" t="str">
        <f>IF(A102=FALSE,"",51000+(Detail!AA102*7000))</f>
        <v/>
      </c>
      <c r="BN102" s="1412">
        <v>50000</v>
      </c>
      <c r="BO102" s="247">
        <v>3</v>
      </c>
      <c r="BP102" s="261">
        <v>0</v>
      </c>
      <c r="BQ102" s="261" t="s">
        <v>2236</v>
      </c>
      <c r="BR102" s="264">
        <v>0</v>
      </c>
      <c r="BS102" s="508">
        <v>0</v>
      </c>
      <c r="BT102" s="261">
        <v>1</v>
      </c>
      <c r="BU102" s="261">
        <v>0</v>
      </c>
      <c r="BV102" s="311" t="str">
        <f>IF(A102=FALSE,"",IF(Detail!BJ102="","N/A",YEAR(Detail!F102)&amp;Detail!BM102&amp;Detail!BJ102&amp;"-"&amp;Detail!$BJ$13))</f>
        <v/>
      </c>
      <c r="BW102" s="1327" t="s">
        <v>2236</v>
      </c>
      <c r="BX102" s="527" t="s">
        <v>2278</v>
      </c>
      <c r="BY102" s="440" t="str">
        <f t="shared" si="19"/>
        <v/>
      </c>
      <c r="BZ102" s="1412">
        <v>50000</v>
      </c>
      <c r="CA102" s="247">
        <v>3</v>
      </c>
      <c r="CB102" s="261">
        <v>0</v>
      </c>
      <c r="CC102" s="261" t="s">
        <v>2236</v>
      </c>
      <c r="CD102" s="264">
        <v>0</v>
      </c>
      <c r="CE102" s="508">
        <v>0</v>
      </c>
      <c r="CF102" s="261">
        <v>1</v>
      </c>
      <c r="CG102" s="261">
        <v>0</v>
      </c>
      <c r="CH102" s="311" t="str">
        <f>IF(A102=FALSE,"",IF(Detail!BR102="","N/A",YEAR(Detail!F102)&amp;Detail!BU102&amp;Detail!BR102&amp;"-"&amp;Detail!$BR$13))</f>
        <v/>
      </c>
      <c r="CI102" s="925" t="s">
        <v>2236</v>
      </c>
      <c r="CJ102" s="527" t="s">
        <v>2278</v>
      </c>
      <c r="CK102" s="440" t="str">
        <f t="shared" si="20"/>
        <v/>
      </c>
      <c r="CL102" s="1412">
        <v>50000</v>
      </c>
      <c r="CM102" s="247">
        <v>3</v>
      </c>
      <c r="CN102" s="261">
        <v>0</v>
      </c>
      <c r="CO102" s="261" t="s">
        <v>2236</v>
      </c>
      <c r="CP102" s="264">
        <v>0</v>
      </c>
      <c r="CQ102" s="508">
        <v>0</v>
      </c>
      <c r="CR102" s="261">
        <v>1</v>
      </c>
      <c r="CS102" s="261">
        <v>0</v>
      </c>
      <c r="CT102" s="311" t="str">
        <f>IF(A102=FALSE,"",IF(Detail!BZ102="","N/A",YEAR(Detail!F102)&amp;Detail!CC102&amp;Detail!BZ102&amp;"-"&amp;Detail!$BZ$13&amp;" (100%/"&amp;Detail!CD102&amp;"/"&amp;Detail!CE102&amp;"D)"))</f>
        <v/>
      </c>
      <c r="CU102" s="1016" t="s">
        <v>2236</v>
      </c>
      <c r="CV102" s="527" t="s">
        <v>2278</v>
      </c>
      <c r="CW102" s="241">
        <v>7</v>
      </c>
      <c r="CX102" s="1323">
        <v>365</v>
      </c>
      <c r="CY102" s="248">
        <v>1</v>
      </c>
      <c r="CZ102" s="261">
        <v>0</v>
      </c>
      <c r="DA102" s="1325" t="s">
        <v>2236</v>
      </c>
      <c r="DB102" s="538">
        <v>40</v>
      </c>
      <c r="DC102" s="1325">
        <v>0.1</v>
      </c>
      <c r="DD102" s="261">
        <v>1</v>
      </c>
      <c r="DE102" s="261">
        <v>0</v>
      </c>
      <c r="DF102" s="313" t="str">
        <f>IF(A102=FALSE,"",IF(Detail!CH102="","N/A",YEAR(Detail!F102)&amp;Detail!CK102&amp;Detail!CH102&amp;"-"&amp;Detail!$CH$13&amp;" (100%/"&amp;Detail!CL102&amp;"/"&amp;Detail!CM102&amp;"D)"))</f>
        <v/>
      </c>
      <c r="DG102" s="1354" t="s">
        <v>2236</v>
      </c>
      <c r="DH102" s="518" t="s">
        <v>2278</v>
      </c>
      <c r="DI102" s="241">
        <f t="shared" si="21"/>
        <v>7</v>
      </c>
      <c r="DJ102" s="243">
        <f t="shared" si="22"/>
        <v>365</v>
      </c>
      <c r="DK102" s="258">
        <v>1</v>
      </c>
      <c r="DL102" s="261">
        <v>0</v>
      </c>
      <c r="DM102" s="1325" t="s">
        <v>2236</v>
      </c>
      <c r="DN102" s="538">
        <v>96</v>
      </c>
      <c r="DO102" s="1325">
        <f t="shared" si="23"/>
        <v>0.1</v>
      </c>
      <c r="DP102" s="261">
        <v>1</v>
      </c>
      <c r="DQ102" s="261">
        <v>0</v>
      </c>
      <c r="DR102" s="920" t="str">
        <f>IF(A102=FALSE,"",IF(Detail!CP102="","N/A",YEAR(Detail!F102)&amp;Detail!CS102&amp;Detail!CP102&amp;"-"&amp;Detail!$CP$13))</f>
        <v/>
      </c>
      <c r="DS102" s="308" t="s">
        <v>2236</v>
      </c>
      <c r="DT102" s="720" t="s">
        <v>2277</v>
      </c>
      <c r="DU102" s="244">
        <v>50000</v>
      </c>
      <c r="DV102" s="247">
        <v>2</v>
      </c>
      <c r="DW102" s="261">
        <v>0</v>
      </c>
      <c r="DX102" s="261" t="s">
        <v>2236</v>
      </c>
      <c r="DY102" s="264">
        <v>0</v>
      </c>
      <c r="DZ102" s="444">
        <v>0</v>
      </c>
      <c r="EA102" s="444">
        <v>1</v>
      </c>
      <c r="EB102" s="444">
        <v>0</v>
      </c>
      <c r="EC102" s="761" t="str">
        <f>IF(A102=FALSE,"",IF(Detail!CX102="","N/A",YEAR(Detail!F102)&amp;Detail!DA102&amp;Detail!CX102&amp;"-"&amp;Detail!$CX$13))</f>
        <v/>
      </c>
      <c r="ED102" s="445" t="s">
        <v>2236</v>
      </c>
      <c r="EE102" s="720" t="s">
        <v>2277</v>
      </c>
      <c r="EF102" s="244">
        <v>50000</v>
      </c>
      <c r="EG102" s="247">
        <v>2</v>
      </c>
      <c r="EH102" s="261">
        <v>0</v>
      </c>
      <c r="EI102" s="261" t="s">
        <v>2236</v>
      </c>
      <c r="EJ102" s="264">
        <v>0</v>
      </c>
      <c r="EK102" s="444">
        <v>0</v>
      </c>
      <c r="EL102" s="444">
        <v>1</v>
      </c>
      <c r="EM102" s="444">
        <v>0</v>
      </c>
      <c r="EN102" s="333" t="str">
        <f>IF(A102=FALSE,"",IF(Detail!DF102="","N/A",YEAR(Detail!F102)&amp;Detail!DI102&amp;Detail!DF102&amp;"-"&amp;Detail!$DF$13))</f>
        <v/>
      </c>
      <c r="EO102" s="1012" t="s">
        <v>2236</v>
      </c>
      <c r="EP102" s="1012" t="s">
        <v>2277</v>
      </c>
      <c r="EQ102" s="1013">
        <f t="shared" si="24"/>
        <v>0</v>
      </c>
      <c r="ER102" s="1013" t="s">
        <v>2236</v>
      </c>
      <c r="ES102" s="264">
        <v>0</v>
      </c>
      <c r="ET102" s="1013">
        <v>0</v>
      </c>
      <c r="EU102" s="1013">
        <v>1</v>
      </c>
      <c r="EV102" s="1013">
        <v>0</v>
      </c>
      <c r="EW102" s="333" t="str">
        <f>IF(DJ102=FALSE,"",IF(Detail!ET102="","N/A",YEAR(Detail!DN102)&amp;Detail!EW102&amp;Detail!ET102&amp;"-"&amp;Detail!$AL$13&amp;Detail!EU102))</f>
        <v>N/A</v>
      </c>
      <c r="EX102" s="1012" t="s">
        <v>2236</v>
      </c>
      <c r="EY102" s="1012" t="s">
        <v>2277</v>
      </c>
      <c r="EZ102" s="1013">
        <f t="shared" si="25"/>
        <v>0</v>
      </c>
      <c r="FA102" s="1013" t="s">
        <v>2236</v>
      </c>
      <c r="FB102" s="264">
        <v>0</v>
      </c>
      <c r="FC102" s="1013">
        <v>0</v>
      </c>
      <c r="FD102" s="1013">
        <v>1</v>
      </c>
      <c r="FE102" s="1013">
        <v>0</v>
      </c>
    </row>
    <row r="103" spans="1:161" s="422" customFormat="1" ht="30" customHeight="1" outlineLevel="1">
      <c r="A103" s="439" t="b">
        <f>Calcul!A103</f>
        <v>0</v>
      </c>
      <c r="B103" s="510" t="str">
        <f t="shared" si="16"/>
        <v/>
      </c>
      <c r="C103" s="1404" t="b">
        <v>0</v>
      </c>
      <c r="D103" s="241" t="s">
        <v>2147</v>
      </c>
      <c r="E103" s="1011" t="s">
        <v>2335</v>
      </c>
      <c r="F103" s="243" t="s">
        <v>2146</v>
      </c>
      <c r="G103" s="356" t="str">
        <f>IF(A103=FALSE,"",IF(NAMES!$D$10=FALSE,IF(Detail!H103="","",Detail!H103),IF(Crewlist!D103="","",Crewlist!D103)))</f>
        <v/>
      </c>
      <c r="H103" s="356" t="str">
        <f>IF(A103=FALSE,"",IF(NAMES!$D$10=FALSE,IF(Detail!P103="","",Detail!P103),IF(Crewlist!E103="","",Crewlist!E103)))</f>
        <v/>
      </c>
      <c r="I103" s="356" t="str">
        <f>IF(A103=FALSE,"",IF(NAMES!$D$10=FALSE,IF(Detail!K103="","",Detail!K103),IF(Crewlist!F103="","",Crewlist!F103)))</f>
        <v/>
      </c>
      <c r="J103" s="1001" t="str">
        <f>IF(Crewlist!T103="","",Crewlist!T103)</f>
        <v/>
      </c>
      <c r="K103" s="1001" t="str">
        <f>IF(Crewlist!D103="","",IF(Crewlist!U103="",Crewlist!Y103,IF(DATERENOUVMOINS730&lt;&gt;Crewlist!U103&lt;&gt;Crewlist!Y103,Crewlist!U103,DATERENOUVMOINS365)))</f>
        <v/>
      </c>
      <c r="L103" s="775" t="str">
        <f>IF(Detail!X103="","",Detail!X103)</f>
        <v/>
      </c>
      <c r="M103" s="775" t="str">
        <f>IF(Detail!H103="","",IF(Detail!Y103="",DATERENOUV,IF(Detail!Y103&gt;Detail!D103,Detail!D103,Detail!Y103)))</f>
        <v/>
      </c>
      <c r="N103" s="1015" t="str">
        <f>IF(A103=FALSE,"",IF(NAMES!$D$10=FALSE,IF(B103=B104,IF(O103=O104,0,(DATEDIF(L103,M103,"M")+1)),(DATEDIF(L103,M103,"M")+1)),IF(B103=B104,IF(O103=O104,0,(DATEDIF(J103,K103,"M")+1)),(DATEDIF(J103,K103,"M")+1))))</f>
        <v/>
      </c>
      <c r="O103" s="357" t="str">
        <f t="shared" si="17"/>
        <v/>
      </c>
      <c r="P103" s="358" t="str">
        <f>IF(A103=FALSE,"",IF(NAMES!$D$10=FALSE,IF((DATEDIF(L103,M103,"D")+1)&lt;365,(DATEDIF(L103,M103,"D")+1),365),IF((DATEDIF(J103,K103,"D")+1)&lt;365,(DATEDIF(J103,K103,"D")+1),365)))</f>
        <v/>
      </c>
      <c r="Q103" s="358" t="str">
        <f>IF(A103=FALSE,"",IF(NAMES!$D$10=FALSE,IF(M103="",365,DATEDIF(L103,M103,"D")+1),IF(M103="",365,DATEDIF(J103,K103,"D")+1)))</f>
        <v/>
      </c>
      <c r="R103" s="950" t="str">
        <f>Calcul!X103</f>
        <v/>
      </c>
      <c r="S103" s="950" t="str">
        <f>Calcul!Y103</f>
        <v/>
      </c>
      <c r="T103" s="993" t="str">
        <f>Calcul!AG103</f>
        <v/>
      </c>
      <c r="U103" s="368" t="str">
        <f>IF(A103=FALSE,"",IF(NAMES!$D$10=FALSE,IF(Detail!S103="","",Detail!S103),IF(Crewlist!V103="","",Crewlist!V103)))</f>
        <v/>
      </c>
      <c r="V103" s="245" t="str">
        <f>Calcul!AI103</f>
        <v/>
      </c>
      <c r="W103" s="245" t="str">
        <f>Calcul!AL103</f>
        <v/>
      </c>
      <c r="X103" s="245" t="str">
        <f>Calcul!AM103</f>
        <v/>
      </c>
      <c r="Y103" s="353" t="str">
        <f>Calcul!AN103</f>
        <v/>
      </c>
      <c r="Z103" s="245" t="str">
        <f>Calcul!AO103</f>
        <v/>
      </c>
      <c r="AA103" s="245" t="str">
        <f>Calcul!AP103</f>
        <v/>
      </c>
      <c r="AB103" s="353" t="str">
        <f>Calcul!AQ103</f>
        <v/>
      </c>
      <c r="AC103" s="353" t="str">
        <f>IF(C103=FALSE,"",Calcul!BE103+Calcul!BF103)</f>
        <v/>
      </c>
      <c r="AD103" s="353" t="str">
        <f>IF(C103=FALSE,"",(Calcul!BG103+Calcul!BH103)+SUM(Calcul!BI103:BN103))</f>
        <v/>
      </c>
      <c r="AE103" s="353" t="str">
        <f>Calcul!BP103</f>
        <v/>
      </c>
      <c r="AF103" s="332" t="str">
        <f>IF(A103=FALSE,"",YEAR(Detail!F103)&amp;Detail!AG103&amp;Detail!AD103&amp;"-"&amp;Detail!$AD$13&amp;Detail!AE103)</f>
        <v/>
      </c>
      <c r="AG103" s="916" t="s">
        <v>2236</v>
      </c>
      <c r="AH103" s="527" t="s">
        <v>2277</v>
      </c>
      <c r="AI103" s="917">
        <v>0</v>
      </c>
      <c r="AJ103" s="261" t="s">
        <v>2236</v>
      </c>
      <c r="AK103" s="1410">
        <v>32</v>
      </c>
      <c r="AL103" s="508">
        <v>0</v>
      </c>
      <c r="AM103" s="261">
        <v>1</v>
      </c>
      <c r="AN103" s="261">
        <v>0</v>
      </c>
      <c r="AO103" s="333" t="str">
        <f>IF(A103=FALSE,"",IF(Detail!AL103="","N/A",YEAR(Detail!F103)&amp;Detail!AO103&amp;Detail!AL103&amp;"-"&amp;Detail!$AL$13&amp;Detail!AM103))</f>
        <v/>
      </c>
      <c r="AP103" s="1406" t="s">
        <v>2236</v>
      </c>
      <c r="AQ103" s="527" t="s">
        <v>2277</v>
      </c>
      <c r="AR103" s="1013">
        <f t="shared" si="18"/>
        <v>0</v>
      </c>
      <c r="AS103" s="261" t="s">
        <v>2236</v>
      </c>
      <c r="AT103" s="264">
        <v>0</v>
      </c>
      <c r="AU103" s="261">
        <v>0</v>
      </c>
      <c r="AV103" s="261">
        <v>1</v>
      </c>
      <c r="AW103" s="261">
        <v>0</v>
      </c>
      <c r="AX103" s="920" t="str">
        <f>IF(A103=FALSE,"",IF(Detail!AT103="","N/A",YEAR(Detail!F103)&amp;Detail!AW103&amp;Detail!AT103&amp;"-"&amp;Detail!$AT$13))</f>
        <v/>
      </c>
      <c r="AY103" s="1014" t="s">
        <v>2236</v>
      </c>
      <c r="AZ103" s="308" t="s">
        <v>2278</v>
      </c>
      <c r="BA103" s="440" t="str">
        <f>IF(A103=FALSE,"",51000+(Detail!AA103*7000))</f>
        <v/>
      </c>
      <c r="BB103" s="1412">
        <v>50000</v>
      </c>
      <c r="BC103" s="247">
        <v>3</v>
      </c>
      <c r="BD103" s="261">
        <v>0</v>
      </c>
      <c r="BE103" s="261" t="s">
        <v>2236</v>
      </c>
      <c r="BF103" s="264">
        <v>0</v>
      </c>
      <c r="BG103" s="508">
        <v>0</v>
      </c>
      <c r="BH103" s="261">
        <v>1</v>
      </c>
      <c r="BI103" s="261">
        <v>0</v>
      </c>
      <c r="BJ103" s="311" t="str">
        <f>IF(A103=FALSE,"",IF(Detail!BB103="","N/A",YEAR(Detail!F103)&amp;Detail!BE103&amp;Detail!BB103&amp;"-"&amp;Detail!$BB$13))</f>
        <v/>
      </c>
      <c r="BK103" s="1354" t="s">
        <v>2236</v>
      </c>
      <c r="BL103" s="527" t="s">
        <v>2278</v>
      </c>
      <c r="BM103" s="440" t="str">
        <f>IF(A103=FALSE,"",51000+(Detail!AA103*7000))</f>
        <v/>
      </c>
      <c r="BN103" s="1412">
        <v>50000</v>
      </c>
      <c r="BO103" s="247">
        <v>3</v>
      </c>
      <c r="BP103" s="261">
        <v>0</v>
      </c>
      <c r="BQ103" s="261" t="s">
        <v>2236</v>
      </c>
      <c r="BR103" s="264">
        <v>0</v>
      </c>
      <c r="BS103" s="508">
        <v>0</v>
      </c>
      <c r="BT103" s="261">
        <v>1</v>
      </c>
      <c r="BU103" s="261">
        <v>0</v>
      </c>
      <c r="BV103" s="311" t="str">
        <f>IF(A103=FALSE,"",IF(Detail!BJ103="","N/A",YEAR(Detail!F103)&amp;Detail!BM103&amp;Detail!BJ103&amp;"-"&amp;Detail!$BJ$13))</f>
        <v/>
      </c>
      <c r="BW103" s="1327" t="s">
        <v>2236</v>
      </c>
      <c r="BX103" s="527" t="s">
        <v>2278</v>
      </c>
      <c r="BY103" s="440" t="str">
        <f t="shared" si="19"/>
        <v/>
      </c>
      <c r="BZ103" s="1412">
        <v>50000</v>
      </c>
      <c r="CA103" s="247">
        <v>3</v>
      </c>
      <c r="CB103" s="261">
        <v>0</v>
      </c>
      <c r="CC103" s="261" t="s">
        <v>2236</v>
      </c>
      <c r="CD103" s="264">
        <v>0</v>
      </c>
      <c r="CE103" s="508">
        <v>0</v>
      </c>
      <c r="CF103" s="261">
        <v>1</v>
      </c>
      <c r="CG103" s="261">
        <v>0</v>
      </c>
      <c r="CH103" s="311" t="str">
        <f>IF(A103=FALSE,"",IF(Detail!BR103="","N/A",YEAR(Detail!F103)&amp;Detail!BU103&amp;Detail!BR103&amp;"-"&amp;Detail!$BR$13))</f>
        <v/>
      </c>
      <c r="CI103" s="925" t="s">
        <v>2236</v>
      </c>
      <c r="CJ103" s="527" t="s">
        <v>2278</v>
      </c>
      <c r="CK103" s="440" t="str">
        <f t="shared" si="20"/>
        <v/>
      </c>
      <c r="CL103" s="1412">
        <v>50000</v>
      </c>
      <c r="CM103" s="247">
        <v>3</v>
      </c>
      <c r="CN103" s="261">
        <v>0</v>
      </c>
      <c r="CO103" s="261" t="s">
        <v>2236</v>
      </c>
      <c r="CP103" s="264">
        <v>0</v>
      </c>
      <c r="CQ103" s="508">
        <v>0</v>
      </c>
      <c r="CR103" s="261">
        <v>1</v>
      </c>
      <c r="CS103" s="261">
        <v>0</v>
      </c>
      <c r="CT103" s="311" t="str">
        <f>IF(A103=FALSE,"",IF(Detail!BZ103="","N/A",YEAR(Detail!F103)&amp;Detail!CC103&amp;Detail!BZ103&amp;"-"&amp;Detail!$BZ$13&amp;" (100%/"&amp;Detail!CD103&amp;"/"&amp;Detail!CE103&amp;"D)"))</f>
        <v/>
      </c>
      <c r="CU103" s="1016" t="s">
        <v>2236</v>
      </c>
      <c r="CV103" s="527" t="s">
        <v>2278</v>
      </c>
      <c r="CW103" s="241">
        <v>7</v>
      </c>
      <c r="CX103" s="1323">
        <v>365</v>
      </c>
      <c r="CY103" s="248">
        <v>1</v>
      </c>
      <c r="CZ103" s="261">
        <v>0</v>
      </c>
      <c r="DA103" s="1325" t="s">
        <v>2236</v>
      </c>
      <c r="DB103" s="538">
        <v>40</v>
      </c>
      <c r="DC103" s="1325">
        <v>0.1</v>
      </c>
      <c r="DD103" s="261">
        <v>1</v>
      </c>
      <c r="DE103" s="261">
        <v>0</v>
      </c>
      <c r="DF103" s="313" t="str">
        <f>IF(A103=FALSE,"",IF(Detail!CH103="","N/A",YEAR(Detail!F103)&amp;Detail!CK103&amp;Detail!CH103&amp;"-"&amp;Detail!$CH$13&amp;" (100%/"&amp;Detail!CL103&amp;"/"&amp;Detail!CM103&amp;"D)"))</f>
        <v/>
      </c>
      <c r="DG103" s="1354" t="s">
        <v>2236</v>
      </c>
      <c r="DH103" s="518" t="s">
        <v>2278</v>
      </c>
      <c r="DI103" s="241">
        <f t="shared" si="21"/>
        <v>7</v>
      </c>
      <c r="DJ103" s="243">
        <f t="shared" si="22"/>
        <v>365</v>
      </c>
      <c r="DK103" s="258">
        <v>1</v>
      </c>
      <c r="DL103" s="261">
        <v>0</v>
      </c>
      <c r="DM103" s="1325" t="s">
        <v>2236</v>
      </c>
      <c r="DN103" s="538">
        <v>96</v>
      </c>
      <c r="DO103" s="1325">
        <f t="shared" si="23"/>
        <v>0.1</v>
      </c>
      <c r="DP103" s="261">
        <v>1</v>
      </c>
      <c r="DQ103" s="261">
        <v>0</v>
      </c>
      <c r="DR103" s="920" t="str">
        <f>IF(A103=FALSE,"",IF(Detail!CP103="","N/A",YEAR(Detail!F103)&amp;Detail!CS103&amp;Detail!CP103&amp;"-"&amp;Detail!$CP$13))</f>
        <v/>
      </c>
      <c r="DS103" s="308" t="s">
        <v>2236</v>
      </c>
      <c r="DT103" s="720" t="s">
        <v>2277</v>
      </c>
      <c r="DU103" s="244">
        <v>50000</v>
      </c>
      <c r="DV103" s="247">
        <v>2</v>
      </c>
      <c r="DW103" s="261">
        <v>0</v>
      </c>
      <c r="DX103" s="261" t="s">
        <v>2236</v>
      </c>
      <c r="DY103" s="264">
        <v>0</v>
      </c>
      <c r="DZ103" s="444">
        <v>0</v>
      </c>
      <c r="EA103" s="444">
        <v>1</v>
      </c>
      <c r="EB103" s="444">
        <v>0</v>
      </c>
      <c r="EC103" s="761" t="str">
        <f>IF(A103=FALSE,"",IF(Detail!CX103="","N/A",YEAR(Detail!F103)&amp;Detail!DA103&amp;Detail!CX103&amp;"-"&amp;Detail!$CX$13))</f>
        <v/>
      </c>
      <c r="ED103" s="445" t="s">
        <v>2236</v>
      </c>
      <c r="EE103" s="720" t="s">
        <v>2277</v>
      </c>
      <c r="EF103" s="244">
        <v>50000</v>
      </c>
      <c r="EG103" s="247">
        <v>2</v>
      </c>
      <c r="EH103" s="261">
        <v>0</v>
      </c>
      <c r="EI103" s="261" t="s">
        <v>2236</v>
      </c>
      <c r="EJ103" s="264">
        <v>0</v>
      </c>
      <c r="EK103" s="444">
        <v>0</v>
      </c>
      <c r="EL103" s="444">
        <v>1</v>
      </c>
      <c r="EM103" s="444">
        <v>0</v>
      </c>
      <c r="EN103" s="333" t="str">
        <f>IF(A103=FALSE,"",IF(Detail!DF103="","N/A",YEAR(Detail!F103)&amp;Detail!DI103&amp;Detail!DF103&amp;"-"&amp;Detail!$DF$13))</f>
        <v/>
      </c>
      <c r="EO103" s="1012" t="s">
        <v>2236</v>
      </c>
      <c r="EP103" s="1012" t="s">
        <v>2277</v>
      </c>
      <c r="EQ103" s="1013">
        <f t="shared" si="24"/>
        <v>0</v>
      </c>
      <c r="ER103" s="1013" t="s">
        <v>2236</v>
      </c>
      <c r="ES103" s="264">
        <v>0</v>
      </c>
      <c r="ET103" s="1013">
        <v>0</v>
      </c>
      <c r="EU103" s="1013">
        <v>1</v>
      </c>
      <c r="EV103" s="1013">
        <v>0</v>
      </c>
      <c r="EW103" s="333" t="str">
        <f>IF(DJ103=FALSE,"",IF(Detail!ET103="","N/A",YEAR(Detail!DN103)&amp;Detail!EW103&amp;Detail!ET103&amp;"-"&amp;Detail!$AL$13&amp;Detail!EU103))</f>
        <v>N/A</v>
      </c>
      <c r="EX103" s="1012" t="s">
        <v>2236</v>
      </c>
      <c r="EY103" s="1012" t="s">
        <v>2277</v>
      </c>
      <c r="EZ103" s="1013">
        <f t="shared" si="25"/>
        <v>0</v>
      </c>
      <c r="FA103" s="1013" t="s">
        <v>2236</v>
      </c>
      <c r="FB103" s="264">
        <v>0</v>
      </c>
      <c r="FC103" s="1013">
        <v>0</v>
      </c>
      <c r="FD103" s="1013">
        <v>1</v>
      </c>
      <c r="FE103" s="1013">
        <v>0</v>
      </c>
    </row>
    <row r="104" spans="1:161" s="422" customFormat="1" ht="30" customHeight="1" outlineLevel="1">
      <c r="A104" s="439" t="b">
        <f>Calcul!A104</f>
        <v>0</v>
      </c>
      <c r="B104" s="510" t="str">
        <f t="shared" si="16"/>
        <v/>
      </c>
      <c r="C104" s="1404" t="b">
        <v>0</v>
      </c>
      <c r="D104" s="241" t="s">
        <v>2147</v>
      </c>
      <c r="E104" s="1011" t="s">
        <v>2335</v>
      </c>
      <c r="F104" s="243" t="s">
        <v>2146</v>
      </c>
      <c r="G104" s="356" t="str">
        <f>IF(A104=FALSE,"",IF(NAMES!$D$10=FALSE,IF(Detail!H104="","",Detail!H104),IF(Crewlist!D104="","",Crewlist!D104)))</f>
        <v/>
      </c>
      <c r="H104" s="356" t="str">
        <f>IF(A104=FALSE,"",IF(NAMES!$D$10=FALSE,IF(Detail!P104="","",Detail!P104),IF(Crewlist!E104="","",Crewlist!E104)))</f>
        <v/>
      </c>
      <c r="I104" s="356" t="str">
        <f>IF(A104=FALSE,"",IF(NAMES!$D$10=FALSE,IF(Detail!K104="","",Detail!K104),IF(Crewlist!F104="","",Crewlist!F104)))</f>
        <v/>
      </c>
      <c r="J104" s="1001" t="str">
        <f>IF(Crewlist!T104="","",Crewlist!T104)</f>
        <v/>
      </c>
      <c r="K104" s="1001" t="str">
        <f>IF(Crewlist!D104="","",IF(Crewlist!U104="",Crewlist!Y104,IF(DATERENOUVMOINS730&lt;&gt;Crewlist!U104&lt;&gt;Crewlist!Y104,Crewlist!U104,DATERENOUVMOINS365)))</f>
        <v/>
      </c>
      <c r="L104" s="775" t="str">
        <f>IF(Detail!X104="","",Detail!X104)</f>
        <v/>
      </c>
      <c r="M104" s="775" t="str">
        <f>IF(Detail!H104="","",IF(Detail!Y104="",DATERENOUV,IF(Detail!Y104&gt;Detail!D104,Detail!D104,Detail!Y104)))</f>
        <v/>
      </c>
      <c r="N104" s="1015" t="str">
        <f>IF(A104=FALSE,"",IF(NAMES!$D$10=FALSE,IF(B104=B105,IF(O104=O105,0,(DATEDIF(L104,M104,"M")+1)),(DATEDIF(L104,M104,"M")+1)),IF(B104=B105,IF(O104=O105,0,(DATEDIF(J104,K104,"M")+1)),(DATEDIF(J104,K104,"M")+1))))</f>
        <v/>
      </c>
      <c r="O104" s="357" t="str">
        <f t="shared" si="17"/>
        <v/>
      </c>
      <c r="P104" s="358" t="str">
        <f>IF(A104=FALSE,"",IF(NAMES!$D$10=FALSE,IF((DATEDIF(L104,M104,"D")+1)&lt;365,(DATEDIF(L104,M104,"D")+1),365),IF((DATEDIF(J104,K104,"D")+1)&lt;365,(DATEDIF(J104,K104,"D")+1),365)))</f>
        <v/>
      </c>
      <c r="Q104" s="358" t="str">
        <f>IF(A104=FALSE,"",IF(NAMES!$D$10=FALSE,IF(M104="",365,DATEDIF(L104,M104,"D")+1),IF(M104="",365,DATEDIF(J104,K104,"D")+1)))</f>
        <v/>
      </c>
      <c r="R104" s="950" t="str">
        <f>Calcul!X104</f>
        <v/>
      </c>
      <c r="S104" s="950" t="str">
        <f>Calcul!Y104</f>
        <v/>
      </c>
      <c r="T104" s="993" t="str">
        <f>Calcul!AG104</f>
        <v/>
      </c>
      <c r="U104" s="368" t="str">
        <f>IF(A104=FALSE,"",IF(NAMES!$D$10=FALSE,IF(Detail!S104="","",Detail!S104),IF(Crewlist!V104="","",Crewlist!V104)))</f>
        <v/>
      </c>
      <c r="V104" s="245" t="str">
        <f>Calcul!AI104</f>
        <v/>
      </c>
      <c r="W104" s="245" t="str">
        <f>Calcul!AL104</f>
        <v/>
      </c>
      <c r="X104" s="245" t="str">
        <f>Calcul!AM104</f>
        <v/>
      </c>
      <c r="Y104" s="353" t="str">
        <f>Calcul!AN104</f>
        <v/>
      </c>
      <c r="Z104" s="245" t="str">
        <f>Calcul!AO104</f>
        <v/>
      </c>
      <c r="AA104" s="245" t="str">
        <f>Calcul!AP104</f>
        <v/>
      </c>
      <c r="AB104" s="353" t="str">
        <f>Calcul!AQ104</f>
        <v/>
      </c>
      <c r="AC104" s="353" t="str">
        <f>IF(C104=FALSE,"",Calcul!BE104+Calcul!BF104)</f>
        <v/>
      </c>
      <c r="AD104" s="353" t="str">
        <f>IF(C104=FALSE,"",(Calcul!BG104+Calcul!BH104)+SUM(Calcul!BI104:BN104))</f>
        <v/>
      </c>
      <c r="AE104" s="353" t="str">
        <f>Calcul!BP104</f>
        <v/>
      </c>
      <c r="AF104" s="332" t="str">
        <f>IF(A104=FALSE,"",YEAR(Detail!F104)&amp;Detail!AG104&amp;Detail!AD104&amp;"-"&amp;Detail!$AD$13&amp;Detail!AE104)</f>
        <v/>
      </c>
      <c r="AG104" s="916" t="s">
        <v>2236</v>
      </c>
      <c r="AH104" s="527" t="s">
        <v>2277</v>
      </c>
      <c r="AI104" s="917">
        <v>0</v>
      </c>
      <c r="AJ104" s="261" t="s">
        <v>2236</v>
      </c>
      <c r="AK104" s="1410">
        <v>32</v>
      </c>
      <c r="AL104" s="508">
        <v>0</v>
      </c>
      <c r="AM104" s="261">
        <v>1</v>
      </c>
      <c r="AN104" s="261">
        <v>0</v>
      </c>
      <c r="AO104" s="333" t="str">
        <f>IF(A104=FALSE,"",IF(Detail!AL104="","N/A",YEAR(Detail!F104)&amp;Detail!AO104&amp;Detail!AL104&amp;"-"&amp;Detail!$AL$13&amp;Detail!AM104))</f>
        <v/>
      </c>
      <c r="AP104" s="1406" t="s">
        <v>2236</v>
      </c>
      <c r="AQ104" s="527" t="s">
        <v>2277</v>
      </c>
      <c r="AR104" s="1013">
        <f t="shared" si="18"/>
        <v>0</v>
      </c>
      <c r="AS104" s="261" t="s">
        <v>2236</v>
      </c>
      <c r="AT104" s="264">
        <v>0</v>
      </c>
      <c r="AU104" s="261">
        <v>0</v>
      </c>
      <c r="AV104" s="261">
        <v>1</v>
      </c>
      <c r="AW104" s="261">
        <v>0</v>
      </c>
      <c r="AX104" s="920" t="str">
        <f>IF(A104=FALSE,"",IF(Detail!AT104="","N/A",YEAR(Detail!F104)&amp;Detail!AW104&amp;Detail!AT104&amp;"-"&amp;Detail!$AT$13))</f>
        <v/>
      </c>
      <c r="AY104" s="1014" t="s">
        <v>2236</v>
      </c>
      <c r="AZ104" s="308" t="s">
        <v>2278</v>
      </c>
      <c r="BA104" s="440" t="str">
        <f>IF(A104=FALSE,"",51000+(Detail!AA104*7000))</f>
        <v/>
      </c>
      <c r="BB104" s="1412">
        <v>50000</v>
      </c>
      <c r="BC104" s="247">
        <v>3</v>
      </c>
      <c r="BD104" s="261">
        <v>0</v>
      </c>
      <c r="BE104" s="261" t="s">
        <v>2236</v>
      </c>
      <c r="BF104" s="264">
        <v>0</v>
      </c>
      <c r="BG104" s="508">
        <v>0</v>
      </c>
      <c r="BH104" s="261">
        <v>1</v>
      </c>
      <c r="BI104" s="261">
        <v>0</v>
      </c>
      <c r="BJ104" s="311" t="str">
        <f>IF(A104=FALSE,"",IF(Detail!BB104="","N/A",YEAR(Detail!F104)&amp;Detail!BE104&amp;Detail!BB104&amp;"-"&amp;Detail!$BB$13))</f>
        <v/>
      </c>
      <c r="BK104" s="1354" t="s">
        <v>2236</v>
      </c>
      <c r="BL104" s="527" t="s">
        <v>2278</v>
      </c>
      <c r="BM104" s="440" t="str">
        <f>IF(A104=FALSE,"",51000+(Detail!AA104*7000))</f>
        <v/>
      </c>
      <c r="BN104" s="1412">
        <v>50000</v>
      </c>
      <c r="BO104" s="247">
        <v>3</v>
      </c>
      <c r="BP104" s="261">
        <v>0</v>
      </c>
      <c r="BQ104" s="261" t="s">
        <v>2236</v>
      </c>
      <c r="BR104" s="264">
        <v>0</v>
      </c>
      <c r="BS104" s="508">
        <v>0</v>
      </c>
      <c r="BT104" s="261">
        <v>1</v>
      </c>
      <c r="BU104" s="261">
        <v>0</v>
      </c>
      <c r="BV104" s="311" t="str">
        <f>IF(A104=FALSE,"",IF(Detail!BJ104="","N/A",YEAR(Detail!F104)&amp;Detail!BM104&amp;Detail!BJ104&amp;"-"&amp;Detail!$BJ$13))</f>
        <v/>
      </c>
      <c r="BW104" s="1327" t="s">
        <v>2236</v>
      </c>
      <c r="BX104" s="527" t="s">
        <v>2278</v>
      </c>
      <c r="BY104" s="440" t="str">
        <f t="shared" si="19"/>
        <v/>
      </c>
      <c r="BZ104" s="1412">
        <v>50000</v>
      </c>
      <c r="CA104" s="247">
        <v>3</v>
      </c>
      <c r="CB104" s="261">
        <v>0</v>
      </c>
      <c r="CC104" s="261" t="s">
        <v>2236</v>
      </c>
      <c r="CD104" s="264">
        <v>0</v>
      </c>
      <c r="CE104" s="508">
        <v>0</v>
      </c>
      <c r="CF104" s="261">
        <v>1</v>
      </c>
      <c r="CG104" s="261">
        <v>0</v>
      </c>
      <c r="CH104" s="311" t="str">
        <f>IF(A104=FALSE,"",IF(Detail!BR104="","N/A",YEAR(Detail!F104)&amp;Detail!BU104&amp;Detail!BR104&amp;"-"&amp;Detail!$BR$13))</f>
        <v/>
      </c>
      <c r="CI104" s="925" t="s">
        <v>2236</v>
      </c>
      <c r="CJ104" s="527" t="s">
        <v>2278</v>
      </c>
      <c r="CK104" s="440" t="str">
        <f t="shared" si="20"/>
        <v/>
      </c>
      <c r="CL104" s="1412">
        <v>50000</v>
      </c>
      <c r="CM104" s="247">
        <v>3</v>
      </c>
      <c r="CN104" s="261">
        <v>0</v>
      </c>
      <c r="CO104" s="261" t="s">
        <v>2236</v>
      </c>
      <c r="CP104" s="264">
        <v>0</v>
      </c>
      <c r="CQ104" s="508">
        <v>0</v>
      </c>
      <c r="CR104" s="261">
        <v>1</v>
      </c>
      <c r="CS104" s="261">
        <v>0</v>
      </c>
      <c r="CT104" s="311" t="str">
        <f>IF(A104=FALSE,"",IF(Detail!BZ104="","N/A",YEAR(Detail!F104)&amp;Detail!CC104&amp;Detail!BZ104&amp;"-"&amp;Detail!$BZ$13&amp;" (100%/"&amp;Detail!CD104&amp;"/"&amp;Detail!CE104&amp;"D)"))</f>
        <v/>
      </c>
      <c r="CU104" s="1016" t="s">
        <v>2236</v>
      </c>
      <c r="CV104" s="527" t="s">
        <v>2278</v>
      </c>
      <c r="CW104" s="241">
        <v>7</v>
      </c>
      <c r="CX104" s="1323">
        <v>365</v>
      </c>
      <c r="CY104" s="248">
        <v>1</v>
      </c>
      <c r="CZ104" s="261">
        <v>0</v>
      </c>
      <c r="DA104" s="1325" t="s">
        <v>2236</v>
      </c>
      <c r="DB104" s="538">
        <v>40</v>
      </c>
      <c r="DC104" s="1325">
        <v>0.1</v>
      </c>
      <c r="DD104" s="261">
        <v>1</v>
      </c>
      <c r="DE104" s="261">
        <v>0</v>
      </c>
      <c r="DF104" s="313" t="str">
        <f>IF(A104=FALSE,"",IF(Detail!CH104="","N/A",YEAR(Detail!F104)&amp;Detail!CK104&amp;Detail!CH104&amp;"-"&amp;Detail!$CH$13&amp;" (100%/"&amp;Detail!CL104&amp;"/"&amp;Detail!CM104&amp;"D)"))</f>
        <v/>
      </c>
      <c r="DG104" s="1354" t="s">
        <v>2236</v>
      </c>
      <c r="DH104" s="518" t="s">
        <v>2278</v>
      </c>
      <c r="DI104" s="241">
        <f t="shared" si="21"/>
        <v>7</v>
      </c>
      <c r="DJ104" s="243">
        <f t="shared" si="22"/>
        <v>365</v>
      </c>
      <c r="DK104" s="258">
        <v>1</v>
      </c>
      <c r="DL104" s="261">
        <v>0</v>
      </c>
      <c r="DM104" s="1325" t="s">
        <v>2236</v>
      </c>
      <c r="DN104" s="538">
        <v>96</v>
      </c>
      <c r="DO104" s="1325">
        <f t="shared" si="23"/>
        <v>0.1</v>
      </c>
      <c r="DP104" s="261">
        <v>1</v>
      </c>
      <c r="DQ104" s="261">
        <v>0</v>
      </c>
      <c r="DR104" s="920" t="str">
        <f>IF(A104=FALSE,"",IF(Detail!CP104="","N/A",YEAR(Detail!F104)&amp;Detail!CS104&amp;Detail!CP104&amp;"-"&amp;Detail!$CP$13))</f>
        <v/>
      </c>
      <c r="DS104" s="308" t="s">
        <v>2236</v>
      </c>
      <c r="DT104" s="720" t="s">
        <v>2277</v>
      </c>
      <c r="DU104" s="244">
        <v>50000</v>
      </c>
      <c r="DV104" s="247">
        <v>2</v>
      </c>
      <c r="DW104" s="261">
        <v>0</v>
      </c>
      <c r="DX104" s="261" t="s">
        <v>2236</v>
      </c>
      <c r="DY104" s="264">
        <v>0</v>
      </c>
      <c r="DZ104" s="444">
        <v>0</v>
      </c>
      <c r="EA104" s="444">
        <v>1</v>
      </c>
      <c r="EB104" s="444">
        <v>0</v>
      </c>
      <c r="EC104" s="761" t="str">
        <f>IF(A104=FALSE,"",IF(Detail!CX104="","N/A",YEAR(Detail!F104)&amp;Detail!DA104&amp;Detail!CX104&amp;"-"&amp;Detail!$CX$13))</f>
        <v/>
      </c>
      <c r="ED104" s="445" t="s">
        <v>2236</v>
      </c>
      <c r="EE104" s="720" t="s">
        <v>2277</v>
      </c>
      <c r="EF104" s="244">
        <v>50000</v>
      </c>
      <c r="EG104" s="247">
        <v>2</v>
      </c>
      <c r="EH104" s="261">
        <v>0</v>
      </c>
      <c r="EI104" s="261" t="s">
        <v>2236</v>
      </c>
      <c r="EJ104" s="264">
        <v>0</v>
      </c>
      <c r="EK104" s="444">
        <v>0</v>
      </c>
      <c r="EL104" s="444">
        <v>1</v>
      </c>
      <c r="EM104" s="444">
        <v>0</v>
      </c>
      <c r="EN104" s="333" t="str">
        <f>IF(A104=FALSE,"",IF(Detail!DF104="","N/A",YEAR(Detail!F104)&amp;Detail!DI104&amp;Detail!DF104&amp;"-"&amp;Detail!$DF$13))</f>
        <v/>
      </c>
      <c r="EO104" s="1012" t="s">
        <v>2236</v>
      </c>
      <c r="EP104" s="1012" t="s">
        <v>2277</v>
      </c>
      <c r="EQ104" s="1013">
        <f t="shared" si="24"/>
        <v>0</v>
      </c>
      <c r="ER104" s="1013" t="s">
        <v>2236</v>
      </c>
      <c r="ES104" s="264">
        <v>0</v>
      </c>
      <c r="ET104" s="1013">
        <v>0</v>
      </c>
      <c r="EU104" s="1013">
        <v>1</v>
      </c>
      <c r="EV104" s="1013">
        <v>0</v>
      </c>
      <c r="EW104" s="333" t="str">
        <f>IF(DJ104=FALSE,"",IF(Detail!ET104="","N/A",YEAR(Detail!DN104)&amp;Detail!EW104&amp;Detail!ET104&amp;"-"&amp;Detail!$AL$13&amp;Detail!EU104))</f>
        <v>N/A</v>
      </c>
      <c r="EX104" s="1012" t="s">
        <v>2236</v>
      </c>
      <c r="EY104" s="1012" t="s">
        <v>2277</v>
      </c>
      <c r="EZ104" s="1013">
        <f t="shared" si="25"/>
        <v>0</v>
      </c>
      <c r="FA104" s="1013" t="s">
        <v>2236</v>
      </c>
      <c r="FB104" s="264">
        <v>0</v>
      </c>
      <c r="FC104" s="1013">
        <v>0</v>
      </c>
      <c r="FD104" s="1013">
        <v>1</v>
      </c>
      <c r="FE104" s="1013">
        <v>0</v>
      </c>
    </row>
    <row r="105" spans="1:161" s="422" customFormat="1" ht="30" customHeight="1" outlineLevel="1">
      <c r="A105" s="439" t="b">
        <f>Calcul!A105</f>
        <v>0</v>
      </c>
      <c r="B105" s="510" t="str">
        <f t="shared" si="16"/>
        <v/>
      </c>
      <c r="C105" s="1404" t="b">
        <v>0</v>
      </c>
      <c r="D105" s="241" t="s">
        <v>2147</v>
      </c>
      <c r="E105" s="1011" t="s">
        <v>2335</v>
      </c>
      <c r="F105" s="243" t="s">
        <v>2146</v>
      </c>
      <c r="G105" s="356" t="str">
        <f>IF(A105=FALSE,"",IF(NAMES!$D$10=FALSE,IF(Detail!H105="","",Detail!H105),IF(Crewlist!D105="","",Crewlist!D105)))</f>
        <v/>
      </c>
      <c r="H105" s="356" t="str">
        <f>IF(A105=FALSE,"",IF(NAMES!$D$10=FALSE,IF(Detail!P105="","",Detail!P105),IF(Crewlist!E105="","",Crewlist!E105)))</f>
        <v/>
      </c>
      <c r="I105" s="356" t="str">
        <f>IF(A105=FALSE,"",IF(NAMES!$D$10=FALSE,IF(Detail!K105="","",Detail!K105),IF(Crewlist!F105="","",Crewlist!F105)))</f>
        <v/>
      </c>
      <c r="J105" s="1001" t="str">
        <f>IF(Crewlist!T105="","",Crewlist!T105)</f>
        <v/>
      </c>
      <c r="K105" s="1001" t="str">
        <f>IF(Crewlist!D105="","",IF(Crewlist!U105="",Crewlist!Y105,IF(DATERENOUVMOINS730&lt;&gt;Crewlist!U105&lt;&gt;Crewlist!Y105,Crewlist!U105,DATERENOUVMOINS365)))</f>
        <v/>
      </c>
      <c r="L105" s="775" t="str">
        <f>IF(Detail!X105="","",Detail!X105)</f>
        <v/>
      </c>
      <c r="M105" s="775" t="str">
        <f>IF(Detail!H105="","",IF(Detail!Y105="",DATERENOUV,IF(Detail!Y105&gt;Detail!D105,Detail!D105,Detail!Y105)))</f>
        <v/>
      </c>
      <c r="N105" s="1015" t="str">
        <f>IF(A105=FALSE,"",IF(NAMES!$D$10=FALSE,IF(B105=B106,IF(O105=O106,0,(DATEDIF(L105,M105,"M")+1)),(DATEDIF(L105,M105,"M")+1)),IF(B105=B106,IF(O105=O106,0,(DATEDIF(J105,K105,"M")+1)),(DATEDIF(J105,K105,"M")+1))))</f>
        <v/>
      </c>
      <c r="O105" s="357" t="str">
        <f t="shared" si="17"/>
        <v/>
      </c>
      <c r="P105" s="358" t="str">
        <f>IF(A105=FALSE,"",IF(NAMES!$D$10=FALSE,IF((DATEDIF(L105,M105,"D")+1)&lt;365,(DATEDIF(L105,M105,"D")+1),365),IF((DATEDIF(J105,K105,"D")+1)&lt;365,(DATEDIF(J105,K105,"D")+1),365)))</f>
        <v/>
      </c>
      <c r="Q105" s="358" t="str">
        <f>IF(A105=FALSE,"",IF(NAMES!$D$10=FALSE,IF(M105="",365,DATEDIF(L105,M105,"D")+1),IF(M105="",365,DATEDIF(J105,K105,"D")+1)))</f>
        <v/>
      </c>
      <c r="R105" s="950" t="str">
        <f>Calcul!X105</f>
        <v/>
      </c>
      <c r="S105" s="950" t="str">
        <f>Calcul!Y105</f>
        <v/>
      </c>
      <c r="T105" s="993" t="str">
        <f>Calcul!AG105</f>
        <v/>
      </c>
      <c r="U105" s="368" t="str">
        <f>IF(A105=FALSE,"",IF(NAMES!$D$10=FALSE,IF(Detail!S105="","",Detail!S105),IF(Crewlist!V105="","",Crewlist!V105)))</f>
        <v/>
      </c>
      <c r="V105" s="245" t="str">
        <f>Calcul!AI105</f>
        <v/>
      </c>
      <c r="W105" s="245" t="str">
        <f>Calcul!AL105</f>
        <v/>
      </c>
      <c r="X105" s="245" t="str">
        <f>Calcul!AM105</f>
        <v/>
      </c>
      <c r="Y105" s="353" t="str">
        <f>Calcul!AN105</f>
        <v/>
      </c>
      <c r="Z105" s="245" t="str">
        <f>Calcul!AO105</f>
        <v/>
      </c>
      <c r="AA105" s="245" t="str">
        <f>Calcul!AP105</f>
        <v/>
      </c>
      <c r="AB105" s="353" t="str">
        <f>Calcul!AQ105</f>
        <v/>
      </c>
      <c r="AC105" s="353" t="str">
        <f>IF(C105=FALSE,"",Calcul!BE105+Calcul!BF105)</f>
        <v/>
      </c>
      <c r="AD105" s="353" t="str">
        <f>IF(C105=FALSE,"",(Calcul!BG105+Calcul!BH105)+SUM(Calcul!BI105:BN105))</f>
        <v/>
      </c>
      <c r="AE105" s="353" t="str">
        <f>Calcul!BP105</f>
        <v/>
      </c>
      <c r="AF105" s="332" t="str">
        <f>IF(A105=FALSE,"",YEAR(Detail!F105)&amp;Detail!AG105&amp;Detail!AD105&amp;"-"&amp;Detail!$AD$13&amp;Detail!AE105)</f>
        <v/>
      </c>
      <c r="AG105" s="916" t="s">
        <v>2236</v>
      </c>
      <c r="AH105" s="527" t="s">
        <v>2277</v>
      </c>
      <c r="AI105" s="917">
        <v>0</v>
      </c>
      <c r="AJ105" s="261" t="s">
        <v>2236</v>
      </c>
      <c r="AK105" s="1410">
        <v>32</v>
      </c>
      <c r="AL105" s="508">
        <v>0</v>
      </c>
      <c r="AM105" s="261">
        <v>1</v>
      </c>
      <c r="AN105" s="261">
        <v>0</v>
      </c>
      <c r="AO105" s="333" t="str">
        <f>IF(A105=FALSE,"",IF(Detail!AL105="","N/A",YEAR(Detail!F105)&amp;Detail!AO105&amp;Detail!AL105&amp;"-"&amp;Detail!$AL$13&amp;Detail!AM105))</f>
        <v/>
      </c>
      <c r="AP105" s="1406" t="s">
        <v>2236</v>
      </c>
      <c r="AQ105" s="527" t="s">
        <v>2277</v>
      </c>
      <c r="AR105" s="1013">
        <f t="shared" si="18"/>
        <v>0</v>
      </c>
      <c r="AS105" s="261" t="s">
        <v>2236</v>
      </c>
      <c r="AT105" s="264">
        <v>0</v>
      </c>
      <c r="AU105" s="261">
        <v>0</v>
      </c>
      <c r="AV105" s="261">
        <v>1</v>
      </c>
      <c r="AW105" s="261">
        <v>0</v>
      </c>
      <c r="AX105" s="920" t="str">
        <f>IF(A105=FALSE,"",IF(Detail!AT105="","N/A",YEAR(Detail!F105)&amp;Detail!AW105&amp;Detail!AT105&amp;"-"&amp;Detail!$AT$13))</f>
        <v/>
      </c>
      <c r="AY105" s="1014" t="s">
        <v>2236</v>
      </c>
      <c r="AZ105" s="308" t="s">
        <v>2278</v>
      </c>
      <c r="BA105" s="440" t="str">
        <f>IF(A105=FALSE,"",51000+(Detail!AA105*7000))</f>
        <v/>
      </c>
      <c r="BB105" s="1412">
        <v>50000</v>
      </c>
      <c r="BC105" s="247">
        <v>3</v>
      </c>
      <c r="BD105" s="261">
        <v>0</v>
      </c>
      <c r="BE105" s="261" t="s">
        <v>2236</v>
      </c>
      <c r="BF105" s="264">
        <v>0</v>
      </c>
      <c r="BG105" s="508">
        <v>0</v>
      </c>
      <c r="BH105" s="261">
        <v>1</v>
      </c>
      <c r="BI105" s="261">
        <v>0</v>
      </c>
      <c r="BJ105" s="311" t="str">
        <f>IF(A105=FALSE,"",IF(Detail!BB105="","N/A",YEAR(Detail!F105)&amp;Detail!BE105&amp;Detail!BB105&amp;"-"&amp;Detail!$BB$13))</f>
        <v/>
      </c>
      <c r="BK105" s="1354" t="s">
        <v>2236</v>
      </c>
      <c r="BL105" s="527" t="s">
        <v>2278</v>
      </c>
      <c r="BM105" s="440" t="str">
        <f>IF(A105=FALSE,"",51000+(Detail!AA105*7000))</f>
        <v/>
      </c>
      <c r="BN105" s="1412">
        <v>50000</v>
      </c>
      <c r="BO105" s="247">
        <v>3</v>
      </c>
      <c r="BP105" s="261">
        <v>0</v>
      </c>
      <c r="BQ105" s="261" t="s">
        <v>2236</v>
      </c>
      <c r="BR105" s="264">
        <v>0</v>
      </c>
      <c r="BS105" s="508">
        <v>0</v>
      </c>
      <c r="BT105" s="261">
        <v>1</v>
      </c>
      <c r="BU105" s="261">
        <v>0</v>
      </c>
      <c r="BV105" s="311" t="str">
        <f>IF(A105=FALSE,"",IF(Detail!BJ105="","N/A",YEAR(Detail!F105)&amp;Detail!BM105&amp;Detail!BJ105&amp;"-"&amp;Detail!$BJ$13))</f>
        <v/>
      </c>
      <c r="BW105" s="1327" t="s">
        <v>2236</v>
      </c>
      <c r="BX105" s="527" t="s">
        <v>2278</v>
      </c>
      <c r="BY105" s="440" t="str">
        <f t="shared" si="19"/>
        <v/>
      </c>
      <c r="BZ105" s="1412">
        <v>50000</v>
      </c>
      <c r="CA105" s="247">
        <v>3</v>
      </c>
      <c r="CB105" s="261">
        <v>0</v>
      </c>
      <c r="CC105" s="261" t="s">
        <v>2236</v>
      </c>
      <c r="CD105" s="264">
        <v>0</v>
      </c>
      <c r="CE105" s="508">
        <v>0</v>
      </c>
      <c r="CF105" s="261">
        <v>1</v>
      </c>
      <c r="CG105" s="261">
        <v>0</v>
      </c>
      <c r="CH105" s="311" t="str">
        <f>IF(A105=FALSE,"",IF(Detail!BR105="","N/A",YEAR(Detail!F105)&amp;Detail!BU105&amp;Detail!BR105&amp;"-"&amp;Detail!$BR$13))</f>
        <v/>
      </c>
      <c r="CI105" s="925" t="s">
        <v>2236</v>
      </c>
      <c r="CJ105" s="527" t="s">
        <v>2278</v>
      </c>
      <c r="CK105" s="440" t="str">
        <f t="shared" si="20"/>
        <v/>
      </c>
      <c r="CL105" s="1412">
        <v>50000</v>
      </c>
      <c r="CM105" s="247">
        <v>3</v>
      </c>
      <c r="CN105" s="261">
        <v>0</v>
      </c>
      <c r="CO105" s="261" t="s">
        <v>2236</v>
      </c>
      <c r="CP105" s="264">
        <v>0</v>
      </c>
      <c r="CQ105" s="508">
        <v>0</v>
      </c>
      <c r="CR105" s="261">
        <v>1</v>
      </c>
      <c r="CS105" s="261">
        <v>0</v>
      </c>
      <c r="CT105" s="311" t="str">
        <f>IF(A105=FALSE,"",IF(Detail!BZ105="","N/A",YEAR(Detail!F105)&amp;Detail!CC105&amp;Detail!BZ105&amp;"-"&amp;Detail!$BZ$13&amp;" (100%/"&amp;Detail!CD105&amp;"/"&amp;Detail!CE105&amp;"D)"))</f>
        <v/>
      </c>
      <c r="CU105" s="1016" t="s">
        <v>2236</v>
      </c>
      <c r="CV105" s="527" t="s">
        <v>2278</v>
      </c>
      <c r="CW105" s="241">
        <v>7</v>
      </c>
      <c r="CX105" s="1323">
        <v>365</v>
      </c>
      <c r="CY105" s="248">
        <v>1</v>
      </c>
      <c r="CZ105" s="261">
        <v>0</v>
      </c>
      <c r="DA105" s="1325" t="s">
        <v>2236</v>
      </c>
      <c r="DB105" s="538">
        <v>40</v>
      </c>
      <c r="DC105" s="1325">
        <v>0.1</v>
      </c>
      <c r="DD105" s="261">
        <v>1</v>
      </c>
      <c r="DE105" s="261">
        <v>0</v>
      </c>
      <c r="DF105" s="313" t="str">
        <f>IF(A105=FALSE,"",IF(Detail!CH105="","N/A",YEAR(Detail!F105)&amp;Detail!CK105&amp;Detail!CH105&amp;"-"&amp;Detail!$CH$13&amp;" (100%/"&amp;Detail!CL105&amp;"/"&amp;Detail!CM105&amp;"D)"))</f>
        <v/>
      </c>
      <c r="DG105" s="1354" t="s">
        <v>2236</v>
      </c>
      <c r="DH105" s="518" t="s">
        <v>2278</v>
      </c>
      <c r="DI105" s="241">
        <f t="shared" si="21"/>
        <v>7</v>
      </c>
      <c r="DJ105" s="243">
        <f t="shared" si="22"/>
        <v>365</v>
      </c>
      <c r="DK105" s="258">
        <v>1</v>
      </c>
      <c r="DL105" s="261">
        <v>0</v>
      </c>
      <c r="DM105" s="1325" t="s">
        <v>2236</v>
      </c>
      <c r="DN105" s="538">
        <v>96</v>
      </c>
      <c r="DO105" s="1325">
        <f t="shared" si="23"/>
        <v>0.1</v>
      </c>
      <c r="DP105" s="261">
        <v>1</v>
      </c>
      <c r="DQ105" s="261">
        <v>0</v>
      </c>
      <c r="DR105" s="920" t="str">
        <f>IF(A105=FALSE,"",IF(Detail!CP105="","N/A",YEAR(Detail!F105)&amp;Detail!CS105&amp;Detail!CP105&amp;"-"&amp;Detail!$CP$13))</f>
        <v/>
      </c>
      <c r="DS105" s="308" t="s">
        <v>2236</v>
      </c>
      <c r="DT105" s="720" t="s">
        <v>2277</v>
      </c>
      <c r="DU105" s="244">
        <v>50000</v>
      </c>
      <c r="DV105" s="247">
        <v>2</v>
      </c>
      <c r="DW105" s="261">
        <v>0</v>
      </c>
      <c r="DX105" s="261" t="s">
        <v>2236</v>
      </c>
      <c r="DY105" s="264">
        <v>0</v>
      </c>
      <c r="DZ105" s="444">
        <v>0</v>
      </c>
      <c r="EA105" s="444">
        <v>1</v>
      </c>
      <c r="EB105" s="444">
        <v>0</v>
      </c>
      <c r="EC105" s="761" t="str">
        <f>IF(A105=FALSE,"",IF(Detail!CX105="","N/A",YEAR(Detail!F105)&amp;Detail!DA105&amp;Detail!CX105&amp;"-"&amp;Detail!$CX$13))</f>
        <v/>
      </c>
      <c r="ED105" s="445" t="s">
        <v>2236</v>
      </c>
      <c r="EE105" s="720" t="s">
        <v>2277</v>
      </c>
      <c r="EF105" s="244">
        <v>50000</v>
      </c>
      <c r="EG105" s="247">
        <v>2</v>
      </c>
      <c r="EH105" s="261">
        <v>0</v>
      </c>
      <c r="EI105" s="261" t="s">
        <v>2236</v>
      </c>
      <c r="EJ105" s="264">
        <v>0</v>
      </c>
      <c r="EK105" s="444">
        <v>0</v>
      </c>
      <c r="EL105" s="444">
        <v>1</v>
      </c>
      <c r="EM105" s="444">
        <v>0</v>
      </c>
      <c r="EN105" s="333" t="str">
        <f>IF(A105=FALSE,"",IF(Detail!DF105="","N/A",YEAR(Detail!F105)&amp;Detail!DI105&amp;Detail!DF105&amp;"-"&amp;Detail!$DF$13))</f>
        <v/>
      </c>
      <c r="EO105" s="1012" t="s">
        <v>2236</v>
      </c>
      <c r="EP105" s="1012" t="s">
        <v>2277</v>
      </c>
      <c r="EQ105" s="1013">
        <f t="shared" si="24"/>
        <v>0</v>
      </c>
      <c r="ER105" s="1013" t="s">
        <v>2236</v>
      </c>
      <c r="ES105" s="264">
        <v>0</v>
      </c>
      <c r="ET105" s="1013">
        <v>0</v>
      </c>
      <c r="EU105" s="1013">
        <v>1</v>
      </c>
      <c r="EV105" s="1013">
        <v>0</v>
      </c>
      <c r="EW105" s="333" t="str">
        <f>IF(DJ105=FALSE,"",IF(Detail!ET105="","N/A",YEAR(Detail!DN105)&amp;Detail!EW105&amp;Detail!ET105&amp;"-"&amp;Detail!$AL$13&amp;Detail!EU105))</f>
        <v>N/A</v>
      </c>
      <c r="EX105" s="1012" t="s">
        <v>2236</v>
      </c>
      <c r="EY105" s="1012" t="s">
        <v>2277</v>
      </c>
      <c r="EZ105" s="1013">
        <f t="shared" si="25"/>
        <v>0</v>
      </c>
      <c r="FA105" s="1013" t="s">
        <v>2236</v>
      </c>
      <c r="FB105" s="264">
        <v>0</v>
      </c>
      <c r="FC105" s="1013">
        <v>0</v>
      </c>
      <c r="FD105" s="1013">
        <v>1</v>
      </c>
      <c r="FE105" s="1013">
        <v>0</v>
      </c>
    </row>
    <row r="106" spans="1:161" s="422" customFormat="1" ht="30" customHeight="1" outlineLevel="1">
      <c r="A106" s="439" t="b">
        <f>Calcul!A106</f>
        <v>0</v>
      </c>
      <c r="B106" s="510" t="str">
        <f t="shared" si="16"/>
        <v/>
      </c>
      <c r="C106" s="1404" t="b">
        <v>0</v>
      </c>
      <c r="D106" s="241" t="s">
        <v>2147</v>
      </c>
      <c r="E106" s="1011" t="s">
        <v>2335</v>
      </c>
      <c r="F106" s="243" t="s">
        <v>2146</v>
      </c>
      <c r="G106" s="356" t="str">
        <f>IF(A106=FALSE,"",IF(NAMES!$D$10=FALSE,IF(Detail!H106="","",Detail!H106),IF(Crewlist!D106="","",Crewlist!D106)))</f>
        <v/>
      </c>
      <c r="H106" s="356" t="str">
        <f>IF(A106=FALSE,"",IF(NAMES!$D$10=FALSE,IF(Detail!P106="","",Detail!P106),IF(Crewlist!E106="","",Crewlist!E106)))</f>
        <v/>
      </c>
      <c r="I106" s="356" t="str">
        <f>IF(A106=FALSE,"",IF(NAMES!$D$10=FALSE,IF(Detail!K106="","",Detail!K106),IF(Crewlist!F106="","",Crewlist!F106)))</f>
        <v/>
      </c>
      <c r="J106" s="1001" t="str">
        <f>IF(Crewlist!T106="","",Crewlist!T106)</f>
        <v/>
      </c>
      <c r="K106" s="1001" t="str">
        <f>IF(Crewlist!D106="","",IF(Crewlist!U106="",Crewlist!Y106,IF(DATERENOUVMOINS730&lt;&gt;Crewlist!U106&lt;&gt;Crewlist!Y106,Crewlist!U106,DATERENOUVMOINS365)))</f>
        <v/>
      </c>
      <c r="L106" s="775" t="str">
        <f>IF(Detail!X106="","",Detail!X106)</f>
        <v/>
      </c>
      <c r="M106" s="775" t="str">
        <f>IF(Detail!H106="","",IF(Detail!Y106="",DATERENOUV,IF(Detail!Y106&gt;Detail!D106,Detail!D106,Detail!Y106)))</f>
        <v/>
      </c>
      <c r="N106" s="1015" t="str">
        <f>IF(A106=FALSE,"",IF(NAMES!$D$10=FALSE,IF(B106=B107,IF(O106=O107,0,(DATEDIF(L106,M106,"M")+1)),(DATEDIF(L106,M106,"M")+1)),IF(B106=B107,IF(O106=O107,0,(DATEDIF(J106,K106,"M")+1)),(DATEDIF(J106,K106,"M")+1))))</f>
        <v/>
      </c>
      <c r="O106" s="357" t="str">
        <f t="shared" si="17"/>
        <v/>
      </c>
      <c r="P106" s="358" t="str">
        <f>IF(A106=FALSE,"",IF(NAMES!$D$10=FALSE,IF((DATEDIF(L106,M106,"D")+1)&lt;365,(DATEDIF(L106,M106,"D")+1),365),IF((DATEDIF(J106,K106,"D")+1)&lt;365,(DATEDIF(J106,K106,"D")+1),365)))</f>
        <v/>
      </c>
      <c r="Q106" s="358" t="str">
        <f>IF(A106=FALSE,"",IF(NAMES!$D$10=FALSE,IF(M106="",365,DATEDIF(L106,M106,"D")+1),IF(M106="",365,DATEDIF(J106,K106,"D")+1)))</f>
        <v/>
      </c>
      <c r="R106" s="950" t="str">
        <f>Calcul!X106</f>
        <v/>
      </c>
      <c r="S106" s="950" t="str">
        <f>Calcul!Y106</f>
        <v/>
      </c>
      <c r="T106" s="993" t="str">
        <f>Calcul!AG106</f>
        <v/>
      </c>
      <c r="U106" s="368" t="str">
        <f>IF(A106=FALSE,"",IF(NAMES!$D$10=FALSE,IF(Detail!S106="","",Detail!S106),IF(Crewlist!V106="","",Crewlist!V106)))</f>
        <v/>
      </c>
      <c r="V106" s="245" t="str">
        <f>Calcul!AI106</f>
        <v/>
      </c>
      <c r="W106" s="245" t="str">
        <f>Calcul!AL106</f>
        <v/>
      </c>
      <c r="X106" s="245" t="str">
        <f>Calcul!AM106</f>
        <v/>
      </c>
      <c r="Y106" s="353" t="str">
        <f>Calcul!AN106</f>
        <v/>
      </c>
      <c r="Z106" s="245" t="str">
        <f>Calcul!AO106</f>
        <v/>
      </c>
      <c r="AA106" s="245" t="str">
        <f>Calcul!AP106</f>
        <v/>
      </c>
      <c r="AB106" s="353" t="str">
        <f>Calcul!AQ106</f>
        <v/>
      </c>
      <c r="AC106" s="353" t="str">
        <f>IF(C106=FALSE,"",Calcul!BE106+Calcul!BF106)</f>
        <v/>
      </c>
      <c r="AD106" s="353" t="str">
        <f>IF(C106=FALSE,"",(Calcul!BG106+Calcul!BH106)+SUM(Calcul!BI106:BN106))</f>
        <v/>
      </c>
      <c r="AE106" s="353" t="str">
        <f>Calcul!BP106</f>
        <v/>
      </c>
      <c r="AF106" s="332" t="str">
        <f>IF(A106=FALSE,"",YEAR(Detail!F106)&amp;Detail!AG106&amp;Detail!AD106&amp;"-"&amp;Detail!$AD$13&amp;Detail!AE106)</f>
        <v/>
      </c>
      <c r="AG106" s="916" t="s">
        <v>2236</v>
      </c>
      <c r="AH106" s="527" t="s">
        <v>2277</v>
      </c>
      <c r="AI106" s="917">
        <v>0</v>
      </c>
      <c r="AJ106" s="261" t="s">
        <v>2236</v>
      </c>
      <c r="AK106" s="1410">
        <v>32</v>
      </c>
      <c r="AL106" s="508">
        <v>0</v>
      </c>
      <c r="AM106" s="261">
        <v>1</v>
      </c>
      <c r="AN106" s="261">
        <v>0</v>
      </c>
      <c r="AO106" s="333" t="str">
        <f>IF(A106=FALSE,"",IF(Detail!AL106="","N/A",YEAR(Detail!F106)&amp;Detail!AO106&amp;Detail!AL106&amp;"-"&amp;Detail!$AL$13&amp;Detail!AM106))</f>
        <v/>
      </c>
      <c r="AP106" s="1406" t="s">
        <v>2236</v>
      </c>
      <c r="AQ106" s="527" t="s">
        <v>2277</v>
      </c>
      <c r="AR106" s="1013">
        <f t="shared" si="18"/>
        <v>0</v>
      </c>
      <c r="AS106" s="261" t="s">
        <v>2236</v>
      </c>
      <c r="AT106" s="264">
        <v>0</v>
      </c>
      <c r="AU106" s="261">
        <v>0</v>
      </c>
      <c r="AV106" s="261">
        <v>1</v>
      </c>
      <c r="AW106" s="261">
        <v>0</v>
      </c>
      <c r="AX106" s="920" t="str">
        <f>IF(A106=FALSE,"",IF(Detail!AT106="","N/A",YEAR(Detail!F106)&amp;Detail!AW106&amp;Detail!AT106&amp;"-"&amp;Detail!$AT$13))</f>
        <v/>
      </c>
      <c r="AY106" s="1014" t="s">
        <v>2236</v>
      </c>
      <c r="AZ106" s="308" t="s">
        <v>2278</v>
      </c>
      <c r="BA106" s="440" t="str">
        <f>IF(A106=FALSE,"",51000+(Detail!AA106*7000))</f>
        <v/>
      </c>
      <c r="BB106" s="1412">
        <v>50000</v>
      </c>
      <c r="BC106" s="247">
        <v>3</v>
      </c>
      <c r="BD106" s="261">
        <v>0</v>
      </c>
      <c r="BE106" s="261" t="s">
        <v>2236</v>
      </c>
      <c r="BF106" s="264">
        <v>0</v>
      </c>
      <c r="BG106" s="508">
        <v>0</v>
      </c>
      <c r="BH106" s="261">
        <v>1</v>
      </c>
      <c r="BI106" s="261">
        <v>0</v>
      </c>
      <c r="BJ106" s="311" t="str">
        <f>IF(A106=FALSE,"",IF(Detail!BB106="","N/A",YEAR(Detail!F106)&amp;Detail!BE106&amp;Detail!BB106&amp;"-"&amp;Detail!$BB$13))</f>
        <v/>
      </c>
      <c r="BK106" s="1354" t="s">
        <v>2236</v>
      </c>
      <c r="BL106" s="527" t="s">
        <v>2278</v>
      </c>
      <c r="BM106" s="440" t="str">
        <f>IF(A106=FALSE,"",51000+(Detail!AA106*7000))</f>
        <v/>
      </c>
      <c r="BN106" s="1412">
        <v>50000</v>
      </c>
      <c r="BO106" s="247">
        <v>3</v>
      </c>
      <c r="BP106" s="261">
        <v>0</v>
      </c>
      <c r="BQ106" s="261" t="s">
        <v>2236</v>
      </c>
      <c r="BR106" s="264">
        <v>0</v>
      </c>
      <c r="BS106" s="508">
        <v>0</v>
      </c>
      <c r="BT106" s="261">
        <v>1</v>
      </c>
      <c r="BU106" s="261">
        <v>0</v>
      </c>
      <c r="BV106" s="311" t="str">
        <f>IF(A106=FALSE,"",IF(Detail!BJ106="","N/A",YEAR(Detail!F106)&amp;Detail!BM106&amp;Detail!BJ106&amp;"-"&amp;Detail!$BJ$13))</f>
        <v/>
      </c>
      <c r="BW106" s="1327" t="s">
        <v>2236</v>
      </c>
      <c r="BX106" s="527" t="s">
        <v>2278</v>
      </c>
      <c r="BY106" s="440" t="str">
        <f t="shared" si="19"/>
        <v/>
      </c>
      <c r="BZ106" s="1412">
        <v>50000</v>
      </c>
      <c r="CA106" s="247">
        <v>3</v>
      </c>
      <c r="CB106" s="261">
        <v>0</v>
      </c>
      <c r="CC106" s="261" t="s">
        <v>2236</v>
      </c>
      <c r="CD106" s="264">
        <v>0</v>
      </c>
      <c r="CE106" s="508">
        <v>0</v>
      </c>
      <c r="CF106" s="261">
        <v>1</v>
      </c>
      <c r="CG106" s="261">
        <v>0</v>
      </c>
      <c r="CH106" s="311" t="str">
        <f>IF(A106=FALSE,"",IF(Detail!BR106="","N/A",YEAR(Detail!F106)&amp;Detail!BU106&amp;Detail!BR106&amp;"-"&amp;Detail!$BR$13))</f>
        <v/>
      </c>
      <c r="CI106" s="925" t="s">
        <v>2236</v>
      </c>
      <c r="CJ106" s="527" t="s">
        <v>2278</v>
      </c>
      <c r="CK106" s="440" t="str">
        <f t="shared" si="20"/>
        <v/>
      </c>
      <c r="CL106" s="1412">
        <v>50000</v>
      </c>
      <c r="CM106" s="247">
        <v>3</v>
      </c>
      <c r="CN106" s="261">
        <v>0</v>
      </c>
      <c r="CO106" s="261" t="s">
        <v>2236</v>
      </c>
      <c r="CP106" s="264">
        <v>0</v>
      </c>
      <c r="CQ106" s="508">
        <v>0</v>
      </c>
      <c r="CR106" s="261">
        <v>1</v>
      </c>
      <c r="CS106" s="261">
        <v>0</v>
      </c>
      <c r="CT106" s="311" t="str">
        <f>IF(A106=FALSE,"",IF(Detail!BZ106="","N/A",YEAR(Detail!F106)&amp;Detail!CC106&amp;Detail!BZ106&amp;"-"&amp;Detail!$BZ$13&amp;" (100%/"&amp;Detail!CD106&amp;"/"&amp;Detail!CE106&amp;"D)"))</f>
        <v/>
      </c>
      <c r="CU106" s="1016" t="s">
        <v>2236</v>
      </c>
      <c r="CV106" s="527" t="s">
        <v>2278</v>
      </c>
      <c r="CW106" s="241">
        <v>7</v>
      </c>
      <c r="CX106" s="1323">
        <v>365</v>
      </c>
      <c r="CY106" s="248">
        <v>1</v>
      </c>
      <c r="CZ106" s="261">
        <v>0</v>
      </c>
      <c r="DA106" s="1325" t="s">
        <v>2236</v>
      </c>
      <c r="DB106" s="538">
        <v>40</v>
      </c>
      <c r="DC106" s="1325">
        <v>0.1</v>
      </c>
      <c r="DD106" s="261">
        <v>1</v>
      </c>
      <c r="DE106" s="261">
        <v>0</v>
      </c>
      <c r="DF106" s="313" t="str">
        <f>IF(A106=FALSE,"",IF(Detail!CH106="","N/A",YEAR(Detail!F106)&amp;Detail!CK106&amp;Detail!CH106&amp;"-"&amp;Detail!$CH$13&amp;" (100%/"&amp;Detail!CL106&amp;"/"&amp;Detail!CM106&amp;"D)"))</f>
        <v/>
      </c>
      <c r="DG106" s="1354" t="s">
        <v>2236</v>
      </c>
      <c r="DH106" s="518" t="s">
        <v>2278</v>
      </c>
      <c r="DI106" s="241">
        <f t="shared" si="21"/>
        <v>7</v>
      </c>
      <c r="DJ106" s="243">
        <f t="shared" si="22"/>
        <v>365</v>
      </c>
      <c r="DK106" s="258">
        <v>1</v>
      </c>
      <c r="DL106" s="261">
        <v>0</v>
      </c>
      <c r="DM106" s="1325" t="s">
        <v>2236</v>
      </c>
      <c r="DN106" s="538">
        <v>96</v>
      </c>
      <c r="DO106" s="1325">
        <f t="shared" si="23"/>
        <v>0.1</v>
      </c>
      <c r="DP106" s="261">
        <v>1</v>
      </c>
      <c r="DQ106" s="261">
        <v>0</v>
      </c>
      <c r="DR106" s="920" t="str">
        <f>IF(A106=FALSE,"",IF(Detail!CP106="","N/A",YEAR(Detail!F106)&amp;Detail!CS106&amp;Detail!CP106&amp;"-"&amp;Detail!$CP$13))</f>
        <v/>
      </c>
      <c r="DS106" s="308" t="s">
        <v>2236</v>
      </c>
      <c r="DT106" s="720" t="s">
        <v>2277</v>
      </c>
      <c r="DU106" s="244">
        <v>50000</v>
      </c>
      <c r="DV106" s="247">
        <v>2</v>
      </c>
      <c r="DW106" s="261">
        <v>0</v>
      </c>
      <c r="DX106" s="261" t="s">
        <v>2236</v>
      </c>
      <c r="DY106" s="264">
        <v>0</v>
      </c>
      <c r="DZ106" s="444">
        <v>0</v>
      </c>
      <c r="EA106" s="444">
        <v>1</v>
      </c>
      <c r="EB106" s="444">
        <v>0</v>
      </c>
      <c r="EC106" s="761" t="str">
        <f>IF(A106=FALSE,"",IF(Detail!CX106="","N/A",YEAR(Detail!F106)&amp;Detail!DA106&amp;Detail!CX106&amp;"-"&amp;Detail!$CX$13))</f>
        <v/>
      </c>
      <c r="ED106" s="445" t="s">
        <v>2236</v>
      </c>
      <c r="EE106" s="720" t="s">
        <v>2277</v>
      </c>
      <c r="EF106" s="244">
        <v>50000</v>
      </c>
      <c r="EG106" s="247">
        <v>2</v>
      </c>
      <c r="EH106" s="261">
        <v>0</v>
      </c>
      <c r="EI106" s="261" t="s">
        <v>2236</v>
      </c>
      <c r="EJ106" s="264">
        <v>0</v>
      </c>
      <c r="EK106" s="444">
        <v>0</v>
      </c>
      <c r="EL106" s="444">
        <v>1</v>
      </c>
      <c r="EM106" s="444">
        <v>0</v>
      </c>
      <c r="EN106" s="333" t="str">
        <f>IF(A106=FALSE,"",IF(Detail!DF106="","N/A",YEAR(Detail!F106)&amp;Detail!DI106&amp;Detail!DF106&amp;"-"&amp;Detail!$DF$13))</f>
        <v/>
      </c>
      <c r="EO106" s="1012" t="s">
        <v>2236</v>
      </c>
      <c r="EP106" s="1012" t="s">
        <v>2277</v>
      </c>
      <c r="EQ106" s="1013">
        <f t="shared" si="24"/>
        <v>0</v>
      </c>
      <c r="ER106" s="1013" t="s">
        <v>2236</v>
      </c>
      <c r="ES106" s="264">
        <v>0</v>
      </c>
      <c r="ET106" s="1013">
        <v>0</v>
      </c>
      <c r="EU106" s="1013">
        <v>1</v>
      </c>
      <c r="EV106" s="1013">
        <v>0</v>
      </c>
      <c r="EW106" s="333" t="str">
        <f>IF(DJ106=FALSE,"",IF(Detail!ET106="","N/A",YEAR(Detail!DN106)&amp;Detail!EW106&amp;Detail!ET106&amp;"-"&amp;Detail!$AL$13&amp;Detail!EU106))</f>
        <v>N/A</v>
      </c>
      <c r="EX106" s="1012" t="s">
        <v>2236</v>
      </c>
      <c r="EY106" s="1012" t="s">
        <v>2277</v>
      </c>
      <c r="EZ106" s="1013">
        <f t="shared" si="25"/>
        <v>0</v>
      </c>
      <c r="FA106" s="1013" t="s">
        <v>2236</v>
      </c>
      <c r="FB106" s="264">
        <v>0</v>
      </c>
      <c r="FC106" s="1013">
        <v>0</v>
      </c>
      <c r="FD106" s="1013">
        <v>1</v>
      </c>
      <c r="FE106" s="1013">
        <v>0</v>
      </c>
    </row>
    <row r="107" spans="1:161" s="422" customFormat="1" ht="30" customHeight="1" outlineLevel="1">
      <c r="A107" s="439" t="b">
        <f>Calcul!A107</f>
        <v>0</v>
      </c>
      <c r="B107" s="510" t="str">
        <f t="shared" si="16"/>
        <v/>
      </c>
      <c r="C107" s="1404" t="b">
        <v>0</v>
      </c>
      <c r="D107" s="241" t="s">
        <v>2147</v>
      </c>
      <c r="E107" s="1011" t="s">
        <v>2335</v>
      </c>
      <c r="F107" s="243" t="s">
        <v>2146</v>
      </c>
      <c r="G107" s="356" t="str">
        <f>IF(A107=FALSE,"",IF(NAMES!$D$10=FALSE,IF(Detail!H107="","",Detail!H107),IF(Crewlist!D107="","",Crewlist!D107)))</f>
        <v/>
      </c>
      <c r="H107" s="356" t="str">
        <f>IF(A107=FALSE,"",IF(NAMES!$D$10=FALSE,IF(Detail!P107="","",Detail!P107),IF(Crewlist!E107="","",Crewlist!E107)))</f>
        <v/>
      </c>
      <c r="I107" s="356" t="str">
        <f>IF(A107=FALSE,"",IF(NAMES!$D$10=FALSE,IF(Detail!K107="","",Detail!K107),IF(Crewlist!F107="","",Crewlist!F107)))</f>
        <v/>
      </c>
      <c r="J107" s="1001" t="str">
        <f>IF(Crewlist!T107="","",Crewlist!T107)</f>
        <v/>
      </c>
      <c r="K107" s="1001" t="str">
        <f>IF(Crewlist!D107="","",IF(Crewlist!U107="",Crewlist!Y107,IF(DATERENOUVMOINS730&lt;&gt;Crewlist!U107&lt;&gt;Crewlist!Y107,Crewlist!U107,DATERENOUVMOINS365)))</f>
        <v/>
      </c>
      <c r="L107" s="775" t="str">
        <f>IF(Detail!X107="","",Detail!X107)</f>
        <v/>
      </c>
      <c r="M107" s="775" t="str">
        <f>IF(Detail!H107="","",IF(Detail!Y107="",DATERENOUV,IF(Detail!Y107&gt;Detail!D107,Detail!D107,Detail!Y107)))</f>
        <v/>
      </c>
      <c r="N107" s="1015" t="str">
        <f>IF(A107=FALSE,"",IF(NAMES!$D$10=FALSE,IF(B107=B108,IF(O107=O108,0,(DATEDIF(L107,M107,"M")+1)),(DATEDIF(L107,M107,"M")+1)),IF(B107=B108,IF(O107=O108,0,(DATEDIF(J107,K107,"M")+1)),(DATEDIF(J107,K107,"M")+1))))</f>
        <v/>
      </c>
      <c r="O107" s="357" t="str">
        <f t="shared" si="17"/>
        <v/>
      </c>
      <c r="P107" s="358" t="str">
        <f>IF(A107=FALSE,"",IF(NAMES!$D$10=FALSE,IF((DATEDIF(L107,M107,"D")+1)&lt;365,(DATEDIF(L107,M107,"D")+1),365),IF((DATEDIF(J107,K107,"D")+1)&lt;365,(DATEDIF(J107,K107,"D")+1),365)))</f>
        <v/>
      </c>
      <c r="Q107" s="358" t="str">
        <f>IF(A107=FALSE,"",IF(NAMES!$D$10=FALSE,IF(M107="",365,DATEDIF(L107,M107,"D")+1),IF(M107="",365,DATEDIF(J107,K107,"D")+1)))</f>
        <v/>
      </c>
      <c r="R107" s="950" t="str">
        <f>Calcul!X107</f>
        <v/>
      </c>
      <c r="S107" s="950" t="str">
        <f>Calcul!Y107</f>
        <v/>
      </c>
      <c r="T107" s="993" t="str">
        <f>Calcul!AG107</f>
        <v/>
      </c>
      <c r="U107" s="368" t="str">
        <f>IF(A107=FALSE,"",IF(NAMES!$D$10=FALSE,IF(Detail!S107="","",Detail!S107),IF(Crewlist!V107="","",Crewlist!V107)))</f>
        <v/>
      </c>
      <c r="V107" s="245" t="str">
        <f>Calcul!AI107</f>
        <v/>
      </c>
      <c r="W107" s="245" t="str">
        <f>Calcul!AL107</f>
        <v/>
      </c>
      <c r="X107" s="245" t="str">
        <f>Calcul!AM107</f>
        <v/>
      </c>
      <c r="Y107" s="353" t="str">
        <f>Calcul!AN107</f>
        <v/>
      </c>
      <c r="Z107" s="245" t="str">
        <f>Calcul!AO107</f>
        <v/>
      </c>
      <c r="AA107" s="245" t="str">
        <f>Calcul!AP107</f>
        <v/>
      </c>
      <c r="AB107" s="353" t="str">
        <f>Calcul!AQ107</f>
        <v/>
      </c>
      <c r="AC107" s="353" t="str">
        <f>IF(C107=FALSE,"",Calcul!BE107+Calcul!BF107)</f>
        <v/>
      </c>
      <c r="AD107" s="353" t="str">
        <f>IF(C107=FALSE,"",(Calcul!BG107+Calcul!BH107)+SUM(Calcul!BI107:BN107))</f>
        <v/>
      </c>
      <c r="AE107" s="353" t="str">
        <f>Calcul!BP107</f>
        <v/>
      </c>
      <c r="AF107" s="332" t="str">
        <f>IF(A107=FALSE,"",YEAR(Detail!F107)&amp;Detail!AG107&amp;Detail!AD107&amp;"-"&amp;Detail!$AD$13&amp;Detail!AE107)</f>
        <v/>
      </c>
      <c r="AG107" s="916" t="s">
        <v>2236</v>
      </c>
      <c r="AH107" s="527" t="s">
        <v>2277</v>
      </c>
      <c r="AI107" s="917">
        <v>0</v>
      </c>
      <c r="AJ107" s="261" t="s">
        <v>2236</v>
      </c>
      <c r="AK107" s="1410">
        <v>32</v>
      </c>
      <c r="AL107" s="508">
        <v>0</v>
      </c>
      <c r="AM107" s="261">
        <v>1</v>
      </c>
      <c r="AN107" s="261">
        <v>0</v>
      </c>
      <c r="AO107" s="333" t="str">
        <f>IF(A107=FALSE,"",IF(Detail!AL107="","N/A",YEAR(Detail!F107)&amp;Detail!AO107&amp;Detail!AL107&amp;"-"&amp;Detail!$AL$13&amp;Detail!AM107))</f>
        <v/>
      </c>
      <c r="AP107" s="1406" t="s">
        <v>2236</v>
      </c>
      <c r="AQ107" s="527" t="s">
        <v>2277</v>
      </c>
      <c r="AR107" s="1013">
        <f t="shared" si="18"/>
        <v>0</v>
      </c>
      <c r="AS107" s="261" t="s">
        <v>2236</v>
      </c>
      <c r="AT107" s="264">
        <v>0</v>
      </c>
      <c r="AU107" s="261">
        <v>0</v>
      </c>
      <c r="AV107" s="261">
        <v>1</v>
      </c>
      <c r="AW107" s="261">
        <v>0</v>
      </c>
      <c r="AX107" s="920" t="str">
        <f>IF(A107=FALSE,"",IF(Detail!AT107="","N/A",YEAR(Detail!F107)&amp;Detail!AW107&amp;Detail!AT107&amp;"-"&amp;Detail!$AT$13))</f>
        <v/>
      </c>
      <c r="AY107" s="1014" t="s">
        <v>2236</v>
      </c>
      <c r="AZ107" s="308" t="s">
        <v>2278</v>
      </c>
      <c r="BA107" s="440" t="str">
        <f>IF(A107=FALSE,"",51000+(Detail!AA107*7000))</f>
        <v/>
      </c>
      <c r="BB107" s="1412">
        <v>50000</v>
      </c>
      <c r="BC107" s="247">
        <v>3</v>
      </c>
      <c r="BD107" s="261">
        <v>0</v>
      </c>
      <c r="BE107" s="261" t="s">
        <v>2236</v>
      </c>
      <c r="BF107" s="264">
        <v>0</v>
      </c>
      <c r="BG107" s="508">
        <v>0</v>
      </c>
      <c r="BH107" s="261">
        <v>1</v>
      </c>
      <c r="BI107" s="261">
        <v>0</v>
      </c>
      <c r="BJ107" s="311" t="str">
        <f>IF(A107=FALSE,"",IF(Detail!BB107="","N/A",YEAR(Detail!F107)&amp;Detail!BE107&amp;Detail!BB107&amp;"-"&amp;Detail!$BB$13))</f>
        <v/>
      </c>
      <c r="BK107" s="1354" t="s">
        <v>2236</v>
      </c>
      <c r="BL107" s="527" t="s">
        <v>2278</v>
      </c>
      <c r="BM107" s="440" t="str">
        <f>IF(A107=FALSE,"",51000+(Detail!AA107*7000))</f>
        <v/>
      </c>
      <c r="BN107" s="1412">
        <v>50000</v>
      </c>
      <c r="BO107" s="247">
        <v>3</v>
      </c>
      <c r="BP107" s="261">
        <v>0</v>
      </c>
      <c r="BQ107" s="261" t="s">
        <v>2236</v>
      </c>
      <c r="BR107" s="264">
        <v>0</v>
      </c>
      <c r="BS107" s="508">
        <v>0</v>
      </c>
      <c r="BT107" s="261">
        <v>1</v>
      </c>
      <c r="BU107" s="261">
        <v>0</v>
      </c>
      <c r="BV107" s="311" t="str">
        <f>IF(A107=FALSE,"",IF(Detail!BJ107="","N/A",YEAR(Detail!F107)&amp;Detail!BM107&amp;Detail!BJ107&amp;"-"&amp;Detail!$BJ$13))</f>
        <v/>
      </c>
      <c r="BW107" s="1327" t="s">
        <v>2236</v>
      </c>
      <c r="BX107" s="527" t="s">
        <v>2278</v>
      </c>
      <c r="BY107" s="440" t="str">
        <f t="shared" si="19"/>
        <v/>
      </c>
      <c r="BZ107" s="1412">
        <v>50000</v>
      </c>
      <c r="CA107" s="247">
        <v>3</v>
      </c>
      <c r="CB107" s="261">
        <v>0</v>
      </c>
      <c r="CC107" s="261" t="s">
        <v>2236</v>
      </c>
      <c r="CD107" s="264">
        <v>0</v>
      </c>
      <c r="CE107" s="508">
        <v>0</v>
      </c>
      <c r="CF107" s="261">
        <v>1</v>
      </c>
      <c r="CG107" s="261">
        <v>0</v>
      </c>
      <c r="CH107" s="311" t="str">
        <f>IF(A107=FALSE,"",IF(Detail!BR107="","N/A",YEAR(Detail!F107)&amp;Detail!BU107&amp;Detail!BR107&amp;"-"&amp;Detail!$BR$13))</f>
        <v/>
      </c>
      <c r="CI107" s="925" t="s">
        <v>2236</v>
      </c>
      <c r="CJ107" s="527" t="s">
        <v>2278</v>
      </c>
      <c r="CK107" s="440" t="str">
        <f t="shared" si="20"/>
        <v/>
      </c>
      <c r="CL107" s="1412">
        <v>50000</v>
      </c>
      <c r="CM107" s="247">
        <v>3</v>
      </c>
      <c r="CN107" s="261">
        <v>0</v>
      </c>
      <c r="CO107" s="261" t="s">
        <v>2236</v>
      </c>
      <c r="CP107" s="264">
        <v>0</v>
      </c>
      <c r="CQ107" s="508">
        <v>0</v>
      </c>
      <c r="CR107" s="261">
        <v>1</v>
      </c>
      <c r="CS107" s="261">
        <v>0</v>
      </c>
      <c r="CT107" s="311" t="str">
        <f>IF(A107=FALSE,"",IF(Detail!BZ107="","N/A",YEAR(Detail!F107)&amp;Detail!CC107&amp;Detail!BZ107&amp;"-"&amp;Detail!$BZ$13&amp;" (100%/"&amp;Detail!CD107&amp;"/"&amp;Detail!CE107&amp;"D)"))</f>
        <v/>
      </c>
      <c r="CU107" s="1016" t="s">
        <v>2236</v>
      </c>
      <c r="CV107" s="527" t="s">
        <v>2278</v>
      </c>
      <c r="CW107" s="241">
        <v>7</v>
      </c>
      <c r="CX107" s="1323">
        <v>365</v>
      </c>
      <c r="CY107" s="248">
        <v>1</v>
      </c>
      <c r="CZ107" s="261">
        <v>0</v>
      </c>
      <c r="DA107" s="1325" t="s">
        <v>2236</v>
      </c>
      <c r="DB107" s="538">
        <v>40</v>
      </c>
      <c r="DC107" s="1325">
        <v>0.1</v>
      </c>
      <c r="DD107" s="261">
        <v>1</v>
      </c>
      <c r="DE107" s="261">
        <v>0</v>
      </c>
      <c r="DF107" s="313" t="str">
        <f>IF(A107=FALSE,"",IF(Detail!CH107="","N/A",YEAR(Detail!F107)&amp;Detail!CK107&amp;Detail!CH107&amp;"-"&amp;Detail!$CH$13&amp;" (100%/"&amp;Detail!CL107&amp;"/"&amp;Detail!CM107&amp;"D)"))</f>
        <v/>
      </c>
      <c r="DG107" s="1354" t="s">
        <v>2236</v>
      </c>
      <c r="DH107" s="518" t="s">
        <v>2278</v>
      </c>
      <c r="DI107" s="241">
        <f t="shared" si="21"/>
        <v>7</v>
      </c>
      <c r="DJ107" s="243">
        <f t="shared" si="22"/>
        <v>365</v>
      </c>
      <c r="DK107" s="258">
        <v>1</v>
      </c>
      <c r="DL107" s="261">
        <v>0</v>
      </c>
      <c r="DM107" s="1325" t="s">
        <v>2236</v>
      </c>
      <c r="DN107" s="538">
        <v>96</v>
      </c>
      <c r="DO107" s="1325">
        <f t="shared" si="23"/>
        <v>0.1</v>
      </c>
      <c r="DP107" s="261">
        <v>1</v>
      </c>
      <c r="DQ107" s="261">
        <v>0</v>
      </c>
      <c r="DR107" s="920" t="str">
        <f>IF(A107=FALSE,"",IF(Detail!CP107="","N/A",YEAR(Detail!F107)&amp;Detail!CS107&amp;Detail!CP107&amp;"-"&amp;Detail!$CP$13))</f>
        <v/>
      </c>
      <c r="DS107" s="308" t="s">
        <v>2236</v>
      </c>
      <c r="DT107" s="720" t="s">
        <v>2277</v>
      </c>
      <c r="DU107" s="244">
        <v>50000</v>
      </c>
      <c r="DV107" s="247">
        <v>2</v>
      </c>
      <c r="DW107" s="261">
        <v>0</v>
      </c>
      <c r="DX107" s="261" t="s">
        <v>2236</v>
      </c>
      <c r="DY107" s="264">
        <v>0</v>
      </c>
      <c r="DZ107" s="444">
        <v>0</v>
      </c>
      <c r="EA107" s="444">
        <v>1</v>
      </c>
      <c r="EB107" s="444">
        <v>0</v>
      </c>
      <c r="EC107" s="761" t="str">
        <f>IF(A107=FALSE,"",IF(Detail!CX107="","N/A",YEAR(Detail!F107)&amp;Detail!DA107&amp;Detail!CX107&amp;"-"&amp;Detail!$CX$13))</f>
        <v/>
      </c>
      <c r="ED107" s="445" t="s">
        <v>2236</v>
      </c>
      <c r="EE107" s="720" t="s">
        <v>2277</v>
      </c>
      <c r="EF107" s="244">
        <v>50000</v>
      </c>
      <c r="EG107" s="247">
        <v>2</v>
      </c>
      <c r="EH107" s="261">
        <v>0</v>
      </c>
      <c r="EI107" s="261" t="s">
        <v>2236</v>
      </c>
      <c r="EJ107" s="264">
        <v>0</v>
      </c>
      <c r="EK107" s="444">
        <v>0</v>
      </c>
      <c r="EL107" s="444">
        <v>1</v>
      </c>
      <c r="EM107" s="444">
        <v>0</v>
      </c>
      <c r="EN107" s="333" t="str">
        <f>IF(A107=FALSE,"",IF(Detail!DF107="","N/A",YEAR(Detail!F107)&amp;Detail!DI107&amp;Detail!DF107&amp;"-"&amp;Detail!$DF$13))</f>
        <v/>
      </c>
      <c r="EO107" s="1012" t="s">
        <v>2236</v>
      </c>
      <c r="EP107" s="1012" t="s">
        <v>2277</v>
      </c>
      <c r="EQ107" s="1013">
        <f t="shared" si="24"/>
        <v>0</v>
      </c>
      <c r="ER107" s="1013" t="s">
        <v>2236</v>
      </c>
      <c r="ES107" s="264">
        <v>0</v>
      </c>
      <c r="ET107" s="1013">
        <v>0</v>
      </c>
      <c r="EU107" s="1013">
        <v>1</v>
      </c>
      <c r="EV107" s="1013">
        <v>0</v>
      </c>
      <c r="EW107" s="333" t="str">
        <f>IF(DJ107=FALSE,"",IF(Detail!ET107="","N/A",YEAR(Detail!DN107)&amp;Detail!EW107&amp;Detail!ET107&amp;"-"&amp;Detail!$AL$13&amp;Detail!EU107))</f>
        <v>N/A</v>
      </c>
      <c r="EX107" s="1012" t="s">
        <v>2236</v>
      </c>
      <c r="EY107" s="1012" t="s">
        <v>2277</v>
      </c>
      <c r="EZ107" s="1013">
        <f t="shared" si="25"/>
        <v>0</v>
      </c>
      <c r="FA107" s="1013" t="s">
        <v>2236</v>
      </c>
      <c r="FB107" s="264">
        <v>0</v>
      </c>
      <c r="FC107" s="1013">
        <v>0</v>
      </c>
      <c r="FD107" s="1013">
        <v>1</v>
      </c>
      <c r="FE107" s="1013">
        <v>0</v>
      </c>
    </row>
    <row r="108" spans="1:161" s="422" customFormat="1" ht="30" customHeight="1" outlineLevel="1">
      <c r="A108" s="439" t="b">
        <f>Calcul!A108</f>
        <v>0</v>
      </c>
      <c r="B108" s="510" t="str">
        <f t="shared" si="16"/>
        <v/>
      </c>
      <c r="C108" s="1404" t="b">
        <v>0</v>
      </c>
      <c r="D108" s="1010" t="s">
        <v>2147</v>
      </c>
      <c r="E108" s="1011" t="s">
        <v>2335</v>
      </c>
      <c r="F108" s="243" t="s">
        <v>2146</v>
      </c>
      <c r="G108" s="356" t="str">
        <f>IF(A108=FALSE,"",IF(NAMES!$D$10=FALSE,IF(Detail!H108="","",Detail!H108),IF(Crewlist!D108="","",Crewlist!D108)))</f>
        <v/>
      </c>
      <c r="H108" s="356" t="str">
        <f>IF(A108=FALSE,"",IF(NAMES!$D$10=FALSE,IF(Detail!P108="","",Detail!P108),IF(Crewlist!E108="","",Crewlist!E108)))</f>
        <v/>
      </c>
      <c r="I108" s="356" t="str">
        <f>IF(A108=FALSE,"",IF(NAMES!$D$10=FALSE,IF(Detail!K108="","",Detail!K108),IF(Crewlist!F108="","",Crewlist!F108)))</f>
        <v/>
      </c>
      <c r="J108" s="1001" t="str">
        <f>IF(Crewlist!T108="","",Crewlist!T108)</f>
        <v/>
      </c>
      <c r="K108" s="1001" t="str">
        <f>IF(Crewlist!D108="","",IF(Crewlist!U108="",Crewlist!Y108,IF(DATERENOUVMOINS730&lt;&gt;Crewlist!U108&lt;&gt;Crewlist!Y108,Crewlist!U108,DATERENOUVMOINS365)))</f>
        <v/>
      </c>
      <c r="L108" s="775" t="str">
        <f>IF(Detail!X108="","",Detail!X108)</f>
        <v/>
      </c>
      <c r="M108" s="775" t="str">
        <f>IF(Detail!H108="","",IF(Detail!Y108="",DATERENOUV,IF(Detail!Y108&gt;Detail!D108,Detail!D108,Detail!Y108)))</f>
        <v/>
      </c>
      <c r="N108" s="1015" t="str">
        <f>IF(A108=FALSE,"",IF(NAMES!$D$10=FALSE,IF(B108=B109,IF(O108=O109,0,(DATEDIF(L108,M108,"M")+1)),(DATEDIF(L108,M108,"M")+1)),IF(B108=B109,IF(O108=O109,0,(DATEDIF(J108,K108,"M")+1)),(DATEDIF(J108,K108,"M")+1))))</f>
        <v/>
      </c>
      <c r="O108" s="357" t="str">
        <f t="shared" si="17"/>
        <v/>
      </c>
      <c r="P108" s="358" t="str">
        <f>IF(A108=FALSE,"",IF(NAMES!$D$10=FALSE,IF((DATEDIF(L108,M108,"D")+1)&lt;365,(DATEDIF(L108,M108,"D")+1),365),IF((DATEDIF(J108,K108,"D")+1)&lt;365,(DATEDIF(J108,K108,"D")+1),365)))</f>
        <v/>
      </c>
      <c r="Q108" s="358" t="str">
        <f>IF(A108=FALSE,"",IF(NAMES!$D$10=FALSE,IF(M108="",365,DATEDIF(L108,M108,"D")+1),IF(M108="",365,DATEDIF(J108,K108,"D")+1)))</f>
        <v/>
      </c>
      <c r="R108" s="950" t="str">
        <f>Calcul!X108</f>
        <v/>
      </c>
      <c r="S108" s="950" t="str">
        <f>Calcul!Y108</f>
        <v/>
      </c>
      <c r="T108" s="993" t="str">
        <f>Calcul!AG108</f>
        <v/>
      </c>
      <c r="U108" s="368" t="str">
        <f>IF(A108=FALSE,"",IF(NAMES!$D$10=FALSE,IF(Detail!S108="","",Detail!S108),IF(Crewlist!V108="","",Crewlist!V108)))</f>
        <v/>
      </c>
      <c r="V108" s="245" t="str">
        <f>Calcul!AI108</f>
        <v/>
      </c>
      <c r="W108" s="245" t="str">
        <f>Calcul!AL108</f>
        <v/>
      </c>
      <c r="X108" s="245" t="str">
        <f>Calcul!AM108</f>
        <v/>
      </c>
      <c r="Y108" s="353" t="str">
        <f>Calcul!AN108</f>
        <v/>
      </c>
      <c r="Z108" s="245" t="str">
        <f>Calcul!AO108</f>
        <v/>
      </c>
      <c r="AA108" s="245" t="str">
        <f>Calcul!AP108</f>
        <v/>
      </c>
      <c r="AB108" s="353" t="str">
        <f>Calcul!AQ108</f>
        <v/>
      </c>
      <c r="AC108" s="353" t="str">
        <f>IF(C108=FALSE,"",Calcul!BE108+Calcul!BF108)</f>
        <v/>
      </c>
      <c r="AD108" s="353" t="str">
        <f>IF(C108=FALSE,"",(Calcul!BG108+Calcul!BH108)+SUM(Calcul!BI108:BN108))</f>
        <v/>
      </c>
      <c r="AE108" s="353" t="str">
        <f>Calcul!BP108</f>
        <v/>
      </c>
      <c r="AF108" s="332" t="str">
        <f>IF(A108=FALSE,"",YEAR(Detail!F108)&amp;Detail!AG108&amp;Detail!AD108&amp;"-"&amp;Detail!$AD$13&amp;Detail!AE108)</f>
        <v/>
      </c>
      <c r="AG108" s="916" t="s">
        <v>2236</v>
      </c>
      <c r="AH108" s="527" t="s">
        <v>2277</v>
      </c>
      <c r="AI108" s="917">
        <v>0</v>
      </c>
      <c r="AJ108" s="261" t="s">
        <v>2236</v>
      </c>
      <c r="AK108" s="1410">
        <v>32</v>
      </c>
      <c r="AL108" s="508">
        <v>0</v>
      </c>
      <c r="AM108" s="261">
        <v>1</v>
      </c>
      <c r="AN108" s="261">
        <v>0</v>
      </c>
      <c r="AO108" s="333" t="str">
        <f>IF(A108=FALSE,"",IF(Detail!AL108="","N/A",YEAR(Detail!F108)&amp;Detail!AO108&amp;Detail!AL108&amp;"-"&amp;Detail!$AL$13&amp;Detail!AM108))</f>
        <v/>
      </c>
      <c r="AP108" s="1406" t="s">
        <v>2236</v>
      </c>
      <c r="AQ108" s="527" t="s">
        <v>2277</v>
      </c>
      <c r="AR108" s="1013">
        <f t="shared" si="18"/>
        <v>0</v>
      </c>
      <c r="AS108" s="261" t="s">
        <v>2236</v>
      </c>
      <c r="AT108" s="264">
        <v>0</v>
      </c>
      <c r="AU108" s="261">
        <v>0</v>
      </c>
      <c r="AV108" s="261">
        <v>1</v>
      </c>
      <c r="AW108" s="261">
        <v>0</v>
      </c>
      <c r="AX108" s="920" t="str">
        <f>IF(A108=FALSE,"",IF(Detail!AT108="","N/A",YEAR(Detail!F108)&amp;Detail!AW108&amp;Detail!AT108&amp;"-"&amp;Detail!$AT$13))</f>
        <v/>
      </c>
      <c r="AY108" s="1014" t="s">
        <v>2236</v>
      </c>
      <c r="AZ108" s="308" t="s">
        <v>2278</v>
      </c>
      <c r="BA108" s="440" t="str">
        <f>IF(A108=FALSE,"",51000+(Detail!AA108*7000))</f>
        <v/>
      </c>
      <c r="BB108" s="1412">
        <v>50000</v>
      </c>
      <c r="BC108" s="247">
        <v>3</v>
      </c>
      <c r="BD108" s="261">
        <v>0</v>
      </c>
      <c r="BE108" s="261" t="s">
        <v>2236</v>
      </c>
      <c r="BF108" s="264">
        <v>0</v>
      </c>
      <c r="BG108" s="508">
        <v>0</v>
      </c>
      <c r="BH108" s="261">
        <v>1</v>
      </c>
      <c r="BI108" s="261">
        <v>0</v>
      </c>
      <c r="BJ108" s="311" t="str">
        <f>IF(A108=FALSE,"",IF(Detail!BB108="","N/A",YEAR(Detail!F108)&amp;Detail!BE108&amp;Detail!BB108&amp;"-"&amp;Detail!$BB$13))</f>
        <v/>
      </c>
      <c r="BK108" s="1354" t="s">
        <v>2236</v>
      </c>
      <c r="BL108" s="527" t="s">
        <v>2278</v>
      </c>
      <c r="BM108" s="440" t="str">
        <f>IF(A108=FALSE,"",51000+(Detail!AA108*7000))</f>
        <v/>
      </c>
      <c r="BN108" s="1412">
        <v>50000</v>
      </c>
      <c r="BO108" s="247">
        <v>3</v>
      </c>
      <c r="BP108" s="261">
        <v>0</v>
      </c>
      <c r="BQ108" s="261" t="s">
        <v>2236</v>
      </c>
      <c r="BR108" s="264">
        <v>0</v>
      </c>
      <c r="BS108" s="508">
        <v>0</v>
      </c>
      <c r="BT108" s="261">
        <v>1</v>
      </c>
      <c r="BU108" s="261">
        <v>0</v>
      </c>
      <c r="BV108" s="311" t="str">
        <f>IF(A108=FALSE,"",IF(Detail!BJ108="","N/A",YEAR(Detail!F108)&amp;Detail!BM108&amp;Detail!BJ108&amp;"-"&amp;Detail!$BJ$13))</f>
        <v/>
      </c>
      <c r="BW108" s="1327" t="s">
        <v>2236</v>
      </c>
      <c r="BX108" s="527" t="s">
        <v>2278</v>
      </c>
      <c r="BY108" s="440" t="str">
        <f t="shared" si="19"/>
        <v/>
      </c>
      <c r="BZ108" s="1412">
        <v>50000</v>
      </c>
      <c r="CA108" s="247">
        <v>3</v>
      </c>
      <c r="CB108" s="261">
        <v>0</v>
      </c>
      <c r="CC108" s="261" t="s">
        <v>2236</v>
      </c>
      <c r="CD108" s="264">
        <v>0</v>
      </c>
      <c r="CE108" s="508">
        <v>0</v>
      </c>
      <c r="CF108" s="261">
        <v>1</v>
      </c>
      <c r="CG108" s="261">
        <v>0</v>
      </c>
      <c r="CH108" s="311" t="str">
        <f>IF(A108=FALSE,"",IF(Detail!BR108="","N/A",YEAR(Detail!F108)&amp;Detail!BU108&amp;Detail!BR108&amp;"-"&amp;Detail!$BR$13))</f>
        <v/>
      </c>
      <c r="CI108" s="925" t="s">
        <v>2236</v>
      </c>
      <c r="CJ108" s="527" t="s">
        <v>2278</v>
      </c>
      <c r="CK108" s="440" t="str">
        <f t="shared" si="20"/>
        <v/>
      </c>
      <c r="CL108" s="1412">
        <v>50000</v>
      </c>
      <c r="CM108" s="247">
        <v>3</v>
      </c>
      <c r="CN108" s="261">
        <v>0</v>
      </c>
      <c r="CO108" s="261" t="s">
        <v>2236</v>
      </c>
      <c r="CP108" s="264">
        <v>0</v>
      </c>
      <c r="CQ108" s="508">
        <v>0</v>
      </c>
      <c r="CR108" s="261">
        <v>1</v>
      </c>
      <c r="CS108" s="261">
        <v>0</v>
      </c>
      <c r="CT108" s="311" t="str">
        <f>IF(A108=FALSE,"",IF(Detail!BZ108="","N/A",YEAR(Detail!F108)&amp;Detail!CC108&amp;Detail!BZ108&amp;"-"&amp;Detail!$BZ$13&amp;" (100%/"&amp;Detail!CD108&amp;"/"&amp;Detail!CE108&amp;"D)"))</f>
        <v/>
      </c>
      <c r="CU108" s="1016" t="s">
        <v>2236</v>
      </c>
      <c r="CV108" s="527" t="s">
        <v>2278</v>
      </c>
      <c r="CW108" s="241">
        <v>7</v>
      </c>
      <c r="CX108" s="1323">
        <v>365</v>
      </c>
      <c r="CY108" s="248">
        <v>1</v>
      </c>
      <c r="CZ108" s="261">
        <v>0</v>
      </c>
      <c r="DA108" s="1325" t="s">
        <v>2236</v>
      </c>
      <c r="DB108" s="538">
        <v>40</v>
      </c>
      <c r="DC108" s="1325">
        <v>0.1</v>
      </c>
      <c r="DD108" s="261">
        <v>1</v>
      </c>
      <c r="DE108" s="261">
        <v>0</v>
      </c>
      <c r="DF108" s="313" t="str">
        <f>IF(A108=FALSE,"",IF(Detail!CH108="","N/A",YEAR(Detail!F108)&amp;Detail!CK108&amp;Detail!CH108&amp;"-"&amp;Detail!$CH$13&amp;" (100%/"&amp;Detail!CL108&amp;"/"&amp;Detail!CM108&amp;"D)"))</f>
        <v/>
      </c>
      <c r="DG108" s="1354" t="s">
        <v>2236</v>
      </c>
      <c r="DH108" s="518" t="s">
        <v>2278</v>
      </c>
      <c r="DI108" s="241">
        <f t="shared" si="21"/>
        <v>7</v>
      </c>
      <c r="DJ108" s="243">
        <f t="shared" si="22"/>
        <v>365</v>
      </c>
      <c r="DK108" s="258">
        <v>1</v>
      </c>
      <c r="DL108" s="261">
        <v>0</v>
      </c>
      <c r="DM108" s="1325" t="s">
        <v>2236</v>
      </c>
      <c r="DN108" s="538">
        <v>96</v>
      </c>
      <c r="DO108" s="1325">
        <f t="shared" si="23"/>
        <v>0.1</v>
      </c>
      <c r="DP108" s="261">
        <v>1</v>
      </c>
      <c r="DQ108" s="261">
        <v>0</v>
      </c>
      <c r="DR108" s="920" t="str">
        <f>IF(A108=FALSE,"",IF(Detail!CP108="","N/A",YEAR(Detail!F108)&amp;Detail!CS108&amp;Detail!CP108&amp;"-"&amp;Detail!$CP$13))</f>
        <v/>
      </c>
      <c r="DS108" s="308" t="s">
        <v>2236</v>
      </c>
      <c r="DT108" s="720" t="s">
        <v>2277</v>
      </c>
      <c r="DU108" s="244">
        <v>50000</v>
      </c>
      <c r="DV108" s="247">
        <v>2</v>
      </c>
      <c r="DW108" s="261">
        <v>0</v>
      </c>
      <c r="DX108" s="261" t="s">
        <v>2236</v>
      </c>
      <c r="DY108" s="264">
        <v>0</v>
      </c>
      <c r="DZ108" s="444">
        <v>0</v>
      </c>
      <c r="EA108" s="444">
        <v>1</v>
      </c>
      <c r="EB108" s="444">
        <v>0</v>
      </c>
      <c r="EC108" s="761" t="str">
        <f>IF(A108=FALSE,"",IF(Detail!CX108="","N/A",YEAR(Detail!F108)&amp;Detail!DA108&amp;Detail!CX108&amp;"-"&amp;Detail!$CX$13))</f>
        <v/>
      </c>
      <c r="ED108" s="445" t="s">
        <v>2236</v>
      </c>
      <c r="EE108" s="720" t="s">
        <v>2277</v>
      </c>
      <c r="EF108" s="244">
        <v>50000</v>
      </c>
      <c r="EG108" s="247">
        <v>2</v>
      </c>
      <c r="EH108" s="261">
        <v>0</v>
      </c>
      <c r="EI108" s="261" t="s">
        <v>2236</v>
      </c>
      <c r="EJ108" s="264">
        <v>0</v>
      </c>
      <c r="EK108" s="444">
        <v>0</v>
      </c>
      <c r="EL108" s="444">
        <v>1</v>
      </c>
      <c r="EM108" s="444">
        <v>0</v>
      </c>
      <c r="EN108" s="333" t="str">
        <f>IF(A108=FALSE,"",IF(Detail!DF108="","N/A",YEAR(Detail!F108)&amp;Detail!DI108&amp;Detail!DF108&amp;"-"&amp;Detail!$DF$13))</f>
        <v/>
      </c>
      <c r="EO108" s="1012" t="s">
        <v>2236</v>
      </c>
      <c r="EP108" s="1012" t="s">
        <v>2277</v>
      </c>
      <c r="EQ108" s="1013">
        <f t="shared" si="24"/>
        <v>0</v>
      </c>
      <c r="ER108" s="1013" t="s">
        <v>2236</v>
      </c>
      <c r="ES108" s="264">
        <v>0</v>
      </c>
      <c r="ET108" s="1013">
        <v>0</v>
      </c>
      <c r="EU108" s="1013">
        <v>1</v>
      </c>
      <c r="EV108" s="1013">
        <v>0</v>
      </c>
      <c r="EW108" s="333" t="str">
        <f>IF(DJ108=FALSE,"",IF(Detail!ET108="","N/A",YEAR(Detail!DN108)&amp;Detail!EW108&amp;Detail!ET108&amp;"-"&amp;Detail!$AL$13&amp;Detail!EU108))</f>
        <v>N/A</v>
      </c>
      <c r="EX108" s="1012" t="s">
        <v>2236</v>
      </c>
      <c r="EY108" s="1012" t="s">
        <v>2277</v>
      </c>
      <c r="EZ108" s="1013">
        <f t="shared" si="25"/>
        <v>0</v>
      </c>
      <c r="FA108" s="1013" t="s">
        <v>2236</v>
      </c>
      <c r="FB108" s="264">
        <v>0</v>
      </c>
      <c r="FC108" s="1013">
        <v>0</v>
      </c>
      <c r="FD108" s="1013">
        <v>1</v>
      </c>
      <c r="FE108" s="1013">
        <v>0</v>
      </c>
    </row>
    <row r="109" spans="1:161" s="422" customFormat="1" ht="30" customHeight="1" outlineLevel="1">
      <c r="A109" s="439" t="b">
        <f>Calcul!A109</f>
        <v>0</v>
      </c>
      <c r="B109" s="510" t="str">
        <f t="shared" si="16"/>
        <v/>
      </c>
      <c r="C109" s="1404" t="b">
        <v>0</v>
      </c>
      <c r="D109" s="1010" t="s">
        <v>2147</v>
      </c>
      <c r="E109" s="1011" t="s">
        <v>2335</v>
      </c>
      <c r="F109" s="243" t="s">
        <v>2146</v>
      </c>
      <c r="G109" s="356" t="str">
        <f>IF(A109=FALSE,"",IF(NAMES!$D$10=FALSE,IF(Detail!H109="","",Detail!H109),IF(Crewlist!D109="","",Crewlist!D109)))</f>
        <v/>
      </c>
      <c r="H109" s="356" t="str">
        <f>IF(A109=FALSE,"",IF(NAMES!$D$10=FALSE,IF(Detail!P109="","",Detail!P109),IF(Crewlist!E109="","",Crewlist!E109)))</f>
        <v/>
      </c>
      <c r="I109" s="356" t="str">
        <f>IF(A109=FALSE,"",IF(NAMES!$D$10=FALSE,IF(Detail!K109="","",Detail!K109),IF(Crewlist!F109="","",Crewlist!F109)))</f>
        <v/>
      </c>
      <c r="J109" s="1001" t="str">
        <f>IF(Crewlist!T109="","",Crewlist!T109)</f>
        <v/>
      </c>
      <c r="K109" s="1001" t="str">
        <f>IF(Crewlist!D109="","",IF(Crewlist!U109="",Crewlist!Y109,IF(DATERENOUVMOINS730&lt;&gt;Crewlist!U109&lt;&gt;Crewlist!Y109,Crewlist!U109,DATERENOUVMOINS365)))</f>
        <v/>
      </c>
      <c r="L109" s="775" t="str">
        <f>IF(Detail!X109="","",Detail!X109)</f>
        <v/>
      </c>
      <c r="M109" s="775" t="str">
        <f>IF(Detail!H109="","",IF(Detail!Y109="",DATERENOUV,IF(Detail!Y109&gt;Detail!D109,Detail!D109,Detail!Y109)))</f>
        <v/>
      </c>
      <c r="N109" s="1015" t="str">
        <f>IF(A109=FALSE,"",IF(NAMES!$D$10=FALSE,IF(B109=B110,IF(O109=O110,0,(DATEDIF(L109,M109,"M")+1)),(DATEDIF(L109,M109,"M")+1)),IF(B109=B110,IF(O109=O110,0,(DATEDIF(J109,K109,"M")+1)),(DATEDIF(J109,K109,"M")+1))))</f>
        <v/>
      </c>
      <c r="O109" s="357" t="str">
        <f t="shared" si="17"/>
        <v/>
      </c>
      <c r="P109" s="358" t="str">
        <f>IF(A109=FALSE,"",IF(NAMES!$D$10=FALSE,IF((DATEDIF(L109,M109,"D")+1)&lt;365,(DATEDIF(L109,M109,"D")+1),365),IF((DATEDIF(J109,K109,"D")+1)&lt;365,(DATEDIF(J109,K109,"D")+1),365)))</f>
        <v/>
      </c>
      <c r="Q109" s="358" t="str">
        <f>IF(A109=FALSE,"",IF(NAMES!$D$10=FALSE,IF(M109="",365,DATEDIF(L109,M109,"D")+1),IF(M109="",365,DATEDIF(J109,K109,"D")+1)))</f>
        <v/>
      </c>
      <c r="R109" s="950" t="str">
        <f>Calcul!X109</f>
        <v/>
      </c>
      <c r="S109" s="950" t="str">
        <f>Calcul!Y109</f>
        <v/>
      </c>
      <c r="T109" s="993" t="str">
        <f>Calcul!AG109</f>
        <v/>
      </c>
      <c r="U109" s="368" t="str">
        <f>IF(A109=FALSE,"",IF(NAMES!$D$10=FALSE,IF(Detail!S109="","",Detail!S109),IF(Crewlist!V109="","",Crewlist!V109)))</f>
        <v/>
      </c>
      <c r="V109" s="245" t="str">
        <f>Calcul!AI109</f>
        <v/>
      </c>
      <c r="W109" s="245" t="str">
        <f>Calcul!AL109</f>
        <v/>
      </c>
      <c r="X109" s="245" t="str">
        <f>Calcul!AM109</f>
        <v/>
      </c>
      <c r="Y109" s="353" t="str">
        <f>Calcul!AN109</f>
        <v/>
      </c>
      <c r="Z109" s="245" t="str">
        <f>Calcul!AO109</f>
        <v/>
      </c>
      <c r="AA109" s="245" t="str">
        <f>Calcul!AP109</f>
        <v/>
      </c>
      <c r="AB109" s="353" t="str">
        <f>Calcul!AQ109</f>
        <v/>
      </c>
      <c r="AC109" s="353" t="str">
        <f>IF(C109=FALSE,"",Calcul!BE109+Calcul!BF109)</f>
        <v/>
      </c>
      <c r="AD109" s="353" t="str">
        <f>IF(C109=FALSE,"",(Calcul!BG109+Calcul!BH109)+SUM(Calcul!BI109:BN109))</f>
        <v/>
      </c>
      <c r="AE109" s="353" t="str">
        <f>Calcul!BP109</f>
        <v/>
      </c>
      <c r="AF109" s="332" t="str">
        <f>IF(A109=FALSE,"",YEAR(Detail!F109)&amp;Detail!AG109&amp;Detail!AD109&amp;"-"&amp;Detail!$AD$13&amp;Detail!AE109)</f>
        <v/>
      </c>
      <c r="AG109" s="916" t="s">
        <v>2236</v>
      </c>
      <c r="AH109" s="527" t="s">
        <v>2277</v>
      </c>
      <c r="AI109" s="917">
        <v>0</v>
      </c>
      <c r="AJ109" s="261" t="s">
        <v>2236</v>
      </c>
      <c r="AK109" s="1410">
        <v>32</v>
      </c>
      <c r="AL109" s="508">
        <v>0</v>
      </c>
      <c r="AM109" s="261">
        <v>1</v>
      </c>
      <c r="AN109" s="261">
        <v>0</v>
      </c>
      <c r="AO109" s="333" t="str">
        <f>IF(A109=FALSE,"",IF(Detail!AL109="","N/A",YEAR(Detail!F109)&amp;Detail!AO109&amp;Detail!AL109&amp;"-"&amp;Detail!$AL$13&amp;Detail!AM109))</f>
        <v/>
      </c>
      <c r="AP109" s="1406" t="s">
        <v>2236</v>
      </c>
      <c r="AQ109" s="527" t="s">
        <v>2277</v>
      </c>
      <c r="AR109" s="1013">
        <f t="shared" si="18"/>
        <v>0</v>
      </c>
      <c r="AS109" s="261" t="s">
        <v>2236</v>
      </c>
      <c r="AT109" s="264">
        <v>0</v>
      </c>
      <c r="AU109" s="261">
        <v>0</v>
      </c>
      <c r="AV109" s="261">
        <v>1</v>
      </c>
      <c r="AW109" s="261">
        <v>0</v>
      </c>
      <c r="AX109" s="920" t="str">
        <f>IF(A109=FALSE,"",IF(Detail!AT109="","N/A",YEAR(Detail!F109)&amp;Detail!AW109&amp;Detail!AT109&amp;"-"&amp;Detail!$AT$13))</f>
        <v/>
      </c>
      <c r="AY109" s="1014" t="s">
        <v>2236</v>
      </c>
      <c r="AZ109" s="308" t="s">
        <v>2278</v>
      </c>
      <c r="BA109" s="440" t="str">
        <f>IF(A109=FALSE,"",51000+(Detail!AA109*7000))</f>
        <v/>
      </c>
      <c r="BB109" s="1412">
        <v>50000</v>
      </c>
      <c r="BC109" s="247">
        <v>3</v>
      </c>
      <c r="BD109" s="261">
        <v>0</v>
      </c>
      <c r="BE109" s="261" t="s">
        <v>2236</v>
      </c>
      <c r="BF109" s="264">
        <v>0</v>
      </c>
      <c r="BG109" s="508">
        <v>0</v>
      </c>
      <c r="BH109" s="261">
        <v>1</v>
      </c>
      <c r="BI109" s="261">
        <v>0</v>
      </c>
      <c r="BJ109" s="311" t="str">
        <f>IF(A109=FALSE,"",IF(Detail!BB109="","N/A",YEAR(Detail!F109)&amp;Detail!BE109&amp;Detail!BB109&amp;"-"&amp;Detail!$BB$13))</f>
        <v/>
      </c>
      <c r="BK109" s="1354" t="s">
        <v>2236</v>
      </c>
      <c r="BL109" s="527" t="s">
        <v>2278</v>
      </c>
      <c r="BM109" s="440" t="str">
        <f>IF(A109=FALSE,"",51000+(Detail!AA109*7000))</f>
        <v/>
      </c>
      <c r="BN109" s="1412">
        <v>50000</v>
      </c>
      <c r="BO109" s="247">
        <v>3</v>
      </c>
      <c r="BP109" s="261">
        <v>0</v>
      </c>
      <c r="BQ109" s="261" t="s">
        <v>2236</v>
      </c>
      <c r="BR109" s="264">
        <v>0</v>
      </c>
      <c r="BS109" s="508">
        <v>0</v>
      </c>
      <c r="BT109" s="261">
        <v>1</v>
      </c>
      <c r="BU109" s="261">
        <v>0</v>
      </c>
      <c r="BV109" s="311" t="str">
        <f>IF(A109=FALSE,"",IF(Detail!BJ109="","N/A",YEAR(Detail!F109)&amp;Detail!BM109&amp;Detail!BJ109&amp;"-"&amp;Detail!$BJ$13))</f>
        <v/>
      </c>
      <c r="BW109" s="1327" t="s">
        <v>2236</v>
      </c>
      <c r="BX109" s="527" t="s">
        <v>2278</v>
      </c>
      <c r="BY109" s="440" t="str">
        <f t="shared" si="19"/>
        <v/>
      </c>
      <c r="BZ109" s="1412">
        <v>50000</v>
      </c>
      <c r="CA109" s="247">
        <v>3</v>
      </c>
      <c r="CB109" s="261">
        <v>0</v>
      </c>
      <c r="CC109" s="261" t="s">
        <v>2236</v>
      </c>
      <c r="CD109" s="264">
        <v>0</v>
      </c>
      <c r="CE109" s="508">
        <v>0</v>
      </c>
      <c r="CF109" s="261">
        <v>1</v>
      </c>
      <c r="CG109" s="261">
        <v>0</v>
      </c>
      <c r="CH109" s="311" t="str">
        <f>IF(A109=FALSE,"",IF(Detail!BR109="","N/A",YEAR(Detail!F109)&amp;Detail!BU109&amp;Detail!BR109&amp;"-"&amp;Detail!$BR$13))</f>
        <v/>
      </c>
      <c r="CI109" s="925" t="s">
        <v>2236</v>
      </c>
      <c r="CJ109" s="527" t="s">
        <v>2278</v>
      </c>
      <c r="CK109" s="440" t="str">
        <f t="shared" si="20"/>
        <v/>
      </c>
      <c r="CL109" s="1412">
        <v>50000</v>
      </c>
      <c r="CM109" s="247">
        <v>3</v>
      </c>
      <c r="CN109" s="261">
        <v>0</v>
      </c>
      <c r="CO109" s="261" t="s">
        <v>2236</v>
      </c>
      <c r="CP109" s="264">
        <v>0</v>
      </c>
      <c r="CQ109" s="508">
        <v>0</v>
      </c>
      <c r="CR109" s="261">
        <v>1</v>
      </c>
      <c r="CS109" s="261">
        <v>0</v>
      </c>
      <c r="CT109" s="311" t="str">
        <f>IF(A109=FALSE,"",IF(Detail!BZ109="","N/A",YEAR(Detail!F109)&amp;Detail!CC109&amp;Detail!BZ109&amp;"-"&amp;Detail!$BZ$13&amp;" (100%/"&amp;Detail!CD109&amp;"/"&amp;Detail!CE109&amp;"D)"))</f>
        <v/>
      </c>
      <c r="CU109" s="1016" t="s">
        <v>2236</v>
      </c>
      <c r="CV109" s="527" t="s">
        <v>2278</v>
      </c>
      <c r="CW109" s="241">
        <v>7</v>
      </c>
      <c r="CX109" s="1323">
        <v>365</v>
      </c>
      <c r="CY109" s="248">
        <v>1</v>
      </c>
      <c r="CZ109" s="261">
        <v>0</v>
      </c>
      <c r="DA109" s="1325" t="s">
        <v>2236</v>
      </c>
      <c r="DB109" s="538">
        <v>40</v>
      </c>
      <c r="DC109" s="1325">
        <v>0.1</v>
      </c>
      <c r="DD109" s="261">
        <v>1</v>
      </c>
      <c r="DE109" s="261">
        <v>0</v>
      </c>
      <c r="DF109" s="313" t="str">
        <f>IF(A109=FALSE,"",IF(Detail!CH109="","N/A",YEAR(Detail!F109)&amp;Detail!CK109&amp;Detail!CH109&amp;"-"&amp;Detail!$CH$13&amp;" (100%/"&amp;Detail!CL109&amp;"/"&amp;Detail!CM109&amp;"D)"))</f>
        <v/>
      </c>
      <c r="DG109" s="1354" t="s">
        <v>2236</v>
      </c>
      <c r="DH109" s="518" t="s">
        <v>2278</v>
      </c>
      <c r="DI109" s="241">
        <f t="shared" si="21"/>
        <v>7</v>
      </c>
      <c r="DJ109" s="243">
        <f t="shared" si="22"/>
        <v>365</v>
      </c>
      <c r="DK109" s="258">
        <v>1</v>
      </c>
      <c r="DL109" s="261">
        <v>0</v>
      </c>
      <c r="DM109" s="1325" t="s">
        <v>2236</v>
      </c>
      <c r="DN109" s="538">
        <v>96</v>
      </c>
      <c r="DO109" s="1325">
        <f t="shared" si="23"/>
        <v>0.1</v>
      </c>
      <c r="DP109" s="261">
        <v>1</v>
      </c>
      <c r="DQ109" s="261">
        <v>0</v>
      </c>
      <c r="DR109" s="920" t="str">
        <f>IF(A109=FALSE,"",IF(Detail!CP109="","N/A",YEAR(Detail!F109)&amp;Detail!CS109&amp;Detail!CP109&amp;"-"&amp;Detail!$CP$13))</f>
        <v/>
      </c>
      <c r="DS109" s="308" t="s">
        <v>2236</v>
      </c>
      <c r="DT109" s="720" t="s">
        <v>2277</v>
      </c>
      <c r="DU109" s="244">
        <v>50000</v>
      </c>
      <c r="DV109" s="247">
        <v>2</v>
      </c>
      <c r="DW109" s="261">
        <v>0</v>
      </c>
      <c r="DX109" s="261" t="s">
        <v>2236</v>
      </c>
      <c r="DY109" s="264">
        <v>0</v>
      </c>
      <c r="DZ109" s="444">
        <v>0</v>
      </c>
      <c r="EA109" s="444">
        <v>1</v>
      </c>
      <c r="EB109" s="444">
        <v>0</v>
      </c>
      <c r="EC109" s="761" t="str">
        <f>IF(A109=FALSE,"",IF(Detail!CX109="","N/A",YEAR(Detail!F109)&amp;Detail!DA109&amp;Detail!CX109&amp;"-"&amp;Detail!$CX$13))</f>
        <v/>
      </c>
      <c r="ED109" s="445" t="s">
        <v>2236</v>
      </c>
      <c r="EE109" s="720" t="s">
        <v>2277</v>
      </c>
      <c r="EF109" s="244">
        <v>50000</v>
      </c>
      <c r="EG109" s="247">
        <v>2</v>
      </c>
      <c r="EH109" s="261">
        <v>0</v>
      </c>
      <c r="EI109" s="261" t="s">
        <v>2236</v>
      </c>
      <c r="EJ109" s="264">
        <v>0</v>
      </c>
      <c r="EK109" s="444">
        <v>0</v>
      </c>
      <c r="EL109" s="444">
        <v>1</v>
      </c>
      <c r="EM109" s="444">
        <v>0</v>
      </c>
      <c r="EN109" s="333" t="str">
        <f>IF(A109=FALSE,"",IF(Detail!DF109="","N/A",YEAR(Detail!F109)&amp;Detail!DI109&amp;Detail!DF109&amp;"-"&amp;Detail!$DF$13))</f>
        <v/>
      </c>
      <c r="EO109" s="1012" t="s">
        <v>2236</v>
      </c>
      <c r="EP109" s="1012" t="s">
        <v>2277</v>
      </c>
      <c r="EQ109" s="1013">
        <f t="shared" si="24"/>
        <v>0</v>
      </c>
      <c r="ER109" s="1013" t="s">
        <v>2236</v>
      </c>
      <c r="ES109" s="264">
        <v>0</v>
      </c>
      <c r="ET109" s="1013">
        <v>0</v>
      </c>
      <c r="EU109" s="1013">
        <v>1</v>
      </c>
      <c r="EV109" s="1013">
        <v>0</v>
      </c>
      <c r="EW109" s="333" t="str">
        <f>IF(DJ109=FALSE,"",IF(Detail!ET109="","N/A",YEAR(Detail!DN109)&amp;Detail!EW109&amp;Detail!ET109&amp;"-"&amp;Detail!$AL$13&amp;Detail!EU109))</f>
        <v>N/A</v>
      </c>
      <c r="EX109" s="1012" t="s">
        <v>2236</v>
      </c>
      <c r="EY109" s="1012" t="s">
        <v>2277</v>
      </c>
      <c r="EZ109" s="1013">
        <f t="shared" si="25"/>
        <v>0</v>
      </c>
      <c r="FA109" s="1013" t="s">
        <v>2236</v>
      </c>
      <c r="FB109" s="264">
        <v>0</v>
      </c>
      <c r="FC109" s="1013">
        <v>0</v>
      </c>
      <c r="FD109" s="1013">
        <v>1</v>
      </c>
      <c r="FE109" s="1013">
        <v>0</v>
      </c>
    </row>
    <row r="110" spans="1:161" s="422" customFormat="1" ht="30" customHeight="1" outlineLevel="1">
      <c r="A110" s="439" t="b">
        <f>Calcul!A110</f>
        <v>0</v>
      </c>
      <c r="B110" s="510" t="str">
        <f t="shared" si="16"/>
        <v/>
      </c>
      <c r="C110" s="1404" t="b">
        <v>0</v>
      </c>
      <c r="D110" s="1010" t="s">
        <v>2147</v>
      </c>
      <c r="E110" s="1011" t="s">
        <v>2335</v>
      </c>
      <c r="F110" s="243" t="s">
        <v>2146</v>
      </c>
      <c r="G110" s="356" t="str">
        <f>IF(A110=FALSE,"",IF(NAMES!$D$10=FALSE,IF(Detail!H110="","",Detail!H110),IF(Crewlist!D110="","",Crewlist!D110)))</f>
        <v/>
      </c>
      <c r="H110" s="356" t="str">
        <f>IF(A110=FALSE,"",IF(NAMES!$D$10=FALSE,IF(Detail!P110="","",Detail!P110),IF(Crewlist!E110="","",Crewlist!E110)))</f>
        <v/>
      </c>
      <c r="I110" s="356" t="str">
        <f>IF(A110=FALSE,"",IF(NAMES!$D$10=FALSE,IF(Detail!K110="","",Detail!K110),IF(Crewlist!F110="","",Crewlist!F110)))</f>
        <v/>
      </c>
      <c r="J110" s="1001" t="str">
        <f>IF(Crewlist!T110="","",Crewlist!T110)</f>
        <v/>
      </c>
      <c r="K110" s="1001" t="str">
        <f>IF(Crewlist!D110="","",IF(Crewlist!U110="",Crewlist!Y110,IF(DATERENOUVMOINS730&lt;&gt;Crewlist!U110&lt;&gt;Crewlist!Y110,Crewlist!U110,DATERENOUVMOINS365)))</f>
        <v/>
      </c>
      <c r="L110" s="775" t="str">
        <f>IF(Detail!X110="","",Detail!X110)</f>
        <v/>
      </c>
      <c r="M110" s="775" t="str">
        <f>IF(Detail!H110="","",IF(Detail!Y110="",DATERENOUV,IF(Detail!Y110&gt;Detail!D110,Detail!D110,Detail!Y110)))</f>
        <v/>
      </c>
      <c r="N110" s="1015" t="str">
        <f>IF(A110=FALSE,"",IF(NAMES!$D$10=FALSE,IF(B110=B111,IF(O110=O111,0,(DATEDIF(L110,M110,"M")+1)),(DATEDIF(L110,M110,"M")+1)),IF(B110=B111,IF(O110=O111,0,(DATEDIF(J110,K110,"M")+1)),(DATEDIF(J110,K110,"M")+1))))</f>
        <v/>
      </c>
      <c r="O110" s="357" t="str">
        <f t="shared" si="17"/>
        <v/>
      </c>
      <c r="P110" s="358" t="str">
        <f>IF(A110=FALSE,"",IF(NAMES!$D$10=FALSE,IF((DATEDIF(L110,M110,"D")+1)&lt;365,(DATEDIF(L110,M110,"D")+1),365),IF((DATEDIF(J110,K110,"D")+1)&lt;365,(DATEDIF(J110,K110,"D")+1),365)))</f>
        <v/>
      </c>
      <c r="Q110" s="358" t="str">
        <f>IF(A110=FALSE,"",IF(NAMES!$D$10=FALSE,IF(M110="",365,DATEDIF(L110,M110,"D")+1),IF(M110="",365,DATEDIF(J110,K110,"D")+1)))</f>
        <v/>
      </c>
      <c r="R110" s="950" t="str">
        <f>Calcul!X110</f>
        <v/>
      </c>
      <c r="S110" s="950" t="str">
        <f>Calcul!Y110</f>
        <v/>
      </c>
      <c r="T110" s="993" t="str">
        <f>Calcul!AG110</f>
        <v/>
      </c>
      <c r="U110" s="368" t="str">
        <f>IF(A110=FALSE,"",IF(NAMES!$D$10=FALSE,IF(Detail!S110="","",Detail!S110),IF(Crewlist!V110="","",Crewlist!V110)))</f>
        <v/>
      </c>
      <c r="V110" s="245" t="str">
        <f>Calcul!AI110</f>
        <v/>
      </c>
      <c r="W110" s="245" t="str">
        <f>Calcul!AL110</f>
        <v/>
      </c>
      <c r="X110" s="245" t="str">
        <f>Calcul!AM110</f>
        <v/>
      </c>
      <c r="Y110" s="353" t="str">
        <f>Calcul!AN110</f>
        <v/>
      </c>
      <c r="Z110" s="245" t="str">
        <f>Calcul!AO110</f>
        <v/>
      </c>
      <c r="AA110" s="245" t="str">
        <f>Calcul!AP110</f>
        <v/>
      </c>
      <c r="AB110" s="353" t="str">
        <f>Calcul!AQ110</f>
        <v/>
      </c>
      <c r="AC110" s="353" t="str">
        <f>IF(C110=FALSE,"",Calcul!BE110+Calcul!BF110)</f>
        <v/>
      </c>
      <c r="AD110" s="353" t="str">
        <f>IF(C110=FALSE,"",(Calcul!BG110+Calcul!BH110)+SUM(Calcul!BI110:BN110))</f>
        <v/>
      </c>
      <c r="AE110" s="353" t="str">
        <f>Calcul!BP110</f>
        <v/>
      </c>
      <c r="AF110" s="332" t="str">
        <f>IF(A110=FALSE,"",YEAR(Detail!F110)&amp;Detail!AG110&amp;Detail!AD110&amp;"-"&amp;Detail!$AD$13&amp;Detail!AE110)</f>
        <v/>
      </c>
      <c r="AG110" s="916" t="s">
        <v>2236</v>
      </c>
      <c r="AH110" s="527" t="s">
        <v>2277</v>
      </c>
      <c r="AI110" s="917">
        <v>0</v>
      </c>
      <c r="AJ110" s="261" t="s">
        <v>2236</v>
      </c>
      <c r="AK110" s="1410">
        <v>32</v>
      </c>
      <c r="AL110" s="508">
        <v>0</v>
      </c>
      <c r="AM110" s="261">
        <v>1</v>
      </c>
      <c r="AN110" s="261">
        <v>0</v>
      </c>
      <c r="AO110" s="333" t="str">
        <f>IF(A110=FALSE,"",IF(Detail!AL110="","N/A",YEAR(Detail!F110)&amp;Detail!AO110&amp;Detail!AL110&amp;"-"&amp;Detail!$AL$13&amp;Detail!AM110))</f>
        <v/>
      </c>
      <c r="AP110" s="1012" t="s">
        <v>2236</v>
      </c>
      <c r="AQ110" s="527" t="s">
        <v>2277</v>
      </c>
      <c r="AR110" s="1013">
        <f t="shared" si="18"/>
        <v>0</v>
      </c>
      <c r="AS110" s="261" t="s">
        <v>2236</v>
      </c>
      <c r="AT110" s="264">
        <v>0</v>
      </c>
      <c r="AU110" s="261">
        <v>0</v>
      </c>
      <c r="AV110" s="261">
        <v>1</v>
      </c>
      <c r="AW110" s="261">
        <v>0</v>
      </c>
      <c r="AX110" s="920" t="str">
        <f>IF(A110=FALSE,"",IF(Detail!AT110="","N/A",YEAR(Detail!F110)&amp;Detail!AW110&amp;Detail!AT110&amp;"-"&amp;Detail!$AT$13))</f>
        <v/>
      </c>
      <c r="AY110" s="1014" t="s">
        <v>2236</v>
      </c>
      <c r="AZ110" s="308" t="s">
        <v>2278</v>
      </c>
      <c r="BA110" s="440" t="str">
        <f>IF(A110=FALSE,"",51000+(Detail!AA110*7000))</f>
        <v/>
      </c>
      <c r="BB110" s="1412">
        <v>50000</v>
      </c>
      <c r="BC110" s="247">
        <v>3</v>
      </c>
      <c r="BD110" s="261">
        <v>0</v>
      </c>
      <c r="BE110" s="261" t="s">
        <v>2236</v>
      </c>
      <c r="BF110" s="264">
        <v>0</v>
      </c>
      <c r="BG110" s="508">
        <v>0</v>
      </c>
      <c r="BH110" s="261">
        <v>1</v>
      </c>
      <c r="BI110" s="261">
        <v>0</v>
      </c>
      <c r="BJ110" s="311" t="str">
        <f>IF(A110=FALSE,"",IF(Detail!BB110="","N/A",YEAR(Detail!F110)&amp;Detail!BE110&amp;Detail!BB110&amp;"-"&amp;Detail!$BB$13))</f>
        <v/>
      </c>
      <c r="BK110" s="1354" t="s">
        <v>2236</v>
      </c>
      <c r="BL110" s="527" t="s">
        <v>2278</v>
      </c>
      <c r="BM110" s="440" t="str">
        <f>IF(A110=FALSE,"",51000+(Detail!AA110*7000))</f>
        <v/>
      </c>
      <c r="BN110" s="1412">
        <v>50000</v>
      </c>
      <c r="BO110" s="247">
        <v>3</v>
      </c>
      <c r="BP110" s="261">
        <v>0</v>
      </c>
      <c r="BQ110" s="261" t="s">
        <v>2236</v>
      </c>
      <c r="BR110" s="264">
        <v>0</v>
      </c>
      <c r="BS110" s="508">
        <v>0</v>
      </c>
      <c r="BT110" s="261">
        <v>1</v>
      </c>
      <c r="BU110" s="261">
        <v>0</v>
      </c>
      <c r="BV110" s="311" t="str">
        <f>IF(A110=FALSE,"",IF(Detail!BJ110="","N/A",YEAR(Detail!F110)&amp;Detail!BM110&amp;Detail!BJ110&amp;"-"&amp;Detail!$BJ$13))</f>
        <v/>
      </c>
      <c r="BW110" s="1327" t="s">
        <v>2236</v>
      </c>
      <c r="BX110" s="527" t="s">
        <v>2278</v>
      </c>
      <c r="BY110" s="440" t="str">
        <f t="shared" si="19"/>
        <v/>
      </c>
      <c r="BZ110" s="1412">
        <v>50000</v>
      </c>
      <c r="CA110" s="247">
        <v>3</v>
      </c>
      <c r="CB110" s="261">
        <v>0</v>
      </c>
      <c r="CC110" s="261" t="s">
        <v>2236</v>
      </c>
      <c r="CD110" s="264">
        <v>0</v>
      </c>
      <c r="CE110" s="508">
        <v>0</v>
      </c>
      <c r="CF110" s="261">
        <v>1</v>
      </c>
      <c r="CG110" s="261">
        <v>0</v>
      </c>
      <c r="CH110" s="311" t="str">
        <f>IF(A110=FALSE,"",IF(Detail!BR110="","N/A",YEAR(Detail!F110)&amp;Detail!BU110&amp;Detail!BR110&amp;"-"&amp;Detail!$BR$13))</f>
        <v/>
      </c>
      <c r="CI110" s="925" t="s">
        <v>2236</v>
      </c>
      <c r="CJ110" s="527" t="s">
        <v>2278</v>
      </c>
      <c r="CK110" s="440" t="str">
        <f t="shared" si="20"/>
        <v/>
      </c>
      <c r="CL110" s="1412">
        <v>50000</v>
      </c>
      <c r="CM110" s="247">
        <v>3</v>
      </c>
      <c r="CN110" s="261">
        <v>0</v>
      </c>
      <c r="CO110" s="261" t="s">
        <v>2236</v>
      </c>
      <c r="CP110" s="264">
        <v>0</v>
      </c>
      <c r="CQ110" s="508">
        <v>0</v>
      </c>
      <c r="CR110" s="261">
        <v>1</v>
      </c>
      <c r="CS110" s="261">
        <v>0</v>
      </c>
      <c r="CT110" s="311" t="str">
        <f>IF(A110=FALSE,"",IF(Detail!BZ110="","N/A",YEAR(Detail!F110)&amp;Detail!CC110&amp;Detail!BZ110&amp;"-"&amp;Detail!$BZ$13&amp;" (100%/"&amp;Detail!CD110&amp;"/"&amp;Detail!CE110&amp;"D)"))</f>
        <v/>
      </c>
      <c r="CU110" s="1016" t="s">
        <v>2236</v>
      </c>
      <c r="CV110" s="527" t="s">
        <v>2278</v>
      </c>
      <c r="CW110" s="241">
        <v>7</v>
      </c>
      <c r="CX110" s="1323">
        <v>365</v>
      </c>
      <c r="CY110" s="248">
        <v>1</v>
      </c>
      <c r="CZ110" s="261">
        <v>0</v>
      </c>
      <c r="DA110" s="1325" t="s">
        <v>2236</v>
      </c>
      <c r="DB110" s="538">
        <v>40</v>
      </c>
      <c r="DC110" s="1325">
        <v>0.1</v>
      </c>
      <c r="DD110" s="261">
        <v>1</v>
      </c>
      <c r="DE110" s="261">
        <v>0</v>
      </c>
      <c r="DF110" s="313" t="str">
        <f>IF(A110=FALSE,"",IF(Detail!CH110="","N/A",YEAR(Detail!F110)&amp;Detail!CK110&amp;Detail!CH110&amp;"-"&amp;Detail!$CH$13&amp;" (100%/"&amp;Detail!CL110&amp;"/"&amp;Detail!CM110&amp;"D)"))</f>
        <v/>
      </c>
      <c r="DG110" s="1354" t="s">
        <v>2236</v>
      </c>
      <c r="DH110" s="518" t="s">
        <v>2278</v>
      </c>
      <c r="DI110" s="241">
        <f t="shared" si="21"/>
        <v>7</v>
      </c>
      <c r="DJ110" s="243">
        <f t="shared" si="22"/>
        <v>365</v>
      </c>
      <c r="DK110" s="258">
        <v>1</v>
      </c>
      <c r="DL110" s="261">
        <v>0</v>
      </c>
      <c r="DM110" s="1325" t="s">
        <v>2236</v>
      </c>
      <c r="DN110" s="538">
        <v>96</v>
      </c>
      <c r="DO110" s="1325">
        <f t="shared" si="23"/>
        <v>0.1</v>
      </c>
      <c r="DP110" s="261">
        <v>1</v>
      </c>
      <c r="DQ110" s="261">
        <v>0</v>
      </c>
      <c r="DR110" s="920" t="str">
        <f>IF(A110=FALSE,"",IF(Detail!CP110="","N/A",YEAR(Detail!F110)&amp;Detail!CS110&amp;Detail!CP110&amp;"-"&amp;Detail!$CP$13))</f>
        <v/>
      </c>
      <c r="DS110" s="308" t="s">
        <v>2236</v>
      </c>
      <c r="DT110" s="720" t="s">
        <v>2277</v>
      </c>
      <c r="DU110" s="244">
        <v>50000</v>
      </c>
      <c r="DV110" s="247">
        <v>2</v>
      </c>
      <c r="DW110" s="261">
        <v>0</v>
      </c>
      <c r="DX110" s="261" t="s">
        <v>2236</v>
      </c>
      <c r="DY110" s="264">
        <v>0</v>
      </c>
      <c r="DZ110" s="444">
        <v>0</v>
      </c>
      <c r="EA110" s="444">
        <v>1</v>
      </c>
      <c r="EB110" s="444">
        <v>0</v>
      </c>
      <c r="EC110" s="761" t="str">
        <f>IF(A110=FALSE,"",IF(Detail!CX110="","N/A",YEAR(Detail!F110)&amp;Detail!DA110&amp;Detail!CX110&amp;"-"&amp;Detail!$CX$13))</f>
        <v/>
      </c>
      <c r="ED110" s="445" t="s">
        <v>2236</v>
      </c>
      <c r="EE110" s="720" t="s">
        <v>2277</v>
      </c>
      <c r="EF110" s="244">
        <v>50000</v>
      </c>
      <c r="EG110" s="247">
        <v>2</v>
      </c>
      <c r="EH110" s="261">
        <v>0</v>
      </c>
      <c r="EI110" s="261" t="s">
        <v>2236</v>
      </c>
      <c r="EJ110" s="264">
        <v>0</v>
      </c>
      <c r="EK110" s="444">
        <v>0</v>
      </c>
      <c r="EL110" s="444">
        <v>1</v>
      </c>
      <c r="EM110" s="444">
        <v>0</v>
      </c>
      <c r="EN110" s="333" t="str">
        <f>IF(A110=FALSE,"",IF(Detail!DF110="","N/A",YEAR(Detail!F110)&amp;Detail!DI110&amp;Detail!DF110&amp;"-"&amp;Detail!$DF$13))</f>
        <v/>
      </c>
      <c r="EO110" s="1012" t="s">
        <v>2236</v>
      </c>
      <c r="EP110" s="1012" t="s">
        <v>2277</v>
      </c>
      <c r="EQ110" s="1013">
        <f t="shared" si="24"/>
        <v>0</v>
      </c>
      <c r="ER110" s="1013" t="s">
        <v>2236</v>
      </c>
      <c r="ES110" s="264">
        <v>0</v>
      </c>
      <c r="ET110" s="1013">
        <v>0</v>
      </c>
      <c r="EU110" s="1013">
        <v>1</v>
      </c>
      <c r="EV110" s="1013">
        <v>0</v>
      </c>
      <c r="EW110" s="333" t="str">
        <f>IF(DJ110=FALSE,"",IF(Detail!ET110="","N/A",YEAR(Detail!DN110)&amp;Detail!EW110&amp;Detail!ET110&amp;"-"&amp;Detail!$AL$13&amp;Detail!EU110))</f>
        <v>N/A</v>
      </c>
      <c r="EX110" s="1012" t="s">
        <v>2236</v>
      </c>
      <c r="EY110" s="1012" t="s">
        <v>2277</v>
      </c>
      <c r="EZ110" s="1013">
        <f t="shared" si="25"/>
        <v>0</v>
      </c>
      <c r="FA110" s="1013" t="s">
        <v>2236</v>
      </c>
      <c r="FB110" s="264">
        <v>0</v>
      </c>
      <c r="FC110" s="1013">
        <v>0</v>
      </c>
      <c r="FD110" s="1013">
        <v>1</v>
      </c>
      <c r="FE110" s="1013">
        <v>0</v>
      </c>
    </row>
    <row r="111" spans="1:161" s="422" customFormat="1" ht="30" customHeight="1" outlineLevel="1">
      <c r="A111" s="439" t="b">
        <f>Calcul!A111</f>
        <v>0</v>
      </c>
      <c r="B111" s="510" t="str">
        <f t="shared" ref="B111:B120" si="26">IF(A111=FALSE,"",CONCATENATE(C111,G111,O111,L111))</f>
        <v/>
      </c>
      <c r="C111" s="1404" t="b">
        <v>0</v>
      </c>
      <c r="D111" s="1010" t="s">
        <v>2147</v>
      </c>
      <c r="E111" s="1011" t="s">
        <v>2335</v>
      </c>
      <c r="F111" s="243" t="s">
        <v>2146</v>
      </c>
      <c r="G111" s="356" t="str">
        <f>IF(A111=FALSE,"",IF(NAMES!$D$10=FALSE,IF(Detail!H111="","",Detail!H111),IF(Crewlist!D111="","",Crewlist!D111)))</f>
        <v/>
      </c>
      <c r="H111" s="356" t="str">
        <f>IF(A111=FALSE,"",IF(NAMES!$D$10=FALSE,IF(Detail!P111="","",Detail!P111),IF(Crewlist!E111="","",Crewlist!E111)))</f>
        <v/>
      </c>
      <c r="I111" s="356" t="str">
        <f>IF(A111=FALSE,"",IF(NAMES!$D$10=FALSE,IF(Detail!K111="","",Detail!K111),IF(Crewlist!F111="","",Crewlist!F111)))</f>
        <v/>
      </c>
      <c r="J111" s="1001" t="str">
        <f>IF(Crewlist!T111="","",Crewlist!T111)</f>
        <v/>
      </c>
      <c r="K111" s="1001" t="str">
        <f>IF(Crewlist!D111="","",IF(Crewlist!U111="",Crewlist!Y111,IF(DATERENOUVMOINS730&lt;&gt;Crewlist!U111&lt;&gt;Crewlist!Y111,Crewlist!U111,DATERENOUVMOINS365)))</f>
        <v/>
      </c>
      <c r="L111" s="775" t="str">
        <f>IF(Detail!X111="","",Detail!X111)</f>
        <v/>
      </c>
      <c r="M111" s="775" t="str">
        <f>IF(Detail!H111="","",IF(Detail!Y111="",DATERENOUV,IF(Detail!Y111&gt;Detail!D111,Detail!D111,Detail!Y111)))</f>
        <v/>
      </c>
      <c r="N111" s="1015" t="str">
        <f>IF(A111=FALSE,"",IF(NAMES!$D$10=FALSE,IF(B111=B112,IF(O111=O112,0,(DATEDIF(L111,M111,"M")+1)),(DATEDIF(L111,M111,"M")+1)),IF(B111=B112,IF(O111=O112,0,(DATEDIF(J111,K111,"M")+1)),(DATEDIF(J111,K111,"M")+1))))</f>
        <v/>
      </c>
      <c r="O111" s="357" t="str">
        <f t="shared" si="17"/>
        <v/>
      </c>
      <c r="P111" s="358" t="str">
        <f>IF(A111=FALSE,"",IF(NAMES!$D$10=FALSE,IF((DATEDIF(L111,M111,"D")+1)&lt;365,(DATEDIF(L111,M111,"D")+1),365),IF((DATEDIF(J111,K111,"D")+1)&lt;365,(DATEDIF(J111,K111,"D")+1),365)))</f>
        <v/>
      </c>
      <c r="Q111" s="358" t="str">
        <f>IF(A111=FALSE,"",IF(NAMES!$D$10=FALSE,IF(M111="",365,DATEDIF(L111,M111,"D")+1),IF(M111="",365,DATEDIF(J111,K111,"D")+1)))</f>
        <v/>
      </c>
      <c r="R111" s="950" t="str">
        <f>Calcul!X111</f>
        <v/>
      </c>
      <c r="S111" s="950" t="str">
        <f>Calcul!Y111</f>
        <v/>
      </c>
      <c r="T111" s="993" t="str">
        <f>Calcul!AG111</f>
        <v/>
      </c>
      <c r="U111" s="368" t="str">
        <f>IF(A111=FALSE,"",IF(NAMES!$D$10=FALSE,IF(Detail!S111="","",Detail!S111),IF(Crewlist!V111="","",Crewlist!V111)))</f>
        <v/>
      </c>
      <c r="V111" s="245" t="str">
        <f>Calcul!AI111</f>
        <v/>
      </c>
      <c r="W111" s="245" t="str">
        <f>Calcul!AL111</f>
        <v/>
      </c>
      <c r="X111" s="245" t="str">
        <f>Calcul!AM111</f>
        <v/>
      </c>
      <c r="Y111" s="353" t="str">
        <f>Calcul!AN111</f>
        <v/>
      </c>
      <c r="Z111" s="245" t="str">
        <f>Calcul!AO111</f>
        <v/>
      </c>
      <c r="AA111" s="245" t="str">
        <f>Calcul!AP111</f>
        <v/>
      </c>
      <c r="AB111" s="353" t="str">
        <f>Calcul!AQ111</f>
        <v/>
      </c>
      <c r="AC111" s="353" t="str">
        <f>IF(C111=FALSE,"",Calcul!BE111+Calcul!BF111)</f>
        <v/>
      </c>
      <c r="AD111" s="353" t="str">
        <f>IF(C111=FALSE,"",(Calcul!BG111+Calcul!BH111)+SUM(Calcul!BI111:BN111))</f>
        <v/>
      </c>
      <c r="AE111" s="353" t="str">
        <f>Calcul!BP111</f>
        <v/>
      </c>
      <c r="AF111" s="332" t="str">
        <f>IF(A111=FALSE,"",YEAR(Detail!F111)&amp;Detail!AG111&amp;Detail!AD111&amp;"-"&amp;Detail!$AD$13&amp;Detail!AE111)</f>
        <v/>
      </c>
      <c r="AG111" s="807" t="s">
        <v>2236</v>
      </c>
      <c r="AH111" s="527" t="s">
        <v>2277</v>
      </c>
      <c r="AI111" s="917">
        <v>0</v>
      </c>
      <c r="AJ111" s="261" t="s">
        <v>2236</v>
      </c>
      <c r="AK111" s="1410">
        <v>32</v>
      </c>
      <c r="AL111" s="508">
        <v>0</v>
      </c>
      <c r="AM111" s="261">
        <v>1</v>
      </c>
      <c r="AN111" s="261">
        <v>0</v>
      </c>
      <c r="AO111" s="333" t="str">
        <f>IF(A111=FALSE,"",IF(Detail!AL111="","N/A",YEAR(Detail!F111)&amp;Detail!AO111&amp;Detail!AL111&amp;"-"&amp;Detail!$AL$13&amp;Detail!AM111))</f>
        <v/>
      </c>
      <c r="AP111" s="1012" t="s">
        <v>2236</v>
      </c>
      <c r="AQ111" s="527" t="s">
        <v>2277</v>
      </c>
      <c r="AR111" s="1013">
        <f t="shared" si="18"/>
        <v>0</v>
      </c>
      <c r="AS111" s="261" t="s">
        <v>2236</v>
      </c>
      <c r="AT111" s="264">
        <v>0</v>
      </c>
      <c r="AU111" s="261">
        <v>0</v>
      </c>
      <c r="AV111" s="261">
        <v>1</v>
      </c>
      <c r="AW111" s="261">
        <v>0</v>
      </c>
      <c r="AX111" s="920" t="str">
        <f>IF(A111=FALSE,"",IF(Detail!AT111="","N/A",YEAR(Detail!F111)&amp;Detail!AW111&amp;Detail!AT111&amp;"-"&amp;Detail!$AT$13))</f>
        <v/>
      </c>
      <c r="AY111" s="1014" t="s">
        <v>2236</v>
      </c>
      <c r="AZ111" s="308" t="s">
        <v>2278</v>
      </c>
      <c r="BA111" s="440" t="str">
        <f>IF(A111=FALSE,"",51000+(Detail!AA111*7000))</f>
        <v/>
      </c>
      <c r="BB111" s="1412">
        <v>50000</v>
      </c>
      <c r="BC111" s="247">
        <v>3</v>
      </c>
      <c r="BD111" s="261">
        <v>0</v>
      </c>
      <c r="BE111" s="261" t="s">
        <v>2236</v>
      </c>
      <c r="BF111" s="264">
        <v>0</v>
      </c>
      <c r="BG111" s="508">
        <v>0</v>
      </c>
      <c r="BH111" s="261">
        <v>1</v>
      </c>
      <c r="BI111" s="261">
        <v>0</v>
      </c>
      <c r="BJ111" s="311" t="str">
        <f>IF(A111=FALSE,"",IF(Detail!BB111="","N/A",YEAR(Detail!F111)&amp;Detail!BE111&amp;Detail!BB111&amp;"-"&amp;Detail!$BB$13))</f>
        <v/>
      </c>
      <c r="BK111" s="1354" t="s">
        <v>2236</v>
      </c>
      <c r="BL111" s="527" t="s">
        <v>2278</v>
      </c>
      <c r="BM111" s="440" t="str">
        <f>IF(A111=FALSE,"",51000+(Detail!AA111*7000))</f>
        <v/>
      </c>
      <c r="BN111" s="1412">
        <v>50000</v>
      </c>
      <c r="BO111" s="247">
        <v>3</v>
      </c>
      <c r="BP111" s="261">
        <v>0</v>
      </c>
      <c r="BQ111" s="261" t="s">
        <v>2236</v>
      </c>
      <c r="BR111" s="264">
        <v>0</v>
      </c>
      <c r="BS111" s="508">
        <v>0</v>
      </c>
      <c r="BT111" s="261">
        <v>1</v>
      </c>
      <c r="BU111" s="261">
        <v>0</v>
      </c>
      <c r="BV111" s="311" t="str">
        <f>IF(A111=FALSE,"",IF(Detail!BJ111="","N/A",YEAR(Detail!F111)&amp;Detail!BM111&amp;Detail!BJ111&amp;"-"&amp;Detail!$BJ$13))</f>
        <v/>
      </c>
      <c r="BW111" s="1327" t="s">
        <v>2236</v>
      </c>
      <c r="BX111" s="527" t="s">
        <v>2278</v>
      </c>
      <c r="BY111" s="440" t="str">
        <f t="shared" si="19"/>
        <v/>
      </c>
      <c r="BZ111" s="1412">
        <v>50000</v>
      </c>
      <c r="CA111" s="247">
        <v>3</v>
      </c>
      <c r="CB111" s="261">
        <v>0</v>
      </c>
      <c r="CC111" s="261" t="s">
        <v>2236</v>
      </c>
      <c r="CD111" s="264">
        <v>0</v>
      </c>
      <c r="CE111" s="508">
        <v>0</v>
      </c>
      <c r="CF111" s="261">
        <v>1</v>
      </c>
      <c r="CG111" s="261">
        <v>0</v>
      </c>
      <c r="CH111" s="311" t="str">
        <f>IF(A111=FALSE,"",IF(Detail!BR111="","N/A",YEAR(Detail!F111)&amp;Detail!BU111&amp;Detail!BR111&amp;"-"&amp;Detail!$BR$13))</f>
        <v/>
      </c>
      <c r="CI111" s="925" t="s">
        <v>2236</v>
      </c>
      <c r="CJ111" s="527" t="s">
        <v>2278</v>
      </c>
      <c r="CK111" s="440" t="str">
        <f t="shared" si="20"/>
        <v/>
      </c>
      <c r="CL111" s="1412">
        <v>50000</v>
      </c>
      <c r="CM111" s="247">
        <v>3</v>
      </c>
      <c r="CN111" s="261">
        <v>0</v>
      </c>
      <c r="CO111" s="261" t="s">
        <v>2236</v>
      </c>
      <c r="CP111" s="264">
        <v>0</v>
      </c>
      <c r="CQ111" s="508">
        <v>0</v>
      </c>
      <c r="CR111" s="261">
        <v>1</v>
      </c>
      <c r="CS111" s="261">
        <v>0</v>
      </c>
      <c r="CT111" s="311" t="str">
        <f>IF(A111=FALSE,"",IF(Detail!BZ111="","N/A",YEAR(Detail!F111)&amp;Detail!CC111&amp;Detail!BZ111&amp;"-"&amp;Detail!$BZ$13&amp;" (100%/"&amp;Detail!CD111&amp;"/"&amp;Detail!CE111&amp;"D)"))</f>
        <v/>
      </c>
      <c r="CU111" s="1016" t="s">
        <v>2236</v>
      </c>
      <c r="CV111" s="527" t="s">
        <v>2278</v>
      </c>
      <c r="CW111" s="241">
        <v>7</v>
      </c>
      <c r="CX111" s="1323">
        <v>365</v>
      </c>
      <c r="CY111" s="248">
        <v>1</v>
      </c>
      <c r="CZ111" s="261">
        <v>0</v>
      </c>
      <c r="DA111" s="1325" t="s">
        <v>2236</v>
      </c>
      <c r="DB111" s="538">
        <v>40</v>
      </c>
      <c r="DC111" s="1325">
        <v>0.1</v>
      </c>
      <c r="DD111" s="261">
        <v>1</v>
      </c>
      <c r="DE111" s="261">
        <v>0</v>
      </c>
      <c r="DF111" s="313" t="str">
        <f>IF(A111=FALSE,"",IF(Detail!CH111="","N/A",YEAR(Detail!F111)&amp;Detail!CK111&amp;Detail!CH111&amp;"-"&amp;Detail!$CH$13&amp;" (100%/"&amp;Detail!CL111&amp;"/"&amp;Detail!CM111&amp;"D)"))</f>
        <v/>
      </c>
      <c r="DG111" s="1354" t="s">
        <v>2236</v>
      </c>
      <c r="DH111" s="518" t="s">
        <v>2278</v>
      </c>
      <c r="DI111" s="241">
        <f t="shared" si="21"/>
        <v>7</v>
      </c>
      <c r="DJ111" s="243">
        <f t="shared" si="22"/>
        <v>365</v>
      </c>
      <c r="DK111" s="258">
        <v>1</v>
      </c>
      <c r="DL111" s="261">
        <v>0</v>
      </c>
      <c r="DM111" s="1325" t="s">
        <v>2236</v>
      </c>
      <c r="DN111" s="538">
        <v>96</v>
      </c>
      <c r="DO111" s="1325">
        <f t="shared" si="23"/>
        <v>0.1</v>
      </c>
      <c r="DP111" s="261">
        <v>1</v>
      </c>
      <c r="DQ111" s="261">
        <v>0</v>
      </c>
      <c r="DR111" s="920" t="str">
        <f>IF(A111=FALSE,"",IF(Detail!CP111="","N/A",YEAR(Detail!F111)&amp;Detail!CS111&amp;Detail!CP111&amp;"-"&amp;Detail!$CP$13))</f>
        <v/>
      </c>
      <c r="DS111" s="308" t="s">
        <v>2236</v>
      </c>
      <c r="DT111" s="720" t="s">
        <v>2277</v>
      </c>
      <c r="DU111" s="244">
        <v>50000</v>
      </c>
      <c r="DV111" s="247">
        <v>2</v>
      </c>
      <c r="DW111" s="261">
        <v>0</v>
      </c>
      <c r="DX111" s="261" t="s">
        <v>2236</v>
      </c>
      <c r="DY111" s="264">
        <v>0</v>
      </c>
      <c r="DZ111" s="444">
        <v>0</v>
      </c>
      <c r="EA111" s="444">
        <v>1</v>
      </c>
      <c r="EB111" s="444">
        <v>0</v>
      </c>
      <c r="EC111" s="761" t="str">
        <f>IF(A111=FALSE,"",IF(Detail!CX111="","N/A",YEAR(Detail!F111)&amp;Detail!DA111&amp;Detail!CX111&amp;"-"&amp;Detail!$CX$13))</f>
        <v/>
      </c>
      <c r="ED111" s="445" t="s">
        <v>2236</v>
      </c>
      <c r="EE111" s="720" t="s">
        <v>2277</v>
      </c>
      <c r="EF111" s="244">
        <v>50000</v>
      </c>
      <c r="EG111" s="247">
        <v>2</v>
      </c>
      <c r="EH111" s="261">
        <v>0</v>
      </c>
      <c r="EI111" s="261" t="s">
        <v>2236</v>
      </c>
      <c r="EJ111" s="264">
        <v>0</v>
      </c>
      <c r="EK111" s="444">
        <v>0</v>
      </c>
      <c r="EL111" s="444">
        <v>1</v>
      </c>
      <c r="EM111" s="444">
        <v>0</v>
      </c>
      <c r="EN111" s="333" t="str">
        <f>IF(A111=FALSE,"",IF(Detail!DF111="","N/A",YEAR(Detail!F111)&amp;Detail!DI111&amp;Detail!DF111&amp;"-"&amp;Detail!$DF$13))</f>
        <v/>
      </c>
      <c r="EO111" s="1012" t="s">
        <v>2236</v>
      </c>
      <c r="EP111" s="1012" t="s">
        <v>2277</v>
      </c>
      <c r="EQ111" s="1013">
        <f t="shared" si="24"/>
        <v>0</v>
      </c>
      <c r="ER111" s="1013" t="s">
        <v>2236</v>
      </c>
      <c r="ES111" s="264">
        <v>0</v>
      </c>
      <c r="ET111" s="1013">
        <v>0</v>
      </c>
      <c r="EU111" s="1013">
        <v>1</v>
      </c>
      <c r="EV111" s="1013">
        <v>0</v>
      </c>
      <c r="EW111" s="333" t="str">
        <f>IF(DJ111=FALSE,"",IF(Detail!ET111="","N/A",YEAR(Detail!DN111)&amp;Detail!EW111&amp;Detail!ET111&amp;"-"&amp;Detail!$AL$13&amp;Detail!EU111))</f>
        <v>N/A</v>
      </c>
      <c r="EX111" s="1012" t="s">
        <v>2236</v>
      </c>
      <c r="EY111" s="1012" t="s">
        <v>2277</v>
      </c>
      <c r="EZ111" s="1013">
        <f t="shared" si="25"/>
        <v>0</v>
      </c>
      <c r="FA111" s="1013" t="s">
        <v>2236</v>
      </c>
      <c r="FB111" s="264">
        <v>0</v>
      </c>
      <c r="FC111" s="1013">
        <v>0</v>
      </c>
      <c r="FD111" s="1013">
        <v>1</v>
      </c>
      <c r="FE111" s="1013">
        <v>0</v>
      </c>
    </row>
    <row r="112" spans="1:161" s="422" customFormat="1" ht="30" customHeight="1" outlineLevel="1">
      <c r="A112" s="439" t="b">
        <f>Calcul!A112</f>
        <v>0</v>
      </c>
      <c r="B112" s="510" t="str">
        <f t="shared" si="26"/>
        <v/>
      </c>
      <c r="C112" s="1404" t="b">
        <v>0</v>
      </c>
      <c r="D112" s="1010" t="s">
        <v>2147</v>
      </c>
      <c r="E112" s="1011" t="s">
        <v>2335</v>
      </c>
      <c r="F112" s="249"/>
      <c r="G112" s="356" t="str">
        <f>IF(A112=FALSE,"",IF(NAMES!$D$10=FALSE,IF(Detail!H112="","",Detail!H112),IF(Crewlist!D112="","",Crewlist!D112)))</f>
        <v/>
      </c>
      <c r="H112" s="356" t="str">
        <f>IF(A112=FALSE,"",IF(NAMES!$D$10=FALSE,IF(Detail!P112="","",Detail!P112),IF(Crewlist!E112="","",Crewlist!E112)))</f>
        <v/>
      </c>
      <c r="I112" s="356" t="str">
        <f>IF(A112=FALSE,"",IF(NAMES!$D$10=FALSE,IF(Detail!K112="","",Detail!K112),IF(Crewlist!F112="","",Crewlist!F112)))</f>
        <v/>
      </c>
      <c r="J112" s="1001" t="str">
        <f>IF(Crewlist!T112="","",Crewlist!T112)</f>
        <v/>
      </c>
      <c r="K112" s="1001" t="str">
        <f>IF(Crewlist!D112="","",IF(Crewlist!U112="",Crewlist!Y112,IF(DATERENOUVMOINS730&lt;&gt;Crewlist!U112&lt;&gt;Crewlist!Y112,Crewlist!U112,DATERENOUVMOINS365)))</f>
        <v/>
      </c>
      <c r="L112" s="775" t="str">
        <f>IF(Detail!X112="","",Detail!X112)</f>
        <v/>
      </c>
      <c r="M112" s="775" t="str">
        <f>IF(Detail!H112="","",IF(Detail!Y112="",DATERENOUV,IF(Detail!Y112&gt;Detail!D112,Detail!D112,Detail!Y112)))</f>
        <v/>
      </c>
      <c r="N112" s="1015" t="str">
        <f>IF(A112=FALSE,"",IF(NAMES!$D$10=FALSE,IF(B112=B113,IF(O112=O113,0,(DATEDIF(L112,M112,"M")+1)),(DATEDIF(L112,M112,"M")+1)),IF(B112=B113,IF(O112=O113,0,(DATEDIF(J112,K112,"M")+1)),(DATEDIF(J112,K112,"M")+1))))</f>
        <v/>
      </c>
      <c r="O112" s="357" t="str">
        <f t="shared" si="17"/>
        <v/>
      </c>
      <c r="P112" s="358" t="str">
        <f>IF(A112=FALSE,"",IF(NAMES!$D$10=FALSE,IF((DATEDIF(L112,M112,"D")+1)&lt;365,(DATEDIF(L112,M112,"D")+1),365),IF((DATEDIF(J112,K112,"D")+1)&lt;365,(DATEDIF(J112,K112,"D")+1),365)))</f>
        <v/>
      </c>
      <c r="Q112" s="358" t="str">
        <f>IF(A112=FALSE,"",IF(NAMES!$D$10=FALSE,IF(M112="",365,DATEDIF(L112,M112,"D")+1),IF(M112="",365,DATEDIF(J112,K112,"D")+1)))</f>
        <v/>
      </c>
      <c r="R112" s="950" t="str">
        <f>Calcul!X112</f>
        <v/>
      </c>
      <c r="S112" s="950" t="str">
        <f>Calcul!Y112</f>
        <v/>
      </c>
      <c r="T112" s="993" t="str">
        <f>Calcul!AG112</f>
        <v/>
      </c>
      <c r="U112" s="368" t="str">
        <f>IF(A112=FALSE,"",IF(NAMES!$D$10=FALSE,IF(Detail!S112="","",Detail!S112),IF(Crewlist!V112="","",Crewlist!V112)))</f>
        <v/>
      </c>
      <c r="V112" s="245" t="str">
        <f>Calcul!AI112</f>
        <v/>
      </c>
      <c r="W112" s="245" t="str">
        <f>Calcul!AL112</f>
        <v/>
      </c>
      <c r="X112" s="245" t="str">
        <f>Calcul!AM112</f>
        <v/>
      </c>
      <c r="Y112" s="353" t="str">
        <f>Calcul!AN112</f>
        <v/>
      </c>
      <c r="Z112" s="245" t="str">
        <f>Calcul!AO112</f>
        <v/>
      </c>
      <c r="AA112" s="245" t="str">
        <f>Calcul!AP112</f>
        <v/>
      </c>
      <c r="AB112" s="353" t="str">
        <f>Calcul!AQ112</f>
        <v/>
      </c>
      <c r="AC112" s="353" t="str">
        <f>IF(C112=FALSE,"",Calcul!BE112+Calcul!BF112)</f>
        <v/>
      </c>
      <c r="AD112" s="353" t="str">
        <f>IF(C112=FALSE,"",(Calcul!BG112+Calcul!BH112)+SUM(Calcul!BI112:BN112))</f>
        <v/>
      </c>
      <c r="AE112" s="353" t="str">
        <f>Calcul!BP112</f>
        <v/>
      </c>
      <c r="AF112" s="332" t="str">
        <f>IF(A112=FALSE,"",YEAR(Detail!F112)&amp;Detail!AG112&amp;Detail!AD112&amp;"-"&amp;Detail!$AD$13&amp;Detail!AE112)</f>
        <v/>
      </c>
      <c r="AG112" s="807" t="s">
        <v>2236</v>
      </c>
      <c r="AH112" s="527" t="s">
        <v>2277</v>
      </c>
      <c r="AI112" s="917">
        <v>0</v>
      </c>
      <c r="AJ112" s="261" t="s">
        <v>2236</v>
      </c>
      <c r="AK112" s="1410">
        <v>32</v>
      </c>
      <c r="AL112" s="508">
        <v>0</v>
      </c>
      <c r="AM112" s="261">
        <v>1</v>
      </c>
      <c r="AN112" s="261">
        <v>0</v>
      </c>
      <c r="AO112" s="333" t="str">
        <f>IF(A112=FALSE,"",IF(Detail!AL112="","N/A",YEAR(Detail!F112)&amp;Detail!AO112&amp;Detail!AL112&amp;"-"&amp;Detail!$AL$13&amp;Detail!AM112))</f>
        <v/>
      </c>
      <c r="AP112" s="1012" t="s">
        <v>2236</v>
      </c>
      <c r="AQ112" s="527" t="s">
        <v>2277</v>
      </c>
      <c r="AR112" s="1013">
        <f t="shared" si="18"/>
        <v>0</v>
      </c>
      <c r="AS112" s="261" t="s">
        <v>2236</v>
      </c>
      <c r="AT112" s="264">
        <v>0</v>
      </c>
      <c r="AU112" s="261">
        <v>0</v>
      </c>
      <c r="AV112" s="261">
        <v>1</v>
      </c>
      <c r="AW112" s="261">
        <v>0</v>
      </c>
      <c r="AX112" s="920" t="str">
        <f>IF(A112=FALSE,"",IF(Detail!AT112="","N/A",YEAR(Detail!F112)&amp;Detail!AW112&amp;Detail!AT112&amp;"-"&amp;Detail!$AT$13))</f>
        <v/>
      </c>
      <c r="AY112" s="1014" t="s">
        <v>2236</v>
      </c>
      <c r="AZ112" s="308" t="s">
        <v>2278</v>
      </c>
      <c r="BA112" s="440" t="str">
        <f>IF(A112=FALSE,"",51000+(Detail!AA112*7000))</f>
        <v/>
      </c>
      <c r="BB112" s="1412">
        <v>50000</v>
      </c>
      <c r="BC112" s="247">
        <v>3</v>
      </c>
      <c r="BD112" s="261">
        <v>0</v>
      </c>
      <c r="BE112" s="261" t="s">
        <v>2236</v>
      </c>
      <c r="BF112" s="264">
        <v>0</v>
      </c>
      <c r="BG112" s="508">
        <v>0</v>
      </c>
      <c r="BH112" s="261">
        <v>1</v>
      </c>
      <c r="BI112" s="261">
        <v>0</v>
      </c>
      <c r="BJ112" s="311" t="str">
        <f>IF(A112=FALSE,"",IF(Detail!BB112="","N/A",YEAR(Detail!F112)&amp;Detail!BE112&amp;Detail!BB112&amp;"-"&amp;Detail!$BB$13))</f>
        <v/>
      </c>
      <c r="BK112" s="1354" t="s">
        <v>2236</v>
      </c>
      <c r="BL112" s="527" t="s">
        <v>2278</v>
      </c>
      <c r="BM112" s="440" t="str">
        <f>IF(A112=FALSE,"",51000+(Detail!AA112*7000))</f>
        <v/>
      </c>
      <c r="BN112" s="1412">
        <v>50000</v>
      </c>
      <c r="BO112" s="247">
        <v>3</v>
      </c>
      <c r="BP112" s="261">
        <v>0</v>
      </c>
      <c r="BQ112" s="261" t="s">
        <v>2236</v>
      </c>
      <c r="BR112" s="264">
        <v>0</v>
      </c>
      <c r="BS112" s="508">
        <v>0</v>
      </c>
      <c r="BT112" s="261">
        <v>1</v>
      </c>
      <c r="BU112" s="261">
        <v>0</v>
      </c>
      <c r="BV112" s="311" t="str">
        <f>IF(A112=FALSE,"",IF(Detail!BJ112="","N/A",YEAR(Detail!F112)&amp;Detail!BM112&amp;Detail!BJ112&amp;"-"&amp;Detail!$BJ$13))</f>
        <v/>
      </c>
      <c r="BW112" s="1327" t="s">
        <v>2236</v>
      </c>
      <c r="BX112" s="527" t="s">
        <v>2278</v>
      </c>
      <c r="BY112" s="440" t="str">
        <f t="shared" si="19"/>
        <v/>
      </c>
      <c r="BZ112" s="1412">
        <v>50000</v>
      </c>
      <c r="CA112" s="247">
        <v>3</v>
      </c>
      <c r="CB112" s="261">
        <v>0</v>
      </c>
      <c r="CC112" s="261" t="s">
        <v>2236</v>
      </c>
      <c r="CD112" s="264">
        <v>0</v>
      </c>
      <c r="CE112" s="508">
        <v>0</v>
      </c>
      <c r="CF112" s="261">
        <v>1</v>
      </c>
      <c r="CG112" s="261">
        <v>0</v>
      </c>
      <c r="CH112" s="311" t="str">
        <f>IF(A112=FALSE,"",IF(Detail!BR112="","N/A",YEAR(Detail!F112)&amp;Detail!BU112&amp;Detail!BR112&amp;"-"&amp;Detail!$BR$13))</f>
        <v/>
      </c>
      <c r="CI112" s="925" t="s">
        <v>2236</v>
      </c>
      <c r="CJ112" s="527" t="s">
        <v>2278</v>
      </c>
      <c r="CK112" s="440" t="str">
        <f t="shared" si="20"/>
        <v/>
      </c>
      <c r="CL112" s="1412">
        <v>50000</v>
      </c>
      <c r="CM112" s="247">
        <v>3</v>
      </c>
      <c r="CN112" s="261">
        <v>0</v>
      </c>
      <c r="CO112" s="261" t="s">
        <v>2236</v>
      </c>
      <c r="CP112" s="264">
        <v>0</v>
      </c>
      <c r="CQ112" s="508">
        <v>0</v>
      </c>
      <c r="CR112" s="261">
        <v>1</v>
      </c>
      <c r="CS112" s="261">
        <v>0</v>
      </c>
      <c r="CT112" s="311" t="str">
        <f>IF(A112=FALSE,"",IF(Detail!BZ112="","N/A",YEAR(Detail!F112)&amp;Detail!CC112&amp;Detail!BZ112&amp;"-"&amp;Detail!$BZ$13&amp;" (100%/"&amp;Detail!CD112&amp;"/"&amp;Detail!CE112&amp;"D)"))</f>
        <v/>
      </c>
      <c r="CU112" s="1016" t="s">
        <v>2236</v>
      </c>
      <c r="CV112" s="527" t="s">
        <v>2278</v>
      </c>
      <c r="CW112" s="241">
        <v>7</v>
      </c>
      <c r="CX112" s="1323">
        <v>365</v>
      </c>
      <c r="CY112" s="248">
        <v>1</v>
      </c>
      <c r="CZ112" s="261">
        <v>0</v>
      </c>
      <c r="DA112" s="1325" t="s">
        <v>2236</v>
      </c>
      <c r="DB112" s="538">
        <v>40</v>
      </c>
      <c r="DC112" s="1325">
        <v>0.1</v>
      </c>
      <c r="DD112" s="261">
        <v>1</v>
      </c>
      <c r="DE112" s="261">
        <v>0</v>
      </c>
      <c r="DF112" s="313" t="str">
        <f>IF(A112=FALSE,"",IF(Detail!CH112="","N/A",YEAR(Detail!F112)&amp;Detail!CK112&amp;Detail!CH112&amp;"-"&amp;Detail!$CH$13&amp;" (100%/"&amp;Detail!CL112&amp;"/"&amp;Detail!CM112&amp;"D)"))</f>
        <v/>
      </c>
      <c r="DG112" s="1354" t="s">
        <v>2236</v>
      </c>
      <c r="DH112" s="518" t="s">
        <v>2278</v>
      </c>
      <c r="DI112" s="241">
        <f t="shared" si="21"/>
        <v>7</v>
      </c>
      <c r="DJ112" s="243">
        <f t="shared" si="22"/>
        <v>365</v>
      </c>
      <c r="DK112" s="258">
        <v>1</v>
      </c>
      <c r="DL112" s="261">
        <v>0</v>
      </c>
      <c r="DM112" s="1325" t="s">
        <v>2236</v>
      </c>
      <c r="DN112" s="538">
        <v>96</v>
      </c>
      <c r="DO112" s="1325">
        <f t="shared" si="23"/>
        <v>0.1</v>
      </c>
      <c r="DP112" s="261">
        <v>1</v>
      </c>
      <c r="DQ112" s="261">
        <v>0</v>
      </c>
      <c r="DR112" s="920" t="str">
        <f>IF(A112=FALSE,"",IF(Detail!CP112="","N/A",YEAR(Detail!F112)&amp;Detail!CS112&amp;Detail!CP112&amp;"-"&amp;Detail!$CP$13))</f>
        <v/>
      </c>
      <c r="DS112" s="308" t="s">
        <v>2236</v>
      </c>
      <c r="DT112" s="720" t="s">
        <v>2277</v>
      </c>
      <c r="DU112" s="244">
        <v>50000</v>
      </c>
      <c r="DV112" s="247">
        <v>2</v>
      </c>
      <c r="DW112" s="261">
        <v>0</v>
      </c>
      <c r="DX112" s="261" t="s">
        <v>2236</v>
      </c>
      <c r="DY112" s="264">
        <v>0</v>
      </c>
      <c r="DZ112" s="444">
        <v>0</v>
      </c>
      <c r="EA112" s="444">
        <v>1</v>
      </c>
      <c r="EB112" s="444">
        <v>0</v>
      </c>
      <c r="EC112" s="761" t="str">
        <f>IF(A112=FALSE,"",IF(Detail!CX112="","N/A",YEAR(Detail!F112)&amp;Detail!DA112&amp;Detail!CX112&amp;"-"&amp;Detail!$CX$13))</f>
        <v/>
      </c>
      <c r="ED112" s="445" t="s">
        <v>2236</v>
      </c>
      <c r="EE112" s="720" t="s">
        <v>2277</v>
      </c>
      <c r="EF112" s="244">
        <v>50000</v>
      </c>
      <c r="EG112" s="247">
        <v>2</v>
      </c>
      <c r="EH112" s="261">
        <v>0</v>
      </c>
      <c r="EI112" s="261" t="s">
        <v>2236</v>
      </c>
      <c r="EJ112" s="264">
        <v>0</v>
      </c>
      <c r="EK112" s="444">
        <v>0</v>
      </c>
      <c r="EL112" s="444">
        <v>1</v>
      </c>
      <c r="EM112" s="444">
        <v>0</v>
      </c>
      <c r="EN112" s="333" t="str">
        <f>IF(A112=FALSE,"",IF(Detail!DF112="","N/A",YEAR(Detail!F112)&amp;Detail!DI112&amp;Detail!DF112&amp;"-"&amp;Detail!$DF$13))</f>
        <v/>
      </c>
      <c r="EO112" s="1012" t="s">
        <v>2236</v>
      </c>
      <c r="EP112" s="1012" t="s">
        <v>2277</v>
      </c>
      <c r="EQ112" s="1013">
        <f t="shared" si="24"/>
        <v>0</v>
      </c>
      <c r="ER112" s="1013" t="s">
        <v>2236</v>
      </c>
      <c r="ES112" s="264">
        <v>0</v>
      </c>
      <c r="ET112" s="1013">
        <v>0</v>
      </c>
      <c r="EU112" s="1013">
        <v>1</v>
      </c>
      <c r="EV112" s="1013">
        <v>0</v>
      </c>
      <c r="EW112" s="333" t="str">
        <f>IF(DJ112=FALSE,"",IF(Detail!ET112="","N/A",YEAR(Detail!DN112)&amp;Detail!EW112&amp;Detail!ET112&amp;"-"&amp;Detail!$AL$13&amp;Detail!EU112))</f>
        <v>N/A</v>
      </c>
      <c r="EX112" s="1012" t="s">
        <v>2236</v>
      </c>
      <c r="EY112" s="1012" t="s">
        <v>2277</v>
      </c>
      <c r="EZ112" s="1013">
        <f t="shared" si="25"/>
        <v>0</v>
      </c>
      <c r="FA112" s="1013" t="s">
        <v>2236</v>
      </c>
      <c r="FB112" s="264">
        <v>0</v>
      </c>
      <c r="FC112" s="1013">
        <v>0</v>
      </c>
      <c r="FD112" s="1013">
        <v>1</v>
      </c>
      <c r="FE112" s="1013">
        <v>0</v>
      </c>
    </row>
    <row r="113" spans="1:161" s="422" customFormat="1" ht="30" customHeight="1" outlineLevel="1">
      <c r="A113" s="439" t="b">
        <f>Calcul!A113</f>
        <v>0</v>
      </c>
      <c r="B113" s="510" t="str">
        <f t="shared" si="26"/>
        <v/>
      </c>
      <c r="C113" s="1404" t="b">
        <v>0</v>
      </c>
      <c r="D113" s="1010" t="s">
        <v>2147</v>
      </c>
      <c r="E113" s="1011" t="s">
        <v>2335</v>
      </c>
      <c r="F113" s="249"/>
      <c r="G113" s="356" t="str">
        <f>IF(A113=FALSE,"",IF(NAMES!$D$10=FALSE,IF(Detail!H113="","",Detail!H113),IF(Crewlist!D113="","",Crewlist!D113)))</f>
        <v/>
      </c>
      <c r="H113" s="356" t="str">
        <f>IF(A113=FALSE,"",IF(NAMES!$D$10=FALSE,IF(Detail!P113="","",Detail!P113),IF(Crewlist!E113="","",Crewlist!E113)))</f>
        <v/>
      </c>
      <c r="I113" s="356" t="str">
        <f>IF(A113=FALSE,"",IF(NAMES!$D$10=FALSE,IF(Detail!K113="","",Detail!K113),IF(Crewlist!F113="","",Crewlist!F113)))</f>
        <v/>
      </c>
      <c r="J113" s="1001" t="str">
        <f>IF(Crewlist!T113="","",Crewlist!T113)</f>
        <v/>
      </c>
      <c r="K113" s="1001" t="str">
        <f>IF(Crewlist!D113="","",IF(Crewlist!U113="",Crewlist!Y113,IF(DATERENOUVMOINS730&lt;&gt;Crewlist!U113&lt;&gt;Crewlist!Y113,Crewlist!U113,DATERENOUVMOINS365)))</f>
        <v/>
      </c>
      <c r="L113" s="775" t="str">
        <f>IF(Detail!X113="","",Detail!X113)</f>
        <v/>
      </c>
      <c r="M113" s="775" t="str">
        <f>IF(Detail!H113="","",IF(Detail!Y113="",DATERENOUV,IF(Detail!Y113&gt;Detail!D113,Detail!D113,Detail!Y113)))</f>
        <v/>
      </c>
      <c r="N113" s="1015" t="str">
        <f>IF(A113=FALSE,"",IF(NAMES!$D$10=FALSE,IF(B113=B114,IF(O113=O114,0,(DATEDIF(L113,M113,"M")+1)),(DATEDIF(L113,M113,"M")+1)),IF(B113=B114,IF(O113=O114,0,(DATEDIF(J113,K113,"M")+1)),(DATEDIF(J113,K113,"M")+1))))</f>
        <v/>
      </c>
      <c r="O113" s="357" t="str">
        <f t="shared" si="17"/>
        <v/>
      </c>
      <c r="P113" s="358" t="str">
        <f>IF(A113=FALSE,"",IF(NAMES!$D$10=FALSE,IF((DATEDIF(L113,M113,"D")+1)&lt;365,(DATEDIF(L113,M113,"D")+1),365),IF((DATEDIF(J113,K113,"D")+1)&lt;365,(DATEDIF(J113,K113,"D")+1),365)))</f>
        <v/>
      </c>
      <c r="Q113" s="358" t="str">
        <f>IF(A113=FALSE,"",IF(NAMES!$D$10=FALSE,IF(M113="",365,DATEDIF(L113,M113,"D")+1),IF(M113="",365,DATEDIF(J113,K113,"D")+1)))</f>
        <v/>
      </c>
      <c r="R113" s="950" t="str">
        <f>Calcul!X113</f>
        <v/>
      </c>
      <c r="S113" s="950" t="str">
        <f>Calcul!Y113</f>
        <v/>
      </c>
      <c r="T113" s="993" t="str">
        <f>Calcul!AG113</f>
        <v/>
      </c>
      <c r="U113" s="368" t="str">
        <f>IF(A113=FALSE,"",IF(NAMES!$D$10=FALSE,IF(Detail!S113="","",Detail!S113),IF(Crewlist!V113="","",Crewlist!V113)))</f>
        <v/>
      </c>
      <c r="V113" s="245" t="str">
        <f>Calcul!AI113</f>
        <v/>
      </c>
      <c r="W113" s="245" t="str">
        <f>Calcul!AL113</f>
        <v/>
      </c>
      <c r="X113" s="245" t="str">
        <f>Calcul!AM113</f>
        <v/>
      </c>
      <c r="Y113" s="353" t="str">
        <f>Calcul!AN113</f>
        <v/>
      </c>
      <c r="Z113" s="245" t="str">
        <f>Calcul!AO113</f>
        <v/>
      </c>
      <c r="AA113" s="245" t="str">
        <f>Calcul!AP113</f>
        <v/>
      </c>
      <c r="AB113" s="353" t="str">
        <f>Calcul!AQ113</f>
        <v/>
      </c>
      <c r="AC113" s="353" t="str">
        <f>IF(C113=FALSE,"",Calcul!BE113+Calcul!BF113)</f>
        <v/>
      </c>
      <c r="AD113" s="353" t="str">
        <f>IF(C113=FALSE,"",(Calcul!BG113+Calcul!BH113)+SUM(Calcul!BI113:BN113))</f>
        <v/>
      </c>
      <c r="AE113" s="353" t="str">
        <f>Calcul!BP113</f>
        <v/>
      </c>
      <c r="AF113" s="332" t="str">
        <f>IF(A113=FALSE,"",YEAR(Detail!F113)&amp;Detail!AG113&amp;Detail!AD113&amp;"-"&amp;Detail!$AD$13&amp;Detail!AE113)</f>
        <v/>
      </c>
      <c r="AG113" s="807" t="s">
        <v>2236</v>
      </c>
      <c r="AH113" s="527" t="s">
        <v>2277</v>
      </c>
      <c r="AI113" s="917">
        <v>0</v>
      </c>
      <c r="AJ113" s="261" t="s">
        <v>2236</v>
      </c>
      <c r="AK113" s="1410">
        <v>32</v>
      </c>
      <c r="AL113" s="508">
        <v>0</v>
      </c>
      <c r="AM113" s="261">
        <v>1</v>
      </c>
      <c r="AN113" s="261">
        <v>0</v>
      </c>
      <c r="AO113" s="333" t="str">
        <f>IF(A113=FALSE,"",IF(Detail!AL113="","N/A",YEAR(Detail!F113)&amp;Detail!AO113&amp;Detail!AL113&amp;"-"&amp;Detail!$AL$13&amp;Detail!AM113))</f>
        <v/>
      </c>
      <c r="AP113" s="1012" t="s">
        <v>2236</v>
      </c>
      <c r="AQ113" s="527" t="s">
        <v>2277</v>
      </c>
      <c r="AR113" s="1013">
        <f t="shared" si="18"/>
        <v>0</v>
      </c>
      <c r="AS113" s="261" t="s">
        <v>2236</v>
      </c>
      <c r="AT113" s="264">
        <v>0</v>
      </c>
      <c r="AU113" s="261">
        <v>0</v>
      </c>
      <c r="AV113" s="261">
        <v>1</v>
      </c>
      <c r="AW113" s="261">
        <v>0</v>
      </c>
      <c r="AX113" s="920" t="str">
        <f>IF(A113=FALSE,"",IF(Detail!AT113="","N/A",YEAR(Detail!F113)&amp;Detail!AW113&amp;Detail!AT113&amp;"-"&amp;Detail!$AT$13))</f>
        <v/>
      </c>
      <c r="AY113" s="1014" t="s">
        <v>2236</v>
      </c>
      <c r="AZ113" s="308" t="s">
        <v>2278</v>
      </c>
      <c r="BA113" s="440" t="str">
        <f>IF(A113=FALSE,"",51000+(Detail!AA113*7000))</f>
        <v/>
      </c>
      <c r="BB113" s="1412">
        <v>50000</v>
      </c>
      <c r="BC113" s="247">
        <v>3</v>
      </c>
      <c r="BD113" s="261">
        <v>0</v>
      </c>
      <c r="BE113" s="261" t="s">
        <v>2236</v>
      </c>
      <c r="BF113" s="264">
        <v>0</v>
      </c>
      <c r="BG113" s="508">
        <v>0</v>
      </c>
      <c r="BH113" s="261">
        <v>1</v>
      </c>
      <c r="BI113" s="261">
        <v>0</v>
      </c>
      <c r="BJ113" s="311" t="str">
        <f>IF(A113=FALSE,"",IF(Detail!BB113="","N/A",YEAR(Detail!F113)&amp;Detail!BE113&amp;Detail!BB113&amp;"-"&amp;Detail!$BB$13))</f>
        <v/>
      </c>
      <c r="BK113" s="1354" t="s">
        <v>2236</v>
      </c>
      <c r="BL113" s="527" t="s">
        <v>2278</v>
      </c>
      <c r="BM113" s="440" t="str">
        <f>IF(A113=FALSE,"",51000+(Detail!AA113*7000))</f>
        <v/>
      </c>
      <c r="BN113" s="1412">
        <v>50000</v>
      </c>
      <c r="BO113" s="247">
        <v>3</v>
      </c>
      <c r="BP113" s="261">
        <v>0</v>
      </c>
      <c r="BQ113" s="261" t="s">
        <v>2236</v>
      </c>
      <c r="BR113" s="264">
        <v>0</v>
      </c>
      <c r="BS113" s="508">
        <v>0</v>
      </c>
      <c r="BT113" s="261">
        <v>1</v>
      </c>
      <c r="BU113" s="261">
        <v>0</v>
      </c>
      <c r="BV113" s="311" t="str">
        <f>IF(A113=FALSE,"",IF(Detail!BJ113="","N/A",YEAR(Detail!F113)&amp;Detail!BM113&amp;Detail!BJ113&amp;"-"&amp;Detail!$BJ$13))</f>
        <v/>
      </c>
      <c r="BW113" s="1327" t="s">
        <v>2236</v>
      </c>
      <c r="BX113" s="527" t="s">
        <v>2278</v>
      </c>
      <c r="BY113" s="440" t="str">
        <f t="shared" si="19"/>
        <v/>
      </c>
      <c r="BZ113" s="1412">
        <v>50000</v>
      </c>
      <c r="CA113" s="247">
        <v>3</v>
      </c>
      <c r="CB113" s="261">
        <v>0</v>
      </c>
      <c r="CC113" s="261" t="s">
        <v>2236</v>
      </c>
      <c r="CD113" s="264">
        <v>0</v>
      </c>
      <c r="CE113" s="508">
        <v>0</v>
      </c>
      <c r="CF113" s="261">
        <v>1</v>
      </c>
      <c r="CG113" s="261">
        <v>0</v>
      </c>
      <c r="CH113" s="311" t="str">
        <f>IF(A113=FALSE,"",IF(Detail!BR113="","N/A",YEAR(Detail!F113)&amp;Detail!BU113&amp;Detail!BR113&amp;"-"&amp;Detail!$BR$13))</f>
        <v/>
      </c>
      <c r="CI113" s="925" t="s">
        <v>2236</v>
      </c>
      <c r="CJ113" s="527" t="s">
        <v>2278</v>
      </c>
      <c r="CK113" s="440" t="str">
        <f t="shared" si="20"/>
        <v/>
      </c>
      <c r="CL113" s="1412">
        <v>50000</v>
      </c>
      <c r="CM113" s="247">
        <v>3</v>
      </c>
      <c r="CN113" s="261">
        <v>0</v>
      </c>
      <c r="CO113" s="261" t="s">
        <v>2236</v>
      </c>
      <c r="CP113" s="264">
        <v>0</v>
      </c>
      <c r="CQ113" s="508">
        <v>0</v>
      </c>
      <c r="CR113" s="261">
        <v>1</v>
      </c>
      <c r="CS113" s="261">
        <v>0</v>
      </c>
      <c r="CT113" s="311" t="str">
        <f>IF(A113=FALSE,"",IF(Detail!BZ113="","N/A",YEAR(Detail!F113)&amp;Detail!CC113&amp;Detail!BZ113&amp;"-"&amp;Detail!$BZ$13&amp;" (100%/"&amp;Detail!CD113&amp;"/"&amp;Detail!CE113&amp;"D)"))</f>
        <v/>
      </c>
      <c r="CU113" s="1016" t="s">
        <v>2236</v>
      </c>
      <c r="CV113" s="527" t="s">
        <v>2278</v>
      </c>
      <c r="CW113" s="241">
        <v>7</v>
      </c>
      <c r="CX113" s="1323">
        <v>365</v>
      </c>
      <c r="CY113" s="248">
        <v>1</v>
      </c>
      <c r="CZ113" s="261">
        <v>0</v>
      </c>
      <c r="DA113" s="1325" t="s">
        <v>2236</v>
      </c>
      <c r="DB113" s="538">
        <v>40</v>
      </c>
      <c r="DC113" s="1325">
        <v>0.1</v>
      </c>
      <c r="DD113" s="261">
        <v>1</v>
      </c>
      <c r="DE113" s="261">
        <v>0</v>
      </c>
      <c r="DF113" s="313" t="str">
        <f>IF(A113=FALSE,"",IF(Detail!CH113="","N/A",YEAR(Detail!F113)&amp;Detail!CK113&amp;Detail!CH113&amp;"-"&amp;Detail!$CH$13&amp;" (100%/"&amp;Detail!CL113&amp;"/"&amp;Detail!CM113&amp;"D)"))</f>
        <v/>
      </c>
      <c r="DG113" s="1354" t="s">
        <v>2236</v>
      </c>
      <c r="DH113" s="518" t="s">
        <v>2278</v>
      </c>
      <c r="DI113" s="241">
        <f t="shared" si="21"/>
        <v>7</v>
      </c>
      <c r="DJ113" s="243">
        <f t="shared" si="22"/>
        <v>365</v>
      </c>
      <c r="DK113" s="258">
        <v>1</v>
      </c>
      <c r="DL113" s="261">
        <v>0</v>
      </c>
      <c r="DM113" s="1325" t="s">
        <v>2236</v>
      </c>
      <c r="DN113" s="538">
        <v>96</v>
      </c>
      <c r="DO113" s="1325">
        <f t="shared" si="23"/>
        <v>0.1</v>
      </c>
      <c r="DP113" s="261">
        <v>1</v>
      </c>
      <c r="DQ113" s="261">
        <v>0</v>
      </c>
      <c r="DR113" s="920" t="str">
        <f>IF(A113=FALSE,"",IF(Detail!CP113="","N/A",YEAR(Detail!F113)&amp;Detail!CS113&amp;Detail!CP113&amp;"-"&amp;Detail!$CP$13))</f>
        <v/>
      </c>
      <c r="DS113" s="308" t="s">
        <v>2236</v>
      </c>
      <c r="DT113" s="720" t="s">
        <v>2277</v>
      </c>
      <c r="DU113" s="244">
        <v>50000</v>
      </c>
      <c r="DV113" s="247">
        <v>2</v>
      </c>
      <c r="DW113" s="261">
        <v>0</v>
      </c>
      <c r="DX113" s="261" t="s">
        <v>2236</v>
      </c>
      <c r="DY113" s="264">
        <v>0</v>
      </c>
      <c r="DZ113" s="444">
        <v>0</v>
      </c>
      <c r="EA113" s="444">
        <v>1</v>
      </c>
      <c r="EB113" s="444">
        <v>0</v>
      </c>
      <c r="EC113" s="761" t="str">
        <f>IF(A113=FALSE,"",IF(Detail!CX113="","N/A",YEAR(Detail!F113)&amp;Detail!DA113&amp;Detail!CX113&amp;"-"&amp;Detail!$CX$13))</f>
        <v/>
      </c>
      <c r="ED113" s="445" t="s">
        <v>2236</v>
      </c>
      <c r="EE113" s="720" t="s">
        <v>2277</v>
      </c>
      <c r="EF113" s="244">
        <v>50000</v>
      </c>
      <c r="EG113" s="247">
        <v>2</v>
      </c>
      <c r="EH113" s="261">
        <v>0</v>
      </c>
      <c r="EI113" s="261" t="s">
        <v>2236</v>
      </c>
      <c r="EJ113" s="264">
        <v>0</v>
      </c>
      <c r="EK113" s="444">
        <v>0</v>
      </c>
      <c r="EL113" s="444">
        <v>1</v>
      </c>
      <c r="EM113" s="444">
        <v>0</v>
      </c>
      <c r="EN113" s="333" t="str">
        <f>IF(A113=FALSE,"",IF(Detail!DF113="","N/A",YEAR(Detail!F113)&amp;Detail!DI113&amp;Detail!DF113&amp;"-"&amp;Detail!$DF$13))</f>
        <v/>
      </c>
      <c r="EO113" s="1012" t="s">
        <v>2236</v>
      </c>
      <c r="EP113" s="1012" t="s">
        <v>2277</v>
      </c>
      <c r="EQ113" s="1013">
        <f t="shared" si="24"/>
        <v>0</v>
      </c>
      <c r="ER113" s="1013" t="s">
        <v>2236</v>
      </c>
      <c r="ES113" s="264">
        <v>0</v>
      </c>
      <c r="ET113" s="1013">
        <v>0</v>
      </c>
      <c r="EU113" s="1013">
        <v>1</v>
      </c>
      <c r="EV113" s="1013">
        <v>0</v>
      </c>
      <c r="EW113" s="333" t="str">
        <f>IF(DJ113=FALSE,"",IF(Detail!ET113="","N/A",YEAR(Detail!DN113)&amp;Detail!EW113&amp;Detail!ET113&amp;"-"&amp;Detail!$AL$13&amp;Detail!EU113))</f>
        <v>N/A</v>
      </c>
      <c r="EX113" s="1012" t="s">
        <v>2236</v>
      </c>
      <c r="EY113" s="1012" t="s">
        <v>2277</v>
      </c>
      <c r="EZ113" s="1013">
        <f t="shared" si="25"/>
        <v>0</v>
      </c>
      <c r="FA113" s="1013" t="s">
        <v>2236</v>
      </c>
      <c r="FB113" s="264">
        <v>0</v>
      </c>
      <c r="FC113" s="1013">
        <v>0</v>
      </c>
      <c r="FD113" s="1013">
        <v>1</v>
      </c>
      <c r="FE113" s="1013">
        <v>0</v>
      </c>
    </row>
    <row r="114" spans="1:161" s="422" customFormat="1" ht="30" customHeight="1" outlineLevel="1">
      <c r="A114" s="439" t="b">
        <f>Calcul!A114</f>
        <v>0</v>
      </c>
      <c r="B114" s="510" t="str">
        <f t="shared" si="26"/>
        <v/>
      </c>
      <c r="C114" s="241" t="b">
        <v>0</v>
      </c>
      <c r="D114" s="241" t="s">
        <v>2147</v>
      </c>
      <c r="E114" s="1011" t="s">
        <v>2335</v>
      </c>
      <c r="F114" s="249"/>
      <c r="G114" s="356" t="str">
        <f>IF(A114=FALSE,"",IF(NAMES!$D$10=FALSE,IF(Detail!H114="","",Detail!H114),IF(Crewlist!D114="","",Crewlist!D114)))</f>
        <v/>
      </c>
      <c r="H114" s="356" t="str">
        <f>IF(A114=FALSE,"",IF(NAMES!$D$10=FALSE,IF(Detail!P114="","",Detail!P114),IF(Crewlist!E114="","",Crewlist!E114)))</f>
        <v/>
      </c>
      <c r="I114" s="356" t="str">
        <f>IF(A114=FALSE,"",IF(NAMES!$D$10=FALSE,IF(Detail!K114="","",Detail!K114),IF(Crewlist!F114="","",Crewlist!F114)))</f>
        <v/>
      </c>
      <c r="J114" s="1001" t="str">
        <f>IF(Crewlist!T114="","",Crewlist!T114)</f>
        <v/>
      </c>
      <c r="K114" s="1001" t="str">
        <f>IF(Crewlist!D114="","",IF(Crewlist!U114="",Crewlist!Y114,IF(DATERENOUVMOINS730&lt;&gt;Crewlist!U114&lt;&gt;Crewlist!Y114,Crewlist!U114,DATERENOUVMOINS365)))</f>
        <v/>
      </c>
      <c r="L114" s="775" t="str">
        <f>IF(Detail!X114="","",Detail!X114)</f>
        <v/>
      </c>
      <c r="M114" s="775" t="str">
        <f>IF(Detail!H114="","",IF(Detail!Y114="",DATERENOUV,IF(Detail!Y114&gt;Detail!D114,Detail!D114,Detail!Y114)))</f>
        <v/>
      </c>
      <c r="N114" s="1015" t="str">
        <f>IF(A114=FALSE,"",IF(NAMES!$D$10=FALSE,IF(B114=B115,IF(O114=O115,0,(DATEDIF(L114,M114,"M")+1)),(DATEDIF(L114,M114,"M")+1)),IF(B114=B115,IF(O114=O115,0,(DATEDIF(J114,K114,"M")+1)),(DATEDIF(J114,K114,"M")+1))))</f>
        <v/>
      </c>
      <c r="O114" s="357" t="str">
        <f t="shared" si="17"/>
        <v/>
      </c>
      <c r="P114" s="358" t="str">
        <f>IF(A114=FALSE,"",IF(NAMES!$D$10=FALSE,IF((DATEDIF(L114,M114,"D")+1)&lt;365,(DATEDIF(L114,M114,"D")+1),365),IF((DATEDIF(J114,K114,"D")+1)&lt;365,(DATEDIF(J114,K114,"D")+1),365)))</f>
        <v/>
      </c>
      <c r="Q114" s="358" t="str">
        <f>IF(A114=FALSE,"",IF(NAMES!$D$10=FALSE,IF(M114="",365,DATEDIF(L114,M114,"D")+1),IF(M114="",365,DATEDIF(J114,K114,"D")+1)))</f>
        <v/>
      </c>
      <c r="R114" s="950" t="str">
        <f>Calcul!X114</f>
        <v/>
      </c>
      <c r="S114" s="950" t="str">
        <f>Calcul!Y114</f>
        <v/>
      </c>
      <c r="T114" s="993" t="str">
        <f>Calcul!AG114</f>
        <v/>
      </c>
      <c r="U114" s="368" t="str">
        <f>IF(A114=FALSE,"",IF(NAMES!$D$10=FALSE,IF(Detail!S114="","",Detail!S114),IF(Crewlist!V114="","",Crewlist!V114)))</f>
        <v/>
      </c>
      <c r="V114" s="245" t="str">
        <f>Calcul!AI114</f>
        <v/>
      </c>
      <c r="W114" s="245" t="str">
        <f>Calcul!AL114</f>
        <v/>
      </c>
      <c r="X114" s="245" t="str">
        <f>Calcul!AM114</f>
        <v/>
      </c>
      <c r="Y114" s="353" t="str">
        <f>Calcul!AN114</f>
        <v/>
      </c>
      <c r="Z114" s="245" t="str">
        <f>Calcul!AO114</f>
        <v/>
      </c>
      <c r="AA114" s="245" t="str">
        <f>Calcul!AP114</f>
        <v/>
      </c>
      <c r="AB114" s="353" t="str">
        <f>Calcul!AQ114</f>
        <v/>
      </c>
      <c r="AC114" s="353" t="str">
        <f>IF(C114=FALSE,"",Calcul!BE114+Calcul!BF114)</f>
        <v/>
      </c>
      <c r="AD114" s="353" t="str">
        <f>IF(C114=FALSE,"",(Calcul!BG114+Calcul!BH114)+SUM(Calcul!BI114:BN114))</f>
        <v/>
      </c>
      <c r="AE114" s="353" t="str">
        <f>Calcul!BP114</f>
        <v/>
      </c>
      <c r="AF114" s="332" t="str">
        <f>IF(A114=FALSE,"",YEAR(Detail!F114)&amp;Detail!AG114&amp;Detail!AD114&amp;"-"&amp;Detail!$AD$13&amp;Detail!AE114)</f>
        <v/>
      </c>
      <c r="AG114" s="807" t="s">
        <v>2236</v>
      </c>
      <c r="AH114" s="527" t="s">
        <v>2277</v>
      </c>
      <c r="AI114" s="261">
        <v>0</v>
      </c>
      <c r="AJ114" s="261" t="s">
        <v>2236</v>
      </c>
      <c r="AK114" s="1410">
        <v>32</v>
      </c>
      <c r="AL114" s="508">
        <v>0</v>
      </c>
      <c r="AM114" s="261">
        <v>1</v>
      </c>
      <c r="AN114" s="261">
        <v>0</v>
      </c>
      <c r="AO114" s="333" t="str">
        <f>IF(A114=FALSE,"",IF(Detail!AL114="","N/A",YEAR(Detail!F114)&amp;Detail!AO114&amp;Detail!AL114&amp;"-"&amp;Detail!$AL$13&amp;Detail!AM114))</f>
        <v/>
      </c>
      <c r="AP114" s="1012" t="s">
        <v>2236</v>
      </c>
      <c r="AQ114" s="527" t="s">
        <v>2277</v>
      </c>
      <c r="AR114" s="1013">
        <f t="shared" si="18"/>
        <v>0</v>
      </c>
      <c r="AS114" s="261" t="s">
        <v>2236</v>
      </c>
      <c r="AT114" s="264">
        <v>0</v>
      </c>
      <c r="AU114" s="261">
        <v>0</v>
      </c>
      <c r="AV114" s="261">
        <v>1</v>
      </c>
      <c r="AW114" s="261">
        <v>0</v>
      </c>
      <c r="AX114" s="920" t="str">
        <f>IF(A114=FALSE,"",IF(Detail!AT114="","N/A",YEAR(Detail!F114)&amp;Detail!AW114&amp;Detail!AT114&amp;"-"&amp;Detail!$AT$13))</f>
        <v/>
      </c>
      <c r="AY114" s="1014" t="s">
        <v>2236</v>
      </c>
      <c r="AZ114" s="308" t="s">
        <v>2278</v>
      </c>
      <c r="BA114" s="440" t="str">
        <f>IF(A114=FALSE,"",51000+(Detail!AA114*7000))</f>
        <v/>
      </c>
      <c r="BB114" s="1412">
        <v>50000</v>
      </c>
      <c r="BC114" s="247">
        <v>3</v>
      </c>
      <c r="BD114" s="261">
        <v>0</v>
      </c>
      <c r="BE114" s="261" t="s">
        <v>2236</v>
      </c>
      <c r="BF114" s="264">
        <v>0</v>
      </c>
      <c r="BG114" s="508">
        <v>0</v>
      </c>
      <c r="BH114" s="261">
        <v>1</v>
      </c>
      <c r="BI114" s="261">
        <v>0</v>
      </c>
      <c r="BJ114" s="311" t="str">
        <f>IF(A114=FALSE,"",IF(Detail!BB114="","N/A",YEAR(Detail!F114)&amp;Detail!BE114&amp;Detail!BB114&amp;"-"&amp;Detail!$BB$13))</f>
        <v/>
      </c>
      <c r="BK114" s="1354" t="s">
        <v>2236</v>
      </c>
      <c r="BL114" s="527" t="s">
        <v>2278</v>
      </c>
      <c r="BM114" s="440" t="str">
        <f>IF(A114=FALSE,"",51000+(Detail!AA114*7000))</f>
        <v/>
      </c>
      <c r="BN114" s="1412">
        <v>50000</v>
      </c>
      <c r="BO114" s="247">
        <v>3</v>
      </c>
      <c r="BP114" s="261">
        <v>0</v>
      </c>
      <c r="BQ114" s="261" t="s">
        <v>2236</v>
      </c>
      <c r="BR114" s="264">
        <v>0</v>
      </c>
      <c r="BS114" s="508">
        <v>0</v>
      </c>
      <c r="BT114" s="261">
        <v>1</v>
      </c>
      <c r="BU114" s="261">
        <v>0</v>
      </c>
      <c r="BV114" s="311" t="str">
        <f>IF(A114=FALSE,"",IF(Detail!BJ114="","N/A",YEAR(Detail!F114)&amp;Detail!BM114&amp;Detail!BJ114&amp;"-"&amp;Detail!$BJ$13))</f>
        <v/>
      </c>
      <c r="BW114" s="1327" t="s">
        <v>2236</v>
      </c>
      <c r="BX114" s="527" t="s">
        <v>2278</v>
      </c>
      <c r="BY114" s="440" t="str">
        <f t="shared" si="19"/>
        <v/>
      </c>
      <c r="BZ114" s="1412">
        <v>50000</v>
      </c>
      <c r="CA114" s="247">
        <v>3</v>
      </c>
      <c r="CB114" s="261">
        <v>0</v>
      </c>
      <c r="CC114" s="261" t="s">
        <v>2236</v>
      </c>
      <c r="CD114" s="264">
        <v>0</v>
      </c>
      <c r="CE114" s="508">
        <v>0</v>
      </c>
      <c r="CF114" s="261">
        <v>1</v>
      </c>
      <c r="CG114" s="261">
        <v>0</v>
      </c>
      <c r="CH114" s="311" t="str">
        <f>IF(A114=FALSE,"",IF(Detail!BR114="","N/A",YEAR(Detail!F114)&amp;Detail!BU114&amp;Detail!BR114&amp;"-"&amp;Detail!$BR$13))</f>
        <v/>
      </c>
      <c r="CI114" s="925" t="s">
        <v>2236</v>
      </c>
      <c r="CJ114" s="527" t="s">
        <v>2278</v>
      </c>
      <c r="CK114" s="440" t="str">
        <f t="shared" si="20"/>
        <v/>
      </c>
      <c r="CL114" s="1412">
        <v>50000</v>
      </c>
      <c r="CM114" s="247">
        <v>3</v>
      </c>
      <c r="CN114" s="261">
        <v>0</v>
      </c>
      <c r="CO114" s="261" t="s">
        <v>2236</v>
      </c>
      <c r="CP114" s="264">
        <v>0</v>
      </c>
      <c r="CQ114" s="508">
        <v>0</v>
      </c>
      <c r="CR114" s="261">
        <v>1</v>
      </c>
      <c r="CS114" s="261">
        <v>0</v>
      </c>
      <c r="CT114" s="311" t="str">
        <f>IF(A114=FALSE,"",IF(Detail!BZ114="","N/A",YEAR(Detail!F114)&amp;Detail!CC114&amp;Detail!BZ114&amp;"-"&amp;Detail!$BZ$13&amp;" (100%/"&amp;Detail!CD114&amp;"/"&amp;Detail!CE114&amp;"D)"))</f>
        <v/>
      </c>
      <c r="CU114" s="1016" t="s">
        <v>2236</v>
      </c>
      <c r="CV114" s="527" t="s">
        <v>2278</v>
      </c>
      <c r="CW114" s="241">
        <v>7</v>
      </c>
      <c r="CX114" s="1323">
        <v>365</v>
      </c>
      <c r="CY114" s="248">
        <v>1</v>
      </c>
      <c r="CZ114" s="261">
        <v>0</v>
      </c>
      <c r="DA114" s="1325" t="s">
        <v>2236</v>
      </c>
      <c r="DB114" s="538">
        <v>40</v>
      </c>
      <c r="DC114" s="1325">
        <v>0.1</v>
      </c>
      <c r="DD114" s="261">
        <v>1</v>
      </c>
      <c r="DE114" s="261">
        <v>0</v>
      </c>
      <c r="DF114" s="313" t="str">
        <f>IF(A114=FALSE,"",IF(Detail!CH114="","N/A",YEAR(Detail!F114)&amp;Detail!CK114&amp;Detail!CH114&amp;"-"&amp;Detail!$CH$13&amp;" (100%/"&amp;Detail!CL114&amp;"/"&amp;Detail!CM114&amp;"D)"))</f>
        <v/>
      </c>
      <c r="DG114" s="1354" t="s">
        <v>2236</v>
      </c>
      <c r="DH114" s="518" t="s">
        <v>2278</v>
      </c>
      <c r="DI114" s="241">
        <f t="shared" si="21"/>
        <v>7</v>
      </c>
      <c r="DJ114" s="243">
        <f t="shared" si="22"/>
        <v>365</v>
      </c>
      <c r="DK114" s="258">
        <v>1</v>
      </c>
      <c r="DL114" s="261">
        <v>0</v>
      </c>
      <c r="DM114" s="1325" t="s">
        <v>2236</v>
      </c>
      <c r="DN114" s="538">
        <v>96</v>
      </c>
      <c r="DO114" s="1325">
        <f t="shared" si="23"/>
        <v>0.1</v>
      </c>
      <c r="DP114" s="261">
        <v>1</v>
      </c>
      <c r="DQ114" s="261">
        <v>0</v>
      </c>
      <c r="DR114" s="920" t="str">
        <f>IF(A114=FALSE,"",IF(Detail!CP114="","N/A",YEAR(Detail!F114)&amp;Detail!CS114&amp;Detail!CP114&amp;"-"&amp;Detail!$CP$13))</f>
        <v/>
      </c>
      <c r="DS114" s="308" t="s">
        <v>2236</v>
      </c>
      <c r="DT114" s="720" t="s">
        <v>2277</v>
      </c>
      <c r="DU114" s="244">
        <v>50000</v>
      </c>
      <c r="DV114" s="247">
        <v>2</v>
      </c>
      <c r="DW114" s="261">
        <v>0</v>
      </c>
      <c r="DX114" s="261" t="s">
        <v>2236</v>
      </c>
      <c r="DY114" s="264">
        <v>0</v>
      </c>
      <c r="DZ114" s="444">
        <v>0</v>
      </c>
      <c r="EA114" s="444">
        <v>1</v>
      </c>
      <c r="EB114" s="444">
        <v>0</v>
      </c>
      <c r="EC114" s="761" t="str">
        <f>IF(A114=FALSE,"",IF(Detail!CX114="","N/A",YEAR(Detail!F114)&amp;Detail!DA114&amp;Detail!CX114&amp;"-"&amp;Detail!$CX$13))</f>
        <v/>
      </c>
      <c r="ED114" s="445" t="s">
        <v>2236</v>
      </c>
      <c r="EE114" s="720" t="s">
        <v>2277</v>
      </c>
      <c r="EF114" s="244">
        <v>50000</v>
      </c>
      <c r="EG114" s="247">
        <v>2</v>
      </c>
      <c r="EH114" s="261">
        <v>0</v>
      </c>
      <c r="EI114" s="261" t="s">
        <v>2236</v>
      </c>
      <c r="EJ114" s="264">
        <v>0</v>
      </c>
      <c r="EK114" s="444">
        <v>0</v>
      </c>
      <c r="EL114" s="444">
        <v>1</v>
      </c>
      <c r="EM114" s="444">
        <v>0</v>
      </c>
      <c r="EN114" s="333" t="str">
        <f>IF(A114=FALSE,"",IF(Detail!DF114="","N/A",YEAR(Detail!F114)&amp;Detail!DI114&amp;Detail!DF114&amp;"-"&amp;Detail!$DF$13))</f>
        <v/>
      </c>
      <c r="EO114" s="1012" t="s">
        <v>2236</v>
      </c>
      <c r="EP114" s="1012" t="s">
        <v>2277</v>
      </c>
      <c r="EQ114" s="1013">
        <f t="shared" si="24"/>
        <v>0</v>
      </c>
      <c r="ER114" s="1013" t="s">
        <v>2236</v>
      </c>
      <c r="ES114" s="264">
        <v>0</v>
      </c>
      <c r="ET114" s="1013">
        <v>0</v>
      </c>
      <c r="EU114" s="1013">
        <v>1</v>
      </c>
      <c r="EV114" s="1013">
        <v>0</v>
      </c>
      <c r="EW114" s="333" t="str">
        <f>IF(DJ114=FALSE,"",IF(Detail!ET114="","N/A",YEAR(Detail!DN114)&amp;Detail!EW114&amp;Detail!ET114&amp;"-"&amp;Detail!$AL$13&amp;Detail!EU114))</f>
        <v>N/A</v>
      </c>
      <c r="EX114" s="1012" t="s">
        <v>2236</v>
      </c>
      <c r="EY114" s="1012" t="s">
        <v>2277</v>
      </c>
      <c r="EZ114" s="1013">
        <f t="shared" si="25"/>
        <v>0</v>
      </c>
      <c r="FA114" s="1013" t="s">
        <v>2236</v>
      </c>
      <c r="FB114" s="264">
        <v>0</v>
      </c>
      <c r="FC114" s="1013">
        <v>0</v>
      </c>
      <c r="FD114" s="1013">
        <v>1</v>
      </c>
      <c r="FE114" s="1013">
        <v>0</v>
      </c>
    </row>
    <row r="115" spans="1:161" s="422" customFormat="1" ht="30" customHeight="1" outlineLevel="1">
      <c r="A115" s="439" t="b">
        <f>Calcul!A115</f>
        <v>0</v>
      </c>
      <c r="B115" s="510" t="str">
        <f t="shared" si="26"/>
        <v/>
      </c>
      <c r="C115" s="241" t="b">
        <v>0</v>
      </c>
      <c r="D115" s="241" t="s">
        <v>2147</v>
      </c>
      <c r="E115" s="1011" t="s">
        <v>2335</v>
      </c>
      <c r="F115" s="249"/>
      <c r="G115" s="356" t="str">
        <f>IF(A115=FALSE,"",IF(NAMES!$D$10=FALSE,IF(Detail!H115="","",Detail!H115),IF(Crewlist!D115="","",Crewlist!D115)))</f>
        <v/>
      </c>
      <c r="H115" s="356" t="str">
        <f>IF(A115=FALSE,"",IF(NAMES!$D$10=FALSE,IF(Detail!P115="","",Detail!P115),IF(Crewlist!E115="","",Crewlist!E115)))</f>
        <v/>
      </c>
      <c r="I115" s="356" t="str">
        <f>IF(A115=FALSE,"",IF(NAMES!$D$10=FALSE,IF(Detail!K115="","",Detail!K115),IF(Crewlist!F115="","",Crewlist!F115)))</f>
        <v/>
      </c>
      <c r="J115" s="1001" t="str">
        <f>IF(Crewlist!T115="","",Crewlist!T115)</f>
        <v/>
      </c>
      <c r="K115" s="1001" t="str">
        <f>IF(Crewlist!D115="","",IF(Crewlist!U115="",Crewlist!Y115,IF(DATERENOUVMOINS730&lt;&gt;Crewlist!U115&lt;&gt;Crewlist!Y115,Crewlist!U115,DATERENOUVMOINS365)))</f>
        <v/>
      </c>
      <c r="L115" s="775" t="str">
        <f>IF(Detail!X115="","",Detail!X115)</f>
        <v/>
      </c>
      <c r="M115" s="775" t="str">
        <f>IF(Detail!H115="","",IF(Detail!Y115="",DATERENOUV,IF(Detail!Y115&gt;Detail!D115,Detail!D115,Detail!Y115)))</f>
        <v/>
      </c>
      <c r="N115" s="1015" t="str">
        <f>IF(A115=FALSE,"",IF(NAMES!$D$10=FALSE,IF(B115=B116,IF(O115=O116,0,(DATEDIF(L115,M115,"M")+1)),(DATEDIF(L115,M115,"M")+1)),IF(B115=B116,IF(O115=O116,0,(DATEDIF(J115,K115,"M")+1)),(DATEDIF(J115,K115,"M")+1))))</f>
        <v/>
      </c>
      <c r="O115" s="357" t="str">
        <f t="shared" si="17"/>
        <v/>
      </c>
      <c r="P115" s="358" t="str">
        <f>IF(A115=FALSE,"",IF(NAMES!$D$10=FALSE,IF((DATEDIF(L115,M115,"D")+1)&lt;365,(DATEDIF(L115,M115,"D")+1),365),IF((DATEDIF(J115,K115,"D")+1)&lt;365,(DATEDIF(J115,K115,"D")+1),365)))</f>
        <v/>
      </c>
      <c r="Q115" s="358" t="str">
        <f>IF(A115=FALSE,"",IF(NAMES!$D$10=FALSE,IF(M115="",365,DATEDIF(L115,M115,"D")+1),IF(M115="",365,DATEDIF(J115,K115,"D")+1)))</f>
        <v/>
      </c>
      <c r="R115" s="950" t="str">
        <f>Calcul!X115</f>
        <v/>
      </c>
      <c r="S115" s="950" t="str">
        <f>Calcul!Y115</f>
        <v/>
      </c>
      <c r="T115" s="993" t="str">
        <f>Calcul!AG115</f>
        <v/>
      </c>
      <c r="U115" s="368" t="str">
        <f>IF(A115=FALSE,"",IF(NAMES!$D$10=FALSE,IF(Detail!S115="","",Detail!S115),IF(Crewlist!V115="","",Crewlist!V115)))</f>
        <v/>
      </c>
      <c r="V115" s="245" t="str">
        <f>Calcul!AI115</f>
        <v/>
      </c>
      <c r="W115" s="245" t="str">
        <f>Calcul!AL115</f>
        <v/>
      </c>
      <c r="X115" s="245" t="str">
        <f>Calcul!AM115</f>
        <v/>
      </c>
      <c r="Y115" s="353" t="str">
        <f>Calcul!AN115</f>
        <v/>
      </c>
      <c r="Z115" s="245" t="str">
        <f>Calcul!AO115</f>
        <v/>
      </c>
      <c r="AA115" s="245" t="str">
        <f>Calcul!AP115</f>
        <v/>
      </c>
      <c r="AB115" s="353" t="str">
        <f>Calcul!AQ115</f>
        <v/>
      </c>
      <c r="AC115" s="353" t="str">
        <f>IF(C115=FALSE,"",Calcul!BE115+Calcul!BF115)</f>
        <v/>
      </c>
      <c r="AD115" s="353" t="str">
        <f>IF(C115=FALSE,"",(Calcul!BG115+Calcul!BH115)+SUM(Calcul!BI115:BN115))</f>
        <v/>
      </c>
      <c r="AE115" s="353" t="str">
        <f>Calcul!BP115</f>
        <v/>
      </c>
      <c r="AF115" s="332" t="str">
        <f>IF(A115=FALSE,"",YEAR(Detail!F115)&amp;Detail!AG115&amp;Detail!AD115&amp;"-"&amp;Detail!$AD$13&amp;Detail!AE115)</f>
        <v/>
      </c>
      <c r="AG115" s="807" t="s">
        <v>2236</v>
      </c>
      <c r="AH115" s="527" t="s">
        <v>2277</v>
      </c>
      <c r="AI115" s="261">
        <v>0</v>
      </c>
      <c r="AJ115" s="261" t="s">
        <v>2236</v>
      </c>
      <c r="AK115" s="1410">
        <v>32</v>
      </c>
      <c r="AL115" s="508">
        <v>0</v>
      </c>
      <c r="AM115" s="261">
        <v>1</v>
      </c>
      <c r="AN115" s="261">
        <v>0</v>
      </c>
      <c r="AO115" s="333" t="str">
        <f>IF(A115=FALSE,"",IF(Detail!AL115="","N/A",YEAR(Detail!F115)&amp;Detail!AO115&amp;Detail!AL115&amp;"-"&amp;Detail!$AL$13&amp;Detail!AM115))</f>
        <v/>
      </c>
      <c r="AP115" s="246" t="s">
        <v>2236</v>
      </c>
      <c r="AQ115" s="527" t="s">
        <v>2277</v>
      </c>
      <c r="AR115" s="1013">
        <f t="shared" si="18"/>
        <v>0</v>
      </c>
      <c r="AS115" s="261" t="s">
        <v>2236</v>
      </c>
      <c r="AT115" s="264">
        <v>0</v>
      </c>
      <c r="AU115" s="261">
        <v>0</v>
      </c>
      <c r="AV115" s="261">
        <v>1</v>
      </c>
      <c r="AW115" s="261">
        <v>0</v>
      </c>
      <c r="AX115" s="920" t="str">
        <f>IF(A115=FALSE,"",IF(Detail!AT115="","N/A",YEAR(Detail!F115)&amp;Detail!AW115&amp;Detail!AT115&amp;"-"&amp;Detail!$AT$13))</f>
        <v/>
      </c>
      <c r="AY115" s="1014" t="s">
        <v>2236</v>
      </c>
      <c r="AZ115" s="308" t="s">
        <v>2278</v>
      </c>
      <c r="BA115" s="440" t="str">
        <f>IF(A115=FALSE,"",51000+(Detail!AA115*7000))</f>
        <v/>
      </c>
      <c r="BB115" s="1412">
        <v>50000</v>
      </c>
      <c r="BC115" s="247">
        <v>3</v>
      </c>
      <c r="BD115" s="261">
        <v>0</v>
      </c>
      <c r="BE115" s="261" t="s">
        <v>2236</v>
      </c>
      <c r="BF115" s="264">
        <v>0</v>
      </c>
      <c r="BG115" s="508">
        <v>0</v>
      </c>
      <c r="BH115" s="261">
        <v>1</v>
      </c>
      <c r="BI115" s="261">
        <v>0</v>
      </c>
      <c r="BJ115" s="311" t="str">
        <f>IF(A115=FALSE,"",IF(Detail!BB115="","N/A",YEAR(Detail!F115)&amp;Detail!BE115&amp;Detail!BB115&amp;"-"&amp;Detail!$BB$13))</f>
        <v/>
      </c>
      <c r="BK115" s="1354" t="s">
        <v>2236</v>
      </c>
      <c r="BL115" s="527" t="s">
        <v>2278</v>
      </c>
      <c r="BM115" s="440" t="str">
        <f>IF(A115=FALSE,"",51000+(Detail!AA115*7000))</f>
        <v/>
      </c>
      <c r="BN115" s="1412">
        <v>50000</v>
      </c>
      <c r="BO115" s="247">
        <v>3</v>
      </c>
      <c r="BP115" s="261">
        <v>0</v>
      </c>
      <c r="BQ115" s="261" t="s">
        <v>2236</v>
      </c>
      <c r="BR115" s="264">
        <v>0</v>
      </c>
      <c r="BS115" s="508">
        <v>0</v>
      </c>
      <c r="BT115" s="261">
        <v>1</v>
      </c>
      <c r="BU115" s="261">
        <v>0</v>
      </c>
      <c r="BV115" s="311" t="str">
        <f>IF(A115=FALSE,"",IF(Detail!BJ115="","N/A",YEAR(Detail!F115)&amp;Detail!BM115&amp;Detail!BJ115&amp;"-"&amp;Detail!$BJ$13))</f>
        <v/>
      </c>
      <c r="BW115" s="1016" t="s">
        <v>2236</v>
      </c>
      <c r="BX115" s="527" t="s">
        <v>2278</v>
      </c>
      <c r="BY115" s="440" t="str">
        <f t="shared" si="19"/>
        <v/>
      </c>
      <c r="BZ115" s="1412">
        <v>50000</v>
      </c>
      <c r="CA115" s="247">
        <v>3</v>
      </c>
      <c r="CB115" s="261">
        <v>0</v>
      </c>
      <c r="CC115" s="261" t="s">
        <v>2236</v>
      </c>
      <c r="CD115" s="264">
        <v>0</v>
      </c>
      <c r="CE115" s="508">
        <v>0</v>
      </c>
      <c r="CF115" s="261">
        <v>1</v>
      </c>
      <c r="CG115" s="261">
        <v>0</v>
      </c>
      <c r="CH115" s="311" t="str">
        <f>IF(A115=FALSE,"",IF(Detail!BR115="","N/A",YEAR(Detail!F115)&amp;Detail!BU115&amp;Detail!BR115&amp;"-"&amp;Detail!$BR$13))</f>
        <v/>
      </c>
      <c r="CI115" s="925" t="s">
        <v>2236</v>
      </c>
      <c r="CJ115" s="527" t="s">
        <v>2278</v>
      </c>
      <c r="CK115" s="440" t="str">
        <f t="shared" si="20"/>
        <v/>
      </c>
      <c r="CL115" s="1412">
        <v>50000</v>
      </c>
      <c r="CM115" s="247">
        <v>3</v>
      </c>
      <c r="CN115" s="261">
        <v>0</v>
      </c>
      <c r="CO115" s="261" t="s">
        <v>2236</v>
      </c>
      <c r="CP115" s="264">
        <v>0</v>
      </c>
      <c r="CQ115" s="508">
        <v>0</v>
      </c>
      <c r="CR115" s="261">
        <v>1</v>
      </c>
      <c r="CS115" s="261">
        <v>0</v>
      </c>
      <c r="CT115" s="311" t="str">
        <f>IF(A115=FALSE,"",IF(Detail!BZ115="","N/A",YEAR(Detail!F115)&amp;Detail!CC115&amp;Detail!BZ115&amp;"-"&amp;Detail!$BZ$13&amp;" (100%/"&amp;Detail!CD115&amp;"/"&amp;Detail!CE115&amp;"D)"))</f>
        <v/>
      </c>
      <c r="CU115" s="1016" t="s">
        <v>2236</v>
      </c>
      <c r="CV115" s="527" t="s">
        <v>2278</v>
      </c>
      <c r="CW115" s="241">
        <v>7</v>
      </c>
      <c r="CX115" s="1323">
        <v>365</v>
      </c>
      <c r="CY115" s="248">
        <v>1</v>
      </c>
      <c r="CZ115" s="261">
        <v>0</v>
      </c>
      <c r="DA115" s="1325" t="s">
        <v>2236</v>
      </c>
      <c r="DB115" s="538">
        <v>40</v>
      </c>
      <c r="DC115" s="1325">
        <v>0.1</v>
      </c>
      <c r="DD115" s="261">
        <v>1</v>
      </c>
      <c r="DE115" s="261">
        <v>0</v>
      </c>
      <c r="DF115" s="313" t="str">
        <f>IF(A115=FALSE,"",IF(Detail!CH115="","N/A",YEAR(Detail!F115)&amp;Detail!CK115&amp;Detail!CH115&amp;"-"&amp;Detail!$CH$13&amp;" (100%/"&amp;Detail!CL115&amp;"/"&amp;Detail!CM115&amp;"D)"))</f>
        <v/>
      </c>
      <c r="DG115" s="1354" t="s">
        <v>2236</v>
      </c>
      <c r="DH115" s="518" t="s">
        <v>2278</v>
      </c>
      <c r="DI115" s="241">
        <f t="shared" si="21"/>
        <v>7</v>
      </c>
      <c r="DJ115" s="243">
        <f t="shared" si="22"/>
        <v>365</v>
      </c>
      <c r="DK115" s="258">
        <v>1</v>
      </c>
      <c r="DL115" s="261">
        <v>0</v>
      </c>
      <c r="DM115" s="1325" t="s">
        <v>2236</v>
      </c>
      <c r="DN115" s="538">
        <v>96</v>
      </c>
      <c r="DO115" s="1325">
        <f t="shared" si="23"/>
        <v>0.1</v>
      </c>
      <c r="DP115" s="261">
        <v>1</v>
      </c>
      <c r="DQ115" s="261">
        <v>0</v>
      </c>
      <c r="DR115" s="920" t="str">
        <f>IF(A115=FALSE,"",IF(Detail!CP115="","N/A",YEAR(Detail!F115)&amp;Detail!CS115&amp;Detail!CP115&amp;"-"&amp;Detail!$CP$13))</f>
        <v/>
      </c>
      <c r="DS115" s="308" t="s">
        <v>2236</v>
      </c>
      <c r="DT115" s="720" t="s">
        <v>2277</v>
      </c>
      <c r="DU115" s="244">
        <v>50000</v>
      </c>
      <c r="DV115" s="247">
        <v>2</v>
      </c>
      <c r="DW115" s="261">
        <v>0</v>
      </c>
      <c r="DX115" s="261" t="s">
        <v>2236</v>
      </c>
      <c r="DY115" s="264">
        <v>0</v>
      </c>
      <c r="DZ115" s="444">
        <v>0</v>
      </c>
      <c r="EA115" s="444">
        <v>1</v>
      </c>
      <c r="EB115" s="444">
        <v>0</v>
      </c>
      <c r="EC115" s="761" t="str">
        <f>IF(A115=FALSE,"",IF(Detail!CX115="","N/A",YEAR(Detail!F115)&amp;Detail!DA115&amp;Detail!CX115&amp;"-"&amp;Detail!$CX$13))</f>
        <v/>
      </c>
      <c r="ED115" s="445" t="s">
        <v>2236</v>
      </c>
      <c r="EE115" s="720" t="s">
        <v>2277</v>
      </c>
      <c r="EF115" s="244">
        <v>50000</v>
      </c>
      <c r="EG115" s="247">
        <v>2</v>
      </c>
      <c r="EH115" s="261">
        <v>0</v>
      </c>
      <c r="EI115" s="261" t="s">
        <v>2236</v>
      </c>
      <c r="EJ115" s="264">
        <v>0</v>
      </c>
      <c r="EK115" s="444">
        <v>0</v>
      </c>
      <c r="EL115" s="444">
        <v>1</v>
      </c>
      <c r="EM115" s="444">
        <v>0</v>
      </c>
      <c r="EN115" s="333" t="str">
        <f>IF(A115=FALSE,"",IF(Detail!DF115="","N/A",YEAR(Detail!F115)&amp;Detail!DI115&amp;Detail!DF115&amp;"-"&amp;Detail!$DF$13))</f>
        <v/>
      </c>
      <c r="EO115" s="1012" t="s">
        <v>2236</v>
      </c>
      <c r="EP115" s="1012" t="s">
        <v>2277</v>
      </c>
      <c r="EQ115" s="1013">
        <f t="shared" si="24"/>
        <v>0</v>
      </c>
      <c r="ER115" s="1013" t="s">
        <v>2236</v>
      </c>
      <c r="ES115" s="264">
        <v>0</v>
      </c>
      <c r="ET115" s="1013">
        <v>0</v>
      </c>
      <c r="EU115" s="1013">
        <v>1</v>
      </c>
      <c r="EV115" s="1013">
        <v>0</v>
      </c>
      <c r="EW115" s="333" t="str">
        <f>IF(DJ115=FALSE,"",IF(Detail!ET115="","N/A",YEAR(Detail!DN115)&amp;Detail!EW115&amp;Detail!ET115&amp;"-"&amp;Detail!$AL$13&amp;Detail!EU115))</f>
        <v>N/A</v>
      </c>
      <c r="EX115" s="1012" t="s">
        <v>2236</v>
      </c>
      <c r="EY115" s="1012" t="s">
        <v>2277</v>
      </c>
      <c r="EZ115" s="1013">
        <f t="shared" si="25"/>
        <v>0</v>
      </c>
      <c r="FA115" s="1013" t="s">
        <v>2236</v>
      </c>
      <c r="FB115" s="264">
        <v>0</v>
      </c>
      <c r="FC115" s="1013">
        <v>0</v>
      </c>
      <c r="FD115" s="1013">
        <v>1</v>
      </c>
      <c r="FE115" s="1013">
        <v>0</v>
      </c>
    </row>
    <row r="116" spans="1:161" s="422" customFormat="1" ht="30" customHeight="1" outlineLevel="1">
      <c r="A116" s="439" t="b">
        <f>Calcul!A116</f>
        <v>0</v>
      </c>
      <c r="B116" s="510" t="str">
        <f t="shared" si="26"/>
        <v/>
      </c>
      <c r="C116" s="241" t="b">
        <v>0</v>
      </c>
      <c r="D116" s="241" t="s">
        <v>2147</v>
      </c>
      <c r="E116" s="1011" t="s">
        <v>2335</v>
      </c>
      <c r="F116" s="249"/>
      <c r="G116" s="356" t="str">
        <f>IF(A116=FALSE,"",IF(NAMES!$D$10=FALSE,IF(Detail!H116="","",Detail!H116),IF(Crewlist!D116="","",Crewlist!D116)))</f>
        <v/>
      </c>
      <c r="H116" s="356" t="str">
        <f>IF(A116=FALSE,"",IF(NAMES!$D$10=FALSE,IF(Detail!P116="","",Detail!P116),IF(Crewlist!E116="","",Crewlist!E116)))</f>
        <v/>
      </c>
      <c r="I116" s="356" t="str">
        <f>IF(A116=FALSE,"",IF(NAMES!$D$10=FALSE,IF(Detail!K116="","",Detail!K116),IF(Crewlist!F116="","",Crewlist!F116)))</f>
        <v/>
      </c>
      <c r="J116" s="1001" t="str">
        <f>IF(Crewlist!T116="","",Crewlist!T116)</f>
        <v/>
      </c>
      <c r="K116" s="1001" t="str">
        <f>IF(Crewlist!D116="","",IF(Crewlist!U116="",Crewlist!Y116,IF(DATERENOUVMOINS730&lt;&gt;Crewlist!U116&lt;&gt;Crewlist!Y116,Crewlist!U116,DATERENOUVMOINS365)))</f>
        <v/>
      </c>
      <c r="L116" s="775" t="str">
        <f>IF(Detail!X116="","",Detail!X116)</f>
        <v/>
      </c>
      <c r="M116" s="775" t="str">
        <f>IF(Detail!H116="","",IF(Detail!Y116="",DATERENOUV,IF(Detail!Y116&gt;Detail!D116,Detail!D116,Detail!Y116)))</f>
        <v/>
      </c>
      <c r="N116" s="1015" t="str">
        <f>IF(A116=FALSE,"",IF(NAMES!$D$10=FALSE,IF(B116=B117,IF(O116=O117,0,(DATEDIF(L116,M116,"M")+1)),(DATEDIF(L116,M116,"M")+1)),IF(B116=B117,IF(O116=O117,0,(DATEDIF(J116,K116,"M")+1)),(DATEDIF(J116,K116,"M")+1))))</f>
        <v/>
      </c>
      <c r="O116" s="357" t="str">
        <f t="shared" si="17"/>
        <v/>
      </c>
      <c r="P116" s="358" t="str">
        <f>IF(A116=FALSE,"",IF(NAMES!$D$10=FALSE,IF((DATEDIF(L116,M116,"D")+1)&lt;365,(DATEDIF(L116,M116,"D")+1),365),IF((DATEDIF(J116,K116,"D")+1)&lt;365,(DATEDIF(J116,K116,"D")+1),365)))</f>
        <v/>
      </c>
      <c r="Q116" s="358" t="str">
        <f>IF(A116=FALSE,"",IF(NAMES!$D$10=FALSE,IF(M116="",365,DATEDIF(L116,M116,"D")+1),IF(M116="",365,DATEDIF(J116,K116,"D")+1)))</f>
        <v/>
      </c>
      <c r="R116" s="950" t="str">
        <f>Calcul!X116</f>
        <v/>
      </c>
      <c r="S116" s="950" t="str">
        <f>Calcul!Y116</f>
        <v/>
      </c>
      <c r="T116" s="993" t="str">
        <f>Calcul!AG116</f>
        <v/>
      </c>
      <c r="U116" s="368" t="str">
        <f>IF(A116=FALSE,"",IF(NAMES!$D$10=FALSE,IF(Detail!S116="","",Detail!S116),IF(Crewlist!V116="","",Crewlist!V116)))</f>
        <v/>
      </c>
      <c r="V116" s="245" t="str">
        <f>Calcul!AI116</f>
        <v/>
      </c>
      <c r="W116" s="245" t="str">
        <f>Calcul!AL116</f>
        <v/>
      </c>
      <c r="X116" s="245" t="str">
        <f>Calcul!AM116</f>
        <v/>
      </c>
      <c r="Y116" s="353" t="str">
        <f>Calcul!AN116</f>
        <v/>
      </c>
      <c r="Z116" s="245" t="str">
        <f>Calcul!AO116</f>
        <v/>
      </c>
      <c r="AA116" s="245" t="str">
        <f>Calcul!AP116</f>
        <v/>
      </c>
      <c r="AB116" s="353" t="str">
        <f>Calcul!AQ116</f>
        <v/>
      </c>
      <c r="AC116" s="353" t="str">
        <f>IF(C116=FALSE,"",Calcul!BE116+Calcul!BF116)</f>
        <v/>
      </c>
      <c r="AD116" s="353" t="str">
        <f>IF(C116=FALSE,"",(Calcul!BG116+Calcul!BH116)+SUM(Calcul!BI116:BN116))</f>
        <v/>
      </c>
      <c r="AE116" s="353" t="str">
        <f>Calcul!BP116</f>
        <v/>
      </c>
      <c r="AF116" s="332" t="str">
        <f>IF(A116=FALSE,"",YEAR(Detail!F116)&amp;Detail!AG116&amp;Detail!AD116&amp;"-"&amp;Detail!$AD$13&amp;Detail!AE116)</f>
        <v/>
      </c>
      <c r="AG116" s="807" t="s">
        <v>2236</v>
      </c>
      <c r="AH116" s="527" t="s">
        <v>2277</v>
      </c>
      <c r="AI116" s="261">
        <v>0</v>
      </c>
      <c r="AJ116" s="261" t="s">
        <v>2236</v>
      </c>
      <c r="AK116" s="1410">
        <v>32</v>
      </c>
      <c r="AL116" s="508">
        <v>0</v>
      </c>
      <c r="AM116" s="261">
        <v>1</v>
      </c>
      <c r="AN116" s="261">
        <v>0</v>
      </c>
      <c r="AO116" s="333" t="str">
        <f>IF(A116=FALSE,"",IF(Detail!AL116="","N/A",YEAR(Detail!F116)&amp;Detail!AO116&amp;Detail!AL116&amp;"-"&amp;Detail!$AL$13&amp;Detail!AM116))</f>
        <v/>
      </c>
      <c r="AP116" s="246" t="s">
        <v>2236</v>
      </c>
      <c r="AQ116" s="527" t="s">
        <v>2277</v>
      </c>
      <c r="AR116" s="1013">
        <f t="shared" si="18"/>
        <v>0</v>
      </c>
      <c r="AS116" s="261" t="s">
        <v>2236</v>
      </c>
      <c r="AT116" s="264">
        <v>0</v>
      </c>
      <c r="AU116" s="261">
        <v>0</v>
      </c>
      <c r="AV116" s="261">
        <v>1</v>
      </c>
      <c r="AW116" s="261">
        <v>0</v>
      </c>
      <c r="AX116" s="920" t="str">
        <f>IF(A116=FALSE,"",IF(Detail!AT116="","N/A",YEAR(Detail!F116)&amp;Detail!AW116&amp;Detail!AT116&amp;"-"&amp;Detail!$AT$13))</f>
        <v/>
      </c>
      <c r="AY116" s="308" t="s">
        <v>2236</v>
      </c>
      <c r="AZ116" s="308" t="s">
        <v>2278</v>
      </c>
      <c r="BA116" s="440" t="str">
        <f>IF(A116=FALSE,"",51000+(Detail!AA116*7000))</f>
        <v/>
      </c>
      <c r="BB116" s="1412">
        <v>50000</v>
      </c>
      <c r="BC116" s="247">
        <v>3</v>
      </c>
      <c r="BD116" s="261">
        <v>0</v>
      </c>
      <c r="BE116" s="261" t="s">
        <v>2236</v>
      </c>
      <c r="BF116" s="264">
        <v>0</v>
      </c>
      <c r="BG116" s="508">
        <v>0</v>
      </c>
      <c r="BH116" s="261">
        <v>1</v>
      </c>
      <c r="BI116" s="261">
        <v>0</v>
      </c>
      <c r="BJ116" s="311" t="str">
        <f>IF(A116=FALSE,"",IF(Detail!BB116="","N/A",YEAR(Detail!F116)&amp;Detail!BE116&amp;Detail!BB116&amp;"-"&amp;Detail!$BB$13))</f>
        <v/>
      </c>
      <c r="BK116" s="1354" t="s">
        <v>2236</v>
      </c>
      <c r="BL116" s="527" t="s">
        <v>2278</v>
      </c>
      <c r="BM116" s="440" t="str">
        <f>IF(A116=FALSE,"",51000+(Detail!AA116*7000))</f>
        <v/>
      </c>
      <c r="BN116" s="1412">
        <v>50000</v>
      </c>
      <c r="BO116" s="247">
        <v>3</v>
      </c>
      <c r="BP116" s="261">
        <v>0</v>
      </c>
      <c r="BQ116" s="261" t="s">
        <v>2236</v>
      </c>
      <c r="BR116" s="264">
        <v>0</v>
      </c>
      <c r="BS116" s="508">
        <v>0</v>
      </c>
      <c r="BT116" s="261">
        <v>1</v>
      </c>
      <c r="BU116" s="261">
        <v>0</v>
      </c>
      <c r="BV116" s="311" t="str">
        <f>IF(A116=FALSE,"",IF(Detail!BJ116="","N/A",YEAR(Detail!F116)&amp;Detail!BM116&amp;Detail!BJ116&amp;"-"&amp;Detail!$BJ$13))</f>
        <v/>
      </c>
      <c r="BW116" s="1016" t="s">
        <v>2236</v>
      </c>
      <c r="BX116" s="527" t="s">
        <v>2278</v>
      </c>
      <c r="BY116" s="440" t="str">
        <f t="shared" si="19"/>
        <v/>
      </c>
      <c r="BZ116" s="1412">
        <v>50000</v>
      </c>
      <c r="CA116" s="247">
        <v>3</v>
      </c>
      <c r="CB116" s="261">
        <v>0</v>
      </c>
      <c r="CC116" s="261" t="s">
        <v>2236</v>
      </c>
      <c r="CD116" s="264">
        <v>0</v>
      </c>
      <c r="CE116" s="508">
        <v>0</v>
      </c>
      <c r="CF116" s="261">
        <v>1</v>
      </c>
      <c r="CG116" s="261">
        <v>0</v>
      </c>
      <c r="CH116" s="311" t="str">
        <f>IF(A116=FALSE,"",IF(Detail!BR116="","N/A",YEAR(Detail!F116)&amp;Detail!BU116&amp;Detail!BR116&amp;"-"&amp;Detail!$BR$13))</f>
        <v/>
      </c>
      <c r="CI116" s="925" t="s">
        <v>2236</v>
      </c>
      <c r="CJ116" s="527" t="s">
        <v>2278</v>
      </c>
      <c r="CK116" s="440" t="str">
        <f t="shared" si="20"/>
        <v/>
      </c>
      <c r="CL116" s="1412">
        <v>50000</v>
      </c>
      <c r="CM116" s="247">
        <v>3</v>
      </c>
      <c r="CN116" s="261">
        <v>0</v>
      </c>
      <c r="CO116" s="261" t="s">
        <v>2236</v>
      </c>
      <c r="CP116" s="264">
        <v>0</v>
      </c>
      <c r="CQ116" s="508">
        <v>0</v>
      </c>
      <c r="CR116" s="261">
        <v>1</v>
      </c>
      <c r="CS116" s="261">
        <v>0</v>
      </c>
      <c r="CT116" s="311" t="str">
        <f>IF(A116=FALSE,"",IF(Detail!BZ116="","N/A",YEAR(Detail!F116)&amp;Detail!CC116&amp;Detail!BZ116&amp;"-"&amp;Detail!$BZ$13&amp;" (100%/"&amp;Detail!CD116&amp;"/"&amp;Detail!CE116&amp;"D)"))</f>
        <v/>
      </c>
      <c r="CU116" s="1016" t="s">
        <v>2236</v>
      </c>
      <c r="CV116" s="527" t="s">
        <v>2278</v>
      </c>
      <c r="CW116" s="241">
        <v>7</v>
      </c>
      <c r="CX116" s="1323">
        <v>365</v>
      </c>
      <c r="CY116" s="248">
        <v>1</v>
      </c>
      <c r="CZ116" s="261">
        <v>0</v>
      </c>
      <c r="DA116" s="1325" t="s">
        <v>2236</v>
      </c>
      <c r="DB116" s="538">
        <v>40</v>
      </c>
      <c r="DC116" s="1325">
        <v>0.1</v>
      </c>
      <c r="DD116" s="261">
        <v>1</v>
      </c>
      <c r="DE116" s="261">
        <v>0</v>
      </c>
      <c r="DF116" s="313" t="str">
        <f>IF(A116=FALSE,"",IF(Detail!CH116="","N/A",YEAR(Detail!F116)&amp;Detail!CK116&amp;Detail!CH116&amp;"-"&amp;Detail!$CH$13&amp;" (100%/"&amp;Detail!CL116&amp;"/"&amp;Detail!CM116&amp;"D)"))</f>
        <v/>
      </c>
      <c r="DG116" s="1354" t="s">
        <v>2236</v>
      </c>
      <c r="DH116" s="518" t="s">
        <v>2278</v>
      </c>
      <c r="DI116" s="241">
        <f t="shared" si="21"/>
        <v>7</v>
      </c>
      <c r="DJ116" s="243">
        <f t="shared" si="22"/>
        <v>365</v>
      </c>
      <c r="DK116" s="258">
        <v>1</v>
      </c>
      <c r="DL116" s="261">
        <v>0</v>
      </c>
      <c r="DM116" s="1325" t="s">
        <v>2236</v>
      </c>
      <c r="DN116" s="538">
        <v>96</v>
      </c>
      <c r="DO116" s="1325">
        <f t="shared" si="23"/>
        <v>0.1</v>
      </c>
      <c r="DP116" s="261">
        <v>1</v>
      </c>
      <c r="DQ116" s="261">
        <v>0</v>
      </c>
      <c r="DR116" s="920" t="str">
        <f>IF(A116=FALSE,"",IF(Detail!CP116="","N/A",YEAR(Detail!F116)&amp;Detail!CS116&amp;Detail!CP116&amp;"-"&amp;Detail!$CP$13))</f>
        <v/>
      </c>
      <c r="DS116" s="308" t="s">
        <v>2236</v>
      </c>
      <c r="DT116" s="720" t="s">
        <v>2277</v>
      </c>
      <c r="DU116" s="244">
        <v>50000</v>
      </c>
      <c r="DV116" s="247">
        <v>2</v>
      </c>
      <c r="DW116" s="261">
        <v>0</v>
      </c>
      <c r="DX116" s="261" t="s">
        <v>2236</v>
      </c>
      <c r="DY116" s="264">
        <v>0</v>
      </c>
      <c r="DZ116" s="444">
        <v>0</v>
      </c>
      <c r="EA116" s="444">
        <v>1</v>
      </c>
      <c r="EB116" s="444">
        <v>0</v>
      </c>
      <c r="EC116" s="761" t="str">
        <f>IF(A116=FALSE,"",IF(Detail!CX116="","N/A",YEAR(Detail!F116)&amp;Detail!DA116&amp;Detail!CX116&amp;"-"&amp;Detail!$CX$13))</f>
        <v/>
      </c>
      <c r="ED116" s="445" t="s">
        <v>2236</v>
      </c>
      <c r="EE116" s="720" t="s">
        <v>2277</v>
      </c>
      <c r="EF116" s="244">
        <v>50000</v>
      </c>
      <c r="EG116" s="247">
        <v>2</v>
      </c>
      <c r="EH116" s="261">
        <v>0</v>
      </c>
      <c r="EI116" s="261" t="s">
        <v>2236</v>
      </c>
      <c r="EJ116" s="264">
        <v>0</v>
      </c>
      <c r="EK116" s="444">
        <v>0</v>
      </c>
      <c r="EL116" s="444">
        <v>1</v>
      </c>
      <c r="EM116" s="444">
        <v>0</v>
      </c>
      <c r="EN116" s="333" t="str">
        <f>IF(A116=FALSE,"",IF(Detail!DF116="","N/A",YEAR(Detail!F116)&amp;Detail!DI116&amp;Detail!DF116&amp;"-"&amp;Detail!$DF$13))</f>
        <v/>
      </c>
      <c r="EO116" s="1012" t="s">
        <v>2236</v>
      </c>
      <c r="EP116" s="1012" t="s">
        <v>2277</v>
      </c>
      <c r="EQ116" s="1013">
        <f t="shared" si="24"/>
        <v>0</v>
      </c>
      <c r="ER116" s="1013" t="s">
        <v>2236</v>
      </c>
      <c r="ES116" s="264">
        <v>0</v>
      </c>
      <c r="ET116" s="1013">
        <v>0</v>
      </c>
      <c r="EU116" s="1013">
        <v>1</v>
      </c>
      <c r="EV116" s="1013">
        <v>0</v>
      </c>
      <c r="EW116" s="333" t="str">
        <f>IF(DJ116=FALSE,"",IF(Detail!ET116="","N/A",YEAR(Detail!DN116)&amp;Detail!EW116&amp;Detail!ET116&amp;"-"&amp;Detail!$AL$13&amp;Detail!EU116))</f>
        <v>N/A</v>
      </c>
      <c r="EX116" s="1012" t="s">
        <v>2236</v>
      </c>
      <c r="EY116" s="1012" t="s">
        <v>2277</v>
      </c>
      <c r="EZ116" s="1013">
        <f t="shared" si="25"/>
        <v>0</v>
      </c>
      <c r="FA116" s="1013" t="s">
        <v>2236</v>
      </c>
      <c r="FB116" s="264">
        <v>0</v>
      </c>
      <c r="FC116" s="1013">
        <v>0</v>
      </c>
      <c r="FD116" s="1013">
        <v>1</v>
      </c>
      <c r="FE116" s="1013">
        <v>0</v>
      </c>
    </row>
    <row r="117" spans="1:161" s="422" customFormat="1" ht="30" customHeight="1" outlineLevel="1">
      <c r="A117" s="439" t="b">
        <f>Calcul!A117</f>
        <v>0</v>
      </c>
      <c r="B117" s="510" t="str">
        <f t="shared" si="26"/>
        <v/>
      </c>
      <c r="C117" s="241" t="b">
        <v>0</v>
      </c>
      <c r="D117" s="241" t="s">
        <v>2147</v>
      </c>
      <c r="E117" s="1011" t="s">
        <v>2335</v>
      </c>
      <c r="F117" s="249"/>
      <c r="G117" s="356" t="str">
        <f>IF(A117=FALSE,"",IF(NAMES!$D$10=FALSE,IF(Detail!H117="","",Detail!H117),IF(Crewlist!D117="","",Crewlist!D117)))</f>
        <v/>
      </c>
      <c r="H117" s="356" t="str">
        <f>IF(A117=FALSE,"",IF(NAMES!$D$10=FALSE,IF(Detail!P117="","",Detail!P117),IF(Crewlist!E117="","",Crewlist!E117)))</f>
        <v/>
      </c>
      <c r="I117" s="356" t="str">
        <f>IF(A117=FALSE,"",IF(NAMES!$D$10=FALSE,IF(Detail!K117="","",Detail!K117),IF(Crewlist!F117="","",Crewlist!F117)))</f>
        <v/>
      </c>
      <c r="J117" s="1001" t="str">
        <f>IF(Crewlist!T117="","",Crewlist!T117)</f>
        <v/>
      </c>
      <c r="K117" s="1001" t="str">
        <f>IF(Crewlist!D117="","",IF(Crewlist!U117="",Crewlist!Y117,IF(DATERENOUVMOINS730&lt;&gt;Crewlist!U117&lt;&gt;Crewlist!Y117,Crewlist!U117,DATERENOUVMOINS365)))</f>
        <v/>
      </c>
      <c r="L117" s="775" t="str">
        <f>IF(Detail!X117="","",Detail!X117)</f>
        <v/>
      </c>
      <c r="M117" s="775" t="str">
        <f>IF(Detail!H117="","",IF(Detail!Y117="",DATERENOUV,IF(Detail!Y117&gt;Detail!D117,Detail!D117,Detail!Y117)))</f>
        <v/>
      </c>
      <c r="N117" s="1015" t="str">
        <f>IF(A117=FALSE,"",IF(NAMES!$D$10=FALSE,IF(B117=B118,IF(O117=O118,0,(DATEDIF(L117,M117,"M")+1)),(DATEDIF(L117,M117,"M")+1)),IF(B117=B118,IF(O117=O118,0,(DATEDIF(J117,K117,"M")+1)),(DATEDIF(J117,K117,"M")+1))))</f>
        <v/>
      </c>
      <c r="O117" s="357" t="str">
        <f t="shared" si="17"/>
        <v/>
      </c>
      <c r="P117" s="358" t="str">
        <f>IF(A117=FALSE,"",IF(NAMES!$D$10=FALSE,IF((DATEDIF(L117,M117,"D")+1)&lt;365,(DATEDIF(L117,M117,"D")+1),365),IF((DATEDIF(J117,K117,"D")+1)&lt;365,(DATEDIF(J117,K117,"D")+1),365)))</f>
        <v/>
      </c>
      <c r="Q117" s="358" t="str">
        <f>IF(A117=FALSE,"",IF(NAMES!$D$10=FALSE,IF(M117="",365,DATEDIF(L117,M117,"D")+1),IF(M117="",365,DATEDIF(J117,K117,"D")+1)))</f>
        <v/>
      </c>
      <c r="R117" s="950" t="str">
        <f>Calcul!X117</f>
        <v/>
      </c>
      <c r="S117" s="950" t="str">
        <f>Calcul!Y117</f>
        <v/>
      </c>
      <c r="T117" s="993" t="str">
        <f>Calcul!AG117</f>
        <v/>
      </c>
      <c r="U117" s="368" t="str">
        <f>IF(A117=FALSE,"",IF(NAMES!$D$10=FALSE,IF(Detail!S117="","",Detail!S117),IF(Crewlist!V117="","",Crewlist!V117)))</f>
        <v/>
      </c>
      <c r="V117" s="245" t="str">
        <f>Calcul!AI117</f>
        <v/>
      </c>
      <c r="W117" s="245" t="str">
        <f>Calcul!AL117</f>
        <v/>
      </c>
      <c r="X117" s="245" t="str">
        <f>Calcul!AM117</f>
        <v/>
      </c>
      <c r="Y117" s="353" t="str">
        <f>Calcul!AN117</f>
        <v/>
      </c>
      <c r="Z117" s="245" t="str">
        <f>Calcul!AO117</f>
        <v/>
      </c>
      <c r="AA117" s="245" t="str">
        <f>Calcul!AP117</f>
        <v/>
      </c>
      <c r="AB117" s="353" t="str">
        <f>Calcul!AQ117</f>
        <v/>
      </c>
      <c r="AC117" s="353" t="str">
        <f>IF(C117=FALSE,"",Calcul!BE117+Calcul!BF117)</f>
        <v/>
      </c>
      <c r="AD117" s="353" t="str">
        <f>IF(C117=FALSE,"",(Calcul!BG117+Calcul!BH117)+SUM(Calcul!BI117:BN117))</f>
        <v/>
      </c>
      <c r="AE117" s="353" t="str">
        <f>Calcul!BP117</f>
        <v/>
      </c>
      <c r="AF117" s="332" t="str">
        <f>IF(A117=FALSE,"",YEAR(Detail!F117)&amp;Detail!AG117&amp;Detail!AD117&amp;"-"&amp;Detail!$AD$13&amp;Detail!AE117)</f>
        <v/>
      </c>
      <c r="AG117" s="246" t="s">
        <v>2236</v>
      </c>
      <c r="AH117" s="527" t="s">
        <v>2277</v>
      </c>
      <c r="AI117" s="261">
        <v>0</v>
      </c>
      <c r="AJ117" s="261" t="s">
        <v>2236</v>
      </c>
      <c r="AK117" s="1410">
        <v>32</v>
      </c>
      <c r="AL117" s="508">
        <v>0</v>
      </c>
      <c r="AM117" s="261">
        <v>1</v>
      </c>
      <c r="AN117" s="261">
        <v>0</v>
      </c>
      <c r="AO117" s="333" t="str">
        <f>IF(A117=FALSE,"",IF(Detail!AL117="","N/A",YEAR(Detail!F117)&amp;Detail!AO117&amp;Detail!AL117&amp;"-"&amp;Detail!$AL$13&amp;Detail!AM117))</f>
        <v/>
      </c>
      <c r="AP117" s="246" t="s">
        <v>2236</v>
      </c>
      <c r="AQ117" s="527" t="s">
        <v>2277</v>
      </c>
      <c r="AR117" s="1013">
        <f t="shared" si="18"/>
        <v>0</v>
      </c>
      <c r="AS117" s="261" t="s">
        <v>2236</v>
      </c>
      <c r="AT117" s="264">
        <v>0</v>
      </c>
      <c r="AU117" s="261">
        <v>0</v>
      </c>
      <c r="AV117" s="261">
        <v>1</v>
      </c>
      <c r="AW117" s="261">
        <v>0</v>
      </c>
      <c r="AX117" s="920" t="str">
        <f>IF(A117=FALSE,"",IF(Detail!AT117="","N/A",YEAR(Detail!F117)&amp;Detail!AW117&amp;Detail!AT117&amp;"-"&amp;Detail!$AT$13))</f>
        <v/>
      </c>
      <c r="AY117" s="308" t="s">
        <v>2236</v>
      </c>
      <c r="AZ117" s="308" t="s">
        <v>2278</v>
      </c>
      <c r="BA117" s="440" t="str">
        <f>IF(A117=FALSE,"",51000+(Detail!AA117*7000))</f>
        <v/>
      </c>
      <c r="BB117" s="1412">
        <v>50000</v>
      </c>
      <c r="BC117" s="247">
        <v>3</v>
      </c>
      <c r="BD117" s="261">
        <v>0</v>
      </c>
      <c r="BE117" s="261" t="s">
        <v>2236</v>
      </c>
      <c r="BF117" s="264">
        <v>0</v>
      </c>
      <c r="BG117" s="508">
        <v>0</v>
      </c>
      <c r="BH117" s="261">
        <v>1</v>
      </c>
      <c r="BI117" s="261">
        <v>0</v>
      </c>
      <c r="BJ117" s="311" t="str">
        <f>IF(A117=FALSE,"",IF(Detail!BB117="","N/A",YEAR(Detail!F117)&amp;Detail!BE117&amp;Detail!BB117&amp;"-"&amp;Detail!$BB$13))</f>
        <v/>
      </c>
      <c r="BK117" s="807" t="s">
        <v>2236</v>
      </c>
      <c r="BL117" s="527" t="s">
        <v>2278</v>
      </c>
      <c r="BM117" s="440" t="str">
        <f>IF(A117=FALSE,"",51000+(Detail!AA117*7000))</f>
        <v/>
      </c>
      <c r="BN117" s="1412">
        <v>50000</v>
      </c>
      <c r="BO117" s="247">
        <v>3</v>
      </c>
      <c r="BP117" s="261">
        <v>0</v>
      </c>
      <c r="BQ117" s="261" t="s">
        <v>2236</v>
      </c>
      <c r="BR117" s="264">
        <v>0</v>
      </c>
      <c r="BS117" s="508">
        <v>0</v>
      </c>
      <c r="BT117" s="261">
        <v>1</v>
      </c>
      <c r="BU117" s="261">
        <v>0</v>
      </c>
      <c r="BV117" s="311" t="str">
        <f>IF(A117=FALSE,"",IF(Detail!BJ117="","N/A",YEAR(Detail!F117)&amp;Detail!BM117&amp;Detail!BJ117&amp;"-"&amp;Detail!$BJ$13))</f>
        <v/>
      </c>
      <c r="BW117" s="445" t="s">
        <v>2236</v>
      </c>
      <c r="BX117" s="527" t="s">
        <v>2278</v>
      </c>
      <c r="BY117" s="440" t="str">
        <f t="shared" si="19"/>
        <v/>
      </c>
      <c r="BZ117" s="1412">
        <v>50000</v>
      </c>
      <c r="CA117" s="247">
        <v>3</v>
      </c>
      <c r="CB117" s="261">
        <v>0</v>
      </c>
      <c r="CC117" s="261" t="s">
        <v>2236</v>
      </c>
      <c r="CD117" s="264">
        <v>0</v>
      </c>
      <c r="CE117" s="508">
        <v>0</v>
      </c>
      <c r="CF117" s="261">
        <v>1</v>
      </c>
      <c r="CG117" s="261">
        <v>0</v>
      </c>
      <c r="CH117" s="311" t="str">
        <f>IF(A117=FALSE,"",IF(Detail!BR117="","N/A",YEAR(Detail!F117)&amp;Detail!BU117&amp;Detail!BR117&amp;"-"&amp;Detail!$BR$13))</f>
        <v/>
      </c>
      <c r="CI117" s="925" t="s">
        <v>2236</v>
      </c>
      <c r="CJ117" s="527" t="s">
        <v>2278</v>
      </c>
      <c r="CK117" s="440" t="str">
        <f t="shared" si="20"/>
        <v/>
      </c>
      <c r="CL117" s="1412">
        <v>50000</v>
      </c>
      <c r="CM117" s="247">
        <v>3</v>
      </c>
      <c r="CN117" s="261">
        <v>0</v>
      </c>
      <c r="CO117" s="261" t="s">
        <v>2236</v>
      </c>
      <c r="CP117" s="264">
        <v>0</v>
      </c>
      <c r="CQ117" s="508">
        <v>0</v>
      </c>
      <c r="CR117" s="261">
        <v>1</v>
      </c>
      <c r="CS117" s="261">
        <v>0</v>
      </c>
      <c r="CT117" s="311" t="str">
        <f>IF(A117=FALSE,"",IF(Detail!BZ117="","N/A",YEAR(Detail!F117)&amp;Detail!CC117&amp;Detail!BZ117&amp;"-"&amp;Detail!$BZ$13&amp;" (100%/"&amp;Detail!CD117&amp;"/"&amp;Detail!CE117&amp;"D)"))</f>
        <v/>
      </c>
      <c r="CU117" s="445" t="s">
        <v>2236</v>
      </c>
      <c r="CV117" s="527" t="s">
        <v>2278</v>
      </c>
      <c r="CW117" s="241">
        <v>7</v>
      </c>
      <c r="CX117" s="1323">
        <v>365</v>
      </c>
      <c r="CY117" s="248">
        <v>1</v>
      </c>
      <c r="CZ117" s="261">
        <v>0</v>
      </c>
      <c r="DA117" s="1325" t="s">
        <v>2236</v>
      </c>
      <c r="DB117" s="538">
        <v>40</v>
      </c>
      <c r="DC117" s="1325">
        <v>0.1</v>
      </c>
      <c r="DD117" s="261">
        <v>1</v>
      </c>
      <c r="DE117" s="261">
        <v>0</v>
      </c>
      <c r="DF117" s="313" t="str">
        <f>IF(A117=FALSE,"",IF(Detail!CH117="","N/A",YEAR(Detail!F117)&amp;Detail!CK117&amp;Detail!CH117&amp;"-"&amp;Detail!$CH$13&amp;" (100%/"&amp;Detail!CL117&amp;"/"&amp;Detail!CM117&amp;"D)"))</f>
        <v/>
      </c>
      <c r="DG117" s="1354" t="s">
        <v>2236</v>
      </c>
      <c r="DH117" s="518" t="s">
        <v>2278</v>
      </c>
      <c r="DI117" s="241">
        <f t="shared" si="21"/>
        <v>7</v>
      </c>
      <c r="DJ117" s="243">
        <f t="shared" si="22"/>
        <v>365</v>
      </c>
      <c r="DK117" s="258">
        <v>1</v>
      </c>
      <c r="DL117" s="261">
        <v>0</v>
      </c>
      <c r="DM117" s="1325" t="s">
        <v>2236</v>
      </c>
      <c r="DN117" s="538">
        <v>96</v>
      </c>
      <c r="DO117" s="1325">
        <f t="shared" si="23"/>
        <v>0.1</v>
      </c>
      <c r="DP117" s="261">
        <v>1</v>
      </c>
      <c r="DQ117" s="261">
        <v>0</v>
      </c>
      <c r="DR117" s="920" t="str">
        <f>IF(A117=FALSE,"",IF(Detail!CP117="","N/A",YEAR(Detail!F117)&amp;Detail!CS117&amp;Detail!CP117&amp;"-"&amp;Detail!$CP$13))</f>
        <v/>
      </c>
      <c r="DS117" s="308" t="s">
        <v>2236</v>
      </c>
      <c r="DT117" s="720" t="s">
        <v>2277</v>
      </c>
      <c r="DU117" s="244">
        <v>50000</v>
      </c>
      <c r="DV117" s="247">
        <v>2</v>
      </c>
      <c r="DW117" s="261">
        <v>0</v>
      </c>
      <c r="DX117" s="261" t="s">
        <v>2236</v>
      </c>
      <c r="DY117" s="264">
        <v>0</v>
      </c>
      <c r="DZ117" s="444">
        <v>0</v>
      </c>
      <c r="EA117" s="444">
        <v>1</v>
      </c>
      <c r="EB117" s="444">
        <v>0</v>
      </c>
      <c r="EC117" s="761" t="str">
        <f>IF(A117=FALSE,"",IF(Detail!CX117="","N/A",YEAR(Detail!F117)&amp;Detail!DA117&amp;Detail!CX117&amp;"-"&amp;Detail!$CX$13))</f>
        <v/>
      </c>
      <c r="ED117" s="445" t="s">
        <v>2236</v>
      </c>
      <c r="EE117" s="720" t="s">
        <v>2277</v>
      </c>
      <c r="EF117" s="244">
        <v>50000</v>
      </c>
      <c r="EG117" s="247">
        <v>2</v>
      </c>
      <c r="EH117" s="261">
        <v>0</v>
      </c>
      <c r="EI117" s="261" t="s">
        <v>2236</v>
      </c>
      <c r="EJ117" s="264">
        <v>0</v>
      </c>
      <c r="EK117" s="444">
        <v>0</v>
      </c>
      <c r="EL117" s="444">
        <v>1</v>
      </c>
      <c r="EM117" s="444">
        <v>0</v>
      </c>
      <c r="EN117" s="333" t="str">
        <f>IF(A117=FALSE,"",IF(Detail!DF117="","N/A",YEAR(Detail!F117)&amp;Detail!DI117&amp;Detail!DF117&amp;"-"&amp;Detail!$DF$13))</f>
        <v/>
      </c>
      <c r="EO117" s="1012" t="s">
        <v>2236</v>
      </c>
      <c r="EP117" s="1012" t="s">
        <v>2277</v>
      </c>
      <c r="EQ117" s="1013">
        <f t="shared" si="24"/>
        <v>0</v>
      </c>
      <c r="ER117" s="1013" t="s">
        <v>2236</v>
      </c>
      <c r="ES117" s="264">
        <v>0</v>
      </c>
      <c r="ET117" s="1013">
        <v>0</v>
      </c>
      <c r="EU117" s="1013">
        <v>1</v>
      </c>
      <c r="EV117" s="1013">
        <v>0</v>
      </c>
      <c r="EW117" s="333" t="str">
        <f>IF(DJ117=FALSE,"",IF(Detail!ET117="","N/A",YEAR(Detail!DN117)&amp;Detail!EW117&amp;Detail!ET117&amp;"-"&amp;Detail!$AL$13&amp;Detail!EU117))</f>
        <v>N/A</v>
      </c>
      <c r="EX117" s="1012" t="s">
        <v>2236</v>
      </c>
      <c r="EY117" s="1012" t="s">
        <v>2277</v>
      </c>
      <c r="EZ117" s="1013">
        <f t="shared" si="25"/>
        <v>0</v>
      </c>
      <c r="FA117" s="1013" t="s">
        <v>2236</v>
      </c>
      <c r="FB117" s="264">
        <v>0</v>
      </c>
      <c r="FC117" s="1013">
        <v>0</v>
      </c>
      <c r="FD117" s="1013">
        <v>1</v>
      </c>
      <c r="FE117" s="1013">
        <v>0</v>
      </c>
    </row>
    <row r="118" spans="1:161" s="422" customFormat="1" ht="30" customHeight="1" outlineLevel="1">
      <c r="A118" s="439" t="b">
        <f>Calcul!A118</f>
        <v>0</v>
      </c>
      <c r="B118" s="510" t="str">
        <f t="shared" si="26"/>
        <v/>
      </c>
      <c r="C118" s="241" t="b">
        <v>0</v>
      </c>
      <c r="D118" s="241" t="s">
        <v>2147</v>
      </c>
      <c r="E118" s="242" t="s">
        <v>2335</v>
      </c>
      <c r="F118" s="249"/>
      <c r="G118" s="356" t="str">
        <f>IF(A118=FALSE,"",IF(NAMES!$D$10=FALSE,IF(Detail!H118="","",Detail!H118),IF(Crewlist!D118="","",Crewlist!D118)))</f>
        <v/>
      </c>
      <c r="H118" s="356" t="str">
        <f>IF(A118=FALSE,"",IF(NAMES!$D$10=FALSE,IF(Detail!P118="","",Detail!P118),IF(Crewlist!E118="","",Crewlist!E118)))</f>
        <v/>
      </c>
      <c r="I118" s="356" t="str">
        <f>IF(A118=FALSE,"",IF(NAMES!$D$10=FALSE,IF(Detail!K118="","",Detail!K118),IF(Crewlist!F118="","",Crewlist!F118)))</f>
        <v/>
      </c>
      <c r="J118" s="1001" t="str">
        <f>IF(Crewlist!T118="","",Crewlist!T118)</f>
        <v/>
      </c>
      <c r="K118" s="1001" t="str">
        <f>IF(Crewlist!D118="","",IF(Crewlist!U118="",Crewlist!Y118,IF(DATERENOUVMOINS730&lt;&gt;Crewlist!U118&lt;&gt;Crewlist!Y118,Crewlist!U118,DATERENOUVMOINS365)))</f>
        <v/>
      </c>
      <c r="L118" s="775" t="str">
        <f>IF(Detail!X118="","",Detail!X118)</f>
        <v/>
      </c>
      <c r="M118" s="775" t="str">
        <f>IF(Detail!H118="","",IF(Detail!Y118="",DATERENOUV,IF(Detail!Y118&gt;Detail!D118,Detail!D118,Detail!Y118)))</f>
        <v/>
      </c>
      <c r="N118" s="1015" t="str">
        <f>IF(A118=FALSE,"",IF(NAMES!$D$10=FALSE,IF(B118=B119,IF(O118=O119,0,(DATEDIF(L118,M118,"M")+1)),(DATEDIF(L118,M118,"M")+1)),IF(B118=B119,IF(O118=O119,0,(DATEDIF(J118,K118,"M")+1)),(DATEDIF(J118,K118,"M")+1))))</f>
        <v/>
      </c>
      <c r="O118" s="357" t="str">
        <f t="shared" si="17"/>
        <v/>
      </c>
      <c r="P118" s="358" t="str">
        <f>IF(A118=FALSE,"",IF(NAMES!$D$10=FALSE,IF((DATEDIF(L118,M118,"D")+1)&lt;365,(DATEDIF(L118,M118,"D")+1),365),IF((DATEDIF(J118,K118,"D")+1)&lt;365,(DATEDIF(J118,K118,"D")+1),365)))</f>
        <v/>
      </c>
      <c r="Q118" s="358" t="str">
        <f>IF(A118=FALSE,"",IF(NAMES!$D$10=FALSE,IF(M118="",365,DATEDIF(L118,M118,"D")+1),IF(M118="",365,DATEDIF(J118,K118,"D")+1)))</f>
        <v/>
      </c>
      <c r="R118" s="950" t="str">
        <f>Calcul!X118</f>
        <v/>
      </c>
      <c r="S118" s="950" t="str">
        <f>Calcul!Y118</f>
        <v/>
      </c>
      <c r="T118" s="993" t="str">
        <f>Calcul!AG118</f>
        <v/>
      </c>
      <c r="U118" s="368" t="str">
        <f>IF(A118=FALSE,"",IF(NAMES!$D$10=FALSE,IF(Detail!S118="","",Detail!S118),IF(Crewlist!V118="","",Crewlist!V118)))</f>
        <v/>
      </c>
      <c r="V118" s="245" t="str">
        <f>Calcul!AI118</f>
        <v/>
      </c>
      <c r="W118" s="245" t="str">
        <f>Calcul!AL118</f>
        <v/>
      </c>
      <c r="X118" s="245" t="str">
        <f>Calcul!AM118</f>
        <v/>
      </c>
      <c r="Y118" s="353" t="str">
        <f>Calcul!AN118</f>
        <v/>
      </c>
      <c r="Z118" s="245" t="str">
        <f>Calcul!AO118</f>
        <v/>
      </c>
      <c r="AA118" s="245" t="str">
        <f>Calcul!AP118</f>
        <v/>
      </c>
      <c r="AB118" s="353" t="str">
        <f>Calcul!AQ118</f>
        <v/>
      </c>
      <c r="AC118" s="353" t="str">
        <f>IF(C118=FALSE,"",Calcul!BE118+Calcul!BF118)</f>
        <v/>
      </c>
      <c r="AD118" s="353" t="str">
        <f>IF(C118=FALSE,"",(Calcul!BG118+Calcul!BH118)+SUM(Calcul!BI118:BN118))</f>
        <v/>
      </c>
      <c r="AE118" s="353" t="str">
        <f>Calcul!BP118</f>
        <v/>
      </c>
      <c r="AF118" s="332" t="str">
        <f>IF(A118=FALSE,"",YEAR(Detail!F118)&amp;Detail!AG118&amp;Detail!AD118&amp;"-"&amp;Detail!$AD$13&amp;Detail!AE118)</f>
        <v/>
      </c>
      <c r="AG118" s="246" t="s">
        <v>2236</v>
      </c>
      <c r="AH118" s="527" t="s">
        <v>2277</v>
      </c>
      <c r="AI118" s="261">
        <v>0</v>
      </c>
      <c r="AJ118" s="261" t="s">
        <v>2236</v>
      </c>
      <c r="AK118" s="1410">
        <v>32</v>
      </c>
      <c r="AL118" s="508">
        <v>0</v>
      </c>
      <c r="AM118" s="261">
        <v>1</v>
      </c>
      <c r="AN118" s="261">
        <v>0</v>
      </c>
      <c r="AO118" s="333" t="str">
        <f>IF(A118=FALSE,"",IF(Detail!AL118="","N/A",YEAR(Detail!F118)&amp;Detail!AO118&amp;Detail!AL118&amp;"-"&amp;Detail!$AL$13&amp;Detail!AM118))</f>
        <v/>
      </c>
      <c r="AP118" s="246" t="s">
        <v>2236</v>
      </c>
      <c r="AQ118" s="527" t="s">
        <v>2277</v>
      </c>
      <c r="AR118" s="1013">
        <f t="shared" si="18"/>
        <v>0</v>
      </c>
      <c r="AS118" s="261" t="s">
        <v>2236</v>
      </c>
      <c r="AT118" s="264">
        <v>0</v>
      </c>
      <c r="AU118" s="261">
        <v>0</v>
      </c>
      <c r="AV118" s="261">
        <v>1</v>
      </c>
      <c r="AW118" s="261">
        <v>0</v>
      </c>
      <c r="AX118" s="920" t="str">
        <f>IF(A118=FALSE,"",IF(Detail!AT118="","N/A",YEAR(Detail!F118)&amp;Detail!AW118&amp;Detail!AT118&amp;"-"&amp;Detail!$AT$13))</f>
        <v/>
      </c>
      <c r="AY118" s="308" t="s">
        <v>2236</v>
      </c>
      <c r="AZ118" s="308" t="s">
        <v>2278</v>
      </c>
      <c r="BA118" s="440" t="str">
        <f>IF(A118=FALSE,"",51000+(Detail!AA118*7000))</f>
        <v/>
      </c>
      <c r="BB118" s="1412">
        <v>50000</v>
      </c>
      <c r="BC118" s="247">
        <v>3</v>
      </c>
      <c r="BD118" s="261">
        <v>0</v>
      </c>
      <c r="BE118" s="261" t="s">
        <v>2236</v>
      </c>
      <c r="BF118" s="264">
        <v>0</v>
      </c>
      <c r="BG118" s="508">
        <v>0</v>
      </c>
      <c r="BH118" s="261">
        <v>1</v>
      </c>
      <c r="BI118" s="261">
        <v>0</v>
      </c>
      <c r="BJ118" s="311" t="str">
        <f>IF(A118=FALSE,"",IF(Detail!BB118="","N/A",YEAR(Detail!F118)&amp;Detail!BE118&amp;Detail!BB118&amp;"-"&amp;Detail!$BB$13))</f>
        <v/>
      </c>
      <c r="BK118" s="807" t="s">
        <v>2236</v>
      </c>
      <c r="BL118" s="527" t="s">
        <v>2278</v>
      </c>
      <c r="BM118" s="440" t="str">
        <f>IF(A118=FALSE,"",51000+(Detail!AA118*7000))</f>
        <v/>
      </c>
      <c r="BN118" s="1412">
        <v>50000</v>
      </c>
      <c r="BO118" s="247">
        <v>3</v>
      </c>
      <c r="BP118" s="261">
        <v>0</v>
      </c>
      <c r="BQ118" s="261" t="s">
        <v>2236</v>
      </c>
      <c r="BR118" s="264">
        <v>0</v>
      </c>
      <c r="BS118" s="508">
        <v>0</v>
      </c>
      <c r="BT118" s="261">
        <v>1</v>
      </c>
      <c r="BU118" s="261">
        <v>0</v>
      </c>
      <c r="BV118" s="311" t="str">
        <f>IF(A118=FALSE,"",IF(Detail!BJ118="","N/A",YEAR(Detail!F118)&amp;Detail!BM118&amp;Detail!BJ118&amp;"-"&amp;Detail!$BJ$13))</f>
        <v/>
      </c>
      <c r="BW118" s="445" t="s">
        <v>2236</v>
      </c>
      <c r="BX118" s="527" t="s">
        <v>2278</v>
      </c>
      <c r="BY118" s="440" t="str">
        <f t="shared" si="19"/>
        <v/>
      </c>
      <c r="BZ118" s="1412">
        <v>50000</v>
      </c>
      <c r="CA118" s="247">
        <v>3</v>
      </c>
      <c r="CB118" s="261">
        <v>0</v>
      </c>
      <c r="CC118" s="261" t="s">
        <v>2236</v>
      </c>
      <c r="CD118" s="264">
        <v>0</v>
      </c>
      <c r="CE118" s="508">
        <v>0</v>
      </c>
      <c r="CF118" s="261">
        <v>1</v>
      </c>
      <c r="CG118" s="261">
        <v>0</v>
      </c>
      <c r="CH118" s="311" t="str">
        <f>IF(A118=FALSE,"",IF(Detail!BR118="","N/A",YEAR(Detail!F118)&amp;Detail!BU118&amp;Detail!BR118&amp;"-"&amp;Detail!$BR$13))</f>
        <v/>
      </c>
      <c r="CI118" s="925" t="s">
        <v>2236</v>
      </c>
      <c r="CJ118" s="527" t="s">
        <v>2278</v>
      </c>
      <c r="CK118" s="440" t="str">
        <f t="shared" si="20"/>
        <v/>
      </c>
      <c r="CL118" s="1412">
        <v>50000</v>
      </c>
      <c r="CM118" s="247">
        <v>3</v>
      </c>
      <c r="CN118" s="261">
        <v>0</v>
      </c>
      <c r="CO118" s="261" t="s">
        <v>2236</v>
      </c>
      <c r="CP118" s="264">
        <v>0</v>
      </c>
      <c r="CQ118" s="508">
        <v>0</v>
      </c>
      <c r="CR118" s="261">
        <v>1</v>
      </c>
      <c r="CS118" s="261">
        <v>0</v>
      </c>
      <c r="CT118" s="311" t="str">
        <f>IF(A118=FALSE,"",IF(Detail!BZ118="","N/A",YEAR(Detail!F118)&amp;Detail!CC118&amp;Detail!BZ118&amp;"-"&amp;Detail!$BZ$13&amp;" (100%/"&amp;Detail!CD118&amp;"/"&amp;Detail!CE118&amp;"D)"))</f>
        <v/>
      </c>
      <c r="CU118" s="445" t="s">
        <v>2236</v>
      </c>
      <c r="CV118" s="527" t="s">
        <v>2278</v>
      </c>
      <c r="CW118" s="241">
        <v>7</v>
      </c>
      <c r="CX118" s="1323">
        <v>365</v>
      </c>
      <c r="CY118" s="248">
        <v>1</v>
      </c>
      <c r="CZ118" s="261">
        <v>0</v>
      </c>
      <c r="DA118" s="1325" t="s">
        <v>2236</v>
      </c>
      <c r="DB118" s="538">
        <v>40</v>
      </c>
      <c r="DC118" s="1325">
        <v>0.1</v>
      </c>
      <c r="DD118" s="261">
        <v>1</v>
      </c>
      <c r="DE118" s="261">
        <v>0</v>
      </c>
      <c r="DF118" s="313" t="str">
        <f>IF(A118=FALSE,"",IF(Detail!CH118="","N/A",YEAR(Detail!F118)&amp;Detail!CK118&amp;Detail!CH118&amp;"-"&amp;Detail!$CH$13&amp;" (100%/"&amp;Detail!CL118&amp;"/"&amp;Detail!CM118&amp;"D)"))</f>
        <v/>
      </c>
      <c r="DG118" s="1354" t="s">
        <v>2236</v>
      </c>
      <c r="DH118" s="518" t="s">
        <v>2278</v>
      </c>
      <c r="DI118" s="241">
        <f t="shared" si="21"/>
        <v>7</v>
      </c>
      <c r="DJ118" s="243">
        <f t="shared" si="22"/>
        <v>365</v>
      </c>
      <c r="DK118" s="258">
        <v>1</v>
      </c>
      <c r="DL118" s="261">
        <v>0</v>
      </c>
      <c r="DM118" s="1325" t="s">
        <v>2236</v>
      </c>
      <c r="DN118" s="538">
        <v>96</v>
      </c>
      <c r="DO118" s="1325">
        <f t="shared" si="23"/>
        <v>0.1</v>
      </c>
      <c r="DP118" s="261">
        <v>1</v>
      </c>
      <c r="DQ118" s="261">
        <v>0</v>
      </c>
      <c r="DR118" s="920" t="str">
        <f>IF(A118=FALSE,"",IF(Detail!CP118="","N/A",YEAR(Detail!F118)&amp;Detail!CS118&amp;Detail!CP118&amp;"-"&amp;Detail!$CP$13))</f>
        <v/>
      </c>
      <c r="DS118" s="308" t="s">
        <v>2236</v>
      </c>
      <c r="DT118" s="720" t="s">
        <v>2277</v>
      </c>
      <c r="DU118" s="244">
        <v>50000</v>
      </c>
      <c r="DV118" s="247">
        <v>2</v>
      </c>
      <c r="DW118" s="261">
        <v>0</v>
      </c>
      <c r="DX118" s="261" t="s">
        <v>2236</v>
      </c>
      <c r="DY118" s="264">
        <v>0</v>
      </c>
      <c r="DZ118" s="444">
        <v>0</v>
      </c>
      <c r="EA118" s="444">
        <v>1</v>
      </c>
      <c r="EB118" s="444">
        <v>0</v>
      </c>
      <c r="EC118" s="761" t="str">
        <f>IF(A118=FALSE,"",IF(Detail!CX118="","N/A",YEAR(Detail!F118)&amp;Detail!DA118&amp;Detail!CX118&amp;"-"&amp;Detail!$CX$13))</f>
        <v/>
      </c>
      <c r="ED118" s="445" t="s">
        <v>2236</v>
      </c>
      <c r="EE118" s="720" t="s">
        <v>2277</v>
      </c>
      <c r="EF118" s="244">
        <v>50000</v>
      </c>
      <c r="EG118" s="247">
        <v>2</v>
      </c>
      <c r="EH118" s="261">
        <v>0</v>
      </c>
      <c r="EI118" s="261" t="s">
        <v>2236</v>
      </c>
      <c r="EJ118" s="264">
        <v>0</v>
      </c>
      <c r="EK118" s="444">
        <v>0</v>
      </c>
      <c r="EL118" s="444">
        <v>1</v>
      </c>
      <c r="EM118" s="444">
        <v>0</v>
      </c>
      <c r="EN118" s="333" t="str">
        <f>IF(A118=FALSE,"",IF(Detail!DF118="","N/A",YEAR(Detail!F118)&amp;Detail!DI118&amp;Detail!DF118&amp;"-"&amp;Detail!$DF$13))</f>
        <v/>
      </c>
      <c r="EO118" s="1012" t="s">
        <v>2236</v>
      </c>
      <c r="EP118" s="1012" t="s">
        <v>2277</v>
      </c>
      <c r="EQ118" s="1013">
        <f t="shared" si="24"/>
        <v>0</v>
      </c>
      <c r="ER118" s="1013" t="s">
        <v>2236</v>
      </c>
      <c r="ES118" s="264">
        <v>0</v>
      </c>
      <c r="ET118" s="1013">
        <v>0</v>
      </c>
      <c r="EU118" s="1013">
        <v>1</v>
      </c>
      <c r="EV118" s="1013">
        <v>0</v>
      </c>
      <c r="EW118" s="333" t="str">
        <f>IF(DJ118=FALSE,"",IF(Detail!ET118="","N/A",YEAR(Detail!DN118)&amp;Detail!EW118&amp;Detail!ET118&amp;"-"&amp;Detail!$AL$13&amp;Detail!EU118))</f>
        <v>N/A</v>
      </c>
      <c r="EX118" s="1012" t="s">
        <v>2236</v>
      </c>
      <c r="EY118" s="1012" t="s">
        <v>2277</v>
      </c>
      <c r="EZ118" s="1013">
        <f t="shared" si="25"/>
        <v>0</v>
      </c>
      <c r="FA118" s="1013" t="s">
        <v>2236</v>
      </c>
      <c r="FB118" s="264">
        <v>0</v>
      </c>
      <c r="FC118" s="1013">
        <v>0</v>
      </c>
      <c r="FD118" s="1013">
        <v>1</v>
      </c>
      <c r="FE118" s="1013">
        <v>0</v>
      </c>
    </row>
    <row r="119" spans="1:161" s="422" customFormat="1" ht="30" customHeight="1" outlineLevel="1">
      <c r="A119" s="439" t="b">
        <f>Calcul!A119</f>
        <v>0</v>
      </c>
      <c r="B119" s="510" t="str">
        <f t="shared" si="26"/>
        <v/>
      </c>
      <c r="C119" s="241" t="b">
        <v>0</v>
      </c>
      <c r="D119" s="241" t="s">
        <v>2147</v>
      </c>
      <c r="E119" s="242" t="s">
        <v>2335</v>
      </c>
      <c r="F119" s="249"/>
      <c r="G119" s="356" t="str">
        <f>IF(A119=FALSE,"",IF(NAMES!$D$10=FALSE,IF(Detail!H119="","",Detail!H119),IF(Crewlist!D119="","",Crewlist!D119)))</f>
        <v/>
      </c>
      <c r="H119" s="356" t="str">
        <f>IF(A119=FALSE,"",IF(NAMES!$D$10=FALSE,IF(Detail!P119="","",Detail!P119),IF(Crewlist!E119="","",Crewlist!E119)))</f>
        <v/>
      </c>
      <c r="I119" s="356" t="str">
        <f>IF(A119=FALSE,"",IF(NAMES!$D$10=FALSE,IF(Detail!K119="","",Detail!K119),IF(Crewlist!F119="","",Crewlist!F119)))</f>
        <v/>
      </c>
      <c r="J119" s="1001" t="str">
        <f>IF(Crewlist!T119="","",Crewlist!T119)</f>
        <v/>
      </c>
      <c r="K119" s="1001" t="str">
        <f>IF(Crewlist!D119="","",IF(Crewlist!U119="",Crewlist!Y119,IF(DATERENOUVMOINS730&lt;&gt;Crewlist!U119&lt;&gt;Crewlist!Y119,Crewlist!U119,DATERENOUVMOINS365)))</f>
        <v/>
      </c>
      <c r="L119" s="775" t="str">
        <f>IF(Detail!X119="","",Detail!X119)</f>
        <v/>
      </c>
      <c r="M119" s="775" t="str">
        <f>IF(Detail!H119="","",IF(Detail!Y119="",DATERENOUV,IF(Detail!Y119&gt;Detail!D119,Detail!D119,Detail!Y119)))</f>
        <v/>
      </c>
      <c r="N119" s="1015" t="str">
        <f>IF(A119=FALSE,"",IF(NAMES!$D$10=FALSE,IF(B119=B120,IF(O119=O120,0,(DATEDIF(L119,M119,"M")+1)),(DATEDIF(L119,M119,"M")+1)),IF(B119=B120,IF(O119=O120,0,(DATEDIF(J119,K119,"M")+1)),(DATEDIF(J119,K119,"M")+1))))</f>
        <v/>
      </c>
      <c r="O119" s="357" t="str">
        <f t="shared" si="17"/>
        <v/>
      </c>
      <c r="P119" s="358" t="str">
        <f>IF(A119=FALSE,"",IF(NAMES!$D$10=FALSE,IF((DATEDIF(L119,M119,"D")+1)&lt;365,(DATEDIF(L119,M119,"D")+1),365),IF((DATEDIF(J119,K119,"D")+1)&lt;365,(DATEDIF(J119,K119,"D")+1),365)))</f>
        <v/>
      </c>
      <c r="Q119" s="358" t="str">
        <f>IF(A119=FALSE,"",IF(NAMES!$D$10=FALSE,IF(M119="",365,DATEDIF(L119,M119,"D")+1),IF(M119="",365,DATEDIF(J119,K119,"D")+1)))</f>
        <v/>
      </c>
      <c r="R119" s="950" t="str">
        <f>Calcul!X119</f>
        <v/>
      </c>
      <c r="S119" s="950" t="str">
        <f>Calcul!Y119</f>
        <v/>
      </c>
      <c r="T119" s="993" t="str">
        <f>Calcul!AG119</f>
        <v/>
      </c>
      <c r="U119" s="368" t="str">
        <f>IF(A119=FALSE,"",IF(NAMES!$D$10=FALSE,IF(Detail!S119="","",Detail!S119),IF(Crewlist!V119="","",Crewlist!V119)))</f>
        <v/>
      </c>
      <c r="V119" s="245" t="str">
        <f>Calcul!AI119</f>
        <v/>
      </c>
      <c r="W119" s="245" t="str">
        <f>Calcul!AL119</f>
        <v/>
      </c>
      <c r="X119" s="245" t="str">
        <f>Calcul!AM119</f>
        <v/>
      </c>
      <c r="Y119" s="353" t="str">
        <f>Calcul!AN119</f>
        <v/>
      </c>
      <c r="Z119" s="245" t="str">
        <f>Calcul!AO119</f>
        <v/>
      </c>
      <c r="AA119" s="245" t="str">
        <f>Calcul!AP119</f>
        <v/>
      </c>
      <c r="AB119" s="353" t="str">
        <f>Calcul!AQ119</f>
        <v/>
      </c>
      <c r="AC119" s="353" t="str">
        <f>IF(C119=FALSE,"",Calcul!BE119+Calcul!BF119)</f>
        <v/>
      </c>
      <c r="AD119" s="353" t="str">
        <f>IF(C119=FALSE,"",(Calcul!BG119+Calcul!BH119)+SUM(Calcul!BI119:BN119))</f>
        <v/>
      </c>
      <c r="AE119" s="353" t="str">
        <f>Calcul!BP119</f>
        <v/>
      </c>
      <c r="AF119" s="332" t="str">
        <f>IF(A119=FALSE,"",YEAR(Detail!F119)&amp;Detail!AG119&amp;Detail!AD119&amp;"-"&amp;Detail!$AD$13&amp;Detail!AE119)</f>
        <v/>
      </c>
      <c r="AG119" s="246" t="s">
        <v>2236</v>
      </c>
      <c r="AH119" s="527" t="s">
        <v>2277</v>
      </c>
      <c r="AI119" s="261">
        <v>0</v>
      </c>
      <c r="AJ119" s="261" t="s">
        <v>2236</v>
      </c>
      <c r="AK119" s="1410">
        <v>32</v>
      </c>
      <c r="AL119" s="508">
        <v>0</v>
      </c>
      <c r="AM119" s="261">
        <v>1</v>
      </c>
      <c r="AN119" s="261">
        <v>0</v>
      </c>
      <c r="AO119" s="333" t="str">
        <f>IF(A119=FALSE,"",IF(Detail!AL119="","N/A",YEAR(Detail!F119)&amp;Detail!AO119&amp;Detail!AL119&amp;"-"&amp;Detail!$AL$13&amp;Detail!AM119))</f>
        <v/>
      </c>
      <c r="AP119" s="246" t="s">
        <v>2236</v>
      </c>
      <c r="AQ119" s="527" t="s">
        <v>2277</v>
      </c>
      <c r="AR119" s="1013">
        <f t="shared" si="18"/>
        <v>0</v>
      </c>
      <c r="AS119" s="261" t="s">
        <v>2236</v>
      </c>
      <c r="AT119" s="264">
        <v>0</v>
      </c>
      <c r="AU119" s="261">
        <v>0</v>
      </c>
      <c r="AV119" s="261">
        <v>1</v>
      </c>
      <c r="AW119" s="261">
        <v>0</v>
      </c>
      <c r="AX119" s="920" t="str">
        <f>IF(A119=FALSE,"",IF(Detail!AT119="","N/A",YEAR(Detail!F119)&amp;Detail!AW119&amp;Detail!AT119&amp;"-"&amp;Detail!$AT$13))</f>
        <v/>
      </c>
      <c r="AY119" s="308" t="s">
        <v>2236</v>
      </c>
      <c r="AZ119" s="308" t="s">
        <v>2278</v>
      </c>
      <c r="BA119" s="440" t="str">
        <f>IF(A119=FALSE,"",51000+(Detail!AA119*7000))</f>
        <v/>
      </c>
      <c r="BB119" s="1412">
        <v>50000</v>
      </c>
      <c r="BC119" s="247">
        <v>3</v>
      </c>
      <c r="BD119" s="261">
        <v>0</v>
      </c>
      <c r="BE119" s="261" t="s">
        <v>2236</v>
      </c>
      <c r="BF119" s="264">
        <v>0</v>
      </c>
      <c r="BG119" s="508">
        <v>0</v>
      </c>
      <c r="BH119" s="261">
        <v>1</v>
      </c>
      <c r="BI119" s="261">
        <v>0</v>
      </c>
      <c r="BJ119" s="311" t="str">
        <f>IF(A119=FALSE,"",IF(Detail!BB119="","N/A",YEAR(Detail!F119)&amp;Detail!BE119&amp;Detail!BB119&amp;"-"&amp;Detail!$BB$13))</f>
        <v/>
      </c>
      <c r="BK119" s="527" t="s">
        <v>2236</v>
      </c>
      <c r="BL119" s="527" t="s">
        <v>2278</v>
      </c>
      <c r="BM119" s="440" t="str">
        <f>IF(A119=FALSE,"",51000+(Detail!AA119*7000))</f>
        <v/>
      </c>
      <c r="BN119" s="1412">
        <v>50000</v>
      </c>
      <c r="BO119" s="247">
        <v>3</v>
      </c>
      <c r="BP119" s="261">
        <v>0</v>
      </c>
      <c r="BQ119" s="261" t="s">
        <v>2236</v>
      </c>
      <c r="BR119" s="264">
        <v>0</v>
      </c>
      <c r="BS119" s="508">
        <v>0</v>
      </c>
      <c r="BT119" s="261">
        <v>1</v>
      </c>
      <c r="BU119" s="261">
        <v>0</v>
      </c>
      <c r="BV119" s="311" t="str">
        <f>IF(A119=FALSE,"",IF(Detail!BJ119="","N/A",YEAR(Detail!F119)&amp;Detail!BM119&amp;Detail!BJ119&amp;"-"&amp;Detail!$BJ$13))</f>
        <v/>
      </c>
      <c r="BW119" s="445" t="s">
        <v>2236</v>
      </c>
      <c r="BX119" s="527" t="s">
        <v>2278</v>
      </c>
      <c r="BY119" s="440" t="str">
        <f t="shared" si="19"/>
        <v/>
      </c>
      <c r="BZ119" s="1412">
        <v>50000</v>
      </c>
      <c r="CA119" s="247">
        <v>3</v>
      </c>
      <c r="CB119" s="261">
        <v>0</v>
      </c>
      <c r="CC119" s="261" t="s">
        <v>2236</v>
      </c>
      <c r="CD119" s="264">
        <v>0</v>
      </c>
      <c r="CE119" s="508">
        <v>0</v>
      </c>
      <c r="CF119" s="261">
        <v>1</v>
      </c>
      <c r="CG119" s="261">
        <v>0</v>
      </c>
      <c r="CH119" s="311" t="str">
        <f>IF(A119=FALSE,"",IF(Detail!BR119="","N/A",YEAR(Detail!F119)&amp;Detail!BU119&amp;Detail!BR119&amp;"-"&amp;Detail!$BR$13))</f>
        <v/>
      </c>
      <c r="CI119" s="445" t="s">
        <v>2236</v>
      </c>
      <c r="CJ119" s="527" t="s">
        <v>2278</v>
      </c>
      <c r="CK119" s="440" t="str">
        <f t="shared" si="20"/>
        <v/>
      </c>
      <c r="CL119" s="1412">
        <v>50000</v>
      </c>
      <c r="CM119" s="247">
        <v>3</v>
      </c>
      <c r="CN119" s="261">
        <v>0</v>
      </c>
      <c r="CO119" s="261" t="s">
        <v>2236</v>
      </c>
      <c r="CP119" s="264">
        <v>0</v>
      </c>
      <c r="CQ119" s="508">
        <v>0</v>
      </c>
      <c r="CR119" s="261">
        <v>1</v>
      </c>
      <c r="CS119" s="261">
        <v>0</v>
      </c>
      <c r="CT119" s="311" t="str">
        <f>IF(A119=FALSE,"",IF(Detail!BZ119="","N/A",YEAR(Detail!F119)&amp;Detail!CC119&amp;Detail!BZ119&amp;"-"&amp;Detail!$BZ$13&amp;" (100%/"&amp;Detail!CD119&amp;"/"&amp;Detail!CE119&amp;"D)"))</f>
        <v/>
      </c>
      <c r="CU119" s="445" t="s">
        <v>2236</v>
      </c>
      <c r="CV119" s="527" t="s">
        <v>2278</v>
      </c>
      <c r="CW119" s="241">
        <v>7</v>
      </c>
      <c r="CX119" s="1323">
        <v>365</v>
      </c>
      <c r="CY119" s="248">
        <v>1</v>
      </c>
      <c r="CZ119" s="261">
        <v>0</v>
      </c>
      <c r="DA119" s="261" t="s">
        <v>2236</v>
      </c>
      <c r="DB119" s="538">
        <v>40</v>
      </c>
      <c r="DC119" s="261">
        <v>0.1</v>
      </c>
      <c r="DD119" s="261">
        <v>1</v>
      </c>
      <c r="DE119" s="261">
        <v>0</v>
      </c>
      <c r="DF119" s="313" t="str">
        <f>IF(A119=FALSE,"",IF(Detail!CH119="","N/A",YEAR(Detail!F119)&amp;Detail!CK119&amp;Detail!CH119&amp;"-"&amp;Detail!$CH$13&amp;" (100%/"&amp;Detail!CL119&amp;"/"&amp;Detail!CM119&amp;"D)"))</f>
        <v/>
      </c>
      <c r="DG119" s="807" t="s">
        <v>2236</v>
      </c>
      <c r="DH119" s="518" t="s">
        <v>2278</v>
      </c>
      <c r="DI119" s="241">
        <f t="shared" si="21"/>
        <v>7</v>
      </c>
      <c r="DJ119" s="243">
        <f t="shared" si="22"/>
        <v>365</v>
      </c>
      <c r="DK119" s="258">
        <v>1</v>
      </c>
      <c r="DL119" s="261">
        <v>0</v>
      </c>
      <c r="DM119" s="1325" t="s">
        <v>2236</v>
      </c>
      <c r="DN119" s="538">
        <v>96</v>
      </c>
      <c r="DO119" s="1325">
        <f t="shared" si="23"/>
        <v>0.1</v>
      </c>
      <c r="DP119" s="261">
        <v>1</v>
      </c>
      <c r="DQ119" s="261">
        <v>0</v>
      </c>
      <c r="DR119" s="920" t="str">
        <f>IF(A119=FALSE,"",IF(Detail!CP119="","N/A",YEAR(Detail!F119)&amp;Detail!CS119&amp;Detail!CP119&amp;"-"&amp;Detail!$CP$13))</f>
        <v/>
      </c>
      <c r="DS119" s="308" t="s">
        <v>2236</v>
      </c>
      <c r="DT119" s="720" t="s">
        <v>2277</v>
      </c>
      <c r="DU119" s="244">
        <v>50000</v>
      </c>
      <c r="DV119" s="247">
        <v>2</v>
      </c>
      <c r="DW119" s="261">
        <v>0</v>
      </c>
      <c r="DX119" s="261" t="s">
        <v>2236</v>
      </c>
      <c r="DY119" s="264">
        <v>0</v>
      </c>
      <c r="DZ119" s="444">
        <v>0</v>
      </c>
      <c r="EA119" s="444">
        <v>1</v>
      </c>
      <c r="EB119" s="444">
        <v>0</v>
      </c>
      <c r="EC119" s="761" t="str">
        <f>IF(A119=FALSE,"",IF(Detail!CX119="","N/A",YEAR(Detail!F119)&amp;Detail!DA119&amp;Detail!CX119&amp;"-"&amp;Detail!$CX$13))</f>
        <v/>
      </c>
      <c r="ED119" s="445" t="s">
        <v>2236</v>
      </c>
      <c r="EE119" s="720" t="s">
        <v>2277</v>
      </c>
      <c r="EF119" s="244">
        <v>50000</v>
      </c>
      <c r="EG119" s="247">
        <v>2</v>
      </c>
      <c r="EH119" s="261">
        <v>0</v>
      </c>
      <c r="EI119" s="261" t="s">
        <v>2236</v>
      </c>
      <c r="EJ119" s="264">
        <v>0</v>
      </c>
      <c r="EK119" s="444">
        <v>0</v>
      </c>
      <c r="EL119" s="444">
        <v>1</v>
      </c>
      <c r="EM119" s="444">
        <v>0</v>
      </c>
      <c r="EN119" s="333" t="str">
        <f>IF(A119=FALSE,"",IF(Detail!DF119="","N/A",YEAR(Detail!F119)&amp;Detail!DI119&amp;Detail!DF119&amp;"-"&amp;Detail!$DF$13))</f>
        <v/>
      </c>
      <c r="EO119" s="1012" t="s">
        <v>2236</v>
      </c>
      <c r="EP119" s="1012" t="s">
        <v>2277</v>
      </c>
      <c r="EQ119" s="1013">
        <f t="shared" si="24"/>
        <v>0</v>
      </c>
      <c r="ER119" s="1013" t="s">
        <v>2236</v>
      </c>
      <c r="ES119" s="264">
        <v>0</v>
      </c>
      <c r="ET119" s="1013">
        <v>0</v>
      </c>
      <c r="EU119" s="1013">
        <v>1</v>
      </c>
      <c r="EV119" s="1013">
        <v>0</v>
      </c>
      <c r="EW119" s="333" t="str">
        <f>IF(DJ119=FALSE,"",IF(Detail!ET119="","N/A",YEAR(Detail!DN119)&amp;Detail!EW119&amp;Detail!ET119&amp;"-"&amp;Detail!$AL$13&amp;Detail!EU119))</f>
        <v>N/A</v>
      </c>
      <c r="EX119" s="1012" t="s">
        <v>2236</v>
      </c>
      <c r="EY119" s="1012" t="s">
        <v>2277</v>
      </c>
      <c r="EZ119" s="1013">
        <f t="shared" si="25"/>
        <v>0</v>
      </c>
      <c r="FA119" s="1013" t="s">
        <v>2236</v>
      </c>
      <c r="FB119" s="264">
        <v>0</v>
      </c>
      <c r="FC119" s="1013">
        <v>0</v>
      </c>
      <c r="FD119" s="1013">
        <v>1</v>
      </c>
      <c r="FE119" s="1013">
        <v>0</v>
      </c>
    </row>
    <row r="120" spans="1:161" s="422" customFormat="1" ht="30" customHeight="1" outlineLevel="1">
      <c r="A120" s="439" t="b">
        <f>Calcul!A120</f>
        <v>0</v>
      </c>
      <c r="B120" s="510" t="str">
        <f t="shared" si="26"/>
        <v/>
      </c>
      <c r="C120" s="241" t="b">
        <v>0</v>
      </c>
      <c r="D120" s="241" t="s">
        <v>2147</v>
      </c>
      <c r="E120" s="242" t="s">
        <v>2335</v>
      </c>
      <c r="F120" s="249"/>
      <c r="G120" s="356" t="str">
        <f>IF(A120=FALSE,"",IF(NAMES!$D$10=FALSE,IF(Detail!H120="","",Detail!H120),IF(Crewlist!D120="","",Crewlist!D120)))</f>
        <v/>
      </c>
      <c r="H120" s="356" t="str">
        <f>IF(A120=FALSE,"",IF(NAMES!$D$10=FALSE,IF(Detail!P120="","",Detail!P120),IF(Crewlist!E120="","",Crewlist!E120)))</f>
        <v/>
      </c>
      <c r="I120" s="356" t="str">
        <f>IF(A120=FALSE,"",IF(NAMES!$D$10=FALSE,IF(Detail!K120="","",Detail!K120),IF(Crewlist!F120="","",Crewlist!F120)))</f>
        <v/>
      </c>
      <c r="J120" s="1001" t="str">
        <f>IF(Crewlist!T120="","",Crewlist!T120)</f>
        <v/>
      </c>
      <c r="K120" s="1001" t="str">
        <f>IF(Crewlist!D120="","",IF(Crewlist!U120="",Crewlist!Y120,IF(DATERENOUVMOINS730&lt;&gt;Crewlist!U120&lt;&gt;Crewlist!Y120,Crewlist!U120,DATERENOUVMOINS365)))</f>
        <v/>
      </c>
      <c r="L120" s="775" t="str">
        <f>IF(Detail!X120="","",Detail!X120)</f>
        <v/>
      </c>
      <c r="M120" s="775" t="str">
        <f>IF(Detail!H120="","",IF(Detail!Y120="",DATERENOUV,IF(Detail!Y120&gt;Detail!D120,Detail!D120,Detail!Y120)))</f>
        <v/>
      </c>
      <c r="N120" s="1015" t="str">
        <f>IF(A120=FALSE,"",IF(NAMES!$D$10=FALSE,IF(B120=B121,IF(O120=O121,0,(DATEDIF(L120,M120,"M")+1)),(DATEDIF(L120,M120,"M")+1)),IF(B120=B121,IF(O120=O121,0,(DATEDIF(J120,K120,"M")+1)),(DATEDIF(J120,K120,"M")+1))))</f>
        <v/>
      </c>
      <c r="O120" s="357" t="str">
        <f t="shared" si="17"/>
        <v/>
      </c>
      <c r="P120" s="358" t="str">
        <f>IF(A120=FALSE,"",IF(NAMES!$D$10=FALSE,IF((DATEDIF(L120,M120,"D")+1)&lt;365,(DATEDIF(L120,M120,"D")+1),365),IF((DATEDIF(J120,K120,"D")+1)&lt;365,(DATEDIF(J120,K120,"D")+1),365)))</f>
        <v/>
      </c>
      <c r="Q120" s="358" t="str">
        <f>IF(A120=FALSE,"",IF(NAMES!$D$10=FALSE,IF(M120="",365,DATEDIF(L120,M120,"D")+1),IF(M120="",365,DATEDIF(J120,K120,"D")+1)))</f>
        <v/>
      </c>
      <c r="R120" s="950" t="str">
        <f>Calcul!X120</f>
        <v/>
      </c>
      <c r="S120" s="950" t="str">
        <f>Calcul!Y120</f>
        <v/>
      </c>
      <c r="T120" s="993" t="str">
        <f>Calcul!AG120</f>
        <v/>
      </c>
      <c r="U120" s="368" t="str">
        <f>IF(A120=FALSE,"",IF(NAMES!$D$10=FALSE,IF(Detail!S120="","",Detail!S120),IF(Crewlist!V120="","",Crewlist!V120)))</f>
        <v/>
      </c>
      <c r="V120" s="245" t="str">
        <f>Calcul!AI120</f>
        <v/>
      </c>
      <c r="W120" s="245" t="str">
        <f>Calcul!AL120</f>
        <v/>
      </c>
      <c r="X120" s="245" t="str">
        <f>Calcul!AM120</f>
        <v/>
      </c>
      <c r="Y120" s="353" t="str">
        <f>Calcul!AN120</f>
        <v/>
      </c>
      <c r="Z120" s="245" t="str">
        <f>Calcul!AO120</f>
        <v/>
      </c>
      <c r="AA120" s="245" t="str">
        <f>Calcul!AP120</f>
        <v/>
      </c>
      <c r="AB120" s="353" t="str">
        <f>Calcul!AQ120</f>
        <v/>
      </c>
      <c r="AC120" s="353" t="str">
        <f>IF(C120=FALSE,"",Calcul!BE120+Calcul!BF120)</f>
        <v/>
      </c>
      <c r="AD120" s="353" t="str">
        <f>IF(C120=FALSE,"",(Calcul!BG120+Calcul!BH120)+SUM(Calcul!BI120:BN120))</f>
        <v/>
      </c>
      <c r="AE120" s="353" t="str">
        <f>Calcul!BP120</f>
        <v/>
      </c>
      <c r="AF120" s="332" t="str">
        <f>IF(A120=FALSE,"",YEAR(Detail!F120)&amp;Detail!AG120&amp;Detail!AD120&amp;"-"&amp;Detail!$AD$13&amp;Detail!AE120)</f>
        <v/>
      </c>
      <c r="AG120" s="246" t="s">
        <v>2236</v>
      </c>
      <c r="AH120" s="527" t="s">
        <v>2277</v>
      </c>
      <c r="AI120" s="261">
        <v>0</v>
      </c>
      <c r="AJ120" s="261" t="s">
        <v>2236</v>
      </c>
      <c r="AK120" s="1410">
        <v>32</v>
      </c>
      <c r="AL120" s="508">
        <v>0</v>
      </c>
      <c r="AM120" s="261">
        <v>1</v>
      </c>
      <c r="AN120" s="261">
        <v>0</v>
      </c>
      <c r="AO120" s="333" t="str">
        <f>IF(A120=FALSE,"",IF(Detail!AL120="","N/A",YEAR(Detail!F120)&amp;Detail!AO120&amp;Detail!AL120&amp;"-"&amp;Detail!$AL$13&amp;Detail!AM120))</f>
        <v/>
      </c>
      <c r="AP120" s="246" t="s">
        <v>2236</v>
      </c>
      <c r="AQ120" s="527" t="s">
        <v>2277</v>
      </c>
      <c r="AR120" s="1013">
        <f t="shared" si="18"/>
        <v>0</v>
      </c>
      <c r="AS120" s="261" t="s">
        <v>2236</v>
      </c>
      <c r="AT120" s="264">
        <v>0</v>
      </c>
      <c r="AU120" s="261">
        <v>0</v>
      </c>
      <c r="AV120" s="261">
        <v>1</v>
      </c>
      <c r="AW120" s="261">
        <v>0</v>
      </c>
      <c r="AX120" s="920" t="str">
        <f>IF(A120=FALSE,"",IF(Detail!AT120="","N/A",YEAR(Detail!F120)&amp;Detail!AW120&amp;Detail!AT120&amp;"-"&amp;Detail!$AT$13))</f>
        <v/>
      </c>
      <c r="AY120" s="308" t="s">
        <v>2236</v>
      </c>
      <c r="AZ120" s="308" t="s">
        <v>2278</v>
      </c>
      <c r="BA120" s="440" t="str">
        <f>IF(A120=FALSE,"",51000+(Detail!AA120*7000))</f>
        <v/>
      </c>
      <c r="BB120" s="1412">
        <v>50000</v>
      </c>
      <c r="BC120" s="247">
        <v>3</v>
      </c>
      <c r="BD120" s="261">
        <v>0</v>
      </c>
      <c r="BE120" s="261" t="s">
        <v>2236</v>
      </c>
      <c r="BF120" s="264">
        <v>0</v>
      </c>
      <c r="BG120" s="508">
        <v>0</v>
      </c>
      <c r="BH120" s="261">
        <v>1</v>
      </c>
      <c r="BI120" s="261">
        <v>0</v>
      </c>
      <c r="BJ120" s="311" t="str">
        <f>IF(A120=FALSE,"",IF(Detail!BB120="","N/A",YEAR(Detail!F120)&amp;Detail!BE120&amp;Detail!BB120&amp;"-"&amp;Detail!$BB$13))</f>
        <v/>
      </c>
      <c r="BK120" s="527" t="s">
        <v>2236</v>
      </c>
      <c r="BL120" s="527" t="s">
        <v>2278</v>
      </c>
      <c r="BM120" s="440" t="str">
        <f>IF(A120=FALSE,"",51000+(Detail!AA120*7000))</f>
        <v/>
      </c>
      <c r="BN120" s="1412">
        <v>50000</v>
      </c>
      <c r="BO120" s="247">
        <v>3</v>
      </c>
      <c r="BP120" s="261">
        <v>0</v>
      </c>
      <c r="BQ120" s="261" t="s">
        <v>2236</v>
      </c>
      <c r="BR120" s="264">
        <v>0</v>
      </c>
      <c r="BS120" s="508">
        <v>0</v>
      </c>
      <c r="BT120" s="261">
        <v>1</v>
      </c>
      <c r="BU120" s="261">
        <v>0</v>
      </c>
      <c r="BV120" s="311" t="str">
        <f>IF(A120=FALSE,"",IF(Detail!BJ120="","N/A",YEAR(Detail!F120)&amp;Detail!BM120&amp;Detail!BJ120&amp;"-"&amp;Detail!$BJ$13))</f>
        <v/>
      </c>
      <c r="BW120" s="445" t="s">
        <v>2236</v>
      </c>
      <c r="BX120" s="527" t="s">
        <v>2278</v>
      </c>
      <c r="BY120" s="440" t="str">
        <f t="shared" si="19"/>
        <v/>
      </c>
      <c r="BZ120" s="1412">
        <v>50000</v>
      </c>
      <c r="CA120" s="247">
        <v>3</v>
      </c>
      <c r="CB120" s="261">
        <v>0</v>
      </c>
      <c r="CC120" s="261" t="s">
        <v>2236</v>
      </c>
      <c r="CD120" s="264">
        <v>0</v>
      </c>
      <c r="CE120" s="508">
        <v>0</v>
      </c>
      <c r="CF120" s="261">
        <v>1</v>
      </c>
      <c r="CG120" s="261">
        <v>0</v>
      </c>
      <c r="CH120" s="311" t="str">
        <f>IF(A120=FALSE,"",IF(Detail!BR120="","N/A",YEAR(Detail!F120)&amp;Detail!BU120&amp;Detail!BR120&amp;"-"&amp;Detail!$BR$13))</f>
        <v/>
      </c>
      <c r="CI120" s="445" t="s">
        <v>2236</v>
      </c>
      <c r="CJ120" s="527" t="s">
        <v>2278</v>
      </c>
      <c r="CK120" s="440" t="str">
        <f t="shared" si="20"/>
        <v/>
      </c>
      <c r="CL120" s="1412">
        <v>50000</v>
      </c>
      <c r="CM120" s="247">
        <v>3</v>
      </c>
      <c r="CN120" s="261">
        <v>0</v>
      </c>
      <c r="CO120" s="261" t="s">
        <v>2236</v>
      </c>
      <c r="CP120" s="264">
        <v>0</v>
      </c>
      <c r="CQ120" s="508">
        <v>0</v>
      </c>
      <c r="CR120" s="261">
        <v>1</v>
      </c>
      <c r="CS120" s="261">
        <v>0</v>
      </c>
      <c r="CT120" s="311" t="str">
        <f>IF(A120=FALSE,"",IF(Detail!BZ120="","N/A",YEAR(Detail!F120)&amp;Detail!CC120&amp;Detail!BZ120&amp;"-"&amp;Detail!$BZ$13&amp;" (100%/"&amp;Detail!CD120&amp;"/"&amp;Detail!CE120&amp;"D)"))</f>
        <v/>
      </c>
      <c r="CU120" s="445" t="s">
        <v>2236</v>
      </c>
      <c r="CV120" s="527" t="s">
        <v>2278</v>
      </c>
      <c r="CW120" s="241">
        <v>7</v>
      </c>
      <c r="CX120" s="1323">
        <v>365</v>
      </c>
      <c r="CY120" s="248">
        <v>1</v>
      </c>
      <c r="CZ120" s="261">
        <v>0</v>
      </c>
      <c r="DA120" s="261" t="s">
        <v>2236</v>
      </c>
      <c r="DB120" s="538">
        <v>40</v>
      </c>
      <c r="DC120" s="261">
        <v>0.1</v>
      </c>
      <c r="DD120" s="261">
        <v>1</v>
      </c>
      <c r="DE120" s="261">
        <v>0</v>
      </c>
      <c r="DF120" s="313" t="str">
        <f>IF(A120=FALSE,"",IF(Detail!CH120="","N/A",YEAR(Detail!F120)&amp;Detail!CK120&amp;Detail!CH120&amp;"-"&amp;Detail!$CH$13&amp;" (100%/"&amp;Detail!CL120&amp;"/"&amp;Detail!CM120&amp;"D)"))</f>
        <v/>
      </c>
      <c r="DG120" s="807" t="s">
        <v>2236</v>
      </c>
      <c r="DH120" s="518" t="s">
        <v>2278</v>
      </c>
      <c r="DI120" s="241">
        <f t="shared" si="21"/>
        <v>7</v>
      </c>
      <c r="DJ120" s="243">
        <f t="shared" si="22"/>
        <v>365</v>
      </c>
      <c r="DK120" s="258">
        <v>1</v>
      </c>
      <c r="DL120" s="261">
        <v>0</v>
      </c>
      <c r="DM120" s="1325" t="s">
        <v>2236</v>
      </c>
      <c r="DN120" s="538">
        <v>96</v>
      </c>
      <c r="DO120" s="1325">
        <f t="shared" si="23"/>
        <v>0.1</v>
      </c>
      <c r="DP120" s="261">
        <v>1</v>
      </c>
      <c r="DQ120" s="261">
        <v>0</v>
      </c>
      <c r="DR120" s="920" t="str">
        <f>IF(A120=FALSE,"",IF(Detail!CP120="","N/A",YEAR(Detail!F120)&amp;Detail!CS120&amp;Detail!CP120&amp;"-"&amp;Detail!$CP$13))</f>
        <v/>
      </c>
      <c r="DS120" s="308" t="s">
        <v>2236</v>
      </c>
      <c r="DT120" s="720" t="s">
        <v>2277</v>
      </c>
      <c r="DU120" s="244">
        <v>50000</v>
      </c>
      <c r="DV120" s="247">
        <v>2</v>
      </c>
      <c r="DW120" s="261">
        <v>0</v>
      </c>
      <c r="DX120" s="261" t="s">
        <v>2236</v>
      </c>
      <c r="DY120" s="264">
        <v>0</v>
      </c>
      <c r="DZ120" s="444">
        <v>0</v>
      </c>
      <c r="EA120" s="444">
        <v>1</v>
      </c>
      <c r="EB120" s="444">
        <v>0</v>
      </c>
      <c r="EC120" s="761" t="str">
        <f>IF(A120=FALSE,"",IF(Detail!CX120="","N/A",YEAR(Detail!F120)&amp;Detail!DA120&amp;Detail!CX120&amp;"-"&amp;Detail!$CX$13))</f>
        <v/>
      </c>
      <c r="ED120" s="445" t="s">
        <v>2236</v>
      </c>
      <c r="EE120" s="720" t="s">
        <v>2277</v>
      </c>
      <c r="EF120" s="244">
        <v>50000</v>
      </c>
      <c r="EG120" s="247">
        <v>2</v>
      </c>
      <c r="EH120" s="261">
        <v>0</v>
      </c>
      <c r="EI120" s="261" t="s">
        <v>2236</v>
      </c>
      <c r="EJ120" s="264">
        <v>0</v>
      </c>
      <c r="EK120" s="444">
        <v>0</v>
      </c>
      <c r="EL120" s="444">
        <v>1</v>
      </c>
      <c r="EM120" s="444">
        <v>0</v>
      </c>
      <c r="EN120" s="333" t="str">
        <f>IF(A120=FALSE,"",IF(Detail!DF120="","N/A",YEAR(Detail!F120)&amp;Detail!DI120&amp;Detail!DF120&amp;"-"&amp;Detail!$DF$13))</f>
        <v/>
      </c>
      <c r="EO120" s="1012" t="s">
        <v>2236</v>
      </c>
      <c r="EP120" s="1012" t="s">
        <v>2277</v>
      </c>
      <c r="EQ120" s="1013">
        <f t="shared" si="24"/>
        <v>0</v>
      </c>
      <c r="ER120" s="1013" t="s">
        <v>2236</v>
      </c>
      <c r="ES120" s="264">
        <v>0</v>
      </c>
      <c r="ET120" s="1013">
        <v>0</v>
      </c>
      <c r="EU120" s="1013">
        <v>1</v>
      </c>
      <c r="EV120" s="1013">
        <v>0</v>
      </c>
      <c r="EW120" s="333" t="str">
        <f>IF(DJ120=FALSE,"",IF(Detail!ET120="","N/A",YEAR(Detail!DN120)&amp;Detail!EW120&amp;Detail!ET120&amp;"-"&amp;Detail!$AL$13&amp;Detail!EU120))</f>
        <v>N/A</v>
      </c>
      <c r="EX120" s="1012" t="s">
        <v>2236</v>
      </c>
      <c r="EY120" s="1012" t="s">
        <v>2277</v>
      </c>
      <c r="EZ120" s="1013">
        <f t="shared" si="25"/>
        <v>0</v>
      </c>
      <c r="FA120" s="1013" t="s">
        <v>2236</v>
      </c>
      <c r="FB120" s="264">
        <v>0</v>
      </c>
      <c r="FC120" s="1013">
        <v>0</v>
      </c>
      <c r="FD120" s="1013">
        <v>1</v>
      </c>
      <c r="FE120" s="1013">
        <v>0</v>
      </c>
    </row>
    <row r="121" spans="1:161" ht="30" customHeight="1">
      <c r="EK121" s="158"/>
      <c r="EL121" s="158"/>
      <c r="EM121" s="158"/>
    </row>
    <row r="122" spans="1:161">
      <c r="EK122" s="158"/>
      <c r="EL122" s="158"/>
      <c r="EM122" s="158"/>
    </row>
  </sheetData>
  <mergeCells count="164">
    <mergeCell ref="Y9:Y10"/>
    <mergeCell ref="AD9:AD10"/>
    <mergeCell ref="AC12:AD12"/>
    <mergeCell ref="EX1:FC2"/>
    <mergeCell ref="EW3:EW4"/>
    <mergeCell ref="EY6:EZ6"/>
    <mergeCell ref="EY7:EZ7"/>
    <mergeCell ref="EY8:EZ8"/>
    <mergeCell ref="EY9:EZ9"/>
    <mergeCell ref="DK7:DL7"/>
    <mergeCell ref="DK8:DL8"/>
    <mergeCell ref="AH6:AI6"/>
    <mergeCell ref="AH8:AI8"/>
    <mergeCell ref="AQ6:AR6"/>
    <mergeCell ref="AQ7:AR7"/>
    <mergeCell ref="AQ8:AR8"/>
    <mergeCell ref="BY6:BZ6"/>
    <mergeCell ref="CA6:CB6"/>
    <mergeCell ref="BC6:BD6"/>
    <mergeCell ref="BC7:BD7"/>
    <mergeCell ref="BM7:BN7"/>
    <mergeCell ref="BY7:BZ7"/>
    <mergeCell ref="BO7:BP7"/>
    <mergeCell ref="CA8:CB8"/>
    <mergeCell ref="EW13:EX13"/>
    <mergeCell ref="EN1:EN2"/>
    <mergeCell ref="EO1:ET2"/>
    <mergeCell ref="EN3:EN4"/>
    <mergeCell ref="EP6:EQ6"/>
    <mergeCell ref="EP7:EQ7"/>
    <mergeCell ref="EP8:EQ8"/>
    <mergeCell ref="EP9:EQ9"/>
    <mergeCell ref="EN13:EO13"/>
    <mergeCell ref="EW1:EW2"/>
    <mergeCell ref="CH13:CI13"/>
    <mergeCell ref="CT13:CU13"/>
    <mergeCell ref="V8:AE8"/>
    <mergeCell ref="DK5:DL5"/>
    <mergeCell ref="DI6:DJ6"/>
    <mergeCell ref="DK6:DL6"/>
    <mergeCell ref="B9:B10"/>
    <mergeCell ref="G13:I13"/>
    <mergeCell ref="AH9:AI9"/>
    <mergeCell ref="AQ9:AR9"/>
    <mergeCell ref="G12:I12"/>
    <mergeCell ref="G11:I11"/>
    <mergeCell ref="AF13:AG13"/>
    <mergeCell ref="AO13:AP13"/>
    <mergeCell ref="I9:I10"/>
    <mergeCell ref="U9:U10"/>
    <mergeCell ref="AA9:AB10"/>
    <mergeCell ref="X9:X10"/>
    <mergeCell ref="Z9:Z10"/>
    <mergeCell ref="AC9:AC10"/>
    <mergeCell ref="R9:R10"/>
    <mergeCell ref="B13:B14"/>
    <mergeCell ref="T9:T10"/>
    <mergeCell ref="Q9:Q10"/>
    <mergeCell ref="S9:S10"/>
    <mergeCell ref="L14:M14"/>
    <mergeCell ref="G9:G10"/>
    <mergeCell ref="AE9:AE10"/>
    <mergeCell ref="V9:V10"/>
    <mergeCell ref="W9:W10"/>
    <mergeCell ref="DF13:DG13"/>
    <mergeCell ref="AX13:AY13"/>
    <mergeCell ref="DI7:DJ7"/>
    <mergeCell ref="CW7:CX7"/>
    <mergeCell ref="CY7:CZ7"/>
    <mergeCell ref="BA8:BB8"/>
    <mergeCell ref="BC8:BD8"/>
    <mergeCell ref="BM8:BN8"/>
    <mergeCell ref="BO8:BP8"/>
    <mergeCell ref="BY8:BZ8"/>
    <mergeCell ref="BA7:BB7"/>
    <mergeCell ref="CA7:CB7"/>
    <mergeCell ref="BJ13:BK13"/>
    <mergeCell ref="BV13:BW13"/>
    <mergeCell ref="DI8:DJ8"/>
    <mergeCell ref="CK8:CL8"/>
    <mergeCell ref="CM8:CN8"/>
    <mergeCell ref="AH7:AI7"/>
    <mergeCell ref="AX1:AX2"/>
    <mergeCell ref="CH1:CH2"/>
    <mergeCell ref="CI1:CN2"/>
    <mergeCell ref="BJ1:BJ2"/>
    <mergeCell ref="BK1:BP2"/>
    <mergeCell ref="CW8:CX8"/>
    <mergeCell ref="BV1:BV2"/>
    <mergeCell ref="CT1:CT2"/>
    <mergeCell ref="CU1:CZ2"/>
    <mergeCell ref="BA5:BB5"/>
    <mergeCell ref="BA4:BB4"/>
    <mergeCell ref="CY8:CZ8"/>
    <mergeCell ref="BM4:BN4"/>
    <mergeCell ref="CK5:CL5"/>
    <mergeCell ref="CM5:CN5"/>
    <mergeCell ref="J14:K14"/>
    <mergeCell ref="AB6:AC6"/>
    <mergeCell ref="V5:X5"/>
    <mergeCell ref="V6:X6"/>
    <mergeCell ref="CW3:CX4"/>
    <mergeCell ref="CM6:CN6"/>
    <mergeCell ref="BA6:BB6"/>
    <mergeCell ref="BC5:BD5"/>
    <mergeCell ref="BO5:BP5"/>
    <mergeCell ref="BM6:BN6"/>
    <mergeCell ref="BO6:BP6"/>
    <mergeCell ref="BJ3:BJ4"/>
    <mergeCell ref="BV3:BV4"/>
    <mergeCell ref="V4:X4"/>
    <mergeCell ref="BM5:BN5"/>
    <mergeCell ref="CA5:CB5"/>
    <mergeCell ref="CW6:CX6"/>
    <mergeCell ref="AO3:AO4"/>
    <mergeCell ref="AX3:AX4"/>
    <mergeCell ref="V3:X3"/>
    <mergeCell ref="CH3:CH4"/>
    <mergeCell ref="CT3:CT4"/>
    <mergeCell ref="BM3:BN3"/>
    <mergeCell ref="AB4:AC4"/>
    <mergeCell ref="O9:O10"/>
    <mergeCell ref="N9:N10"/>
    <mergeCell ref="J9:J10"/>
    <mergeCell ref="K9:K10"/>
    <mergeCell ref="P9:P10"/>
    <mergeCell ref="L9:L10"/>
    <mergeCell ref="M9:M10"/>
    <mergeCell ref="H9:H10"/>
    <mergeCell ref="DR1:DR2"/>
    <mergeCell ref="F1:H1"/>
    <mergeCell ref="AB5:AC5"/>
    <mergeCell ref="V1:X1"/>
    <mergeCell ref="V2:X2"/>
    <mergeCell ref="AB1:AC1"/>
    <mergeCell ref="AB2:AC2"/>
    <mergeCell ref="AB3:AC3"/>
    <mergeCell ref="CW5:CX5"/>
    <mergeCell ref="AO1:AO2"/>
    <mergeCell ref="AP1:AU2"/>
    <mergeCell ref="AY1:BD2"/>
    <mergeCell ref="AF3:AF4"/>
    <mergeCell ref="AF1:AF2"/>
    <mergeCell ref="AG1:AI2"/>
    <mergeCell ref="BA3:BB3"/>
    <mergeCell ref="DS1:DX2"/>
    <mergeCell ref="EC1:EC2"/>
    <mergeCell ref="ED1:EI2"/>
    <mergeCell ref="CK6:CL6"/>
    <mergeCell ref="CM7:CN7"/>
    <mergeCell ref="BY4:BZ4"/>
    <mergeCell ref="BY3:BZ3"/>
    <mergeCell ref="CK3:CL3"/>
    <mergeCell ref="CK4:CL4"/>
    <mergeCell ref="CK7:CL7"/>
    <mergeCell ref="BW1:CB2"/>
    <mergeCell ref="BY5:BZ5"/>
    <mergeCell ref="DF1:DF2"/>
    <mergeCell ref="DG1:DL2"/>
    <mergeCell ref="CY6:CZ6"/>
    <mergeCell ref="DI5:DJ5"/>
    <mergeCell ref="DI3:DJ4"/>
    <mergeCell ref="DF3:DF4"/>
    <mergeCell ref="CY5:CZ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Check Box 4">
              <controlPr defaultSize="0" autoFill="0" autoLine="0" autoPict="0">
                <anchor moveWithCells="1">
                  <from>
                    <xdr:col>2</xdr:col>
                    <xdr:colOff>171450</xdr:colOff>
                    <xdr:row>2</xdr:row>
                    <xdr:rowOff>133350</xdr:rowOff>
                  </from>
                  <to>
                    <xdr:col>5</xdr:col>
                    <xdr:colOff>209550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5" name="Check Box 49">
              <controlPr defaultSize="0" autoFill="0" autoLine="0" autoPict="0">
                <anchor moveWithCells="1">
                  <from>
                    <xdr:col>2</xdr:col>
                    <xdr:colOff>247650</xdr:colOff>
                    <xdr:row>4</xdr:row>
                    <xdr:rowOff>200025</xdr:rowOff>
                  </from>
                  <to>
                    <xdr:col>5</xdr:col>
                    <xdr:colOff>438150</xdr:colOff>
                    <xdr:row>4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6" name="Drop Down 50">
              <controlPr defaultSize="0" autoLine="0" autoPict="0">
                <anchor moveWithCells="1">
                  <from>
                    <xdr:col>2</xdr:col>
                    <xdr:colOff>219075</xdr:colOff>
                    <xdr:row>3</xdr:row>
                    <xdr:rowOff>104775</xdr:rowOff>
                  </from>
                  <to>
                    <xdr:col>5</xdr:col>
                    <xdr:colOff>285750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7" name="Check Box 52">
              <controlPr defaultSize="0" autoFill="0" autoLine="0" autoPict="0">
                <anchor moveWithCells="1">
                  <from>
                    <xdr:col>2</xdr:col>
                    <xdr:colOff>266700</xdr:colOff>
                    <xdr:row>5</xdr:row>
                    <xdr:rowOff>76200</xdr:rowOff>
                  </from>
                  <to>
                    <xdr:col>5</xdr:col>
                    <xdr:colOff>114300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>
          <x14:formula1>
            <xm:f>LIST!$H$1:$H$3</xm:f>
          </x14:formula1>
          <xm:sqref>DH4 EE15:EE120 DT15:DT120 CV4 BX4 AZ4 AQ4:AQ5 AH4:AH5 CJ4 AZ15:AZ120 BL15:BL120 BX15:BX120 CJ15:CJ120 CV15:CV120 DH15:DH120 EY15:EY120 BL4 EP15:EP120 EP4:EP5 AH15:AH120 EY4:EY5 AQ15:AQ120</xm:sqref>
        </x14:dataValidation>
        <x14:dataValidation type="list" allowBlank="1" showInputMessage="1" showErrorMessage="1">
          <x14:formula1>
            <xm:f>LIST!$I$1:$I$5</xm:f>
          </x14:formula1>
          <xm:sqref>DM4 DA4 DX15:DX120 DM15:DM120 CC4 BE4 AS4:AS5 BE15:BE120 EI15:EI120 AS15:AS120 DA15:DA120 BQ15:BQ120 CC15:CC120 CO15:CO120 AJ4:AJ5 CO4 BQ4 FA15:FA120 ER4:ER5 ER15:ER120 FA4:FA5 AJ15:AJ120</xm:sqref>
        </x14:dataValidation>
        <x14:dataValidation type="list" allowBlank="1" showInputMessage="1" showErrorMessage="1">
          <x14:formula1>
            <xm:f>Rates!$D$122:$D$184</xm:f>
          </x14:formula1>
          <xm:sqref>AP15:AP120</xm:sqref>
        </x14:dataValidation>
        <x14:dataValidation type="list" allowBlank="1" showInputMessage="1" showErrorMessage="1">
          <x14:formula1>
            <xm:f>Rates!$D$5:$D$120</xm:f>
          </x14:formula1>
          <xm:sqref>AG15:AG120</xm:sqref>
        </x14:dataValidation>
        <x14:dataValidation type="list" allowBlank="1" showInputMessage="1" showErrorMessage="1">
          <x14:formula1>
            <xm:f>Rates!$D$193:$D$223</xm:f>
          </x14:formula1>
          <xm:sqref>DS15:DS120 AY15:AY120</xm:sqref>
        </x14:dataValidation>
        <x14:dataValidation type="list" allowBlank="1" showInputMessage="1" showErrorMessage="1">
          <x14:formula1>
            <xm:f>Rates!$D$225:$D$247</xm:f>
          </x14:formula1>
          <xm:sqref>BK15:BK120</xm:sqref>
        </x14:dataValidation>
        <x14:dataValidation type="list" allowBlank="1" showInputMessage="1" showErrorMessage="1">
          <x14:formula1>
            <xm:f>Rates!$D$249:$D$279</xm:f>
          </x14:formula1>
          <xm:sqref>ED15:ED120 BW15:BW120</xm:sqref>
        </x14:dataValidation>
        <x14:dataValidation type="list" allowBlank="1" showInputMessage="1" showErrorMessage="1">
          <x14:formula1>
            <xm:f>Rates!$D$281:$D$303</xm:f>
          </x14:formula1>
          <xm:sqref>CI15:CI120</xm:sqref>
        </x14:dataValidation>
        <x14:dataValidation type="list" allowBlank="1" showInputMessage="1" showErrorMessage="1">
          <x14:formula1>
            <xm:f>Rates!$D$305:$D$334</xm:f>
          </x14:formula1>
          <xm:sqref>CU15:CU120</xm:sqref>
        </x14:dataValidation>
        <x14:dataValidation type="list" allowBlank="1" showInputMessage="1" showErrorMessage="1">
          <x14:formula1>
            <xm:f>Rates!$D$336:$D$366</xm:f>
          </x14:formula1>
          <xm:sqref>DG15:DG120</xm:sqref>
        </x14:dataValidation>
        <x14:dataValidation type="list" allowBlank="1" showInputMessage="1" showErrorMessage="1">
          <x14:formula1>
            <xm:f>Rates!$D$186:$D$191</xm:f>
          </x14:formula1>
          <xm:sqref>EO4:EO5 EX4:EX5 EX15:EX120 EO15:EO120</xm:sqref>
        </x14:dataValidation>
        <x14:dataValidation type="list" allowBlank="1" showInputMessage="1" showErrorMessage="1">
          <x14:formula1>
            <xm:f>LIST!$B$1:$B$15</xm:f>
          </x14:formula1>
          <xm:sqref>F1</xm:sqref>
        </x14:dataValidation>
        <x14:dataValidation type="list" allowBlank="1" showInputMessage="1" showErrorMessage="1">
          <x14:formula1>
            <xm:f>LIST!$E$1:$E$5</xm:f>
          </x14:formula1>
          <xm:sqref>D15:D120</xm:sqref>
        </x14:dataValidation>
        <x14:dataValidation type="list" allowBlank="1" showInputMessage="1" showErrorMessage="1">
          <x14:formula1>
            <xm:f>LIST!$F$1:$F$7</xm:f>
          </x14:formula1>
          <xm:sqref>E15:E120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7" tint="0.59999389629810485"/>
    <outlinePr summaryBelow="0"/>
  </sheetPr>
  <dimension ref="A1:WU186"/>
  <sheetViews>
    <sheetView workbookViewId="0">
      <pane xSplit="15" ySplit="14" topLeftCell="P15" activePane="bottomRight" state="frozen"/>
      <selection activeCell="I1" sqref="I1"/>
      <selection pane="topRight" activeCell="P1" sqref="P1"/>
      <selection pane="bottomLeft" activeCell="I15" sqref="I15"/>
      <selection pane="bottomRight" activeCell="AP15" sqref="AP15"/>
    </sheetView>
  </sheetViews>
  <sheetFormatPr baseColWidth="10" defaultColWidth="11.42578125" defaultRowHeight="15"/>
  <cols>
    <col min="1" max="1" width="14.42578125" style="409" hidden="1" customWidth="1"/>
    <col min="2" max="2" width="11.42578125" style="409" hidden="1" customWidth="1"/>
    <col min="3" max="3" width="11.7109375" hidden="1" customWidth="1"/>
    <col min="4" max="4" width="10.140625" style="409" hidden="1" customWidth="1"/>
    <col min="5" max="5" width="13.7109375" style="409" hidden="1" customWidth="1"/>
    <col min="6" max="6" width="8.5703125" style="278" hidden="1" customWidth="1"/>
    <col min="7" max="7" width="13.28515625" style="409" hidden="1" customWidth="1"/>
    <col min="8" max="8" width="17.5703125" style="278" hidden="1" customWidth="1"/>
    <col min="9" max="9" width="8" style="295" customWidth="1"/>
    <col min="10" max="10" width="14.140625" customWidth="1"/>
    <col min="11" max="11" width="22.42578125" customWidth="1"/>
    <col min="12" max="12" width="6.140625" customWidth="1"/>
    <col min="13" max="13" width="7.5703125" customWidth="1"/>
    <col min="14" max="14" width="11" customWidth="1"/>
    <col min="15" max="15" width="11.85546875" customWidth="1"/>
    <col min="16" max="16" width="11.85546875" style="941" customWidth="1"/>
    <col min="17" max="17" width="10.140625" customWidth="1"/>
    <col min="18" max="18" width="10.28515625" customWidth="1"/>
    <col min="19" max="20" width="11.85546875" style="941" customWidth="1"/>
    <col min="21" max="21" width="9" style="941" customWidth="1"/>
    <col min="22" max="22" width="9.7109375" style="941" customWidth="1"/>
    <col min="23" max="23" width="11.85546875" style="941" customWidth="1"/>
    <col min="24" max="24" width="11" customWidth="1"/>
    <col min="25" max="25" width="11.42578125" customWidth="1"/>
    <col min="26" max="27" width="11.42578125" style="908" customWidth="1"/>
    <col min="28" max="32" width="11.42578125" style="941" customWidth="1"/>
    <col min="33" max="33" width="11.42578125" customWidth="1"/>
    <col min="34" max="34" width="10.140625" style="941" customWidth="1"/>
    <col min="35" max="35" width="11.28515625" style="295" customWidth="1"/>
    <col min="36" max="37" width="8.85546875" style="1366" customWidth="1"/>
    <col min="38" max="38" width="9.28515625" style="276" customWidth="1"/>
    <col min="39" max="39" width="8.42578125" style="296" customWidth="1"/>
    <col min="40" max="40" width="8.42578125" style="1369" customWidth="1"/>
    <col min="41" max="41" width="10.140625" style="296" customWidth="1"/>
    <col min="42" max="42" width="6.28515625" style="296" customWidth="1"/>
    <col min="43" max="43" width="8" style="296" customWidth="1"/>
    <col min="44" max="54" width="8" style="422" customWidth="1"/>
    <col min="55" max="55" width="10" style="296" customWidth="1"/>
    <col min="56" max="58" width="10.140625" style="296" customWidth="1"/>
    <col min="59" max="60" width="10.140625" style="716" customWidth="1"/>
    <col min="61" max="66" width="10.140625" style="296" customWidth="1"/>
    <col min="67" max="67" width="8.140625" style="296" customWidth="1"/>
    <col min="68" max="68" width="10.140625" style="296" customWidth="1"/>
    <col min="69" max="69" width="8" style="296" customWidth="1"/>
    <col min="70" max="71" width="7.28515625" style="296" customWidth="1"/>
    <col min="72" max="72" width="7.42578125" style="296" customWidth="1"/>
    <col min="73" max="73" width="8.85546875" style="296" customWidth="1"/>
    <col min="74" max="76" width="10.140625" style="296" customWidth="1"/>
    <col min="77" max="77" width="8.140625" style="422" customWidth="1"/>
    <col min="78" max="78" width="8.140625" style="716" customWidth="1"/>
    <col min="79" max="79" width="10.140625" style="422" customWidth="1"/>
    <col min="80" max="80" width="8" style="422" customWidth="1"/>
    <col min="81" max="82" width="7.28515625" style="422" customWidth="1"/>
    <col min="83" max="83" width="7.42578125" style="422" customWidth="1"/>
    <col min="84" max="84" width="8.85546875" style="422" customWidth="1"/>
    <col min="85" max="87" width="10.140625" style="422" customWidth="1"/>
    <col min="88" max="88" width="8.140625" style="422" customWidth="1"/>
    <col min="89" max="89" width="10.140625" style="422" customWidth="1"/>
    <col min="90" max="90" width="8" style="422" customWidth="1"/>
    <col min="91" max="92" width="7.28515625" style="422" customWidth="1"/>
    <col min="93" max="93" width="7.42578125" style="422" customWidth="1"/>
    <col min="94" max="94" width="8.85546875" style="422" customWidth="1"/>
    <col min="95" max="97" width="10.140625" style="422" customWidth="1"/>
    <col min="98" max="98" width="8.140625" style="422" customWidth="1"/>
    <col min="99" max="99" width="10.140625" style="422" customWidth="1"/>
    <col min="100" max="100" width="8" style="422" customWidth="1"/>
    <col min="101" max="102" width="7.28515625" style="422" customWidth="1"/>
    <col min="103" max="103" width="7.42578125" style="422" customWidth="1"/>
    <col min="104" max="104" width="8.85546875" style="422" customWidth="1"/>
    <col min="105" max="107" width="10.140625" style="422" customWidth="1"/>
    <col min="108" max="108" width="11.140625" style="409" customWidth="1"/>
    <col min="109" max="109" width="47.7109375" style="409" customWidth="1"/>
    <col min="110" max="110" width="20.28515625" style="295" customWidth="1"/>
    <col min="111" max="111" width="14.85546875" style="278" customWidth="1"/>
    <col min="112" max="112" width="10.85546875" style="409" customWidth="1"/>
    <col min="113" max="114" width="10.5703125" style="409" customWidth="1"/>
    <col min="115" max="115" width="10.140625" style="296" customWidth="1"/>
    <col min="116" max="118" width="11.42578125" style="422" customWidth="1"/>
    <col min="119" max="119" width="10.85546875" style="296" customWidth="1"/>
    <col min="120" max="120" width="16.7109375" style="422" customWidth="1"/>
    <col min="121" max="121" width="8.140625" style="422" customWidth="1"/>
    <col min="122" max="122" width="12.42578125" style="422" customWidth="1"/>
    <col min="123" max="123" width="8.85546875" style="296" customWidth="1"/>
    <col min="124" max="124" width="10.7109375" style="296" customWidth="1"/>
    <col min="125" max="126" width="10.7109375" style="422" customWidth="1"/>
    <col min="127" max="127" width="8.85546875" style="295" customWidth="1"/>
    <col min="128" max="128" width="12.140625" style="421" customWidth="1"/>
    <col min="129" max="130" width="8.85546875" style="421" customWidth="1"/>
    <col min="131" max="131" width="11.140625" style="409" customWidth="1"/>
    <col min="132" max="132" width="51.85546875" style="295" customWidth="1"/>
    <col min="133" max="133" width="15.85546875" style="278" customWidth="1"/>
    <col min="134" max="134" width="15.28515625" style="295" customWidth="1"/>
    <col min="135" max="135" width="9.7109375" style="409" customWidth="1"/>
    <col min="136" max="136" width="9.85546875" style="409" customWidth="1"/>
    <col min="137" max="137" width="10" style="409" customWidth="1"/>
    <col min="138" max="139" width="10" style="1366" customWidth="1"/>
    <col min="140" max="140" width="10.7109375" style="295" customWidth="1"/>
    <col min="141" max="141" width="10.7109375" style="1366" customWidth="1"/>
    <col min="142" max="142" width="10.7109375" style="409" customWidth="1"/>
    <col min="143" max="143" width="8" style="409" customWidth="1"/>
    <col min="144" max="144" width="10" style="409" customWidth="1"/>
    <col min="145" max="145" width="10" style="1366" customWidth="1"/>
    <col min="146" max="146" width="10.42578125" style="278" customWidth="1"/>
    <col min="147" max="147" width="19" style="523" customWidth="1"/>
    <col min="148" max="148" width="10.42578125" style="409" customWidth="1"/>
    <col min="149" max="149" width="10.42578125" style="523" customWidth="1"/>
    <col min="150" max="150" width="8.85546875" style="295" customWidth="1"/>
    <col min="151" max="151" width="10.42578125" style="295" customWidth="1"/>
    <col min="152" max="153" width="10.42578125" style="409" customWidth="1"/>
    <col min="154" max="154" width="8.85546875" style="295" customWidth="1"/>
    <col min="155" max="155" width="11.42578125" customWidth="1"/>
    <col min="156" max="156" width="11.42578125" style="409" customWidth="1"/>
    <col min="157" max="157" width="11.140625" style="409" customWidth="1"/>
    <col min="158" max="158" width="51.85546875" style="409" customWidth="1"/>
    <col min="159" max="159" width="20.28515625" style="409" customWidth="1"/>
    <col min="160" max="160" width="14.85546875" style="409" customWidth="1"/>
    <col min="161" max="161" width="10.85546875" style="409" customWidth="1"/>
    <col min="162" max="163" width="10.5703125" style="409" customWidth="1"/>
    <col min="164" max="164" width="10.140625" style="422" customWidth="1"/>
    <col min="165" max="165" width="8.85546875" style="422" customWidth="1"/>
    <col min="166" max="166" width="8.7109375" style="422" customWidth="1"/>
    <col min="167" max="167" width="9.7109375" style="422" customWidth="1"/>
    <col min="168" max="169" width="10.85546875" style="422" customWidth="1"/>
    <col min="170" max="170" width="8.140625" style="422" customWidth="1"/>
    <col min="171" max="171" width="10" style="422" customWidth="1"/>
    <col min="172" max="172" width="8.85546875" style="422" customWidth="1"/>
    <col min="173" max="175" width="10.7109375" style="422" customWidth="1"/>
    <col min="176" max="176" width="8.85546875" style="409" customWidth="1"/>
    <col min="177" max="178" width="10.85546875" style="421" customWidth="1"/>
    <col min="179" max="182" width="10.42578125" style="421" customWidth="1"/>
    <col min="183" max="183" width="11.140625" style="409" customWidth="1"/>
    <col min="184" max="184" width="51.85546875" style="409" customWidth="1"/>
    <col min="185" max="185" width="15.85546875" style="409" customWidth="1"/>
    <col min="186" max="186" width="15.28515625" style="409" customWidth="1"/>
    <col min="187" max="187" width="9.7109375" style="409" customWidth="1"/>
    <col min="188" max="188" width="9.85546875" style="409" customWidth="1"/>
    <col min="189" max="189" width="10" style="409" customWidth="1"/>
    <col min="190" max="191" width="10.7109375" style="409" customWidth="1"/>
    <col min="192" max="192" width="8" style="409" customWidth="1"/>
    <col min="193" max="193" width="10" style="409" customWidth="1"/>
    <col min="194" max="194" width="10.42578125" style="409" customWidth="1"/>
    <col min="195" max="195" width="10.42578125" style="523" customWidth="1"/>
    <col min="196" max="196" width="10.42578125" style="409" customWidth="1"/>
    <col min="197" max="197" width="10.42578125" style="523" customWidth="1"/>
    <col min="198" max="198" width="8.85546875" style="409" customWidth="1"/>
    <col min="199" max="201" width="10.42578125" style="409" customWidth="1"/>
    <col min="202" max="202" width="8.85546875" style="409" customWidth="1"/>
    <col min="203" max="203" width="10.42578125" style="421" customWidth="1"/>
    <col min="204" max="204" width="10" style="421" customWidth="1"/>
    <col min="205" max="208" width="9.85546875" style="421" customWidth="1"/>
    <col min="209" max="209" width="11.140625" style="409" customWidth="1"/>
    <col min="210" max="210" width="42" style="382" customWidth="1"/>
    <col min="211" max="211" width="19" style="276" customWidth="1"/>
    <col min="212" max="212" width="19" style="296" customWidth="1"/>
    <col min="213" max="213" width="11.140625" style="422" customWidth="1"/>
    <col min="214" max="214" width="11.85546875" style="422" customWidth="1"/>
    <col min="215" max="215" width="9" style="422" customWidth="1"/>
    <col min="216" max="216" width="10.7109375" style="296" customWidth="1"/>
    <col min="217" max="217" width="9.140625" style="422" customWidth="1"/>
    <col min="218" max="219" width="9" style="422" customWidth="1"/>
    <col min="220" max="220" width="10.7109375" style="276" customWidth="1"/>
    <col min="221" max="223" width="10.7109375" style="422" customWidth="1"/>
    <col min="224" max="224" width="9.140625" style="296" customWidth="1"/>
    <col min="225" max="225" width="9.85546875" style="296" customWidth="1"/>
    <col min="226" max="228" width="9.85546875" style="422" customWidth="1"/>
    <col min="229" max="229" width="11.42578125" customWidth="1"/>
    <col min="230" max="232" width="11.42578125" style="409" customWidth="1"/>
    <col min="233" max="233" width="11.42578125" style="1018" customWidth="1"/>
    <col min="234" max="234" width="11.42578125" style="409" customWidth="1"/>
    <col min="235" max="235" width="11.140625" style="409" customWidth="1"/>
    <col min="236" max="236" width="42.140625" customWidth="1"/>
    <col min="237" max="237" width="22.28515625" style="155" customWidth="1"/>
    <col min="238" max="238" width="16.7109375" style="155" customWidth="1"/>
    <col min="239" max="239" width="8.42578125" style="155" customWidth="1"/>
    <col min="240" max="240" width="9.85546875" style="422" customWidth="1"/>
    <col min="241" max="241" width="10.7109375" style="155" customWidth="1"/>
    <col min="242" max="245" width="9.5703125" style="155" customWidth="1"/>
    <col min="246" max="253" width="10" style="155" customWidth="1"/>
    <col min="254" max="254" width="9.5703125" style="295" customWidth="1"/>
    <col min="255" max="255" width="11.28515625" style="422" customWidth="1"/>
    <col min="256" max="256" width="11.42578125" style="422" customWidth="1"/>
    <col min="257" max="258" width="11.42578125" customWidth="1"/>
    <col min="259" max="259" width="11.42578125" style="1018" customWidth="1"/>
    <col min="260" max="260" width="11.42578125" customWidth="1"/>
    <col min="261" max="261" width="11.140625" style="409" customWidth="1"/>
    <col min="262" max="262" width="50.5703125" style="382" customWidth="1"/>
    <col min="263" max="264" width="19" style="422" customWidth="1"/>
    <col min="265" max="265" width="11.140625" style="422" customWidth="1"/>
    <col min="266" max="266" width="11.85546875" style="422" customWidth="1"/>
    <col min="267" max="267" width="9" style="422" customWidth="1"/>
    <col min="268" max="268" width="10.7109375" style="422" customWidth="1"/>
    <col min="269" max="269" width="9.140625" style="422" customWidth="1"/>
    <col min="270" max="271" width="9" style="422" customWidth="1"/>
    <col min="272" max="275" width="10.7109375" style="422" customWidth="1"/>
    <col min="276" max="276" width="9.140625" style="422" customWidth="1"/>
    <col min="277" max="280" width="9.85546875" style="422" customWidth="1"/>
    <col min="281" max="281" width="10.5703125" customWidth="1"/>
    <col min="282" max="286" width="11.42578125" customWidth="1"/>
    <col min="287" max="287" width="11.140625" style="409" customWidth="1"/>
    <col min="288" max="288" width="42.140625" style="409" customWidth="1"/>
    <col min="289" max="289" width="22.28515625" style="155" customWidth="1"/>
    <col min="290" max="290" width="16.7109375" style="155" customWidth="1"/>
    <col min="291" max="291" width="8.42578125" style="155" customWidth="1"/>
    <col min="292" max="292" width="9.85546875" style="422" customWidth="1"/>
    <col min="293" max="293" width="10.7109375" style="155" customWidth="1"/>
    <col min="294" max="297" width="9.5703125" style="155" customWidth="1"/>
    <col min="298" max="305" width="10" style="155" customWidth="1"/>
    <col min="306" max="306" width="9.5703125" style="409" customWidth="1"/>
    <col min="307" max="309" width="11.42578125" customWidth="1"/>
    <col min="310" max="311" width="11.42578125" style="523" customWidth="1"/>
    <col min="312" max="312" width="11.42578125" customWidth="1"/>
    <col min="313" max="313" width="11.140625" style="409" customWidth="1"/>
    <col min="314" max="314" width="50.5703125" style="382" customWidth="1"/>
    <col min="315" max="316" width="19" style="422" customWidth="1"/>
    <col min="317" max="317" width="11.140625" style="422" customWidth="1"/>
    <col min="318" max="318" width="11.85546875" style="422" customWidth="1"/>
    <col min="319" max="319" width="11.140625" style="422" customWidth="1"/>
    <col min="320" max="320" width="10.7109375" style="422" customWidth="1"/>
    <col min="321" max="321" width="9.140625" style="422" customWidth="1"/>
    <col min="322" max="322" width="9" style="422" customWidth="1"/>
    <col min="323" max="327" width="10.7109375" style="422" customWidth="1"/>
    <col min="328" max="328" width="9.140625" style="422" customWidth="1"/>
    <col min="329" max="332" width="9.85546875" style="422" customWidth="1"/>
    <col min="333" max="338" width="11.42578125" customWidth="1"/>
    <col min="339" max="339" width="11.140625" style="409" customWidth="1"/>
    <col min="340" max="340" width="49.5703125" style="409" customWidth="1"/>
    <col min="341" max="341" width="22.28515625" style="155" customWidth="1"/>
    <col min="342" max="342" width="16.7109375" style="155" customWidth="1"/>
    <col min="343" max="343" width="8.42578125" style="155" customWidth="1"/>
    <col min="344" max="344" width="9.85546875" style="422" customWidth="1"/>
    <col min="345" max="345" width="10.7109375" style="155" customWidth="1"/>
    <col min="346" max="349" width="9.5703125" style="155" customWidth="1"/>
    <col min="350" max="357" width="10" style="155" customWidth="1"/>
    <col min="358" max="358" width="9.5703125" style="409" customWidth="1"/>
    <col min="359" max="364" width="11.42578125" customWidth="1"/>
    <col min="365" max="365" width="11.140625" style="409" customWidth="1"/>
    <col min="366" max="366" width="50.5703125" style="382" customWidth="1"/>
    <col min="367" max="368" width="19" style="422" customWidth="1"/>
    <col min="369" max="369" width="11.140625" style="422" customWidth="1"/>
    <col min="370" max="370" width="11.85546875" style="422" customWidth="1"/>
    <col min="371" max="371" width="9" style="422" customWidth="1"/>
    <col min="372" max="372" width="10.7109375" style="422" customWidth="1"/>
    <col min="373" max="373" width="9.140625" style="422" customWidth="1"/>
    <col min="374" max="375" width="9" style="422" customWidth="1"/>
    <col min="376" max="379" width="10.7109375" style="422" customWidth="1"/>
    <col min="380" max="380" width="9.140625" style="422" customWidth="1"/>
    <col min="381" max="384" width="9.85546875" style="422" customWidth="1"/>
    <col min="385" max="390" width="11.42578125" customWidth="1"/>
    <col min="391" max="391" width="11.140625" style="409" customWidth="1"/>
    <col min="392" max="392" width="49.5703125" style="409" customWidth="1"/>
    <col min="393" max="393" width="22.28515625" style="155" customWidth="1"/>
    <col min="394" max="394" width="16.7109375" style="155" customWidth="1"/>
    <col min="395" max="395" width="8.42578125" style="155" customWidth="1"/>
    <col min="396" max="396" width="9.85546875" style="422" customWidth="1"/>
    <col min="397" max="397" width="10.7109375" style="155" customWidth="1"/>
    <col min="398" max="401" width="9.5703125" style="155" customWidth="1"/>
    <col min="402" max="409" width="10" style="155" customWidth="1"/>
    <col min="410" max="410" width="9.5703125" style="409" customWidth="1"/>
    <col min="411" max="416" width="11.42578125" customWidth="1"/>
    <col min="417" max="417" width="11.140625" style="409" customWidth="1"/>
    <col min="418" max="418" width="63.42578125" style="382" customWidth="1"/>
    <col min="419" max="420" width="19" style="422" customWidth="1"/>
    <col min="421" max="421" width="11.140625" style="422" customWidth="1"/>
    <col min="422" max="422" width="11.85546875" style="422" customWidth="1"/>
    <col min="423" max="423" width="9" style="422" customWidth="1"/>
    <col min="424" max="424" width="10.7109375" style="422" customWidth="1"/>
    <col min="425" max="425" width="9.140625" style="422" customWidth="1"/>
    <col min="426" max="427" width="9" style="422" customWidth="1"/>
    <col min="428" max="428" width="10.7109375" style="422" customWidth="1"/>
    <col min="429" max="429" width="19.42578125" style="422" customWidth="1"/>
    <col min="430" max="431" width="10.7109375" style="422" customWidth="1"/>
    <col min="432" max="432" width="10.85546875" style="422" customWidth="1"/>
    <col min="433" max="433" width="12.28515625" style="422" customWidth="1"/>
    <col min="434" max="434" width="11.140625" style="422" customWidth="1"/>
    <col min="435" max="436" width="9.85546875" style="422" customWidth="1"/>
    <col min="437" max="442" width="11.42578125" customWidth="1"/>
    <col min="443" max="443" width="11.140625" style="409" customWidth="1"/>
    <col min="444" max="444" width="61.28515625" style="409" customWidth="1"/>
    <col min="445" max="445" width="22.28515625" style="155" customWidth="1"/>
    <col min="446" max="446" width="16.7109375" style="155" customWidth="1"/>
    <col min="447" max="447" width="8.42578125" style="155" customWidth="1"/>
    <col min="448" max="448" width="9.85546875" style="422" customWidth="1"/>
    <col min="449" max="449" width="10.7109375" style="155" customWidth="1"/>
    <col min="450" max="453" width="9.5703125" style="155" customWidth="1"/>
    <col min="454" max="454" width="10" style="155" customWidth="1"/>
    <col min="455" max="455" width="20.42578125" style="155" customWidth="1"/>
    <col min="456" max="456" width="7.42578125" style="155" customWidth="1"/>
    <col min="457" max="457" width="8.85546875" style="155" customWidth="1"/>
    <col min="458" max="461" width="10" style="155" customWidth="1"/>
    <col min="462" max="462" width="9.5703125" style="409" customWidth="1"/>
    <col min="463" max="468" width="11.42578125" customWidth="1"/>
    <col min="469" max="469" width="11.140625" style="409" customWidth="1"/>
    <col min="470" max="470" width="63.42578125" style="382" customWidth="1"/>
    <col min="471" max="472" width="19" style="422" customWidth="1"/>
    <col min="473" max="473" width="11.140625" style="422" customWidth="1"/>
    <col min="474" max="474" width="11.85546875" style="422" customWidth="1"/>
    <col min="475" max="475" width="10.85546875" style="422" customWidth="1"/>
    <col min="476" max="476" width="10.7109375" style="422" customWidth="1"/>
    <col min="477" max="477" width="9.140625" style="422" customWidth="1"/>
    <col min="478" max="478" width="9" style="422" customWidth="1"/>
    <col min="479" max="479" width="11.28515625" style="422" customWidth="1"/>
    <col min="480" max="480" width="10.7109375" style="422" customWidth="1"/>
    <col min="481" max="481" width="18.28515625" style="422" customWidth="1"/>
    <col min="482" max="483" width="10.7109375" style="422" customWidth="1"/>
    <col min="484" max="484" width="10.42578125" style="422" customWidth="1"/>
    <col min="485" max="485" width="11.7109375" style="422" customWidth="1"/>
    <col min="486" max="486" width="11.140625" style="422" customWidth="1"/>
    <col min="487" max="488" width="9.85546875" style="422" customWidth="1"/>
    <col min="489" max="494" width="11.42578125" customWidth="1"/>
    <col min="495" max="495" width="11.140625" style="409" customWidth="1"/>
    <col min="496" max="496" width="61.28515625" style="409" customWidth="1"/>
    <col min="497" max="497" width="22.28515625" style="155" customWidth="1"/>
    <col min="498" max="498" width="16.7109375" style="155" customWidth="1"/>
    <col min="499" max="499" width="8.42578125" style="155" customWidth="1"/>
    <col min="500" max="500" width="9.85546875" style="422" customWidth="1"/>
    <col min="501" max="501" width="10.7109375" style="155" customWidth="1"/>
    <col min="502" max="505" width="9.5703125" style="155" customWidth="1"/>
    <col min="506" max="506" width="10" style="155" customWidth="1"/>
    <col min="507" max="507" width="18.140625" style="155" customWidth="1"/>
    <col min="508" max="513" width="10" style="155" customWidth="1"/>
    <col min="514" max="514" width="9.5703125" style="409" customWidth="1"/>
    <col min="515" max="518" width="11.42578125" customWidth="1"/>
    <col min="519" max="519" width="11.42578125" style="714" customWidth="1"/>
    <col min="520" max="520" width="11.42578125" customWidth="1"/>
    <col min="521" max="521" width="11.140625" style="714" customWidth="1"/>
    <col min="522" max="522" width="42.140625" style="714" customWidth="1"/>
    <col min="523" max="523" width="22.28515625" style="155" customWidth="1"/>
    <col min="524" max="524" width="16.7109375" style="155" customWidth="1"/>
    <col min="525" max="525" width="8.42578125" style="155" customWidth="1"/>
    <col min="526" max="526" width="9.85546875" style="716" customWidth="1"/>
    <col min="527" max="527" width="10.7109375" style="155" customWidth="1"/>
    <col min="528" max="531" width="9.5703125" style="155" customWidth="1"/>
    <col min="532" max="539" width="10" style="155" customWidth="1"/>
    <col min="540" max="540" width="9.5703125" style="714" customWidth="1"/>
    <col min="541" max="541" width="11.28515625" style="716" customWidth="1"/>
    <col min="542" max="546" width="11.42578125" customWidth="1"/>
    <col min="547" max="547" width="11.140625" style="714" customWidth="1"/>
    <col min="548" max="548" width="42.140625" style="714" customWidth="1"/>
    <col min="549" max="549" width="22.28515625" style="155" customWidth="1"/>
    <col min="550" max="550" width="16.7109375" style="155" customWidth="1"/>
    <col min="551" max="551" width="8.42578125" style="155" customWidth="1"/>
    <col min="552" max="552" width="9.85546875" style="716" customWidth="1"/>
    <col min="553" max="553" width="10.7109375" style="155" customWidth="1"/>
    <col min="554" max="557" width="9.5703125" style="155" customWidth="1"/>
    <col min="558" max="565" width="10" style="155" customWidth="1"/>
    <col min="566" max="566" width="9.5703125" style="714" customWidth="1"/>
    <col min="567" max="567" width="11.28515625" style="716" customWidth="1"/>
    <col min="568" max="572" width="11.42578125" customWidth="1"/>
    <col min="573" max="573" width="11.140625" style="1018" customWidth="1"/>
    <col min="574" max="574" width="51.85546875" style="1018" customWidth="1"/>
    <col min="575" max="575" width="20.28515625" style="1018" customWidth="1"/>
    <col min="576" max="576" width="14.85546875" style="1018" customWidth="1"/>
    <col min="577" max="577" width="10.85546875" style="1018" customWidth="1"/>
    <col min="578" max="579" width="10.5703125" style="1018" customWidth="1"/>
    <col min="580" max="580" width="10.140625" style="716" customWidth="1"/>
    <col min="581" max="581" width="8.85546875" style="716" customWidth="1"/>
    <col min="582" max="582" width="8.7109375" style="716" customWidth="1"/>
    <col min="583" max="583" width="9.7109375" style="716" customWidth="1"/>
    <col min="584" max="585" width="10.85546875" style="716" customWidth="1"/>
    <col min="586" max="586" width="8.140625" style="716" customWidth="1"/>
    <col min="587" max="587" width="10" style="716" customWidth="1"/>
    <col min="588" max="588" width="8.85546875" style="716" customWidth="1"/>
    <col min="589" max="591" width="10.7109375" style="716" customWidth="1"/>
    <col min="592" max="592" width="8.85546875" style="1018" customWidth="1"/>
    <col min="593" max="593" width="10.85546875" style="718" customWidth="1"/>
    <col min="599" max="599" width="11.140625" style="1018" customWidth="1"/>
    <col min="600" max="600" width="51.85546875" style="1018" customWidth="1"/>
    <col min="601" max="601" width="20.28515625" style="1018" customWidth="1"/>
    <col min="602" max="602" width="14.85546875" style="1018" customWidth="1"/>
    <col min="603" max="603" width="10.85546875" style="1018" customWidth="1"/>
    <col min="604" max="605" width="10.5703125" style="1018" customWidth="1"/>
    <col min="606" max="606" width="10.140625" style="716" customWidth="1"/>
    <col min="607" max="607" width="8.85546875" style="716" customWidth="1"/>
    <col min="608" max="608" width="8.7109375" style="716" customWidth="1"/>
    <col min="609" max="609" width="9.7109375" style="716" customWidth="1"/>
    <col min="610" max="611" width="10.85546875" style="716" customWidth="1"/>
    <col min="612" max="612" width="8.140625" style="716" customWidth="1"/>
    <col min="613" max="613" width="10" style="716" customWidth="1"/>
    <col min="614" max="614" width="8.85546875" style="716" customWidth="1"/>
    <col min="615" max="617" width="10.7109375" style="716" customWidth="1"/>
    <col min="618" max="618" width="8.85546875" style="1018" customWidth="1"/>
    <col min="619" max="619" width="10.85546875" style="718" customWidth="1"/>
  </cols>
  <sheetData>
    <row r="1" spans="1:619" ht="27" customHeight="1">
      <c r="I1" s="1765" t="s">
        <v>2299</v>
      </c>
      <c r="J1" s="1765"/>
      <c r="L1" s="941"/>
      <c r="X1" s="941"/>
      <c r="BD1" s="298"/>
      <c r="BE1" s="298"/>
      <c r="BF1" s="298"/>
      <c r="BG1" s="718"/>
      <c r="BH1" s="718"/>
      <c r="BI1" s="298"/>
      <c r="BJ1" s="298"/>
      <c r="BK1" s="298"/>
      <c r="BL1" s="298"/>
      <c r="BM1" s="298"/>
      <c r="BN1" s="298"/>
      <c r="BO1" s="298"/>
      <c r="BP1" s="298"/>
      <c r="BQ1" s="298"/>
      <c r="BR1" s="298"/>
      <c r="BS1" s="298"/>
      <c r="BT1" s="298"/>
      <c r="BU1" s="298"/>
      <c r="BV1" s="298"/>
      <c r="BW1" s="298"/>
      <c r="BX1" s="298"/>
      <c r="BY1" s="421"/>
      <c r="BZ1" s="718"/>
      <c r="CA1" s="421"/>
      <c r="CB1" s="421"/>
      <c r="CC1" s="421"/>
      <c r="CD1" s="421"/>
      <c r="CE1" s="421"/>
      <c r="CF1" s="421"/>
      <c r="CG1" s="421"/>
      <c r="CH1" s="421"/>
      <c r="CI1" s="421"/>
      <c r="CJ1" s="421"/>
      <c r="CK1" s="421"/>
      <c r="CL1" s="421"/>
      <c r="CM1" s="421"/>
      <c r="CN1" s="421"/>
      <c r="CO1" s="421"/>
      <c r="CP1" s="421"/>
      <c r="CQ1" s="421"/>
      <c r="CR1" s="421"/>
      <c r="CS1" s="421"/>
      <c r="CT1" s="421"/>
      <c r="CU1" s="421"/>
      <c r="CV1" s="421"/>
      <c r="CW1" s="421"/>
      <c r="CX1" s="421"/>
      <c r="CY1" s="421"/>
      <c r="CZ1" s="421"/>
      <c r="DA1" s="421"/>
      <c r="DB1" s="421"/>
      <c r="DC1" s="421"/>
      <c r="DD1" s="288" t="s">
        <v>137</v>
      </c>
      <c r="DE1" s="1743" t="s">
        <v>2178</v>
      </c>
      <c r="DF1" s="471"/>
      <c r="DG1" s="471"/>
      <c r="DH1" s="471"/>
      <c r="DI1" s="471"/>
      <c r="DJ1" s="471"/>
      <c r="DK1" s="471"/>
      <c r="DL1" s="471"/>
      <c r="DM1" s="471"/>
      <c r="DN1" s="471"/>
      <c r="DO1" s="471"/>
      <c r="DP1" s="471"/>
      <c r="DQ1" s="471"/>
      <c r="DR1" s="471"/>
      <c r="DS1" s="471"/>
      <c r="DT1" s="471"/>
      <c r="DU1" s="471"/>
      <c r="DV1" s="471"/>
      <c r="DW1" s="471"/>
      <c r="DX1" s="449"/>
      <c r="DY1" s="449"/>
      <c r="DZ1" s="449"/>
      <c r="EA1" s="288" t="s">
        <v>137</v>
      </c>
      <c r="EB1" s="1743" t="s">
        <v>2178</v>
      </c>
      <c r="EC1" s="276"/>
      <c r="ED1" s="296"/>
      <c r="EE1" s="422"/>
      <c r="EF1" s="422"/>
      <c r="EG1" s="422"/>
      <c r="EH1" s="1369"/>
      <c r="EI1" s="1369"/>
      <c r="EJ1" s="296"/>
      <c r="EK1" s="1369"/>
      <c r="EL1" s="422"/>
      <c r="EM1" s="422"/>
      <c r="EN1" s="422"/>
      <c r="EO1" s="1369"/>
      <c r="EP1" s="276"/>
      <c r="EQ1" s="422"/>
      <c r="ER1" s="422"/>
      <c r="ES1" s="422"/>
      <c r="ET1" s="296"/>
      <c r="EU1" s="296"/>
      <c r="EV1" s="422"/>
      <c r="EW1" s="422"/>
      <c r="FA1" s="288" t="s">
        <v>137</v>
      </c>
      <c r="FB1" s="1743" t="s">
        <v>2177</v>
      </c>
      <c r="FC1" s="471"/>
      <c r="FD1" s="471"/>
      <c r="FE1" s="471"/>
      <c r="FF1" s="471"/>
      <c r="FG1" s="471"/>
      <c r="FH1" s="471"/>
      <c r="FI1" s="471"/>
      <c r="FJ1" s="471"/>
      <c r="FK1" s="471"/>
      <c r="FL1" s="471"/>
      <c r="FM1" s="471"/>
      <c r="FN1" s="471"/>
      <c r="FO1" s="471"/>
      <c r="FP1" s="471"/>
      <c r="FQ1" s="471"/>
      <c r="FR1" s="471"/>
      <c r="FS1" s="471"/>
      <c r="FT1" s="471"/>
      <c r="GA1" s="288" t="s">
        <v>137</v>
      </c>
      <c r="GB1" s="1743" t="s">
        <v>2177</v>
      </c>
      <c r="GC1" s="422"/>
      <c r="GD1" s="422"/>
      <c r="GE1" s="422"/>
      <c r="GF1" s="422"/>
      <c r="GG1" s="422"/>
      <c r="GH1" s="422"/>
      <c r="GI1" s="422"/>
      <c r="GJ1" s="422"/>
      <c r="GK1" s="422"/>
      <c r="GL1" s="422"/>
      <c r="GM1" s="422"/>
      <c r="GN1" s="422"/>
      <c r="GO1" s="422"/>
      <c r="GP1" s="422"/>
      <c r="GQ1" s="422"/>
      <c r="GR1" s="422"/>
      <c r="GS1" s="422"/>
      <c r="HA1" s="288" t="s">
        <v>137</v>
      </c>
      <c r="HB1" s="1743" t="s">
        <v>2168</v>
      </c>
      <c r="HC1" s="421"/>
      <c r="HD1" s="457"/>
      <c r="HE1" s="457"/>
      <c r="HF1" s="457"/>
      <c r="HG1" s="457"/>
      <c r="HH1" s="457"/>
      <c r="HI1" s="457"/>
      <c r="HJ1" s="457"/>
      <c r="HK1" s="457"/>
      <c r="HL1" s="457"/>
      <c r="HM1" s="457"/>
      <c r="HN1" s="457"/>
      <c r="HO1" s="457"/>
      <c r="HP1" s="457"/>
      <c r="HQ1" s="457"/>
      <c r="HR1" s="451"/>
      <c r="HS1" s="451"/>
      <c r="HT1" s="421"/>
      <c r="IA1" s="288" t="s">
        <v>137</v>
      </c>
      <c r="IB1" s="1743" t="s">
        <v>2168</v>
      </c>
      <c r="IC1" s="422"/>
      <c r="ID1" s="422"/>
      <c r="IE1" s="422"/>
      <c r="IG1" s="315"/>
      <c r="IH1" s="422"/>
      <c r="II1" s="422"/>
      <c r="IJ1" s="422"/>
      <c r="IK1" s="422"/>
      <c r="IL1" s="422"/>
      <c r="IM1" s="422"/>
      <c r="IN1" s="422"/>
      <c r="IO1" s="422"/>
      <c r="IP1" s="422"/>
      <c r="IQ1" s="422"/>
      <c r="IR1" s="422"/>
      <c r="IS1" s="422"/>
      <c r="IT1" s="335"/>
      <c r="JA1" s="288" t="s">
        <v>137</v>
      </c>
      <c r="JB1" s="1743" t="s">
        <v>2153</v>
      </c>
      <c r="JC1" s="421"/>
      <c r="JD1" s="457"/>
      <c r="JE1" s="457"/>
      <c r="JF1" s="457"/>
      <c r="JG1" s="457"/>
      <c r="JH1" s="457"/>
      <c r="JI1" s="457"/>
      <c r="JJ1" s="457"/>
      <c r="JK1" s="457"/>
      <c r="JL1" s="457"/>
      <c r="JM1" s="457"/>
      <c r="JN1" s="457"/>
      <c r="JO1" s="457"/>
      <c r="JP1" s="457"/>
      <c r="JQ1" s="457"/>
      <c r="JR1" s="451"/>
      <c r="JS1" s="451"/>
      <c r="JT1" s="421"/>
      <c r="KA1" s="288" t="s">
        <v>137</v>
      </c>
      <c r="KB1" s="1743" t="s">
        <v>2153</v>
      </c>
      <c r="KC1" s="422"/>
      <c r="KD1" s="422"/>
      <c r="KE1" s="422"/>
      <c r="KG1" s="315"/>
      <c r="KH1" s="422"/>
      <c r="KI1" s="422"/>
      <c r="KJ1" s="422"/>
      <c r="KK1" s="422"/>
      <c r="KL1" s="422"/>
      <c r="KM1" s="422"/>
      <c r="KN1" s="422"/>
      <c r="KO1" s="422"/>
      <c r="KP1" s="422"/>
      <c r="KQ1" s="422"/>
      <c r="KR1" s="422"/>
      <c r="KS1" s="422"/>
      <c r="KT1" s="482"/>
      <c r="LA1" s="288" t="s">
        <v>137</v>
      </c>
      <c r="LB1" s="1743" t="s">
        <v>2327</v>
      </c>
      <c r="LC1" s="421"/>
      <c r="LD1" s="457"/>
      <c r="LE1" s="457"/>
      <c r="LF1" s="457"/>
      <c r="LG1" s="457"/>
      <c r="LH1" s="457"/>
      <c r="LI1" s="457"/>
      <c r="LJ1" s="457"/>
      <c r="LK1" s="457"/>
      <c r="LL1" s="457"/>
      <c r="LM1" s="457"/>
      <c r="LN1" s="457"/>
      <c r="LO1" s="457"/>
      <c r="LP1" s="457"/>
      <c r="LQ1" s="457"/>
      <c r="LR1" s="451"/>
      <c r="LS1" s="451"/>
      <c r="LT1" s="421"/>
      <c r="MA1" s="288" t="s">
        <v>137</v>
      </c>
      <c r="MB1" s="1743" t="s">
        <v>2327</v>
      </c>
      <c r="MC1" s="422"/>
      <c r="MD1" s="422"/>
      <c r="ME1" s="422"/>
      <c r="MG1" s="315"/>
      <c r="MH1" s="422"/>
      <c r="MI1" s="422"/>
      <c r="MJ1" s="422"/>
      <c r="MK1" s="422"/>
      <c r="ML1" s="422"/>
      <c r="MM1" s="422"/>
      <c r="MN1" s="422"/>
      <c r="MO1" s="422"/>
      <c r="MP1" s="422"/>
      <c r="MQ1" s="422"/>
      <c r="MR1" s="422"/>
      <c r="MS1" s="422"/>
      <c r="MT1" s="482"/>
      <c r="NA1" s="288" t="s">
        <v>137</v>
      </c>
      <c r="NB1" s="1743" t="s">
        <v>2155</v>
      </c>
      <c r="NC1" s="421"/>
      <c r="ND1" s="457"/>
      <c r="NE1" s="457"/>
      <c r="NF1" s="457"/>
      <c r="NG1" s="457"/>
      <c r="NH1" s="457"/>
      <c r="NI1" s="457"/>
      <c r="NJ1" s="457"/>
      <c r="NK1" s="457"/>
      <c r="NL1" s="457"/>
      <c r="NM1" s="457"/>
      <c r="NN1" s="457"/>
      <c r="NO1" s="457"/>
      <c r="NP1" s="457"/>
      <c r="NQ1" s="457"/>
      <c r="NR1" s="451"/>
      <c r="NS1" s="451"/>
      <c r="NT1" s="421"/>
      <c r="OA1" s="288" t="s">
        <v>137</v>
      </c>
      <c r="OB1" s="1743" t="s">
        <v>2155</v>
      </c>
      <c r="OC1" s="422"/>
      <c r="OD1" s="422"/>
      <c r="OE1" s="422"/>
      <c r="OG1" s="315"/>
      <c r="OH1" s="422"/>
      <c r="OI1" s="422"/>
      <c r="OJ1" s="422"/>
      <c r="OK1" s="422"/>
      <c r="OL1" s="422"/>
      <c r="OM1" s="422"/>
      <c r="ON1" s="422"/>
      <c r="OO1" s="422"/>
      <c r="OP1" s="422"/>
      <c r="OQ1" s="422"/>
      <c r="OR1" s="422"/>
      <c r="OS1" s="422"/>
      <c r="OT1" s="482"/>
      <c r="PA1" s="288" t="s">
        <v>137</v>
      </c>
      <c r="PB1" s="1743" t="s">
        <v>2156</v>
      </c>
      <c r="PC1" s="421"/>
      <c r="PD1" s="457"/>
      <c r="PE1" s="457"/>
      <c r="PF1" s="457"/>
      <c r="PG1" s="457"/>
      <c r="PH1" s="457"/>
      <c r="PI1" s="457"/>
      <c r="PJ1" s="457"/>
      <c r="PK1" s="457"/>
      <c r="PL1" s="457"/>
      <c r="PM1" s="457"/>
      <c r="PN1" s="457"/>
      <c r="PO1" s="457"/>
      <c r="PP1" s="457"/>
      <c r="PQ1" s="457"/>
      <c r="PR1" s="451"/>
      <c r="PS1" s="451"/>
      <c r="PT1" s="421"/>
      <c r="QA1" s="288" t="s">
        <v>137</v>
      </c>
      <c r="QB1" s="1743" t="s">
        <v>2156</v>
      </c>
      <c r="QC1" s="422"/>
      <c r="QD1" s="422"/>
      <c r="QE1" s="422"/>
      <c r="QG1" s="315"/>
      <c r="QH1" s="422"/>
      <c r="QI1" s="422"/>
      <c r="QJ1" s="422"/>
      <c r="QK1" s="422"/>
      <c r="QL1" s="422"/>
      <c r="QM1" s="422"/>
      <c r="QN1" s="422"/>
      <c r="QO1" s="422"/>
      <c r="QP1" s="422"/>
      <c r="QQ1" s="422"/>
      <c r="QR1" s="422"/>
      <c r="QS1" s="422"/>
      <c r="QT1" s="483"/>
      <c r="RA1" s="288" t="s">
        <v>137</v>
      </c>
      <c r="RB1" s="1743" t="s">
        <v>2157</v>
      </c>
      <c r="RC1" s="421"/>
      <c r="RD1" s="457"/>
      <c r="RE1" s="457"/>
      <c r="RF1" s="457"/>
      <c r="RG1" s="457"/>
      <c r="RH1" s="457"/>
      <c r="RI1" s="457"/>
      <c r="RJ1" s="457"/>
      <c r="RK1" s="457"/>
      <c r="RL1" s="457"/>
      <c r="RM1" s="457"/>
      <c r="RN1" s="457"/>
      <c r="RO1" s="457"/>
      <c r="RP1" s="457"/>
      <c r="RQ1" s="457"/>
      <c r="RR1" s="451"/>
      <c r="RS1" s="451"/>
      <c r="RT1" s="421"/>
      <c r="SA1" s="288" t="s">
        <v>137</v>
      </c>
      <c r="SB1" s="1743" t="s">
        <v>2157</v>
      </c>
      <c r="SC1" s="422"/>
      <c r="SD1" s="422"/>
      <c r="SE1" s="422"/>
      <c r="SG1" s="315"/>
      <c r="SH1" s="422"/>
      <c r="SI1" s="422"/>
      <c r="SJ1" s="422"/>
      <c r="SK1" s="422"/>
      <c r="SL1" s="422"/>
      <c r="SM1" s="422"/>
      <c r="SN1" s="422"/>
      <c r="SO1" s="422"/>
      <c r="SP1" s="422"/>
      <c r="SQ1" s="422"/>
      <c r="SR1" s="422"/>
      <c r="SS1" s="422"/>
      <c r="ST1" s="483"/>
      <c r="TA1" s="288" t="s">
        <v>137</v>
      </c>
      <c r="TB1" s="1743" t="s">
        <v>2595</v>
      </c>
      <c r="TC1" s="716"/>
      <c r="TD1" s="716"/>
      <c r="TE1" s="716"/>
      <c r="TG1" s="315"/>
      <c r="TH1" s="716"/>
      <c r="TI1" s="716"/>
      <c r="TJ1" s="716"/>
      <c r="TK1" s="716"/>
      <c r="TL1" s="716"/>
      <c r="TM1" s="716"/>
      <c r="TN1" s="716"/>
      <c r="TO1" s="716"/>
      <c r="TP1" s="716"/>
      <c r="TQ1" s="716"/>
      <c r="TR1" s="716"/>
      <c r="TS1" s="716"/>
      <c r="TT1" s="753"/>
      <c r="UA1" s="288" t="s">
        <v>137</v>
      </c>
      <c r="UB1" s="1743" t="s">
        <v>2327</v>
      </c>
      <c r="UC1" s="716"/>
      <c r="UD1" s="716"/>
      <c r="UE1" s="716"/>
      <c r="UG1" s="315"/>
      <c r="UH1" s="716"/>
      <c r="UI1" s="716"/>
      <c r="UJ1" s="716"/>
      <c r="UK1" s="716"/>
      <c r="UL1" s="716"/>
      <c r="UM1" s="716"/>
      <c r="UN1" s="716"/>
      <c r="UO1" s="716"/>
      <c r="UP1" s="716"/>
      <c r="UQ1" s="716"/>
      <c r="UR1" s="716"/>
      <c r="US1" s="716"/>
      <c r="UT1" s="753"/>
      <c r="VA1" s="1030"/>
      <c r="VB1" s="1743" t="s">
        <v>2695</v>
      </c>
      <c r="VC1" s="471"/>
      <c r="VD1" s="471"/>
      <c r="VE1" s="471"/>
      <c r="VF1" s="471"/>
      <c r="VG1" s="471"/>
      <c r="VH1" s="471"/>
      <c r="VI1" s="471"/>
      <c r="VJ1" s="471"/>
      <c r="VK1" s="471"/>
      <c r="VL1" s="471"/>
      <c r="VM1" s="471"/>
      <c r="VN1" s="471"/>
      <c r="VO1" s="471"/>
      <c r="VP1" s="471"/>
      <c r="VQ1" s="471"/>
      <c r="VR1" s="471"/>
      <c r="VS1" s="471"/>
      <c r="VT1" s="471"/>
      <c r="WA1" s="1030"/>
      <c r="WB1" s="1743" t="s">
        <v>2693</v>
      </c>
      <c r="WC1" s="471"/>
      <c r="WD1" s="471"/>
      <c r="WE1" s="471"/>
      <c r="WF1" s="471"/>
      <c r="WG1" s="471"/>
      <c r="WH1" s="471"/>
      <c r="WI1" s="471"/>
      <c r="WJ1" s="471"/>
      <c r="WK1" s="471"/>
      <c r="WL1" s="471"/>
      <c r="WM1" s="471"/>
      <c r="WN1" s="471"/>
      <c r="WO1" s="471"/>
      <c r="WP1" s="471"/>
      <c r="WQ1" s="471"/>
      <c r="WR1" s="471"/>
      <c r="WS1" s="471"/>
      <c r="WT1" s="471"/>
    </row>
    <row r="2" spans="1:619" ht="27.75" customHeight="1">
      <c r="I2" s="1767" t="s">
        <v>2300</v>
      </c>
      <c r="J2" s="1767"/>
      <c r="K2" s="295"/>
      <c r="L2" s="349"/>
      <c r="M2" s="295"/>
      <c r="N2" s="349" t="s">
        <v>2228</v>
      </c>
      <c r="O2" s="295"/>
      <c r="Q2" s="295"/>
      <c r="R2" s="295"/>
      <c r="X2" s="349"/>
      <c r="Y2" s="295"/>
      <c r="AG2" s="295"/>
      <c r="AL2" s="228"/>
      <c r="AM2" s="228"/>
      <c r="AN2" s="228"/>
      <c r="AO2" s="228"/>
      <c r="AP2" s="228"/>
      <c r="AQ2" s="228"/>
      <c r="AR2" s="228"/>
      <c r="AS2" s="228"/>
      <c r="AT2" s="228"/>
      <c r="AU2" s="228"/>
      <c r="AV2" s="228"/>
      <c r="AW2" s="228"/>
      <c r="AX2" s="228"/>
      <c r="AY2" s="228"/>
      <c r="AZ2" s="228"/>
      <c r="BA2" s="228"/>
      <c r="BB2" s="228"/>
      <c r="BC2" s="228"/>
      <c r="BD2" s="228"/>
      <c r="BE2" s="228"/>
      <c r="BF2" s="228"/>
      <c r="BG2" s="228"/>
      <c r="BH2" s="228"/>
      <c r="BI2" s="228"/>
      <c r="BJ2" s="228"/>
      <c r="BK2" s="228"/>
      <c r="BL2" s="228"/>
      <c r="BM2" s="228"/>
      <c r="BN2" s="228"/>
      <c r="BO2" s="228"/>
      <c r="BP2" s="228"/>
      <c r="BQ2" s="228"/>
      <c r="BR2" s="228"/>
      <c r="BS2" s="228"/>
      <c r="BT2" s="228"/>
      <c r="BU2" s="228"/>
      <c r="BV2" s="228"/>
      <c r="BW2" s="228"/>
      <c r="BX2" s="228"/>
      <c r="BY2" s="228"/>
      <c r="BZ2" s="228"/>
      <c r="CA2" s="228"/>
      <c r="CB2" s="228"/>
      <c r="CC2" s="228"/>
      <c r="CD2" s="228"/>
      <c r="CE2" s="228"/>
      <c r="CF2" s="228"/>
      <c r="CG2" s="228"/>
      <c r="CH2" s="228"/>
      <c r="CI2" s="228"/>
      <c r="CJ2" s="228"/>
      <c r="CK2" s="228"/>
      <c r="CL2" s="228"/>
      <c r="CM2" s="228"/>
      <c r="CN2" s="228"/>
      <c r="CO2" s="228"/>
      <c r="CP2" s="228"/>
      <c r="CQ2" s="228"/>
      <c r="CR2" s="228"/>
      <c r="CS2" s="228"/>
      <c r="CT2" s="228"/>
      <c r="CU2" s="228"/>
      <c r="CV2" s="228"/>
      <c r="CW2" s="228"/>
      <c r="CX2" s="228"/>
      <c r="CY2" s="228"/>
      <c r="CZ2" s="228"/>
      <c r="DA2" s="228"/>
      <c r="DB2" s="228"/>
      <c r="DC2" s="228"/>
      <c r="DD2" s="458">
        <v>2.4190000000000001E-3</v>
      </c>
      <c r="DE2" s="1744"/>
      <c r="DF2" s="471"/>
      <c r="DG2" s="1733" t="s">
        <v>2148</v>
      </c>
      <c r="DH2" s="1733"/>
      <c r="DI2" s="295"/>
      <c r="DJ2" s="251">
        <v>543.5</v>
      </c>
      <c r="DK2" s="240">
        <v>1054.96</v>
      </c>
      <c r="DL2" s="471"/>
      <c r="DM2" s="471"/>
      <c r="DN2" s="471"/>
      <c r="DO2" s="471"/>
      <c r="DP2" s="471"/>
      <c r="DQ2" s="471"/>
      <c r="DR2" s="471"/>
      <c r="DS2" s="471"/>
      <c r="DT2" s="471"/>
      <c r="DU2" s="471"/>
      <c r="DV2" s="471"/>
      <c r="DW2" s="471"/>
      <c r="DX2" s="449"/>
      <c r="DY2" s="449"/>
      <c r="DZ2" s="449"/>
      <c r="EA2" s="458">
        <v>2.4190000000000001E-3</v>
      </c>
      <c r="EB2" s="1744"/>
      <c r="EC2" s="276"/>
      <c r="ED2" s="296"/>
      <c r="EE2" s="422"/>
      <c r="EF2" s="422"/>
      <c r="EG2" s="422"/>
      <c r="EH2" s="1369"/>
      <c r="EI2" s="1369"/>
      <c r="EJ2" s="296"/>
      <c r="EK2" s="1369"/>
      <c r="EL2" s="422"/>
      <c r="EM2" s="422"/>
      <c r="EN2" s="422"/>
      <c r="EO2" s="1369"/>
      <c r="EP2" s="276"/>
      <c r="EQ2" s="422"/>
      <c r="ER2" s="422"/>
      <c r="ES2" s="422"/>
      <c r="ET2" s="296"/>
      <c r="EU2" s="296"/>
      <c r="EV2" s="422"/>
      <c r="EW2" s="422"/>
      <c r="EX2" s="336"/>
      <c r="FA2" s="458">
        <v>2.4190000000000001E-3</v>
      </c>
      <c r="FB2" s="1744"/>
      <c r="FC2" s="471"/>
      <c r="FD2" s="471"/>
      <c r="FE2" s="471"/>
      <c r="FF2" s="471"/>
      <c r="FG2" s="471"/>
      <c r="FH2" s="471"/>
      <c r="FI2" s="471"/>
      <c r="FJ2" s="471"/>
      <c r="FK2" s="471"/>
      <c r="FL2" s="471"/>
      <c r="FM2" s="471"/>
      <c r="FN2" s="471"/>
      <c r="FO2" s="471"/>
      <c r="FP2" s="471"/>
      <c r="FQ2" s="471"/>
      <c r="FR2" s="471"/>
      <c r="FS2" s="471"/>
      <c r="FT2" s="471"/>
      <c r="GA2" s="458">
        <v>2.4190000000000001E-3</v>
      </c>
      <c r="GB2" s="1744"/>
      <c r="GC2" s="422"/>
      <c r="GD2" s="422"/>
      <c r="GE2" s="422"/>
      <c r="GF2" s="422"/>
      <c r="GG2" s="422"/>
      <c r="GH2" s="422"/>
      <c r="GI2" s="422"/>
      <c r="GJ2" s="422"/>
      <c r="GK2" s="422"/>
      <c r="GL2" s="422"/>
      <c r="GM2" s="422"/>
      <c r="GN2" s="422"/>
      <c r="GO2" s="422"/>
      <c r="GP2" s="422"/>
      <c r="GQ2" s="422"/>
      <c r="GR2" s="422"/>
      <c r="GS2" s="422"/>
      <c r="GT2" s="336"/>
      <c r="GW2" s="473"/>
      <c r="GX2" s="473"/>
      <c r="GY2" s="473"/>
      <c r="GZ2" s="473"/>
      <c r="HA2" s="458">
        <v>2.4190000000000001E-3</v>
      </c>
      <c r="HB2" s="1744"/>
      <c r="HC2" s="421"/>
      <c r="HD2" s="457"/>
      <c r="HE2" s="457"/>
      <c r="HF2" s="457"/>
      <c r="HG2" s="457"/>
      <c r="HH2" s="457"/>
      <c r="HI2" s="457"/>
      <c r="HJ2" s="457"/>
      <c r="HK2" s="457"/>
      <c r="HL2" s="457"/>
      <c r="HM2" s="457"/>
      <c r="HN2" s="457"/>
      <c r="HO2" s="457"/>
      <c r="HP2" s="457"/>
      <c r="HQ2" s="457"/>
      <c r="HR2" s="451"/>
      <c r="HS2" s="451"/>
      <c r="HT2" s="421"/>
      <c r="IA2" s="458">
        <v>8.0800000000000002E-4</v>
      </c>
      <c r="IB2" s="1744"/>
      <c r="IC2" s="422"/>
      <c r="ID2" s="422"/>
      <c r="IE2" s="422"/>
      <c r="IG2" s="315"/>
      <c r="IH2" s="422"/>
      <c r="II2" s="422"/>
      <c r="IJ2" s="422"/>
      <c r="IK2" s="422"/>
      <c r="IL2" s="422"/>
      <c r="IM2" s="422"/>
      <c r="IN2" s="422"/>
      <c r="IO2" s="422"/>
      <c r="IP2" s="422"/>
      <c r="IQ2" s="422"/>
      <c r="IR2" s="422"/>
      <c r="IS2" s="422"/>
      <c r="IT2" s="448"/>
      <c r="JA2" s="458">
        <v>2.4190000000000001E-3</v>
      </c>
      <c r="JB2" s="1744"/>
      <c r="JC2" s="421"/>
      <c r="JD2" s="457"/>
      <c r="JE2" s="457"/>
      <c r="JF2" s="457"/>
      <c r="JG2" s="457"/>
      <c r="JH2" s="457"/>
      <c r="JI2" s="457"/>
      <c r="JJ2" s="457"/>
      <c r="JK2" s="457"/>
      <c r="JL2" s="457"/>
      <c r="JM2" s="457"/>
      <c r="JN2" s="457"/>
      <c r="JO2" s="457"/>
      <c r="JP2" s="457"/>
      <c r="JQ2" s="457"/>
      <c r="JR2" s="451"/>
      <c r="JS2" s="451"/>
      <c r="JT2" s="421"/>
      <c r="KA2" s="458">
        <v>1.9919999999999998E-3</v>
      </c>
      <c r="KB2" s="1744"/>
      <c r="KC2" s="422"/>
      <c r="KD2" s="422"/>
      <c r="KE2" s="422"/>
      <c r="KG2" s="315"/>
      <c r="KH2" s="422"/>
      <c r="KI2" s="422"/>
      <c r="KJ2" s="422"/>
      <c r="KK2" s="422"/>
      <c r="KL2" s="422"/>
      <c r="KM2" s="422"/>
      <c r="KN2" s="422"/>
      <c r="KO2" s="422"/>
      <c r="KP2" s="422"/>
      <c r="KQ2" s="422"/>
      <c r="KR2" s="422"/>
      <c r="KS2" s="422"/>
      <c r="KT2" s="482"/>
      <c r="LA2" s="458">
        <v>2.4190000000000001E-3</v>
      </c>
      <c r="LB2" s="1744"/>
      <c r="LC2" s="421"/>
      <c r="LD2" s="457"/>
      <c r="LE2" s="457"/>
      <c r="LF2" s="457"/>
      <c r="LG2" s="457"/>
      <c r="LH2" s="457"/>
      <c r="LI2" s="457"/>
      <c r="LJ2" s="457"/>
      <c r="LK2" s="457"/>
      <c r="LL2" s="457"/>
      <c r="LM2" s="457"/>
      <c r="LN2" s="457"/>
      <c r="LO2" s="457"/>
      <c r="LP2" s="457"/>
      <c r="LQ2" s="457"/>
      <c r="LR2" s="451"/>
      <c r="LS2" s="451"/>
      <c r="LT2" s="421"/>
      <c r="MA2" s="458">
        <v>9.7499999999999996E-4</v>
      </c>
      <c r="MB2" s="1744"/>
      <c r="MC2" s="422"/>
      <c r="MD2" s="422"/>
      <c r="ME2" s="422"/>
      <c r="MG2" s="315"/>
      <c r="MH2" s="422"/>
      <c r="MI2" s="422"/>
      <c r="MJ2" s="422"/>
      <c r="MK2" s="422"/>
      <c r="ML2" s="422"/>
      <c r="MM2" s="422"/>
      <c r="MN2" s="422"/>
      <c r="MO2" s="422"/>
      <c r="MP2" s="422"/>
      <c r="MQ2" s="422"/>
      <c r="MR2" s="422"/>
      <c r="MS2" s="422"/>
      <c r="MT2" s="482"/>
      <c r="NA2" s="458">
        <v>2.4190000000000001E-3</v>
      </c>
      <c r="NB2" s="1744"/>
      <c r="NC2" s="421"/>
      <c r="ND2" s="457"/>
      <c r="NE2" s="457"/>
      <c r="NF2" s="457"/>
      <c r="NG2" s="457"/>
      <c r="NH2" s="457"/>
      <c r="NI2" s="457"/>
      <c r="NJ2" s="457"/>
      <c r="NK2" s="457"/>
      <c r="NL2" s="457"/>
      <c r="NM2" s="457"/>
      <c r="NN2" s="457"/>
      <c r="NO2" s="457"/>
      <c r="NP2" s="457"/>
      <c r="NQ2" s="457"/>
      <c r="NR2" s="451"/>
      <c r="NS2" s="451"/>
      <c r="NT2" s="421"/>
      <c r="OA2" s="458">
        <v>1.3929999999999999E-3</v>
      </c>
      <c r="OB2" s="1744"/>
      <c r="OC2" s="422"/>
      <c r="OD2" s="422"/>
      <c r="OE2" s="422"/>
      <c r="OG2" s="315"/>
      <c r="OH2" s="422"/>
      <c r="OI2" s="422"/>
      <c r="OJ2" s="422"/>
      <c r="OK2" s="422"/>
      <c r="OL2" s="422"/>
      <c r="OM2" s="422"/>
      <c r="ON2" s="422"/>
      <c r="OO2" s="422"/>
      <c r="OP2" s="422"/>
      <c r="OQ2" s="422"/>
      <c r="OR2" s="422"/>
      <c r="OS2" s="422"/>
      <c r="OT2" s="482"/>
      <c r="PA2" s="458">
        <v>2.4190000000000001E-3</v>
      </c>
      <c r="PB2" s="1744"/>
      <c r="PC2" s="421"/>
      <c r="PD2" s="457"/>
      <c r="PE2" s="457"/>
      <c r="PF2" s="457"/>
      <c r="PG2" s="457"/>
      <c r="PH2" s="457"/>
      <c r="PI2" s="457"/>
      <c r="PJ2" s="457"/>
      <c r="PK2" s="457"/>
      <c r="PL2" s="457"/>
      <c r="PM2" s="457"/>
      <c r="PN2" s="457"/>
      <c r="PO2" s="457"/>
      <c r="PP2" s="457"/>
      <c r="PQ2" s="457"/>
      <c r="PR2" s="451"/>
      <c r="PS2" s="451"/>
      <c r="PT2" s="421"/>
      <c r="QA2" s="458">
        <v>2.4190000000000001E-3</v>
      </c>
      <c r="QB2" s="1744"/>
      <c r="QC2" s="422"/>
      <c r="QD2" s="422"/>
      <c r="QE2" s="422"/>
      <c r="QG2" s="315"/>
      <c r="QH2" s="422"/>
      <c r="QI2" s="422"/>
      <c r="QJ2" s="422"/>
      <c r="QK2" s="422"/>
      <c r="QL2" s="422"/>
      <c r="QM2" s="422"/>
      <c r="QN2" s="422"/>
      <c r="QO2" s="422"/>
      <c r="QP2" s="422"/>
      <c r="QQ2" s="422"/>
      <c r="QR2" s="422"/>
      <c r="QS2" s="422"/>
      <c r="QT2" s="483"/>
      <c r="RA2" s="458">
        <v>2.4190000000000001E-3</v>
      </c>
      <c r="RB2" s="1744"/>
      <c r="RC2" s="421"/>
      <c r="RD2" s="457"/>
      <c r="RE2" s="457"/>
      <c r="RF2" s="457"/>
      <c r="RG2" s="457"/>
      <c r="RH2" s="457"/>
      <c r="RI2" s="457"/>
      <c r="RJ2" s="457"/>
      <c r="RK2" s="457"/>
      <c r="RL2" s="457"/>
      <c r="RM2" s="457"/>
      <c r="RN2" s="457"/>
      <c r="RO2" s="457"/>
      <c r="RP2" s="457"/>
      <c r="RQ2" s="457"/>
      <c r="RR2" s="451"/>
      <c r="RS2" s="451"/>
      <c r="RT2" s="421"/>
      <c r="SA2" s="458">
        <v>2.4190000000000001E-3</v>
      </c>
      <c r="SB2" s="1744"/>
      <c r="SC2" s="422"/>
      <c r="SD2" s="422"/>
      <c r="SE2" s="422"/>
      <c r="SG2" s="315"/>
      <c r="SH2" s="422"/>
      <c r="SI2" s="422"/>
      <c r="SJ2" s="422"/>
      <c r="SK2" s="422"/>
      <c r="SL2" s="422"/>
      <c r="SM2" s="422"/>
      <c r="SN2" s="422"/>
      <c r="SO2" s="422"/>
      <c r="SP2" s="422"/>
      <c r="SQ2" s="422"/>
      <c r="SR2" s="422"/>
      <c r="SS2" s="422"/>
      <c r="ST2" s="483"/>
      <c r="TA2" s="458"/>
      <c r="TB2" s="1744"/>
      <c r="TC2" s="716"/>
      <c r="TD2" s="716"/>
      <c r="TE2" s="716"/>
      <c r="TG2" s="315"/>
      <c r="TH2" s="716"/>
      <c r="TI2" s="716"/>
      <c r="TJ2" s="716"/>
      <c r="TK2" s="716"/>
      <c r="TL2" s="716"/>
      <c r="TM2" s="716"/>
      <c r="TN2" s="716"/>
      <c r="TO2" s="716"/>
      <c r="TP2" s="716"/>
      <c r="TQ2" s="716"/>
      <c r="TR2" s="716"/>
      <c r="TS2" s="716"/>
      <c r="TT2" s="753"/>
      <c r="UA2" s="458"/>
      <c r="UB2" s="1744"/>
      <c r="UC2" s="716"/>
      <c r="UD2" s="716"/>
      <c r="UE2" s="716"/>
      <c r="UG2" s="315"/>
      <c r="UH2" s="716"/>
      <c r="UI2" s="716"/>
      <c r="UJ2" s="716"/>
      <c r="UK2" s="716"/>
      <c r="UL2" s="716"/>
      <c r="UM2" s="716"/>
      <c r="UN2" s="716"/>
      <c r="UO2" s="716"/>
      <c r="UP2" s="716"/>
      <c r="UQ2" s="716"/>
      <c r="UR2" s="716"/>
      <c r="US2" s="716"/>
      <c r="UT2" s="753"/>
      <c r="VA2" s="1031"/>
      <c r="VB2" s="1744"/>
      <c r="VC2" s="471"/>
      <c r="VD2" s="471"/>
      <c r="VE2" s="471"/>
      <c r="VF2" s="471"/>
      <c r="VG2" s="471"/>
      <c r="VH2" s="471"/>
      <c r="VI2" s="471"/>
      <c r="VJ2" s="471"/>
      <c r="VK2" s="471"/>
      <c r="VL2" s="471"/>
      <c r="VM2" s="471"/>
      <c r="VN2" s="471"/>
      <c r="VO2" s="471"/>
      <c r="VP2" s="471"/>
      <c r="VQ2" s="471"/>
      <c r="VR2" s="471"/>
      <c r="VS2" s="471"/>
      <c r="VT2" s="471"/>
      <c r="WA2" s="1031"/>
      <c r="WB2" s="1744"/>
      <c r="WC2" s="471"/>
      <c r="WD2" s="471"/>
      <c r="WE2" s="471"/>
      <c r="WF2" s="471"/>
      <c r="WG2" s="471"/>
      <c r="WH2" s="471"/>
      <c r="WI2" s="471"/>
      <c r="WJ2" s="471"/>
      <c r="WK2" s="471"/>
      <c r="WL2" s="471"/>
      <c r="WM2" s="471"/>
      <c r="WN2" s="471"/>
      <c r="WO2" s="471"/>
      <c r="WP2" s="471"/>
      <c r="WQ2" s="471"/>
      <c r="WR2" s="471"/>
      <c r="WS2" s="471"/>
      <c r="WT2" s="471"/>
    </row>
    <row r="3" spans="1:619" ht="27.75" customHeight="1">
      <c r="J3" s="295"/>
      <c r="K3" s="295"/>
      <c r="L3" s="295"/>
      <c r="M3" s="349" t="s">
        <v>2227</v>
      </c>
      <c r="N3" s="295"/>
      <c r="O3" s="295"/>
      <c r="Q3" s="295"/>
      <c r="R3" s="295"/>
      <c r="X3" s="295"/>
      <c r="Y3" s="295"/>
      <c r="AG3" s="295"/>
      <c r="BD3" s="298"/>
      <c r="BE3" s="298"/>
      <c r="BF3" s="298"/>
      <c r="BG3" s="718"/>
      <c r="BH3" s="718"/>
      <c r="BI3" s="298"/>
      <c r="BJ3" s="298"/>
      <c r="BK3" s="298"/>
      <c r="BL3" s="298"/>
      <c r="BM3" s="298"/>
      <c r="BN3" s="298"/>
      <c r="BO3" s="298"/>
      <c r="BP3" s="298"/>
      <c r="BQ3" s="298"/>
      <c r="BR3" s="298"/>
      <c r="BS3" s="298"/>
      <c r="BT3" s="298"/>
      <c r="BU3" s="298"/>
      <c r="BV3" s="298"/>
      <c r="BW3" s="298"/>
      <c r="BX3" s="298"/>
      <c r="BY3" s="421"/>
      <c r="BZ3" s="718"/>
      <c r="CA3" s="421"/>
      <c r="CB3" s="421"/>
      <c r="CC3" s="421"/>
      <c r="CD3" s="421"/>
      <c r="CE3" s="421"/>
      <c r="CF3" s="421"/>
      <c r="CG3" s="421"/>
      <c r="CH3" s="421"/>
      <c r="CI3" s="421"/>
      <c r="CJ3" s="421"/>
      <c r="CK3" s="421"/>
      <c r="CL3" s="421"/>
      <c r="CM3" s="421"/>
      <c r="CN3" s="421"/>
      <c r="CO3" s="421"/>
      <c r="CP3" s="421"/>
      <c r="CQ3" s="421"/>
      <c r="CR3" s="421"/>
      <c r="CS3" s="421"/>
      <c r="CT3" s="421"/>
      <c r="CU3" s="421"/>
      <c r="CV3" s="421"/>
      <c r="CW3" s="421"/>
      <c r="CX3" s="421"/>
      <c r="CY3" s="421"/>
      <c r="CZ3" s="421"/>
      <c r="DA3" s="421"/>
      <c r="DB3" s="421"/>
      <c r="DC3" s="421"/>
      <c r="DE3" s="207" t="s">
        <v>2165</v>
      </c>
      <c r="DF3" s="471"/>
      <c r="DG3" s="1733" t="s">
        <v>2218</v>
      </c>
      <c r="DH3" s="1733"/>
      <c r="DI3" s="295"/>
      <c r="DJ3" s="250">
        <v>1502.05</v>
      </c>
      <c r="DK3" s="295"/>
      <c r="DL3" s="471"/>
      <c r="DM3" s="471"/>
      <c r="DN3" s="471"/>
      <c r="DO3" s="471"/>
      <c r="DP3" s="471"/>
      <c r="DQ3" s="471"/>
      <c r="DR3" s="471"/>
      <c r="DS3" s="471"/>
      <c r="DT3" s="471"/>
      <c r="DU3" s="471"/>
      <c r="DV3" s="471"/>
      <c r="DW3" s="471"/>
      <c r="DX3" s="449"/>
      <c r="DY3" s="449"/>
      <c r="DZ3" s="449"/>
      <c r="EB3" s="480" t="s">
        <v>2297</v>
      </c>
      <c r="EC3" s="276"/>
      <c r="ED3" s="296"/>
      <c r="EE3" s="422"/>
      <c r="EF3" s="422"/>
      <c r="EG3" s="422"/>
      <c r="EH3" s="1369"/>
      <c r="EI3" s="1369"/>
      <c r="EJ3" s="296"/>
      <c r="EK3" s="1369"/>
      <c r="EL3" s="422"/>
      <c r="EM3" s="422"/>
      <c r="EN3" s="422"/>
      <c r="EO3" s="1369"/>
      <c r="EP3" s="276"/>
      <c r="EQ3" s="422"/>
      <c r="ER3" s="422"/>
      <c r="ES3" s="422"/>
      <c r="ET3" s="296"/>
      <c r="EU3" s="296"/>
      <c r="EV3" s="422"/>
      <c r="EW3" s="422"/>
      <c r="EX3" s="336"/>
      <c r="FB3" s="207" t="s">
        <v>2165</v>
      </c>
      <c r="FC3" s="471"/>
      <c r="FD3" s="471"/>
      <c r="FE3" s="471"/>
      <c r="FF3" s="471"/>
      <c r="FG3" s="471"/>
      <c r="FH3" s="471"/>
      <c r="FI3" s="471"/>
      <c r="FJ3" s="471"/>
      <c r="FK3" s="471"/>
      <c r="FL3" s="471"/>
      <c r="FM3" s="471"/>
      <c r="FN3" s="471"/>
      <c r="FO3" s="471"/>
      <c r="FP3" s="471"/>
      <c r="FQ3" s="471"/>
      <c r="FR3" s="471"/>
      <c r="FS3" s="471"/>
      <c r="FT3" s="471"/>
      <c r="GB3" s="480" t="s">
        <v>2297</v>
      </c>
      <c r="GC3" s="422"/>
      <c r="GD3" s="422"/>
      <c r="GE3" s="422"/>
      <c r="GF3" s="422"/>
      <c r="GG3" s="422"/>
      <c r="GH3" s="422"/>
      <c r="GI3" s="422"/>
      <c r="GJ3" s="422"/>
      <c r="GK3" s="422"/>
      <c r="GL3" s="422"/>
      <c r="GM3" s="422"/>
      <c r="GN3" s="422"/>
      <c r="GO3" s="422"/>
      <c r="GP3" s="422"/>
      <c r="GQ3" s="422"/>
      <c r="GR3" s="422"/>
      <c r="GS3" s="422"/>
      <c r="GT3" s="336"/>
      <c r="GW3" s="473"/>
      <c r="GX3" s="473"/>
      <c r="GY3" s="473"/>
      <c r="GZ3" s="473"/>
      <c r="HB3" s="459" t="s">
        <v>2165</v>
      </c>
      <c r="HC3" s="421"/>
      <c r="HD3" s="457"/>
      <c r="HE3" s="457"/>
      <c r="HF3" s="457"/>
      <c r="HG3" s="457"/>
      <c r="HH3" s="457"/>
      <c r="HI3" s="457"/>
      <c r="HJ3" s="457"/>
      <c r="HK3" s="457"/>
      <c r="HL3" s="457"/>
      <c r="HM3" s="457"/>
      <c r="HN3" s="457"/>
      <c r="HO3" s="457"/>
      <c r="HP3" s="457"/>
      <c r="HQ3" s="457"/>
      <c r="HR3" s="451"/>
      <c r="HS3" s="451"/>
      <c r="HT3" s="421"/>
      <c r="IB3" s="462" t="s">
        <v>2290</v>
      </c>
      <c r="IC3" s="422"/>
      <c r="ID3" s="422"/>
      <c r="IE3" s="422"/>
      <c r="IG3" s="315"/>
      <c r="IH3" s="422"/>
      <c r="II3" s="422"/>
      <c r="IJ3" s="422"/>
      <c r="IK3" s="422"/>
      <c r="IL3" s="422"/>
      <c r="IM3" s="422"/>
      <c r="IN3" s="422"/>
      <c r="IO3" s="422"/>
      <c r="IP3" s="422"/>
      <c r="IQ3" s="422"/>
      <c r="IR3" s="422"/>
      <c r="IS3" s="422"/>
      <c r="IT3" s="448"/>
      <c r="JB3" s="459" t="s">
        <v>2165</v>
      </c>
      <c r="JC3" s="421"/>
      <c r="JD3" s="457"/>
      <c r="JE3" s="457"/>
      <c r="JF3" s="457"/>
      <c r="JG3" s="457"/>
      <c r="JH3" s="457"/>
      <c r="JI3" s="457"/>
      <c r="JJ3" s="457"/>
      <c r="JK3" s="457"/>
      <c r="JL3" s="457"/>
      <c r="JM3" s="457"/>
      <c r="JN3" s="457"/>
      <c r="JO3" s="457"/>
      <c r="JP3" s="457"/>
      <c r="JQ3" s="457"/>
      <c r="JR3" s="451"/>
      <c r="JS3" s="451"/>
      <c r="JT3" s="421"/>
      <c r="KB3" s="462" t="s">
        <v>2290</v>
      </c>
      <c r="KC3" s="422"/>
      <c r="KD3" s="422"/>
      <c r="KE3" s="422"/>
      <c r="KG3" s="315"/>
      <c r="KH3" s="422"/>
      <c r="KI3" s="422"/>
      <c r="KJ3" s="422"/>
      <c r="KK3" s="422"/>
      <c r="KL3" s="422"/>
      <c r="KM3" s="422"/>
      <c r="KN3" s="422"/>
      <c r="KO3" s="422"/>
      <c r="KP3" s="422"/>
      <c r="KQ3" s="422"/>
      <c r="KR3" s="422"/>
      <c r="KS3" s="422"/>
      <c r="KT3" s="482"/>
      <c r="LB3" s="459" t="s">
        <v>2165</v>
      </c>
      <c r="LC3" s="421"/>
      <c r="LD3" s="457"/>
      <c r="LE3" s="457"/>
      <c r="LF3" s="457"/>
      <c r="LG3" s="457"/>
      <c r="LH3" s="457"/>
      <c r="LI3" s="457"/>
      <c r="LJ3" s="457"/>
      <c r="LK3" s="457"/>
      <c r="LL3" s="457"/>
      <c r="LM3" s="457"/>
      <c r="LN3" s="457"/>
      <c r="LO3" s="457"/>
      <c r="LP3" s="457"/>
      <c r="LQ3" s="457"/>
      <c r="LR3" s="451"/>
      <c r="LS3" s="451"/>
      <c r="LT3" s="421"/>
      <c r="MB3" s="462" t="s">
        <v>2290</v>
      </c>
      <c r="MC3" s="422"/>
      <c r="MD3" s="422"/>
      <c r="ME3" s="422"/>
      <c r="MG3" s="315"/>
      <c r="MH3" s="422"/>
      <c r="MI3" s="422"/>
      <c r="MJ3" s="422"/>
      <c r="MK3" s="422"/>
      <c r="ML3" s="422"/>
      <c r="MM3" s="422"/>
      <c r="MN3" s="422"/>
      <c r="MO3" s="422"/>
      <c r="MP3" s="422"/>
      <c r="MQ3" s="422"/>
      <c r="MR3" s="422"/>
      <c r="MS3" s="422"/>
      <c r="MT3" s="482"/>
      <c r="NB3" s="459" t="s">
        <v>2165</v>
      </c>
      <c r="NC3" s="421"/>
      <c r="ND3" s="457"/>
      <c r="NE3" s="457"/>
      <c r="NF3" s="457"/>
      <c r="NG3" s="457"/>
      <c r="NH3" s="457"/>
      <c r="NI3" s="457"/>
      <c r="NJ3" s="457"/>
      <c r="NK3" s="457"/>
      <c r="NL3" s="457"/>
      <c r="NM3" s="457"/>
      <c r="NN3" s="457"/>
      <c r="NO3" s="457"/>
      <c r="NP3" s="457"/>
      <c r="NQ3" s="457"/>
      <c r="NR3" s="451"/>
      <c r="NS3" s="451"/>
      <c r="NT3" s="421"/>
      <c r="OB3" s="462" t="s">
        <v>2290</v>
      </c>
      <c r="OC3" s="422"/>
      <c r="OD3" s="422"/>
      <c r="OE3" s="422"/>
      <c r="OG3" s="315"/>
      <c r="OH3" s="422"/>
      <c r="OI3" s="422"/>
      <c r="OJ3" s="422"/>
      <c r="OK3" s="422"/>
      <c r="OL3" s="422"/>
      <c r="OM3" s="422"/>
      <c r="ON3" s="422"/>
      <c r="OO3" s="422"/>
      <c r="OP3" s="422"/>
      <c r="OQ3" s="422"/>
      <c r="OR3" s="422"/>
      <c r="OS3" s="422"/>
      <c r="OT3" s="482"/>
      <c r="PB3" s="459" t="s">
        <v>2165</v>
      </c>
      <c r="PC3" s="421"/>
      <c r="PD3" s="457"/>
      <c r="PE3" s="457"/>
      <c r="PF3" s="457"/>
      <c r="PG3" s="457"/>
      <c r="PH3" s="457"/>
      <c r="PI3" s="457"/>
      <c r="PJ3" s="457"/>
      <c r="PK3" s="457"/>
      <c r="PL3" s="457"/>
      <c r="PM3" s="457"/>
      <c r="PN3" s="457"/>
      <c r="PO3" s="457"/>
      <c r="PP3" s="457"/>
      <c r="PQ3" s="457"/>
      <c r="PR3" s="451"/>
      <c r="PS3" s="451"/>
      <c r="PT3" s="421"/>
      <c r="QB3" s="462" t="s">
        <v>2290</v>
      </c>
      <c r="QC3" s="422"/>
      <c r="QD3" s="422"/>
      <c r="QE3" s="422"/>
      <c r="QG3" s="315"/>
      <c r="QH3" s="422"/>
      <c r="QI3" s="422"/>
      <c r="QJ3" s="422"/>
      <c r="QK3" s="422"/>
      <c r="QL3" s="422"/>
      <c r="QM3" s="422"/>
      <c r="QN3" s="422"/>
      <c r="QO3" s="422"/>
      <c r="QP3" s="422"/>
      <c r="QQ3" s="422"/>
      <c r="QR3" s="422"/>
      <c r="QS3" s="422"/>
      <c r="QT3" s="483"/>
      <c r="RB3" s="459" t="s">
        <v>2165</v>
      </c>
      <c r="RC3" s="421"/>
      <c r="RD3" s="457"/>
      <c r="RE3" s="457"/>
      <c r="RF3" s="457"/>
      <c r="RG3" s="457"/>
      <c r="RH3" s="457"/>
      <c r="RI3" s="457"/>
      <c r="RJ3" s="457"/>
      <c r="RK3" s="457"/>
      <c r="RL3" s="457"/>
      <c r="RM3" s="457"/>
      <c r="RN3" s="457"/>
      <c r="RO3" s="457"/>
      <c r="RP3" s="457"/>
      <c r="RQ3" s="457"/>
      <c r="RR3" s="451"/>
      <c r="RS3" s="451"/>
      <c r="RT3" s="421"/>
      <c r="SB3" s="462" t="s">
        <v>2290</v>
      </c>
      <c r="SC3" s="422"/>
      <c r="SD3" s="422"/>
      <c r="SE3" s="422"/>
      <c r="SG3" s="315"/>
      <c r="SH3" s="422"/>
      <c r="SI3" s="422"/>
      <c r="SJ3" s="422"/>
      <c r="SK3" s="422"/>
      <c r="SL3" s="422"/>
      <c r="SM3" s="422"/>
      <c r="SN3" s="422"/>
      <c r="SO3" s="422"/>
      <c r="SP3" s="422"/>
      <c r="SQ3" s="422"/>
      <c r="SR3" s="422"/>
      <c r="SS3" s="422"/>
      <c r="ST3" s="483"/>
      <c r="TB3" s="462" t="s">
        <v>2290</v>
      </c>
      <c r="TC3" s="716"/>
      <c r="TD3" s="716"/>
      <c r="TE3" s="716"/>
      <c r="TG3" s="315"/>
      <c r="TH3" s="716"/>
      <c r="TI3" s="716"/>
      <c r="TJ3" s="716"/>
      <c r="TK3" s="716"/>
      <c r="TL3" s="716"/>
      <c r="TM3" s="716"/>
      <c r="TN3" s="716"/>
      <c r="TO3" s="716"/>
      <c r="TP3" s="716"/>
      <c r="TQ3" s="716"/>
      <c r="TR3" s="716"/>
      <c r="TS3" s="716"/>
      <c r="TT3" s="753"/>
      <c r="UB3" s="462" t="s">
        <v>2290</v>
      </c>
      <c r="UC3" s="716"/>
      <c r="UD3" s="716"/>
      <c r="UE3" s="716"/>
      <c r="UG3" s="315"/>
      <c r="UH3" s="716"/>
      <c r="UI3" s="716"/>
      <c r="UJ3" s="716"/>
      <c r="UK3" s="716"/>
      <c r="UL3" s="716"/>
      <c r="UM3" s="716"/>
      <c r="UN3" s="716"/>
      <c r="UO3" s="716"/>
      <c r="UP3" s="716"/>
      <c r="UQ3" s="716"/>
      <c r="UR3" s="716"/>
      <c r="US3" s="716"/>
      <c r="UT3" s="753"/>
      <c r="VB3" s="207" t="s">
        <v>2165</v>
      </c>
      <c r="VC3" s="471"/>
      <c r="VD3" s="471"/>
      <c r="VE3" s="471"/>
      <c r="VF3" s="471"/>
      <c r="VG3" s="471"/>
      <c r="VH3" s="471"/>
      <c r="VI3" s="471"/>
      <c r="VJ3" s="471"/>
      <c r="VK3" s="471"/>
      <c r="VL3" s="471"/>
      <c r="VM3" s="471"/>
      <c r="VN3" s="471"/>
      <c r="VO3" s="471"/>
      <c r="VP3" s="471"/>
      <c r="VQ3" s="471"/>
      <c r="VR3" s="471"/>
      <c r="VS3" s="471"/>
      <c r="VT3" s="471"/>
      <c r="WB3" s="207" t="s">
        <v>2165</v>
      </c>
      <c r="WC3" s="471"/>
      <c r="WD3" s="471"/>
      <c r="WE3" s="471"/>
      <c r="WF3" s="471"/>
      <c r="WG3" s="471"/>
      <c r="WH3" s="471"/>
      <c r="WI3" s="471"/>
      <c r="WJ3" s="471"/>
      <c r="WK3" s="471"/>
      <c r="WL3" s="471"/>
      <c r="WM3" s="471"/>
      <c r="WN3" s="471"/>
      <c r="WO3" s="471"/>
      <c r="WP3" s="471"/>
      <c r="WQ3" s="471"/>
      <c r="WR3" s="471"/>
      <c r="WS3" s="471"/>
      <c r="WT3" s="471"/>
    </row>
    <row r="4" spans="1:619" ht="28.5" customHeight="1">
      <c r="J4" s="295"/>
      <c r="K4" s="295"/>
      <c r="L4" s="295"/>
      <c r="M4" s="349"/>
      <c r="N4" s="295"/>
      <c r="O4" s="295"/>
      <c r="Q4" s="295"/>
      <c r="R4" s="295"/>
      <c r="X4" s="295"/>
      <c r="Y4" s="295"/>
      <c r="AG4" s="295"/>
      <c r="AI4" s="941"/>
      <c r="AL4" s="716"/>
      <c r="AM4" s="716"/>
      <c r="AO4" s="935"/>
      <c r="AP4" s="229"/>
      <c r="AQ4" s="229"/>
      <c r="AR4" s="229"/>
      <c r="AS4" s="229"/>
      <c r="AT4" s="229"/>
      <c r="AU4" s="304"/>
      <c r="AV4" s="229"/>
      <c r="AW4" s="229"/>
      <c r="AX4" s="229"/>
      <c r="AY4" s="229"/>
      <c r="AZ4" s="229"/>
      <c r="BA4" s="229"/>
      <c r="BB4" s="229"/>
      <c r="BC4" s="229"/>
      <c r="BD4" s="229"/>
      <c r="BE4" s="488"/>
      <c r="BF4" s="229"/>
      <c r="BG4" s="229"/>
      <c r="BH4" s="229"/>
      <c r="BI4" s="229"/>
      <c r="BJ4" s="229"/>
      <c r="BK4" s="229"/>
      <c r="BL4" s="229"/>
      <c r="BM4" s="229"/>
      <c r="BN4" s="229"/>
      <c r="BO4" s="229"/>
      <c r="BP4" s="229"/>
      <c r="BQ4" s="229"/>
      <c r="BR4" s="229"/>
      <c r="BS4" s="229"/>
      <c r="BT4" s="229"/>
      <c r="BU4" s="229"/>
      <c r="BV4" s="229"/>
      <c r="BW4" s="229"/>
      <c r="BX4" s="229"/>
      <c r="BY4" s="229"/>
      <c r="BZ4" s="229"/>
      <c r="CA4" s="229"/>
      <c r="CB4" s="229"/>
      <c r="CC4" s="229"/>
      <c r="CD4" s="229"/>
      <c r="CE4" s="229"/>
      <c r="CF4" s="229"/>
      <c r="CG4" s="229"/>
      <c r="CH4" s="229"/>
      <c r="CI4" s="229"/>
      <c r="CJ4" s="229"/>
      <c r="CK4" s="229"/>
      <c r="CL4" s="229"/>
      <c r="CM4" s="229"/>
      <c r="CN4" s="229"/>
      <c r="CO4" s="229"/>
      <c r="CP4" s="229"/>
      <c r="CQ4" s="229"/>
      <c r="CR4" s="229"/>
      <c r="CS4" s="229"/>
      <c r="CT4" s="229"/>
      <c r="CU4" s="229"/>
      <c r="CV4" s="229"/>
      <c r="CW4" s="229"/>
      <c r="CX4" s="229"/>
      <c r="CY4" s="229"/>
      <c r="CZ4" s="229"/>
      <c r="DA4" s="229"/>
      <c r="DB4" s="229"/>
      <c r="DC4" s="229"/>
      <c r="DE4" s="460" t="str">
        <f>Cotations!AG4</f>
        <v>2016EURAIG Luxembourg-Healthcare PlanPerfect</v>
      </c>
      <c r="DF4" s="471"/>
      <c r="DG4" s="471"/>
      <c r="DH4" s="471"/>
      <c r="DI4" s="471"/>
      <c r="DJ4" s="471"/>
      <c r="DK4" s="471"/>
      <c r="DL4" s="471"/>
      <c r="DM4" s="471"/>
      <c r="DN4" s="471"/>
      <c r="DO4" s="471"/>
      <c r="DP4" s="471"/>
      <c r="DQ4" s="471"/>
      <c r="DR4" s="471"/>
      <c r="DS4" s="471"/>
      <c r="DT4" s="471"/>
      <c r="DU4" s="471"/>
      <c r="DV4" s="471"/>
      <c r="DW4" s="471"/>
      <c r="DX4" s="449"/>
      <c r="DY4" s="449"/>
      <c r="DZ4" s="449"/>
      <c r="EB4" s="460"/>
      <c r="EC4" s="276"/>
      <c r="ED4" s="296"/>
      <c r="EE4" s="422"/>
      <c r="EF4" s="422"/>
      <c r="EG4" s="422"/>
      <c r="EH4" s="1369"/>
      <c r="EI4" s="1369"/>
      <c r="EJ4" s="296"/>
      <c r="EK4" s="1369"/>
      <c r="EL4" s="422"/>
      <c r="EM4" s="422"/>
      <c r="EN4" s="422"/>
      <c r="EO4" s="1369"/>
      <c r="EP4" s="276"/>
      <c r="EQ4" s="422"/>
      <c r="ER4" s="422"/>
      <c r="ES4" s="422"/>
      <c r="ET4" s="296"/>
      <c r="EU4" s="296"/>
      <c r="EV4" s="422"/>
      <c r="EW4" s="422"/>
      <c r="EX4" s="336"/>
      <c r="FB4" s="479" t="str">
        <f>Cotations!AP4</f>
        <v>2016EURAIG Luxembourg-Assistance and RepatriationPERFECT</v>
      </c>
      <c r="FC4" s="471"/>
      <c r="FD4" s="471"/>
      <c r="FE4" s="471"/>
      <c r="FF4" s="471"/>
      <c r="FG4" s="471"/>
      <c r="FH4" s="471"/>
      <c r="FI4" s="471"/>
      <c r="FJ4" s="471"/>
      <c r="FK4" s="471"/>
      <c r="FL4" s="471"/>
      <c r="FM4" s="471"/>
      <c r="FN4" s="471"/>
      <c r="FO4" s="471"/>
      <c r="FP4" s="471"/>
      <c r="FQ4" s="471"/>
      <c r="FR4" s="471"/>
      <c r="FS4" s="471"/>
      <c r="FT4" s="471"/>
      <c r="GB4" s="460"/>
      <c r="GC4" s="422"/>
      <c r="GD4" s="422"/>
      <c r="GE4" s="422"/>
      <c r="GF4" s="422"/>
      <c r="GG4" s="422"/>
      <c r="GH4" s="422"/>
      <c r="GI4" s="422"/>
      <c r="GJ4" s="422"/>
      <c r="GK4" s="422"/>
      <c r="GL4" s="422"/>
      <c r="GM4" s="422"/>
      <c r="GN4" s="422"/>
      <c r="GO4" s="422"/>
      <c r="GP4" s="422"/>
      <c r="GQ4" s="422"/>
      <c r="GR4" s="422"/>
      <c r="GS4" s="422"/>
      <c r="GT4" s="336"/>
      <c r="GW4" s="473"/>
      <c r="GX4" s="473"/>
      <c r="GY4" s="473"/>
      <c r="GZ4" s="473"/>
      <c r="HB4" s="460" t="str">
        <f>Cotations!AY4</f>
        <v>2016EURAnker Verzekeringen n.v.-Death Accident</v>
      </c>
      <c r="HC4" s="421"/>
      <c r="HD4" s="457"/>
      <c r="HE4" s="457"/>
      <c r="HF4" s="457"/>
      <c r="HG4" s="457"/>
      <c r="HH4" s="457"/>
      <c r="HI4" s="457"/>
      <c r="HJ4" s="457"/>
      <c r="HK4" s="457"/>
      <c r="HL4" s="457"/>
      <c r="HM4" s="457"/>
      <c r="HN4" s="457"/>
      <c r="HO4" s="457"/>
      <c r="HP4" s="457"/>
      <c r="HQ4" s="457"/>
      <c r="HR4" s="451"/>
      <c r="HS4" s="451"/>
      <c r="HT4" s="421"/>
      <c r="IB4" s="460" t="str">
        <f>IB15</f>
        <v/>
      </c>
      <c r="IC4" s="422"/>
      <c r="ID4" s="422"/>
      <c r="IE4" s="422"/>
      <c r="IG4" s="315"/>
      <c r="IH4" s="422"/>
      <c r="II4" s="422"/>
      <c r="IJ4" s="422"/>
      <c r="IK4" s="762" t="e">
        <f>IK16+TK16</f>
        <v>#VALUE!</v>
      </c>
      <c r="IL4" s="422"/>
      <c r="IM4" s="422"/>
      <c r="IN4" s="422"/>
      <c r="IO4" s="422"/>
      <c r="IP4" s="422"/>
      <c r="IQ4" s="422"/>
      <c r="IR4" s="422"/>
      <c r="IS4" s="422"/>
      <c r="IT4" s="448"/>
      <c r="JB4" s="460" t="str">
        <f>Cotations!BK4</f>
        <v>2016EURAnker Verzekeringen n.v.-Death illness</v>
      </c>
      <c r="JC4" s="421"/>
      <c r="JD4" s="457"/>
      <c r="JE4" s="457"/>
      <c r="JF4" s="457"/>
      <c r="JG4" s="457"/>
      <c r="JH4" s="457"/>
      <c r="JI4" s="457"/>
      <c r="JJ4" s="457"/>
      <c r="JK4" s="457"/>
      <c r="JL4" s="457"/>
      <c r="JM4" s="457"/>
      <c r="JN4" s="457"/>
      <c r="JO4" s="457"/>
      <c r="JP4" s="457"/>
      <c r="JQ4" s="457"/>
      <c r="JR4" s="451"/>
      <c r="JS4" s="451"/>
      <c r="JT4" s="421"/>
      <c r="KB4" s="460">
        <f>Cotations!DQ4</f>
        <v>0</v>
      </c>
      <c r="KC4" s="422"/>
      <c r="KD4" s="422"/>
      <c r="KE4" s="422"/>
      <c r="KG4" s="315"/>
      <c r="KH4" s="422"/>
      <c r="KI4" s="422"/>
      <c r="KJ4" s="422"/>
      <c r="KK4" s="422"/>
      <c r="KL4" s="422"/>
      <c r="KM4" s="422"/>
      <c r="KN4" s="422"/>
      <c r="KO4" s="422"/>
      <c r="KP4" s="422"/>
      <c r="KQ4" s="422"/>
      <c r="KR4" s="422"/>
      <c r="KS4" s="422"/>
      <c r="KT4" s="482"/>
      <c r="LB4" s="460">
        <f>Cotations!EH9</f>
        <v>0</v>
      </c>
      <c r="LC4" s="421"/>
      <c r="LD4" s="457"/>
      <c r="LE4" s="457"/>
      <c r="LF4" s="457"/>
      <c r="LG4" s="457"/>
      <c r="LH4" s="457"/>
      <c r="LI4" s="457"/>
      <c r="LJ4" s="457"/>
      <c r="LK4" s="457"/>
      <c r="LL4" s="457"/>
      <c r="LM4" s="457"/>
      <c r="LN4" s="457"/>
      <c r="LO4" s="457"/>
      <c r="LP4" s="457"/>
      <c r="LQ4" s="457"/>
      <c r="LR4" s="451"/>
      <c r="LS4" s="451"/>
      <c r="LT4" s="421"/>
      <c r="MB4" s="460">
        <f>Cotations!FZ9</f>
        <v>0</v>
      </c>
      <c r="MC4" s="422"/>
      <c r="MD4" s="422"/>
      <c r="ME4" s="422"/>
      <c r="MG4" s="315"/>
      <c r="MH4" s="422"/>
      <c r="MI4" s="422"/>
      <c r="MJ4" s="422"/>
      <c r="MK4" s="422"/>
      <c r="ML4" s="422"/>
      <c r="MM4" s="422"/>
      <c r="MN4" s="422"/>
      <c r="MO4" s="422"/>
      <c r="MP4" s="422"/>
      <c r="MQ4" s="422"/>
      <c r="MR4" s="422"/>
      <c r="MS4" s="422"/>
      <c r="MT4" s="482"/>
      <c r="NB4" s="460">
        <f>Cotations!GI9</f>
        <v>0</v>
      </c>
      <c r="NC4" s="421"/>
      <c r="ND4" s="457"/>
      <c r="NE4" s="457"/>
      <c r="NF4" s="457"/>
      <c r="NG4" s="457"/>
      <c r="NH4" s="457"/>
      <c r="NI4" s="457"/>
      <c r="NJ4" s="457"/>
      <c r="NK4" s="457"/>
      <c r="NL4" s="457"/>
      <c r="NM4" s="457"/>
      <c r="NN4" s="457"/>
      <c r="NO4" s="457"/>
      <c r="NP4" s="457"/>
      <c r="NQ4" s="457"/>
      <c r="NR4" s="451"/>
      <c r="NS4" s="451"/>
      <c r="NT4" s="421"/>
      <c r="OB4" s="460">
        <f>Cotations!HZ9</f>
        <v>0</v>
      </c>
      <c r="OC4" s="422"/>
      <c r="OD4" s="422"/>
      <c r="OE4" s="422"/>
      <c r="OG4" s="315"/>
      <c r="OH4" s="422"/>
      <c r="OI4" s="422"/>
      <c r="OJ4" s="422"/>
      <c r="OK4" s="422"/>
      <c r="OL4" s="422"/>
      <c r="OM4" s="422"/>
      <c r="ON4" s="422"/>
      <c r="OO4" s="422"/>
      <c r="OP4" s="422"/>
      <c r="OQ4" s="422"/>
      <c r="OR4" s="422"/>
      <c r="OS4" s="422"/>
      <c r="OT4" s="482"/>
      <c r="PB4" s="460">
        <f>Cotations!II9</f>
        <v>0</v>
      </c>
      <c r="PC4" s="421"/>
      <c r="PD4" s="457"/>
      <c r="PE4" s="457"/>
      <c r="PF4" s="457"/>
      <c r="PG4" s="457"/>
      <c r="PH4" s="457"/>
      <c r="PI4" s="457"/>
      <c r="PJ4" s="457"/>
      <c r="PK4" s="457"/>
      <c r="PL4" s="457"/>
      <c r="PM4" s="457"/>
      <c r="PN4" s="457"/>
      <c r="PO4" s="457"/>
      <c r="PP4" s="457"/>
      <c r="PQ4" s="457"/>
      <c r="PR4" s="451"/>
      <c r="PS4" s="451"/>
      <c r="PT4" s="421"/>
      <c r="QB4" s="460">
        <f>Cotations!JZ9</f>
        <v>0</v>
      </c>
      <c r="QC4" s="422"/>
      <c r="QD4" s="422"/>
      <c r="QE4" s="422"/>
      <c r="QG4" s="315"/>
      <c r="QH4" s="422"/>
      <c r="QI4" s="422"/>
      <c r="QJ4" s="422"/>
      <c r="QK4" s="422"/>
      <c r="QL4" s="422"/>
      <c r="QM4" s="422"/>
      <c r="QN4" s="422"/>
      <c r="QO4" s="422"/>
      <c r="QP4" s="422"/>
      <c r="QQ4" s="422"/>
      <c r="QR4" s="422"/>
      <c r="QS4" s="422"/>
      <c r="QT4" s="483"/>
      <c r="RB4" s="460">
        <f>Cotations!KI9</f>
        <v>0</v>
      </c>
      <c r="RC4" s="421"/>
      <c r="RD4" s="457"/>
      <c r="RE4" s="457"/>
      <c r="RF4" s="457"/>
      <c r="RG4" s="457"/>
      <c r="RH4" s="457"/>
      <c r="RI4" s="457"/>
      <c r="RJ4" s="457"/>
      <c r="RK4" s="457"/>
      <c r="RL4" s="457"/>
      <c r="RM4" s="457"/>
      <c r="RN4" s="457"/>
      <c r="RO4" s="457"/>
      <c r="RP4" s="457"/>
      <c r="RQ4" s="457"/>
      <c r="RR4" s="451"/>
      <c r="RS4" s="451"/>
      <c r="RT4" s="421"/>
      <c r="SB4" s="460">
        <f>Cotations!LZ9</f>
        <v>0</v>
      </c>
      <c r="SC4" s="422"/>
      <c r="SD4" s="422"/>
      <c r="SE4" s="422"/>
      <c r="SG4" s="315"/>
      <c r="SH4" s="422"/>
      <c r="SI4" s="422"/>
      <c r="SJ4" s="422"/>
      <c r="SK4" s="422"/>
      <c r="SL4" s="422"/>
      <c r="SM4" s="422"/>
      <c r="SN4" s="422"/>
      <c r="SO4" s="422"/>
      <c r="SP4" s="422"/>
      <c r="SQ4" s="422"/>
      <c r="SR4" s="422"/>
      <c r="SS4" s="422"/>
      <c r="ST4" s="483"/>
      <c r="TB4" s="460"/>
      <c r="TC4" s="716"/>
      <c r="TD4" s="716"/>
      <c r="TE4" s="716"/>
      <c r="TG4" s="315"/>
      <c r="TH4" s="716"/>
      <c r="TI4" s="716"/>
      <c r="TJ4" s="716"/>
      <c r="TK4" s="716"/>
      <c r="TL4" s="716"/>
      <c r="TM4" s="716"/>
      <c r="TN4" s="716"/>
      <c r="TO4" s="716"/>
      <c r="TP4" s="716"/>
      <c r="TQ4" s="716"/>
      <c r="TR4" s="716"/>
      <c r="TS4" s="716"/>
      <c r="TT4" s="753"/>
      <c r="UB4" s="460"/>
      <c r="UC4" s="716"/>
      <c r="UD4" s="716"/>
      <c r="UE4" s="716"/>
      <c r="UG4" s="315"/>
      <c r="UH4" s="716"/>
      <c r="UI4" s="716"/>
      <c r="UJ4" s="716"/>
      <c r="UK4" s="716"/>
      <c r="UL4" s="716"/>
      <c r="UM4" s="716"/>
      <c r="UN4" s="716"/>
      <c r="UO4" s="716"/>
      <c r="UP4" s="716"/>
      <c r="UQ4" s="716"/>
      <c r="UR4" s="716"/>
      <c r="US4" s="716"/>
      <c r="UT4" s="753"/>
      <c r="VB4" s="978" t="str">
        <f>Cotations!EO4</f>
        <v>N/A</v>
      </c>
      <c r="VC4" s="471"/>
      <c r="VD4" s="471"/>
      <c r="VE4" s="471"/>
      <c r="VF4" s="471"/>
      <c r="VG4" s="471"/>
      <c r="VH4" s="471"/>
      <c r="VI4" s="471"/>
      <c r="VJ4" s="471"/>
      <c r="VK4" s="471"/>
      <c r="VL4" s="471"/>
      <c r="VM4" s="471"/>
      <c r="VN4" s="471"/>
      <c r="VO4" s="471"/>
      <c r="VP4" s="471"/>
      <c r="VQ4" s="471"/>
      <c r="VR4" s="471"/>
      <c r="VS4" s="471"/>
      <c r="VT4" s="471"/>
      <c r="WB4" s="978" t="str">
        <f>Cotations!EX4</f>
        <v>N/A</v>
      </c>
      <c r="WC4" s="471"/>
      <c r="WD4" s="471"/>
      <c r="WE4" s="471"/>
      <c r="WF4" s="471"/>
      <c r="WG4" s="471"/>
      <c r="WH4" s="471"/>
      <c r="WI4" s="471"/>
      <c r="WJ4" s="471"/>
      <c r="WK4" s="471"/>
      <c r="WL4" s="471"/>
      <c r="WM4" s="471"/>
      <c r="WN4" s="471"/>
      <c r="WO4" s="471"/>
      <c r="WP4" s="471"/>
      <c r="WQ4" s="471"/>
      <c r="WR4" s="471"/>
      <c r="WS4" s="471"/>
      <c r="WT4" s="471"/>
    </row>
    <row r="5" spans="1:619" ht="25.5" customHeight="1">
      <c r="J5" s="295"/>
      <c r="K5" s="295"/>
      <c r="L5" s="295"/>
      <c r="M5" s="295"/>
      <c r="N5" s="295"/>
      <c r="O5" s="295"/>
      <c r="Q5" s="295"/>
      <c r="R5" s="295"/>
      <c r="X5" s="295"/>
      <c r="Y5" s="295"/>
      <c r="AA5" s="949"/>
      <c r="AB5" s="949"/>
      <c r="AC5" s="949"/>
      <c r="AD5" s="949"/>
      <c r="AE5" s="949"/>
      <c r="AF5" s="949"/>
      <c r="AG5" s="295"/>
      <c r="AL5" s="287"/>
      <c r="AM5" s="304"/>
      <c r="AN5" s="304"/>
      <c r="AO5" s="304"/>
      <c r="AP5" s="293"/>
      <c r="AQ5" s="304"/>
      <c r="AR5" s="304"/>
      <c r="AS5" s="304"/>
      <c r="AT5" s="304"/>
      <c r="AU5" s="304"/>
      <c r="AV5" s="304"/>
      <c r="AW5" s="304"/>
      <c r="AX5" s="304"/>
      <c r="AY5" s="304"/>
      <c r="AZ5" s="304"/>
      <c r="BA5" s="304"/>
      <c r="BB5" s="304"/>
      <c r="BC5" s="304"/>
      <c r="BD5" s="304"/>
      <c r="BE5" s="304"/>
      <c r="BF5" s="304"/>
      <c r="BG5" s="304"/>
      <c r="BH5" s="304"/>
      <c r="BI5" s="304"/>
      <c r="BJ5" s="304"/>
      <c r="BK5" s="304"/>
      <c r="BL5" s="304"/>
      <c r="BM5" s="304"/>
      <c r="BN5" s="304"/>
      <c r="BO5" s="304"/>
      <c r="BP5" s="304"/>
      <c r="BQ5" s="304"/>
      <c r="BR5" s="304"/>
      <c r="BS5" s="304"/>
      <c r="BT5" s="304"/>
      <c r="BU5" s="304"/>
      <c r="BV5" s="304"/>
      <c r="BW5" s="304"/>
      <c r="BX5" s="304"/>
      <c r="BY5" s="304"/>
      <c r="BZ5" s="304"/>
      <c r="CA5" s="304"/>
      <c r="CB5" s="304"/>
      <c r="CC5" s="304"/>
      <c r="CD5" s="304"/>
      <c r="CE5" s="304"/>
      <c r="CF5" s="304"/>
      <c r="CG5" s="304"/>
      <c r="CH5" s="304"/>
      <c r="CI5" s="304"/>
      <c r="CJ5" s="304"/>
      <c r="CK5" s="304"/>
      <c r="CL5" s="304"/>
      <c r="CM5" s="304"/>
      <c r="CN5" s="304"/>
      <c r="CO5" s="304"/>
      <c r="CP5" s="304"/>
      <c r="CQ5" s="304"/>
      <c r="CR5" s="304"/>
      <c r="CS5" s="304"/>
      <c r="CT5" s="304"/>
      <c r="CU5" s="304"/>
      <c r="CV5" s="304"/>
      <c r="CW5" s="304"/>
      <c r="CX5" s="304"/>
      <c r="CY5" s="304"/>
      <c r="CZ5" s="304"/>
      <c r="DA5" s="304"/>
      <c r="DB5" s="304"/>
      <c r="DC5" s="304"/>
      <c r="DD5" s="304"/>
      <c r="DE5" s="304"/>
      <c r="DF5" s="471"/>
      <c r="DG5" s="471"/>
      <c r="DH5" s="471"/>
      <c r="DI5" s="471"/>
      <c r="DJ5" s="471"/>
      <c r="DK5" s="471"/>
      <c r="DL5" s="471"/>
      <c r="DM5" s="471"/>
      <c r="DN5" s="471"/>
      <c r="DO5" s="471"/>
      <c r="DP5" s="471"/>
      <c r="DQ5" s="471"/>
      <c r="DR5" s="471"/>
      <c r="DS5" s="471"/>
      <c r="DT5" s="471"/>
      <c r="DU5" s="471"/>
      <c r="DV5" s="471"/>
      <c r="DW5" s="471"/>
      <c r="DX5" s="331"/>
      <c r="DY5" s="331"/>
      <c r="DZ5" s="331"/>
      <c r="EA5" s="304"/>
      <c r="EC5" s="276"/>
      <c r="ED5" s="296"/>
      <c r="EE5" s="422"/>
      <c r="EF5" s="422"/>
      <c r="EG5" s="422"/>
      <c r="EH5" s="1369"/>
      <c r="EI5" s="1369"/>
      <c r="EJ5" s="296"/>
      <c r="EK5" s="1369"/>
      <c r="EL5" s="422"/>
      <c r="EM5" s="422"/>
      <c r="EN5" s="422"/>
      <c r="EO5" s="1369"/>
      <c r="EP5" s="276"/>
      <c r="EQ5" s="422"/>
      <c r="ER5" s="422"/>
      <c r="ES5" s="422"/>
      <c r="ET5" s="296"/>
      <c r="EU5" s="296"/>
      <c r="EV5" s="422"/>
      <c r="EW5" s="422"/>
      <c r="FA5" s="304"/>
      <c r="FB5" s="304"/>
      <c r="FC5" s="471"/>
      <c r="FD5" s="471"/>
      <c r="FE5" s="471"/>
      <c r="FF5" s="471"/>
      <c r="FG5" s="471"/>
      <c r="FH5" s="471"/>
      <c r="FI5" s="471"/>
      <c r="FJ5" s="471"/>
      <c r="FK5" s="471"/>
      <c r="FL5" s="471"/>
      <c r="FM5" s="471"/>
      <c r="FN5" s="471"/>
      <c r="FO5" s="471"/>
      <c r="FP5" s="471"/>
      <c r="FQ5" s="471"/>
      <c r="FR5" s="471"/>
      <c r="FS5" s="471"/>
      <c r="FT5" s="471"/>
      <c r="GA5" s="304"/>
      <c r="GC5" s="422"/>
      <c r="GD5" s="422"/>
      <c r="GE5" s="422"/>
      <c r="GF5" s="422"/>
      <c r="GG5" s="422"/>
      <c r="GH5" s="422"/>
      <c r="GI5" s="422"/>
      <c r="GJ5" s="422"/>
      <c r="GK5" s="422"/>
      <c r="GL5" s="422"/>
      <c r="GM5" s="422"/>
      <c r="GN5" s="422"/>
      <c r="GO5" s="422"/>
      <c r="GP5" s="422"/>
      <c r="GQ5" s="422"/>
      <c r="GR5" s="422"/>
      <c r="GS5" s="422"/>
      <c r="HA5" s="304"/>
      <c r="HB5" s="454"/>
      <c r="HC5" s="421"/>
      <c r="HD5" s="457"/>
      <c r="HE5" s="457"/>
      <c r="HF5" s="457"/>
      <c r="HG5" s="457"/>
      <c r="HH5" s="457"/>
      <c r="HI5" s="457"/>
      <c r="HJ5" s="457"/>
      <c r="HK5" s="457"/>
      <c r="HL5" s="457"/>
      <c r="HM5" s="457"/>
      <c r="HN5" s="457"/>
      <c r="HO5" s="457"/>
      <c r="HP5" s="457"/>
      <c r="HQ5" s="457"/>
      <c r="HR5" s="451"/>
      <c r="HS5" s="451"/>
      <c r="HT5" s="421"/>
      <c r="IA5" s="304"/>
      <c r="IB5" s="448"/>
      <c r="IC5" s="422"/>
      <c r="ID5" s="422"/>
      <c r="IE5" s="422"/>
      <c r="IG5" s="315"/>
      <c r="IH5" s="422"/>
      <c r="II5" s="422"/>
      <c r="IJ5" s="422"/>
      <c r="IK5" s="422"/>
      <c r="IL5" s="422"/>
      <c r="IM5" s="422"/>
      <c r="IN5" s="422"/>
      <c r="IO5" s="422"/>
      <c r="IP5" s="422"/>
      <c r="IQ5" s="422"/>
      <c r="IR5" s="422"/>
      <c r="IS5" s="422"/>
      <c r="IT5" s="448"/>
      <c r="JA5" s="304"/>
      <c r="JB5" s="454"/>
      <c r="JC5" s="421"/>
      <c r="JD5" s="457"/>
      <c r="JE5" s="457"/>
      <c r="JF5" s="457"/>
      <c r="JG5" s="457"/>
      <c r="JH5" s="457"/>
      <c r="JI5" s="457"/>
      <c r="JJ5" s="457"/>
      <c r="JK5" s="457"/>
      <c r="JL5" s="457"/>
      <c r="JM5" s="457"/>
      <c r="JN5" s="457"/>
      <c r="JO5" s="457"/>
      <c r="JP5" s="457"/>
      <c r="JQ5" s="457"/>
      <c r="JR5" s="451"/>
      <c r="JS5" s="451"/>
      <c r="JT5" s="421"/>
      <c r="KA5" s="304"/>
      <c r="KB5" s="482"/>
      <c r="KC5" s="422"/>
      <c r="KD5" s="422"/>
      <c r="KE5" s="422"/>
      <c r="KG5" s="315"/>
      <c r="KH5" s="422"/>
      <c r="KI5" s="422"/>
      <c r="KJ5" s="422"/>
      <c r="KK5" s="422"/>
      <c r="KL5" s="422"/>
      <c r="KM5" s="422"/>
      <c r="KN5" s="422"/>
      <c r="KO5" s="422"/>
      <c r="KP5" s="422"/>
      <c r="KQ5" s="422"/>
      <c r="KR5" s="422"/>
      <c r="KS5" s="422"/>
      <c r="KT5" s="482"/>
      <c r="LA5" s="304"/>
      <c r="LB5" s="454"/>
      <c r="LC5" s="421"/>
      <c r="LD5" s="457"/>
      <c r="LE5" s="457"/>
      <c r="LF5" s="457"/>
      <c r="LG5" s="457"/>
      <c r="LH5" s="457"/>
      <c r="LI5" s="457"/>
      <c r="LJ5" s="457"/>
      <c r="LK5" s="457"/>
      <c r="LL5" s="457"/>
      <c r="LM5" s="457"/>
      <c r="LN5" s="457"/>
      <c r="LO5" s="457"/>
      <c r="LP5" s="457"/>
      <c r="LQ5" s="457"/>
      <c r="LR5" s="451"/>
      <c r="LS5" s="451"/>
      <c r="LT5" s="421"/>
      <c r="MA5" s="304"/>
      <c r="MB5" s="482"/>
      <c r="MC5" s="422"/>
      <c r="MD5" s="422"/>
      <c r="ME5" s="422"/>
      <c r="MG5" s="315"/>
      <c r="MH5" s="422"/>
      <c r="MI5" s="422"/>
      <c r="MJ5" s="422"/>
      <c r="MK5" s="422"/>
      <c r="ML5" s="422"/>
      <c r="MM5" s="422"/>
      <c r="MN5" s="422"/>
      <c r="MO5" s="422"/>
      <c r="MP5" s="422"/>
      <c r="MQ5" s="422"/>
      <c r="MR5" s="422"/>
      <c r="MS5" s="422"/>
      <c r="MT5" s="482"/>
      <c r="NA5" s="304"/>
      <c r="NB5" s="454"/>
      <c r="NC5" s="421"/>
      <c r="ND5" s="457"/>
      <c r="NE5" s="457"/>
      <c r="NF5" s="457"/>
      <c r="NG5" s="457"/>
      <c r="NH5" s="457"/>
      <c r="NI5" s="457"/>
      <c r="NJ5" s="457"/>
      <c r="NK5" s="457"/>
      <c r="NL5" s="457"/>
      <c r="NM5" s="457"/>
      <c r="NN5" s="457"/>
      <c r="NO5" s="457"/>
      <c r="NP5" s="457"/>
      <c r="NQ5" s="457"/>
      <c r="NR5" s="451"/>
      <c r="NS5" s="451"/>
      <c r="NT5" s="421"/>
      <c r="OA5" s="304"/>
      <c r="OB5" s="482"/>
      <c r="OC5" s="422"/>
      <c r="OD5" s="422"/>
      <c r="OE5" s="422"/>
      <c r="OG5" s="315"/>
      <c r="OH5" s="422"/>
      <c r="OI5" s="422"/>
      <c r="OJ5" s="422"/>
      <c r="OK5" s="422"/>
      <c r="OL5" s="422"/>
      <c r="OM5" s="422"/>
      <c r="ON5" s="422"/>
      <c r="OO5" s="422"/>
      <c r="OP5" s="422"/>
      <c r="OQ5" s="422"/>
      <c r="OR5" s="422"/>
      <c r="OS5" s="422"/>
      <c r="OT5" s="482"/>
      <c r="PA5" s="304"/>
      <c r="PB5" s="454"/>
      <c r="PC5" s="421"/>
      <c r="PD5" s="457"/>
      <c r="PE5" s="457"/>
      <c r="PF5" s="457"/>
      <c r="PG5" s="457"/>
      <c r="PH5" s="457"/>
      <c r="PI5" s="457"/>
      <c r="PJ5" s="457"/>
      <c r="PK5" s="457"/>
      <c r="PL5" s="457"/>
      <c r="PM5" s="457"/>
      <c r="PN5" s="457"/>
      <c r="PO5" s="457"/>
      <c r="PP5" s="457"/>
      <c r="PQ5" s="457"/>
      <c r="PR5" s="451"/>
      <c r="PS5" s="451"/>
      <c r="PT5" s="421"/>
      <c r="QA5" s="304"/>
      <c r="QB5" s="483"/>
      <c r="QC5" s="422"/>
      <c r="QD5" s="422"/>
      <c r="QE5" s="422"/>
      <c r="QG5" s="315"/>
      <c r="QH5" s="422"/>
      <c r="QI5" s="422"/>
      <c r="QJ5" s="422"/>
      <c r="QK5" s="422"/>
      <c r="QL5" s="422"/>
      <c r="QM5" s="422"/>
      <c r="QN5" s="422"/>
      <c r="QO5" s="422"/>
      <c r="QP5" s="422"/>
      <c r="QQ5" s="422"/>
      <c r="QR5" s="422"/>
      <c r="QS5" s="422"/>
      <c r="QT5" s="483"/>
      <c r="RA5" s="304"/>
      <c r="RB5" s="454"/>
      <c r="RC5" s="421"/>
      <c r="RD5" s="457"/>
      <c r="RE5" s="457"/>
      <c r="RF5" s="457"/>
      <c r="RG5" s="457"/>
      <c r="RH5" s="457"/>
      <c r="RI5" s="457"/>
      <c r="RJ5" s="457"/>
      <c r="RK5" s="457"/>
      <c r="RL5" s="457"/>
      <c r="RM5" s="457"/>
      <c r="RN5" s="457"/>
      <c r="RO5" s="457"/>
      <c r="RP5" s="457"/>
      <c r="RQ5" s="457"/>
      <c r="RR5" s="451"/>
      <c r="RS5" s="451"/>
      <c r="RT5" s="421"/>
      <c r="SA5" s="304"/>
      <c r="SB5" s="483"/>
      <c r="SC5" s="422"/>
      <c r="SD5" s="422"/>
      <c r="SE5" s="422"/>
      <c r="SG5" s="315"/>
      <c r="SH5" s="422"/>
      <c r="SI5" s="422"/>
      <c r="SJ5" s="422"/>
      <c r="SK5" s="422"/>
      <c r="SL5" s="422"/>
      <c r="SM5" s="422"/>
      <c r="SN5" s="422"/>
      <c r="SO5" s="422"/>
      <c r="SP5" s="422"/>
      <c r="SQ5" s="422"/>
      <c r="SR5" s="422"/>
      <c r="SS5" s="422"/>
      <c r="ST5" s="483"/>
      <c r="TA5" s="304"/>
      <c r="TB5" s="753"/>
      <c r="TC5" s="716"/>
      <c r="TD5" s="716"/>
      <c r="TE5" s="716"/>
      <c r="TG5" s="315"/>
      <c r="TH5" s="716"/>
      <c r="TI5" s="716"/>
      <c r="TJ5" s="716"/>
      <c r="TK5" s="716"/>
      <c r="TL5" s="716"/>
      <c r="TM5" s="716"/>
      <c r="TN5" s="716"/>
      <c r="TO5" s="716"/>
      <c r="TP5" s="716"/>
      <c r="TQ5" s="716"/>
      <c r="TR5" s="716"/>
      <c r="TS5" s="716"/>
      <c r="TT5" s="753"/>
      <c r="UA5" s="304"/>
      <c r="UB5" s="753"/>
      <c r="UC5" s="716"/>
      <c r="UD5" s="716"/>
      <c r="UE5" s="716"/>
      <c r="UG5" s="315"/>
      <c r="UH5" s="716"/>
      <c r="UI5" s="716"/>
      <c r="UJ5" s="716"/>
      <c r="UK5" s="716"/>
      <c r="UL5" s="716"/>
      <c r="UM5" s="716"/>
      <c r="UN5" s="716"/>
      <c r="UO5" s="716"/>
      <c r="UP5" s="716"/>
      <c r="UQ5" s="716"/>
      <c r="UR5" s="716"/>
      <c r="US5" s="716"/>
      <c r="UT5" s="753"/>
      <c r="VA5" s="304"/>
      <c r="VB5" s="304"/>
      <c r="VC5" s="471"/>
      <c r="VD5" s="471"/>
      <c r="VE5" s="471"/>
      <c r="VF5" s="471"/>
      <c r="VG5" s="471"/>
      <c r="VH5" s="471"/>
      <c r="VI5" s="471"/>
      <c r="VJ5" s="471"/>
      <c r="VK5" s="471"/>
      <c r="VL5" s="471"/>
      <c r="VM5" s="471"/>
      <c r="VN5" s="471"/>
      <c r="VO5" s="471"/>
      <c r="VP5" s="471"/>
      <c r="VQ5" s="471"/>
      <c r="VR5" s="471"/>
      <c r="VS5" s="471"/>
      <c r="VT5" s="471"/>
      <c r="WA5" s="304"/>
      <c r="WB5" s="304"/>
      <c r="WC5" s="471"/>
      <c r="WD5" s="471"/>
      <c r="WE5" s="471"/>
      <c r="WF5" s="471"/>
      <c r="WG5" s="471"/>
      <c r="WH5" s="471"/>
      <c r="WI5" s="471"/>
      <c r="WJ5" s="471"/>
      <c r="WK5" s="471"/>
      <c r="WL5" s="471"/>
      <c r="WM5" s="471"/>
      <c r="WN5" s="471"/>
      <c r="WO5" s="471"/>
      <c r="WP5" s="471"/>
      <c r="WQ5" s="471"/>
      <c r="WR5" s="471"/>
      <c r="WS5" s="471"/>
      <c r="WT5" s="471"/>
    </row>
    <row r="6" spans="1:619" ht="25.5" customHeight="1" thickBot="1">
      <c r="J6" s="295"/>
      <c r="K6" s="295"/>
      <c r="L6" s="295"/>
      <c r="M6" s="295"/>
      <c r="N6" s="295"/>
      <c r="O6" s="295"/>
      <c r="Q6" s="295"/>
      <c r="R6" s="295"/>
      <c r="X6" s="295"/>
      <c r="Y6" s="295"/>
      <c r="AG6" s="295"/>
      <c r="AL6" s="287"/>
      <c r="AM6" s="304"/>
      <c r="AN6" s="304"/>
      <c r="AO6" s="304"/>
      <c r="AP6" s="293"/>
      <c r="AQ6" s="304"/>
      <c r="AR6" s="304"/>
      <c r="AS6" s="304"/>
      <c r="AT6" s="304"/>
      <c r="BC6" s="304"/>
      <c r="BO6" s="304"/>
      <c r="BY6" s="304"/>
      <c r="BZ6" s="304"/>
      <c r="CA6" s="304"/>
      <c r="CB6" s="304"/>
      <c r="CC6" s="304"/>
      <c r="CD6" s="304"/>
      <c r="CE6" s="304"/>
      <c r="CF6" s="304"/>
      <c r="CG6" s="304"/>
      <c r="CH6" s="304"/>
      <c r="CI6" s="304"/>
      <c r="CJ6" s="304"/>
      <c r="CK6" s="304"/>
      <c r="CL6" s="304"/>
      <c r="CM6" s="304"/>
      <c r="CN6" s="304"/>
      <c r="CO6" s="304"/>
      <c r="CP6" s="304"/>
      <c r="CQ6" s="304"/>
      <c r="CR6" s="304"/>
      <c r="CS6" s="304"/>
      <c r="CT6" s="304"/>
      <c r="CU6" s="304"/>
      <c r="CV6" s="304"/>
      <c r="CW6" s="304"/>
      <c r="CX6" s="304"/>
      <c r="CY6" s="304"/>
      <c r="CZ6" s="304"/>
      <c r="DA6" s="304"/>
      <c r="DB6" s="304"/>
      <c r="DC6" s="304"/>
      <c r="DD6" s="304"/>
      <c r="DE6" s="304"/>
      <c r="DF6" s="471"/>
      <c r="DG6" s="471"/>
      <c r="DH6" s="472"/>
      <c r="DI6" s="472"/>
      <c r="DJ6" s="472"/>
      <c r="DK6" s="472"/>
      <c r="DL6" s="1759"/>
      <c r="DM6" s="1759"/>
      <c r="DN6" s="1759"/>
      <c r="DO6" s="1759"/>
      <c r="DP6" s="1759"/>
      <c r="DQ6" s="1759"/>
      <c r="DR6" s="1759"/>
      <c r="DS6" s="1759"/>
      <c r="DT6" s="1759"/>
      <c r="DU6" s="1759"/>
      <c r="DV6" s="1759"/>
      <c r="DW6" s="1759"/>
      <c r="DX6" s="467"/>
      <c r="DY6" s="467"/>
      <c r="DZ6" s="467"/>
      <c r="EA6" s="304"/>
      <c r="EC6" s="276"/>
      <c r="ED6" s="296"/>
      <c r="EE6" s="422"/>
      <c r="EF6" s="422"/>
      <c r="EG6" s="422"/>
      <c r="EH6" s="1369"/>
      <c r="EI6" s="1369"/>
      <c r="EJ6" s="296"/>
      <c r="EK6" s="1369"/>
      <c r="EL6" s="422"/>
      <c r="EM6" s="422"/>
      <c r="EN6" s="422"/>
      <c r="EO6" s="1369"/>
      <c r="EP6" s="276"/>
      <c r="EQ6" s="422"/>
      <c r="ER6" s="422"/>
      <c r="ES6" s="422"/>
      <c r="ET6" s="296"/>
      <c r="EU6" s="296"/>
      <c r="EV6" s="422"/>
      <c r="EW6" s="422"/>
      <c r="FA6" s="304"/>
      <c r="FB6" s="304"/>
      <c r="FC6" s="471"/>
      <c r="FD6" s="471"/>
      <c r="FE6" s="472"/>
      <c r="FF6" s="472"/>
      <c r="FG6" s="472"/>
      <c r="FH6" s="472"/>
      <c r="FI6" s="1759"/>
      <c r="FJ6" s="1759"/>
      <c r="FK6" s="1759"/>
      <c r="FL6" s="1759"/>
      <c r="FM6" s="534"/>
      <c r="FN6" s="1759"/>
      <c r="FO6" s="1759"/>
      <c r="FP6" s="1759"/>
      <c r="FQ6" s="1759"/>
      <c r="FR6" s="1759"/>
      <c r="FS6" s="1759"/>
      <c r="FT6" s="1759"/>
      <c r="GA6" s="304"/>
      <c r="GC6" s="422"/>
      <c r="GD6" s="422"/>
      <c r="GE6" s="422"/>
      <c r="GF6" s="422"/>
      <c r="GG6" s="422"/>
      <c r="GH6" s="422"/>
      <c r="GI6" s="422"/>
      <c r="GJ6" s="422"/>
      <c r="GK6" s="422"/>
      <c r="GL6" s="422"/>
      <c r="GM6" s="422"/>
      <c r="GN6" s="422"/>
      <c r="GO6" s="422"/>
      <c r="GP6" s="422"/>
      <c r="GQ6" s="422"/>
      <c r="GR6" s="422"/>
      <c r="GS6" s="422"/>
      <c r="HA6" s="304"/>
      <c r="HB6" s="454"/>
      <c r="HC6" s="421"/>
      <c r="HD6" s="457"/>
      <c r="HE6" s="457"/>
      <c r="HF6" s="457"/>
      <c r="HG6" s="457"/>
      <c r="HH6" s="457"/>
      <c r="HI6" s="457"/>
      <c r="HJ6" s="457"/>
      <c r="HK6" s="457"/>
      <c r="HL6" s="457"/>
      <c r="HM6" s="457"/>
      <c r="HN6" s="457"/>
      <c r="HO6" s="457"/>
      <c r="HP6" s="457"/>
      <c r="HQ6" s="457"/>
      <c r="HR6" s="451"/>
      <c r="HS6" s="451"/>
      <c r="HT6" s="421"/>
      <c r="IA6" s="304"/>
      <c r="IB6" s="270"/>
      <c r="IC6" s="422"/>
      <c r="ID6" s="422"/>
      <c r="IE6" s="422"/>
      <c r="IG6" s="315"/>
      <c r="IH6" s="422"/>
      <c r="II6" s="422"/>
      <c r="IJ6" s="422"/>
      <c r="IK6" s="422"/>
      <c r="IL6" s="422"/>
      <c r="IM6" s="422"/>
      <c r="IN6" s="422"/>
      <c r="IO6" s="422"/>
      <c r="IP6" s="422"/>
      <c r="IQ6" s="422"/>
      <c r="IR6" s="422"/>
      <c r="IS6" s="422"/>
      <c r="IT6" s="448"/>
      <c r="JA6" s="304"/>
      <c r="JB6" s="454"/>
      <c r="JC6" s="421"/>
      <c r="JD6" s="457"/>
      <c r="JE6" s="457"/>
      <c r="JF6" s="457"/>
      <c r="JG6" s="457"/>
      <c r="JH6" s="457"/>
      <c r="JI6" s="457"/>
      <c r="JJ6" s="457"/>
      <c r="JK6" s="457"/>
      <c r="JL6" s="457"/>
      <c r="JM6" s="457"/>
      <c r="JN6" s="457"/>
      <c r="JO6" s="457"/>
      <c r="JP6" s="457"/>
      <c r="JQ6" s="457"/>
      <c r="JR6" s="451"/>
      <c r="JS6" s="451"/>
      <c r="JT6" s="421"/>
      <c r="KA6" s="304"/>
      <c r="KB6" s="304"/>
      <c r="KC6" s="422"/>
      <c r="KD6" s="422"/>
      <c r="KE6" s="422"/>
      <c r="KG6" s="315"/>
      <c r="KH6" s="422"/>
      <c r="KI6" s="422"/>
      <c r="KJ6" s="422"/>
      <c r="KK6" s="422"/>
      <c r="KL6" s="422"/>
      <c r="KM6" s="422"/>
      <c r="KN6" s="422"/>
      <c r="KO6" s="422"/>
      <c r="KP6" s="422"/>
      <c r="KQ6" s="422"/>
      <c r="KR6" s="422"/>
      <c r="KS6" s="422"/>
      <c r="KT6" s="482"/>
      <c r="LA6" s="304"/>
      <c r="LB6" s="454"/>
      <c r="LC6" s="421"/>
      <c r="LD6" s="457"/>
      <c r="LE6" s="457"/>
      <c r="LF6" s="457"/>
      <c r="LG6" s="457"/>
      <c r="LH6" s="457"/>
      <c r="LI6" s="457"/>
      <c r="LJ6" s="457"/>
      <c r="LK6" s="457"/>
      <c r="LL6" s="457"/>
      <c r="LM6" s="457"/>
      <c r="LN6" s="457"/>
      <c r="LO6" s="457"/>
      <c r="LP6" s="457"/>
      <c r="LQ6" s="457"/>
      <c r="LR6" s="451"/>
      <c r="LS6" s="451"/>
      <c r="LT6" s="421"/>
      <c r="MA6" s="304"/>
      <c r="MB6" s="304"/>
      <c r="MC6" s="422"/>
      <c r="MD6" s="422"/>
      <c r="ME6" s="422"/>
      <c r="MG6" s="315"/>
      <c r="MH6" s="422"/>
      <c r="MI6" s="422"/>
      <c r="MJ6" s="422"/>
      <c r="MK6" s="422"/>
      <c r="ML6" s="422"/>
      <c r="MM6" s="422"/>
      <c r="MN6" s="422"/>
      <c r="MO6" s="422"/>
      <c r="MP6" s="422"/>
      <c r="MQ6" s="422"/>
      <c r="MR6" s="422"/>
      <c r="MS6" s="422"/>
      <c r="MT6" s="482"/>
      <c r="NA6" s="304"/>
      <c r="NB6" s="454"/>
      <c r="NC6" s="421"/>
      <c r="ND6" s="457"/>
      <c r="NE6" s="457"/>
      <c r="NF6" s="457"/>
      <c r="NG6" s="457"/>
      <c r="NH6" s="457"/>
      <c r="NI6" s="457"/>
      <c r="NJ6" s="457"/>
      <c r="NK6" s="457"/>
      <c r="NL6" s="457"/>
      <c r="NM6" s="457"/>
      <c r="NN6" s="457"/>
      <c r="NO6" s="457"/>
      <c r="NP6" s="457"/>
      <c r="NQ6" s="457"/>
      <c r="NR6" s="451"/>
      <c r="NS6" s="451"/>
      <c r="NT6" s="421"/>
      <c r="OA6" s="304"/>
      <c r="OB6" s="304"/>
      <c r="OC6" s="422"/>
      <c r="OD6" s="422"/>
      <c r="OE6" s="422"/>
      <c r="OG6" s="315"/>
      <c r="OH6" s="422"/>
      <c r="OI6" s="422"/>
      <c r="OJ6" s="422"/>
      <c r="OK6" s="422"/>
      <c r="OL6" s="422"/>
      <c r="OM6" s="422"/>
      <c r="ON6" s="422"/>
      <c r="OO6" s="422"/>
      <c r="OP6" s="422"/>
      <c r="OQ6" s="422"/>
      <c r="OR6" s="422"/>
      <c r="OS6" s="422"/>
      <c r="OT6" s="482"/>
      <c r="PA6" s="304"/>
      <c r="PB6" s="454"/>
      <c r="PC6" s="421"/>
      <c r="PD6" s="457"/>
      <c r="PE6" s="457"/>
      <c r="PF6" s="457"/>
      <c r="PG6" s="457"/>
      <c r="PH6" s="457"/>
      <c r="PI6" s="457"/>
      <c r="PJ6" s="457"/>
      <c r="PK6" s="457"/>
      <c r="PL6" s="457"/>
      <c r="PM6" s="457"/>
      <c r="PN6" s="457"/>
      <c r="PO6" s="457"/>
      <c r="PP6" s="457"/>
      <c r="PQ6" s="457"/>
      <c r="PR6" s="451"/>
      <c r="PS6" s="451"/>
      <c r="PT6" s="421"/>
      <c r="QA6" s="304"/>
      <c r="QB6" s="304"/>
      <c r="QC6" s="422"/>
      <c r="QD6" s="422"/>
      <c r="QE6" s="422"/>
      <c r="QG6" s="315"/>
      <c r="QH6" s="422"/>
      <c r="QI6" s="422"/>
      <c r="QJ6" s="422"/>
      <c r="QK6" s="422"/>
      <c r="QL6" s="422"/>
      <c r="QM6" s="422"/>
      <c r="QN6" s="422"/>
      <c r="QO6" s="422"/>
      <c r="QP6" s="422"/>
      <c r="QQ6" s="422"/>
      <c r="QR6" s="422"/>
      <c r="QS6" s="422"/>
      <c r="QT6" s="483"/>
      <c r="RA6" s="304"/>
      <c r="RB6" s="454"/>
      <c r="RC6" s="421"/>
      <c r="RD6" s="457"/>
      <c r="RE6" s="457"/>
      <c r="RF6" s="457"/>
      <c r="RG6" s="457"/>
      <c r="RH6" s="457"/>
      <c r="RI6" s="457"/>
      <c r="RJ6" s="457"/>
      <c r="RK6" s="457"/>
      <c r="RL6" s="457"/>
      <c r="RM6" s="457"/>
      <c r="RN6" s="457"/>
      <c r="RO6" s="457"/>
      <c r="RP6" s="457"/>
      <c r="RQ6" s="457"/>
      <c r="RR6" s="451"/>
      <c r="RS6" s="451"/>
      <c r="RT6" s="421"/>
      <c r="SA6" s="304"/>
      <c r="SB6" s="304"/>
      <c r="SC6" s="422"/>
      <c r="SD6" s="422"/>
      <c r="SE6" s="422"/>
      <c r="SG6" s="315"/>
      <c r="SH6" s="422"/>
      <c r="SI6" s="422"/>
      <c r="SJ6" s="422"/>
      <c r="SK6" s="422"/>
      <c r="SL6" s="422"/>
      <c r="SM6" s="422"/>
      <c r="SN6" s="422"/>
      <c r="SO6" s="422"/>
      <c r="SP6" s="422"/>
      <c r="SQ6" s="422"/>
      <c r="SR6" s="422"/>
      <c r="SS6" s="422"/>
      <c r="ST6" s="483"/>
      <c r="TA6" s="304"/>
      <c r="TB6" s="304"/>
      <c r="TC6" s="716"/>
      <c r="TD6" s="716"/>
      <c r="TE6" s="716"/>
      <c r="TG6" s="315"/>
      <c r="TH6" s="716"/>
      <c r="TI6" s="716"/>
      <c r="TJ6" s="716"/>
      <c r="TK6" s="716"/>
      <c r="TL6" s="716"/>
      <c r="TM6" s="716"/>
      <c r="TN6" s="716"/>
      <c r="TO6" s="716"/>
      <c r="TP6" s="716"/>
      <c r="TQ6" s="716"/>
      <c r="TR6" s="716"/>
      <c r="TS6" s="716"/>
      <c r="TT6" s="753"/>
      <c r="UA6" s="304"/>
      <c r="UB6" s="304"/>
      <c r="UC6" s="716"/>
      <c r="UD6" s="716"/>
      <c r="UE6" s="716"/>
      <c r="UG6" s="315"/>
      <c r="UH6" s="716"/>
      <c r="UI6" s="716"/>
      <c r="UJ6" s="716"/>
      <c r="UK6" s="716"/>
      <c r="UL6" s="716"/>
      <c r="UM6" s="716"/>
      <c r="UN6" s="716"/>
      <c r="UO6" s="716"/>
      <c r="UP6" s="716"/>
      <c r="UQ6" s="716"/>
      <c r="UR6" s="716"/>
      <c r="US6" s="716"/>
      <c r="UT6" s="753"/>
      <c r="VA6" s="304"/>
      <c r="VB6" s="304"/>
      <c r="VC6" s="471"/>
      <c r="VD6" s="471"/>
      <c r="VE6" s="472"/>
      <c r="VF6" s="472"/>
      <c r="VG6" s="472"/>
      <c r="VH6" s="472"/>
      <c r="VI6" s="1759"/>
      <c r="VJ6" s="1759"/>
      <c r="VK6" s="1759"/>
      <c r="VL6" s="1759"/>
      <c r="VM6" s="1026"/>
      <c r="VN6" s="1759"/>
      <c r="VO6" s="1759"/>
      <c r="VP6" s="1759"/>
      <c r="VQ6" s="1759"/>
      <c r="VR6" s="1759"/>
      <c r="VS6" s="1759"/>
      <c r="VT6" s="1759"/>
      <c r="WA6" s="304"/>
      <c r="WB6" s="304"/>
      <c r="WC6" s="471"/>
      <c r="WD6" s="471"/>
      <c r="WE6" s="472"/>
      <c r="WF6" s="472"/>
      <c r="WG6" s="472"/>
      <c r="WH6" s="472"/>
      <c r="WI6" s="1759"/>
      <c r="WJ6" s="1759"/>
      <c r="WK6" s="1759"/>
      <c r="WL6" s="1759"/>
      <c r="WM6" s="1026"/>
      <c r="WN6" s="1759"/>
      <c r="WO6" s="1759"/>
      <c r="WP6" s="1759"/>
      <c r="WQ6" s="1759"/>
      <c r="WR6" s="1759"/>
      <c r="WS6" s="1759"/>
      <c r="WT6" s="1759"/>
    </row>
    <row r="7" spans="1:619" ht="15.75" customHeight="1" thickBot="1">
      <c r="I7" s="1784" t="s">
        <v>2298</v>
      </c>
      <c r="J7" s="1785"/>
      <c r="K7" s="1785"/>
      <c r="L7" s="1768" t="s">
        <v>2679</v>
      </c>
      <c r="M7" s="1769"/>
      <c r="N7" s="1769"/>
      <c r="O7" s="1769"/>
      <c r="P7" s="1768" t="s">
        <v>2679</v>
      </c>
      <c r="Q7" s="1769"/>
      <c r="R7" s="1769"/>
      <c r="S7" s="1769"/>
      <c r="T7" s="1769" t="s">
        <v>2671</v>
      </c>
      <c r="U7" s="1769"/>
      <c r="V7" s="1769"/>
      <c r="W7" s="1769"/>
      <c r="X7" s="1769"/>
      <c r="Y7" s="1769"/>
      <c r="Z7" s="1769"/>
      <c r="AA7" s="1769"/>
      <c r="AB7" s="1769"/>
      <c r="AC7" s="1769"/>
      <c r="AD7" s="1769"/>
      <c r="AE7" s="1769"/>
      <c r="AF7" s="1769"/>
      <c r="AG7" s="1769"/>
      <c r="AH7" s="1781"/>
      <c r="AI7" s="1770" t="s">
        <v>2170</v>
      </c>
      <c r="AJ7" s="1770"/>
      <c r="AK7" s="1770"/>
      <c r="AL7" s="1770"/>
      <c r="AM7" s="1770"/>
      <c r="AN7" s="1770"/>
      <c r="AO7" s="1770"/>
      <c r="AP7" s="1770"/>
      <c r="AQ7" s="1770"/>
      <c r="AR7" s="1770"/>
      <c r="AS7" s="1771"/>
      <c r="AT7" s="1771"/>
      <c r="AU7" s="1771"/>
      <c r="AV7" s="1771"/>
      <c r="AW7" s="1771"/>
      <c r="AX7" s="1771"/>
      <c r="AY7" s="1771"/>
      <c r="AZ7" s="1771"/>
      <c r="BA7" s="1771"/>
      <c r="BB7" s="1771"/>
      <c r="BC7" s="1766" t="s">
        <v>4</v>
      </c>
      <c r="BD7" s="1766"/>
      <c r="BE7" s="1766"/>
      <c r="BF7" s="1766"/>
      <c r="BG7" s="1766"/>
      <c r="BH7" s="1766"/>
      <c r="BI7" s="1766"/>
      <c r="BJ7" s="1766"/>
      <c r="BK7" s="1766"/>
      <c r="BL7" s="1766"/>
      <c r="BM7" s="1766"/>
      <c r="BN7" s="1766"/>
      <c r="BO7" s="1772" t="s">
        <v>7</v>
      </c>
      <c r="BP7" s="1772"/>
      <c r="BQ7" s="1772"/>
      <c r="BR7" s="1772"/>
      <c r="BS7" s="1772"/>
      <c r="BT7" s="1772"/>
      <c r="BU7" s="1772"/>
      <c r="BV7" s="1772"/>
      <c r="BW7" s="1772"/>
      <c r="BX7" s="1772"/>
      <c r="BY7" s="1760" t="s">
        <v>2159</v>
      </c>
      <c r="BZ7" s="1760"/>
      <c r="CA7" s="1760"/>
      <c r="CB7" s="1760"/>
      <c r="CC7" s="1760"/>
      <c r="CD7" s="1760"/>
      <c r="CE7" s="1760"/>
      <c r="CF7" s="1760"/>
      <c r="CG7" s="1760"/>
      <c r="CH7" s="1760"/>
      <c r="CI7" s="1761"/>
      <c r="CJ7" s="1760" t="s">
        <v>2366</v>
      </c>
      <c r="CK7" s="1760"/>
      <c r="CL7" s="1760"/>
      <c r="CM7" s="1760"/>
      <c r="CN7" s="1760"/>
      <c r="CO7" s="1760"/>
      <c r="CP7" s="1760"/>
      <c r="CQ7" s="1760"/>
      <c r="CR7" s="1760"/>
      <c r="CS7" s="1761"/>
      <c r="CT7" s="1760" t="s">
        <v>2363</v>
      </c>
      <c r="CU7" s="1760"/>
      <c r="CV7" s="1760"/>
      <c r="CW7" s="1760"/>
      <c r="CX7" s="1760"/>
      <c r="CY7" s="1760"/>
      <c r="CZ7" s="1760"/>
      <c r="DA7" s="1760"/>
      <c r="DB7" s="1760"/>
      <c r="DC7" s="1761"/>
      <c r="DD7" s="1732" t="s">
        <v>2298</v>
      </c>
      <c r="DE7" s="1733"/>
      <c r="DF7" s="1733"/>
      <c r="DG7" s="1734"/>
      <c r="DH7" s="1735" t="s">
        <v>2209</v>
      </c>
      <c r="DI7" s="1736"/>
      <c r="DJ7" s="1736"/>
      <c r="DK7" s="1737"/>
      <c r="DL7" s="1729" t="s">
        <v>2295</v>
      </c>
      <c r="DM7" s="1729"/>
      <c r="DN7" s="1729"/>
      <c r="DO7" s="1729"/>
      <c r="DP7" s="1735" t="s">
        <v>2159</v>
      </c>
      <c r="DQ7" s="1736"/>
      <c r="DR7" s="1736"/>
      <c r="DS7" s="1736"/>
      <c r="DT7" s="1737"/>
      <c r="DU7" s="1729" t="s">
        <v>2296</v>
      </c>
      <c r="DV7" s="1729"/>
      <c r="DW7" s="1729"/>
      <c r="DX7" s="450"/>
      <c r="DY7" s="450"/>
      <c r="DZ7" s="450"/>
      <c r="EA7" s="1732" t="s">
        <v>2298</v>
      </c>
      <c r="EB7" s="1733"/>
      <c r="EC7" s="1733"/>
      <c r="ED7" s="1734"/>
      <c r="EE7" s="1753" t="s">
        <v>2209</v>
      </c>
      <c r="EF7" s="1754"/>
      <c r="EG7" s="1754"/>
      <c r="EH7" s="1754"/>
      <c r="EI7" s="1754"/>
      <c r="EJ7" s="1754"/>
      <c r="EK7" s="1755"/>
      <c r="EL7" s="1729" t="s">
        <v>2295</v>
      </c>
      <c r="EM7" s="1729"/>
      <c r="EN7" s="1729"/>
      <c r="EO7" s="1762"/>
      <c r="EP7" s="1729"/>
      <c r="EQ7" s="1735" t="s">
        <v>2159</v>
      </c>
      <c r="ER7" s="1736"/>
      <c r="ES7" s="1736"/>
      <c r="ET7" s="1736"/>
      <c r="EU7" s="1737"/>
      <c r="EV7" s="1729" t="s">
        <v>2296</v>
      </c>
      <c r="EW7" s="1729"/>
      <c r="EX7" s="1729"/>
      <c r="FA7" s="1732" t="s">
        <v>2298</v>
      </c>
      <c r="FB7" s="1733"/>
      <c r="FC7" s="1733"/>
      <c r="FD7" s="1734"/>
      <c r="FE7" s="1735" t="s">
        <v>2209</v>
      </c>
      <c r="FF7" s="1736"/>
      <c r="FG7" s="1736"/>
      <c r="FH7" s="1737"/>
      <c r="FI7" s="1729" t="s">
        <v>2295</v>
      </c>
      <c r="FJ7" s="1729"/>
      <c r="FK7" s="1729"/>
      <c r="FL7" s="1729"/>
      <c r="FM7" s="1735" t="s">
        <v>2159</v>
      </c>
      <c r="FN7" s="1736"/>
      <c r="FO7" s="1736"/>
      <c r="FP7" s="1736"/>
      <c r="FQ7" s="1737"/>
      <c r="FR7" s="1729" t="s">
        <v>2296</v>
      </c>
      <c r="FS7" s="1729"/>
      <c r="FT7" s="1729"/>
      <c r="FU7" s="343"/>
      <c r="FV7" s="343"/>
      <c r="FW7" s="343"/>
      <c r="FX7" s="343"/>
      <c r="FY7" s="343"/>
      <c r="FZ7" s="343"/>
      <c r="GA7" s="1732" t="s">
        <v>2298</v>
      </c>
      <c r="GB7" s="1733"/>
      <c r="GC7" s="1733"/>
      <c r="GD7" s="1734"/>
      <c r="GE7" s="1735" t="s">
        <v>2209</v>
      </c>
      <c r="GF7" s="1736"/>
      <c r="GG7" s="1736"/>
      <c r="GH7" s="1737"/>
      <c r="GI7" s="1729" t="s">
        <v>2295</v>
      </c>
      <c r="GJ7" s="1729"/>
      <c r="GK7" s="1729"/>
      <c r="GL7" s="1729"/>
      <c r="GM7" s="1735" t="s">
        <v>2159</v>
      </c>
      <c r="GN7" s="1736"/>
      <c r="GO7" s="1736"/>
      <c r="GP7" s="1736"/>
      <c r="GQ7" s="1737"/>
      <c r="GR7" s="1729" t="s">
        <v>2296</v>
      </c>
      <c r="GS7" s="1729"/>
      <c r="GT7" s="1729"/>
      <c r="GU7" s="343"/>
      <c r="GV7" s="343"/>
      <c r="GW7" s="343"/>
      <c r="GX7" s="343"/>
      <c r="GY7" s="343"/>
      <c r="GZ7" s="343"/>
      <c r="HA7" s="1732" t="s">
        <v>2298</v>
      </c>
      <c r="HB7" s="1733"/>
      <c r="HC7" s="1733"/>
      <c r="HD7" s="1734"/>
      <c r="HE7" s="1735" t="s">
        <v>2209</v>
      </c>
      <c r="HF7" s="1736"/>
      <c r="HG7" s="1736"/>
      <c r="HH7" s="1737"/>
      <c r="HI7" s="1729" t="s">
        <v>2295</v>
      </c>
      <c r="HJ7" s="1729"/>
      <c r="HK7" s="1729"/>
      <c r="HL7" s="1729"/>
      <c r="HM7" s="1735" t="s">
        <v>2159</v>
      </c>
      <c r="HN7" s="1736"/>
      <c r="HO7" s="1736"/>
      <c r="HP7" s="1736"/>
      <c r="HQ7" s="1737"/>
      <c r="HR7" s="1729" t="s">
        <v>2296</v>
      </c>
      <c r="HS7" s="1729"/>
      <c r="HT7" s="1729"/>
      <c r="IA7" s="1732" t="s">
        <v>2298</v>
      </c>
      <c r="IB7" s="1733"/>
      <c r="IC7" s="1733"/>
      <c r="ID7" s="1734"/>
      <c r="IE7" s="1735" t="s">
        <v>2209</v>
      </c>
      <c r="IF7" s="1736"/>
      <c r="IG7" s="1736"/>
      <c r="IH7" s="1737"/>
      <c r="II7" s="1729" t="s">
        <v>2295</v>
      </c>
      <c r="IJ7" s="1729"/>
      <c r="IK7" s="1729"/>
      <c r="IL7" s="1729"/>
      <c r="IM7" s="1735" t="s">
        <v>2159</v>
      </c>
      <c r="IN7" s="1736"/>
      <c r="IO7" s="1736"/>
      <c r="IP7" s="1736"/>
      <c r="IQ7" s="1737"/>
      <c r="IR7" s="1729" t="s">
        <v>2296</v>
      </c>
      <c r="IS7" s="1729"/>
      <c r="IT7" s="1729"/>
      <c r="JA7" s="1732" t="s">
        <v>2298</v>
      </c>
      <c r="JB7" s="1733"/>
      <c r="JC7" s="1733"/>
      <c r="JD7" s="1734"/>
      <c r="JE7" s="1735" t="s">
        <v>2209</v>
      </c>
      <c r="JF7" s="1736"/>
      <c r="JG7" s="1736"/>
      <c r="JH7" s="1737"/>
      <c r="JI7" s="1729" t="s">
        <v>2295</v>
      </c>
      <c r="JJ7" s="1729"/>
      <c r="JK7" s="1729"/>
      <c r="JL7" s="1729"/>
      <c r="JM7" s="1735" t="s">
        <v>2159</v>
      </c>
      <c r="JN7" s="1736"/>
      <c r="JO7" s="1736"/>
      <c r="JP7" s="1736"/>
      <c r="JQ7" s="1737"/>
      <c r="JR7" s="1729" t="s">
        <v>2296</v>
      </c>
      <c r="JS7" s="1729"/>
      <c r="JT7" s="1729"/>
      <c r="KA7" s="1732" t="s">
        <v>2298</v>
      </c>
      <c r="KB7" s="1733"/>
      <c r="KC7" s="1733"/>
      <c r="KD7" s="1734"/>
      <c r="KE7" s="1735" t="s">
        <v>2209</v>
      </c>
      <c r="KF7" s="1736"/>
      <c r="KG7" s="1736"/>
      <c r="KH7" s="1737"/>
      <c r="KI7" s="1729" t="s">
        <v>2295</v>
      </c>
      <c r="KJ7" s="1729"/>
      <c r="KK7" s="1729"/>
      <c r="KL7" s="1729"/>
      <c r="KM7" s="1735" t="s">
        <v>2159</v>
      </c>
      <c r="KN7" s="1736"/>
      <c r="KO7" s="1736"/>
      <c r="KP7" s="1736"/>
      <c r="KQ7" s="1737"/>
      <c r="KR7" s="1729" t="s">
        <v>2296</v>
      </c>
      <c r="KS7" s="1729"/>
      <c r="KT7" s="1729"/>
      <c r="LA7" s="1732" t="s">
        <v>2298</v>
      </c>
      <c r="LB7" s="1733"/>
      <c r="LC7" s="1733"/>
      <c r="LD7" s="1734"/>
      <c r="LE7" s="1735" t="s">
        <v>2209</v>
      </c>
      <c r="LF7" s="1736"/>
      <c r="LG7" s="1736"/>
      <c r="LH7" s="1737"/>
      <c r="LI7" s="1729" t="s">
        <v>2295</v>
      </c>
      <c r="LJ7" s="1729"/>
      <c r="LK7" s="1729"/>
      <c r="LL7" s="1729"/>
      <c r="LM7" s="1735" t="s">
        <v>2159</v>
      </c>
      <c r="LN7" s="1736"/>
      <c r="LO7" s="1736"/>
      <c r="LP7" s="1736"/>
      <c r="LQ7" s="1737"/>
      <c r="LR7" s="1729" t="s">
        <v>2296</v>
      </c>
      <c r="LS7" s="1729"/>
      <c r="LT7" s="1729"/>
      <c r="MA7" s="1732" t="s">
        <v>2298</v>
      </c>
      <c r="MB7" s="1733"/>
      <c r="MC7" s="1733"/>
      <c r="MD7" s="1734"/>
      <c r="ME7" s="1735" t="s">
        <v>2209</v>
      </c>
      <c r="MF7" s="1736"/>
      <c r="MG7" s="1736"/>
      <c r="MH7" s="1737"/>
      <c r="MI7" s="1729" t="s">
        <v>2295</v>
      </c>
      <c r="MJ7" s="1729"/>
      <c r="MK7" s="1729"/>
      <c r="ML7" s="1729"/>
      <c r="MM7" s="1735" t="s">
        <v>2159</v>
      </c>
      <c r="MN7" s="1736"/>
      <c r="MO7" s="1736"/>
      <c r="MP7" s="1736"/>
      <c r="MQ7" s="1737"/>
      <c r="MR7" s="1729" t="s">
        <v>2296</v>
      </c>
      <c r="MS7" s="1729"/>
      <c r="MT7" s="1729"/>
      <c r="NA7" s="1732" t="s">
        <v>2298</v>
      </c>
      <c r="NB7" s="1733"/>
      <c r="NC7" s="1733"/>
      <c r="ND7" s="1734"/>
      <c r="NE7" s="1735" t="s">
        <v>2209</v>
      </c>
      <c r="NF7" s="1736"/>
      <c r="NG7" s="1736"/>
      <c r="NH7" s="1737"/>
      <c r="NI7" s="1729" t="s">
        <v>2295</v>
      </c>
      <c r="NJ7" s="1729"/>
      <c r="NK7" s="1729"/>
      <c r="NL7" s="1729"/>
      <c r="NM7" s="1735" t="s">
        <v>2159</v>
      </c>
      <c r="NN7" s="1736"/>
      <c r="NO7" s="1736"/>
      <c r="NP7" s="1736"/>
      <c r="NQ7" s="1737"/>
      <c r="NR7" s="1729" t="s">
        <v>2296</v>
      </c>
      <c r="NS7" s="1729"/>
      <c r="NT7" s="1729"/>
      <c r="OA7" s="1732" t="s">
        <v>2298</v>
      </c>
      <c r="OB7" s="1733"/>
      <c r="OC7" s="1733"/>
      <c r="OD7" s="1734"/>
      <c r="OE7" s="1735" t="s">
        <v>2209</v>
      </c>
      <c r="OF7" s="1736"/>
      <c r="OG7" s="1736"/>
      <c r="OH7" s="1737"/>
      <c r="OI7" s="1729" t="s">
        <v>2295</v>
      </c>
      <c r="OJ7" s="1729"/>
      <c r="OK7" s="1729"/>
      <c r="OL7" s="1729"/>
      <c r="OM7" s="1735" t="s">
        <v>2159</v>
      </c>
      <c r="ON7" s="1736"/>
      <c r="OO7" s="1736"/>
      <c r="OP7" s="1736"/>
      <c r="OQ7" s="1737"/>
      <c r="OR7" s="1729" t="s">
        <v>2296</v>
      </c>
      <c r="OS7" s="1729"/>
      <c r="OT7" s="1729"/>
      <c r="PA7" s="1732" t="s">
        <v>2298</v>
      </c>
      <c r="PB7" s="1733"/>
      <c r="PC7" s="1733"/>
      <c r="PD7" s="1734"/>
      <c r="PE7" s="1735" t="s">
        <v>2209</v>
      </c>
      <c r="PF7" s="1736"/>
      <c r="PG7" s="1736"/>
      <c r="PH7" s="1737"/>
      <c r="PI7" s="1729" t="s">
        <v>2295</v>
      </c>
      <c r="PJ7" s="1729"/>
      <c r="PK7" s="1729"/>
      <c r="PL7" s="1729"/>
      <c r="PM7" s="1735" t="s">
        <v>2159</v>
      </c>
      <c r="PN7" s="1736"/>
      <c r="PO7" s="1736"/>
      <c r="PP7" s="1736"/>
      <c r="PQ7" s="1737"/>
      <c r="PR7" s="1729" t="s">
        <v>2296</v>
      </c>
      <c r="PS7" s="1729"/>
      <c r="PT7" s="1729"/>
      <c r="QA7" s="1732" t="s">
        <v>2298</v>
      </c>
      <c r="QB7" s="1733"/>
      <c r="QC7" s="1733"/>
      <c r="QD7" s="1734"/>
      <c r="QE7" s="1735" t="s">
        <v>2209</v>
      </c>
      <c r="QF7" s="1736"/>
      <c r="QG7" s="1736"/>
      <c r="QH7" s="1737"/>
      <c r="QI7" s="1729" t="s">
        <v>2295</v>
      </c>
      <c r="QJ7" s="1729"/>
      <c r="QK7" s="1729"/>
      <c r="QL7" s="1729"/>
      <c r="QM7" s="1735" t="s">
        <v>2159</v>
      </c>
      <c r="QN7" s="1736"/>
      <c r="QO7" s="1736"/>
      <c r="QP7" s="1736"/>
      <c r="QQ7" s="1737"/>
      <c r="QR7" s="1729" t="s">
        <v>2296</v>
      </c>
      <c r="QS7" s="1729"/>
      <c r="QT7" s="1729"/>
      <c r="RA7" s="1732" t="s">
        <v>2298</v>
      </c>
      <c r="RB7" s="1733"/>
      <c r="RC7" s="1733"/>
      <c r="RD7" s="1734"/>
      <c r="RE7" s="1735" t="s">
        <v>2209</v>
      </c>
      <c r="RF7" s="1736"/>
      <c r="RG7" s="1736"/>
      <c r="RH7" s="1737"/>
      <c r="RI7" s="1729" t="s">
        <v>2295</v>
      </c>
      <c r="RJ7" s="1729"/>
      <c r="RK7" s="1729"/>
      <c r="RL7" s="1729"/>
      <c r="RM7" s="1735" t="s">
        <v>2159</v>
      </c>
      <c r="RN7" s="1736"/>
      <c r="RO7" s="1736"/>
      <c r="RP7" s="1736"/>
      <c r="RQ7" s="1737"/>
      <c r="RR7" s="1729" t="s">
        <v>2296</v>
      </c>
      <c r="RS7" s="1729"/>
      <c r="RT7" s="1729"/>
      <c r="SA7" s="1732" t="s">
        <v>2298</v>
      </c>
      <c r="SB7" s="1733"/>
      <c r="SC7" s="1733"/>
      <c r="SD7" s="1734"/>
      <c r="SE7" s="1735" t="s">
        <v>2209</v>
      </c>
      <c r="SF7" s="1736"/>
      <c r="SG7" s="1736"/>
      <c r="SH7" s="1737"/>
      <c r="SI7" s="1729" t="s">
        <v>2295</v>
      </c>
      <c r="SJ7" s="1729"/>
      <c r="SK7" s="1729"/>
      <c r="SL7" s="1729"/>
      <c r="SM7" s="1735" t="s">
        <v>2159</v>
      </c>
      <c r="SN7" s="1736"/>
      <c r="SO7" s="1736"/>
      <c r="SP7" s="1736"/>
      <c r="SQ7" s="1737"/>
      <c r="SR7" s="1729" t="s">
        <v>2296</v>
      </c>
      <c r="SS7" s="1729"/>
      <c r="ST7" s="1729"/>
      <c r="TA7" s="1732" t="s">
        <v>2298</v>
      </c>
      <c r="TB7" s="1733"/>
      <c r="TC7" s="1733"/>
      <c r="TD7" s="1734"/>
      <c r="TE7" s="1735" t="s">
        <v>2209</v>
      </c>
      <c r="TF7" s="1736"/>
      <c r="TG7" s="1736"/>
      <c r="TH7" s="1737"/>
      <c r="TI7" s="1729" t="s">
        <v>2295</v>
      </c>
      <c r="TJ7" s="1729"/>
      <c r="TK7" s="1729"/>
      <c r="TL7" s="1729"/>
      <c r="TM7" s="1735" t="s">
        <v>2159</v>
      </c>
      <c r="TN7" s="1736"/>
      <c r="TO7" s="1736"/>
      <c r="TP7" s="1736"/>
      <c r="TQ7" s="1737"/>
      <c r="TR7" s="1729" t="s">
        <v>2296</v>
      </c>
      <c r="TS7" s="1729"/>
      <c r="TT7" s="1729"/>
      <c r="UA7" s="1732" t="s">
        <v>2298</v>
      </c>
      <c r="UB7" s="1733"/>
      <c r="UC7" s="1733"/>
      <c r="UD7" s="1734"/>
      <c r="UE7" s="1735" t="s">
        <v>2209</v>
      </c>
      <c r="UF7" s="1736"/>
      <c r="UG7" s="1736"/>
      <c r="UH7" s="1737"/>
      <c r="UI7" s="1729" t="s">
        <v>2295</v>
      </c>
      <c r="UJ7" s="1729"/>
      <c r="UK7" s="1729"/>
      <c r="UL7" s="1729"/>
      <c r="UM7" s="1735" t="s">
        <v>2159</v>
      </c>
      <c r="UN7" s="1736"/>
      <c r="UO7" s="1736"/>
      <c r="UP7" s="1736"/>
      <c r="UQ7" s="1737"/>
      <c r="UR7" s="1729" t="s">
        <v>2296</v>
      </c>
      <c r="US7" s="1729"/>
      <c r="UT7" s="1729"/>
      <c r="VA7" s="1732" t="s">
        <v>2298</v>
      </c>
      <c r="VB7" s="1733"/>
      <c r="VC7" s="1733"/>
      <c r="VD7" s="1734"/>
      <c r="VE7" s="1735" t="s">
        <v>2209</v>
      </c>
      <c r="VF7" s="1736"/>
      <c r="VG7" s="1736"/>
      <c r="VH7" s="1737"/>
      <c r="VI7" s="1729" t="s">
        <v>2295</v>
      </c>
      <c r="VJ7" s="1729"/>
      <c r="VK7" s="1729"/>
      <c r="VL7" s="1729"/>
      <c r="VM7" s="1735" t="s">
        <v>2159</v>
      </c>
      <c r="VN7" s="1736"/>
      <c r="VO7" s="1736"/>
      <c r="VP7" s="1736"/>
      <c r="VQ7" s="1737"/>
      <c r="VR7" s="1729" t="s">
        <v>2296</v>
      </c>
      <c r="VS7" s="1729"/>
      <c r="VT7" s="1729"/>
      <c r="VU7" s="343"/>
      <c r="WA7" s="1732" t="s">
        <v>2298</v>
      </c>
      <c r="WB7" s="1733"/>
      <c r="WC7" s="1733"/>
      <c r="WD7" s="1734"/>
      <c r="WE7" s="1735" t="s">
        <v>2209</v>
      </c>
      <c r="WF7" s="1736"/>
      <c r="WG7" s="1736"/>
      <c r="WH7" s="1737"/>
      <c r="WI7" s="1729" t="s">
        <v>2295</v>
      </c>
      <c r="WJ7" s="1729"/>
      <c r="WK7" s="1729"/>
      <c r="WL7" s="1729"/>
      <c r="WM7" s="1735" t="s">
        <v>2159</v>
      </c>
      <c r="WN7" s="1736"/>
      <c r="WO7" s="1736"/>
      <c r="WP7" s="1736"/>
      <c r="WQ7" s="1737"/>
      <c r="WR7" s="1729" t="s">
        <v>2296</v>
      </c>
      <c r="WS7" s="1729"/>
      <c r="WT7" s="1729"/>
      <c r="WU7" s="343"/>
    </row>
    <row r="8" spans="1:619" ht="25.5" customHeight="1">
      <c r="I8" s="1782" t="s">
        <v>1987</v>
      </c>
      <c r="J8" s="1782" t="s">
        <v>1988</v>
      </c>
      <c r="K8" s="1782" t="s">
        <v>1989</v>
      </c>
      <c r="L8" s="1787" t="s">
        <v>2129</v>
      </c>
      <c r="M8" s="1788"/>
      <c r="N8" s="1776" t="s">
        <v>2000</v>
      </c>
      <c r="O8" s="1776" t="s">
        <v>2001</v>
      </c>
      <c r="P8" s="1786" t="s">
        <v>2680</v>
      </c>
      <c r="Q8" s="1776" t="s">
        <v>2005</v>
      </c>
      <c r="R8" s="1776" t="s">
        <v>2336</v>
      </c>
      <c r="S8" s="1786" t="s">
        <v>2674</v>
      </c>
      <c r="T8" s="1651" t="s">
        <v>2675</v>
      </c>
      <c r="U8" s="1651" t="s">
        <v>2676</v>
      </c>
      <c r="V8" s="1651" t="s">
        <v>2677</v>
      </c>
      <c r="W8" s="1651" t="s">
        <v>2676</v>
      </c>
      <c r="X8" s="1651" t="s">
        <v>1997</v>
      </c>
      <c r="Y8" s="1651" t="s">
        <v>2609</v>
      </c>
      <c r="Z8" s="1651" t="s">
        <v>2610</v>
      </c>
      <c r="AA8" s="1651" t="s">
        <v>2665</v>
      </c>
      <c r="AB8" s="1651" t="s">
        <v>2623</v>
      </c>
      <c r="AC8" s="1651" t="s">
        <v>2619</v>
      </c>
      <c r="AD8" s="1651" t="s">
        <v>2620</v>
      </c>
      <c r="AE8" s="1651" t="s">
        <v>2621</v>
      </c>
      <c r="AF8" s="1651" t="s">
        <v>2622</v>
      </c>
      <c r="AG8" s="1651" t="s">
        <v>2140</v>
      </c>
      <c r="AH8" s="1651" t="s">
        <v>2678</v>
      </c>
      <c r="AI8" s="343"/>
      <c r="AJ8" s="1790" t="s">
        <v>2848</v>
      </c>
      <c r="AK8" s="1790"/>
      <c r="AL8" s="290"/>
      <c r="AM8" s="290"/>
      <c r="AN8" s="290"/>
      <c r="AO8" s="290"/>
      <c r="AP8" s="290"/>
      <c r="AQ8" s="290"/>
      <c r="AR8" s="290"/>
      <c r="AS8" s="1789" t="s">
        <v>2682</v>
      </c>
      <c r="AT8" s="1789"/>
      <c r="AU8" s="1745">
        <f>AU9*1.04</f>
        <v>2820</v>
      </c>
      <c r="AV8" s="1746"/>
      <c r="AW8" s="1745">
        <f>AW9*1.04</f>
        <v>1994.3900689655175</v>
      </c>
      <c r="AX8" s="1745"/>
      <c r="AY8" s="1745"/>
      <c r="AZ8" s="1745"/>
      <c r="BA8" s="1745">
        <f>BA9*1.04</f>
        <v>3036.5131034482761</v>
      </c>
      <c r="BB8" s="1746"/>
      <c r="BC8" s="290"/>
      <c r="BD8" s="948">
        <f>BD9*1.04</f>
        <v>2820</v>
      </c>
      <c r="BE8" s="1745">
        <f>BE9*1.04</f>
        <v>2820</v>
      </c>
      <c r="BF8" s="1746"/>
      <c r="BG8" s="1745">
        <f>BG9*1.04</f>
        <v>0</v>
      </c>
      <c r="BH8" s="1746"/>
      <c r="BI8" s="1747">
        <f>BI9*1.04</f>
        <v>0</v>
      </c>
      <c r="BJ8" s="1748"/>
      <c r="BK8" s="1748"/>
      <c r="BL8" s="1749"/>
      <c r="BM8" s="1745">
        <f>BM9*1.04</f>
        <v>0</v>
      </c>
      <c r="BN8" s="1746"/>
      <c r="BO8" s="290"/>
      <c r="BP8" s="948">
        <f>BP9*1.04</f>
        <v>5030.903172413794</v>
      </c>
      <c r="BQ8" s="1745">
        <f>BQ9*1.04</f>
        <v>0</v>
      </c>
      <c r="BR8" s="1746"/>
      <c r="BS8" s="1747">
        <f>BS9*1.04</f>
        <v>1994.3900689655175</v>
      </c>
      <c r="BT8" s="1748"/>
      <c r="BU8" s="1748"/>
      <c r="BV8" s="1749"/>
      <c r="BW8" s="1745">
        <f>BW9*1.04</f>
        <v>3036.5131034482761</v>
      </c>
      <c r="BX8" s="1746"/>
      <c r="BY8" s="344"/>
      <c r="BZ8" s="345"/>
      <c r="CA8" s="345"/>
      <c r="CB8" s="345"/>
      <c r="CC8" s="345"/>
      <c r="CD8" s="345"/>
      <c r="CE8" s="345"/>
      <c r="CF8" s="345"/>
      <c r="CG8" s="345"/>
      <c r="CH8" s="345"/>
      <c r="CI8" s="346"/>
      <c r="CJ8" s="344"/>
      <c r="CK8" s="345"/>
      <c r="CL8" s="345"/>
      <c r="CM8" s="345"/>
      <c r="CN8" s="345"/>
      <c r="CO8" s="345"/>
      <c r="CP8" s="345"/>
      <c r="CQ8" s="345"/>
      <c r="CR8" s="345"/>
      <c r="CS8" s="346"/>
      <c r="CT8" s="344"/>
      <c r="CU8" s="345"/>
      <c r="CV8" s="345"/>
      <c r="CW8" s="345"/>
      <c r="CX8" s="345"/>
      <c r="CY8" s="345"/>
      <c r="CZ8" s="345"/>
      <c r="DA8" s="345"/>
      <c r="DB8" s="345"/>
      <c r="DC8" s="346"/>
      <c r="DD8" s="1738" t="s">
        <v>2165</v>
      </c>
      <c r="DE8" s="1738"/>
      <c r="DF8" s="1738"/>
      <c r="DG8" s="1738"/>
      <c r="DH8" s="1739" t="s">
        <v>2165</v>
      </c>
      <c r="DI8" s="1739"/>
      <c r="DJ8" s="1739"/>
      <c r="DK8" s="1739"/>
      <c r="DL8" s="1739" t="s">
        <v>2165</v>
      </c>
      <c r="DM8" s="1739"/>
      <c r="DN8" s="1739"/>
      <c r="DO8" s="1739"/>
      <c r="DP8" s="1739"/>
      <c r="DQ8" s="1739"/>
      <c r="DR8" s="1739"/>
      <c r="DS8" s="1739"/>
      <c r="DT8" s="1739"/>
      <c r="DU8" s="1739"/>
      <c r="DV8" s="1739"/>
      <c r="DW8" s="1739"/>
      <c r="DX8" s="450"/>
      <c r="DY8" s="450"/>
      <c r="DZ8" s="450"/>
      <c r="EA8" s="1730" t="s">
        <v>2297</v>
      </c>
      <c r="EB8" s="1730"/>
      <c r="EC8" s="1730"/>
      <c r="ED8" s="1730"/>
      <c r="EE8" s="1750" t="s">
        <v>2297</v>
      </c>
      <c r="EF8" s="1751"/>
      <c r="EG8" s="1751"/>
      <c r="EH8" s="1751"/>
      <c r="EI8" s="1751"/>
      <c r="EJ8" s="1751"/>
      <c r="EK8" s="1752"/>
      <c r="EL8" s="1731" t="s">
        <v>2297</v>
      </c>
      <c r="EM8" s="1731"/>
      <c r="EN8" s="1731"/>
      <c r="EO8" s="1779"/>
      <c r="EP8" s="1731"/>
      <c r="EQ8" s="1731"/>
      <c r="ER8" s="1731"/>
      <c r="ES8" s="1731"/>
      <c r="ET8" s="1731"/>
      <c r="EU8" s="1731"/>
      <c r="EV8" s="1731"/>
      <c r="EW8" s="1731"/>
      <c r="EX8" s="1731"/>
      <c r="FA8" s="1738" t="s">
        <v>2165</v>
      </c>
      <c r="FB8" s="1738"/>
      <c r="FC8" s="1738"/>
      <c r="FD8" s="1738"/>
      <c r="FE8" s="1739" t="s">
        <v>2165</v>
      </c>
      <c r="FF8" s="1739"/>
      <c r="FG8" s="1739"/>
      <c r="FH8" s="1739"/>
      <c r="FI8" s="1739" t="s">
        <v>2165</v>
      </c>
      <c r="FJ8" s="1739"/>
      <c r="FK8" s="1739"/>
      <c r="FL8" s="1739"/>
      <c r="FM8" s="1739"/>
      <c r="FN8" s="1739"/>
      <c r="FO8" s="1739"/>
      <c r="FP8" s="1739"/>
      <c r="FQ8" s="1739"/>
      <c r="FR8" s="1739"/>
      <c r="FS8" s="1739"/>
      <c r="FT8" s="1739"/>
      <c r="FU8" s="474"/>
      <c r="FV8" s="474"/>
      <c r="FW8" s="474"/>
      <c r="FX8" s="474"/>
      <c r="FY8" s="474"/>
      <c r="FZ8" s="474"/>
      <c r="GA8" s="1730" t="s">
        <v>2297</v>
      </c>
      <c r="GB8" s="1730"/>
      <c r="GC8" s="1730"/>
      <c r="GD8" s="1730"/>
      <c r="GE8" s="1731" t="s">
        <v>2297</v>
      </c>
      <c r="GF8" s="1731"/>
      <c r="GG8" s="1731"/>
      <c r="GH8" s="1731"/>
      <c r="GI8" s="1731" t="s">
        <v>2297</v>
      </c>
      <c r="GJ8" s="1731"/>
      <c r="GK8" s="1731"/>
      <c r="GL8" s="1731"/>
      <c r="GM8" s="1731"/>
      <c r="GN8" s="1731"/>
      <c r="GO8" s="1731"/>
      <c r="GP8" s="1731"/>
      <c r="GQ8" s="1731"/>
      <c r="GR8" s="1731"/>
      <c r="GS8" s="1731"/>
      <c r="GT8" s="1731"/>
      <c r="GU8" s="474"/>
      <c r="GV8" s="474"/>
      <c r="GW8" s="474"/>
      <c r="GX8" s="474"/>
      <c r="GY8" s="474"/>
      <c r="GZ8" s="474"/>
      <c r="HA8" s="1738" t="s">
        <v>2165</v>
      </c>
      <c r="HB8" s="1738"/>
      <c r="HC8" s="1738"/>
      <c r="HD8" s="1738"/>
      <c r="HE8" s="1739" t="s">
        <v>2165</v>
      </c>
      <c r="HF8" s="1739"/>
      <c r="HG8" s="1739"/>
      <c r="HH8" s="1739"/>
      <c r="HI8" s="1739" t="s">
        <v>2165</v>
      </c>
      <c r="HJ8" s="1739"/>
      <c r="HK8" s="1739"/>
      <c r="HL8" s="1739"/>
      <c r="HM8" s="1739"/>
      <c r="HN8" s="1739"/>
      <c r="HO8" s="1739"/>
      <c r="HP8" s="1739"/>
      <c r="HQ8" s="1739"/>
      <c r="HR8" s="1739"/>
      <c r="HS8" s="1739"/>
      <c r="HT8" s="1739"/>
      <c r="IA8" s="1730" t="s">
        <v>2297</v>
      </c>
      <c r="IB8" s="1730"/>
      <c r="IC8" s="1730"/>
      <c r="ID8" s="1730"/>
      <c r="IE8" s="1731" t="s">
        <v>2297</v>
      </c>
      <c r="IF8" s="1731"/>
      <c r="IG8" s="1731"/>
      <c r="IH8" s="1731"/>
      <c r="II8" s="1731" t="s">
        <v>2297</v>
      </c>
      <c r="IJ8" s="1731"/>
      <c r="IK8" s="1731"/>
      <c r="IL8" s="1731"/>
      <c r="IM8" s="1731"/>
      <c r="IN8" s="1731"/>
      <c r="IO8" s="1731"/>
      <c r="IP8" s="1731"/>
      <c r="IQ8" s="1731"/>
      <c r="IR8" s="1731"/>
      <c r="IS8" s="1731"/>
      <c r="IT8" s="1731"/>
      <c r="JA8" s="1738" t="s">
        <v>2165</v>
      </c>
      <c r="JB8" s="1738"/>
      <c r="JC8" s="1738"/>
      <c r="JD8" s="1738"/>
      <c r="JE8" s="1739" t="s">
        <v>2165</v>
      </c>
      <c r="JF8" s="1739"/>
      <c r="JG8" s="1739"/>
      <c r="JH8" s="1739"/>
      <c r="JI8" s="1739" t="s">
        <v>2165</v>
      </c>
      <c r="JJ8" s="1739"/>
      <c r="JK8" s="1739"/>
      <c r="JL8" s="1739"/>
      <c r="JM8" s="1739"/>
      <c r="JN8" s="1739"/>
      <c r="JO8" s="1739"/>
      <c r="JP8" s="1739"/>
      <c r="JQ8" s="1739"/>
      <c r="JR8" s="1739"/>
      <c r="JS8" s="1739"/>
      <c r="JT8" s="1739"/>
      <c r="KA8" s="1730" t="s">
        <v>2297</v>
      </c>
      <c r="KB8" s="1730"/>
      <c r="KC8" s="1730"/>
      <c r="KD8" s="1730"/>
      <c r="KE8" s="1731" t="s">
        <v>2297</v>
      </c>
      <c r="KF8" s="1731"/>
      <c r="KG8" s="1731"/>
      <c r="KH8" s="1731"/>
      <c r="KI8" s="1731" t="s">
        <v>2297</v>
      </c>
      <c r="KJ8" s="1731"/>
      <c r="KK8" s="1731"/>
      <c r="KL8" s="1731"/>
      <c r="KM8" s="1731"/>
      <c r="KN8" s="1731"/>
      <c r="KO8" s="1731"/>
      <c r="KP8" s="1731"/>
      <c r="KQ8" s="1731"/>
      <c r="KR8" s="1731"/>
      <c r="KS8" s="1731"/>
      <c r="KT8" s="1731"/>
      <c r="LA8" s="1738" t="s">
        <v>2165</v>
      </c>
      <c r="LB8" s="1738"/>
      <c r="LC8" s="1738"/>
      <c r="LD8" s="1738"/>
      <c r="LE8" s="1739" t="s">
        <v>2165</v>
      </c>
      <c r="LF8" s="1739"/>
      <c r="LG8" s="1739"/>
      <c r="LH8" s="1739"/>
      <c r="LI8" s="1739" t="s">
        <v>2165</v>
      </c>
      <c r="LJ8" s="1739"/>
      <c r="LK8" s="1739"/>
      <c r="LL8" s="1739"/>
      <c r="LM8" s="1739"/>
      <c r="LN8" s="1739"/>
      <c r="LO8" s="1739"/>
      <c r="LP8" s="1739"/>
      <c r="LQ8" s="1739"/>
      <c r="LR8" s="1739"/>
      <c r="LS8" s="1739"/>
      <c r="LT8" s="1739"/>
      <c r="MA8" s="1730" t="s">
        <v>2297</v>
      </c>
      <c r="MB8" s="1730"/>
      <c r="MC8" s="1730"/>
      <c r="MD8" s="1730"/>
      <c r="ME8" s="1731" t="s">
        <v>2297</v>
      </c>
      <c r="MF8" s="1731"/>
      <c r="MG8" s="1731"/>
      <c r="MH8" s="1731"/>
      <c r="MI8" s="1731" t="s">
        <v>2297</v>
      </c>
      <c r="MJ8" s="1731"/>
      <c r="MK8" s="1731"/>
      <c r="ML8" s="1731"/>
      <c r="MM8" s="1731"/>
      <c r="MN8" s="1731"/>
      <c r="MO8" s="1731"/>
      <c r="MP8" s="1731"/>
      <c r="MQ8" s="1731"/>
      <c r="MR8" s="1731"/>
      <c r="MS8" s="1731"/>
      <c r="MT8" s="1731"/>
      <c r="NA8" s="1738" t="s">
        <v>2165</v>
      </c>
      <c r="NB8" s="1738"/>
      <c r="NC8" s="1738"/>
      <c r="ND8" s="1738"/>
      <c r="NE8" s="1739" t="s">
        <v>2165</v>
      </c>
      <c r="NF8" s="1739"/>
      <c r="NG8" s="1739"/>
      <c r="NH8" s="1739"/>
      <c r="NI8" s="1739" t="s">
        <v>2165</v>
      </c>
      <c r="NJ8" s="1739"/>
      <c r="NK8" s="1739"/>
      <c r="NL8" s="1739"/>
      <c r="NM8" s="1739"/>
      <c r="NN8" s="1739"/>
      <c r="NO8" s="1739"/>
      <c r="NP8" s="1739"/>
      <c r="NQ8" s="1739"/>
      <c r="NR8" s="1739"/>
      <c r="NS8" s="1739"/>
      <c r="NT8" s="1739"/>
      <c r="OA8" s="1730" t="s">
        <v>2297</v>
      </c>
      <c r="OB8" s="1730"/>
      <c r="OC8" s="1730"/>
      <c r="OD8" s="1730"/>
      <c r="OE8" s="1731" t="s">
        <v>2297</v>
      </c>
      <c r="OF8" s="1731"/>
      <c r="OG8" s="1731"/>
      <c r="OH8" s="1731"/>
      <c r="OI8" s="1731" t="s">
        <v>2297</v>
      </c>
      <c r="OJ8" s="1731"/>
      <c r="OK8" s="1731"/>
      <c r="OL8" s="1731"/>
      <c r="OM8" s="1731"/>
      <c r="ON8" s="1731"/>
      <c r="OO8" s="1731"/>
      <c r="OP8" s="1731"/>
      <c r="OQ8" s="1731"/>
      <c r="OR8" s="1731"/>
      <c r="OS8" s="1731"/>
      <c r="OT8" s="1731"/>
      <c r="PA8" s="1738" t="s">
        <v>2165</v>
      </c>
      <c r="PB8" s="1738"/>
      <c r="PC8" s="1738"/>
      <c r="PD8" s="1738"/>
      <c r="PE8" s="1739" t="s">
        <v>2165</v>
      </c>
      <c r="PF8" s="1739"/>
      <c r="PG8" s="1739"/>
      <c r="PH8" s="1739"/>
      <c r="PI8" s="1739" t="s">
        <v>2165</v>
      </c>
      <c r="PJ8" s="1739"/>
      <c r="PK8" s="1739"/>
      <c r="PL8" s="1739"/>
      <c r="PM8" s="1739"/>
      <c r="PN8" s="1739"/>
      <c r="PO8" s="1739"/>
      <c r="PP8" s="1739"/>
      <c r="PQ8" s="1739"/>
      <c r="PR8" s="1739"/>
      <c r="PS8" s="1739"/>
      <c r="PT8" s="1739"/>
      <c r="QA8" s="1730" t="s">
        <v>2297</v>
      </c>
      <c r="QB8" s="1730"/>
      <c r="QC8" s="1730"/>
      <c r="QD8" s="1730"/>
      <c r="QE8" s="1731" t="s">
        <v>2297</v>
      </c>
      <c r="QF8" s="1731"/>
      <c r="QG8" s="1731"/>
      <c r="QH8" s="1731"/>
      <c r="QI8" s="1731" t="s">
        <v>2297</v>
      </c>
      <c r="QJ8" s="1731"/>
      <c r="QK8" s="1731"/>
      <c r="QL8" s="1731"/>
      <c r="QM8" s="1731"/>
      <c r="QN8" s="1731"/>
      <c r="QO8" s="1731"/>
      <c r="QP8" s="1731"/>
      <c r="QQ8" s="1731"/>
      <c r="QR8" s="1731"/>
      <c r="QS8" s="1731"/>
      <c r="QT8" s="1731"/>
      <c r="RA8" s="1738" t="s">
        <v>2165</v>
      </c>
      <c r="RB8" s="1738"/>
      <c r="RC8" s="1738"/>
      <c r="RD8" s="1738"/>
      <c r="RE8" s="1739" t="s">
        <v>2165</v>
      </c>
      <c r="RF8" s="1739"/>
      <c r="RG8" s="1739"/>
      <c r="RH8" s="1739"/>
      <c r="RI8" s="1739" t="s">
        <v>2165</v>
      </c>
      <c r="RJ8" s="1739"/>
      <c r="RK8" s="1739"/>
      <c r="RL8" s="1739"/>
      <c r="RM8" s="1739"/>
      <c r="RN8" s="1739"/>
      <c r="RO8" s="1739"/>
      <c r="RP8" s="1739"/>
      <c r="RQ8" s="1739"/>
      <c r="RR8" s="1739"/>
      <c r="RS8" s="1739"/>
      <c r="RT8" s="1739"/>
      <c r="SA8" s="1730" t="s">
        <v>2297</v>
      </c>
      <c r="SB8" s="1730"/>
      <c r="SC8" s="1730"/>
      <c r="SD8" s="1730"/>
      <c r="SE8" s="1731" t="s">
        <v>2297</v>
      </c>
      <c r="SF8" s="1731"/>
      <c r="SG8" s="1731"/>
      <c r="SH8" s="1731"/>
      <c r="SI8" s="1731" t="s">
        <v>2297</v>
      </c>
      <c r="SJ8" s="1731"/>
      <c r="SK8" s="1731"/>
      <c r="SL8" s="1731"/>
      <c r="SM8" s="1731"/>
      <c r="SN8" s="1731"/>
      <c r="SO8" s="1731"/>
      <c r="SP8" s="1731"/>
      <c r="SQ8" s="1731"/>
      <c r="SR8" s="1731"/>
      <c r="SS8" s="1731"/>
      <c r="ST8" s="1731"/>
      <c r="TA8" s="1730" t="s">
        <v>2297</v>
      </c>
      <c r="TB8" s="1730"/>
      <c r="TC8" s="1730"/>
      <c r="TD8" s="1730"/>
      <c r="TE8" s="1731" t="s">
        <v>2297</v>
      </c>
      <c r="TF8" s="1731"/>
      <c r="TG8" s="1731"/>
      <c r="TH8" s="1731"/>
      <c r="TI8" s="1731" t="s">
        <v>2297</v>
      </c>
      <c r="TJ8" s="1731"/>
      <c r="TK8" s="1731"/>
      <c r="TL8" s="1731"/>
      <c r="TM8" s="1731"/>
      <c r="TN8" s="1731"/>
      <c r="TO8" s="1731"/>
      <c r="TP8" s="1731"/>
      <c r="TQ8" s="1731"/>
      <c r="TR8" s="1731"/>
      <c r="TS8" s="1731"/>
      <c r="TT8" s="1731"/>
      <c r="UA8" s="1730" t="s">
        <v>2297</v>
      </c>
      <c r="UB8" s="1730"/>
      <c r="UC8" s="1730"/>
      <c r="UD8" s="1730"/>
      <c r="UE8" s="1731" t="s">
        <v>2297</v>
      </c>
      <c r="UF8" s="1731"/>
      <c r="UG8" s="1731"/>
      <c r="UH8" s="1731"/>
      <c r="UI8" s="1731" t="s">
        <v>2297</v>
      </c>
      <c r="UJ8" s="1731"/>
      <c r="UK8" s="1731"/>
      <c r="UL8" s="1731"/>
      <c r="UM8" s="1731"/>
      <c r="UN8" s="1731"/>
      <c r="UO8" s="1731"/>
      <c r="UP8" s="1731"/>
      <c r="UQ8" s="1731"/>
      <c r="UR8" s="1731"/>
      <c r="US8" s="1731"/>
      <c r="UT8" s="1731"/>
      <c r="VA8" s="1738" t="s">
        <v>2165</v>
      </c>
      <c r="VB8" s="1738"/>
      <c r="VC8" s="1738"/>
      <c r="VD8" s="1738"/>
      <c r="VE8" s="1739" t="s">
        <v>2165</v>
      </c>
      <c r="VF8" s="1739"/>
      <c r="VG8" s="1739"/>
      <c r="VH8" s="1739"/>
      <c r="VI8" s="1739" t="s">
        <v>2165</v>
      </c>
      <c r="VJ8" s="1739"/>
      <c r="VK8" s="1739"/>
      <c r="VL8" s="1739"/>
      <c r="VM8" s="1739"/>
      <c r="VN8" s="1739"/>
      <c r="VO8" s="1739"/>
      <c r="VP8" s="1739"/>
      <c r="VQ8" s="1739"/>
      <c r="VR8" s="1739"/>
      <c r="VS8" s="1739"/>
      <c r="VT8" s="1739"/>
      <c r="VU8" s="474"/>
      <c r="WA8" s="1738" t="s">
        <v>2165</v>
      </c>
      <c r="WB8" s="1738"/>
      <c r="WC8" s="1738"/>
      <c r="WD8" s="1738"/>
      <c r="WE8" s="1739" t="s">
        <v>2165</v>
      </c>
      <c r="WF8" s="1739"/>
      <c r="WG8" s="1739"/>
      <c r="WH8" s="1739"/>
      <c r="WI8" s="1739" t="s">
        <v>2165</v>
      </c>
      <c r="WJ8" s="1739"/>
      <c r="WK8" s="1739"/>
      <c r="WL8" s="1739"/>
      <c r="WM8" s="1739"/>
      <c r="WN8" s="1739"/>
      <c r="WO8" s="1739"/>
      <c r="WP8" s="1739"/>
      <c r="WQ8" s="1739"/>
      <c r="WR8" s="1739"/>
      <c r="WS8" s="1739"/>
      <c r="WT8" s="1739"/>
      <c r="WU8" s="474"/>
    </row>
    <row r="9" spans="1:619" ht="40.5" customHeight="1">
      <c r="I9" s="1783"/>
      <c r="J9" s="1783"/>
      <c r="K9" s="1783"/>
      <c r="L9" s="963" t="s">
        <v>2131</v>
      </c>
      <c r="M9" s="963" t="s">
        <v>2132</v>
      </c>
      <c r="N9" s="1777"/>
      <c r="O9" s="1777"/>
      <c r="P9" s="1776"/>
      <c r="Q9" s="1777"/>
      <c r="R9" s="1777"/>
      <c r="S9" s="1776"/>
      <c r="T9" s="1653"/>
      <c r="U9" s="1653"/>
      <c r="V9" s="1653"/>
      <c r="W9" s="1653"/>
      <c r="X9" s="1653"/>
      <c r="Y9" s="1653"/>
      <c r="Z9" s="1653"/>
      <c r="AA9" s="1653"/>
      <c r="AB9" s="1653"/>
      <c r="AC9" s="1653"/>
      <c r="AD9" s="1653"/>
      <c r="AE9" s="1653"/>
      <c r="AF9" s="1653"/>
      <c r="AG9" s="1653"/>
      <c r="AH9" s="1653"/>
      <c r="AI9" s="343"/>
      <c r="AJ9" s="343"/>
      <c r="AK9" s="343"/>
      <c r="AL9" s="297"/>
      <c r="AM9" s="297"/>
      <c r="AN9" s="1367"/>
      <c r="AO9" s="295"/>
      <c r="AP9"/>
      <c r="AQ9" s="295"/>
      <c r="AR9" s="409"/>
      <c r="AS9" s="1789" t="s">
        <v>2681</v>
      </c>
      <c r="AT9" s="1789"/>
      <c r="AU9" s="1745">
        <f>AU10+AV10</f>
        <v>2711.5384615384614</v>
      </c>
      <c r="AV9" s="1746"/>
      <c r="AW9" s="1745">
        <f>SUM(AW10:AZ10)</f>
        <v>1917.6827586206898</v>
      </c>
      <c r="AX9" s="1745"/>
      <c r="AY9" s="1745"/>
      <c r="AZ9" s="1745"/>
      <c r="BA9" s="1745">
        <f>BA10+BB10</f>
        <v>2919.7241379310344</v>
      </c>
      <c r="BB9" s="1746"/>
      <c r="BC9" s="913"/>
      <c r="BD9" s="948">
        <f>BE9+BI9+BM9</f>
        <v>2711.5384615384614</v>
      </c>
      <c r="BE9" s="1745">
        <f>BE10+BF10</f>
        <v>2711.5384615384614</v>
      </c>
      <c r="BF9" s="1746"/>
      <c r="BG9" s="1745">
        <f>BG10+BH10</f>
        <v>0</v>
      </c>
      <c r="BH9" s="1746"/>
      <c r="BI9" s="1747">
        <f>SUM(BI10:BL10)</f>
        <v>0</v>
      </c>
      <c r="BJ9" s="1748"/>
      <c r="BK9" s="1748"/>
      <c r="BL9" s="1749"/>
      <c r="BM9" s="1745">
        <f>BM10+BN10</f>
        <v>0</v>
      </c>
      <c r="BN9" s="1746"/>
      <c r="BO9" s="524"/>
      <c r="BP9" s="948">
        <f>BQ9+BS9+BW9</f>
        <v>4837.4068965517245</v>
      </c>
      <c r="BQ9" s="1745">
        <f>BQ10+BR10</f>
        <v>0</v>
      </c>
      <c r="BR9" s="1746"/>
      <c r="BS9" s="1747">
        <f>SUM(BS10:BV10)</f>
        <v>1917.6827586206898</v>
      </c>
      <c r="BT9" s="1748"/>
      <c r="BU9" s="1748"/>
      <c r="BV9" s="1749"/>
      <c r="BW9" s="1745">
        <f>BW10+BX10</f>
        <v>2919.7241379310344</v>
      </c>
      <c r="BX9" s="1746"/>
      <c r="BY9" s="299"/>
      <c r="BZ9" s="715"/>
      <c r="CA9" s="430"/>
      <c r="CB9" s="430"/>
      <c r="CC9" s="430"/>
      <c r="CD9" s="430"/>
      <c r="CE9" s="430"/>
      <c r="CF9" s="430"/>
      <c r="CG9" s="430"/>
      <c r="CH9" s="430"/>
      <c r="CI9" s="183"/>
      <c r="CJ9" s="299"/>
      <c r="CK9" s="524"/>
      <c r="CL9" s="524"/>
      <c r="CM9" s="524"/>
      <c r="CN9" s="524"/>
      <c r="CO9" s="524"/>
      <c r="CP9" s="524"/>
      <c r="CQ9" s="524"/>
      <c r="CR9" s="524"/>
      <c r="CS9" s="183"/>
      <c r="CT9" s="299"/>
      <c r="CU9" s="524"/>
      <c r="CV9" s="524"/>
      <c r="CW9" s="524"/>
      <c r="CX9" s="524"/>
      <c r="CY9" s="524"/>
      <c r="CZ9" s="524"/>
      <c r="DA9" s="524"/>
      <c r="DB9" s="524"/>
      <c r="DC9" s="183"/>
      <c r="DD9" s="443" t="s">
        <v>2286</v>
      </c>
      <c r="DE9" s="455" t="s">
        <v>2289</v>
      </c>
      <c r="DF9" s="443" t="s">
        <v>2169</v>
      </c>
      <c r="DG9" s="452" t="s">
        <v>2288</v>
      </c>
      <c r="DH9" s="443" t="s">
        <v>2164</v>
      </c>
      <c r="DI9" s="452" t="s">
        <v>2287</v>
      </c>
      <c r="DJ9" s="452" t="s">
        <v>2284</v>
      </c>
      <c r="DK9" s="452" t="s">
        <v>2285</v>
      </c>
      <c r="DL9" s="452" t="s">
        <v>2291</v>
      </c>
      <c r="DM9" s="452" t="s">
        <v>2292</v>
      </c>
      <c r="DN9" s="452" t="s">
        <v>2285</v>
      </c>
      <c r="DO9" s="452" t="s">
        <v>58</v>
      </c>
      <c r="DP9" s="1740" t="s">
        <v>2293</v>
      </c>
      <c r="DQ9" s="1741"/>
      <c r="DR9" s="1742"/>
      <c r="DS9" s="452" t="s">
        <v>2294</v>
      </c>
      <c r="DT9" s="452" t="s">
        <v>2367</v>
      </c>
      <c r="DU9" s="452" t="s">
        <v>2269</v>
      </c>
      <c r="DV9" s="452" t="s">
        <v>2270</v>
      </c>
      <c r="DW9" s="464" t="s">
        <v>34</v>
      </c>
      <c r="DX9" s="464" t="s">
        <v>2365</v>
      </c>
      <c r="DY9" s="468"/>
      <c r="DZ9" s="468"/>
      <c r="EA9" s="443" t="s">
        <v>2286</v>
      </c>
      <c r="EB9" s="455" t="s">
        <v>2289</v>
      </c>
      <c r="EC9" s="443" t="s">
        <v>2169</v>
      </c>
      <c r="ED9" s="452" t="s">
        <v>2288</v>
      </c>
      <c r="EE9" s="443" t="s">
        <v>2164</v>
      </c>
      <c r="EF9" s="452" t="s">
        <v>2287</v>
      </c>
      <c r="EG9" s="452" t="s">
        <v>2284</v>
      </c>
      <c r="EH9" s="1361" t="s">
        <v>2847</v>
      </c>
      <c r="EI9" s="1361" t="s">
        <v>2843</v>
      </c>
      <c r="EJ9" s="452" t="s">
        <v>2285</v>
      </c>
      <c r="EK9" s="1361" t="s">
        <v>2844</v>
      </c>
      <c r="EL9" s="452" t="s">
        <v>2291</v>
      </c>
      <c r="EM9" s="452" t="s">
        <v>2292</v>
      </c>
      <c r="EN9" s="452" t="s">
        <v>2285</v>
      </c>
      <c r="EO9" s="1361" t="s">
        <v>2845</v>
      </c>
      <c r="EP9" s="452" t="s">
        <v>2846</v>
      </c>
      <c r="EQ9" s="1740" t="s">
        <v>2293</v>
      </c>
      <c r="ER9" s="1741"/>
      <c r="ES9" s="1742"/>
      <c r="ET9" s="452" t="s">
        <v>2294</v>
      </c>
      <c r="EU9" s="452" t="s">
        <v>2143</v>
      </c>
      <c r="EV9" s="452" t="s">
        <v>2269</v>
      </c>
      <c r="EW9" s="452" t="s">
        <v>2270</v>
      </c>
      <c r="EX9" s="464" t="s">
        <v>34</v>
      </c>
      <c r="EY9" s="464" t="s">
        <v>2365</v>
      </c>
      <c r="FA9" s="443" t="s">
        <v>2286</v>
      </c>
      <c r="FB9" s="455" t="s">
        <v>2289</v>
      </c>
      <c r="FC9" s="443" t="s">
        <v>2169</v>
      </c>
      <c r="FD9" s="452" t="s">
        <v>2288</v>
      </c>
      <c r="FE9" s="443" t="s">
        <v>2164</v>
      </c>
      <c r="FF9" s="452" t="s">
        <v>2287</v>
      </c>
      <c r="FG9" s="452" t="s">
        <v>2284</v>
      </c>
      <c r="FH9" s="452" t="s">
        <v>2285</v>
      </c>
      <c r="FI9" s="452" t="s">
        <v>2291</v>
      </c>
      <c r="FJ9" s="452" t="s">
        <v>2292</v>
      </c>
      <c r="FK9" s="452" t="s">
        <v>2285</v>
      </c>
      <c r="FL9" s="452" t="s">
        <v>58</v>
      </c>
      <c r="FM9" s="1740" t="s">
        <v>2293</v>
      </c>
      <c r="FN9" s="1741"/>
      <c r="FO9" s="1742"/>
      <c r="FP9" s="452" t="s">
        <v>2294</v>
      </c>
      <c r="FQ9" s="452" t="s">
        <v>2143</v>
      </c>
      <c r="FR9" s="452" t="s">
        <v>2269</v>
      </c>
      <c r="FS9" s="452" t="s">
        <v>2270</v>
      </c>
      <c r="FT9" s="464" t="s">
        <v>34</v>
      </c>
      <c r="FU9" s="464" t="s">
        <v>2365</v>
      </c>
      <c r="FV9" s="468"/>
      <c r="FW9" s="468"/>
      <c r="FX9" s="468"/>
      <c r="FY9" s="468"/>
      <c r="FZ9" s="468"/>
      <c r="GA9" s="443" t="s">
        <v>2286</v>
      </c>
      <c r="GB9" s="455" t="s">
        <v>2289</v>
      </c>
      <c r="GC9" s="443" t="s">
        <v>2169</v>
      </c>
      <c r="GD9" s="452" t="s">
        <v>2288</v>
      </c>
      <c r="GE9" s="443" t="s">
        <v>2164</v>
      </c>
      <c r="GF9" s="452" t="s">
        <v>2287</v>
      </c>
      <c r="GG9" s="452" t="s">
        <v>2284</v>
      </c>
      <c r="GH9" s="452" t="s">
        <v>2285</v>
      </c>
      <c r="GI9" s="452" t="s">
        <v>2291</v>
      </c>
      <c r="GJ9" s="452" t="s">
        <v>2292</v>
      </c>
      <c r="GK9" s="452" t="s">
        <v>2285</v>
      </c>
      <c r="GL9" s="452" t="s">
        <v>58</v>
      </c>
      <c r="GM9" s="1740" t="s">
        <v>2293</v>
      </c>
      <c r="GN9" s="1741"/>
      <c r="GO9" s="1742"/>
      <c r="GP9" s="452" t="s">
        <v>2294</v>
      </c>
      <c r="GQ9" s="452" t="s">
        <v>2143</v>
      </c>
      <c r="GR9" s="452" t="s">
        <v>2269</v>
      </c>
      <c r="GS9" s="452" t="s">
        <v>2270</v>
      </c>
      <c r="GT9" s="464" t="s">
        <v>34</v>
      </c>
      <c r="GU9" s="464" t="s">
        <v>2365</v>
      </c>
      <c r="GV9" s="468"/>
      <c r="GW9" s="468"/>
      <c r="GX9" s="468"/>
      <c r="GY9" s="468"/>
      <c r="GZ9" s="468"/>
      <c r="HA9" s="443" t="s">
        <v>2286</v>
      </c>
      <c r="HB9" s="455" t="s">
        <v>2289</v>
      </c>
      <c r="HC9" s="443" t="s">
        <v>2169</v>
      </c>
      <c r="HD9" s="452" t="s">
        <v>2288</v>
      </c>
      <c r="HE9" s="443" t="s">
        <v>2164</v>
      </c>
      <c r="HF9" s="452" t="s">
        <v>2287</v>
      </c>
      <c r="HG9" s="452" t="s">
        <v>2284</v>
      </c>
      <c r="HH9" s="452" t="s">
        <v>2285</v>
      </c>
      <c r="HI9" s="452" t="s">
        <v>2291</v>
      </c>
      <c r="HJ9" s="452" t="s">
        <v>2292</v>
      </c>
      <c r="HK9" s="452" t="s">
        <v>2285</v>
      </c>
      <c r="HL9" s="452" t="s">
        <v>58</v>
      </c>
      <c r="HM9" s="1740" t="s">
        <v>2293</v>
      </c>
      <c r="HN9" s="1741"/>
      <c r="HO9" s="1742"/>
      <c r="HP9" s="452" t="s">
        <v>2294</v>
      </c>
      <c r="HQ9" s="452" t="s">
        <v>2143</v>
      </c>
      <c r="HR9" s="452" t="s">
        <v>2269</v>
      </c>
      <c r="HS9" s="452" t="s">
        <v>2270</v>
      </c>
      <c r="HT9" s="464" t="s">
        <v>34</v>
      </c>
      <c r="HU9" s="464" t="s">
        <v>2365</v>
      </c>
      <c r="IA9" s="443" t="s">
        <v>2286</v>
      </c>
      <c r="IB9" s="455" t="s">
        <v>2289</v>
      </c>
      <c r="IC9" s="443" t="s">
        <v>2169</v>
      </c>
      <c r="ID9" s="452" t="s">
        <v>2288</v>
      </c>
      <c r="IE9" s="443" t="s">
        <v>2164</v>
      </c>
      <c r="IF9" s="452" t="s">
        <v>2287</v>
      </c>
      <c r="IG9" s="452" t="s">
        <v>2284</v>
      </c>
      <c r="IH9" s="452" t="s">
        <v>2285</v>
      </c>
      <c r="II9" s="452" t="s">
        <v>2291</v>
      </c>
      <c r="IJ9" s="452" t="s">
        <v>2292</v>
      </c>
      <c r="IK9" s="452" t="s">
        <v>2285</v>
      </c>
      <c r="IL9" s="452" t="s">
        <v>58</v>
      </c>
      <c r="IM9" s="1740" t="s">
        <v>2293</v>
      </c>
      <c r="IN9" s="1741"/>
      <c r="IO9" s="1742"/>
      <c r="IP9" s="452" t="s">
        <v>2294</v>
      </c>
      <c r="IQ9" s="452" t="s">
        <v>2143</v>
      </c>
      <c r="IR9" s="452" t="s">
        <v>2269</v>
      </c>
      <c r="IS9" s="452" t="s">
        <v>2270</v>
      </c>
      <c r="IT9" s="464" t="s">
        <v>34</v>
      </c>
      <c r="IU9" s="464" t="s">
        <v>2365</v>
      </c>
      <c r="JA9" s="443" t="s">
        <v>2286</v>
      </c>
      <c r="JB9" s="455" t="s">
        <v>2289</v>
      </c>
      <c r="JC9" s="443" t="s">
        <v>2169</v>
      </c>
      <c r="JD9" s="452" t="s">
        <v>2288</v>
      </c>
      <c r="JE9" s="443" t="s">
        <v>2164</v>
      </c>
      <c r="JF9" s="452" t="s">
        <v>2287</v>
      </c>
      <c r="JG9" s="452" t="s">
        <v>2284</v>
      </c>
      <c r="JH9" s="452" t="s">
        <v>2285</v>
      </c>
      <c r="JI9" s="452" t="s">
        <v>2291</v>
      </c>
      <c r="JJ9" s="452" t="s">
        <v>2292</v>
      </c>
      <c r="JK9" s="452" t="s">
        <v>2285</v>
      </c>
      <c r="JL9" s="452" t="s">
        <v>58</v>
      </c>
      <c r="JM9" s="1740" t="s">
        <v>2293</v>
      </c>
      <c r="JN9" s="1741"/>
      <c r="JO9" s="1742"/>
      <c r="JP9" s="452" t="s">
        <v>2294</v>
      </c>
      <c r="JQ9" s="452" t="s">
        <v>2143</v>
      </c>
      <c r="JR9" s="452" t="s">
        <v>2269</v>
      </c>
      <c r="JS9" s="452" t="s">
        <v>2270</v>
      </c>
      <c r="JT9" s="464" t="s">
        <v>34</v>
      </c>
      <c r="JU9" s="464" t="s">
        <v>2365</v>
      </c>
      <c r="KA9" s="443" t="s">
        <v>2286</v>
      </c>
      <c r="KB9" s="455" t="s">
        <v>2289</v>
      </c>
      <c r="KC9" s="443" t="s">
        <v>2169</v>
      </c>
      <c r="KD9" s="452" t="s">
        <v>2288</v>
      </c>
      <c r="KE9" s="443" t="s">
        <v>2164</v>
      </c>
      <c r="KF9" s="452" t="s">
        <v>2287</v>
      </c>
      <c r="KG9" s="452" t="s">
        <v>2284</v>
      </c>
      <c r="KH9" s="452" t="s">
        <v>2285</v>
      </c>
      <c r="KI9" s="452" t="s">
        <v>2291</v>
      </c>
      <c r="KJ9" s="452" t="s">
        <v>2292</v>
      </c>
      <c r="KK9" s="452" t="s">
        <v>2285</v>
      </c>
      <c r="KL9" s="452" t="s">
        <v>58</v>
      </c>
      <c r="KM9" s="1740" t="s">
        <v>2293</v>
      </c>
      <c r="KN9" s="1741"/>
      <c r="KO9" s="1742"/>
      <c r="KP9" s="452" t="s">
        <v>2294</v>
      </c>
      <c r="KQ9" s="452" t="s">
        <v>2143</v>
      </c>
      <c r="KR9" s="452" t="s">
        <v>2269</v>
      </c>
      <c r="KS9" s="452" t="s">
        <v>2270</v>
      </c>
      <c r="KT9" s="464" t="s">
        <v>34</v>
      </c>
      <c r="KU9" s="464" t="s">
        <v>2365</v>
      </c>
      <c r="LA9" s="443" t="s">
        <v>2286</v>
      </c>
      <c r="LB9" s="455" t="s">
        <v>2289</v>
      </c>
      <c r="LC9" s="443" t="s">
        <v>2169</v>
      </c>
      <c r="LD9" s="452" t="s">
        <v>2288</v>
      </c>
      <c r="LE9" s="443" t="s">
        <v>2164</v>
      </c>
      <c r="LF9" s="452" t="s">
        <v>2287</v>
      </c>
      <c r="LG9" s="452" t="s">
        <v>2284</v>
      </c>
      <c r="LH9" s="452" t="s">
        <v>2285</v>
      </c>
      <c r="LI9" s="452" t="s">
        <v>2291</v>
      </c>
      <c r="LJ9" s="452" t="s">
        <v>2292</v>
      </c>
      <c r="LK9" s="452" t="s">
        <v>2285</v>
      </c>
      <c r="LL9" s="452" t="s">
        <v>58</v>
      </c>
      <c r="LM9" s="1740" t="s">
        <v>2293</v>
      </c>
      <c r="LN9" s="1741"/>
      <c r="LO9" s="1742"/>
      <c r="LP9" s="452" t="s">
        <v>2294</v>
      </c>
      <c r="LQ9" s="452" t="s">
        <v>2143</v>
      </c>
      <c r="LR9" s="452" t="s">
        <v>2269</v>
      </c>
      <c r="LS9" s="452" t="s">
        <v>2270</v>
      </c>
      <c r="LT9" s="464" t="s">
        <v>34</v>
      </c>
      <c r="LU9" s="464" t="s">
        <v>2365</v>
      </c>
      <c r="MA9" s="443" t="s">
        <v>2286</v>
      </c>
      <c r="MB9" s="455" t="s">
        <v>2289</v>
      </c>
      <c r="MC9" s="443" t="s">
        <v>2169</v>
      </c>
      <c r="MD9" s="452" t="s">
        <v>2288</v>
      </c>
      <c r="ME9" s="443" t="s">
        <v>2164</v>
      </c>
      <c r="MF9" s="452" t="s">
        <v>2287</v>
      </c>
      <c r="MG9" s="452" t="s">
        <v>2284</v>
      </c>
      <c r="MH9" s="452" t="s">
        <v>2285</v>
      </c>
      <c r="MI9" s="452" t="s">
        <v>2291</v>
      </c>
      <c r="MJ9" s="452" t="s">
        <v>2292</v>
      </c>
      <c r="MK9" s="452" t="s">
        <v>2285</v>
      </c>
      <c r="ML9" s="452" t="s">
        <v>58</v>
      </c>
      <c r="MM9" s="1740" t="s">
        <v>2293</v>
      </c>
      <c r="MN9" s="1741"/>
      <c r="MO9" s="1742"/>
      <c r="MP9" s="452" t="s">
        <v>2294</v>
      </c>
      <c r="MQ9" s="452" t="s">
        <v>2143</v>
      </c>
      <c r="MR9" s="452" t="s">
        <v>2269</v>
      </c>
      <c r="MS9" s="452" t="s">
        <v>2270</v>
      </c>
      <c r="MT9" s="464" t="s">
        <v>34</v>
      </c>
      <c r="MU9" s="464" t="s">
        <v>2365</v>
      </c>
      <c r="NA9" s="443" t="s">
        <v>2286</v>
      </c>
      <c r="NB9" s="455" t="s">
        <v>2289</v>
      </c>
      <c r="NC9" s="443" t="s">
        <v>2169</v>
      </c>
      <c r="ND9" s="452" t="s">
        <v>2288</v>
      </c>
      <c r="NE9" s="443" t="s">
        <v>2164</v>
      </c>
      <c r="NF9" s="452" t="s">
        <v>2287</v>
      </c>
      <c r="NG9" s="452" t="s">
        <v>2284</v>
      </c>
      <c r="NH9" s="452" t="s">
        <v>2285</v>
      </c>
      <c r="NI9" s="452" t="s">
        <v>2291</v>
      </c>
      <c r="NJ9" s="452" t="s">
        <v>2292</v>
      </c>
      <c r="NK9" s="452" t="s">
        <v>2285</v>
      </c>
      <c r="NL9" s="452" t="s">
        <v>58</v>
      </c>
      <c r="NM9" s="1740" t="s">
        <v>2293</v>
      </c>
      <c r="NN9" s="1741"/>
      <c r="NO9" s="1742"/>
      <c r="NP9" s="452" t="s">
        <v>2294</v>
      </c>
      <c r="NQ9" s="452" t="s">
        <v>2143</v>
      </c>
      <c r="NR9" s="452" t="s">
        <v>2269</v>
      </c>
      <c r="NS9" s="452" t="s">
        <v>2270</v>
      </c>
      <c r="NT9" s="464" t="s">
        <v>34</v>
      </c>
      <c r="NU9" s="464" t="s">
        <v>2365</v>
      </c>
      <c r="OA9" s="443" t="s">
        <v>2286</v>
      </c>
      <c r="OB9" s="455" t="s">
        <v>2289</v>
      </c>
      <c r="OC9" s="443" t="s">
        <v>2169</v>
      </c>
      <c r="OD9" s="452" t="s">
        <v>2288</v>
      </c>
      <c r="OE9" s="443" t="s">
        <v>2164</v>
      </c>
      <c r="OF9" s="452" t="s">
        <v>2287</v>
      </c>
      <c r="OG9" s="452" t="s">
        <v>2284</v>
      </c>
      <c r="OH9" s="452" t="s">
        <v>2285</v>
      </c>
      <c r="OI9" s="452" t="s">
        <v>2291</v>
      </c>
      <c r="OJ9" s="452" t="s">
        <v>2292</v>
      </c>
      <c r="OK9" s="452" t="s">
        <v>2285</v>
      </c>
      <c r="OL9" s="452" t="s">
        <v>58</v>
      </c>
      <c r="OM9" s="1740" t="s">
        <v>2293</v>
      </c>
      <c r="ON9" s="1741"/>
      <c r="OO9" s="1742"/>
      <c r="OP9" s="452" t="s">
        <v>2294</v>
      </c>
      <c r="OQ9" s="452" t="s">
        <v>2143</v>
      </c>
      <c r="OR9" s="452" t="s">
        <v>2269</v>
      </c>
      <c r="OS9" s="452" t="s">
        <v>2270</v>
      </c>
      <c r="OT9" s="464" t="s">
        <v>34</v>
      </c>
      <c r="OU9" s="464" t="s">
        <v>2365</v>
      </c>
      <c r="PA9" s="443" t="s">
        <v>2286</v>
      </c>
      <c r="PB9" s="455" t="s">
        <v>2289</v>
      </c>
      <c r="PC9" s="443" t="s">
        <v>2169</v>
      </c>
      <c r="PD9" s="452" t="s">
        <v>2288</v>
      </c>
      <c r="PE9" s="443" t="s">
        <v>2164</v>
      </c>
      <c r="PF9" s="452" t="s">
        <v>2287</v>
      </c>
      <c r="PG9" s="452" t="s">
        <v>2284</v>
      </c>
      <c r="PH9" s="452" t="s">
        <v>2285</v>
      </c>
      <c r="PI9" s="452" t="s">
        <v>2291</v>
      </c>
      <c r="PJ9" s="452" t="s">
        <v>2292</v>
      </c>
      <c r="PK9" s="452" t="s">
        <v>2285</v>
      </c>
      <c r="PL9" s="452" t="s">
        <v>58</v>
      </c>
      <c r="PM9" s="1740" t="s">
        <v>2293</v>
      </c>
      <c r="PN9" s="1741"/>
      <c r="PO9" s="1742"/>
      <c r="PP9" s="452" t="s">
        <v>2294</v>
      </c>
      <c r="PQ9" s="452" t="s">
        <v>2143</v>
      </c>
      <c r="PR9" s="452" t="s">
        <v>2269</v>
      </c>
      <c r="PS9" s="452" t="s">
        <v>2270</v>
      </c>
      <c r="PT9" s="464" t="s">
        <v>34</v>
      </c>
      <c r="PU9" s="464" t="s">
        <v>2365</v>
      </c>
      <c r="QA9" s="443" t="s">
        <v>2286</v>
      </c>
      <c r="QB9" s="455" t="s">
        <v>2289</v>
      </c>
      <c r="QC9" s="443" t="s">
        <v>2169</v>
      </c>
      <c r="QD9" s="452" t="s">
        <v>2288</v>
      </c>
      <c r="QE9" s="443" t="s">
        <v>2164</v>
      </c>
      <c r="QF9" s="452" t="s">
        <v>2287</v>
      </c>
      <c r="QG9" s="452" t="s">
        <v>2284</v>
      </c>
      <c r="QH9" s="452" t="s">
        <v>2285</v>
      </c>
      <c r="QI9" s="452" t="s">
        <v>2291</v>
      </c>
      <c r="QJ9" s="452" t="s">
        <v>2292</v>
      </c>
      <c r="QK9" s="452" t="s">
        <v>2285</v>
      </c>
      <c r="QL9" s="452" t="s">
        <v>58</v>
      </c>
      <c r="QM9" s="1740" t="s">
        <v>2293</v>
      </c>
      <c r="QN9" s="1741"/>
      <c r="QO9" s="1742"/>
      <c r="QP9" s="452" t="s">
        <v>2294</v>
      </c>
      <c r="QQ9" s="452" t="s">
        <v>2143</v>
      </c>
      <c r="QR9" s="452" t="s">
        <v>2269</v>
      </c>
      <c r="QS9" s="452" t="s">
        <v>2270</v>
      </c>
      <c r="QT9" s="464" t="s">
        <v>34</v>
      </c>
      <c r="QU9" s="464" t="s">
        <v>2365</v>
      </c>
      <c r="RA9" s="443" t="s">
        <v>2286</v>
      </c>
      <c r="RB9" s="455" t="s">
        <v>2289</v>
      </c>
      <c r="RC9" s="443" t="s">
        <v>2169</v>
      </c>
      <c r="RD9" s="452" t="s">
        <v>2288</v>
      </c>
      <c r="RE9" s="443" t="s">
        <v>2164</v>
      </c>
      <c r="RF9" s="452" t="s">
        <v>2287</v>
      </c>
      <c r="RG9" s="452" t="s">
        <v>2284</v>
      </c>
      <c r="RH9" s="452" t="s">
        <v>2285</v>
      </c>
      <c r="RI9" s="452" t="s">
        <v>2291</v>
      </c>
      <c r="RJ9" s="452" t="s">
        <v>2292</v>
      </c>
      <c r="RK9" s="452" t="s">
        <v>2285</v>
      </c>
      <c r="RL9" s="452" t="s">
        <v>58</v>
      </c>
      <c r="RM9" s="1740" t="s">
        <v>2293</v>
      </c>
      <c r="RN9" s="1741"/>
      <c r="RO9" s="1742"/>
      <c r="RP9" s="452" t="s">
        <v>2294</v>
      </c>
      <c r="RQ9" s="452" t="s">
        <v>2143</v>
      </c>
      <c r="RR9" s="452" t="s">
        <v>2269</v>
      </c>
      <c r="RS9" s="452" t="s">
        <v>2270</v>
      </c>
      <c r="RT9" s="464" t="s">
        <v>34</v>
      </c>
      <c r="RU9" s="464" t="s">
        <v>2365</v>
      </c>
      <c r="SA9" s="443" t="s">
        <v>2286</v>
      </c>
      <c r="SB9" s="455" t="s">
        <v>2289</v>
      </c>
      <c r="SC9" s="443" t="s">
        <v>2169</v>
      </c>
      <c r="SD9" s="452" t="s">
        <v>2288</v>
      </c>
      <c r="SE9" s="443" t="s">
        <v>2164</v>
      </c>
      <c r="SF9" s="452" t="s">
        <v>2287</v>
      </c>
      <c r="SG9" s="452" t="s">
        <v>2284</v>
      </c>
      <c r="SH9" s="452" t="s">
        <v>2285</v>
      </c>
      <c r="SI9" s="452" t="s">
        <v>2291</v>
      </c>
      <c r="SJ9" s="452" t="s">
        <v>2292</v>
      </c>
      <c r="SK9" s="452" t="s">
        <v>2285</v>
      </c>
      <c r="SL9" s="452" t="s">
        <v>58</v>
      </c>
      <c r="SM9" s="1740" t="s">
        <v>2293</v>
      </c>
      <c r="SN9" s="1741"/>
      <c r="SO9" s="1742"/>
      <c r="SP9" s="452" t="s">
        <v>2294</v>
      </c>
      <c r="SQ9" s="452" t="s">
        <v>2143</v>
      </c>
      <c r="SR9" s="452" t="s">
        <v>2269</v>
      </c>
      <c r="SS9" s="452" t="s">
        <v>2270</v>
      </c>
      <c r="ST9" s="464" t="s">
        <v>34</v>
      </c>
      <c r="SU9" s="464" t="s">
        <v>2365</v>
      </c>
      <c r="TA9" s="752" t="s">
        <v>2286</v>
      </c>
      <c r="TB9" s="455" t="s">
        <v>2289</v>
      </c>
      <c r="TC9" s="752" t="s">
        <v>2169</v>
      </c>
      <c r="TD9" s="452" t="s">
        <v>2288</v>
      </c>
      <c r="TE9" s="752" t="s">
        <v>2164</v>
      </c>
      <c r="TF9" s="452" t="s">
        <v>2287</v>
      </c>
      <c r="TG9" s="452" t="s">
        <v>2284</v>
      </c>
      <c r="TH9" s="452" t="s">
        <v>2285</v>
      </c>
      <c r="TI9" s="452" t="s">
        <v>2291</v>
      </c>
      <c r="TJ9" s="452" t="s">
        <v>2292</v>
      </c>
      <c r="TK9" s="452" t="s">
        <v>2285</v>
      </c>
      <c r="TL9" s="452" t="s">
        <v>58</v>
      </c>
      <c r="TM9" s="1740" t="s">
        <v>2293</v>
      </c>
      <c r="TN9" s="1741"/>
      <c r="TO9" s="1742"/>
      <c r="TP9" s="452" t="s">
        <v>2294</v>
      </c>
      <c r="TQ9" s="452" t="s">
        <v>2143</v>
      </c>
      <c r="TR9" s="452" t="s">
        <v>2269</v>
      </c>
      <c r="TS9" s="452" t="s">
        <v>2270</v>
      </c>
      <c r="TT9" s="754" t="s">
        <v>34</v>
      </c>
      <c r="TU9" s="754" t="s">
        <v>2365</v>
      </c>
      <c r="UA9" s="752" t="s">
        <v>2286</v>
      </c>
      <c r="UB9" s="455" t="s">
        <v>2289</v>
      </c>
      <c r="UC9" s="752" t="s">
        <v>2169</v>
      </c>
      <c r="UD9" s="452" t="s">
        <v>2288</v>
      </c>
      <c r="UE9" s="752" t="s">
        <v>2164</v>
      </c>
      <c r="UF9" s="452" t="s">
        <v>2287</v>
      </c>
      <c r="UG9" s="452" t="s">
        <v>2284</v>
      </c>
      <c r="UH9" s="452" t="s">
        <v>2285</v>
      </c>
      <c r="UI9" s="452" t="s">
        <v>2291</v>
      </c>
      <c r="UJ9" s="452" t="s">
        <v>2292</v>
      </c>
      <c r="UK9" s="452" t="s">
        <v>2285</v>
      </c>
      <c r="UL9" s="452" t="s">
        <v>58</v>
      </c>
      <c r="UM9" s="1740" t="s">
        <v>2293</v>
      </c>
      <c r="UN9" s="1741"/>
      <c r="UO9" s="1742"/>
      <c r="UP9" s="452" t="s">
        <v>2294</v>
      </c>
      <c r="UQ9" s="452" t="s">
        <v>2143</v>
      </c>
      <c r="UR9" s="452" t="s">
        <v>2269</v>
      </c>
      <c r="US9" s="452" t="s">
        <v>2270</v>
      </c>
      <c r="UT9" s="754" t="s">
        <v>34</v>
      </c>
      <c r="UU9" s="754" t="s">
        <v>2365</v>
      </c>
      <c r="VA9" s="1023" t="s">
        <v>2286</v>
      </c>
      <c r="VB9" s="455" t="s">
        <v>2289</v>
      </c>
      <c r="VC9" s="1023" t="s">
        <v>2169</v>
      </c>
      <c r="VD9" s="452" t="s">
        <v>2288</v>
      </c>
      <c r="VE9" s="1023" t="s">
        <v>2164</v>
      </c>
      <c r="VF9" s="452" t="s">
        <v>2287</v>
      </c>
      <c r="VG9" s="452" t="s">
        <v>2284</v>
      </c>
      <c r="VH9" s="452" t="s">
        <v>2285</v>
      </c>
      <c r="VI9" s="452" t="s">
        <v>2291</v>
      </c>
      <c r="VJ9" s="452" t="s">
        <v>2292</v>
      </c>
      <c r="VK9" s="452" t="s">
        <v>2285</v>
      </c>
      <c r="VL9" s="452" t="s">
        <v>58</v>
      </c>
      <c r="VM9" s="1740" t="s">
        <v>2293</v>
      </c>
      <c r="VN9" s="1741"/>
      <c r="VO9" s="1742"/>
      <c r="VP9" s="452" t="s">
        <v>2294</v>
      </c>
      <c r="VQ9" s="452" t="s">
        <v>2143</v>
      </c>
      <c r="VR9" s="452" t="s">
        <v>2269</v>
      </c>
      <c r="VS9" s="452" t="s">
        <v>2270</v>
      </c>
      <c r="VT9" s="1025" t="s">
        <v>34</v>
      </c>
      <c r="VU9" s="1025" t="s">
        <v>2365</v>
      </c>
      <c r="WA9" s="1023" t="s">
        <v>2286</v>
      </c>
      <c r="WB9" s="455" t="s">
        <v>2289</v>
      </c>
      <c r="WC9" s="1023" t="s">
        <v>2169</v>
      </c>
      <c r="WD9" s="452" t="s">
        <v>2288</v>
      </c>
      <c r="WE9" s="1023" t="s">
        <v>2164</v>
      </c>
      <c r="WF9" s="452" t="s">
        <v>2287</v>
      </c>
      <c r="WG9" s="452" t="s">
        <v>2284</v>
      </c>
      <c r="WH9" s="452" t="s">
        <v>2285</v>
      </c>
      <c r="WI9" s="452" t="s">
        <v>2291</v>
      </c>
      <c r="WJ9" s="452" t="s">
        <v>2292</v>
      </c>
      <c r="WK9" s="452" t="s">
        <v>2285</v>
      </c>
      <c r="WL9" s="452" t="s">
        <v>58</v>
      </c>
      <c r="WM9" s="1740" t="s">
        <v>2293</v>
      </c>
      <c r="WN9" s="1741"/>
      <c r="WO9" s="1742"/>
      <c r="WP9" s="452" t="s">
        <v>2294</v>
      </c>
      <c r="WQ9" s="452" t="s">
        <v>2143</v>
      </c>
      <c r="WR9" s="452" t="s">
        <v>2269</v>
      </c>
      <c r="WS9" s="452" t="s">
        <v>2270</v>
      </c>
      <c r="WT9" s="1025" t="s">
        <v>34</v>
      </c>
      <c r="WU9" s="1025" t="s">
        <v>2365</v>
      </c>
    </row>
    <row r="10" spans="1:619">
      <c r="I10" s="716"/>
      <c r="J10" s="716"/>
      <c r="K10" s="716"/>
      <c r="L10" s="947"/>
      <c r="M10" s="947"/>
      <c r="N10" s="947"/>
      <c r="O10" s="947"/>
      <c r="P10" s="947"/>
      <c r="Q10" s="947"/>
      <c r="R10" s="947"/>
      <c r="S10" s="947"/>
      <c r="T10" s="960">
        <f>SUMIF(($A$15:$A$120),TRUE,(T15:T120))</f>
        <v>10000</v>
      </c>
      <c r="U10" s="960"/>
      <c r="V10" s="960">
        <f t="shared" ref="V10:AG10" si="0">SUMIF(($A$15:$A$120),TRUE,(V15:V120))</f>
        <v>10000</v>
      </c>
      <c r="W10" s="960"/>
      <c r="X10" s="960">
        <f t="shared" si="0"/>
        <v>10000</v>
      </c>
      <c r="Y10" s="960">
        <f t="shared" si="0"/>
        <v>120000</v>
      </c>
      <c r="Z10" s="960">
        <f t="shared" si="0"/>
        <v>120000</v>
      </c>
      <c r="AA10" s="960">
        <f t="shared" si="0"/>
        <v>120000</v>
      </c>
      <c r="AB10" s="960"/>
      <c r="AC10" s="960" t="e">
        <f t="shared" si="0"/>
        <v>#N/A</v>
      </c>
      <c r="AD10" s="960" t="e">
        <f t="shared" si="0"/>
        <v>#N/A</v>
      </c>
      <c r="AE10" s="960" t="e">
        <f t="shared" si="0"/>
        <v>#N/A</v>
      </c>
      <c r="AF10" s="960" t="e">
        <f t="shared" si="0"/>
        <v>#N/A</v>
      </c>
      <c r="AG10" s="960">
        <f t="shared" si="0"/>
        <v>120000</v>
      </c>
      <c r="AH10" s="961"/>
      <c r="AI10" s="962">
        <f>SUM(AI15:AI120)</f>
        <v>7938.903172413794</v>
      </c>
      <c r="AJ10" s="962">
        <f t="shared" ref="AJ10:AK10" si="1">SUM(AJ15:AJ120)</f>
        <v>2884</v>
      </c>
      <c r="AK10" s="962">
        <f t="shared" si="1"/>
        <v>5030.903172413794</v>
      </c>
      <c r="AL10" s="962">
        <f t="shared" ref="AL10:BB10" si="2">SUM(AL15:AL120)</f>
        <v>64</v>
      </c>
      <c r="AM10" s="962">
        <f t="shared" si="2"/>
        <v>301.95781432360775</v>
      </c>
      <c r="AN10" s="962">
        <f t="shared" si="2"/>
        <v>0</v>
      </c>
      <c r="AO10" s="962">
        <f t="shared" si="2"/>
        <v>365.95781432360775</v>
      </c>
      <c r="AP10" s="962">
        <f t="shared" si="2"/>
        <v>0</v>
      </c>
      <c r="AQ10" s="962">
        <f t="shared" si="2"/>
        <v>24</v>
      </c>
      <c r="AR10" s="962">
        <f t="shared" si="2"/>
        <v>7548.9453580901863</v>
      </c>
      <c r="AS10" s="962"/>
      <c r="AT10" s="962"/>
      <c r="AU10" s="962">
        <f t="shared" si="2"/>
        <v>2330.7692307692305</v>
      </c>
      <c r="AV10" s="962">
        <f t="shared" si="2"/>
        <v>380.76923076923077</v>
      </c>
      <c r="AW10" s="962">
        <f t="shared" si="2"/>
        <v>248.77241379310345</v>
      </c>
      <c r="AX10" s="962">
        <f t="shared" si="2"/>
        <v>622.17931034482763</v>
      </c>
      <c r="AY10" s="962">
        <f t="shared" si="2"/>
        <v>307.36551724137928</v>
      </c>
      <c r="AZ10" s="962">
        <f t="shared" si="2"/>
        <v>739.36551724137939</v>
      </c>
      <c r="BA10" s="962">
        <f t="shared" si="2"/>
        <v>973.7379310344827</v>
      </c>
      <c r="BB10" s="962">
        <f t="shared" si="2"/>
        <v>1945.9862068965519</v>
      </c>
      <c r="BC10" s="962">
        <f t="shared" ref="BC10:CI10" si="3">SUM(BC15:BC120)</f>
        <v>2820</v>
      </c>
      <c r="BD10" s="962">
        <f t="shared" si="3"/>
        <v>2711.5384615384614</v>
      </c>
      <c r="BE10" s="962">
        <f>SUM(BE15:BE120)</f>
        <v>2330.7692307692305</v>
      </c>
      <c r="BF10" s="962">
        <f t="shared" si="3"/>
        <v>380.76923076923077</v>
      </c>
      <c r="BG10" s="962">
        <f t="shared" si="3"/>
        <v>0</v>
      </c>
      <c r="BH10" s="962">
        <f t="shared" si="3"/>
        <v>0</v>
      </c>
      <c r="BI10" s="962">
        <f t="shared" si="3"/>
        <v>0</v>
      </c>
      <c r="BJ10" s="962">
        <f t="shared" si="3"/>
        <v>0</v>
      </c>
      <c r="BK10" s="962">
        <f t="shared" si="3"/>
        <v>0</v>
      </c>
      <c r="BL10" s="962">
        <f t="shared" si="3"/>
        <v>0</v>
      </c>
      <c r="BM10" s="962">
        <f t="shared" si="3"/>
        <v>0</v>
      </c>
      <c r="BN10" s="962">
        <f t="shared" si="3"/>
        <v>0</v>
      </c>
      <c r="BO10" s="962">
        <f t="shared" si="3"/>
        <v>5030.903172413794</v>
      </c>
      <c r="BP10" s="962">
        <f t="shared" si="3"/>
        <v>4837.4068965517245</v>
      </c>
      <c r="BQ10" s="962">
        <f t="shared" si="3"/>
        <v>0</v>
      </c>
      <c r="BR10" s="962">
        <f t="shared" si="3"/>
        <v>0</v>
      </c>
      <c r="BS10" s="962">
        <f t="shared" si="3"/>
        <v>248.77241379310345</v>
      </c>
      <c r="BT10" s="962">
        <f t="shared" si="3"/>
        <v>622.17931034482763</v>
      </c>
      <c r="BU10" s="962">
        <f t="shared" si="3"/>
        <v>307.36551724137928</v>
      </c>
      <c r="BV10" s="962">
        <f t="shared" si="3"/>
        <v>739.36551724137939</v>
      </c>
      <c r="BW10" s="962">
        <f t="shared" si="3"/>
        <v>973.7379310344827</v>
      </c>
      <c r="BX10" s="962">
        <f t="shared" si="3"/>
        <v>1945.9862068965519</v>
      </c>
      <c r="BY10" s="962">
        <f t="shared" si="3"/>
        <v>0</v>
      </c>
      <c r="BZ10" s="962"/>
      <c r="CA10" s="962">
        <f t="shared" si="3"/>
        <v>0</v>
      </c>
      <c r="CB10" s="962">
        <f t="shared" si="3"/>
        <v>64</v>
      </c>
      <c r="CC10" s="962">
        <f t="shared" si="3"/>
        <v>0</v>
      </c>
      <c r="CD10" s="962">
        <f t="shared" si="3"/>
        <v>0</v>
      </c>
      <c r="CE10" s="962">
        <f t="shared" si="3"/>
        <v>0</v>
      </c>
      <c r="CF10" s="962">
        <f t="shared" si="3"/>
        <v>0</v>
      </c>
      <c r="CG10" s="962">
        <f t="shared" si="3"/>
        <v>0</v>
      </c>
      <c r="CH10" s="962">
        <f t="shared" si="3"/>
        <v>0</v>
      </c>
      <c r="CI10" s="962">
        <f t="shared" si="3"/>
        <v>0</v>
      </c>
      <c r="CJ10" s="962">
        <f t="shared" ref="CJ10:CS10" si="4">SUM(CJ15:CJ120)</f>
        <v>0</v>
      </c>
      <c r="CK10" s="962">
        <f t="shared" si="4"/>
        <v>7914.9031724137931</v>
      </c>
      <c r="CL10" s="962">
        <f t="shared" si="4"/>
        <v>2488</v>
      </c>
      <c r="CM10" s="962">
        <f t="shared" si="4"/>
        <v>396</v>
      </c>
      <c r="CN10" s="962">
        <f t="shared" si="4"/>
        <v>258.72331034482761</v>
      </c>
      <c r="CO10" s="962">
        <f t="shared" si="4"/>
        <v>647.06648275862062</v>
      </c>
      <c r="CP10" s="962">
        <f t="shared" si="4"/>
        <v>319.66013793103446</v>
      </c>
      <c r="CQ10" s="962">
        <f t="shared" si="4"/>
        <v>768.94013793103454</v>
      </c>
      <c r="CR10" s="962">
        <f t="shared" si="4"/>
        <v>1012.6874482758622</v>
      </c>
      <c r="CS10" s="962">
        <f t="shared" si="4"/>
        <v>2023.8256551724139</v>
      </c>
      <c r="CT10" s="962">
        <f t="shared" ref="CT10:DC10" si="5">SUM(CT15:CT120)</f>
        <v>0</v>
      </c>
      <c r="CU10" s="962">
        <f t="shared" si="5"/>
        <v>7548.9453580901854</v>
      </c>
      <c r="CV10" s="962">
        <f t="shared" si="5"/>
        <v>2330.7692307692305</v>
      </c>
      <c r="CW10" s="962">
        <f t="shared" si="5"/>
        <v>380.76923076923077</v>
      </c>
      <c r="CX10" s="962">
        <f t="shared" si="5"/>
        <v>248.77241379310345</v>
      </c>
      <c r="CY10" s="962">
        <f t="shared" si="5"/>
        <v>622.17931034482763</v>
      </c>
      <c r="CZ10" s="962">
        <f t="shared" si="5"/>
        <v>307.36551724137928</v>
      </c>
      <c r="DA10" s="962">
        <f t="shared" si="5"/>
        <v>739.36551724137939</v>
      </c>
      <c r="DB10" s="962">
        <f t="shared" si="5"/>
        <v>973.7379310344827</v>
      </c>
      <c r="DC10" s="962">
        <f t="shared" si="5"/>
        <v>1945.9862068965519</v>
      </c>
      <c r="DD10" s="512"/>
      <c r="DE10" s="512"/>
      <c r="DF10" s="512"/>
      <c r="DG10" s="512"/>
      <c r="DH10" s="512"/>
      <c r="DI10" s="512"/>
      <c r="DJ10" s="512"/>
      <c r="DK10" s="512"/>
      <c r="DL10" s="512"/>
      <c r="DM10" s="512"/>
      <c r="DN10" s="512"/>
      <c r="DO10" s="512"/>
      <c r="DP10" s="512"/>
      <c r="DQ10" s="512"/>
      <c r="DR10" s="512"/>
      <c r="DS10" s="512"/>
      <c r="DT10" s="512"/>
      <c r="DU10" s="512"/>
      <c r="DV10" s="512"/>
      <c r="DW10" s="512"/>
      <c r="DX10" s="512"/>
      <c r="DY10" s="512"/>
      <c r="DZ10" s="512"/>
      <c r="EA10" s="512"/>
      <c r="EB10" s="512"/>
      <c r="EC10" s="512"/>
      <c r="ED10" s="512"/>
      <c r="EE10" s="512"/>
      <c r="EF10" s="512"/>
      <c r="EG10" s="512"/>
      <c r="EH10" s="512"/>
      <c r="EI10" s="512"/>
      <c r="EJ10" s="512"/>
      <c r="EK10" s="512"/>
      <c r="EL10" s="512"/>
      <c r="EM10" s="512"/>
      <c r="EN10" s="512"/>
      <c r="EO10" s="512"/>
      <c r="EP10" s="512"/>
      <c r="EQ10" s="512"/>
      <c r="ER10" s="512"/>
      <c r="ES10" s="512"/>
      <c r="ET10" s="512"/>
      <c r="EU10" s="512"/>
      <c r="EV10" s="512"/>
      <c r="EW10" s="512"/>
      <c r="EX10" s="512"/>
      <c r="EY10" s="512"/>
      <c r="EZ10" s="512"/>
      <c r="FA10" s="512"/>
      <c r="FB10" s="512"/>
      <c r="FC10" s="512"/>
      <c r="FD10" s="512"/>
      <c r="FE10" s="512"/>
      <c r="FF10" s="512"/>
      <c r="FG10" s="512"/>
      <c r="FH10" s="512"/>
      <c r="FI10" s="512"/>
      <c r="FJ10" s="512"/>
      <c r="FK10" s="512"/>
      <c r="FL10" s="512"/>
      <c r="FM10" s="512"/>
      <c r="FN10" s="512"/>
      <c r="FO10" s="512"/>
      <c r="FP10" s="512"/>
      <c r="FQ10" s="512"/>
      <c r="FR10" s="512"/>
      <c r="FS10" s="512"/>
      <c r="FT10" s="512"/>
      <c r="FU10" s="512"/>
      <c r="FV10" s="512"/>
      <c r="FW10" s="512"/>
      <c r="FX10" s="512"/>
      <c r="FY10" s="512"/>
      <c r="FZ10" s="512"/>
      <c r="GA10" s="512"/>
      <c r="GB10" s="512"/>
      <c r="GC10" s="512"/>
      <c r="GD10" s="512"/>
      <c r="GE10" s="512"/>
      <c r="GF10" s="512"/>
      <c r="GG10" s="512"/>
      <c r="GH10" s="512"/>
      <c r="GI10" s="512"/>
      <c r="GJ10" s="512"/>
      <c r="GK10" s="512"/>
      <c r="GL10" s="512"/>
      <c r="GM10" s="512"/>
      <c r="GN10" s="512"/>
      <c r="GO10" s="512"/>
      <c r="GP10" s="512"/>
      <c r="GQ10" s="512"/>
      <c r="GR10" s="512"/>
      <c r="GS10" s="512"/>
      <c r="GT10" s="512"/>
      <c r="GU10" s="512"/>
      <c r="GV10" s="512"/>
      <c r="GW10" s="512"/>
      <c r="GX10" s="512"/>
      <c r="GY10" s="512"/>
      <c r="GZ10" s="512"/>
      <c r="HA10" s="512"/>
      <c r="HB10" s="512"/>
      <c r="HC10" s="512"/>
      <c r="HD10" s="512"/>
      <c r="HE10" s="512"/>
      <c r="HF10" s="512"/>
      <c r="HG10" s="512"/>
      <c r="HH10" s="512"/>
      <c r="HI10" s="512"/>
      <c r="HJ10" s="512"/>
      <c r="HK10" s="512"/>
      <c r="HL10" s="512"/>
      <c r="HM10" s="512"/>
      <c r="HN10" s="512"/>
      <c r="HO10" s="512"/>
      <c r="HP10" s="512"/>
      <c r="HQ10" s="512"/>
      <c r="HR10" s="512"/>
      <c r="HS10" s="512"/>
      <c r="HT10" s="512"/>
      <c r="HU10" s="512"/>
      <c r="HV10" s="512"/>
      <c r="HW10" s="512"/>
      <c r="HX10" s="512"/>
      <c r="HY10" s="512"/>
      <c r="HZ10" s="512"/>
      <c r="IA10" s="512"/>
      <c r="IB10" s="512"/>
      <c r="IC10" s="512"/>
      <c r="ID10" s="512"/>
      <c r="IE10" s="512"/>
      <c r="IF10" s="512"/>
      <c r="IG10" s="512"/>
      <c r="IH10" s="512"/>
      <c r="II10" s="512"/>
      <c r="IJ10" s="512"/>
      <c r="IK10" s="512"/>
      <c r="IL10" s="512"/>
      <c r="IM10" s="512"/>
      <c r="IN10" s="512"/>
      <c r="IO10" s="512"/>
      <c r="IP10" s="512"/>
      <c r="IQ10" s="512"/>
      <c r="IR10" s="512"/>
      <c r="IS10" s="512"/>
      <c r="IT10" s="512"/>
      <c r="IU10" s="512"/>
      <c r="IV10" s="512"/>
      <c r="IW10" s="512"/>
      <c r="IX10" s="512"/>
      <c r="IY10" s="512"/>
      <c r="IZ10" s="512"/>
      <c r="JA10" s="512"/>
      <c r="JB10" s="512"/>
      <c r="JC10" s="512"/>
      <c r="JD10" s="512"/>
      <c r="JE10" s="512"/>
      <c r="JF10" s="512"/>
      <c r="JG10" s="512"/>
      <c r="JH10" s="512"/>
      <c r="JI10" s="512"/>
      <c r="JJ10" s="512"/>
      <c r="JK10" s="512"/>
      <c r="JL10" s="512"/>
      <c r="JM10" s="512"/>
      <c r="JN10" s="512"/>
      <c r="JO10" s="512"/>
      <c r="JP10" s="512"/>
      <c r="JQ10" s="512"/>
      <c r="JR10" s="512"/>
      <c r="JS10" s="512"/>
      <c r="JT10" s="512"/>
      <c r="JU10" s="512"/>
      <c r="JV10" s="512"/>
      <c r="JW10" s="512"/>
      <c r="JX10" s="512"/>
      <c r="JY10" s="512"/>
      <c r="JZ10" s="512"/>
      <c r="KA10" s="512"/>
      <c r="KB10" s="512"/>
      <c r="KC10" s="512"/>
      <c r="KD10" s="512"/>
      <c r="KE10" s="512"/>
      <c r="KF10" s="512"/>
      <c r="KG10" s="512"/>
      <c r="KH10" s="512"/>
      <c r="KI10" s="512"/>
      <c r="KJ10" s="512"/>
      <c r="KK10" s="512"/>
      <c r="KL10" s="512"/>
      <c r="KM10" s="512"/>
      <c r="KN10" s="512"/>
      <c r="KO10" s="512"/>
      <c r="KP10" s="512"/>
      <c r="KQ10" s="512"/>
      <c r="KR10" s="512"/>
      <c r="KS10" s="512"/>
      <c r="KT10" s="512"/>
      <c r="KU10" s="512"/>
      <c r="KV10" s="512"/>
      <c r="KW10" s="512"/>
      <c r="KX10" s="512"/>
      <c r="KY10" s="512"/>
      <c r="KZ10" s="512"/>
      <c r="LA10" s="512"/>
      <c r="LB10" s="512"/>
      <c r="LC10" s="512"/>
      <c r="LD10" s="512"/>
      <c r="LE10" s="512"/>
      <c r="LF10" s="512"/>
      <c r="LG10" s="512"/>
      <c r="LH10" s="512"/>
      <c r="LI10" s="512"/>
      <c r="LJ10" s="512"/>
      <c r="LK10" s="512"/>
      <c r="LL10" s="512"/>
      <c r="LM10" s="512"/>
      <c r="LN10" s="512"/>
      <c r="LO10" s="512"/>
      <c r="LP10" s="512"/>
      <c r="LQ10" s="512"/>
      <c r="LR10" s="512"/>
      <c r="LS10" s="512"/>
      <c r="LT10" s="512"/>
      <c r="LU10" s="512"/>
      <c r="LV10" s="512"/>
      <c r="LW10" s="512"/>
      <c r="LX10" s="512"/>
      <c r="LY10" s="512"/>
      <c r="LZ10" s="512"/>
      <c r="MA10" s="512"/>
      <c r="MB10" s="512"/>
      <c r="MC10" s="512"/>
      <c r="MD10" s="512"/>
      <c r="ME10" s="512"/>
      <c r="MF10" s="512"/>
      <c r="MG10" s="512"/>
      <c r="MH10" s="512"/>
      <c r="MI10" s="512"/>
      <c r="MJ10" s="512"/>
      <c r="MK10" s="512"/>
      <c r="ML10" s="512"/>
      <c r="MM10" s="512"/>
      <c r="MN10" s="512"/>
      <c r="MO10" s="512"/>
      <c r="MP10" s="512"/>
      <c r="MQ10" s="512"/>
      <c r="MR10" s="512"/>
      <c r="MS10" s="512"/>
      <c r="MT10" s="512"/>
      <c r="MU10" s="512"/>
      <c r="MV10" s="512"/>
      <c r="MW10" s="512"/>
      <c r="MX10" s="512"/>
      <c r="MY10" s="512"/>
      <c r="MZ10" s="512"/>
      <c r="NA10" s="512"/>
      <c r="NB10" s="512"/>
      <c r="NC10" s="512"/>
      <c r="ND10" s="512"/>
      <c r="NE10" s="512"/>
      <c r="NF10" s="512"/>
      <c r="NG10" s="512"/>
      <c r="NH10" s="512"/>
      <c r="NI10" s="512"/>
      <c r="NJ10" s="512"/>
      <c r="NK10" s="512"/>
      <c r="NL10" s="512"/>
      <c r="NM10" s="512"/>
      <c r="NN10" s="512"/>
      <c r="NO10" s="512"/>
      <c r="NP10" s="512"/>
      <c r="NQ10" s="512"/>
      <c r="NR10" s="512"/>
      <c r="NS10" s="512"/>
      <c r="NT10" s="512"/>
      <c r="NU10" s="512"/>
      <c r="NV10" s="512"/>
      <c r="NW10" s="512"/>
      <c r="NX10" s="512"/>
      <c r="NY10" s="512"/>
      <c r="NZ10" s="512"/>
      <c r="OA10" s="512"/>
      <c r="OB10" s="512"/>
      <c r="OC10" s="512"/>
      <c r="OD10" s="512"/>
      <c r="OE10" s="512"/>
      <c r="OF10" s="512"/>
      <c r="OG10" s="512"/>
      <c r="OH10" s="512"/>
      <c r="OI10" s="512"/>
      <c r="OJ10" s="512"/>
      <c r="OK10" s="512"/>
      <c r="OL10" s="512"/>
      <c r="OM10" s="512"/>
      <c r="ON10" s="512"/>
      <c r="OO10" s="512"/>
      <c r="OP10" s="512"/>
      <c r="OQ10" s="512"/>
      <c r="OR10" s="512"/>
      <c r="OS10" s="512"/>
      <c r="OT10" s="512"/>
      <c r="OU10" s="512"/>
      <c r="OV10" s="512"/>
      <c r="OW10" s="512"/>
      <c r="OX10" s="512"/>
      <c r="OY10" s="512"/>
      <c r="OZ10" s="512"/>
      <c r="PA10" s="512"/>
      <c r="PB10" s="512"/>
      <c r="PC10" s="512"/>
      <c r="PD10" s="512"/>
      <c r="PE10" s="512"/>
      <c r="PF10" s="512"/>
      <c r="PG10" s="512"/>
      <c r="PH10" s="512"/>
      <c r="PI10" s="512"/>
      <c r="PJ10" s="512"/>
      <c r="PK10" s="512"/>
      <c r="PL10" s="512"/>
      <c r="PM10" s="512"/>
      <c r="PN10" s="512"/>
      <c r="PO10" s="512"/>
      <c r="PP10" s="512"/>
      <c r="PQ10" s="512"/>
      <c r="PR10" s="512"/>
      <c r="PS10" s="512"/>
      <c r="PT10" s="512"/>
      <c r="PU10" s="512"/>
      <c r="PV10" s="512"/>
      <c r="PW10" s="512"/>
      <c r="PX10" s="512"/>
      <c r="PY10" s="512"/>
      <c r="PZ10" s="512"/>
      <c r="QA10" s="512"/>
      <c r="QB10" s="512"/>
      <c r="QC10" s="512"/>
      <c r="QD10" s="512"/>
      <c r="QE10" s="512"/>
      <c r="QF10" s="512"/>
      <c r="QG10" s="512"/>
      <c r="QH10" s="512"/>
      <c r="QI10" s="512"/>
      <c r="QJ10" s="512"/>
      <c r="QK10" s="512"/>
      <c r="QL10" s="512"/>
      <c r="QM10" s="512"/>
      <c r="QN10" s="512"/>
      <c r="QO10" s="512"/>
      <c r="QP10" s="512"/>
      <c r="QQ10" s="512"/>
      <c r="QR10" s="512"/>
      <c r="QS10" s="512"/>
      <c r="QT10" s="512"/>
      <c r="QU10" s="512"/>
      <c r="QV10" s="512"/>
      <c r="QW10" s="512"/>
      <c r="QX10" s="512"/>
      <c r="QY10" s="512"/>
      <c r="QZ10" s="512"/>
      <c r="RA10" s="512"/>
      <c r="RB10" s="512"/>
      <c r="RC10" s="512"/>
      <c r="RD10" s="512"/>
      <c r="RE10" s="512"/>
      <c r="RF10" s="512"/>
      <c r="RG10" s="512"/>
      <c r="RH10" s="512"/>
      <c r="RI10" s="512"/>
      <c r="RJ10" s="512"/>
      <c r="RK10" s="512"/>
      <c r="RL10" s="512"/>
      <c r="RM10" s="512"/>
      <c r="RN10" s="512"/>
      <c r="RO10" s="512"/>
      <c r="RP10" s="512"/>
      <c r="RQ10" s="512"/>
      <c r="RR10" s="512"/>
      <c r="RS10" s="512"/>
      <c r="RT10" s="512"/>
      <c r="RU10" s="512"/>
      <c r="RV10" s="512"/>
      <c r="RW10" s="512"/>
      <c r="RX10" s="512"/>
      <c r="RY10" s="512"/>
      <c r="RZ10" s="512"/>
      <c r="SA10" s="512"/>
      <c r="SB10" s="512"/>
      <c r="SC10" s="512"/>
      <c r="SD10" s="512"/>
      <c r="SE10" s="512"/>
      <c r="SF10" s="512"/>
      <c r="SG10" s="512"/>
      <c r="SH10" s="512"/>
      <c r="SI10" s="512"/>
      <c r="SJ10" s="512"/>
      <c r="SK10" s="512"/>
      <c r="SL10" s="512"/>
      <c r="SM10" s="512"/>
      <c r="SN10" s="512"/>
      <c r="SO10" s="512"/>
      <c r="SP10" s="512"/>
      <c r="SQ10" s="512"/>
      <c r="SR10" s="512"/>
      <c r="SS10" s="512"/>
      <c r="ST10" s="512"/>
      <c r="SU10" s="512"/>
      <c r="SV10" s="512"/>
      <c r="SW10" s="512"/>
      <c r="SX10" s="512"/>
      <c r="SY10" s="512"/>
      <c r="SZ10" s="512"/>
      <c r="TA10" s="512"/>
      <c r="TB10" s="512"/>
      <c r="TC10" s="512"/>
      <c r="TD10" s="512"/>
      <c r="TE10" s="512"/>
      <c r="TF10" s="512"/>
      <c r="TG10" s="512"/>
      <c r="TH10" s="512"/>
      <c r="TI10" s="512"/>
      <c r="TJ10" s="512"/>
      <c r="TK10" s="512"/>
      <c r="TL10" s="512"/>
      <c r="TM10" s="512"/>
      <c r="TN10" s="512"/>
      <c r="TO10" s="512"/>
      <c r="TP10" s="512"/>
      <c r="TQ10" s="512"/>
      <c r="TR10" s="512"/>
      <c r="TS10" s="512"/>
      <c r="TT10" s="512"/>
      <c r="TU10" s="512"/>
      <c r="UA10" s="512"/>
      <c r="UB10" s="512"/>
      <c r="UC10" s="512"/>
      <c r="UD10" s="512"/>
      <c r="UE10" s="512"/>
      <c r="UF10" s="512"/>
      <c r="UG10" s="512"/>
      <c r="UH10" s="512"/>
      <c r="UI10" s="512"/>
      <c r="UJ10" s="512"/>
      <c r="UK10" s="512"/>
      <c r="UL10" s="512"/>
      <c r="UM10" s="512"/>
      <c r="UN10" s="512"/>
      <c r="UO10" s="512"/>
      <c r="UP10" s="512"/>
      <c r="UQ10" s="512"/>
      <c r="UR10" s="512"/>
      <c r="US10" s="512"/>
      <c r="UT10" s="512"/>
      <c r="UU10" s="512"/>
      <c r="VA10" s="512"/>
      <c r="VB10" s="512"/>
      <c r="VC10" s="512"/>
      <c r="VD10" s="512"/>
      <c r="VE10" s="512"/>
      <c r="VF10" s="512"/>
      <c r="VG10" s="512"/>
      <c r="VH10" s="512"/>
      <c r="VI10" s="512"/>
      <c r="VJ10" s="512"/>
      <c r="VK10" s="512"/>
      <c r="VL10" s="512"/>
      <c r="VM10" s="512"/>
      <c r="VN10" s="512"/>
      <c r="VO10" s="512"/>
      <c r="VP10" s="512"/>
      <c r="VQ10" s="512"/>
      <c r="VR10" s="512"/>
      <c r="VS10" s="512"/>
      <c r="VT10" s="512"/>
      <c r="VU10" s="512"/>
      <c r="WA10" s="512"/>
      <c r="WB10" s="512"/>
      <c r="WC10" s="512"/>
      <c r="WD10" s="512"/>
      <c r="WE10" s="512"/>
      <c r="WF10" s="512"/>
      <c r="WG10" s="512"/>
      <c r="WH10" s="512"/>
      <c r="WI10" s="512"/>
      <c r="WJ10" s="512"/>
      <c r="WK10" s="512"/>
      <c r="WL10" s="512"/>
      <c r="WM10" s="512"/>
      <c r="WN10" s="512"/>
      <c r="WO10" s="512"/>
      <c r="WP10" s="512"/>
      <c r="WQ10" s="512"/>
      <c r="WR10" s="512"/>
      <c r="WS10" s="512"/>
      <c r="WT10" s="512"/>
      <c r="WU10" s="512"/>
    </row>
    <row r="11" spans="1:619" ht="15" customHeight="1">
      <c r="I11" s="716"/>
      <c r="J11" s="716"/>
      <c r="K11" s="716"/>
      <c r="L11" s="476"/>
      <c r="M11" s="476"/>
      <c r="N11" s="476"/>
      <c r="O11" s="476"/>
      <c r="P11" s="476"/>
      <c r="Q11" s="947"/>
      <c r="R11" s="476"/>
      <c r="S11" s="476"/>
      <c r="T11" s="360"/>
      <c r="U11" s="360"/>
      <c r="V11" s="360"/>
      <c r="W11" s="360"/>
      <c r="X11" s="947"/>
      <c r="Y11" s="476"/>
      <c r="Z11" s="476"/>
      <c r="AA11" s="476"/>
      <c r="AB11" s="476"/>
      <c r="AC11" s="476"/>
      <c r="AD11" s="476"/>
      <c r="AE11" s="476"/>
      <c r="AF11" s="476"/>
      <c r="AG11" s="476"/>
      <c r="AH11" s="947"/>
      <c r="AI11" s="1763" t="s">
        <v>2143</v>
      </c>
      <c r="AJ11" s="1775" t="s">
        <v>2849</v>
      </c>
      <c r="AK11" s="1775" t="s">
        <v>2850</v>
      </c>
      <c r="AL11" s="1763" t="s">
        <v>2134</v>
      </c>
      <c r="AM11" s="1763" t="s">
        <v>2208</v>
      </c>
      <c r="AN11" s="1775" t="s">
        <v>2841</v>
      </c>
      <c r="AO11" s="1764" t="s">
        <v>2223</v>
      </c>
      <c r="AP11" s="1763" t="s">
        <v>2552</v>
      </c>
      <c r="AQ11" s="1763"/>
      <c r="AR11" s="1719" t="s">
        <v>2328</v>
      </c>
      <c r="AS11" s="545"/>
      <c r="AT11" s="545"/>
      <c r="AU11" s="1692" t="s">
        <v>2006</v>
      </c>
      <c r="AV11" s="1692" t="s">
        <v>2219</v>
      </c>
      <c r="AW11" s="1692" t="s">
        <v>197</v>
      </c>
      <c r="AX11" s="1692" t="s">
        <v>197</v>
      </c>
      <c r="AY11" s="1692" t="s">
        <v>198</v>
      </c>
      <c r="AZ11" s="1692" t="s">
        <v>198</v>
      </c>
      <c r="BA11" s="1692" t="s">
        <v>199</v>
      </c>
      <c r="BB11" s="1692" t="s">
        <v>199</v>
      </c>
      <c r="BC11" s="1773" t="s">
        <v>2222</v>
      </c>
      <c r="BD11" s="1692" t="s">
        <v>2221</v>
      </c>
      <c r="BE11" s="1692" t="s">
        <v>2006</v>
      </c>
      <c r="BF11" s="1692" t="s">
        <v>2219</v>
      </c>
      <c r="BG11" s="1756" t="s">
        <v>2696</v>
      </c>
      <c r="BH11" s="1756" t="s">
        <v>2697</v>
      </c>
      <c r="BI11" s="1692" t="s">
        <v>197</v>
      </c>
      <c r="BJ11" s="1692" t="s">
        <v>197</v>
      </c>
      <c r="BK11" s="1692" t="s">
        <v>198</v>
      </c>
      <c r="BL11" s="1692" t="s">
        <v>198</v>
      </c>
      <c r="BM11" s="1692" t="s">
        <v>199</v>
      </c>
      <c r="BN11" s="1758" t="s">
        <v>199</v>
      </c>
      <c r="BO11" s="543"/>
      <c r="BP11" s="1692" t="s">
        <v>2135</v>
      </c>
      <c r="BQ11" s="1692" t="s">
        <v>2006</v>
      </c>
      <c r="BR11" s="1692" t="s">
        <v>2219</v>
      </c>
      <c r="BS11" s="1692" t="s">
        <v>197</v>
      </c>
      <c r="BT11" s="1692" t="s">
        <v>197</v>
      </c>
      <c r="BU11" s="1692" t="s">
        <v>198</v>
      </c>
      <c r="BV11" s="1692" t="s">
        <v>198</v>
      </c>
      <c r="BW11" s="1692" t="s">
        <v>199</v>
      </c>
      <c r="BX11" s="1758" t="s">
        <v>199</v>
      </c>
      <c r="BY11" s="487"/>
      <c r="BZ11" s="1692" t="s">
        <v>2134</v>
      </c>
      <c r="CA11" s="1692" t="s">
        <v>2134</v>
      </c>
      <c r="CB11" s="1692" t="s">
        <v>2006</v>
      </c>
      <c r="CC11" s="1692" t="s">
        <v>2219</v>
      </c>
      <c r="CD11" s="1692" t="s">
        <v>197</v>
      </c>
      <c r="CE11" s="1692" t="s">
        <v>197</v>
      </c>
      <c r="CF11" s="1692" t="s">
        <v>198</v>
      </c>
      <c r="CG11" s="1692" t="s">
        <v>198</v>
      </c>
      <c r="CH11" s="1692" t="s">
        <v>199</v>
      </c>
      <c r="CI11" s="1758" t="s">
        <v>199</v>
      </c>
      <c r="CJ11" s="1773" t="s">
        <v>2369</v>
      </c>
      <c r="CK11" s="1692" t="s">
        <v>58</v>
      </c>
      <c r="CL11" s="1692" t="s">
        <v>2006</v>
      </c>
      <c r="CM11" s="1692" t="s">
        <v>2219</v>
      </c>
      <c r="CN11" s="1692" t="s">
        <v>197</v>
      </c>
      <c r="CO11" s="1692" t="s">
        <v>197</v>
      </c>
      <c r="CP11" s="1692" t="s">
        <v>198</v>
      </c>
      <c r="CQ11" s="1692" t="s">
        <v>198</v>
      </c>
      <c r="CR11" s="1692" t="s">
        <v>199</v>
      </c>
      <c r="CS11" s="1758" t="s">
        <v>199</v>
      </c>
      <c r="CT11" s="535"/>
      <c r="CU11" s="1692" t="s">
        <v>2364</v>
      </c>
      <c r="CV11" s="1692" t="s">
        <v>2006</v>
      </c>
      <c r="CW11" s="1692" t="s">
        <v>2219</v>
      </c>
      <c r="CX11" s="1692" t="s">
        <v>197</v>
      </c>
      <c r="CY11" s="1692" t="s">
        <v>197</v>
      </c>
      <c r="CZ11" s="1692" t="s">
        <v>198</v>
      </c>
      <c r="DA11" s="1692" t="s">
        <v>198</v>
      </c>
      <c r="DB11" s="1692" t="s">
        <v>199</v>
      </c>
      <c r="DC11" s="1758" t="s">
        <v>199</v>
      </c>
      <c r="DD11" s="234"/>
      <c r="DE11" s="234"/>
      <c r="DF11" s="271"/>
      <c r="DG11" s="305"/>
      <c r="DH11" s="305"/>
      <c r="DI11" s="305"/>
      <c r="DJ11" s="305"/>
      <c r="DK11" s="301">
        <f>SUM(DK15:DK120)/TAXE</f>
        <v>2241.124260355029</v>
      </c>
      <c r="DL11" s="301"/>
      <c r="DM11" s="301">
        <f>SUM(DM15:DM120)/TAXE</f>
        <v>0</v>
      </c>
      <c r="DN11" s="301">
        <f>SUM(DN15:DN120)/TAXE</f>
        <v>2241.124260355029</v>
      </c>
      <c r="DO11" s="301">
        <f>SUM(DO15:DO120)/TAXE</f>
        <v>2330.7692307692305</v>
      </c>
      <c r="DP11" s="301"/>
      <c r="DQ11" s="301"/>
      <c r="DR11" s="301"/>
      <c r="DS11" s="301">
        <f>SUM(DS15:DS120)/TAXE</f>
        <v>29.23076923076923</v>
      </c>
      <c r="DT11" s="301">
        <f>SUM(DT15:DT120)/TAXE</f>
        <v>2360</v>
      </c>
      <c r="DU11" s="301">
        <f>SUM(DU15:DU120)/TAXE</f>
        <v>2360</v>
      </c>
      <c r="DV11" s="301">
        <f t="shared" ref="DV11" si="6">SUM(DV15:DV120)/1.04</f>
        <v>0</v>
      </c>
      <c r="DW11" s="234"/>
      <c r="DX11" s="301">
        <f>SUM(DX15:DX120)/TAXE</f>
        <v>2360</v>
      </c>
      <c r="DY11" s="369"/>
      <c r="DZ11" s="369"/>
      <c r="EA11" s="234"/>
      <c r="EB11" s="234"/>
      <c r="EC11" s="271"/>
      <c r="ED11" s="305"/>
      <c r="EE11" s="305"/>
      <c r="EF11" s="305"/>
      <c r="EG11" s="305"/>
      <c r="EH11" s="305"/>
      <c r="EI11" s="305"/>
      <c r="EJ11" s="301">
        <f t="shared" ref="EJ11" si="7">SUM(EJ15:EJ120)/1.04</f>
        <v>2241.124260355029</v>
      </c>
      <c r="EK11" s="301"/>
      <c r="EL11" s="301"/>
      <c r="EM11" s="301">
        <f t="shared" ref="EM11:EP11" si="8">SUM(EM15:EM120)/1.04</f>
        <v>0</v>
      </c>
      <c r="EN11" s="301">
        <f t="shared" si="8"/>
        <v>2241.124260355029</v>
      </c>
      <c r="EO11" s="301"/>
      <c r="EP11" s="301">
        <f t="shared" si="8"/>
        <v>2330.7692307692305</v>
      </c>
      <c r="EQ11" s="301"/>
      <c r="ER11" s="301"/>
      <c r="ES11" s="301"/>
      <c r="ET11" s="301">
        <f t="shared" ref="ET11:EW11" si="9">SUM(ET15:ET120)/1.04</f>
        <v>61.538461538461533</v>
      </c>
      <c r="EU11" s="301">
        <f t="shared" si="9"/>
        <v>2392.3076923076924</v>
      </c>
      <c r="EV11" s="301">
        <f t="shared" si="9"/>
        <v>2392.3076923076924</v>
      </c>
      <c r="EW11" s="301">
        <f t="shared" si="9"/>
        <v>0</v>
      </c>
      <c r="EX11" s="234"/>
      <c r="EY11" s="301">
        <f t="shared" ref="EY11" si="10">SUM(EY15:EY120)/1.04</f>
        <v>2392.3076923076924</v>
      </c>
      <c r="FA11" s="234"/>
      <c r="FB11" s="234"/>
      <c r="FC11" s="271"/>
      <c r="FD11" s="305"/>
      <c r="FE11" s="305"/>
      <c r="FF11" s="305"/>
      <c r="FG11" s="301">
        <f t="shared" ref="FG11:FH11" si="11">SUM(FG15:FG120)/1.04</f>
        <v>366.12426035502961</v>
      </c>
      <c r="FH11" s="301">
        <f t="shared" si="11"/>
        <v>366.12426035502961</v>
      </c>
      <c r="FI11" s="301"/>
      <c r="FJ11" s="301">
        <f t="shared" ref="FJ11:FL11" si="12">SUM(FJ15:FJ120)/1.04</f>
        <v>0</v>
      </c>
      <c r="FK11" s="301">
        <f t="shared" si="12"/>
        <v>366.12426035502961</v>
      </c>
      <c r="FL11" s="301">
        <f t="shared" si="12"/>
        <v>380.76923076923077</v>
      </c>
      <c r="FM11" s="301"/>
      <c r="FN11" s="301"/>
      <c r="FO11" s="301"/>
      <c r="FP11" s="301">
        <f t="shared" ref="FP11:FS11" si="13">SUM(FP15:FP120)/1.04</f>
        <v>0</v>
      </c>
      <c r="FQ11" s="301">
        <f t="shared" si="13"/>
        <v>380.76923076923077</v>
      </c>
      <c r="FR11" s="301">
        <f t="shared" si="13"/>
        <v>380.76923076923077</v>
      </c>
      <c r="FS11" s="301">
        <f t="shared" si="13"/>
        <v>0</v>
      </c>
      <c r="FT11" s="234"/>
      <c r="FU11" s="301">
        <f t="shared" ref="FU11" si="14">SUM(FU15:FU120)/1.04</f>
        <v>380.76923076923077</v>
      </c>
      <c r="FV11" s="475"/>
      <c r="FW11" s="475"/>
      <c r="FX11" s="475"/>
      <c r="FY11" s="475"/>
      <c r="FZ11" s="475"/>
      <c r="GA11" s="234"/>
      <c r="GB11" s="234"/>
      <c r="GC11" s="271"/>
      <c r="GD11" s="305"/>
      <c r="GE11" s="305"/>
      <c r="GF11" s="305"/>
      <c r="GG11" s="301">
        <f t="shared" ref="GG11:GH11" si="15">SUM(GG15:GG120)/1.04</f>
        <v>366.12426035502961</v>
      </c>
      <c r="GH11" s="301">
        <f t="shared" si="15"/>
        <v>366.12426035502961</v>
      </c>
      <c r="GI11" s="301"/>
      <c r="GJ11" s="301">
        <f t="shared" ref="GJ11:GL11" si="16">SUM(GJ15:GJ120)/1.04</f>
        <v>0</v>
      </c>
      <c r="GK11" s="301">
        <f t="shared" si="16"/>
        <v>366.12426035502961</v>
      </c>
      <c r="GL11" s="301">
        <f t="shared" si="16"/>
        <v>380.76923076923077</v>
      </c>
      <c r="GM11" s="301"/>
      <c r="GN11" s="301"/>
      <c r="GO11" s="301"/>
      <c r="GP11" s="301">
        <f t="shared" ref="GP11:GS11" si="17">SUM(GP15:GP120)/1.04</f>
        <v>0</v>
      </c>
      <c r="GQ11" s="301">
        <f t="shared" si="17"/>
        <v>380.76923076923077</v>
      </c>
      <c r="GR11" s="301">
        <f t="shared" si="17"/>
        <v>380.76923076923077</v>
      </c>
      <c r="GS11" s="301">
        <f t="shared" si="17"/>
        <v>0</v>
      </c>
      <c r="GT11" s="234"/>
      <c r="GU11" s="301">
        <f t="shared" ref="GU11" si="18">SUM(GU15:GU120)/1.04</f>
        <v>380.76923076923077</v>
      </c>
      <c r="GV11" s="475"/>
      <c r="GW11" s="476"/>
      <c r="GX11" s="476"/>
      <c r="GY11" s="476"/>
      <c r="GZ11" s="476"/>
      <c r="HA11" s="234"/>
      <c r="HB11" s="234"/>
      <c r="HC11" s="271"/>
      <c r="HD11" s="305"/>
      <c r="HE11" s="305"/>
      <c r="HF11" s="305"/>
      <c r="HG11" s="301">
        <f t="shared" ref="HG11:HH11" si="19">SUM(HG15:HG120)/1.04</f>
        <v>239.20424403183023</v>
      </c>
      <c r="HH11" s="301">
        <f t="shared" si="19"/>
        <v>239.20424403183023</v>
      </c>
      <c r="HI11" s="301"/>
      <c r="HJ11" s="301">
        <f t="shared" ref="HJ11:HL11" si="20">SUM(HJ15:HJ120)/1.04</f>
        <v>0</v>
      </c>
      <c r="HK11" s="301">
        <f t="shared" si="20"/>
        <v>239.20424403183023</v>
      </c>
      <c r="HL11" s="301">
        <f t="shared" si="20"/>
        <v>248.77241379310345</v>
      </c>
      <c r="HM11" s="301"/>
      <c r="HN11" s="301"/>
      <c r="HO11" s="301"/>
      <c r="HP11" s="301">
        <f t="shared" ref="HP11:HS11" si="21">SUM(HP15:HP120)/1.04</f>
        <v>0</v>
      </c>
      <c r="HQ11" s="301">
        <f t="shared" si="21"/>
        <v>248.77241379310345</v>
      </c>
      <c r="HR11" s="301">
        <f t="shared" si="21"/>
        <v>248.77241379310345</v>
      </c>
      <c r="HS11" s="301">
        <f t="shared" si="21"/>
        <v>0</v>
      </c>
      <c r="HT11" s="234"/>
      <c r="HU11" s="301">
        <f t="shared" ref="HU11" si="22">SUM(HU15:HU120)/1.04</f>
        <v>248.77241379310345</v>
      </c>
      <c r="IA11" s="234"/>
      <c r="IB11" s="234"/>
      <c r="IC11" s="271"/>
      <c r="ID11" s="305"/>
      <c r="IE11" s="305"/>
      <c r="IF11" s="305"/>
      <c r="IG11" s="301">
        <f t="shared" ref="IG11:IH11" si="23">SUM(IG15:IG120)/1.04</f>
        <v>239.20424403183023</v>
      </c>
      <c r="IH11" s="301">
        <f t="shared" si="23"/>
        <v>239.20424403183023</v>
      </c>
      <c r="II11" s="301"/>
      <c r="IJ11" s="301">
        <f t="shared" ref="IJ11:IL11" si="24">SUM(IJ15:IJ120)/1.04</f>
        <v>0</v>
      </c>
      <c r="IK11" s="301">
        <f t="shared" si="24"/>
        <v>239.20424403183023</v>
      </c>
      <c r="IL11" s="301">
        <f t="shared" si="24"/>
        <v>248.77241379310345</v>
      </c>
      <c r="IM11" s="301"/>
      <c r="IN11" s="301"/>
      <c r="IO11" s="301"/>
      <c r="IP11" s="301">
        <f t="shared" ref="IP11:IS11" si="25">SUM(IP15:IP120)/1.04</f>
        <v>0</v>
      </c>
      <c r="IQ11" s="301">
        <f t="shared" si="25"/>
        <v>248.77241379310345</v>
      </c>
      <c r="IR11" s="301">
        <f t="shared" si="25"/>
        <v>248.77241379310345</v>
      </c>
      <c r="IS11" s="301">
        <f t="shared" si="25"/>
        <v>0</v>
      </c>
      <c r="IT11" s="234"/>
      <c r="IU11" s="301">
        <f t="shared" ref="IU11" si="26">SUM(IU15:IU120)/1.04</f>
        <v>248.77241379310345</v>
      </c>
      <c r="JA11" s="234"/>
      <c r="JB11" s="234"/>
      <c r="JC11" s="271"/>
      <c r="JD11" s="305"/>
      <c r="JE11" s="305"/>
      <c r="JF11" s="305"/>
      <c r="JG11" s="301">
        <f t="shared" ref="JG11:JH11" si="27">SUM(JG15:JG120)/1.04</f>
        <v>598.24933687002658</v>
      </c>
      <c r="JH11" s="301">
        <f t="shared" si="27"/>
        <v>598.24933687002658</v>
      </c>
      <c r="JI11" s="301"/>
      <c r="JJ11" s="301">
        <f t="shared" ref="JJ11:JL11" si="28">SUM(JJ15:JJ120)/1.04</f>
        <v>0</v>
      </c>
      <c r="JK11" s="301">
        <f t="shared" si="28"/>
        <v>598.24933687002658</v>
      </c>
      <c r="JL11" s="301">
        <f t="shared" si="28"/>
        <v>622.17931034482763</v>
      </c>
      <c r="JM11" s="301"/>
      <c r="JN11" s="301"/>
      <c r="JO11" s="301"/>
      <c r="JP11" s="301">
        <f t="shared" ref="JP11:JS11" si="29">SUM(JP15:JP120)/1.04</f>
        <v>0</v>
      </c>
      <c r="JQ11" s="301">
        <f t="shared" si="29"/>
        <v>622.17931034482763</v>
      </c>
      <c r="JR11" s="301">
        <f t="shared" si="29"/>
        <v>622.17931034482763</v>
      </c>
      <c r="JS11" s="301">
        <f t="shared" si="29"/>
        <v>0</v>
      </c>
      <c r="JT11" s="234"/>
      <c r="JU11" s="301">
        <f t="shared" ref="JU11" si="30">SUM(JU15:JU120)/1.04</f>
        <v>622.17931034482751</v>
      </c>
      <c r="KA11" s="234"/>
      <c r="KB11" s="234"/>
      <c r="KC11" s="271"/>
      <c r="KD11" s="305"/>
      <c r="KE11" s="305"/>
      <c r="KF11" s="305"/>
      <c r="KG11" s="301">
        <f t="shared" ref="KG11:KH11" si="31">SUM(KG15:KG120)/1.04</f>
        <v>598.24933687002658</v>
      </c>
      <c r="KH11" s="301">
        <f t="shared" si="31"/>
        <v>598.24933687002658</v>
      </c>
      <c r="KI11" s="301"/>
      <c r="KJ11" s="301">
        <f t="shared" ref="KJ11:KL11" si="32">SUM(KJ15:KJ120)/1.04</f>
        <v>0</v>
      </c>
      <c r="KK11" s="301">
        <f t="shared" si="32"/>
        <v>598.24933687002658</v>
      </c>
      <c r="KL11" s="301">
        <f t="shared" si="32"/>
        <v>622.17931034482763</v>
      </c>
      <c r="KM11" s="301"/>
      <c r="KN11" s="301"/>
      <c r="KO11" s="301"/>
      <c r="KP11" s="301">
        <f t="shared" ref="KP11:KS11" si="33">SUM(KP15:KP120)/1.04</f>
        <v>0</v>
      </c>
      <c r="KQ11" s="301">
        <f t="shared" si="33"/>
        <v>622.17931034482763</v>
      </c>
      <c r="KR11" s="301">
        <f t="shared" si="33"/>
        <v>622.17931034482763</v>
      </c>
      <c r="KS11" s="301">
        <f t="shared" si="33"/>
        <v>0</v>
      </c>
      <c r="KT11" s="234"/>
      <c r="KU11" s="301">
        <f t="shared" ref="KU11" si="34">SUM(KU15:KU120)/1.04</f>
        <v>622.17931034482751</v>
      </c>
      <c r="LA11" s="234"/>
      <c r="LB11" s="234"/>
      <c r="LC11" s="271"/>
      <c r="LD11" s="305"/>
      <c r="LE11" s="305"/>
      <c r="LF11" s="305"/>
      <c r="LG11" s="301">
        <f t="shared" ref="LG11:LH11" si="35">SUM(LG15:LG120)/1.04</f>
        <v>295.54376657824929</v>
      </c>
      <c r="LH11" s="301">
        <f t="shared" si="35"/>
        <v>295.54376657824929</v>
      </c>
      <c r="LI11" s="301"/>
      <c r="LJ11" s="301">
        <f t="shared" ref="LJ11:LL11" si="36">SUM(LJ15:LJ120)/1.04</f>
        <v>0</v>
      </c>
      <c r="LK11" s="301">
        <f t="shared" si="36"/>
        <v>295.54376657824929</v>
      </c>
      <c r="LL11" s="301">
        <f t="shared" si="36"/>
        <v>307.36551724137928</v>
      </c>
      <c r="LM11" s="301"/>
      <c r="LN11" s="301"/>
      <c r="LO11" s="301"/>
      <c r="LP11" s="301">
        <f t="shared" ref="LP11:LS11" si="37">SUM(LP15:LP120)/1.04</f>
        <v>0</v>
      </c>
      <c r="LQ11" s="301">
        <f t="shared" si="37"/>
        <v>307.36551724137928</v>
      </c>
      <c r="LR11" s="301">
        <f t="shared" si="37"/>
        <v>307.36551724137928</v>
      </c>
      <c r="LS11" s="301">
        <f t="shared" si="37"/>
        <v>0</v>
      </c>
      <c r="LT11" s="234"/>
      <c r="LU11" s="301">
        <f t="shared" ref="LU11" si="38">SUM(LU15:LU120)/1.04</f>
        <v>307.36551724137928</v>
      </c>
      <c r="MA11" s="234"/>
      <c r="MB11" s="234"/>
      <c r="MC11" s="271"/>
      <c r="MD11" s="305"/>
      <c r="ME11" s="305"/>
      <c r="MF11" s="305"/>
      <c r="MG11" s="301">
        <f t="shared" ref="MG11:MH11" si="39">SUM(MG15:MG120)/1.04</f>
        <v>295.54376657824929</v>
      </c>
      <c r="MH11" s="301">
        <f t="shared" si="39"/>
        <v>295.54376657824929</v>
      </c>
      <c r="MI11" s="301"/>
      <c r="MJ11" s="301">
        <f t="shared" ref="MJ11:ML11" si="40">SUM(MJ15:MJ120)/1.04</f>
        <v>0</v>
      </c>
      <c r="MK11" s="301">
        <f t="shared" si="40"/>
        <v>295.54376657824929</v>
      </c>
      <c r="ML11" s="301">
        <f t="shared" si="40"/>
        <v>307.36551724137928</v>
      </c>
      <c r="MM11" s="301"/>
      <c r="MN11" s="301"/>
      <c r="MO11" s="301"/>
      <c r="MP11" s="301">
        <f t="shared" ref="MP11:MS11" si="41">SUM(MP15:MP120)/1.04</f>
        <v>0</v>
      </c>
      <c r="MQ11" s="301">
        <f t="shared" si="41"/>
        <v>307.36551724137928</v>
      </c>
      <c r="MR11" s="301">
        <f t="shared" si="41"/>
        <v>307.36551724137928</v>
      </c>
      <c r="MS11" s="301">
        <f t="shared" si="41"/>
        <v>0</v>
      </c>
      <c r="MT11" s="234"/>
      <c r="MU11" s="301">
        <f t="shared" ref="MU11" si="42">SUM(MU15:MU120)/1.04</f>
        <v>307.36551724137928</v>
      </c>
      <c r="NA11" s="234"/>
      <c r="NB11" s="234"/>
      <c r="NC11" s="271"/>
      <c r="ND11" s="305"/>
      <c r="NE11" s="305"/>
      <c r="NF11" s="305"/>
      <c r="NG11" s="301">
        <f t="shared" ref="NG11:NH11" si="43">SUM(NG15:NG120)/1.04</f>
        <v>710.92838196286482</v>
      </c>
      <c r="NH11" s="301">
        <f t="shared" si="43"/>
        <v>710.92838196286482</v>
      </c>
      <c r="NI11" s="301"/>
      <c r="NJ11" s="301">
        <f t="shared" ref="NJ11:NL11" si="44">SUM(NJ15:NJ120)/1.04</f>
        <v>0</v>
      </c>
      <c r="NK11" s="301">
        <f t="shared" si="44"/>
        <v>710.92838196286482</v>
      </c>
      <c r="NL11" s="301">
        <f t="shared" si="44"/>
        <v>739.36551724137939</v>
      </c>
      <c r="NM11" s="301"/>
      <c r="NN11" s="301"/>
      <c r="NO11" s="301"/>
      <c r="NP11" s="301">
        <f t="shared" ref="NP11:NS11" si="45">SUM(NP15:NP120)/1.04</f>
        <v>0</v>
      </c>
      <c r="NQ11" s="301">
        <f t="shared" si="45"/>
        <v>739.36551724137939</v>
      </c>
      <c r="NR11" s="301">
        <f t="shared" si="45"/>
        <v>739.36551724137939</v>
      </c>
      <c r="NS11" s="301">
        <f t="shared" si="45"/>
        <v>0</v>
      </c>
      <c r="NT11" s="234"/>
      <c r="NU11" s="301">
        <f t="shared" ref="NU11" si="46">SUM(NU15:NU120)/1.04</f>
        <v>739.36551724137939</v>
      </c>
      <c r="OA11" s="234"/>
      <c r="OB11" s="234"/>
      <c r="OC11" s="271"/>
      <c r="OD11" s="305"/>
      <c r="OE11" s="305"/>
      <c r="OF11" s="305"/>
      <c r="OG11" s="301">
        <f t="shared" ref="OG11:OH11" si="47">SUM(OG15:OG120)/1.04</f>
        <v>710.92838196286482</v>
      </c>
      <c r="OH11" s="301">
        <f t="shared" si="47"/>
        <v>710.92838196286482</v>
      </c>
      <c r="OI11" s="301"/>
      <c r="OJ11" s="301">
        <f t="shared" ref="OJ11:OL11" si="48">SUM(OJ15:OJ120)/1.04</f>
        <v>0</v>
      </c>
      <c r="OK11" s="301">
        <f t="shared" si="48"/>
        <v>710.92838196286482</v>
      </c>
      <c r="OL11" s="301">
        <f t="shared" si="48"/>
        <v>739.36551724137939</v>
      </c>
      <c r="OM11" s="301"/>
      <c r="ON11" s="301"/>
      <c r="OO11" s="301"/>
      <c r="OP11" s="301">
        <f t="shared" ref="OP11:OS11" si="49">SUM(OP15:OP120)/1.04</f>
        <v>0</v>
      </c>
      <c r="OQ11" s="301">
        <f t="shared" si="49"/>
        <v>739.36551724137939</v>
      </c>
      <c r="OR11" s="301">
        <f t="shared" si="49"/>
        <v>739.36551724137939</v>
      </c>
      <c r="OS11" s="301">
        <f t="shared" si="49"/>
        <v>0</v>
      </c>
      <c r="OT11" s="234"/>
      <c r="OU11" s="301">
        <f t="shared" ref="OU11" si="50">SUM(OU15:OU120)/1.04</f>
        <v>739.36551724137939</v>
      </c>
      <c r="PA11" s="234"/>
      <c r="PB11" s="234"/>
      <c r="PC11" s="271"/>
      <c r="PD11" s="305"/>
      <c r="PE11" s="305"/>
      <c r="PF11" s="305"/>
      <c r="PG11" s="301">
        <f t="shared" ref="PG11:PH11" si="51">SUM(PG15:PG120)/1.04</f>
        <v>936.28647214854107</v>
      </c>
      <c r="PH11" s="301">
        <f t="shared" si="51"/>
        <v>936.28647214854107</v>
      </c>
      <c r="PI11" s="301"/>
      <c r="PJ11" s="301">
        <f t="shared" ref="PJ11:PL11" si="52">SUM(PJ15:PJ120)/1.04</f>
        <v>0</v>
      </c>
      <c r="PK11" s="301">
        <f t="shared" si="52"/>
        <v>936.28647214854107</v>
      </c>
      <c r="PL11" s="301">
        <f t="shared" si="52"/>
        <v>973.73793103448281</v>
      </c>
      <c r="PM11" s="301"/>
      <c r="PN11" s="301"/>
      <c r="PO11" s="301"/>
      <c r="PP11" s="301">
        <f t="shared" ref="PP11:PS11" si="53">SUM(PP15:PP120)/1.04</f>
        <v>0</v>
      </c>
      <c r="PQ11" s="301">
        <f t="shared" si="53"/>
        <v>973.73793103448281</v>
      </c>
      <c r="PR11" s="301">
        <f t="shared" si="53"/>
        <v>973.73793103448281</v>
      </c>
      <c r="PS11" s="301">
        <f t="shared" si="53"/>
        <v>0</v>
      </c>
      <c r="PT11" s="234"/>
      <c r="PU11" s="301">
        <f t="shared" ref="PU11" si="54">SUM(PU15:PU120)/1.04</f>
        <v>973.73793103448281</v>
      </c>
      <c r="QA11" s="234"/>
      <c r="QB11" s="234"/>
      <c r="QC11" s="271"/>
      <c r="QD11" s="305"/>
      <c r="QE11" s="305"/>
      <c r="QF11" s="305"/>
      <c r="QG11" s="301">
        <f t="shared" ref="QG11:QH11" si="55">SUM(QG15:QG120)/1.04</f>
        <v>936.28647214854107</v>
      </c>
      <c r="QH11" s="301">
        <f t="shared" si="55"/>
        <v>936.28647214854107</v>
      </c>
      <c r="QI11" s="301"/>
      <c r="QJ11" s="301">
        <f t="shared" ref="QJ11:QL11" si="56">SUM(QJ15:QJ120)/1.04</f>
        <v>0</v>
      </c>
      <c r="QK11" s="301">
        <f t="shared" si="56"/>
        <v>936.28647214854107</v>
      </c>
      <c r="QL11" s="301">
        <f t="shared" si="56"/>
        <v>973.73793103448281</v>
      </c>
      <c r="QM11" s="301"/>
      <c r="QN11" s="301"/>
      <c r="QO11" s="301"/>
      <c r="QP11" s="301">
        <f t="shared" ref="QP11:QS11" si="57">SUM(QP15:QP120)/1.04</f>
        <v>0</v>
      </c>
      <c r="QQ11" s="301">
        <f t="shared" si="57"/>
        <v>973.73793103448281</v>
      </c>
      <c r="QR11" s="301">
        <f t="shared" si="57"/>
        <v>973.73793103448281</v>
      </c>
      <c r="QS11" s="301">
        <f t="shared" si="57"/>
        <v>0</v>
      </c>
      <c r="QT11" s="234"/>
      <c r="QU11" s="301">
        <f t="shared" ref="QU11" si="58">SUM(QU15:QU120)/1.04</f>
        <v>973.73793103448281</v>
      </c>
      <c r="RA11" s="234"/>
      <c r="RB11" s="234"/>
      <c r="RC11" s="271"/>
      <c r="RD11" s="305"/>
      <c r="RE11" s="305"/>
      <c r="RF11" s="305"/>
      <c r="RG11" s="301">
        <f t="shared" ref="RG11:RH11" si="59">SUM(RG15:RG120)/1.04</f>
        <v>1871.1405835543769</v>
      </c>
      <c r="RH11" s="301">
        <f t="shared" si="59"/>
        <v>1871.1405835543769</v>
      </c>
      <c r="RI11" s="301"/>
      <c r="RJ11" s="301">
        <f t="shared" ref="RJ11:RL11" si="60">SUM(RJ15:RJ120)/1.04</f>
        <v>0</v>
      </c>
      <c r="RK11" s="301">
        <f t="shared" si="60"/>
        <v>1871.1405835543769</v>
      </c>
      <c r="RL11" s="301">
        <f t="shared" si="60"/>
        <v>1945.9862068965517</v>
      </c>
      <c r="RM11" s="301"/>
      <c r="RN11" s="301"/>
      <c r="RO11" s="301"/>
      <c r="RP11" s="301">
        <f t="shared" ref="RP11:RS11" si="61">SUM(RP15:RP120)/1.04</f>
        <v>0</v>
      </c>
      <c r="RQ11" s="301">
        <f t="shared" si="61"/>
        <v>1945.9862068965517</v>
      </c>
      <c r="RR11" s="301">
        <f t="shared" si="61"/>
        <v>1945.9862068965517</v>
      </c>
      <c r="RS11" s="301">
        <f t="shared" si="61"/>
        <v>0</v>
      </c>
      <c r="RT11" s="234"/>
      <c r="RU11" s="301">
        <f t="shared" ref="RU11" si="62">SUM(RU15:RU120)/1.04</f>
        <v>1945.9862068965517</v>
      </c>
      <c r="SA11" s="234"/>
      <c r="SB11" s="234"/>
      <c r="SC11" s="271"/>
      <c r="SD11" s="305"/>
      <c r="SE11" s="305"/>
      <c r="SF11" s="305"/>
      <c r="SG11" s="301">
        <f t="shared" ref="SG11:SH11" si="63">SUM(SG15:SG120)/1.04</f>
        <v>1871.1405835543769</v>
      </c>
      <c r="SH11" s="301">
        <f t="shared" si="63"/>
        <v>1871.1405835543769</v>
      </c>
      <c r="SI11" s="301"/>
      <c r="SJ11" s="301">
        <f t="shared" ref="SJ11:SL11" si="64">SUM(SJ15:SJ120)/1.04</f>
        <v>0</v>
      </c>
      <c r="SK11" s="301">
        <f t="shared" si="64"/>
        <v>1871.1405835543769</v>
      </c>
      <c r="SL11" s="301">
        <f t="shared" si="64"/>
        <v>1945.9862068965517</v>
      </c>
      <c r="SM11" s="301"/>
      <c r="SN11" s="301"/>
      <c r="SO11" s="301"/>
      <c r="SP11" s="301">
        <f t="shared" ref="SP11:SS11" si="65">SUM(SP15:SP120)/1.04</f>
        <v>0</v>
      </c>
      <c r="SQ11" s="301">
        <f t="shared" si="65"/>
        <v>1945.9862068965517</v>
      </c>
      <c r="SR11" s="301">
        <f t="shared" si="65"/>
        <v>1945.9862068965517</v>
      </c>
      <c r="SS11" s="301">
        <f t="shared" si="65"/>
        <v>0</v>
      </c>
      <c r="ST11" s="234"/>
      <c r="SU11" s="301">
        <f t="shared" ref="SU11" si="66">SUM(SU15:SU120)/1.04</f>
        <v>1945.9862068965517</v>
      </c>
      <c r="TA11" s="234"/>
      <c r="TB11" s="234"/>
      <c r="TC11" s="271"/>
      <c r="TD11" s="305"/>
      <c r="TE11" s="305"/>
      <c r="TF11" s="305"/>
      <c r="TG11" s="301">
        <f t="shared" ref="TG11:TH11" si="67">SUM(TG15:TG120)/1.04</f>
        <v>0</v>
      </c>
      <c r="TH11" s="301">
        <f t="shared" si="67"/>
        <v>0</v>
      </c>
      <c r="TI11" s="301"/>
      <c r="TJ11" s="301">
        <f t="shared" ref="TJ11:TL11" si="68">SUM(TJ15:TJ120)/1.04</f>
        <v>0</v>
      </c>
      <c r="TK11" s="301">
        <f t="shared" si="68"/>
        <v>0</v>
      </c>
      <c r="TL11" s="301">
        <f t="shared" si="68"/>
        <v>0</v>
      </c>
      <c r="TM11" s="301"/>
      <c r="TN11" s="301"/>
      <c r="TO11" s="301"/>
      <c r="TP11" s="301">
        <f t="shared" ref="TP11:TS11" si="69">SUM(TP15:TP120)/1.04</f>
        <v>0</v>
      </c>
      <c r="TQ11" s="301">
        <f t="shared" si="69"/>
        <v>0</v>
      </c>
      <c r="TR11" s="301">
        <f t="shared" si="69"/>
        <v>0</v>
      </c>
      <c r="TS11" s="301">
        <f t="shared" si="69"/>
        <v>0</v>
      </c>
      <c r="TT11" s="234"/>
      <c r="TU11" s="301">
        <f t="shared" ref="TU11" si="70">SUM(TU15:TU120)/1.04</f>
        <v>0</v>
      </c>
      <c r="UA11" s="234"/>
      <c r="UB11" s="234"/>
      <c r="UC11" s="271"/>
      <c r="UD11" s="305"/>
      <c r="UE11" s="305"/>
      <c r="UF11" s="305"/>
      <c r="UG11" s="301">
        <f t="shared" ref="UG11:UH11" si="71">SUM(UG15:UG120)/1.04</f>
        <v>0</v>
      </c>
      <c r="UH11" s="301">
        <f t="shared" si="71"/>
        <v>0</v>
      </c>
      <c r="UI11" s="301"/>
      <c r="UJ11" s="301">
        <f t="shared" ref="UJ11:UL11" si="72">SUM(UJ15:UJ120)/1.04</f>
        <v>0</v>
      </c>
      <c r="UK11" s="301">
        <f t="shared" si="72"/>
        <v>0</v>
      </c>
      <c r="UL11" s="301">
        <f t="shared" si="72"/>
        <v>0</v>
      </c>
      <c r="UM11" s="301"/>
      <c r="UN11" s="301"/>
      <c r="UO11" s="301"/>
      <c r="UP11" s="301">
        <f t="shared" ref="UP11:US11" si="73">SUM(UP15:UP120)/1.04</f>
        <v>0</v>
      </c>
      <c r="UQ11" s="301">
        <f t="shared" si="73"/>
        <v>0</v>
      </c>
      <c r="UR11" s="301">
        <f t="shared" si="73"/>
        <v>0</v>
      </c>
      <c r="US11" s="301">
        <f t="shared" si="73"/>
        <v>0</v>
      </c>
      <c r="UT11" s="234"/>
      <c r="UU11" s="301">
        <f t="shared" ref="UU11" si="74">SUM(UU15:UU120)/1.04</f>
        <v>0</v>
      </c>
      <c r="VA11" s="234"/>
      <c r="VB11" s="234"/>
      <c r="VC11" s="271"/>
      <c r="VD11" s="305"/>
      <c r="VE11" s="305"/>
      <c r="VF11" s="305"/>
      <c r="VG11" s="301">
        <f t="shared" ref="VG11:VH11" si="75">SUM(VG15:VG120)/1.04</f>
        <v>0</v>
      </c>
      <c r="VH11" s="301" t="e">
        <f t="shared" si="75"/>
        <v>#VALUE!</v>
      </c>
      <c r="VI11" s="301"/>
      <c r="VJ11" s="301" t="e">
        <f t="shared" ref="VJ11:VL11" si="76">SUM(VJ15:VJ120)/1.04</f>
        <v>#VALUE!</v>
      </c>
      <c r="VK11" s="301" t="e">
        <f t="shared" si="76"/>
        <v>#VALUE!</v>
      </c>
      <c r="VL11" s="301" t="e">
        <f t="shared" si="76"/>
        <v>#VALUE!</v>
      </c>
      <c r="VM11" s="301"/>
      <c r="VN11" s="301"/>
      <c r="VO11" s="301"/>
      <c r="VP11" s="301">
        <f t="shared" ref="VP11:VS11" si="77">SUM(VP15:VP120)/1.04</f>
        <v>0</v>
      </c>
      <c r="VQ11" s="301" t="e">
        <f t="shared" si="77"/>
        <v>#VALUE!</v>
      </c>
      <c r="VR11" s="301" t="e">
        <f t="shared" si="77"/>
        <v>#VALUE!</v>
      </c>
      <c r="VS11" s="301" t="e">
        <f t="shared" si="77"/>
        <v>#VALUE!</v>
      </c>
      <c r="VT11" s="234"/>
      <c r="VU11" s="301" t="e">
        <f t="shared" ref="VU11" si="78">SUM(VU15:VU120)/1.04</f>
        <v>#VALUE!</v>
      </c>
      <c r="WA11" s="234"/>
      <c r="WB11" s="234"/>
      <c r="WC11" s="271"/>
      <c r="WD11" s="305"/>
      <c r="WE11" s="305"/>
      <c r="WF11" s="305"/>
      <c r="WG11" s="301">
        <f t="shared" ref="WG11:WH11" si="79">SUM(WG15:WG120)/1.04</f>
        <v>0</v>
      </c>
      <c r="WH11" s="301" t="e">
        <f t="shared" si="79"/>
        <v>#VALUE!</v>
      </c>
      <c r="WI11" s="301"/>
      <c r="WJ11" s="301" t="e">
        <f t="shared" ref="WJ11:WL11" si="80">SUM(WJ15:WJ120)/1.04</f>
        <v>#VALUE!</v>
      </c>
      <c r="WK11" s="301" t="e">
        <f t="shared" si="80"/>
        <v>#VALUE!</v>
      </c>
      <c r="WL11" s="301" t="e">
        <f t="shared" si="80"/>
        <v>#VALUE!</v>
      </c>
      <c r="WM11" s="301"/>
      <c r="WN11" s="301"/>
      <c r="WO11" s="301"/>
      <c r="WP11" s="301">
        <f t="shared" ref="WP11:WS11" si="81">SUM(WP15:WP120)/1.04</f>
        <v>0</v>
      </c>
      <c r="WQ11" s="301" t="e">
        <f t="shared" si="81"/>
        <v>#VALUE!</v>
      </c>
      <c r="WR11" s="301" t="e">
        <f t="shared" si="81"/>
        <v>#VALUE!</v>
      </c>
      <c r="WS11" s="301" t="e">
        <f t="shared" si="81"/>
        <v>#VALUE!</v>
      </c>
      <c r="WT11" s="234"/>
      <c r="WU11" s="301" t="e">
        <f t="shared" ref="WU11" si="82">SUM(WU15:WU120)/1.04</f>
        <v>#VALUE!</v>
      </c>
    </row>
    <row r="12" spans="1:619" ht="27.75" thickBot="1">
      <c r="I12" s="716"/>
      <c r="J12" s="716"/>
      <c r="K12" s="716"/>
      <c r="L12" s="476"/>
      <c r="M12" s="476"/>
      <c r="N12" s="476"/>
      <c r="O12" s="476"/>
      <c r="P12" s="476"/>
      <c r="Q12" s="947"/>
      <c r="R12" s="476"/>
      <c r="S12" s="476"/>
      <c r="T12" s="360"/>
      <c r="U12" s="360"/>
      <c r="V12" s="360"/>
      <c r="W12" s="360"/>
      <c r="X12" s="476"/>
      <c r="Y12" s="476"/>
      <c r="Z12" s="476"/>
      <c r="AA12" s="476"/>
      <c r="AB12" s="476"/>
      <c r="AC12" s="476"/>
      <c r="AD12" s="476"/>
      <c r="AE12" s="476"/>
      <c r="AF12" s="476"/>
      <c r="AG12" s="476"/>
      <c r="AH12" s="947"/>
      <c r="AI12" s="1693"/>
      <c r="AJ12" s="1757"/>
      <c r="AK12" s="1757"/>
      <c r="AL12" s="1778"/>
      <c r="AM12" s="1693"/>
      <c r="AN12" s="1757"/>
      <c r="AO12" s="1720"/>
      <c r="AP12" s="1774"/>
      <c r="AQ12" s="1774"/>
      <c r="AR12" s="1720"/>
      <c r="AS12" s="545"/>
      <c r="AT12" s="545"/>
      <c r="AU12" s="1692"/>
      <c r="AV12" s="1692"/>
      <c r="AW12" s="1692"/>
      <c r="AX12" s="1692"/>
      <c r="AY12" s="1692"/>
      <c r="AZ12" s="1692"/>
      <c r="BA12" s="1692"/>
      <c r="BB12" s="1692"/>
      <c r="BC12" s="1773"/>
      <c r="BD12" s="1692"/>
      <c r="BE12" s="1692"/>
      <c r="BF12" s="1692"/>
      <c r="BG12" s="1757"/>
      <c r="BH12" s="1757"/>
      <c r="BI12" s="1692"/>
      <c r="BJ12" s="1692"/>
      <c r="BK12" s="1692"/>
      <c r="BL12" s="1692"/>
      <c r="BM12" s="1692"/>
      <c r="BN12" s="1758"/>
      <c r="BO12" s="543"/>
      <c r="BP12" s="1692"/>
      <c r="BQ12" s="1692"/>
      <c r="BR12" s="1692"/>
      <c r="BS12" s="1692"/>
      <c r="BT12" s="1692"/>
      <c r="BU12" s="1692"/>
      <c r="BV12" s="1692"/>
      <c r="BW12" s="1692"/>
      <c r="BX12" s="1758"/>
      <c r="BY12" s="487"/>
      <c r="BZ12" s="1692"/>
      <c r="CA12" s="1692"/>
      <c r="CB12" s="1692"/>
      <c r="CC12" s="1692"/>
      <c r="CD12" s="1692"/>
      <c r="CE12" s="1692"/>
      <c r="CF12" s="1692"/>
      <c r="CG12" s="1692"/>
      <c r="CH12" s="1692"/>
      <c r="CI12" s="1758"/>
      <c r="CJ12" s="1773"/>
      <c r="CK12" s="1692"/>
      <c r="CL12" s="1692"/>
      <c r="CM12" s="1692"/>
      <c r="CN12" s="1692"/>
      <c r="CO12" s="1692"/>
      <c r="CP12" s="1692"/>
      <c r="CQ12" s="1692"/>
      <c r="CR12" s="1692"/>
      <c r="CS12" s="1758"/>
      <c r="CT12" s="535"/>
      <c r="CU12" s="1692"/>
      <c r="CV12" s="1692"/>
      <c r="CW12" s="1692"/>
      <c r="CX12" s="1692"/>
      <c r="CY12" s="1692"/>
      <c r="CZ12" s="1692"/>
      <c r="DA12" s="1692"/>
      <c r="DB12" s="1692"/>
      <c r="DC12" s="1758"/>
      <c r="DD12" s="232"/>
      <c r="DE12" s="232"/>
      <c r="DF12" s="272"/>
      <c r="DG12" s="306"/>
      <c r="DH12" s="306"/>
      <c r="DI12" s="306"/>
      <c r="DJ12" s="306"/>
      <c r="DK12" s="302">
        <f t="shared" ref="DK12:DT12" si="83">DK11*TAXE</f>
        <v>2330.7692307692305</v>
      </c>
      <c r="DL12" s="302"/>
      <c r="DM12" s="302">
        <f t="shared" ref="DM12:DN12" si="84">DM11*TAXE</f>
        <v>0</v>
      </c>
      <c r="DN12" s="302">
        <f t="shared" si="84"/>
        <v>2330.7692307692305</v>
      </c>
      <c r="DO12" s="302">
        <f t="shared" si="83"/>
        <v>2424</v>
      </c>
      <c r="DP12" s="302"/>
      <c r="DQ12" s="302"/>
      <c r="DR12" s="302"/>
      <c r="DS12" s="302">
        <f t="shared" si="83"/>
        <v>30.4</v>
      </c>
      <c r="DT12" s="302">
        <f t="shared" si="83"/>
        <v>2454.4</v>
      </c>
      <c r="DU12" s="302"/>
      <c r="DV12" s="302"/>
      <c r="DW12" s="232"/>
      <c r="DX12" s="302"/>
      <c r="DY12" s="369"/>
      <c r="DZ12" s="369"/>
      <c r="EA12" s="232"/>
      <c r="EB12" s="232"/>
      <c r="EC12" s="272"/>
      <c r="ED12" s="306"/>
      <c r="EE12" s="306"/>
      <c r="EF12" s="306"/>
      <c r="EG12" s="306"/>
      <c r="EH12" s="306"/>
      <c r="EI12" s="306"/>
      <c r="EJ12" s="302">
        <f t="shared" ref="EJ12" si="85">EJ11*TAXE</f>
        <v>2330.7692307692305</v>
      </c>
      <c r="EK12" s="302"/>
      <c r="EL12" s="302"/>
      <c r="EM12" s="302">
        <f t="shared" ref="EM12:EP12" si="86">EM11*TAXE</f>
        <v>0</v>
      </c>
      <c r="EN12" s="302">
        <f t="shared" si="86"/>
        <v>2330.7692307692305</v>
      </c>
      <c r="EO12" s="302"/>
      <c r="EP12" s="302">
        <f t="shared" si="86"/>
        <v>2424</v>
      </c>
      <c r="EQ12" s="302"/>
      <c r="ER12" s="302"/>
      <c r="ES12" s="302"/>
      <c r="ET12" s="302">
        <f t="shared" ref="ET12:EU12" si="87">ET11*TAXE</f>
        <v>64</v>
      </c>
      <c r="EU12" s="302">
        <f t="shared" si="87"/>
        <v>2488</v>
      </c>
      <c r="EV12" s="302"/>
      <c r="EW12" s="302"/>
      <c r="EX12" s="232"/>
      <c r="EY12" s="302"/>
      <c r="FA12" s="232"/>
      <c r="FB12" s="232"/>
      <c r="FC12" s="272"/>
      <c r="FD12" s="306"/>
      <c r="FE12" s="306"/>
      <c r="FF12" s="306"/>
      <c r="FG12" s="302">
        <f t="shared" ref="FG12:FH12" si="88">FG11*TAXE</f>
        <v>380.76923076923083</v>
      </c>
      <c r="FH12" s="302">
        <f t="shared" si="88"/>
        <v>380.76923076923083</v>
      </c>
      <c r="FI12" s="302"/>
      <c r="FJ12" s="302">
        <f t="shared" ref="FJ12:FL12" si="89">FJ11*TAXE</f>
        <v>0</v>
      </c>
      <c r="FK12" s="302">
        <f t="shared" si="89"/>
        <v>380.76923076923083</v>
      </c>
      <c r="FL12" s="302">
        <f t="shared" si="89"/>
        <v>396</v>
      </c>
      <c r="FM12" s="302"/>
      <c r="FN12" s="302"/>
      <c r="FO12" s="302"/>
      <c r="FP12" s="302">
        <f t="shared" ref="FP12:FQ12" si="90">FP11*TAXE</f>
        <v>0</v>
      </c>
      <c r="FQ12" s="302">
        <f t="shared" si="90"/>
        <v>396</v>
      </c>
      <c r="FR12" s="302"/>
      <c r="FS12" s="302"/>
      <c r="FT12" s="232"/>
      <c r="FU12" s="302"/>
      <c r="FV12" s="475"/>
      <c r="FW12" s="475"/>
      <c r="FX12" s="475"/>
      <c r="FY12" s="475"/>
      <c r="FZ12" s="475"/>
      <c r="GA12" s="232"/>
      <c r="GB12" s="232"/>
      <c r="GC12" s="272"/>
      <c r="GD12" s="306"/>
      <c r="GE12" s="306"/>
      <c r="GF12" s="306"/>
      <c r="GG12" s="302">
        <f t="shared" ref="GG12:GH12" si="91">GG11*TAXE</f>
        <v>380.76923076923083</v>
      </c>
      <c r="GH12" s="302">
        <f t="shared" si="91"/>
        <v>380.76923076923083</v>
      </c>
      <c r="GI12" s="302"/>
      <c r="GJ12" s="302">
        <f t="shared" ref="GJ12:GL12" si="92">GJ11*TAXE</f>
        <v>0</v>
      </c>
      <c r="GK12" s="302">
        <f t="shared" si="92"/>
        <v>380.76923076923083</v>
      </c>
      <c r="GL12" s="302">
        <f t="shared" si="92"/>
        <v>396</v>
      </c>
      <c r="GM12" s="302"/>
      <c r="GN12" s="302"/>
      <c r="GO12" s="302"/>
      <c r="GP12" s="302">
        <f t="shared" ref="GP12:GQ12" si="93">GP11*TAXE</f>
        <v>0</v>
      </c>
      <c r="GQ12" s="302">
        <f t="shared" si="93"/>
        <v>396</v>
      </c>
      <c r="GR12" s="302"/>
      <c r="GS12" s="302"/>
      <c r="GT12" s="232"/>
      <c r="GU12" s="302"/>
      <c r="GV12" s="475"/>
      <c r="GW12" s="476"/>
      <c r="GX12" s="476"/>
      <c r="GY12" s="476"/>
      <c r="GZ12" s="476"/>
      <c r="HA12" s="232"/>
      <c r="HB12" s="232"/>
      <c r="HC12" s="272"/>
      <c r="HD12" s="306"/>
      <c r="HE12" s="306"/>
      <c r="HF12" s="306"/>
      <c r="HG12" s="302">
        <f t="shared" ref="HG12:HH12" si="94">HG11*TAXE</f>
        <v>248.77241379310345</v>
      </c>
      <c r="HH12" s="302">
        <f t="shared" si="94"/>
        <v>248.77241379310345</v>
      </c>
      <c r="HI12" s="302"/>
      <c r="HJ12" s="302">
        <f t="shared" ref="HJ12:HL12" si="95">HJ11*TAXE</f>
        <v>0</v>
      </c>
      <c r="HK12" s="302">
        <f t="shared" si="95"/>
        <v>248.77241379310345</v>
      </c>
      <c r="HL12" s="302">
        <f t="shared" si="95"/>
        <v>258.72331034482761</v>
      </c>
      <c r="HM12" s="302"/>
      <c r="HN12" s="302"/>
      <c r="HO12" s="302"/>
      <c r="HP12" s="302">
        <f t="shared" ref="HP12:HQ12" si="96">HP11*TAXE</f>
        <v>0</v>
      </c>
      <c r="HQ12" s="302">
        <f t="shared" si="96"/>
        <v>258.72331034482761</v>
      </c>
      <c r="HR12" s="302"/>
      <c r="HS12" s="302"/>
      <c r="HT12" s="232"/>
      <c r="HU12" s="302"/>
      <c r="IA12" s="232"/>
      <c r="IB12" s="232"/>
      <c r="IC12" s="272"/>
      <c r="ID12" s="306"/>
      <c r="IE12" s="306"/>
      <c r="IF12" s="306"/>
      <c r="IG12" s="302">
        <f t="shared" ref="IG12:IH12" si="97">IG11*TAXE</f>
        <v>248.77241379310345</v>
      </c>
      <c r="IH12" s="302">
        <f t="shared" si="97"/>
        <v>248.77241379310345</v>
      </c>
      <c r="II12" s="302"/>
      <c r="IJ12" s="302">
        <f t="shared" ref="IJ12:IL12" si="98">IJ11*TAXE</f>
        <v>0</v>
      </c>
      <c r="IK12" s="302">
        <f t="shared" si="98"/>
        <v>248.77241379310345</v>
      </c>
      <c r="IL12" s="302">
        <f t="shared" si="98"/>
        <v>258.72331034482761</v>
      </c>
      <c r="IM12" s="302"/>
      <c r="IN12" s="302"/>
      <c r="IO12" s="302"/>
      <c r="IP12" s="302">
        <f t="shared" ref="IP12:IQ12" si="99">IP11*TAXE</f>
        <v>0</v>
      </c>
      <c r="IQ12" s="302">
        <f t="shared" si="99"/>
        <v>258.72331034482761</v>
      </c>
      <c r="IR12" s="302"/>
      <c r="IS12" s="302"/>
      <c r="IT12" s="232"/>
      <c r="IU12" s="302"/>
      <c r="JA12" s="232"/>
      <c r="JB12" s="232"/>
      <c r="JC12" s="272"/>
      <c r="JD12" s="306"/>
      <c r="JE12" s="306"/>
      <c r="JF12" s="306"/>
      <c r="JG12" s="302">
        <f t="shared" ref="JG12:JH12" si="100">JG11*TAXE</f>
        <v>622.17931034482763</v>
      </c>
      <c r="JH12" s="302">
        <f t="shared" si="100"/>
        <v>622.17931034482763</v>
      </c>
      <c r="JI12" s="302"/>
      <c r="JJ12" s="302">
        <f t="shared" ref="JJ12:JL12" si="101">JJ11*TAXE</f>
        <v>0</v>
      </c>
      <c r="JK12" s="302">
        <f t="shared" si="101"/>
        <v>622.17931034482763</v>
      </c>
      <c r="JL12" s="302">
        <f t="shared" si="101"/>
        <v>647.06648275862074</v>
      </c>
      <c r="JM12" s="302"/>
      <c r="JN12" s="302"/>
      <c r="JO12" s="302"/>
      <c r="JP12" s="302">
        <f t="shared" ref="JP12:JQ12" si="102">JP11*TAXE</f>
        <v>0</v>
      </c>
      <c r="JQ12" s="302">
        <f t="shared" si="102"/>
        <v>647.06648275862074</v>
      </c>
      <c r="JR12" s="302"/>
      <c r="JS12" s="302"/>
      <c r="JT12" s="232"/>
      <c r="JU12" s="302"/>
      <c r="KA12" s="232"/>
      <c r="KB12" s="232"/>
      <c r="KC12" s="272"/>
      <c r="KD12" s="306"/>
      <c r="KE12" s="306"/>
      <c r="KF12" s="306"/>
      <c r="KG12" s="302">
        <f t="shared" ref="KG12:KH12" si="103">KG11*TAXE</f>
        <v>622.17931034482763</v>
      </c>
      <c r="KH12" s="302">
        <f t="shared" si="103"/>
        <v>622.17931034482763</v>
      </c>
      <c r="KI12" s="302"/>
      <c r="KJ12" s="302">
        <f t="shared" ref="KJ12:KL12" si="104">KJ11*TAXE</f>
        <v>0</v>
      </c>
      <c r="KK12" s="302">
        <f t="shared" si="104"/>
        <v>622.17931034482763</v>
      </c>
      <c r="KL12" s="302">
        <f t="shared" si="104"/>
        <v>647.06648275862074</v>
      </c>
      <c r="KM12" s="302"/>
      <c r="KN12" s="302"/>
      <c r="KO12" s="302"/>
      <c r="KP12" s="302">
        <f t="shared" ref="KP12:KQ12" si="105">KP11*TAXE</f>
        <v>0</v>
      </c>
      <c r="KQ12" s="302">
        <f t="shared" si="105"/>
        <v>647.06648275862074</v>
      </c>
      <c r="KR12" s="302"/>
      <c r="KS12" s="302"/>
      <c r="KT12" s="232"/>
      <c r="KU12" s="302"/>
      <c r="LA12" s="232"/>
      <c r="LB12" s="232"/>
      <c r="LC12" s="272"/>
      <c r="LD12" s="306"/>
      <c r="LE12" s="306"/>
      <c r="LF12" s="306"/>
      <c r="LG12" s="302">
        <f t="shared" ref="LG12:LH12" si="106">LG11*TAXE</f>
        <v>307.36551724137928</v>
      </c>
      <c r="LH12" s="302">
        <f t="shared" si="106"/>
        <v>307.36551724137928</v>
      </c>
      <c r="LI12" s="302"/>
      <c r="LJ12" s="302">
        <f t="shared" ref="LJ12:LL12" si="107">LJ11*TAXE</f>
        <v>0</v>
      </c>
      <c r="LK12" s="302">
        <f t="shared" si="107"/>
        <v>307.36551724137928</v>
      </c>
      <c r="LL12" s="302">
        <f t="shared" si="107"/>
        <v>319.66013793103446</v>
      </c>
      <c r="LM12" s="302"/>
      <c r="LN12" s="302"/>
      <c r="LO12" s="302"/>
      <c r="LP12" s="302">
        <f t="shared" ref="LP12:LQ12" si="108">LP11*TAXE</f>
        <v>0</v>
      </c>
      <c r="LQ12" s="302">
        <f t="shared" si="108"/>
        <v>319.66013793103446</v>
      </c>
      <c r="LR12" s="302"/>
      <c r="LS12" s="302"/>
      <c r="LT12" s="232"/>
      <c r="LU12" s="302"/>
      <c r="MA12" s="232"/>
      <c r="MB12" s="232"/>
      <c r="MC12" s="272"/>
      <c r="MD12" s="306"/>
      <c r="ME12" s="306"/>
      <c r="MF12" s="306"/>
      <c r="MG12" s="302">
        <f t="shared" ref="MG12:MH12" si="109">MG11*TAXE</f>
        <v>307.36551724137928</v>
      </c>
      <c r="MH12" s="302">
        <f t="shared" si="109"/>
        <v>307.36551724137928</v>
      </c>
      <c r="MI12" s="302"/>
      <c r="MJ12" s="302">
        <f t="shared" ref="MJ12:ML12" si="110">MJ11*TAXE</f>
        <v>0</v>
      </c>
      <c r="MK12" s="302">
        <f t="shared" si="110"/>
        <v>307.36551724137928</v>
      </c>
      <c r="ML12" s="302">
        <f t="shared" si="110"/>
        <v>319.66013793103446</v>
      </c>
      <c r="MM12" s="302"/>
      <c r="MN12" s="302"/>
      <c r="MO12" s="302"/>
      <c r="MP12" s="302">
        <f t="shared" ref="MP12:MQ12" si="111">MP11*TAXE</f>
        <v>0</v>
      </c>
      <c r="MQ12" s="302">
        <f t="shared" si="111"/>
        <v>319.66013793103446</v>
      </c>
      <c r="MR12" s="302"/>
      <c r="MS12" s="302"/>
      <c r="MT12" s="232"/>
      <c r="MU12" s="302"/>
      <c r="NA12" s="232"/>
      <c r="NB12" s="232"/>
      <c r="NC12" s="272"/>
      <c r="ND12" s="306"/>
      <c r="NE12" s="306"/>
      <c r="NF12" s="306"/>
      <c r="NG12" s="302">
        <f t="shared" ref="NG12:NH12" si="112">NG11*TAXE</f>
        <v>739.36551724137939</v>
      </c>
      <c r="NH12" s="302">
        <f t="shared" si="112"/>
        <v>739.36551724137939</v>
      </c>
      <c r="NI12" s="302"/>
      <c r="NJ12" s="302">
        <f t="shared" ref="NJ12:NL12" si="113">NJ11*TAXE</f>
        <v>0</v>
      </c>
      <c r="NK12" s="302">
        <f t="shared" si="113"/>
        <v>739.36551724137939</v>
      </c>
      <c r="NL12" s="302">
        <f t="shared" si="113"/>
        <v>768.94013793103454</v>
      </c>
      <c r="NM12" s="302"/>
      <c r="NN12" s="302"/>
      <c r="NO12" s="302"/>
      <c r="NP12" s="302">
        <f t="shared" ref="NP12:NQ12" si="114">NP11*TAXE</f>
        <v>0</v>
      </c>
      <c r="NQ12" s="302">
        <f t="shared" si="114"/>
        <v>768.94013793103454</v>
      </c>
      <c r="NR12" s="302"/>
      <c r="NS12" s="302"/>
      <c r="NT12" s="232"/>
      <c r="NU12" s="302"/>
      <c r="OA12" s="232"/>
      <c r="OB12" s="232"/>
      <c r="OC12" s="272"/>
      <c r="OD12" s="306"/>
      <c r="OE12" s="306"/>
      <c r="OF12" s="306"/>
      <c r="OG12" s="302">
        <f t="shared" ref="OG12:OH12" si="115">OG11*TAXE</f>
        <v>739.36551724137939</v>
      </c>
      <c r="OH12" s="302">
        <f t="shared" si="115"/>
        <v>739.36551724137939</v>
      </c>
      <c r="OI12" s="302"/>
      <c r="OJ12" s="302">
        <f t="shared" ref="OJ12:OL12" si="116">OJ11*TAXE</f>
        <v>0</v>
      </c>
      <c r="OK12" s="302">
        <f t="shared" si="116"/>
        <v>739.36551724137939</v>
      </c>
      <c r="OL12" s="302">
        <f t="shared" si="116"/>
        <v>768.94013793103454</v>
      </c>
      <c r="OM12" s="302"/>
      <c r="ON12" s="302"/>
      <c r="OO12" s="302"/>
      <c r="OP12" s="302">
        <f t="shared" ref="OP12:OQ12" si="117">OP11*TAXE</f>
        <v>0</v>
      </c>
      <c r="OQ12" s="302">
        <f t="shared" si="117"/>
        <v>768.94013793103454</v>
      </c>
      <c r="OR12" s="302"/>
      <c r="OS12" s="302"/>
      <c r="OT12" s="232"/>
      <c r="OU12" s="302"/>
      <c r="PA12" s="232"/>
      <c r="PB12" s="232"/>
      <c r="PC12" s="272"/>
      <c r="PD12" s="306"/>
      <c r="PE12" s="306"/>
      <c r="PF12" s="306"/>
      <c r="PG12" s="302">
        <f t="shared" ref="PG12:PH12" si="118">PG11*TAXE</f>
        <v>973.7379310344827</v>
      </c>
      <c r="PH12" s="302">
        <f t="shared" si="118"/>
        <v>973.7379310344827</v>
      </c>
      <c r="PI12" s="302"/>
      <c r="PJ12" s="302">
        <f t="shared" ref="PJ12:PL12" si="119">PJ11*TAXE</f>
        <v>0</v>
      </c>
      <c r="PK12" s="302">
        <f t="shared" si="119"/>
        <v>973.7379310344827</v>
      </c>
      <c r="PL12" s="302">
        <f t="shared" si="119"/>
        <v>1012.6874482758622</v>
      </c>
      <c r="PM12" s="302"/>
      <c r="PN12" s="302"/>
      <c r="PO12" s="302"/>
      <c r="PP12" s="302">
        <f t="shared" ref="PP12:PQ12" si="120">PP11*TAXE</f>
        <v>0</v>
      </c>
      <c r="PQ12" s="302">
        <f t="shared" si="120"/>
        <v>1012.6874482758622</v>
      </c>
      <c r="PR12" s="302"/>
      <c r="PS12" s="302"/>
      <c r="PT12" s="232"/>
      <c r="PU12" s="302"/>
      <c r="QA12" s="232"/>
      <c r="QB12" s="232"/>
      <c r="QC12" s="272"/>
      <c r="QD12" s="306"/>
      <c r="QE12" s="306"/>
      <c r="QF12" s="306"/>
      <c r="QG12" s="302">
        <f t="shared" ref="QG12:QH12" si="121">QG11*TAXE</f>
        <v>973.7379310344827</v>
      </c>
      <c r="QH12" s="302">
        <f t="shared" si="121"/>
        <v>973.7379310344827</v>
      </c>
      <c r="QI12" s="302"/>
      <c r="QJ12" s="302">
        <f t="shared" ref="QJ12:QL12" si="122">QJ11*TAXE</f>
        <v>0</v>
      </c>
      <c r="QK12" s="302">
        <f t="shared" si="122"/>
        <v>973.7379310344827</v>
      </c>
      <c r="QL12" s="302">
        <f t="shared" si="122"/>
        <v>1012.6874482758622</v>
      </c>
      <c r="QM12" s="302"/>
      <c r="QN12" s="302"/>
      <c r="QO12" s="302"/>
      <c r="QP12" s="302">
        <f t="shared" ref="QP12:QQ12" si="123">QP11*TAXE</f>
        <v>0</v>
      </c>
      <c r="QQ12" s="302">
        <f t="shared" si="123"/>
        <v>1012.6874482758622</v>
      </c>
      <c r="QR12" s="302"/>
      <c r="QS12" s="302"/>
      <c r="QT12" s="232"/>
      <c r="QU12" s="302"/>
      <c r="RA12" s="232"/>
      <c r="RB12" s="232"/>
      <c r="RC12" s="272"/>
      <c r="RD12" s="306"/>
      <c r="RE12" s="306"/>
      <c r="RF12" s="306"/>
      <c r="RG12" s="302">
        <f t="shared" ref="RG12:RH12" si="124">RG11*TAXE</f>
        <v>1945.9862068965519</v>
      </c>
      <c r="RH12" s="302">
        <f t="shared" si="124"/>
        <v>1945.9862068965519</v>
      </c>
      <c r="RI12" s="302"/>
      <c r="RJ12" s="302">
        <f t="shared" ref="RJ12:RL12" si="125">RJ11*TAXE</f>
        <v>0</v>
      </c>
      <c r="RK12" s="302">
        <f t="shared" si="125"/>
        <v>1945.9862068965519</v>
      </c>
      <c r="RL12" s="302">
        <f t="shared" si="125"/>
        <v>2023.8256551724139</v>
      </c>
      <c r="RM12" s="302"/>
      <c r="RN12" s="302"/>
      <c r="RO12" s="302"/>
      <c r="RP12" s="302">
        <f t="shared" ref="RP12:RQ12" si="126">RP11*TAXE</f>
        <v>0</v>
      </c>
      <c r="RQ12" s="302">
        <f t="shared" si="126"/>
        <v>2023.8256551724139</v>
      </c>
      <c r="RR12" s="302"/>
      <c r="RS12" s="302"/>
      <c r="RT12" s="232"/>
      <c r="RU12" s="302"/>
      <c r="SA12" s="232"/>
      <c r="SB12" s="232"/>
      <c r="SC12" s="272"/>
      <c r="SD12" s="306"/>
      <c r="SE12" s="306"/>
      <c r="SF12" s="306"/>
      <c r="SG12" s="302">
        <f t="shared" ref="SG12:SH12" si="127">SG11*TAXE</f>
        <v>1945.9862068965519</v>
      </c>
      <c r="SH12" s="302">
        <f t="shared" si="127"/>
        <v>1945.9862068965519</v>
      </c>
      <c r="SI12" s="302"/>
      <c r="SJ12" s="302">
        <f t="shared" ref="SJ12:SL12" si="128">SJ11*TAXE</f>
        <v>0</v>
      </c>
      <c r="SK12" s="302">
        <f t="shared" si="128"/>
        <v>1945.9862068965519</v>
      </c>
      <c r="SL12" s="302">
        <f t="shared" si="128"/>
        <v>2023.8256551724139</v>
      </c>
      <c r="SM12" s="302"/>
      <c r="SN12" s="302"/>
      <c r="SO12" s="302"/>
      <c r="SP12" s="302">
        <f t="shared" ref="SP12:SQ12" si="129">SP11*TAXE</f>
        <v>0</v>
      </c>
      <c r="SQ12" s="302">
        <f t="shared" si="129"/>
        <v>2023.8256551724139</v>
      </c>
      <c r="SR12" s="302"/>
      <c r="SS12" s="302"/>
      <c r="ST12" s="232"/>
      <c r="SU12" s="302"/>
      <c r="TA12" s="232"/>
      <c r="TB12" s="232"/>
      <c r="TC12" s="272"/>
      <c r="TD12" s="306"/>
      <c r="TE12" s="306"/>
      <c r="TF12" s="306"/>
      <c r="TG12" s="302">
        <f t="shared" ref="TG12:TH12" si="130">TG11*TAXE</f>
        <v>0</v>
      </c>
      <c r="TH12" s="302">
        <f t="shared" si="130"/>
        <v>0</v>
      </c>
      <c r="TI12" s="302"/>
      <c r="TJ12" s="302">
        <f t="shared" ref="TJ12:TL12" si="131">TJ11*TAXE</f>
        <v>0</v>
      </c>
      <c r="TK12" s="302">
        <f t="shared" si="131"/>
        <v>0</v>
      </c>
      <c r="TL12" s="302">
        <f t="shared" si="131"/>
        <v>0</v>
      </c>
      <c r="TM12" s="302"/>
      <c r="TN12" s="302"/>
      <c r="TO12" s="302"/>
      <c r="TP12" s="302">
        <f t="shared" ref="TP12:TQ12" si="132">TP11*TAXE</f>
        <v>0</v>
      </c>
      <c r="TQ12" s="302">
        <f t="shared" si="132"/>
        <v>0</v>
      </c>
      <c r="TR12" s="302"/>
      <c r="TS12" s="302"/>
      <c r="TT12" s="232"/>
      <c r="TU12" s="302"/>
      <c r="UA12" s="232"/>
      <c r="UB12" s="232"/>
      <c r="UC12" s="272"/>
      <c r="UD12" s="306"/>
      <c r="UE12" s="306"/>
      <c r="UF12" s="306"/>
      <c r="UG12" s="302">
        <f t="shared" ref="UG12:UH12" si="133">UG11*TAXE</f>
        <v>0</v>
      </c>
      <c r="UH12" s="302">
        <f t="shared" si="133"/>
        <v>0</v>
      </c>
      <c r="UI12" s="302"/>
      <c r="UJ12" s="302">
        <f t="shared" ref="UJ12:UL12" si="134">UJ11*TAXE</f>
        <v>0</v>
      </c>
      <c r="UK12" s="302">
        <f t="shared" si="134"/>
        <v>0</v>
      </c>
      <c r="UL12" s="302">
        <f t="shared" si="134"/>
        <v>0</v>
      </c>
      <c r="UM12" s="302"/>
      <c r="UN12" s="302"/>
      <c r="UO12" s="302"/>
      <c r="UP12" s="302">
        <f t="shared" ref="UP12:UQ12" si="135">UP11*TAXE</f>
        <v>0</v>
      </c>
      <c r="UQ12" s="302">
        <f t="shared" si="135"/>
        <v>0</v>
      </c>
      <c r="UR12" s="302"/>
      <c r="US12" s="302"/>
      <c r="UT12" s="232"/>
      <c r="UU12" s="302"/>
      <c r="VA12" s="232"/>
      <c r="VB12" s="232"/>
      <c r="VC12" s="272"/>
      <c r="VD12" s="306"/>
      <c r="VE12" s="306"/>
      <c r="VF12" s="306"/>
      <c r="VG12" s="302">
        <f t="shared" ref="VG12:VH12" si="136">VG11*TAXE</f>
        <v>0</v>
      </c>
      <c r="VH12" s="302" t="e">
        <f t="shared" si="136"/>
        <v>#VALUE!</v>
      </c>
      <c r="VI12" s="302"/>
      <c r="VJ12" s="302" t="e">
        <f t="shared" ref="VJ12:VL12" si="137">VJ11*TAXE</f>
        <v>#VALUE!</v>
      </c>
      <c r="VK12" s="302" t="e">
        <f t="shared" si="137"/>
        <v>#VALUE!</v>
      </c>
      <c r="VL12" s="302" t="e">
        <f t="shared" si="137"/>
        <v>#VALUE!</v>
      </c>
      <c r="VM12" s="302"/>
      <c r="VN12" s="302"/>
      <c r="VO12" s="302"/>
      <c r="VP12" s="302">
        <f t="shared" ref="VP12:VQ12" si="138">VP11*TAXE</f>
        <v>0</v>
      </c>
      <c r="VQ12" s="302" t="e">
        <f t="shared" si="138"/>
        <v>#VALUE!</v>
      </c>
      <c r="VR12" s="302"/>
      <c r="VS12" s="302"/>
      <c r="VT12" s="232"/>
      <c r="VU12" s="302"/>
      <c r="WA12" s="232"/>
      <c r="WB12" s="232"/>
      <c r="WC12" s="272"/>
      <c r="WD12" s="306"/>
      <c r="WE12" s="306"/>
      <c r="WF12" s="306"/>
      <c r="WG12" s="302">
        <f t="shared" ref="WG12:WH12" si="139">WG11*TAXE</f>
        <v>0</v>
      </c>
      <c r="WH12" s="302" t="e">
        <f t="shared" si="139"/>
        <v>#VALUE!</v>
      </c>
      <c r="WI12" s="302"/>
      <c r="WJ12" s="302" t="e">
        <f t="shared" ref="WJ12:WL12" si="140">WJ11*TAXE</f>
        <v>#VALUE!</v>
      </c>
      <c r="WK12" s="302" t="e">
        <f t="shared" si="140"/>
        <v>#VALUE!</v>
      </c>
      <c r="WL12" s="302" t="e">
        <f t="shared" si="140"/>
        <v>#VALUE!</v>
      </c>
      <c r="WM12" s="302"/>
      <c r="WN12" s="302"/>
      <c r="WO12" s="302"/>
      <c r="WP12" s="302">
        <f t="shared" ref="WP12:WQ12" si="141">WP11*TAXE</f>
        <v>0</v>
      </c>
      <c r="WQ12" s="302" t="e">
        <f t="shared" si="141"/>
        <v>#VALUE!</v>
      </c>
      <c r="WR12" s="302"/>
      <c r="WS12" s="302"/>
      <c r="WT12" s="232"/>
      <c r="WU12" s="302"/>
    </row>
    <row r="13" spans="1:619" ht="15.75" thickBot="1">
      <c r="I13" s="716"/>
      <c r="J13" s="716"/>
      <c r="K13" s="716"/>
      <c r="L13" s="477"/>
      <c r="M13" s="477"/>
      <c r="N13" s="477"/>
      <c r="O13" s="477"/>
      <c r="P13" s="477"/>
      <c r="Q13" s="947"/>
      <c r="R13" s="477"/>
      <c r="S13" s="476"/>
      <c r="T13" s="1780" t="s">
        <v>2398</v>
      </c>
      <c r="U13" s="1780"/>
      <c r="V13" s="1780" t="s">
        <v>2280</v>
      </c>
      <c r="W13" s="1780"/>
      <c r="X13" s="959"/>
      <c r="Y13" s="959"/>
      <c r="Z13" s="959"/>
      <c r="AA13" s="959"/>
      <c r="AB13" s="959"/>
      <c r="AC13" s="959"/>
      <c r="AD13" s="959"/>
      <c r="AE13" s="959"/>
      <c r="AF13" s="959"/>
      <c r="AG13" s="959"/>
      <c r="AH13" s="994"/>
      <c r="AI13" s="995"/>
      <c r="AJ13" s="951"/>
      <c r="AK13" s="951"/>
      <c r="AL13" s="951"/>
      <c r="AM13" s="951"/>
      <c r="AN13" s="951"/>
      <c r="AO13" s="951"/>
      <c r="AP13" s="951"/>
      <c r="AQ13" s="951"/>
      <c r="AR13" s="951"/>
      <c r="AS13" s="951"/>
      <c r="AT13" s="951"/>
      <c r="AU13" s="951"/>
      <c r="AV13" s="951"/>
      <c r="AW13" s="951"/>
      <c r="AX13" s="951"/>
      <c r="AY13" s="951"/>
      <c r="AZ13" s="951"/>
      <c r="BA13" s="951"/>
      <c r="BB13" s="996"/>
      <c r="BC13" s="953"/>
      <c r="BD13" s="953"/>
      <c r="BE13" s="952"/>
      <c r="BF13" s="952"/>
      <c r="BG13" s="952"/>
      <c r="BH13" s="952"/>
      <c r="BI13" s="952"/>
      <c r="BJ13" s="952"/>
      <c r="BK13" s="952"/>
      <c r="BL13" s="952"/>
      <c r="BM13" s="952"/>
      <c r="BN13" s="954"/>
      <c r="BO13" s="955"/>
      <c r="BP13" s="956"/>
      <c r="BQ13" s="956"/>
      <c r="BR13" s="956"/>
      <c r="BS13" s="956"/>
      <c r="BT13" s="956"/>
      <c r="BU13" s="956"/>
      <c r="BV13" s="956"/>
      <c r="BW13" s="956"/>
      <c r="BX13" s="957"/>
      <c r="BY13" s="958"/>
      <c r="BZ13" s="955"/>
      <c r="CA13" s="956"/>
      <c r="CB13" s="956"/>
      <c r="CC13" s="956"/>
      <c r="CD13" s="956"/>
      <c r="CE13" s="956"/>
      <c r="CF13" s="956"/>
      <c r="CG13" s="956"/>
      <c r="CH13" s="956"/>
      <c r="CI13" s="957"/>
      <c r="CJ13" s="958"/>
      <c r="CK13" s="956"/>
      <c r="CL13" s="956"/>
      <c r="CM13" s="956"/>
      <c r="CN13" s="956"/>
      <c r="CO13" s="956"/>
      <c r="CP13" s="956"/>
      <c r="CQ13" s="956"/>
      <c r="CR13" s="956"/>
      <c r="CS13" s="957"/>
      <c r="CT13" s="958"/>
      <c r="CU13" s="956"/>
      <c r="CV13" s="956"/>
      <c r="CW13" s="956"/>
      <c r="CX13" s="956"/>
      <c r="CY13" s="956"/>
      <c r="CZ13" s="956"/>
      <c r="DA13" s="956"/>
      <c r="DB13" s="956"/>
      <c r="DC13" s="957"/>
      <c r="DD13" s="292"/>
      <c r="DE13" s="292"/>
      <c r="DF13" s="273"/>
      <c r="DG13" s="307"/>
      <c r="DH13" s="307"/>
      <c r="DI13" s="307"/>
      <c r="DJ13" s="307"/>
      <c r="DK13" s="303">
        <f t="shared" ref="DK13:DV13" si="142">SUM(DK11:DK12)</f>
        <v>4571.8934911242595</v>
      </c>
      <c r="DL13" s="303"/>
      <c r="DM13" s="303">
        <f t="shared" ref="DM13:DN13" si="143">SUM(DM11:DM12)</f>
        <v>0</v>
      </c>
      <c r="DN13" s="303">
        <f t="shared" si="143"/>
        <v>4571.8934911242595</v>
      </c>
      <c r="DO13" s="303">
        <f t="shared" si="142"/>
        <v>4754.7692307692305</v>
      </c>
      <c r="DP13" s="303"/>
      <c r="DQ13" s="303"/>
      <c r="DR13" s="303"/>
      <c r="DS13" s="303">
        <f t="shared" si="142"/>
        <v>59.630769230769232</v>
      </c>
      <c r="DT13" s="303">
        <f t="shared" si="142"/>
        <v>4814.3999999999996</v>
      </c>
      <c r="DU13" s="303">
        <f t="shared" si="142"/>
        <v>2360</v>
      </c>
      <c r="DV13" s="303">
        <f t="shared" si="142"/>
        <v>0</v>
      </c>
      <c r="DW13" s="292"/>
      <c r="DX13" s="303">
        <f t="shared" ref="DX13" si="144">SUM(DX11:DX12)</f>
        <v>2360</v>
      </c>
      <c r="DY13" s="369"/>
      <c r="DZ13" s="369"/>
      <c r="EA13" s="292"/>
      <c r="EB13" s="292"/>
      <c r="EC13" s="273"/>
      <c r="ED13" s="307"/>
      <c r="EE13" s="307"/>
      <c r="EF13" s="307"/>
      <c r="EG13" s="307"/>
      <c r="EH13" s="1362"/>
      <c r="EI13" s="1362"/>
      <c r="EJ13" s="303">
        <f t="shared" ref="EJ13" si="145">SUM(EJ11:EJ12)</f>
        <v>4571.8934911242595</v>
      </c>
      <c r="EK13" s="1363"/>
      <c r="EL13" s="303"/>
      <c r="EM13" s="303">
        <f t="shared" ref="EM13:EP13" si="146">SUM(EM11:EM12)</f>
        <v>0</v>
      </c>
      <c r="EN13" s="303">
        <f t="shared" si="146"/>
        <v>4571.8934911242595</v>
      </c>
      <c r="EO13" s="1363"/>
      <c r="EP13" s="303">
        <f t="shared" si="146"/>
        <v>4754.7692307692305</v>
      </c>
      <c r="EQ13" s="303"/>
      <c r="ER13" s="303"/>
      <c r="ES13" s="303"/>
      <c r="ET13" s="303">
        <f t="shared" ref="ET13:EW13" si="147">SUM(ET11:ET12)</f>
        <v>125.53846153846153</v>
      </c>
      <c r="EU13" s="303">
        <f t="shared" si="147"/>
        <v>4880.3076923076924</v>
      </c>
      <c r="EV13" s="303">
        <f t="shared" si="147"/>
        <v>2392.3076923076924</v>
      </c>
      <c r="EW13" s="303">
        <f t="shared" si="147"/>
        <v>0</v>
      </c>
      <c r="EX13" s="292"/>
      <c r="EY13" s="303">
        <f t="shared" ref="EY13" si="148">SUM(EY11:EY12)</f>
        <v>2392.3076923076924</v>
      </c>
      <c r="FA13" s="292"/>
      <c r="FB13" s="292"/>
      <c r="FC13" s="273"/>
      <c r="FD13" s="307"/>
      <c r="FE13" s="307"/>
      <c r="FF13" s="307"/>
      <c r="FG13" s="303">
        <f t="shared" ref="FG13:FH13" si="149">SUM(FG11:FG12)</f>
        <v>746.89349112426044</v>
      </c>
      <c r="FH13" s="303">
        <f t="shared" si="149"/>
        <v>746.89349112426044</v>
      </c>
      <c r="FI13" s="303"/>
      <c r="FJ13" s="303">
        <f t="shared" ref="FJ13:FL13" si="150">SUM(FJ11:FJ12)</f>
        <v>0</v>
      </c>
      <c r="FK13" s="303">
        <f t="shared" si="150"/>
        <v>746.89349112426044</v>
      </c>
      <c r="FL13" s="303">
        <f t="shared" si="150"/>
        <v>776.76923076923072</v>
      </c>
      <c r="FM13" s="303"/>
      <c r="FN13" s="303"/>
      <c r="FO13" s="303"/>
      <c r="FP13" s="303">
        <f t="shared" ref="FP13:FS13" si="151">SUM(FP11:FP12)</f>
        <v>0</v>
      </c>
      <c r="FQ13" s="303">
        <f t="shared" si="151"/>
        <v>776.76923076923072</v>
      </c>
      <c r="FR13" s="303">
        <f t="shared" si="151"/>
        <v>380.76923076923077</v>
      </c>
      <c r="FS13" s="303">
        <f t="shared" si="151"/>
        <v>0</v>
      </c>
      <c r="FT13" s="292"/>
      <c r="FU13" s="303">
        <f t="shared" ref="FU13" si="152">SUM(FU11:FU12)</f>
        <v>380.76923076923077</v>
      </c>
      <c r="FV13" s="475"/>
      <c r="FW13" s="475"/>
      <c r="FX13" s="475"/>
      <c r="FY13" s="475"/>
      <c r="FZ13" s="475"/>
      <c r="GA13" s="292"/>
      <c r="GB13" s="292"/>
      <c r="GC13" s="273"/>
      <c r="GD13" s="307"/>
      <c r="GE13" s="307"/>
      <c r="GF13" s="307"/>
      <c r="GG13" s="303">
        <f t="shared" ref="GG13:GH13" si="153">SUM(GG11:GG12)</f>
        <v>746.89349112426044</v>
      </c>
      <c r="GH13" s="303">
        <f t="shared" si="153"/>
        <v>746.89349112426044</v>
      </c>
      <c r="GI13" s="303"/>
      <c r="GJ13" s="303">
        <f t="shared" ref="GJ13:GL13" si="154">SUM(GJ11:GJ12)</f>
        <v>0</v>
      </c>
      <c r="GK13" s="303">
        <f t="shared" si="154"/>
        <v>746.89349112426044</v>
      </c>
      <c r="GL13" s="303">
        <f t="shared" si="154"/>
        <v>776.76923076923072</v>
      </c>
      <c r="GM13" s="303"/>
      <c r="GN13" s="303"/>
      <c r="GO13" s="303"/>
      <c r="GP13" s="303">
        <f t="shared" ref="GP13:GS13" si="155">SUM(GP11:GP12)</f>
        <v>0</v>
      </c>
      <c r="GQ13" s="303">
        <f t="shared" si="155"/>
        <v>776.76923076923072</v>
      </c>
      <c r="GR13" s="303">
        <f t="shared" si="155"/>
        <v>380.76923076923077</v>
      </c>
      <c r="GS13" s="303">
        <f t="shared" si="155"/>
        <v>0</v>
      </c>
      <c r="GT13" s="292"/>
      <c r="GU13" s="303">
        <f t="shared" ref="GU13" si="156">SUM(GU11:GU12)</f>
        <v>380.76923076923077</v>
      </c>
      <c r="GV13" s="475"/>
      <c r="GW13" s="477"/>
      <c r="GX13" s="477"/>
      <c r="GY13" s="477"/>
      <c r="GZ13" s="477"/>
      <c r="HA13" s="292"/>
      <c r="HB13" s="292"/>
      <c r="HC13" s="273"/>
      <c r="HD13" s="307"/>
      <c r="HE13" s="307"/>
      <c r="HF13" s="307"/>
      <c r="HG13" s="303">
        <f t="shared" ref="HG13:HH13" si="157">SUM(HG11:HG12)</f>
        <v>487.97665782493368</v>
      </c>
      <c r="HH13" s="303">
        <f t="shared" si="157"/>
        <v>487.97665782493368</v>
      </c>
      <c r="HI13" s="303"/>
      <c r="HJ13" s="303">
        <f t="shared" ref="HJ13:HL13" si="158">SUM(HJ11:HJ12)</f>
        <v>0</v>
      </c>
      <c r="HK13" s="303">
        <f t="shared" si="158"/>
        <v>487.97665782493368</v>
      </c>
      <c r="HL13" s="303">
        <f t="shared" si="158"/>
        <v>507.49572413793106</v>
      </c>
      <c r="HM13" s="303"/>
      <c r="HN13" s="303"/>
      <c r="HO13" s="303"/>
      <c r="HP13" s="303">
        <f t="shared" ref="HP13:HS13" si="159">SUM(HP11:HP12)</f>
        <v>0</v>
      </c>
      <c r="HQ13" s="303">
        <f t="shared" si="159"/>
        <v>507.49572413793106</v>
      </c>
      <c r="HR13" s="303">
        <f t="shared" si="159"/>
        <v>248.77241379310345</v>
      </c>
      <c r="HS13" s="303">
        <f t="shared" si="159"/>
        <v>0</v>
      </c>
      <c r="HT13" s="292"/>
      <c r="HU13" s="303">
        <f t="shared" ref="HU13" si="160">SUM(HU11:HU12)</f>
        <v>248.77241379310345</v>
      </c>
      <c r="IA13" s="292"/>
      <c r="IB13" s="292"/>
      <c r="IC13" s="273"/>
      <c r="ID13" s="307"/>
      <c r="IE13" s="307"/>
      <c r="IF13" s="307"/>
      <c r="IG13" s="303">
        <f t="shared" ref="IG13:IH13" si="161">SUM(IG11:IG12)</f>
        <v>487.97665782493368</v>
      </c>
      <c r="IH13" s="303">
        <f t="shared" si="161"/>
        <v>487.97665782493368</v>
      </c>
      <c r="II13" s="303"/>
      <c r="IJ13" s="303">
        <f t="shared" ref="IJ13:IL13" si="162">SUM(IJ11:IJ12)</f>
        <v>0</v>
      </c>
      <c r="IK13" s="303">
        <f t="shared" si="162"/>
        <v>487.97665782493368</v>
      </c>
      <c r="IL13" s="303">
        <f t="shared" si="162"/>
        <v>507.49572413793106</v>
      </c>
      <c r="IM13" s="303"/>
      <c r="IN13" s="303"/>
      <c r="IO13" s="303"/>
      <c r="IP13" s="303">
        <f t="shared" ref="IP13:IS13" si="163">SUM(IP11:IP12)</f>
        <v>0</v>
      </c>
      <c r="IQ13" s="303">
        <f t="shared" si="163"/>
        <v>507.49572413793106</v>
      </c>
      <c r="IR13" s="303">
        <f t="shared" si="163"/>
        <v>248.77241379310345</v>
      </c>
      <c r="IS13" s="303">
        <f t="shared" si="163"/>
        <v>0</v>
      </c>
      <c r="IT13" s="292"/>
      <c r="IU13" s="303">
        <f t="shared" ref="IU13" si="164">SUM(IU11:IU12)</f>
        <v>248.77241379310345</v>
      </c>
      <c r="JA13" s="292"/>
      <c r="JB13" s="292"/>
      <c r="JC13" s="273"/>
      <c r="JD13" s="307"/>
      <c r="JE13" s="307"/>
      <c r="JF13" s="307"/>
      <c r="JG13" s="303">
        <f t="shared" ref="JG13:JH13" si="165">SUM(JG11:JG12)</f>
        <v>1220.4286472148542</v>
      </c>
      <c r="JH13" s="303">
        <f t="shared" si="165"/>
        <v>1220.4286472148542</v>
      </c>
      <c r="JI13" s="303"/>
      <c r="JJ13" s="303">
        <f t="shared" ref="JJ13:JL13" si="166">SUM(JJ11:JJ12)</f>
        <v>0</v>
      </c>
      <c r="JK13" s="303">
        <f t="shared" si="166"/>
        <v>1220.4286472148542</v>
      </c>
      <c r="JL13" s="303">
        <f t="shared" si="166"/>
        <v>1269.2457931034482</v>
      </c>
      <c r="JM13" s="303"/>
      <c r="JN13" s="303"/>
      <c r="JO13" s="303"/>
      <c r="JP13" s="303">
        <f t="shared" ref="JP13:JS13" si="167">SUM(JP11:JP12)</f>
        <v>0</v>
      </c>
      <c r="JQ13" s="303">
        <f t="shared" si="167"/>
        <v>1269.2457931034482</v>
      </c>
      <c r="JR13" s="303">
        <f t="shared" si="167"/>
        <v>622.17931034482763</v>
      </c>
      <c r="JS13" s="303">
        <f t="shared" si="167"/>
        <v>0</v>
      </c>
      <c r="JT13" s="292"/>
      <c r="JU13" s="303">
        <f t="shared" ref="JU13" si="168">SUM(JU11:JU12)</f>
        <v>622.17931034482751</v>
      </c>
      <c r="KA13" s="292"/>
      <c r="KB13" s="292"/>
      <c r="KC13" s="273"/>
      <c r="KD13" s="307"/>
      <c r="KE13" s="307"/>
      <c r="KF13" s="307"/>
      <c r="KG13" s="303">
        <f t="shared" ref="KG13:KH13" si="169">SUM(KG11:KG12)</f>
        <v>1220.4286472148542</v>
      </c>
      <c r="KH13" s="303">
        <f t="shared" si="169"/>
        <v>1220.4286472148542</v>
      </c>
      <c r="KI13" s="303"/>
      <c r="KJ13" s="303">
        <f t="shared" ref="KJ13:KL13" si="170">SUM(KJ11:KJ12)</f>
        <v>0</v>
      </c>
      <c r="KK13" s="303">
        <f t="shared" si="170"/>
        <v>1220.4286472148542</v>
      </c>
      <c r="KL13" s="303">
        <f t="shared" si="170"/>
        <v>1269.2457931034482</v>
      </c>
      <c r="KM13" s="303"/>
      <c r="KN13" s="303"/>
      <c r="KO13" s="303"/>
      <c r="KP13" s="303">
        <f t="shared" ref="KP13:KS13" si="171">SUM(KP11:KP12)</f>
        <v>0</v>
      </c>
      <c r="KQ13" s="303">
        <f t="shared" si="171"/>
        <v>1269.2457931034482</v>
      </c>
      <c r="KR13" s="303">
        <f t="shared" si="171"/>
        <v>622.17931034482763</v>
      </c>
      <c r="KS13" s="303">
        <f t="shared" si="171"/>
        <v>0</v>
      </c>
      <c r="KT13" s="292"/>
      <c r="KU13" s="303">
        <f t="shared" ref="KU13" si="172">SUM(KU11:KU12)</f>
        <v>622.17931034482751</v>
      </c>
      <c r="LA13" s="292"/>
      <c r="LB13" s="292"/>
      <c r="LC13" s="273"/>
      <c r="LD13" s="307"/>
      <c r="LE13" s="307"/>
      <c r="LF13" s="307"/>
      <c r="LG13" s="303">
        <f t="shared" ref="LG13:LH13" si="173">SUM(LG11:LG12)</f>
        <v>602.90928381962863</v>
      </c>
      <c r="LH13" s="303">
        <f t="shared" si="173"/>
        <v>602.90928381962863</v>
      </c>
      <c r="LI13" s="303"/>
      <c r="LJ13" s="303">
        <f t="shared" ref="LJ13:LL13" si="174">SUM(LJ11:LJ12)</f>
        <v>0</v>
      </c>
      <c r="LK13" s="303">
        <f t="shared" si="174"/>
        <v>602.90928381962863</v>
      </c>
      <c r="LL13" s="303">
        <f t="shared" si="174"/>
        <v>627.02565517241374</v>
      </c>
      <c r="LM13" s="303"/>
      <c r="LN13" s="303"/>
      <c r="LO13" s="303"/>
      <c r="LP13" s="303">
        <f t="shared" ref="LP13:LS13" si="175">SUM(LP11:LP12)</f>
        <v>0</v>
      </c>
      <c r="LQ13" s="303">
        <f t="shared" si="175"/>
        <v>627.02565517241374</v>
      </c>
      <c r="LR13" s="303">
        <f t="shared" si="175"/>
        <v>307.36551724137928</v>
      </c>
      <c r="LS13" s="303">
        <f t="shared" si="175"/>
        <v>0</v>
      </c>
      <c r="LT13" s="292"/>
      <c r="LU13" s="303">
        <f t="shared" ref="LU13" si="176">SUM(LU11:LU12)</f>
        <v>307.36551724137928</v>
      </c>
      <c r="MA13" s="292"/>
      <c r="MB13" s="292"/>
      <c r="MC13" s="273"/>
      <c r="MD13" s="307"/>
      <c r="ME13" s="307"/>
      <c r="MF13" s="307"/>
      <c r="MG13" s="303">
        <f t="shared" ref="MG13:MH13" si="177">SUM(MG11:MG12)</f>
        <v>602.90928381962863</v>
      </c>
      <c r="MH13" s="303">
        <f t="shared" si="177"/>
        <v>602.90928381962863</v>
      </c>
      <c r="MI13" s="303"/>
      <c r="MJ13" s="303">
        <f t="shared" ref="MJ13:ML13" si="178">SUM(MJ11:MJ12)</f>
        <v>0</v>
      </c>
      <c r="MK13" s="303">
        <f t="shared" si="178"/>
        <v>602.90928381962863</v>
      </c>
      <c r="ML13" s="303">
        <f t="shared" si="178"/>
        <v>627.02565517241374</v>
      </c>
      <c r="MM13" s="303"/>
      <c r="MN13" s="303"/>
      <c r="MO13" s="303"/>
      <c r="MP13" s="303">
        <f t="shared" ref="MP13:MS13" si="179">SUM(MP11:MP12)</f>
        <v>0</v>
      </c>
      <c r="MQ13" s="303">
        <f t="shared" si="179"/>
        <v>627.02565517241374</v>
      </c>
      <c r="MR13" s="303">
        <f t="shared" si="179"/>
        <v>307.36551724137928</v>
      </c>
      <c r="MS13" s="303">
        <f t="shared" si="179"/>
        <v>0</v>
      </c>
      <c r="MT13" s="292"/>
      <c r="MU13" s="303">
        <f t="shared" ref="MU13" si="180">SUM(MU11:MU12)</f>
        <v>307.36551724137928</v>
      </c>
      <c r="NA13" s="292"/>
      <c r="NB13" s="292"/>
      <c r="NC13" s="273"/>
      <c r="ND13" s="307"/>
      <c r="NE13" s="307"/>
      <c r="NF13" s="307"/>
      <c r="NG13" s="303">
        <f t="shared" ref="NG13:NH13" si="181">SUM(NG11:NG12)</f>
        <v>1450.2938992042441</v>
      </c>
      <c r="NH13" s="303">
        <f t="shared" si="181"/>
        <v>1450.2938992042441</v>
      </c>
      <c r="NI13" s="303"/>
      <c r="NJ13" s="303">
        <f t="shared" ref="NJ13:NL13" si="182">SUM(NJ11:NJ12)</f>
        <v>0</v>
      </c>
      <c r="NK13" s="303">
        <f t="shared" si="182"/>
        <v>1450.2938992042441</v>
      </c>
      <c r="NL13" s="303">
        <f t="shared" si="182"/>
        <v>1508.3056551724139</v>
      </c>
      <c r="NM13" s="303"/>
      <c r="NN13" s="303"/>
      <c r="NO13" s="303"/>
      <c r="NP13" s="303">
        <f t="shared" ref="NP13:NS13" si="183">SUM(NP11:NP12)</f>
        <v>0</v>
      </c>
      <c r="NQ13" s="303">
        <f t="shared" si="183"/>
        <v>1508.3056551724139</v>
      </c>
      <c r="NR13" s="303">
        <f t="shared" si="183"/>
        <v>739.36551724137939</v>
      </c>
      <c r="NS13" s="303">
        <f t="shared" si="183"/>
        <v>0</v>
      </c>
      <c r="NT13" s="292"/>
      <c r="NU13" s="303">
        <f t="shared" ref="NU13" si="184">SUM(NU11:NU12)</f>
        <v>739.36551724137939</v>
      </c>
      <c r="OA13" s="292"/>
      <c r="OB13" s="292"/>
      <c r="OC13" s="273"/>
      <c r="OD13" s="307"/>
      <c r="OE13" s="307"/>
      <c r="OF13" s="307"/>
      <c r="OG13" s="303">
        <f t="shared" ref="OG13:OH13" si="185">SUM(OG11:OG12)</f>
        <v>1450.2938992042441</v>
      </c>
      <c r="OH13" s="303">
        <f t="shared" si="185"/>
        <v>1450.2938992042441</v>
      </c>
      <c r="OI13" s="303"/>
      <c r="OJ13" s="303">
        <f t="shared" ref="OJ13:OL13" si="186">SUM(OJ11:OJ12)</f>
        <v>0</v>
      </c>
      <c r="OK13" s="303">
        <f t="shared" si="186"/>
        <v>1450.2938992042441</v>
      </c>
      <c r="OL13" s="303">
        <f t="shared" si="186"/>
        <v>1508.3056551724139</v>
      </c>
      <c r="OM13" s="303"/>
      <c r="ON13" s="303"/>
      <c r="OO13" s="303"/>
      <c r="OP13" s="303">
        <f t="shared" ref="OP13:OS13" si="187">SUM(OP11:OP12)</f>
        <v>0</v>
      </c>
      <c r="OQ13" s="303">
        <f t="shared" si="187"/>
        <v>1508.3056551724139</v>
      </c>
      <c r="OR13" s="303">
        <f t="shared" si="187"/>
        <v>739.36551724137939</v>
      </c>
      <c r="OS13" s="303">
        <f t="shared" si="187"/>
        <v>0</v>
      </c>
      <c r="OT13" s="292"/>
      <c r="OU13" s="303">
        <f t="shared" ref="OU13" si="188">SUM(OU11:OU12)</f>
        <v>739.36551724137939</v>
      </c>
      <c r="PA13" s="292"/>
      <c r="PB13" s="292"/>
      <c r="PC13" s="273"/>
      <c r="PD13" s="307"/>
      <c r="PE13" s="307"/>
      <c r="PF13" s="307"/>
      <c r="PG13" s="303">
        <f t="shared" ref="PG13:PH13" si="189">SUM(PG11:PG12)</f>
        <v>1910.0244031830239</v>
      </c>
      <c r="PH13" s="303">
        <f t="shared" si="189"/>
        <v>1910.0244031830239</v>
      </c>
      <c r="PI13" s="303"/>
      <c r="PJ13" s="303">
        <f t="shared" ref="PJ13:PL13" si="190">SUM(PJ11:PJ12)</f>
        <v>0</v>
      </c>
      <c r="PK13" s="303">
        <f t="shared" si="190"/>
        <v>1910.0244031830239</v>
      </c>
      <c r="PL13" s="303">
        <f t="shared" si="190"/>
        <v>1986.4253793103449</v>
      </c>
      <c r="PM13" s="303"/>
      <c r="PN13" s="303"/>
      <c r="PO13" s="303"/>
      <c r="PP13" s="303">
        <f t="shared" ref="PP13:PS13" si="191">SUM(PP11:PP12)</f>
        <v>0</v>
      </c>
      <c r="PQ13" s="303">
        <f t="shared" si="191"/>
        <v>1986.4253793103449</v>
      </c>
      <c r="PR13" s="303">
        <f t="shared" si="191"/>
        <v>973.73793103448281</v>
      </c>
      <c r="PS13" s="303">
        <f t="shared" si="191"/>
        <v>0</v>
      </c>
      <c r="PT13" s="292"/>
      <c r="PU13" s="303">
        <f t="shared" ref="PU13" si="192">SUM(PU11:PU12)</f>
        <v>973.73793103448281</v>
      </c>
      <c r="QA13" s="292"/>
      <c r="QB13" s="292"/>
      <c r="QC13" s="273"/>
      <c r="QD13" s="307"/>
      <c r="QE13" s="307"/>
      <c r="QF13" s="307"/>
      <c r="QG13" s="303">
        <f t="shared" ref="QG13:QH13" si="193">SUM(QG11:QG12)</f>
        <v>1910.0244031830239</v>
      </c>
      <c r="QH13" s="303">
        <f t="shared" si="193"/>
        <v>1910.0244031830239</v>
      </c>
      <c r="QI13" s="303"/>
      <c r="QJ13" s="303">
        <f t="shared" ref="QJ13:QL13" si="194">SUM(QJ11:QJ12)</f>
        <v>0</v>
      </c>
      <c r="QK13" s="303">
        <f t="shared" si="194"/>
        <v>1910.0244031830239</v>
      </c>
      <c r="QL13" s="303">
        <f t="shared" si="194"/>
        <v>1986.4253793103449</v>
      </c>
      <c r="QM13" s="303"/>
      <c r="QN13" s="303"/>
      <c r="QO13" s="303"/>
      <c r="QP13" s="303">
        <f t="shared" ref="QP13:QS13" si="195">SUM(QP11:QP12)</f>
        <v>0</v>
      </c>
      <c r="QQ13" s="303">
        <f t="shared" si="195"/>
        <v>1986.4253793103449</v>
      </c>
      <c r="QR13" s="303">
        <f t="shared" si="195"/>
        <v>973.73793103448281</v>
      </c>
      <c r="QS13" s="303">
        <f t="shared" si="195"/>
        <v>0</v>
      </c>
      <c r="QT13" s="292"/>
      <c r="QU13" s="303">
        <f t="shared" ref="QU13" si="196">SUM(QU11:QU12)</f>
        <v>973.73793103448281</v>
      </c>
      <c r="RA13" s="292"/>
      <c r="RB13" s="292"/>
      <c r="RC13" s="273"/>
      <c r="RD13" s="307"/>
      <c r="RE13" s="307"/>
      <c r="RF13" s="307"/>
      <c r="RG13" s="303">
        <f t="shared" ref="RG13:RH13" si="197">SUM(RG11:RG12)</f>
        <v>3817.1267904509286</v>
      </c>
      <c r="RH13" s="303">
        <f t="shared" si="197"/>
        <v>3817.1267904509286</v>
      </c>
      <c r="RI13" s="303"/>
      <c r="RJ13" s="303">
        <f t="shared" ref="RJ13:RL13" si="198">SUM(RJ11:RJ12)</f>
        <v>0</v>
      </c>
      <c r="RK13" s="303">
        <f t="shared" si="198"/>
        <v>3817.1267904509286</v>
      </c>
      <c r="RL13" s="303">
        <f t="shared" si="198"/>
        <v>3969.8118620689656</v>
      </c>
      <c r="RM13" s="303"/>
      <c r="RN13" s="303"/>
      <c r="RO13" s="303"/>
      <c r="RP13" s="303">
        <f t="shared" ref="RP13:RS13" si="199">SUM(RP11:RP12)</f>
        <v>0</v>
      </c>
      <c r="RQ13" s="303">
        <f t="shared" si="199"/>
        <v>3969.8118620689656</v>
      </c>
      <c r="RR13" s="303">
        <f t="shared" si="199"/>
        <v>1945.9862068965517</v>
      </c>
      <c r="RS13" s="303">
        <f t="shared" si="199"/>
        <v>0</v>
      </c>
      <c r="RT13" s="292"/>
      <c r="RU13" s="303">
        <f t="shared" ref="RU13" si="200">SUM(RU11:RU12)</f>
        <v>1945.9862068965517</v>
      </c>
      <c r="SA13" s="292"/>
      <c r="SB13" s="292"/>
      <c r="SC13" s="273"/>
      <c r="SD13" s="307"/>
      <c r="SE13" s="307"/>
      <c r="SF13" s="307"/>
      <c r="SG13" s="303">
        <f t="shared" ref="SG13:SH13" si="201">SUM(SG11:SG12)</f>
        <v>3817.1267904509286</v>
      </c>
      <c r="SH13" s="303">
        <f t="shared" si="201"/>
        <v>3817.1267904509286</v>
      </c>
      <c r="SI13" s="303"/>
      <c r="SJ13" s="303">
        <f t="shared" ref="SJ13:SL13" si="202">SUM(SJ11:SJ12)</f>
        <v>0</v>
      </c>
      <c r="SK13" s="303">
        <f t="shared" si="202"/>
        <v>3817.1267904509286</v>
      </c>
      <c r="SL13" s="303">
        <f t="shared" si="202"/>
        <v>3969.8118620689656</v>
      </c>
      <c r="SM13" s="303"/>
      <c r="SN13" s="303"/>
      <c r="SO13" s="303"/>
      <c r="SP13" s="303">
        <f t="shared" ref="SP13:SS13" si="203">SUM(SP11:SP12)</f>
        <v>0</v>
      </c>
      <c r="SQ13" s="303">
        <f t="shared" si="203"/>
        <v>3969.8118620689656</v>
      </c>
      <c r="SR13" s="303">
        <f t="shared" si="203"/>
        <v>1945.9862068965517</v>
      </c>
      <c r="SS13" s="303">
        <f t="shared" si="203"/>
        <v>0</v>
      </c>
      <c r="ST13" s="292"/>
      <c r="SU13" s="303">
        <f t="shared" ref="SU13" si="204">SUM(SU11:SU12)</f>
        <v>1945.9862068965517</v>
      </c>
      <c r="TA13" s="292"/>
      <c r="TB13" s="292"/>
      <c r="TC13" s="273"/>
      <c r="TD13" s="307"/>
      <c r="TE13" s="307"/>
      <c r="TF13" s="307"/>
      <c r="TG13" s="303">
        <f t="shared" ref="TG13:TH13" si="205">SUM(TG11:TG12)</f>
        <v>0</v>
      </c>
      <c r="TH13" s="303">
        <f t="shared" si="205"/>
        <v>0</v>
      </c>
      <c r="TI13" s="303"/>
      <c r="TJ13" s="303">
        <f t="shared" ref="TJ13:TL13" si="206">SUM(TJ11:TJ12)</f>
        <v>0</v>
      </c>
      <c r="TK13" s="303">
        <f t="shared" si="206"/>
        <v>0</v>
      </c>
      <c r="TL13" s="303">
        <f t="shared" si="206"/>
        <v>0</v>
      </c>
      <c r="TM13" s="303"/>
      <c r="TN13" s="303"/>
      <c r="TO13" s="303"/>
      <c r="TP13" s="303">
        <f t="shared" ref="TP13:TS13" si="207">SUM(TP11:TP12)</f>
        <v>0</v>
      </c>
      <c r="TQ13" s="303">
        <f t="shared" si="207"/>
        <v>0</v>
      </c>
      <c r="TR13" s="303">
        <f t="shared" si="207"/>
        <v>0</v>
      </c>
      <c r="TS13" s="303">
        <f t="shared" si="207"/>
        <v>0</v>
      </c>
      <c r="TT13" s="292"/>
      <c r="TU13" s="303">
        <f t="shared" ref="TU13" si="208">SUM(TU11:TU12)</f>
        <v>0</v>
      </c>
      <c r="UA13" s="292"/>
      <c r="UB13" s="292"/>
      <c r="UC13" s="273"/>
      <c r="UD13" s="307"/>
      <c r="UE13" s="307"/>
      <c r="UF13" s="307"/>
      <c r="UG13" s="303">
        <f t="shared" ref="UG13:UH13" si="209">SUM(UG11:UG12)</f>
        <v>0</v>
      </c>
      <c r="UH13" s="303">
        <f t="shared" si="209"/>
        <v>0</v>
      </c>
      <c r="UI13" s="303"/>
      <c r="UJ13" s="303">
        <f t="shared" ref="UJ13:UL13" si="210">SUM(UJ11:UJ12)</f>
        <v>0</v>
      </c>
      <c r="UK13" s="303">
        <f t="shared" si="210"/>
        <v>0</v>
      </c>
      <c r="UL13" s="303">
        <f t="shared" si="210"/>
        <v>0</v>
      </c>
      <c r="UM13" s="303"/>
      <c r="UN13" s="303"/>
      <c r="UO13" s="303"/>
      <c r="UP13" s="303">
        <f t="shared" ref="UP13:US13" si="211">SUM(UP11:UP12)</f>
        <v>0</v>
      </c>
      <c r="UQ13" s="303">
        <f t="shared" si="211"/>
        <v>0</v>
      </c>
      <c r="UR13" s="303">
        <f t="shared" si="211"/>
        <v>0</v>
      </c>
      <c r="US13" s="303">
        <f t="shared" si="211"/>
        <v>0</v>
      </c>
      <c r="UT13" s="292"/>
      <c r="UU13" s="303">
        <f t="shared" ref="UU13" si="212">SUM(UU11:UU12)</f>
        <v>0</v>
      </c>
      <c r="VA13" s="292"/>
      <c r="VB13" s="292"/>
      <c r="VC13" s="273"/>
      <c r="VD13" s="307"/>
      <c r="VE13" s="307"/>
      <c r="VF13" s="307"/>
      <c r="VG13" s="303">
        <f t="shared" ref="VG13:VH13" si="213">SUM(VG11:VG12)</f>
        <v>0</v>
      </c>
      <c r="VH13" s="303" t="e">
        <f t="shared" si="213"/>
        <v>#VALUE!</v>
      </c>
      <c r="VI13" s="303"/>
      <c r="VJ13" s="303" t="e">
        <f t="shared" ref="VJ13:VL13" si="214">SUM(VJ11:VJ12)</f>
        <v>#VALUE!</v>
      </c>
      <c r="VK13" s="303" t="e">
        <f t="shared" si="214"/>
        <v>#VALUE!</v>
      </c>
      <c r="VL13" s="303" t="e">
        <f t="shared" si="214"/>
        <v>#VALUE!</v>
      </c>
      <c r="VM13" s="303"/>
      <c r="VN13" s="303"/>
      <c r="VO13" s="303"/>
      <c r="VP13" s="303">
        <f t="shared" ref="VP13:VS13" si="215">SUM(VP11:VP12)</f>
        <v>0</v>
      </c>
      <c r="VQ13" s="303" t="e">
        <f t="shared" si="215"/>
        <v>#VALUE!</v>
      </c>
      <c r="VR13" s="303" t="e">
        <f t="shared" si="215"/>
        <v>#VALUE!</v>
      </c>
      <c r="VS13" s="303" t="e">
        <f t="shared" si="215"/>
        <v>#VALUE!</v>
      </c>
      <c r="VT13" s="292"/>
      <c r="VU13" s="303" t="e">
        <f t="shared" ref="VU13" si="216">SUM(VU11:VU12)</f>
        <v>#VALUE!</v>
      </c>
      <c r="WA13" s="292"/>
      <c r="WB13" s="292"/>
      <c r="WC13" s="273"/>
      <c r="WD13" s="307"/>
      <c r="WE13" s="307"/>
      <c r="WF13" s="307"/>
      <c r="WG13" s="303">
        <f t="shared" ref="WG13:WH13" si="217">SUM(WG11:WG12)</f>
        <v>0</v>
      </c>
      <c r="WH13" s="303" t="e">
        <f t="shared" si="217"/>
        <v>#VALUE!</v>
      </c>
      <c r="WI13" s="303"/>
      <c r="WJ13" s="303" t="e">
        <f t="shared" ref="WJ13:WL13" si="218">SUM(WJ11:WJ12)</f>
        <v>#VALUE!</v>
      </c>
      <c r="WK13" s="303" t="e">
        <f t="shared" si="218"/>
        <v>#VALUE!</v>
      </c>
      <c r="WL13" s="303" t="e">
        <f t="shared" si="218"/>
        <v>#VALUE!</v>
      </c>
      <c r="WM13" s="303"/>
      <c r="WN13" s="303"/>
      <c r="WO13" s="303"/>
      <c r="WP13" s="303">
        <f t="shared" ref="WP13:WS13" si="219">SUM(WP11:WP12)</f>
        <v>0</v>
      </c>
      <c r="WQ13" s="303" t="e">
        <f t="shared" si="219"/>
        <v>#VALUE!</v>
      </c>
      <c r="WR13" s="303" t="e">
        <f t="shared" si="219"/>
        <v>#VALUE!</v>
      </c>
      <c r="WS13" s="303" t="e">
        <f t="shared" si="219"/>
        <v>#VALUE!</v>
      </c>
      <c r="WT13" s="292"/>
      <c r="WU13" s="303" t="e">
        <f t="shared" ref="WU13" si="220">SUM(WU11:WU12)</f>
        <v>#VALUE!</v>
      </c>
    </row>
    <row r="14" spans="1:619" ht="20.25">
      <c r="A14" s="438" t="s">
        <v>2275</v>
      </c>
      <c r="B14" s="438" t="s">
        <v>2272</v>
      </c>
      <c r="C14" s="438" t="s">
        <v>2273</v>
      </c>
      <c r="D14" s="438" t="s">
        <v>2274</v>
      </c>
      <c r="E14" s="236"/>
      <c r="F14" s="237"/>
      <c r="G14" s="237"/>
      <c r="H14" s="233"/>
      <c r="I14" s="716"/>
      <c r="J14" s="716"/>
      <c r="K14" s="716"/>
      <c r="L14" s="469"/>
      <c r="M14" s="469"/>
      <c r="N14" s="469"/>
      <c r="O14" s="469"/>
      <c r="P14" s="469"/>
      <c r="Q14" s="469"/>
      <c r="R14" s="469"/>
      <c r="S14" s="476"/>
      <c r="T14" s="469">
        <v>1</v>
      </c>
      <c r="U14" s="469">
        <v>2</v>
      </c>
      <c r="V14" s="469">
        <v>3</v>
      </c>
      <c r="W14" s="469">
        <v>4</v>
      </c>
      <c r="X14" s="469">
        <v>5</v>
      </c>
      <c r="Y14" s="469">
        <v>6</v>
      </c>
      <c r="Z14" s="469">
        <v>7</v>
      </c>
      <c r="AA14" s="469">
        <v>8</v>
      </c>
      <c r="AB14" s="469">
        <v>9</v>
      </c>
      <c r="AC14" s="469">
        <v>10</v>
      </c>
      <c r="AD14" s="469">
        <v>11</v>
      </c>
      <c r="AE14" s="469">
        <v>12</v>
      </c>
      <c r="AF14" s="469">
        <v>13</v>
      </c>
      <c r="AG14" s="469">
        <v>14</v>
      </c>
      <c r="AH14" s="469">
        <v>15</v>
      </c>
      <c r="AI14" s="469"/>
      <c r="AJ14" s="469"/>
      <c r="AK14" s="469"/>
      <c r="AL14" s="235"/>
      <c r="AM14" s="337"/>
      <c r="AN14" s="1357"/>
      <c r="AO14" s="337"/>
      <c r="AP14" s="235"/>
      <c r="AQ14" s="337"/>
      <c r="AR14" s="486"/>
      <c r="AS14" s="1151"/>
      <c r="AT14" s="547"/>
      <c r="AU14" s="486"/>
      <c r="AV14" s="486"/>
      <c r="AW14" s="486"/>
      <c r="AX14" s="486"/>
      <c r="AY14" s="486"/>
      <c r="AZ14" s="486"/>
      <c r="BA14" s="486"/>
      <c r="BB14" s="486"/>
      <c r="BC14" s="546"/>
      <c r="BD14" s="546"/>
      <c r="BE14" s="543"/>
      <c r="BF14" s="543"/>
      <c r="BG14" s="1024"/>
      <c r="BH14" s="1024"/>
      <c r="BI14" s="543"/>
      <c r="BJ14" s="543"/>
      <c r="BK14" s="543"/>
      <c r="BL14" s="543"/>
      <c r="BM14" s="543"/>
      <c r="BN14" s="544"/>
      <c r="BO14" s="543"/>
      <c r="BP14" s="339"/>
      <c r="BQ14" s="339"/>
      <c r="BR14" s="339"/>
      <c r="BS14" s="339"/>
      <c r="BT14" s="339"/>
      <c r="BU14" s="339"/>
      <c r="BV14" s="339"/>
      <c r="BW14" s="339"/>
      <c r="BX14" s="340"/>
      <c r="BY14" s="487"/>
      <c r="BZ14" s="705"/>
      <c r="CA14" s="484"/>
      <c r="CB14" s="484"/>
      <c r="CC14" s="484"/>
      <c r="CD14" s="484"/>
      <c r="CE14" s="484"/>
      <c r="CF14" s="484"/>
      <c r="CG14" s="484"/>
      <c r="CH14" s="484"/>
      <c r="CI14" s="485"/>
      <c r="CJ14" s="535"/>
      <c r="CK14" s="532"/>
      <c r="CL14" s="532"/>
      <c r="CM14" s="532"/>
      <c r="CN14" s="532"/>
      <c r="CO14" s="532"/>
      <c r="CP14" s="532"/>
      <c r="CQ14" s="532"/>
      <c r="CR14" s="532"/>
      <c r="CS14" s="533"/>
      <c r="CT14" s="535"/>
      <c r="CU14" s="532"/>
      <c r="CV14" s="532"/>
      <c r="CW14" s="532"/>
      <c r="CX14" s="532"/>
      <c r="CY14" s="532"/>
      <c r="CZ14" s="532"/>
      <c r="DA14" s="532"/>
      <c r="DB14" s="532"/>
      <c r="DC14" s="533"/>
      <c r="DD14" s="539">
        <v>1</v>
      </c>
      <c r="DE14" s="539">
        <v>2</v>
      </c>
      <c r="DF14" s="470">
        <v>3</v>
      </c>
      <c r="DG14" s="539">
        <v>4</v>
      </c>
      <c r="DH14" s="539">
        <v>5</v>
      </c>
      <c r="DI14" s="470">
        <v>6</v>
      </c>
      <c r="DJ14" s="539">
        <v>7</v>
      </c>
      <c r="DK14" s="539">
        <v>8</v>
      </c>
      <c r="DL14" s="470">
        <v>9</v>
      </c>
      <c r="DM14" s="539">
        <v>10</v>
      </c>
      <c r="DN14" s="539">
        <v>11</v>
      </c>
      <c r="DO14" s="539">
        <v>12</v>
      </c>
      <c r="DP14" s="470">
        <v>13</v>
      </c>
      <c r="DQ14" s="539">
        <v>14</v>
      </c>
      <c r="DR14" s="539">
        <v>15</v>
      </c>
      <c r="DS14" s="539">
        <v>16</v>
      </c>
      <c r="DT14" s="470">
        <v>17</v>
      </c>
      <c r="DU14" s="539">
        <v>18</v>
      </c>
      <c r="DV14" s="539">
        <v>19</v>
      </c>
      <c r="DW14" s="539">
        <v>20</v>
      </c>
      <c r="DX14" s="539">
        <v>21</v>
      </c>
      <c r="DY14" s="469"/>
      <c r="DZ14" s="469"/>
      <c r="EA14" s="540">
        <v>1</v>
      </c>
      <c r="EB14" s="252">
        <v>2</v>
      </c>
      <c r="EC14" s="252">
        <v>3</v>
      </c>
      <c r="ED14" s="540">
        <v>4</v>
      </c>
      <c r="EE14" s="252">
        <v>5</v>
      </c>
      <c r="EF14" s="252">
        <v>6</v>
      </c>
      <c r="EG14" s="540">
        <v>7</v>
      </c>
      <c r="EH14" s="540"/>
      <c r="EI14" s="540"/>
      <c r="EJ14" s="252">
        <v>8</v>
      </c>
      <c r="EK14" s="252"/>
      <c r="EL14" s="252">
        <v>9</v>
      </c>
      <c r="EM14" s="540">
        <v>10</v>
      </c>
      <c r="EN14" s="252">
        <v>11</v>
      </c>
      <c r="EO14" s="252"/>
      <c r="EP14" s="252">
        <v>12</v>
      </c>
      <c r="EQ14" s="540">
        <v>13</v>
      </c>
      <c r="ER14" s="252">
        <v>14</v>
      </c>
      <c r="ES14" s="252">
        <v>15</v>
      </c>
      <c r="ET14" s="540">
        <v>16</v>
      </c>
      <c r="EU14" s="252">
        <v>17</v>
      </c>
      <c r="EV14" s="252">
        <v>18</v>
      </c>
      <c r="EW14" s="540">
        <v>19</v>
      </c>
      <c r="EX14" s="252">
        <v>20</v>
      </c>
      <c r="EY14" s="252">
        <v>21</v>
      </c>
      <c r="FA14" s="539">
        <v>1</v>
      </c>
      <c r="FB14" s="539">
        <v>2</v>
      </c>
      <c r="FC14" s="470">
        <v>3</v>
      </c>
      <c r="FD14" s="539">
        <v>4</v>
      </c>
      <c r="FE14" s="539">
        <v>5</v>
      </c>
      <c r="FF14" s="470">
        <v>6</v>
      </c>
      <c r="FG14" s="539">
        <v>7</v>
      </c>
      <c r="FH14" s="539">
        <v>8</v>
      </c>
      <c r="FI14" s="470">
        <v>9</v>
      </c>
      <c r="FJ14" s="539">
        <v>10</v>
      </c>
      <c r="FK14" s="539">
        <v>11</v>
      </c>
      <c r="FL14" s="470">
        <v>12</v>
      </c>
      <c r="FM14" s="539">
        <v>13</v>
      </c>
      <c r="FN14" s="539">
        <v>14</v>
      </c>
      <c r="FO14" s="470">
        <v>15</v>
      </c>
      <c r="FP14" s="539">
        <v>16</v>
      </c>
      <c r="FQ14" s="539">
        <v>17</v>
      </c>
      <c r="FR14" s="470">
        <v>18</v>
      </c>
      <c r="FS14" s="539">
        <v>19</v>
      </c>
      <c r="FT14" s="539">
        <v>20</v>
      </c>
      <c r="FU14" s="470">
        <v>21</v>
      </c>
      <c r="FV14" s="469"/>
      <c r="FW14" s="469"/>
      <c r="FX14" s="469"/>
      <c r="FY14" s="469"/>
      <c r="FZ14" s="469"/>
      <c r="GA14" s="540">
        <v>1</v>
      </c>
      <c r="GB14" s="252">
        <v>2</v>
      </c>
      <c r="GC14" s="252">
        <v>3</v>
      </c>
      <c r="GD14" s="540">
        <v>4</v>
      </c>
      <c r="GE14" s="252">
        <v>5</v>
      </c>
      <c r="GF14" s="252">
        <v>6</v>
      </c>
      <c r="GG14" s="540">
        <v>7</v>
      </c>
      <c r="GH14" s="252">
        <v>8</v>
      </c>
      <c r="GI14" s="252">
        <v>9</v>
      </c>
      <c r="GJ14" s="540">
        <v>10</v>
      </c>
      <c r="GK14" s="252">
        <v>11</v>
      </c>
      <c r="GL14" s="252">
        <v>12</v>
      </c>
      <c r="GM14" s="540">
        <v>13</v>
      </c>
      <c r="GN14" s="252">
        <v>14</v>
      </c>
      <c r="GO14" s="252">
        <v>15</v>
      </c>
      <c r="GP14" s="540">
        <v>16</v>
      </c>
      <c r="GQ14" s="252">
        <v>17</v>
      </c>
      <c r="GR14" s="252">
        <v>18</v>
      </c>
      <c r="GS14" s="540">
        <v>19</v>
      </c>
      <c r="GT14" s="252">
        <v>20</v>
      </c>
      <c r="GU14" s="252">
        <v>21</v>
      </c>
      <c r="GV14" s="469"/>
      <c r="GW14" s="469"/>
      <c r="GX14" s="469"/>
      <c r="GY14" s="469"/>
      <c r="GZ14" s="469"/>
      <c r="HA14" s="539">
        <v>1</v>
      </c>
      <c r="HB14" s="539">
        <v>2</v>
      </c>
      <c r="HC14" s="539">
        <v>3</v>
      </c>
      <c r="HD14" s="539">
        <v>4</v>
      </c>
      <c r="HE14" s="539">
        <v>5</v>
      </c>
      <c r="HF14" s="539">
        <v>6</v>
      </c>
      <c r="HG14" s="539">
        <v>7</v>
      </c>
      <c r="HH14" s="539">
        <v>8</v>
      </c>
      <c r="HI14" s="539">
        <v>9</v>
      </c>
      <c r="HJ14" s="539">
        <v>10</v>
      </c>
      <c r="HK14" s="539">
        <v>11</v>
      </c>
      <c r="HL14" s="539">
        <v>12</v>
      </c>
      <c r="HM14" s="539">
        <v>13</v>
      </c>
      <c r="HN14" s="539">
        <v>14</v>
      </c>
      <c r="HO14" s="539">
        <v>15</v>
      </c>
      <c r="HP14" s="539">
        <v>16</v>
      </c>
      <c r="HQ14" s="539">
        <v>17</v>
      </c>
      <c r="HR14" s="539">
        <v>18</v>
      </c>
      <c r="HS14" s="539">
        <v>19</v>
      </c>
      <c r="HT14" s="539">
        <v>20</v>
      </c>
      <c r="HU14" s="539">
        <v>21</v>
      </c>
      <c r="IA14" s="539">
        <v>1</v>
      </c>
      <c r="IB14" s="539">
        <v>2</v>
      </c>
      <c r="IC14" s="539">
        <v>3</v>
      </c>
      <c r="ID14" s="539">
        <v>4</v>
      </c>
      <c r="IE14" s="539">
        <v>5</v>
      </c>
      <c r="IF14" s="539">
        <v>6</v>
      </c>
      <c r="IG14" s="539">
        <v>7</v>
      </c>
      <c r="IH14" s="539">
        <v>8</v>
      </c>
      <c r="II14" s="539">
        <v>9</v>
      </c>
      <c r="IJ14" s="539">
        <v>10</v>
      </c>
      <c r="IK14" s="539">
        <v>11</v>
      </c>
      <c r="IL14" s="539">
        <v>12</v>
      </c>
      <c r="IM14" s="539">
        <v>13</v>
      </c>
      <c r="IN14" s="539">
        <v>14</v>
      </c>
      <c r="IO14" s="539">
        <v>15</v>
      </c>
      <c r="IP14" s="539">
        <v>16</v>
      </c>
      <c r="IQ14" s="539">
        <v>17</v>
      </c>
      <c r="IR14" s="539">
        <v>18</v>
      </c>
      <c r="IS14" s="539">
        <v>19</v>
      </c>
      <c r="IT14" s="539">
        <v>20</v>
      </c>
      <c r="IU14" s="539">
        <v>21</v>
      </c>
      <c r="JA14" s="539">
        <v>1</v>
      </c>
      <c r="JB14" s="539">
        <v>2</v>
      </c>
      <c r="JC14" s="539">
        <v>3</v>
      </c>
      <c r="JD14" s="539">
        <v>4</v>
      </c>
      <c r="JE14" s="539">
        <v>5</v>
      </c>
      <c r="JF14" s="539">
        <v>6</v>
      </c>
      <c r="JG14" s="539">
        <v>7</v>
      </c>
      <c r="JH14" s="539">
        <v>8</v>
      </c>
      <c r="JI14" s="539">
        <v>9</v>
      </c>
      <c r="JJ14" s="539">
        <v>10</v>
      </c>
      <c r="JK14" s="539">
        <v>11</v>
      </c>
      <c r="JL14" s="539">
        <v>12</v>
      </c>
      <c r="JM14" s="539">
        <v>13</v>
      </c>
      <c r="JN14" s="539">
        <v>14</v>
      </c>
      <c r="JO14" s="539">
        <v>15</v>
      </c>
      <c r="JP14" s="539">
        <v>16</v>
      </c>
      <c r="JQ14" s="539">
        <v>17</v>
      </c>
      <c r="JR14" s="539">
        <v>18</v>
      </c>
      <c r="JS14" s="539">
        <v>19</v>
      </c>
      <c r="JT14" s="539">
        <v>20</v>
      </c>
      <c r="JU14" s="539">
        <v>21</v>
      </c>
      <c r="KA14" s="539">
        <v>1</v>
      </c>
      <c r="KB14" s="539">
        <v>2</v>
      </c>
      <c r="KC14" s="539">
        <v>3</v>
      </c>
      <c r="KD14" s="539">
        <v>4</v>
      </c>
      <c r="KE14" s="539">
        <v>5</v>
      </c>
      <c r="KF14" s="539">
        <v>6</v>
      </c>
      <c r="KG14" s="539">
        <v>7</v>
      </c>
      <c r="KH14" s="539">
        <v>8</v>
      </c>
      <c r="KI14" s="539">
        <v>9</v>
      </c>
      <c r="KJ14" s="539">
        <v>10</v>
      </c>
      <c r="KK14" s="539">
        <v>11</v>
      </c>
      <c r="KL14" s="539">
        <v>12</v>
      </c>
      <c r="KM14" s="539">
        <v>13</v>
      </c>
      <c r="KN14" s="539">
        <v>14</v>
      </c>
      <c r="KO14" s="539">
        <v>15</v>
      </c>
      <c r="KP14" s="539">
        <v>16</v>
      </c>
      <c r="KQ14" s="539">
        <v>17</v>
      </c>
      <c r="KR14" s="539">
        <v>18</v>
      </c>
      <c r="KS14" s="539">
        <v>19</v>
      </c>
      <c r="KT14" s="539">
        <v>20</v>
      </c>
      <c r="KU14" s="539">
        <v>21</v>
      </c>
      <c r="LA14" s="539">
        <v>1</v>
      </c>
      <c r="LB14" s="539">
        <v>2</v>
      </c>
      <c r="LC14" s="539">
        <v>3</v>
      </c>
      <c r="LD14" s="539">
        <v>4</v>
      </c>
      <c r="LE14" s="539">
        <v>5</v>
      </c>
      <c r="LF14" s="539">
        <v>6</v>
      </c>
      <c r="LG14" s="539">
        <v>7</v>
      </c>
      <c r="LH14" s="539">
        <v>8</v>
      </c>
      <c r="LI14" s="539">
        <v>9</v>
      </c>
      <c r="LJ14" s="539">
        <v>10</v>
      </c>
      <c r="LK14" s="539">
        <v>11</v>
      </c>
      <c r="LL14" s="539">
        <v>12</v>
      </c>
      <c r="LM14" s="539">
        <v>13</v>
      </c>
      <c r="LN14" s="539">
        <v>14</v>
      </c>
      <c r="LO14" s="539">
        <v>15</v>
      </c>
      <c r="LP14" s="539">
        <v>16</v>
      </c>
      <c r="LQ14" s="539">
        <v>17</v>
      </c>
      <c r="LR14" s="539">
        <v>18</v>
      </c>
      <c r="LS14" s="539">
        <v>19</v>
      </c>
      <c r="LT14" s="539">
        <v>20</v>
      </c>
      <c r="LU14" s="539">
        <v>21</v>
      </c>
      <c r="MA14" s="539">
        <v>1</v>
      </c>
      <c r="MB14" s="539">
        <v>2</v>
      </c>
      <c r="MC14" s="539">
        <v>3</v>
      </c>
      <c r="MD14" s="539">
        <v>4</v>
      </c>
      <c r="ME14" s="539">
        <v>5</v>
      </c>
      <c r="MF14" s="539">
        <v>6</v>
      </c>
      <c r="MG14" s="539">
        <v>7</v>
      </c>
      <c r="MH14" s="539">
        <v>8</v>
      </c>
      <c r="MI14" s="539">
        <v>9</v>
      </c>
      <c r="MJ14" s="539">
        <v>10</v>
      </c>
      <c r="MK14" s="539">
        <v>11</v>
      </c>
      <c r="ML14" s="539">
        <v>12</v>
      </c>
      <c r="MM14" s="539">
        <v>13</v>
      </c>
      <c r="MN14" s="539">
        <v>14</v>
      </c>
      <c r="MO14" s="539">
        <v>15</v>
      </c>
      <c r="MP14" s="539">
        <v>16</v>
      </c>
      <c r="MQ14" s="539">
        <v>17</v>
      </c>
      <c r="MR14" s="539">
        <v>18</v>
      </c>
      <c r="MS14" s="539">
        <v>19</v>
      </c>
      <c r="MT14" s="539">
        <v>20</v>
      </c>
      <c r="MU14" s="539">
        <v>21</v>
      </c>
      <c r="NA14" s="539">
        <v>1</v>
      </c>
      <c r="NB14" s="539">
        <v>2</v>
      </c>
      <c r="NC14" s="539">
        <v>3</v>
      </c>
      <c r="ND14" s="539">
        <v>4</v>
      </c>
      <c r="NE14" s="539">
        <v>5</v>
      </c>
      <c r="NF14" s="539">
        <v>6</v>
      </c>
      <c r="NG14" s="539">
        <v>7</v>
      </c>
      <c r="NH14" s="539">
        <v>8</v>
      </c>
      <c r="NI14" s="539">
        <v>9</v>
      </c>
      <c r="NJ14" s="539">
        <v>10</v>
      </c>
      <c r="NK14" s="539">
        <v>11</v>
      </c>
      <c r="NL14" s="539">
        <v>12</v>
      </c>
      <c r="NM14" s="539">
        <v>13</v>
      </c>
      <c r="NN14" s="539">
        <v>14</v>
      </c>
      <c r="NO14" s="539">
        <v>15</v>
      </c>
      <c r="NP14" s="539">
        <v>16</v>
      </c>
      <c r="NQ14" s="539">
        <v>17</v>
      </c>
      <c r="NR14" s="539">
        <v>18</v>
      </c>
      <c r="NS14" s="539">
        <v>19</v>
      </c>
      <c r="NT14" s="539">
        <v>20</v>
      </c>
      <c r="NU14" s="539">
        <v>21</v>
      </c>
      <c r="OA14" s="539">
        <v>1</v>
      </c>
      <c r="OB14" s="539">
        <v>2</v>
      </c>
      <c r="OC14" s="539">
        <v>3</v>
      </c>
      <c r="OD14" s="539">
        <v>4</v>
      </c>
      <c r="OE14" s="539">
        <v>5</v>
      </c>
      <c r="OF14" s="539">
        <v>6</v>
      </c>
      <c r="OG14" s="539">
        <v>7</v>
      </c>
      <c r="OH14" s="539">
        <v>8</v>
      </c>
      <c r="OI14" s="539">
        <v>9</v>
      </c>
      <c r="OJ14" s="539">
        <v>10</v>
      </c>
      <c r="OK14" s="539">
        <v>11</v>
      </c>
      <c r="OL14" s="539">
        <v>12</v>
      </c>
      <c r="OM14" s="539">
        <v>13</v>
      </c>
      <c r="ON14" s="539">
        <v>14</v>
      </c>
      <c r="OO14" s="539">
        <v>15</v>
      </c>
      <c r="OP14" s="539">
        <v>16</v>
      </c>
      <c r="OQ14" s="539">
        <v>17</v>
      </c>
      <c r="OR14" s="539">
        <v>18</v>
      </c>
      <c r="OS14" s="539">
        <v>19</v>
      </c>
      <c r="OT14" s="539">
        <v>20</v>
      </c>
      <c r="OU14" s="539">
        <v>21</v>
      </c>
      <c r="PA14" s="539">
        <v>1</v>
      </c>
      <c r="PB14" s="539">
        <v>2</v>
      </c>
      <c r="PC14" s="539">
        <v>3</v>
      </c>
      <c r="PD14" s="539">
        <v>4</v>
      </c>
      <c r="PE14" s="539">
        <v>5</v>
      </c>
      <c r="PF14" s="539">
        <v>6</v>
      </c>
      <c r="PG14" s="539">
        <v>7</v>
      </c>
      <c r="PH14" s="539">
        <v>8</v>
      </c>
      <c r="PI14" s="539">
        <v>9</v>
      </c>
      <c r="PJ14" s="539">
        <v>10</v>
      </c>
      <c r="PK14" s="539">
        <v>11</v>
      </c>
      <c r="PL14" s="539">
        <v>12</v>
      </c>
      <c r="PM14" s="539">
        <v>13</v>
      </c>
      <c r="PN14" s="539">
        <v>14</v>
      </c>
      <c r="PO14" s="539">
        <v>15</v>
      </c>
      <c r="PP14" s="539">
        <v>16</v>
      </c>
      <c r="PQ14" s="539">
        <v>17</v>
      </c>
      <c r="PR14" s="539">
        <v>18</v>
      </c>
      <c r="PS14" s="539">
        <v>19</v>
      </c>
      <c r="PT14" s="539">
        <v>20</v>
      </c>
      <c r="PU14" s="539">
        <v>21</v>
      </c>
      <c r="QA14" s="539">
        <v>1</v>
      </c>
      <c r="QB14" s="539">
        <v>2</v>
      </c>
      <c r="QC14" s="539">
        <v>3</v>
      </c>
      <c r="QD14" s="539">
        <v>4</v>
      </c>
      <c r="QE14" s="539">
        <v>5</v>
      </c>
      <c r="QF14" s="539">
        <v>6</v>
      </c>
      <c r="QG14" s="539">
        <v>7</v>
      </c>
      <c r="QH14" s="539">
        <v>8</v>
      </c>
      <c r="QI14" s="539">
        <v>9</v>
      </c>
      <c r="QJ14" s="539">
        <v>10</v>
      </c>
      <c r="QK14" s="539">
        <v>11</v>
      </c>
      <c r="QL14" s="539">
        <v>12</v>
      </c>
      <c r="QM14" s="539">
        <v>13</v>
      </c>
      <c r="QN14" s="539">
        <v>14</v>
      </c>
      <c r="QO14" s="539">
        <v>15</v>
      </c>
      <c r="QP14" s="539">
        <v>16</v>
      </c>
      <c r="QQ14" s="539">
        <v>17</v>
      </c>
      <c r="QR14" s="539">
        <v>18</v>
      </c>
      <c r="QS14" s="539">
        <v>19</v>
      </c>
      <c r="QT14" s="539">
        <v>20</v>
      </c>
      <c r="QU14" s="539">
        <v>21</v>
      </c>
      <c r="RA14" s="230">
        <v>1</v>
      </c>
      <c r="RB14" s="230">
        <v>2</v>
      </c>
      <c r="RC14" s="230">
        <v>3</v>
      </c>
      <c r="RD14" s="230">
        <v>4</v>
      </c>
      <c r="RE14" s="230">
        <v>5</v>
      </c>
      <c r="RF14" s="230">
        <v>6</v>
      </c>
      <c r="RG14" s="230">
        <v>7</v>
      </c>
      <c r="RH14" s="230">
        <v>8</v>
      </c>
      <c r="RI14" s="230">
        <v>9</v>
      </c>
      <c r="RJ14" s="230">
        <v>10</v>
      </c>
      <c r="RK14" s="230">
        <v>11</v>
      </c>
      <c r="RL14" s="230">
        <v>12</v>
      </c>
      <c r="RM14" s="230">
        <v>13</v>
      </c>
      <c r="RN14" s="230">
        <v>14</v>
      </c>
      <c r="RO14" s="230">
        <v>15</v>
      </c>
      <c r="RP14" s="230">
        <v>16</v>
      </c>
      <c r="RQ14" s="230">
        <v>17</v>
      </c>
      <c r="RR14" s="230">
        <v>18</v>
      </c>
      <c r="RS14" s="230">
        <v>19</v>
      </c>
      <c r="RT14" s="230">
        <v>20</v>
      </c>
      <c r="RU14" s="230">
        <v>21</v>
      </c>
      <c r="SA14" s="539">
        <v>1</v>
      </c>
      <c r="SB14" s="539">
        <v>2</v>
      </c>
      <c r="SC14" s="539">
        <v>3</v>
      </c>
      <c r="SD14" s="539">
        <v>4</v>
      </c>
      <c r="SE14" s="539">
        <v>5</v>
      </c>
      <c r="SF14" s="539">
        <v>6</v>
      </c>
      <c r="SG14" s="539">
        <v>7</v>
      </c>
      <c r="SH14" s="539">
        <v>8</v>
      </c>
      <c r="SI14" s="539">
        <v>9</v>
      </c>
      <c r="SJ14" s="539">
        <v>10</v>
      </c>
      <c r="SK14" s="539">
        <v>11</v>
      </c>
      <c r="SL14" s="539">
        <v>12</v>
      </c>
      <c r="SM14" s="539">
        <v>13</v>
      </c>
      <c r="SN14" s="539">
        <v>14</v>
      </c>
      <c r="SO14" s="539">
        <v>15</v>
      </c>
      <c r="SP14" s="539">
        <v>16</v>
      </c>
      <c r="SQ14" s="539">
        <v>17</v>
      </c>
      <c r="SR14" s="539">
        <v>18</v>
      </c>
      <c r="SS14" s="539">
        <v>19</v>
      </c>
      <c r="ST14" s="539">
        <v>20</v>
      </c>
      <c r="SU14" s="539">
        <v>21</v>
      </c>
      <c r="TA14" s="539">
        <v>1</v>
      </c>
      <c r="TB14" s="539">
        <v>2</v>
      </c>
      <c r="TC14" s="539">
        <v>3</v>
      </c>
      <c r="TD14" s="539">
        <v>4</v>
      </c>
      <c r="TE14" s="539">
        <v>5</v>
      </c>
      <c r="TF14" s="539">
        <v>6</v>
      </c>
      <c r="TG14" s="539">
        <v>7</v>
      </c>
      <c r="TH14" s="539">
        <v>8</v>
      </c>
      <c r="TI14" s="539">
        <v>9</v>
      </c>
      <c r="TJ14" s="539">
        <v>10</v>
      </c>
      <c r="TK14" s="539">
        <v>11</v>
      </c>
      <c r="TL14" s="539">
        <v>12</v>
      </c>
      <c r="TM14" s="539">
        <v>13</v>
      </c>
      <c r="TN14" s="539">
        <v>14</v>
      </c>
      <c r="TO14" s="539">
        <v>15</v>
      </c>
      <c r="TP14" s="539">
        <v>16</v>
      </c>
      <c r="TQ14" s="539">
        <v>17</v>
      </c>
      <c r="TR14" s="539">
        <v>18</v>
      </c>
      <c r="TS14" s="539">
        <v>19</v>
      </c>
      <c r="TT14" s="539">
        <v>20</v>
      </c>
      <c r="TU14" s="539">
        <v>21</v>
      </c>
      <c r="UA14" s="539">
        <v>1</v>
      </c>
      <c r="UB14" s="539">
        <v>2</v>
      </c>
      <c r="UC14" s="539">
        <v>3</v>
      </c>
      <c r="UD14" s="539">
        <v>4</v>
      </c>
      <c r="UE14" s="539">
        <v>5</v>
      </c>
      <c r="UF14" s="539">
        <v>6</v>
      </c>
      <c r="UG14" s="539">
        <v>7</v>
      </c>
      <c r="UH14" s="539">
        <v>8</v>
      </c>
      <c r="UI14" s="539">
        <v>9</v>
      </c>
      <c r="UJ14" s="539">
        <v>10</v>
      </c>
      <c r="UK14" s="539">
        <v>11</v>
      </c>
      <c r="UL14" s="539">
        <v>12</v>
      </c>
      <c r="UM14" s="539">
        <v>13</v>
      </c>
      <c r="UN14" s="539">
        <v>14</v>
      </c>
      <c r="UO14" s="539">
        <v>15</v>
      </c>
      <c r="UP14" s="539">
        <v>16</v>
      </c>
      <c r="UQ14" s="539">
        <v>17</v>
      </c>
      <c r="UR14" s="539">
        <v>18</v>
      </c>
      <c r="US14" s="539">
        <v>19</v>
      </c>
      <c r="UT14" s="539">
        <v>20</v>
      </c>
      <c r="UU14" s="539">
        <v>21</v>
      </c>
      <c r="VA14" s="539">
        <v>1</v>
      </c>
      <c r="VB14" s="539">
        <v>2</v>
      </c>
      <c r="VC14" s="470">
        <v>3</v>
      </c>
      <c r="VD14" s="539">
        <v>4</v>
      </c>
      <c r="VE14" s="539">
        <v>5</v>
      </c>
      <c r="VF14" s="470">
        <v>6</v>
      </c>
      <c r="VG14" s="539">
        <v>7</v>
      </c>
      <c r="VH14" s="539">
        <v>8</v>
      </c>
      <c r="VI14" s="470">
        <v>9</v>
      </c>
      <c r="VJ14" s="539">
        <v>10</v>
      </c>
      <c r="VK14" s="539">
        <v>11</v>
      </c>
      <c r="VL14" s="470">
        <v>12</v>
      </c>
      <c r="VM14" s="539">
        <v>13</v>
      </c>
      <c r="VN14" s="539">
        <v>14</v>
      </c>
      <c r="VO14" s="470">
        <v>15</v>
      </c>
      <c r="VP14" s="539">
        <v>16</v>
      </c>
      <c r="VQ14" s="539">
        <v>17</v>
      </c>
      <c r="VR14" s="470">
        <v>18</v>
      </c>
      <c r="VS14" s="539">
        <v>19</v>
      </c>
      <c r="VT14" s="539">
        <v>20</v>
      </c>
      <c r="VU14" s="470">
        <v>21</v>
      </c>
      <c r="WA14" s="539">
        <v>1</v>
      </c>
      <c r="WB14" s="539">
        <v>2</v>
      </c>
      <c r="WC14" s="470">
        <v>3</v>
      </c>
      <c r="WD14" s="539">
        <v>4</v>
      </c>
      <c r="WE14" s="539">
        <v>5</v>
      </c>
      <c r="WF14" s="470">
        <v>6</v>
      </c>
      <c r="WG14" s="539">
        <v>7</v>
      </c>
      <c r="WH14" s="539">
        <v>8</v>
      </c>
      <c r="WI14" s="470">
        <v>9</v>
      </c>
      <c r="WJ14" s="539">
        <v>10</v>
      </c>
      <c r="WK14" s="539">
        <v>11</v>
      </c>
      <c r="WL14" s="470">
        <v>12</v>
      </c>
      <c r="WM14" s="539">
        <v>13</v>
      </c>
      <c r="WN14" s="539">
        <v>14</v>
      </c>
      <c r="WO14" s="470">
        <v>15</v>
      </c>
      <c r="WP14" s="539">
        <v>16</v>
      </c>
      <c r="WQ14" s="539">
        <v>17</v>
      </c>
      <c r="WR14" s="470">
        <v>18</v>
      </c>
      <c r="WS14" s="539">
        <v>19</v>
      </c>
      <c r="WT14" s="539">
        <v>20</v>
      </c>
      <c r="WU14" s="470">
        <v>21</v>
      </c>
    </row>
    <row r="15" spans="1:619" s="296" customFormat="1">
      <c r="A15" s="274" t="b">
        <f t="shared" ref="A15:A46" si="221">IF(B15=FALSE,FALSE,IF(C15=FALSE,FALSE,IF(D15=FALSE,FALSE,TRUE)))</f>
        <v>0</v>
      </c>
      <c r="B15" s="274" t="b">
        <f>IF(NAMES!$B$9=TRUE,TRUE,FALSE)</f>
        <v>1</v>
      </c>
      <c r="C15" s="274" t="b">
        <f>E15</f>
        <v>0</v>
      </c>
      <c r="D15" s="274" t="b">
        <f>IF(N15="",FALSE,TRUE)</f>
        <v>1</v>
      </c>
      <c r="E15" s="274" t="b">
        <f>IF(Cotations!C15="","",Cotations!C15)</f>
        <v>0</v>
      </c>
      <c r="F15" s="274" t="str">
        <f>IF(Cotations!D15="","",Cotations!D15)</f>
        <v>PROP</v>
      </c>
      <c r="G15" s="274" t="str">
        <f>IF(Cotations!E15="","",Cotations!E15)</f>
        <v>2015-2016!</v>
      </c>
      <c r="H15" s="274" t="str">
        <f>IF(Cotations!F15="","",Cotations!F15)</f>
        <v>SINGLE</v>
      </c>
      <c r="I15" s="274" t="str">
        <f>IF(Cotations!G15="","",Cotations!G15)</f>
        <v/>
      </c>
      <c r="J15" s="274" t="str">
        <f>IF(Cotations!H15="","",Cotations!H15)</f>
        <v/>
      </c>
      <c r="K15" s="274" t="str">
        <f>IF(Cotations!I15="","",Cotations!I15)</f>
        <v/>
      </c>
      <c r="L15" s="274" t="str">
        <f>IF(A15=FALSE,"",IF(Cotations!N15="","",Cotations!N15))</f>
        <v/>
      </c>
      <c r="M15" s="274" t="str">
        <f>IF(Cotations!P15="","",Cotations!P15)</f>
        <v/>
      </c>
      <c r="N15" s="275">
        <f>IF(NAMES!$B$10=TRUE,Cotations!J15,Cotations!L15)</f>
        <v>42320</v>
      </c>
      <c r="O15" s="275">
        <f>IF(NAMES!$B$10=TRUE,Cotations!K15,Cotations!M15)</f>
        <v>42561</v>
      </c>
      <c r="P15" s="943" t="str">
        <f>TEXT(N15,"mmmm")</f>
        <v>novembre</v>
      </c>
      <c r="Q15" s="275" t="str">
        <f>IF(A15=FALSE,"",IF(Crewlist!Y15="","",Crewlist!Y15))</f>
        <v/>
      </c>
      <c r="R15" s="78" t="str">
        <f>IF(Cotations!U15="","",Cotations!U15)</f>
        <v/>
      </c>
      <c r="S15" s="943" t="str">
        <f>IF(A15=FALSE,"",CONCATENATE(E15,I15,P15,N15))</f>
        <v/>
      </c>
      <c r="T15" s="919" t="str">
        <f>IF(A15=FALSE,"",VLOOKUP($U$15:$U$120,Currency!$A$2:$D$10,4,0)*Crewlist!N15)</f>
        <v/>
      </c>
      <c r="U15" s="943" t="str">
        <f>IF(A15=FALSE,"",IF(IT15=0,Crewlist!M15&amp;"/"&amp;EX15,Crewlist!M15&amp;"/"&amp;IT15))</f>
        <v/>
      </c>
      <c r="V15" s="919" t="str">
        <f>IF(A15=FALSE,"",VLOOKUP($U$15:$U$120,Currency!$A$2:$D$10,4,0)*Detail!Q15)</f>
        <v/>
      </c>
      <c r="W15" s="943" t="str">
        <f>IF(A15=FALSE,"",IF(IT15=0,Detail!R15&amp;"/"&amp;EX15,Detail!R15&amp;"/"&amp;IT15))</f>
        <v/>
      </c>
      <c r="X15" s="919" t="str">
        <f>IF(A15=FALSE,"",IF(LISTES!$C$17="Crewlist",Calcul!T15,Calcul!V15))</f>
        <v/>
      </c>
      <c r="Y15" s="78" t="str">
        <f>IF(A15=FALSE,"",12*X15)</f>
        <v/>
      </c>
      <c r="Z15" s="758" t="str">
        <f>IF(A15=FALSE,"",IF(X15=0,0,IF((Cotations!BC15*12*X15)&lt;50000,50000,(12*X15))))</f>
        <v/>
      </c>
      <c r="AA15" s="758" t="str">
        <f>IF(A15=FALSE,"",IF(X15=0,0,IF((12*X15)&lt;125000,(12*X15),125000)))</f>
        <v/>
      </c>
      <c r="AB15" s="758" t="str">
        <f>IF(A15=FALSE,"",IF(Crewlist!O15=0,"",Crewlist!O15))</f>
        <v/>
      </c>
      <c r="AC15" s="758" t="str">
        <f>IF(I15="","",VLOOKUP($AB$15:$AB$120,Currency!$A$15:$B$34,2,0))</f>
        <v/>
      </c>
      <c r="AD15" s="758" t="str">
        <f>IF(I15="","",Y15-AC15)</f>
        <v/>
      </c>
      <c r="AE15" s="758" t="str">
        <f>IF(I15="","",IF(AC15&gt;Y15,1/3*AC15,(AD15+AC15)*1/3))</f>
        <v/>
      </c>
      <c r="AF15" s="758" t="str">
        <f>IF(I15="","",AE15/12)</f>
        <v/>
      </c>
      <c r="AG15" s="78" t="str">
        <f>IF(A15=FALSE,"",X15*12/365*M15)</f>
        <v/>
      </c>
      <c r="AH15" s="943" t="str">
        <f t="shared" ref="AH15:AH46" si="222">IF(A15=FALSE,"",EX15)</f>
        <v/>
      </c>
      <c r="AI15" s="285" t="str">
        <f>IF(A15=FALSE,"",BD15+BP15+(AN15+AO15+AQ15))</f>
        <v/>
      </c>
      <c r="AJ15" s="1382" t="str">
        <f>IF(A15=FALSE,"",AS15+BZ15+AN15)</f>
        <v/>
      </c>
      <c r="AK15" s="1382" t="str">
        <f>IF(A15=FALSE,"",AT15+CA15)</f>
        <v/>
      </c>
      <c r="AL15" s="238" t="str">
        <f t="shared" ref="AL15:AL46" si="223">IF(A15=FALSE,"",BZ15+CA15)</f>
        <v/>
      </c>
      <c r="AM15" s="238" t="str">
        <f t="shared" ref="AM15:AM46" si="224">IF(A15=FALSE,"",AR15*(TAXE-1))</f>
        <v/>
      </c>
      <c r="AN15" s="1374" t="str">
        <f t="shared" ref="AN15:AN46" si="225">IF(A15=FALSE,"",EO15)</f>
        <v/>
      </c>
      <c r="AO15" s="238" t="str">
        <f t="shared" ref="AO15:AO46" si="226">IF(A15=FALSE,"",AL15+AM15)</f>
        <v/>
      </c>
      <c r="AP15" s="342" t="str">
        <f>IF(A15=FALSE,"",INDEX(Rates!$Z$5:$Z$367,MATCH(EB15,colchoice,0)))</f>
        <v/>
      </c>
      <c r="AQ15" s="238" t="str">
        <f t="shared" ref="AQ15:AQ46" si="227">IF(A15=FALSE,"",IF(AP15="NO",0,IF(AP15="WCA",L15,15/12*L15)))</f>
        <v/>
      </c>
      <c r="AR15" s="238" t="str">
        <f>IF(A15=FALSE,"",BD15+BP15)</f>
        <v/>
      </c>
      <c r="AS15" s="238" t="str">
        <f>IF(A15=FALSE,"",SUM(AU15:AV15)*TAXE)</f>
        <v/>
      </c>
      <c r="AT15" s="238" t="str">
        <f>IF(A15=FALSE,"",SUM(AW15:BB15)*TAXE)</f>
        <v/>
      </c>
      <c r="AU15" s="238" t="str">
        <f t="shared" ref="AU15:AU46" si="228">IF(A15=FALSE,"",BE15+BQ15)</f>
        <v/>
      </c>
      <c r="AV15" s="238" t="str">
        <f>IF(A15=FALSE,"",BF15+BR15+BG15+BH15)</f>
        <v/>
      </c>
      <c r="AW15" s="238" t="str">
        <f t="shared" ref="AW15:AW46" si="229">IF(A15=FALSE,"",BI15+BS15)</f>
        <v/>
      </c>
      <c r="AX15" s="238" t="str">
        <f t="shared" ref="AX15:AX46" si="230">IF(A15=FALSE,"",BJ15+BT15)</f>
        <v/>
      </c>
      <c r="AY15" s="238" t="str">
        <f t="shared" ref="AY15:AY46" si="231">IF(A15=FALSE,"",BK15+BU15)</f>
        <v/>
      </c>
      <c r="AZ15" s="238" t="str">
        <f t="shared" ref="AZ15:AZ46" si="232">IF(A15=FALSE,"",BL15+BV15)</f>
        <v/>
      </c>
      <c r="BA15" s="238" t="str">
        <f t="shared" ref="BA15:BA46" si="233">IF(A15=FALSE,"",BM15+BW15)</f>
        <v/>
      </c>
      <c r="BB15" s="552" t="str">
        <f t="shared" ref="BB15:BB46" si="234">IF(A15=FALSE,"",BN15+BX15)</f>
        <v/>
      </c>
      <c r="BC15" s="347" t="str">
        <f t="shared" ref="BC15:BC46" si="235">IF(A15=FALSE,"",BD15*TAXE)</f>
        <v/>
      </c>
      <c r="BD15" s="239" t="str">
        <f>IF(A15=FALSE,"",SUM(BE15:BN15))</f>
        <v/>
      </c>
      <c r="BE15" s="239" t="str">
        <f>IF(A15=FALSE,"",IF(ALLTHESAME=TRUE,IF(DF15&lt;&gt;$BC$7,0,INDEX(DD15:DZ15,1,MATCH(Structure!$D$12,$DD$14:$DZ$14,0))),IF(EC15&lt;&gt;$BC$7,0,INDEX(EA15:EZ15,1,MATCH(Structure!$D$12,$EA$14:$EZ$14,0)))))</f>
        <v/>
      </c>
      <c r="BF15" s="239" t="str">
        <f>IF(A15=FALSE,"",IF(ALLTHESAME=TRUE,IF(FC15&lt;&gt;$BC$7,0,INDEX(FA15:FZ15,1,MATCH(Structure!$D$12,$FA$14:$FZ$14,0))),IF(GC15&lt;&gt;$BC$7,0,INDEX(GA15:GZ15,1,MATCH(Structure!$D$12,$GA$14:$GZ$14,0)))))</f>
        <v/>
      </c>
      <c r="BG15" s="239" t="str">
        <f>IF(A15=FALSE,"",IF(ALLTHESAME=TRUE,IF(VC15&lt;&gt;$BC$7,0,INDEX(VA15:VZ15,1,MATCH(Structure!$D$12,$VA$14:$VZ$14,0))),IF(VC15&lt;&gt;$BC$7,0,INDEX(VA15:VZ15,1,MATCH(Structure!$D$12,$VA$14:$VZ$14,0)))))</f>
        <v/>
      </c>
      <c r="BH15" s="239" t="str">
        <f>IF(A15=FALSE,"",IF(ALLTHESAME=TRUE,IF(WC15&lt;&gt;$BC$7,0,INDEX(WA15:WY15,1,MATCH(Structure!$D$12,$WA$14:$WZ$14,0))),IF(WC15&lt;&gt;$BC$7,0,INDEX(WA15:WZ15,1,MATCH(Structure!$D$12,$WA$14:$WZ$14,0)))))</f>
        <v/>
      </c>
      <c r="BI15" s="763" t="str">
        <f>IF(A15=FALSE,"",IF(ALLTHESAME=TRUE,IF(HC15&lt;&gt;$BC$7,0,INDEX(HA15:HZ15,1,MATCH(Structure!$D$12,$HA$14:$HZ$14,0)))+TK15,IF(IC15&lt;&gt;$BC$7,0,INDEX(IA15:IZ15,1,MATCH(Structure!$D$12,$IA$14:$IZ$14,0)))+TK15))</f>
        <v/>
      </c>
      <c r="BJ15" s="239" t="str">
        <f>IF(A15=FALSE,"",IF(ALLTHESAME=TRUE,IF(JC15&lt;&gt;$BC$7,0,INDEX(JA15:JZ15,1,MATCH(Structure!$D$12,$JA$14:$JZ$14,0))),IF(KC15&lt;&gt;$BC$7,0,INDEX(KA15:KZ15,1,MATCH(Structure!$D$12,$KA$14:$KZ$14,0)))))</f>
        <v/>
      </c>
      <c r="BK15" s="763" t="str">
        <f>IF(A15=FALSE,"",IF(ALLTHESAME=TRUE,IF(LC15&lt;&gt;$BC$7,0,INDEX(LA15:LZ15,1,MATCH(Structure!$D$12,$LA$14:$LZ$14,0)))+UK15,IF(MC15&lt;&gt;$BC$7,0,INDEX(MA15:MZ15,1,MATCH(Structure!$D$12,$MA$14:$MZ$14,0)))+UK15))</f>
        <v/>
      </c>
      <c r="BL15" s="239" t="str">
        <f>IF(A15=FALSE,"",IF(ALLTHESAME=TRUE,IF(NC15&lt;&gt;$BC$7,0,INDEX(NA15:NZ15,1,MATCH(Structure!$D$12,$NA$14:$NZ$14,0))),IF(OC15&lt;&gt;$BC$7,0,INDEX(OA15:OZ15,1,MATCH(Structure!$D$12,$OA$14:$OZ$14,0)))))</f>
        <v/>
      </c>
      <c r="BM15" s="239" t="str">
        <f>IF(A15=FALSE,"",IF(ALLTHESAME=TRUE,IF(PC15&lt;&gt;$BC$7,0,INDEX(PA15:PZ15,1,MATCH(Structure!$D$12,$PA$14:$PZ$14,0))),IF(QC15&lt;&gt;$BC$7,0,INDEX(QA15:QZ15,1,MATCH(Structure!$D$12,$QA$14:$QZ$14,0)))))</f>
        <v/>
      </c>
      <c r="BN15" s="341" t="str">
        <f>IF(A15=FALSE,"",IF(ALLTHESAME=TRUE,IF(RC15&lt;&gt;$BC$7,0,INDEX(RA15:RZ15,1,MATCH(Structure!$D$12,$RA$14:$RZ$14,0))),IF(SC15&lt;&gt;$BC$7,0,INDEX(SA15:TA15,1,MATCH(Structure!$D$12,$SA$14:$TA$14,0)))))</f>
        <v/>
      </c>
      <c r="BO15" s="507" t="str">
        <f t="shared" ref="BO15:BO46" si="236">IF(A15=FALSE,"",BP15*TAXE)</f>
        <v/>
      </c>
      <c r="BP15" s="239" t="str">
        <f t="shared" ref="BP15:BP46" si="237">IF(A15=FALSE,"",SUM(BQ15:BX15))</f>
        <v/>
      </c>
      <c r="BQ15" s="239" t="str">
        <f>IF(A15=FALSE,"",IF(ALLTHESAME=TRUE,IF(DF15&lt;&gt;$BO$7,0,INDEX(DD15:DZ15,1,MATCH(Structure!$D$12,$DD$14:$DZ$14,0))),IF(EC15&lt;&gt;$BO$7,0,INDEX(EA15:EZ15,1,MATCH(Structure!$D$12,$EA$14:$EZ$14,0)))))</f>
        <v/>
      </c>
      <c r="BR15" s="239" t="str">
        <f>IF(A15=FALSE,"",IF(ALLTHESAME=TRUE,IF(FC15&lt;&gt;$BO$7,0,INDEX(FA15:FZ15,1,MATCH(Structure!$D$12,$FA$14:$FZ$14,0))),IF(GC15&lt;&gt;$BO$7,0,INDEX(GA15:GZ15,1,MATCH(Structure!$D$12,$GA$14:$GZ$14,0)))))</f>
        <v/>
      </c>
      <c r="BS15" s="239" t="str">
        <f>IF(A15=FALSE,"",IF(ALLTHESAME=TRUE,IF(HC15&lt;&gt;$BO$7,0,INDEX(HA15:HZ15,1,MATCH(Structure!$D$12,$HA$14:$HZ$14,0))),IF(IC15&lt;&gt;$BO$7,0,INDEX(IA15:IZ15,1,MATCH(Structure!$D$12,$IA$14:$IZ$14,0)))))</f>
        <v/>
      </c>
      <c r="BT15" s="239" t="str">
        <f>IF(A15=FALSE,"",IF(ALLTHESAME=TRUE,IF(JC15&lt;&gt;$BO$7,0,INDEX(JA15:JZ15,1,MATCH(Structure!$D$12,$JA$14:$JZ$14,0))),IF(KC15&lt;&gt;$BO$7,0,INDEX(KA15:KZ15,1,MATCH(Structure!$D$12,$KA$14:$KZ$14,0)))))</f>
        <v/>
      </c>
      <c r="BU15" s="239" t="str">
        <f>IF(A15=FALSE,"",IF(ALLTHESAME=TRUE,IF(LC15&lt;&gt;$BO$7,0,INDEX(LA15:LZ15,1,MATCH(Structure!$D$12,$LA$14:$LZ$14,0))),IF(MC15&lt;&gt;$BO$7,0,INDEX(MA15:MZ15,1,MATCH(Structure!$D$12,$MA$14:$MZ$14,0)))))</f>
        <v/>
      </c>
      <c r="BV15" s="239" t="str">
        <f>IF(A15=FALSE,"",IF(ALLTHESAME=TRUE,IF(NC15&lt;&gt;$BO$7,0,INDEX(NA15:NZ15,1,MATCH(Structure!$D$12,$NA$14:$NZ$14,0))),IF(OC15&lt;&gt;$BO$7,0,INDEX(OA15:OZ15,1,MATCH(Structure!$D$12,$OA$14:$OZ$14,0)))))</f>
        <v/>
      </c>
      <c r="BW15" s="239" t="str">
        <f>IF(A15=FALSE,"",IF(ALLTHESAME=TRUE,IF(PC15&lt;&gt;$BO$7,0,INDEX(PA15:PZ15,1,MATCH(Structure!$D$12,$PA$14:$PZ$14,0))),IF(QC15&lt;&gt;$BO$7,0,INDEX(QA15:QZ15,1,MATCH(Structure!$D$12,$QA$14:$QZ$14,0)))))</f>
        <v/>
      </c>
      <c r="BX15" s="341" t="str">
        <f>IF(A15=FALSE,"",IF(ALLTHESAME=TRUE,IF(RC15&lt;&gt;$BO$7,0,INDEX(RA15:RZ15,1,MATCH(Structure!$D$12,$RA$14:$RZ$14,0))),IF(SC15&lt;&gt;$BO$7,0,INDEX(SA15:TA15,1,MATCH(Structure!$D$12,$SA$14:$TA$14,0)))))</f>
        <v/>
      </c>
      <c r="BY15" s="347" t="str">
        <f t="shared" ref="BY15:BY46" si="238">IF(A15=FALSE,"",IF(SUM(CD15:CI15)&gt;0,"PREV","MEDI"))</f>
        <v/>
      </c>
      <c r="BZ15" s="507" t="str">
        <f t="shared" ref="BZ15:BZ46" si="239">IF(A15=FALSE,"",SUM(CB15:CC15))</f>
        <v/>
      </c>
      <c r="CA15" s="239" t="str">
        <f t="shared" ref="CA15:CA46" si="240">IF(A15=FALSE,"",SUM(CD15:CI15))</f>
        <v/>
      </c>
      <c r="CB15" s="239" t="str">
        <f>IF(A15=FALSE,"",IF(ALLTHESAME=TRUE,INDEX(DD15:DZ15,MATCH(DF15,DF15:DF120,0),MATCH(Structure!$D$17,$DD$14:$DZ$14,0)),INDEX(EA15:EZ15,MATCH(EC15,EC15:EC120,0),MATCH(Structure!$D$17,$EA$14:$EZ$14,0))))</f>
        <v/>
      </c>
      <c r="CC15" s="239" t="str">
        <f>IF(A15=FALSE,"",IF(ALLTHESAME=TRUE,INDEX(FA15:FZ15,MATCH(FC15,FC15:FC120,0),MATCH(Structure!$D$17,$FA$14:$FZ$14,0)),INDEX(GA15:GZ15,MATCH(GC15,GC15:GC120,0),MATCH(Structure!$D$17,$GA$14:$GZ$14,0))))</f>
        <v/>
      </c>
      <c r="CD15" s="239" t="str">
        <f>IF(A15=FALSE,"",IF(ALLTHESAME=TRUE,INDEX(HA15:HZ15,MATCH(HC15,HC15:HC120,0),MATCH(Structure!$D$17,$HA$14:$HZ$14,0)),INDEX(IA15:IZ15,MATCH(IC15,IC15:IC120,0),MATCH(Structure!$D$17,$IA$14:$IZ$14,0))))</f>
        <v/>
      </c>
      <c r="CE15" s="239" t="str">
        <f>IF(A15=FALSE,"",IF(ALLTHESAME=TRUE,INDEX(JA15:JZ15,MATCH(JC15,JC15:JC120,0),MATCH(Structure!$D$17,$JA$14:$JZ$14,0)),INDEX(KA15:KZ15,MATCH(KC15,KC15:KC120,0),MATCH(Structure!$D$17,$KA$14:$KZ$14,0))))</f>
        <v/>
      </c>
      <c r="CF15" s="239" t="str">
        <f>IF(A15=FALSE,"",IF(ALLTHESAME=TRUE,INDEX(LA15:LZ15,MATCH(LC15,LC15:LC120,0),MATCH(Structure!$D$17,$LA$14:$LZ$14,0)),INDEX(MA15:MZ15,MATCH(MC15,MC15:MC120,0),MATCH(Structure!$D$17,$MA$14:$MZ$14,0))))</f>
        <v/>
      </c>
      <c r="CG15" s="239" t="str">
        <f>IF(A15=FALSE,"",IF(ALLTHESAME=TRUE,INDEX(NA15:NZ15,MATCH(NC15,NC15:NC120,0),MATCH(Structure!$D$17,$NA$14:$NZ$14,0)),INDEX(OA15:OZ15,MATCH(OC15,OC15:OC120,0),MATCH(Structure!$D$17,$OA$14:$OZ$14,0))))</f>
        <v/>
      </c>
      <c r="CH15" s="239" t="str">
        <f>IF(A15=FALSE,"",IF(ALLTHESAME=TRUE,INDEX(PA15:PZ15,MATCH(PC15,PC15:PC120,0),MATCH(Structure!$D$17,$PA$14:$PZ$14,0)),INDEX(QA15:QZ15,MATCH(QC15,QC15:QC120,0),MATCH(Structure!$D$17,$QA$14:$QZ$14,0))))</f>
        <v/>
      </c>
      <c r="CI15" s="341" t="str">
        <f>IF(A15=FALSE,"",IF(ALLTHESAME=TRUE,INDEX(RA15:RZ15,MATCH(RC15,RC15:RC120,0),MATCH(Structure!$D$17,$RA$14:$RZ$14,0)),INDEX(SA15:TC15,MATCH(SC15,SC15:SC120,0),MATCH(Structure!$D$17,$SA$14:$TC$14,0))))</f>
        <v/>
      </c>
      <c r="CJ15" s="347"/>
      <c r="CK15" s="239" t="str">
        <f t="shared" ref="CK15:CK46" si="241">IF(A15=FALSE,"",SUM(CL15:CS15))</f>
        <v/>
      </c>
      <c r="CL15" s="239" t="str">
        <f>IF(A15=FALSE,"",IF(ALLTHESAME=TRUE,INDEX(DD15:DZ15,MATCH(DF15,DF15:DF120,0),MATCH(Structure!$D$22,$DD$14:$DZ$14,0)),INDEX(EA15:EZ15,MATCH(EC15,EC15:EC120,0),MATCH(Structure!$D$22,$EA$14:$EZ$14,0))))</f>
        <v/>
      </c>
      <c r="CM15" s="239" t="str">
        <f>IF(A15=FALSE,"",IF(ALLTHESAME=TRUE,INDEX(FA15:FZ15,MATCH(FC15,FC15:FC120,0),MATCH(Structure!$D$22,$FA$14:$FZ$14,0)),INDEX(GA15:GZ15,MATCH(GC15,GC15:GC120,0),MATCH(Structure!$D$22,$GA$14:$GZ$14,0))))</f>
        <v/>
      </c>
      <c r="CN15" s="239" t="str">
        <f>IF(A15=FALSE,"",IF(ALLTHESAME=TRUE,INDEX(HA15:HZ15,MATCH(HC15,HC15:HC120,0),MATCH(Structure!$D$22,$HA$14:$HZ$14,0)),INDEX(IA15:IZ15,MATCH(IC15,IC15:IC120,0),MATCH(Structure!$D$22,$IA$14:$IZ$14,0))))</f>
        <v/>
      </c>
      <c r="CO15" s="239" t="str">
        <f>IF(A15=FALSE,"",IF(ALLTHESAME=TRUE,INDEX(JA15:JZ15,MATCH(JC15,JC15:JC120,0),MATCH(Structure!$D$22,$JA$14:$JZ$14,0)),INDEX(KA15:KZ15,MATCH(KC15,KC15:KC120,0),MATCH(Structure!$D$22,$KA$14:$KZ$14,0))))</f>
        <v/>
      </c>
      <c r="CP15" s="239" t="str">
        <f>IF(A15=FALSE,"",IF(ALLTHESAME=TRUE,INDEX(LA15:LZ15,MATCH(LC15,LC15:LC120,0),MATCH(Structure!$D$22,$LA$14:$LZ$14,0)),INDEX(MA15:MZ15,MATCH(MC15,MC15:MC120,0),MATCH(Structure!$D$22,$MA$14:$MZ$14,0))))</f>
        <v/>
      </c>
      <c r="CQ15" s="239" t="str">
        <f>IF(A15=FALSE,"",IF(ALLTHESAME=TRUE,INDEX(NA15:NZ15,MATCH(NC15,NC15:NC120,0),MATCH(Structure!$D$22,$NA$14:$NZ$14,0)),INDEX(OA15:OZ15,MATCH(OC15,OC15:OC120,0),MATCH(Structure!$D$22,$OA$14:$OZ$14,0))))</f>
        <v/>
      </c>
      <c r="CR15" s="239" t="str">
        <f>IF(A15=FALSE,"",IF(ALLTHESAME=TRUE,INDEX(PA15:PZ15,MATCH(PC15,PC15:PC120,0),MATCH(Structure!$D$22,$PA$14:$PZ$14,0)),INDEX(QA15:QZ15,MATCH(QC15,QC15:QC120,0),MATCH(Structure!$D$22,$QA$14:$QZ$14,0))))</f>
        <v/>
      </c>
      <c r="CS15" s="341" t="str">
        <f>IF(A15=FALSE,"",IF(ALLTHESAME=TRUE,INDEX(RA15:RZ15,MATCH(RC15,RC15:RC120,0),MATCH(Structure!$D$22,$RA$14:$RZ$14,0)),INDEX(SA15:TC15,MATCH(SC15,SC15:SC120,0),MATCH(Structure!$D$22,$SA$14:$TC$14,0))))</f>
        <v/>
      </c>
      <c r="CT15" s="347"/>
      <c r="CU15" s="239" t="str">
        <f t="shared" ref="CU15:CU46" si="242">IF(A15=FALSE,"",SUM(CV15:DC15))</f>
        <v/>
      </c>
      <c r="CV15" s="239" t="str">
        <f>IF(A15=FALSE,"",IF(ALLTHESAME=TRUE,INDEX(DD15:DZ15,MATCH(DF15,DF15:DF120,0),MATCH(Structure!$D$8,$DD$14:$DZ$14,0)),INDEX(EA15:EZ15,MATCH(EC15,EC15:EC120,0),MATCH(Structure!$D$8,$EA$14:$EZ$14,0))))</f>
        <v/>
      </c>
      <c r="CW15" s="239" t="str">
        <f>IF(A15=FALSE,"",IF(ALLTHESAME=TRUE,INDEX(FA15:FZ15,MATCH(FC15,FC15:FC120,0),MATCH(Structure!$D$8,$FA$14:$FZ$14,0)),INDEX(GA15:GZ15,MATCH(GC15,GC15:GC120,0),MATCH(Structure!$D$8,$GA$14:$GZ$14,0))))</f>
        <v/>
      </c>
      <c r="CX15" s="239" t="str">
        <f>IF(A15=FALSE,"",IF(ALLTHESAME=TRUE,INDEX(HA15:HZ15,MATCH(HC15,HC15:HC120,0),MATCH(Structure!$D$8,$HA$14:$HZ$14,0)),INDEX(IA15:IZ15,MATCH(IC15,IC15:IC120,0),MATCH(Structure!$D$8,$IA$14:$IZ$14,0))))</f>
        <v/>
      </c>
      <c r="CY15" s="239" t="str">
        <f>IF(A15=FALSE,"",IF(ALLTHESAME=TRUE,INDEX(JA15:JZ15,MATCH(JC15,JC15:JC120,0),MATCH(Structure!$D$8,$JA$14:$JZ$14,0)),INDEX(KA15:KZ15,MATCH(KC15,KC15:KC120,0),MATCH(Structure!$D$8,$KA$14:$KZ$14,0))))</f>
        <v/>
      </c>
      <c r="CZ15" s="239" t="str">
        <f>IF(A15=FALSE,"",IF(ALLTHESAME=TRUE,INDEX(LA15:LZ15,MATCH(LC15,LC15:LC120,0),MATCH(Structure!$D$8,$LA$14:$LZ$14,0)),INDEX(MA15:MZ15,MATCH(MC15,MC15:MC120,0),MATCH(Structure!$D$8,$MA$14:$MZ$14,0))))</f>
        <v/>
      </c>
      <c r="DA15" s="239" t="str">
        <f>IF(A15=FALSE,"",IF(ALLTHESAME=TRUE,INDEX(NA15:NZ15,MATCH(NC15,NC15:NC120,0),MATCH(Structure!$D$8,$NA$14:$NZ$14,0)),INDEX(OA15:OZ15,MATCH(OC15,OC15:OC120,0),MATCH(Structure!$D$8,$OA$14:$OZ$14,0))))</f>
        <v/>
      </c>
      <c r="DB15" s="239" t="str">
        <f>IF(A15=FALSE,"",IF(ALLTHESAME=TRUE,INDEX(PA15:PZ15,MATCH(PC15,PC15:PC120,0),MATCH(Structure!$D$8,$PA$14:$PZ$14,0)),INDEX(QA15:QZ15,MATCH(QC15,QC15:QC120,0),MATCH(Structure!$D$8,$QA$14:$QZ$14,0))))</f>
        <v/>
      </c>
      <c r="DC15" s="341" t="str">
        <f>IF(A15=FALSE,"",IF(ALLTHESAME=TRUE,INDEX(RA15:RZ15,MATCH(RC15,RC15:RC120,0),MATCH(Structure!$D$8,$RA$14:$RZ$14,0)),INDEX(SA15:TC15,MATCH(SC15,SC15:SC120,0),MATCH(Structure!$D$8,$SA$14:$TC$14,0))))</f>
        <v/>
      </c>
      <c r="DD15" s="492" t="str">
        <f>IF(A15=FALSE,"",Cotations!D15)</f>
        <v/>
      </c>
      <c r="DE15" s="492" t="str">
        <f>IF(A15=FALSE,"",IF(LISTES!$A$17=1,Cotations!AF15,Cotations!$AG$4))</f>
        <v/>
      </c>
      <c r="DF15" s="291" t="str">
        <f>IF(A15=FALSE,"",INDEX(colAssureur,MATCH(DE15,colchoice,0)))</f>
        <v/>
      </c>
      <c r="DG15" s="291" t="str">
        <f t="shared" ref="DG15:DG46" si="243">IF(A15=FALSE,"",INDEX(colProduct,MATCH(DE15,colchoice,0)))</f>
        <v/>
      </c>
      <c r="DH15" s="291"/>
      <c r="DI15" s="463"/>
      <c r="DJ15" s="463" t="str">
        <f t="shared" ref="DJ15:DJ46" si="244">IF(A15=FALSE,"",INDEX(colRatesHT,MATCH(DE15,colchoice,0)))</f>
        <v/>
      </c>
      <c r="DK15" s="522" t="str">
        <f>IF(A15=FALSE,"",IF(Cotations!$AH$4="monthly",DJ15/12*L15,DJ15/365*M15))</f>
        <v/>
      </c>
      <c r="DL15" s="489" t="str">
        <f>IF(A15=FALSE,"",Cotations!$AI$4)</f>
        <v/>
      </c>
      <c r="DM15" s="300" t="str">
        <f t="shared" ref="DM15:DM46" si="245">IF(A15=FALSE,"",DK15*DL15)</f>
        <v/>
      </c>
      <c r="DN15" s="300" t="str">
        <f t="shared" ref="DN15:DN46" si="246">IF(A15=FALSE,"",DK15-DM15)</f>
        <v/>
      </c>
      <c r="DO15" s="294" t="str">
        <f t="shared" ref="DO15:DO46" si="247">IF(A15=FALSE,"",DN15*TAXE)</f>
        <v/>
      </c>
      <c r="DP15" s="494" t="str">
        <f>IF(A15=FALSE,"",Cotations!$AJ$4)</f>
        <v/>
      </c>
      <c r="DQ15" s="494" t="str">
        <f>IF(A15=FALSE,"",Cotations!$AK$4)</f>
        <v/>
      </c>
      <c r="DR15" s="489" t="str">
        <f>IF(A15=FALSE,"",Cotations!$AL$4)</f>
        <v/>
      </c>
      <c r="DS15" s="494" t="str">
        <f>IF(A15=FALSE,"",IF(DP15="N/A",0,IF(INDEX(LISTES!$F$105:$F$109,MATCH(DP15,LISTES!$C$105:$C$109,0))="FIX",IF(INDEX(LISTES!$E$105:$E$109,MATCH(DP15,LISTES!$C$105:$C$109,0))=12,DQ15/12*L15,DQ15/365*M15),DR15*DO15)))</f>
        <v/>
      </c>
      <c r="DT15" s="294" t="str">
        <f t="shared" ref="DT15:DT46" si="248">IF(A15=FALSE,"",DO15+DS15)</f>
        <v/>
      </c>
      <c r="DU15" s="294" t="str">
        <f>IF(A15=FALSE,"",DT15*Cotations!$AM$4)</f>
        <v/>
      </c>
      <c r="DV15" s="294" t="str">
        <f>IF(A15=FALSE,"",DT15*Cotations!$AN$4)</f>
        <v/>
      </c>
      <c r="DW15" s="465" t="str">
        <f t="shared" ref="DW15:DW46" si="249">IF(A15=FALSE,"",INDEX(colCurrency,MATCH(DE15,colchoice,0)))</f>
        <v/>
      </c>
      <c r="DX15" s="285" t="str">
        <f>IF(A15=FALSE,"",((DJ15*TAXE)-(DJ15*TAXE*DL15))+IF(DP15="N/A",0,IF(INDEX(LISTES!$F$105:$F$109,MATCH(DP15,LISTES!$C$105:$C$109,0))="FIX",DQ15,DR15*DO15)))</f>
        <v/>
      </c>
      <c r="DY15" s="466"/>
      <c r="DZ15" s="466"/>
      <c r="EA15" s="492" t="str">
        <f>IF(A15=FALSE,"",Cotations!D15)</f>
        <v/>
      </c>
      <c r="EB15" s="494" t="str">
        <f>IF(A15=FALSE,"",IF(LISTES!$A$17=1,Cotations!AF15,Cotations!AG15))</f>
        <v/>
      </c>
      <c r="EC15" s="284" t="str">
        <f t="shared" ref="EC15:EC46" si="250">IF(A15=FALSE,"",INDEX(colAssureur,MATCH(EB15,colchoice,0)))</f>
        <v/>
      </c>
      <c r="ED15" s="284" t="str">
        <f t="shared" ref="ED15:ED46" si="251">IF(A15=FALSE,"",IF(N15="","",INDEX(colProduct,MATCH(EB15,colchoice,0))))</f>
        <v/>
      </c>
      <c r="EE15" s="284"/>
      <c r="EF15" s="284"/>
      <c r="EG15" s="284" t="str">
        <f t="shared" ref="EG15:EG46" si="252">IF(A15=FALSE,"",INDEX(colRatesHT,MATCH(EB15,colchoice,0)))</f>
        <v/>
      </c>
      <c r="EH15" s="1365" t="str">
        <f t="shared" ref="EH15:EH46" si="253">IF(A15=FALSE,"",INDEX(colSURCOM,MATCH(EB15,colchoice,0)))</f>
        <v/>
      </c>
      <c r="EI15" s="1365" t="str">
        <f t="shared" ref="EI15:EI46" si="254">IF(A15=FALSE,"",INDEX(colRatesHTsurcom,MATCH(EB15,colchoice,0)))</f>
        <v/>
      </c>
      <c r="EJ15" s="515" t="str">
        <f>IF(A15=FALSE,"",IF(Cotations!AH15="monthly",EG15/12*L15,EG15/365*M15))</f>
        <v/>
      </c>
      <c r="EK15" s="1364" t="str">
        <f>IF(A15=FALSE,"",IF(Cotations!AH15="monthly",EI15/12*L15,EI15/365*M15))</f>
        <v/>
      </c>
      <c r="EL15" s="493" t="str">
        <f>IF(A15=FALSE,"",IF(Cotations!AI15="","",Cotations!AI15))</f>
        <v/>
      </c>
      <c r="EM15" s="284" t="str">
        <f t="shared" ref="EM15:EM46" si="255">IF(A15=FALSE,"",EJ15*EL15)</f>
        <v/>
      </c>
      <c r="EN15" s="284" t="str">
        <f t="shared" ref="EN15:EN46" si="256">IF(A15=FALSE,"",EJ15-EM15)</f>
        <v/>
      </c>
      <c r="EO15" s="1365" t="str">
        <f>IF(A15=FALSE,"",IF(EH15=0,0,EK15-(EJ15-EM15)))</f>
        <v/>
      </c>
      <c r="EP15" s="284" t="str">
        <f t="shared" ref="EP15:EP46" si="257">IF(A15=FALSE,"",(EN15*TAXE)+EO15)</f>
        <v/>
      </c>
      <c r="EQ15" s="515" t="str">
        <f>IF(A15=FALSE,"",Cotations!AJ15)</f>
        <v/>
      </c>
      <c r="ER15" s="515" t="str">
        <f>IF(A15=FALSE,"",IF(Cotations!AK15="","",Cotations!AK15))</f>
        <v/>
      </c>
      <c r="ES15" s="493" t="str">
        <f>IF(A15=FALSE,"",Cotations!AL15)</f>
        <v/>
      </c>
      <c r="ET15" s="515" t="str">
        <f>IF(A15=FALSE,"",IF(EQ15="N/A",0,IF(INDEX(LISTES!$F$105:$F$109,MATCH(EQ15,LISTES!$C$105:$C$109,0))="FIX",IF(INDEX(LISTES!$E$105:$E$109,MATCH(EQ15,LISTES!$C$105:$C$109,0))=12,ER15/12*L15,ER15/365*M15),ES15*EP15)))</f>
        <v/>
      </c>
      <c r="EU15" s="294" t="str">
        <f t="shared" ref="EU15:EU46" si="258">IF(A15=FALSE,"",EP15+ET15)</f>
        <v/>
      </c>
      <c r="EV15" s="494" t="str">
        <f>IF(A15=FALSE,"",EU15*Cotations!AM15)</f>
        <v/>
      </c>
      <c r="EW15" s="494" t="str">
        <f>IF(A15=FALSE,"",EU15*Cotations!AN15)</f>
        <v/>
      </c>
      <c r="EX15" s="334" t="str">
        <f t="shared" ref="EX15:EX46" si="259">IF(A15=FALSE,"",INDEX(colCurrency,MATCH(EB15,colchoice,0)))</f>
        <v/>
      </c>
      <c r="EY15" s="285" t="str">
        <f>IF(A15=FALSE,"",((EG15*TAXE)-(EG15*TAXE*EL15)+EH15)+IF(EQ15="N/A",0,IF(INDEX(LISTES!$F$105:$F$109,MATCH(EQ15,LISTES!$C$105:$C$109,0))="FIX",ER15,ES15*EP15)))</f>
        <v/>
      </c>
      <c r="EZ15" s="422"/>
      <c r="FA15" s="492" t="str">
        <f>IF(A15=FALSE,"",Cotations!D15)</f>
        <v/>
      </c>
      <c r="FB15" s="519" t="str">
        <f>IF(A15=FALSE,"",IF(LISTES!$A$17=1,Cotations!AO15,Cotations!$AP$4))</f>
        <v/>
      </c>
      <c r="FC15" s="291" t="str">
        <f t="shared" ref="FC15:FC46" si="260">IF(A15=FALSE,"",INDEX(colAssureur,MATCH(FB15,colchoice,0)))</f>
        <v/>
      </c>
      <c r="FD15" s="291" t="str">
        <f t="shared" ref="FD15:FD46" si="261">IF(A15=FALSE,"",INDEX(colProduct,MATCH(FB15,colchoice,0)))</f>
        <v/>
      </c>
      <c r="FE15" s="291"/>
      <c r="FF15" s="463"/>
      <c r="FG15" s="463" t="str">
        <f t="shared" ref="FG15:FG46" si="262">IF(A15=FALSE,"",INDEX(colRatesHT,MATCH(FB15,colchoice,0)))</f>
        <v/>
      </c>
      <c r="FH15" s="522" t="str">
        <f>IF(A15=FALSE,"",IF(Cotations!$AQ$4="monthly",FG15/12*L15,FG15/365*M15))</f>
        <v/>
      </c>
      <c r="FI15" s="489" t="str">
        <f>IF(A15=FALSE,"",Cotations!$AR$4)</f>
        <v/>
      </c>
      <c r="FJ15" s="300" t="str">
        <f t="shared" ref="FJ15:FJ46" si="263">IF(A15=FALSE,"",FH15*FI15)</f>
        <v/>
      </c>
      <c r="FK15" s="300" t="str">
        <f t="shared" ref="FK15:FK46" si="264">IF(A15=FALSE,"",FH15-FJ15)</f>
        <v/>
      </c>
      <c r="FL15" s="294" t="str">
        <f t="shared" ref="FL15:FL46" si="265">IF(A15=FALSE,"",FK15*TAXE)</f>
        <v/>
      </c>
      <c r="FM15" s="494" t="str">
        <f>IF(A15=FALSE,"",Cotations!$AS$4)</f>
        <v/>
      </c>
      <c r="FN15" s="494" t="str">
        <f>IF(A15=FALSE,"",Cotations!$AT$4)</f>
        <v/>
      </c>
      <c r="FO15" s="489" t="str">
        <f>IF(A15=FALSE,"",Cotations!$AU$4)</f>
        <v/>
      </c>
      <c r="FP15" s="494" t="str">
        <f>IF(A15=FALSE,"",IF(FM15="N/A",0,IF(INDEX(LISTES!$F$105:$F$109,MATCH(FM15,LISTES!$C$105:$C$109,0))="FIX",IF(INDEX(LISTES!$E$105:$E$109,MATCH(FM15,LISTES!$C$105:$C$109,0))=12,FN15/12*L15,FN15/365*M15),FO15*FL15)))</f>
        <v/>
      </c>
      <c r="FQ15" s="294" t="str">
        <f t="shared" ref="FQ15:FQ46" si="266">IF(A15=FALSE,"",FL15+FP15)</f>
        <v/>
      </c>
      <c r="FR15" s="494" t="str">
        <f>IF(A15=FALSE,"",FQ15*Cotations!$AV$4)</f>
        <v/>
      </c>
      <c r="FS15" s="494" t="str">
        <f>IF(A15=FALSE,"",FQ15*Cotations!$AW$4)</f>
        <v/>
      </c>
      <c r="FT15" s="465" t="str">
        <f t="shared" ref="FT15:FT46" si="267">IF(A15=FALSE,"",INDEX(colCurrency,MATCH(FB15,colchoice,0)))</f>
        <v/>
      </c>
      <c r="FU15" s="285" t="str">
        <f>IF(A15=FALSE,"",((FG15*TAXE)-(FG15*TAXE*FI15))+IF(FM15="N/A",0,IF(INDEX(LISTES!$F$105:$F$109,MATCH(FM15,LISTES!$C$105:$C$109,0))="FIX",FN15,FO15*FL15)))</f>
        <v/>
      </c>
      <c r="FV15" s="478"/>
      <c r="FW15" s="478"/>
      <c r="FX15" s="478"/>
      <c r="FY15" s="478"/>
      <c r="FZ15" s="478"/>
      <c r="GA15" s="492" t="str">
        <f>IF(A15=FALSE,"",Cotations!D15)</f>
        <v/>
      </c>
      <c r="GB15" s="494" t="str">
        <f>IF(A15=FALSE,"",IF(LISTES!$A$17=1,Cotations!AO15,Cotations!AP15))</f>
        <v/>
      </c>
      <c r="GC15" s="284" t="str">
        <f t="shared" ref="GC15:GC46" si="268">IF(A15=FALSE,"",INDEX(colAssureur,MATCH(GB15,colchoice,0)))</f>
        <v/>
      </c>
      <c r="GD15" s="515" t="str">
        <f>IF(A15=FALSE,"",IF(Detail!AM15="","",Detail!AM15))</f>
        <v/>
      </c>
      <c r="GE15" s="284"/>
      <c r="GF15" s="284"/>
      <c r="GG15" s="284" t="str">
        <f t="shared" ref="GG15:GG46" si="269">IF(A15=FALSE,"",INDEX(colRatesHT,MATCH(GB15,colchoice,0)))</f>
        <v/>
      </c>
      <c r="GH15" s="515" t="str">
        <f>IF(A15=FALSE,"",IF(Cotations!AQ15="monthly",GG15/12*L15,GG15/365*M15))</f>
        <v/>
      </c>
      <c r="GI15" s="493" t="str">
        <f>IF(A15=FALSE,"",IF(Cotations!AR15="","",Cotations!AR15))</f>
        <v/>
      </c>
      <c r="GJ15" s="284" t="str">
        <f t="shared" ref="GJ15:GJ46" si="270">IF(A15=FALSE,"",GH15*GI15)</f>
        <v/>
      </c>
      <c r="GK15" s="284" t="str">
        <f t="shared" ref="GK15:GK46" si="271">IF(A15=FALSE,"",GH15-GJ15)</f>
        <v/>
      </c>
      <c r="GL15" s="284" t="str">
        <f t="shared" ref="GL15:GL46" si="272">IF(A15=FALSE,"",GK15*TAXE)</f>
        <v/>
      </c>
      <c r="GM15" s="515" t="str">
        <f>IF(A15=FALSE,"",Cotations!AS15)</f>
        <v/>
      </c>
      <c r="GN15" s="515" t="str">
        <f>IF(A15=FALSE,"",Cotations!AT15)</f>
        <v/>
      </c>
      <c r="GO15" s="493" t="str">
        <f>IF(A15=FALSE,"",Cotations!AU15)</f>
        <v/>
      </c>
      <c r="GP15" s="515" t="str">
        <f>IF(A15=FALSE,"",IF(GM15="N/A",0,IF(INDEX(LISTES!$F$105:$F$109,MATCH(GM15,LISTES!$C$105:$C$109,0))="FIX",IF(INDEX(LISTES!$E$105:$E$109,MATCH(GM15,LISTES!$C$105:$C$109,0))=12,GN15/12*L15,GN15/365*M15),GO15*GL15)))</f>
        <v/>
      </c>
      <c r="GQ15" s="294" t="str">
        <f t="shared" ref="GQ15:GQ46" si="273">IF(A15=FALSE,"",GL15+GP15)</f>
        <v/>
      </c>
      <c r="GR15" s="494" t="str">
        <f>IF(A15=FALSE,"",GQ15*Cotations!AV15)</f>
        <v/>
      </c>
      <c r="GS15" s="494" t="str">
        <f>IF(A15=FALSE,"",GQ15*Cotations!AW15)</f>
        <v/>
      </c>
      <c r="GT15" s="334" t="str">
        <f t="shared" ref="GT15:GT46" si="274">IF(A15=FALSE,"",INDEX(colCurrency,MATCH(GB15,colchoice,0)))</f>
        <v/>
      </c>
      <c r="GU15" s="285" t="str">
        <f>IF(A15=FALSE,"",((GG15*TAXE)-(GG15*TAXE*GI15))+IF(GM15="N/A",0,IF(INDEX(LISTES!$F$105:$F$109,MATCH(GM15,LISTES!$C$105:$C$109,0))="FIX",GN15,GO15*GL15)))</f>
        <v/>
      </c>
      <c r="GV15" s="478"/>
      <c r="GW15" s="466"/>
      <c r="GX15" s="466"/>
      <c r="GY15" s="466"/>
      <c r="GZ15" s="466"/>
      <c r="HA15" s="492" t="str">
        <f>IF(A15=FALSE,"",Cotations!D15)</f>
        <v/>
      </c>
      <c r="HB15" s="495" t="str">
        <f>IF(A15=FALSE,"",IF(LISTES!$A$17=1,Cotations!AX15,Cotations!$AY$4))</f>
        <v/>
      </c>
      <c r="HC15" s="291" t="str">
        <f t="shared" ref="HC15:HC46" si="275">IF(A15=FALSE,"",INDEX(colAssureur,MATCH(HB15,colchoice,0)))</f>
        <v/>
      </c>
      <c r="HD15" s="291" t="str">
        <f t="shared" ref="HD15:HD46" si="276">IF(A15=FALSE,"",INDEX(colProduct,MATCH(HB15,colchoice,0)))</f>
        <v/>
      </c>
      <c r="HE15" s="456" t="str">
        <f t="shared" ref="HE15:HE46" si="277">IF(A15=FALSE,"",IF(HA15="POEA",$HA$2,INDEX(colRatesHT,MATCH(HB15,colchoice,0))))</f>
        <v/>
      </c>
      <c r="HF15" s="496" t="str">
        <f>IF(A15=FALSE,"",IF(HA15="POEA",Cotations!BA15,IF(HA15="FIXE",Cotations!$BA$4,Cotations!$BC$4*Y15)))</f>
        <v/>
      </c>
      <c r="HG15" s="300" t="str">
        <f t="shared" ref="HG15:HG46" si="278">IF(A15=FALSE,"",IF(HB15="N/A",0,IF(HA15="POEA",HF15*$HA$2,HF15*HE15)))</f>
        <v/>
      </c>
      <c r="HH15" s="522" t="str">
        <f>IF(A15=FALSE,"",IF(Cotations!$AZ$4="monthly",HG15/12*L15,HG15/365*M15))</f>
        <v/>
      </c>
      <c r="HI15" s="489" t="str">
        <f>IF(A15=FALSE,"",Cotations!$BD$4)</f>
        <v/>
      </c>
      <c r="HJ15" s="300" t="str">
        <f t="shared" ref="HJ15:HJ46" si="279">IF(A15=FALSE,"",HH15*HI15)</f>
        <v/>
      </c>
      <c r="HK15" s="300" t="str">
        <f t="shared" ref="HK15:HK46" si="280">IF(A15=FALSE,"",HH15-HJ15)</f>
        <v/>
      </c>
      <c r="HL15" s="294" t="str">
        <f t="shared" ref="HL15:HL46" si="281">IF(A15=FALSE,"",HK15*TAXE)</f>
        <v/>
      </c>
      <c r="HM15" s="494" t="str">
        <f>IF(A15=FALSE,"",Cotations!$BE$4)</f>
        <v/>
      </c>
      <c r="HN15" s="522" t="str">
        <f>IF(A15=FALSE,"",Cotations!$BF$4)</f>
        <v/>
      </c>
      <c r="HO15" s="489" t="str">
        <f>IF(A15=FALSE,"",Cotations!$BG$4)</f>
        <v/>
      </c>
      <c r="HP15" s="494" t="str">
        <f>IF(A15=FALSE,"",IF(HM15="N/A",0,IF(INDEX(LISTES!$F$105:$F$109,MATCH(HM15,LISTES!$C$105:$C$109,0))="FIX",IF(INDEX(LISTES!$E$105:$E$109,MATCH(HM15,LISTES!$C$105:$C$109,0))=12,HN15/12*L15,HN15/365*M15),HO15*HL15)))</f>
        <v/>
      </c>
      <c r="HQ15" s="294" t="str">
        <f t="shared" ref="HQ15:HQ46" si="282">IF(A15=FALSE,"",HL15+HP15)</f>
        <v/>
      </c>
      <c r="HR15" s="494" t="str">
        <f>IF(A15=FALSE,"",HQ15*Cotations!$BH$4)</f>
        <v/>
      </c>
      <c r="HS15" s="494" t="str">
        <f>IF(A15=FALSE,"",HQ15*Cotations!$BI$4)</f>
        <v/>
      </c>
      <c r="HT15" s="294" t="str">
        <f t="shared" ref="HT15:HT46" si="283">IF(A15=FALSE,"",INDEX(colCurrency,MATCH(HB15,colchoice,0)))</f>
        <v/>
      </c>
      <c r="HU15" s="285" t="str">
        <f>IF(A15=FALSE,"",((HG15*TAXE)-(HG15*TAXE*HI15))+IF(HM15="N/A",0,IF(INDEX(LISTES!$F$105:$F$109,MATCH(HM15,LISTES!$C$105:$C$109,0))="FIX",HN15,HO15*HL15)))</f>
        <v/>
      </c>
      <c r="HV15" s="422"/>
      <c r="HW15" s="422"/>
      <c r="HX15" s="422"/>
      <c r="HY15" s="716"/>
      <c r="HZ15" s="422"/>
      <c r="IA15" s="492" t="str">
        <f>IF(A15=FALSE,"",Cotations!D15)</f>
        <v/>
      </c>
      <c r="IB15" s="491" t="str">
        <f>IF(A15=FALSE,"",IF(LISTES!$A$17=1,Cotations!AX15,Cotations!AY15))</f>
        <v/>
      </c>
      <c r="IC15" s="285" t="str">
        <f t="shared" ref="IC15:IC46" si="284">IF(A15=FALSE,"",INDEX(colAssureur,MATCH(IB15,colchoice,0)))</f>
        <v/>
      </c>
      <c r="ID15" s="300" t="str">
        <f>IF(A15=FALSE,"",IF(LISTES!$A$17=3,Detail!AU15,lig1_Formula_PREVOY))</f>
        <v/>
      </c>
      <c r="IE15" s="461" t="str">
        <f t="shared" ref="IE15:IE46" si="285">IF(A15=FALSE,"",IF(IA15="POEA",$IA$2,INDEX(colRatesHT,MATCH(IB15,colchoice,0))))</f>
        <v/>
      </c>
      <c r="IF15" s="490" t="str">
        <f>IF(A15=FALSE,"",IF(IA15="POEA",Cotations!BA15,IF(HA15="FIXE",Cotations!BB15,IF(Cotations!BC15*Y15&lt;50000,Z15,Cotations!BC15*Y15))))</f>
        <v/>
      </c>
      <c r="IG15" s="300" t="str">
        <f t="shared" ref="IG15:IG46" si="286">IF(A15=FALSE,"",IF(IB15="N/A",0,IF15*IE15))</f>
        <v/>
      </c>
      <c r="IH15" s="522" t="str">
        <f>IF(A15=FALSE,"",IF(Cotations!AZ15="monthly",IG15/12*L15,IG15/365*M15))</f>
        <v/>
      </c>
      <c r="II15" s="489" t="str">
        <f>IF(A15=FALSE,"",IF(Cotations!BD15="","",Cotations!BD15))</f>
        <v/>
      </c>
      <c r="IJ15" s="300" t="str">
        <f t="shared" ref="IJ15:IJ46" si="287">IF(A15=FALSE,"",IH15*II15)</f>
        <v/>
      </c>
      <c r="IK15" s="300" t="str">
        <f t="shared" ref="IK15:IK46" si="288">IF(A15=FALSE,"",IH15-IJ15)</f>
        <v/>
      </c>
      <c r="IL15" s="285" t="str">
        <f t="shared" ref="IL15:IL46" si="289">IF(A15=FALSE,"",IK15*TAXE)</f>
        <v/>
      </c>
      <c r="IM15" s="517" t="str">
        <f>IF(A15=FALSE,"",Cotations!BE15)</f>
        <v/>
      </c>
      <c r="IN15" s="517" t="str">
        <f>IF(A15=FALSE,"",Cotations!BF15)</f>
        <v/>
      </c>
      <c r="IO15" s="493" t="str">
        <f>IF(A15=FALSE,"",Cotations!BG15)</f>
        <v/>
      </c>
      <c r="IP15" s="517" t="str">
        <f>IF(A15=FALSE,"",IF(IM15="N/A",0,IF(INDEX(LISTES!$F$105:$F$109,MATCH(IM15,LISTES!$C$105:$C$109,0))="FIX",IF(INDEX(LISTES!$E$105:$E$109,MATCH(IM15,LISTES!$C$105:$C$109,0))=12,IN15/12*L15,IN15/365*M15),IO15*IL15)))</f>
        <v/>
      </c>
      <c r="IQ15" s="294" t="str">
        <f t="shared" ref="IQ15:IQ46" si="290">IF(A15=FALSE,"",IL15+IP15)</f>
        <v/>
      </c>
      <c r="IR15" s="494" t="str">
        <f>IF(A15=FALSE,"",IQ15*Cotations!BH15)</f>
        <v/>
      </c>
      <c r="IS15" s="494" t="str">
        <f>IF(A15=FALSE,"",IQ15*Cotations!BI15)</f>
        <v/>
      </c>
      <c r="IT15" s="338" t="str">
        <f t="shared" ref="IT15:IT46" si="291">IF(A15=FALSE,"",INDEX(colCurrency,MATCH(IB15,colchoice,0)))</f>
        <v/>
      </c>
      <c r="IU15" s="285" t="str">
        <f>IF(A15=FALSE,"",((IG15*TAXE)-(IG15*TAXE*II15))+IF(IM15="N/A",0,IF(INDEX(LISTES!$F$105:$F$109,MATCH(IM15,LISTES!$C$105:$C$109,0))="FIX",IN15,IO15*IL15)))</f>
        <v/>
      </c>
      <c r="IV15" s="422"/>
      <c r="IY15" s="716"/>
      <c r="JA15" s="492" t="str">
        <f>IF(A15=FALSE,"",Cotations!D15)</f>
        <v/>
      </c>
      <c r="JB15" s="495" t="str">
        <f>IF(A15=FALSE,"",IF(LISTES!$A$17=1,Cotations!BJ15,Cotations!$BK$4))</f>
        <v/>
      </c>
      <c r="JC15" s="291" t="str">
        <f t="shared" ref="JC15:JC46" si="292">IF(A15=FALSE,"",INDEX(colAssureur,MATCH(JB15,colchoice,0)))</f>
        <v/>
      </c>
      <c r="JD15" s="291" t="str">
        <f t="shared" ref="JD15:JD46" si="293">IF(A15=FALSE,"",INDEX(colProduct,MATCH(JB15,colchoice,0)))</f>
        <v/>
      </c>
      <c r="JE15" s="456" t="str">
        <f t="shared" ref="JE15:JE46" si="294">IF(A15=FALSE,"",IF(JA15="POEA",$JA$2,INDEX(colRatesHT,MATCH(JB15,colchoice,0))))</f>
        <v/>
      </c>
      <c r="JF15" s="496" t="str">
        <f>IF(A15=FALSE,"",IF(JA15="POEA",Cotations!BM15,IF(JA15="FIXE",Cotations!$BM$4,Cotations!$BO$4*Y15)))</f>
        <v/>
      </c>
      <c r="JG15" s="300" t="str">
        <f t="shared" ref="JG15:JG46" si="295">IF(A15=FALSE,"",IF(JB15="N/A",0,IF(JA15="POEA",JF15*$JA$2,JF15*JE15)))</f>
        <v/>
      </c>
      <c r="JH15" s="522" t="str">
        <f>IF(A15=FALSE,"",IF(Cotations!$BL$4="monthly",JG15/12*L15,JG15/365*M15))</f>
        <v/>
      </c>
      <c r="JI15" s="489" t="str">
        <f>IF(A15=FALSE,"",Cotations!$BP$4)</f>
        <v/>
      </c>
      <c r="JJ15" s="300" t="str">
        <f t="shared" ref="JJ15:JJ46" si="296">IF(A15=FALSE,"",JH15*JI15)</f>
        <v/>
      </c>
      <c r="JK15" s="300" t="str">
        <f t="shared" ref="JK15:JK46" si="297">IF(A15=FALSE,"",JH15-JJ15)</f>
        <v/>
      </c>
      <c r="JL15" s="294" t="str">
        <f t="shared" ref="JL15:JL46" si="298">IF(A15=FALSE,"",JK15*TAXE)</f>
        <v/>
      </c>
      <c r="JM15" s="494" t="str">
        <f>IF(A15=FALSE,"",Cotations!$BQ$4)</f>
        <v/>
      </c>
      <c r="JN15" s="522" t="str">
        <f>IF(A15=FALSE,"",Cotations!$BR$4)</f>
        <v/>
      </c>
      <c r="JO15" s="489" t="str">
        <f>IF(A15=FALSE,"",Cotations!$BS$4)</f>
        <v/>
      </c>
      <c r="JP15" s="494" t="str">
        <f>IF(A15=FALSE,"",IF(JM15="N/A",0,IF(INDEX(LISTES!$F$105:$F$109,MATCH(JM15,LISTES!$C$105:$C$109,0))="FIX",IF(INDEX(LISTES!$E$105:$E$109,MATCH(JM15,LISTES!$C$105:$C$109,0))=12,JN15/12*L15,JN15/365*M15),JO15*JL15)))</f>
        <v/>
      </c>
      <c r="JQ15" s="294" t="str">
        <f t="shared" ref="JQ15:JQ46" si="299">IF(A15=FALSE,"",JL15+JP15)</f>
        <v/>
      </c>
      <c r="JR15" s="494" t="str">
        <f>IF(A15=FALSE,"",JQ15*Cotations!$BT$4)</f>
        <v/>
      </c>
      <c r="JS15" s="494" t="str">
        <f>IF(A15=FALSE,"",JQ15*Cotations!$BU$4)</f>
        <v/>
      </c>
      <c r="JT15" s="294" t="str">
        <f t="shared" ref="JT15:JT46" si="300">IF(A15=FALSE,"",INDEX(colCurrency,MATCH(JB15,colchoice,0)))</f>
        <v/>
      </c>
      <c r="JU15" s="285" t="str">
        <f>IF(A15=FALSE,"",((JG15*TAXE)-(JG15*TAXE*JI15))+IF(JM15="N/A",0,IF(INDEX(LISTES!$F$105:$F$109,MATCH(JM15,LISTES!$C$105:$C$109,0))="FIX",JN15,JO15*JL15)))</f>
        <v/>
      </c>
      <c r="KA15" s="492" t="str">
        <f>IF(A15=FALSE,"",Cotations!D15)</f>
        <v/>
      </c>
      <c r="KB15" s="491" t="str">
        <f>IF(A15=FALSE,"",IF(LISTES!$A$17=1,Cotations!BJ15,Cotations!BK15))</f>
        <v/>
      </c>
      <c r="KC15" s="285" t="str">
        <f t="shared" ref="KC15:KC46" si="301">IF(A15=FALSE,"",INDEX(colAssureur,MATCH(KB15,colchoice,0)))</f>
        <v/>
      </c>
      <c r="KD15" s="300"/>
      <c r="KE15" s="461" t="str">
        <f t="shared" ref="KE15:KE46" si="302">IF(A15=FALSE,"",IF(KA15="POEA",$KA$2,INDEX(colRatesHT,MATCH(KB15,colchoice,0))))</f>
        <v/>
      </c>
      <c r="KF15" s="490" t="str">
        <f>IF(A15=FALSE,"",IF(KA15="POEA",Cotations!BM15,IF(KA15="FIXE",Cotations!BN15,IF(Cotations!BO15*Y15&lt;50000,Z15,Cotations!BO15*Y15))))</f>
        <v/>
      </c>
      <c r="KG15" s="300" t="str">
        <f t="shared" ref="KG15:KG46" si="303">IF(A15=FALSE,"",IF(KB15="N/A",0,KF15*INDEX(colRatesHT,MATCH(KB15,colchoice,0))))</f>
        <v/>
      </c>
      <c r="KH15" s="522" t="str">
        <f>IF(A15=FALSE,"",IF(Cotations!BL15="monthly",KG15/12*L15,KG15/365*M15))</f>
        <v/>
      </c>
      <c r="KI15" s="489" t="str">
        <f>IF(A15=FALSE,"",IF(Cotations!BP15="","",Cotations!BP15))</f>
        <v/>
      </c>
      <c r="KJ15" s="300" t="str">
        <f t="shared" ref="KJ15:KJ46" si="304">IF(A15=FALSE,"",KH15*KI15)</f>
        <v/>
      </c>
      <c r="KK15" s="300" t="str">
        <f t="shared" ref="KK15:KK46" si="305">IF(A15=FALSE,"",KH15-KJ15)</f>
        <v/>
      </c>
      <c r="KL15" s="285" t="str">
        <f t="shared" ref="KL15:KL46" si="306">IF(A15=FALSE,"",KK15*TAXE)</f>
        <v/>
      </c>
      <c r="KM15" s="517" t="str">
        <f>IF(A15=FALSE,"",Cotations!BQ15)</f>
        <v/>
      </c>
      <c r="KN15" s="515" t="str">
        <f>IF(A15=FALSE,"",Cotations!BR15)</f>
        <v/>
      </c>
      <c r="KO15" s="493" t="str">
        <f>IF(A15=FALSE,"",Cotations!BS15)</f>
        <v/>
      </c>
      <c r="KP15" s="517" t="str">
        <f>IF(A15=FALSE,"",IF(KM15="N/A",0,IF(INDEX(LISTES!$F$105:$F$109,MATCH(KM15,LISTES!$C$105:$C$109,0))="FIX",IF(INDEX(LISTES!$E$105:$E$109,MATCH(KM15,LISTES!$C$105:$C$109,0))=12,KN15/12*L15,KN15/365*M15),KO15*KL15)))</f>
        <v/>
      </c>
      <c r="KQ15" s="294" t="str">
        <f t="shared" ref="KQ15:KQ46" si="307">IF(A15=FALSE,"",KL15+KP15)</f>
        <v/>
      </c>
      <c r="KR15" s="494" t="str">
        <f>IF(A15=FALSE,"",KQ15*Cotations!BT15)</f>
        <v/>
      </c>
      <c r="KS15" s="494" t="str">
        <f>IF(A15=FALSE,"",KQ15*Cotations!BU15)</f>
        <v/>
      </c>
      <c r="KT15" s="338" t="str">
        <f t="shared" ref="KT15:KT46" si="308">IF(A15=FALSE,"",INDEX(colCurrency,MATCH(KB15,colchoice,0)))</f>
        <v/>
      </c>
      <c r="KU15" s="285" t="str">
        <f>IF(A15=FALSE,"",((KG15*TAXE)-(KG15*TAXE*KI15))+IF(KM15="N/A",0,IF(INDEX(LISTES!$F$105:$F$109,MATCH(KM15,LISTES!$C$105:$C$109,0))="FIX",KN15,KO15*KL15)))</f>
        <v/>
      </c>
      <c r="KX15" s="422"/>
      <c r="KY15" s="422"/>
      <c r="LA15" s="497" t="str">
        <f>IF(A15=FALSE,"",Cotations!D15)</f>
        <v/>
      </c>
      <c r="LB15" s="498" t="str">
        <f>IF(A15=FALSE,"",IF(LISTES!$A$17=1,Cotations!BV15,Cotations!$BW$4))</f>
        <v/>
      </c>
      <c r="LC15" s="499" t="str">
        <f t="shared" ref="LC15:LC46" si="309">IF(A15=FALSE,"",INDEX(colAssureur,MATCH(LB15,colchoice,0)))</f>
        <v/>
      </c>
      <c r="LD15" s="499" t="str">
        <f t="shared" ref="LD15:LD46" si="310">IF(A15=FALSE,"",INDEX(colProduct,MATCH(LB15,colchoice,0)))</f>
        <v/>
      </c>
      <c r="LE15" s="500" t="str">
        <f t="shared" ref="LE15:LE46" si="311">IF(A15=FALSE,"",IF(LA15="POEA",$KA$2,INDEX(colRatesHT,MATCH(LB15,colchoice,0))))</f>
        <v/>
      </c>
      <c r="LF15" s="501" t="str">
        <f>IF(A15=FALSE,"",IF(LA15="POEA",Cotations!EJ15,IF(LA15="FIXE",Cotations!$BY$4,Cotations!$CA$4*Y15)))</f>
        <v/>
      </c>
      <c r="LG15" s="502" t="str">
        <f t="shared" ref="LG15:LG46" si="312">IF(A15=FALSE,"",IF(LB15="N/A",0,IF(LA15="POEA",LF15*$LA$2,LF15*LE15)))</f>
        <v/>
      </c>
      <c r="LH15" s="520" t="str">
        <f>IF(A15=FALSE,"",IF(Cotations!$BX$4="monthly",LG15/12*L15,LG15/365*M15))</f>
        <v/>
      </c>
      <c r="LI15" s="503" t="str">
        <f>IF(A15=FALSE,"",Cotations!$CB$4)</f>
        <v/>
      </c>
      <c r="LJ15" s="502" t="str">
        <f t="shared" ref="LJ15:LJ46" si="313">IF(A15=FALSE,"",LH15*LI15)</f>
        <v/>
      </c>
      <c r="LK15" s="502" t="str">
        <f t="shared" ref="LK15:LK46" si="314">IF(A15=FALSE,"",LH15-LJ15)</f>
        <v/>
      </c>
      <c r="LL15" s="504" t="str">
        <f t="shared" ref="LL15:LL46" si="315">IF(A15=FALSE,"",LK15*TAXE)</f>
        <v/>
      </c>
      <c r="LM15" s="505" t="str">
        <f>IF(A15=FALSE,"",Cotations!$CC$4)</f>
        <v/>
      </c>
      <c r="LN15" s="503" t="str">
        <f>IF(A15=FALSE,"",Cotations!$CD$4)</f>
        <v/>
      </c>
      <c r="LO15" s="503" t="str">
        <f>IF(A15=FALSE,"",Cotations!$CE$4)</f>
        <v/>
      </c>
      <c r="LP15" s="505" t="str">
        <f>IF(A15=FALSE,"",IF(LM15="N/A",0,IF(INDEX(LISTES!$F$105:$F$109,MATCH(LM15,LISTES!$C$105:$C$109,0))="FIX",IF(INDEX(LISTES!$E$105:$E$109,MATCH(LM15,LISTES!$C$105:$C$109,0))=12,LN15/12*L15,LN15/365*M15),LO15*LL15)))</f>
        <v/>
      </c>
      <c r="LQ15" s="504" t="str">
        <f t="shared" ref="LQ15:LQ46" si="316">IF(A15=FALSE,"",LL15+LP15)</f>
        <v/>
      </c>
      <c r="LR15" s="505" t="str">
        <f>IF(A15=FALSE,"",LQ15*Cotations!$CF$4)</f>
        <v/>
      </c>
      <c r="LS15" s="505" t="str">
        <f>IF(A15=FALSE,"",LQ15*Cotations!$CG$4)</f>
        <v/>
      </c>
      <c r="LT15" s="506" t="str">
        <f t="shared" ref="LT15:LT46" si="317">IF(A15=FALSE,"",INDEX(colCurrency,MATCH(LB15,colchoice,0)))</f>
        <v/>
      </c>
      <c r="LU15" s="285" t="str">
        <f>IF(A15=FALSE,"",((LG15*TAXE)-(LG15*TAXE*LI15))+IF(LM15="N/A",0,IF(INDEX(LISTES!$F$105:$F$109,MATCH(LM15,LISTES!$C$105:$C$109,0))="FIX",LN15,LO15*LL15)))</f>
        <v/>
      </c>
      <c r="MA15" s="492" t="str">
        <f>IF(A15=FALSE,"",Cotations!D15)</f>
        <v/>
      </c>
      <c r="MB15" s="491" t="str">
        <f>IF(A15=FALSE,"",IF(LISTES!$A$17=1,Cotations!BV15,Cotations!BW15))</f>
        <v/>
      </c>
      <c r="MC15" s="285" t="str">
        <f t="shared" ref="MC15:MC46" si="318">IF(A15=FALSE,"",INDEX(colAssureur,MATCH(MB15,colchoice,0)))</f>
        <v/>
      </c>
      <c r="MD15" s="300"/>
      <c r="ME15" s="461" t="str">
        <f t="shared" ref="ME15:ME46" si="319">IF(A15=FALSE,"",IF(MA15="POEA",$MA$2,INDEX(colRatesHT,MATCH(MB15,colchoice,0))))</f>
        <v/>
      </c>
      <c r="MF15" s="490" t="str">
        <f>IF(A15=FALSE,"",IF(MA15="POEA",Cotations!BY15,IF(MA15="FIXE",Cotations!BZ15,IF(Cotations!CA15*Y15&lt;50000,Z15,Cotations!CA15*Y15))))</f>
        <v/>
      </c>
      <c r="MG15" s="300" t="str">
        <f t="shared" ref="MG15:MG46" si="320">IF(A15=FALSE,"",IF(MB15="N/A",0,MF15*INDEX(colRatesHT,MATCH(MB15,colchoice,0))))</f>
        <v/>
      </c>
      <c r="MH15" s="522" t="str">
        <f>IF(A15=FALSE,"",IF(Cotations!BX15="monthly",MG15/12*L15,MG15/365*M15))</f>
        <v/>
      </c>
      <c r="MI15" s="489" t="str">
        <f>IF(A15=FALSE,"",IF(Cotations!CB15="","",Cotations!CB15))</f>
        <v/>
      </c>
      <c r="MJ15" s="300" t="str">
        <f t="shared" ref="MJ15:MJ46" si="321">IF(A15=FALSE,"",MH15*MI15)</f>
        <v/>
      </c>
      <c r="MK15" s="300" t="str">
        <f t="shared" ref="MK15:MK46" si="322">IF(A15=FALSE,"",MH15-MJ15)</f>
        <v/>
      </c>
      <c r="ML15" s="285" t="str">
        <f t="shared" ref="ML15:ML46" si="323">IF(A15=FALSE,"",MK15*TAXE)</f>
        <v/>
      </c>
      <c r="MM15" s="517" t="str">
        <f>IF(A15=FALSE,"",Cotations!CC15)</f>
        <v/>
      </c>
      <c r="MN15" s="515" t="str">
        <f>IF(A15=FALSE,"",Cotations!CD15)</f>
        <v/>
      </c>
      <c r="MO15" s="493" t="str">
        <f>IF(A15=FALSE,"",Cotations!CE15)</f>
        <v/>
      </c>
      <c r="MP15" s="517" t="str">
        <f>IF(A15=FALSE,"",IF(MM15="N/A",0,IF(INDEX(LISTES!$F$105:$F$109,MATCH(MM15,LISTES!$C$105:$C$109,0))="FIX",IF(INDEX(LISTES!$E$105:$E$109,MATCH(MM15,LISTES!$C$105:$C$109,0))=12,MN15/12*L15,MN15/365*M15),MO15*ML15)))</f>
        <v/>
      </c>
      <c r="MQ15" s="294" t="str">
        <f t="shared" ref="MQ15:MQ46" si="324">IF(A15=FALSE,"",ML15+MP15)</f>
        <v/>
      </c>
      <c r="MR15" s="494" t="str">
        <f>IF(A15=FALSE,"",MQ15*Cotations!CF15)</f>
        <v/>
      </c>
      <c r="MS15" s="494" t="str">
        <f>IF(A15=FALSE,"",MQ15*Cotations!CG15)</f>
        <v/>
      </c>
      <c r="MT15" s="338" t="str">
        <f t="shared" ref="MT15:MT46" si="325">IF(A15=FALSE,"",INDEX(colCurrency,MATCH(MB15,colchoice,0)))</f>
        <v/>
      </c>
      <c r="MU15" s="285" t="str">
        <f>IF(A15=FALSE,"",((MG15*TAXE)-(MG15*TAXE*MI15))+IF(MM15="N/A",0,IF(INDEX(LISTES!$F$105:$F$109,MATCH(MM15,LISTES!$C$105:$C$109,0))="FIX",MN15,MO15*ML15)))</f>
        <v/>
      </c>
      <c r="NA15" s="497" t="str">
        <f>IF(A15=FALSE,"",Cotations!D15)</f>
        <v/>
      </c>
      <c r="NB15" s="498" t="str">
        <f>IF(A15=FALSE,"",IF(LISTES!$A$17=1,Cotations!CH15,Cotations!$CI$4))</f>
        <v/>
      </c>
      <c r="NC15" s="499" t="str">
        <f t="shared" ref="NC15:NC46" si="326">IF(A15=FALSE,"",INDEX(colAssureur,MATCH(NB15,colchoice,0)))</f>
        <v/>
      </c>
      <c r="ND15" s="499" t="str">
        <f t="shared" ref="ND15:ND46" si="327">IF(A15=FALSE,"",INDEX(colProduct,MATCH(NB15,colchoice,0)))</f>
        <v/>
      </c>
      <c r="NE15" s="500" t="str">
        <f t="shared" ref="NE15:NE46" si="328">IF(A15=FALSE,"",IF(NA15="POEA",$NA$2,INDEX(colRatesHT,MATCH(NB15,colchoice,0))))</f>
        <v/>
      </c>
      <c r="NF15" s="501" t="str">
        <f>IF(A15=FALSE,"",IF(NA15="POEA",Cotations!CK15,IF(NA15="FIXE",Cotations!$CK$4,Cotations!$CM$4*Y15)))</f>
        <v/>
      </c>
      <c r="NG15" s="502" t="str">
        <f t="shared" ref="NG15:NG46" si="329">IF(A15=FALSE,"",IF(NB15="N/A",0,IF(NA15="POEA",NF15*$NA$2,NF15*NE15)))</f>
        <v/>
      </c>
      <c r="NH15" s="520" t="str">
        <f>IF(A15=FALSE,"",IF(Cotations!$CJ$4="monthly",NG15/12*L15,NG15/365*M15))</f>
        <v/>
      </c>
      <c r="NI15" s="503" t="str">
        <f>IF(A15=FALSE,"",Cotations!$CN$4)</f>
        <v/>
      </c>
      <c r="NJ15" s="502" t="str">
        <f t="shared" ref="NJ15:NJ46" si="330">IF(A15=FALSE,"",NH15*NI15)</f>
        <v/>
      </c>
      <c r="NK15" s="502" t="str">
        <f t="shared" ref="NK15:NK46" si="331">IF(A15=FALSE,"",NH15-NJ15)</f>
        <v/>
      </c>
      <c r="NL15" s="504" t="str">
        <f t="shared" ref="NL15:NL46" si="332">IF(A15=FALSE,"",NK15*TAXE)</f>
        <v/>
      </c>
      <c r="NM15" s="505" t="str">
        <f>IF(A15=FALSE,"",Cotations!$CO$4)</f>
        <v/>
      </c>
      <c r="NN15" s="520" t="str">
        <f>IF(A15=FALSE,"",Cotations!$CP$4)</f>
        <v/>
      </c>
      <c r="NO15" s="503" t="str">
        <f>IF(A15=FALSE,"",Cotations!$CQ$4)</f>
        <v/>
      </c>
      <c r="NP15" s="505" t="str">
        <f>IF(A15=FALSE,"",IF(NM15="N/A",0,IF(INDEX(LISTES!$F$105:$F$109,MATCH(NM15,LISTES!$C$105:$C$109,0))="FIX",IF(INDEX(LISTES!$E$105:$E$109,MATCH(NM15,LISTES!$C$105:$C$109,0))=12,NN15/12*L15,NN15/365*M15),NO15*NL15)))</f>
        <v/>
      </c>
      <c r="NQ15" s="504" t="str">
        <f t="shared" ref="NQ15:NQ46" si="333">IF(A15=FALSE,"",NL15+NP15)</f>
        <v/>
      </c>
      <c r="NR15" s="505" t="str">
        <f>IF(A15=FALSE,"",NQ15*Cotations!$CR$4)</f>
        <v/>
      </c>
      <c r="NS15" s="505" t="str">
        <f>IF(A15=FALSE,"",NQ15*Cotations!$CS$4)</f>
        <v/>
      </c>
      <c r="NT15" s="506" t="str">
        <f t="shared" ref="NT15:NT46" si="334">IF(A15=FALSE,"",INDEX(colCurrency,MATCH(NB15,colchoice,0)))</f>
        <v/>
      </c>
      <c r="NU15" s="285" t="str">
        <f>IF(A15=FALSE,"",((NG15*TAXE)-(NG15*TAXE*NI15))+IF(NM15="N/A",0,IF(INDEX(LISTES!$F$105:$F$109,MATCH(NM15,LISTES!$C$105:$C$109,0))="FIX",NN15,NO15*NL15)))</f>
        <v/>
      </c>
      <c r="OA15" s="492" t="str">
        <f>IF(A15=FALSE,"",Cotations!D15)</f>
        <v/>
      </c>
      <c r="OB15" s="491" t="str">
        <f>IF(A15=FALSE,"",IF(LISTES!$A$17=1,Cotations!CH15,Cotations!CI15))</f>
        <v/>
      </c>
      <c r="OC15" s="285" t="str">
        <f t="shared" ref="OC15:OC46" si="335">IF(A15=FALSE,"",INDEX(colAssureur,MATCH(OB15,colchoice,0)))</f>
        <v/>
      </c>
      <c r="OD15" s="300"/>
      <c r="OE15" s="461" t="str">
        <f t="shared" ref="OE15:OE46" si="336">IF(A15=FALSE,"",IF(OA15="POEA",$OA$2,INDEX(colRatesHT,MATCH(OB15,colchoice,0))))</f>
        <v/>
      </c>
      <c r="OF15" s="490" t="str">
        <f>IF(A15=FALSE,"",IF(OA15="POEA",Cotations!CK15,IF(OA15="FIXE",Cotations!CL15,IF(Cotations!CM15*Y15&lt;50000,Z15,Cotations!CM15*Y15))))</f>
        <v/>
      </c>
      <c r="OG15" s="300" t="str">
        <f t="shared" ref="OG15:OG46" si="337">IF(A15=FALSE,"",IF(OB15="N/A",0,OF15*INDEX(colRatesHT,MATCH(OB15,colchoice,0))))</f>
        <v/>
      </c>
      <c r="OH15" s="522" t="str">
        <f>IF(A15=FALSE,"",IF(Cotations!CJ15="monthly",OG15/12*L15,OG15/365*M15))</f>
        <v/>
      </c>
      <c r="OI15" s="489" t="str">
        <f>IF(A15=FALSE,"",IF(Cotations!CN15="","",Cotations!CN15))</f>
        <v/>
      </c>
      <c r="OJ15" s="300" t="str">
        <f t="shared" ref="OJ15:OJ46" si="338">IF(A15=FALSE,"",OH15*OI15)</f>
        <v/>
      </c>
      <c r="OK15" s="300" t="str">
        <f t="shared" ref="OK15:OK46" si="339">IF(A15=FALSE,"",OH15-OJ15)</f>
        <v/>
      </c>
      <c r="OL15" s="285" t="str">
        <f t="shared" ref="OL15:OL46" si="340">IF(A15=FALSE,"",OK15*TAXE)</f>
        <v/>
      </c>
      <c r="OM15" s="517" t="str">
        <f>IF(A15=FALSE,"",Cotations!CO15)</f>
        <v/>
      </c>
      <c r="ON15" s="515" t="str">
        <f>IF(A15=FALSE,"",Cotations!CP15)</f>
        <v/>
      </c>
      <c r="OO15" s="493" t="str">
        <f>IF(A15=FALSE,"",Cotations!CQ15)</f>
        <v/>
      </c>
      <c r="OP15" s="517" t="str">
        <f>IF(A15=FALSE,"",IF(OM15="N/A",0,IF(INDEX(LISTES!$F$105:$F$109,MATCH(OM15,LISTES!$C$105:$C$109,0))="FIX",IF(INDEX(LISTES!$E$105:$E$109,MATCH(OM15,LISTES!$C$105:$C$109,0))=12,ON15/12*L15,ON15/365*M15),OO15*OL15)))</f>
        <v/>
      </c>
      <c r="OQ15" s="294" t="str">
        <f t="shared" ref="OQ15:OQ46" si="341">IF(A15=FALSE,"",OL15+OP15)</f>
        <v/>
      </c>
      <c r="OR15" s="494" t="str">
        <f>IF(A15=FALSE,"",OQ15*Cotations!CR15)</f>
        <v/>
      </c>
      <c r="OS15" s="494" t="str">
        <f>IF(A15=FALSE,"",OQ15*Cotations!CS15)</f>
        <v/>
      </c>
      <c r="OT15" s="338" t="str">
        <f t="shared" ref="OT15:OT46" si="342">IF(A15=FALSE,"",INDEX(colCurrency,MATCH(OB15,colchoice,0)))</f>
        <v/>
      </c>
      <c r="OU15" s="285" t="str">
        <f>IF(A15=FALSE,"",((OG15*TAXE)-(OG15*TAXE*OI15))+IF(OM15="N/A",0,IF(INDEX(LISTES!$F$105:$F$109,MATCH(OM15,LISTES!$C$105:$C$109,0))="FIX",ON15,OO15*OL15)))</f>
        <v/>
      </c>
      <c r="PA15" s="497" t="str">
        <f t="shared" ref="PA15:PA46" si="343">IF(A15=FALSE,"","PROP")</f>
        <v/>
      </c>
      <c r="PB15" s="498" t="str">
        <f>IF(A15=FALSE,"",IF(LISTES!$A$17=1,Cotations!CT15,Cotations!$CU$4))</f>
        <v/>
      </c>
      <c r="PC15" s="499" t="str">
        <f t="shared" ref="PC15:PC46" si="344">IF(A15=FALSE,"",INDEX(colAssureur,MATCH(PB15,colchoice,0)))</f>
        <v/>
      </c>
      <c r="PD15" s="499" t="str">
        <f t="shared" ref="PD15:PD46" si="345">IF(A15=FALSE,"",INDEX(colProduct,MATCH(PB15,colchoice,0)))</f>
        <v/>
      </c>
      <c r="PE15" s="500" t="str">
        <f t="shared" ref="PE15:PE46" si="346">IF(A15=FALSE,"",IF(PA15="POEA",$PA$2,INDEX(colRatesHT,MATCH(PB15,colchoice,0))))</f>
        <v/>
      </c>
      <c r="PF15" s="501" t="str">
        <f>IF(A15=FALSE,"",Cotations!$CY$4*Y15)</f>
        <v/>
      </c>
      <c r="PG15" s="502" t="str">
        <f t="shared" ref="PG15:PG46" si="347">IF(A15=FALSE,"",IF(PB15="N/A",0,IF(PA15="POEA",PF15*$PA$2,PF15*PE15)))</f>
        <v/>
      </c>
      <c r="PH15" s="520" t="str">
        <f>IF(A15=FALSE,"",IF(Cotations!$CV$4="monthly",PG15/12*L15,PG15/365*M15))</f>
        <v/>
      </c>
      <c r="PI15" s="503" t="str">
        <f>IF(A15=FALSE,"",Cotations!$CZ$4)</f>
        <v/>
      </c>
      <c r="PJ15" s="502" t="str">
        <f t="shared" ref="PJ15:PJ46" si="348">IF(A15=FALSE,"",PH15*PI15)</f>
        <v/>
      </c>
      <c r="PK15" s="502" t="str">
        <f t="shared" ref="PK15:PK46" si="349">IF(A15=FALSE,"",PH15-PJ15)</f>
        <v/>
      </c>
      <c r="PL15" s="504" t="str">
        <f t="shared" ref="PL15:PL46" si="350">IF(A15=FALSE,"",PK15*TAXE)</f>
        <v/>
      </c>
      <c r="PM15" s="505" t="str">
        <f>IF(A15=FALSE,"",Cotations!$DA$4)</f>
        <v/>
      </c>
      <c r="PN15" s="520" t="str">
        <f>IF(A15=FALSE,"",Cotations!$DB$4)</f>
        <v/>
      </c>
      <c r="PO15" s="503" t="str">
        <f>IF(A15=FALSE,"",Cotations!$DC$4)</f>
        <v/>
      </c>
      <c r="PP15" s="505" t="str">
        <f>IF(A15=FALSE,"",IF(PM15="N/A",0,IF(INDEX(LISTES!$F$105:$F$109,MATCH(PM15,LISTES!$C$105:$C$109,0))="FIX",IF(INDEX(LISTES!$E$105:$E$109,MATCH(PM15,LISTES!$C$105:$C$109,0))=12,PN15/12*L15,PN15/365*M15),PO15*PL15)))</f>
        <v/>
      </c>
      <c r="PQ15" s="504" t="str">
        <f t="shared" ref="PQ15:PQ46" si="351">IF(A15=FALSE,"",PL15+PP15)</f>
        <v/>
      </c>
      <c r="PR15" s="505" t="str">
        <f>IF(A15=FALSE,"",PQ15*Cotations!$DD$4)</f>
        <v/>
      </c>
      <c r="PS15" s="505" t="str">
        <f>IF(A15=FALSE,"",PQ15*Cotations!$DE$4)</f>
        <v/>
      </c>
      <c r="PT15" s="506" t="str">
        <f t="shared" ref="PT15:PT46" si="352">IF(A15=FALSE,"",INDEX(colCurrency,MATCH(PB15,colchoice,0)))</f>
        <v/>
      </c>
      <c r="PU15" s="285" t="str">
        <f>IF(A15=FALSE,"",((PG15*TAXE)-(PG15*TAXE*PI15))+IF(PM15="N/A",0,IF(INDEX(LISTES!$F$105:$F$109,MATCH(PM15,LISTES!$C$105:$C$109,0))="FIX",PN15,PO15*PL15)))</f>
        <v/>
      </c>
      <c r="QA15" s="492" t="str">
        <f t="shared" ref="QA15:QA46" si="353">IF(A15=FALSE,"","PROP")</f>
        <v/>
      </c>
      <c r="QB15" s="491" t="str">
        <f>IF(A15=FALSE,"",IF(LISTES!$A$17=1,Cotations!CT15,Cotations!CU15))</f>
        <v/>
      </c>
      <c r="QC15" s="285" t="str">
        <f t="shared" ref="QC15:QC46" si="354">IF(A15=FALSE,"",INDEX(colAssureur,MATCH(QB15,colchoice,0)))</f>
        <v/>
      </c>
      <c r="QD15" s="300"/>
      <c r="QE15" s="461" t="str">
        <f t="shared" ref="QE15:QE46" si="355">IF(A15=FALSE,"",IF(QA15="POEA",$QA$2,INDEX(colRatesHT,MATCH(QB15,colchoice,0))))</f>
        <v/>
      </c>
      <c r="QF15" s="490" t="str">
        <f>IF(A15=FALSE,"",Cotations!CY15*AA15)</f>
        <v/>
      </c>
      <c r="QG15" s="300" t="str">
        <f t="shared" ref="QG15:QG46" si="356">IF(A15=FALSE,"",IF(QB15="N/A",0,QF15*INDEX(colRatesHT,MATCH(QB15,colchoice,0))))</f>
        <v/>
      </c>
      <c r="QH15" s="522" t="str">
        <f>IF(A15=FALSE,"",IF(Cotations!CV15="monthly",QG15/12*L15,QG15/365*M15))</f>
        <v/>
      </c>
      <c r="QI15" s="489" t="str">
        <f>IF(A15=FALSE,"",IF(Cotations!CZ15="","",Cotations!CZ15))</f>
        <v/>
      </c>
      <c r="QJ15" s="300" t="str">
        <f t="shared" ref="QJ15:QJ46" si="357">IF(A15=FALSE,"",QH15*QI15)</f>
        <v/>
      </c>
      <c r="QK15" s="300" t="str">
        <f t="shared" ref="QK15:QK46" si="358">IF(A15=FALSE,"",QH15-QJ15)</f>
        <v/>
      </c>
      <c r="QL15" s="285" t="str">
        <f t="shared" ref="QL15:QL46" si="359">IF(A15=FALSE,"",QK15*TAXE)</f>
        <v/>
      </c>
      <c r="QM15" s="517" t="str">
        <f>IF(A15=FALSE,"",Cotations!DA15)</f>
        <v/>
      </c>
      <c r="QN15" s="515" t="str">
        <f>IF(A15=FALSE,"",Cotations!DB15)</f>
        <v/>
      </c>
      <c r="QO15" s="493" t="str">
        <f>IF(A15=FALSE,"",Cotations!DC15)</f>
        <v/>
      </c>
      <c r="QP15" s="517" t="str">
        <f>IF(A15=FALSE,"",IF(QM15="N/A",0,IF(INDEX(LISTES!$F$105:$F$109,MATCH(QM15,LISTES!$C$105:$C$109,0))="FIX",IF(INDEX(LISTES!$E$105:$E$109,MATCH(QM15,LISTES!$C$105:$C$109,0))=12,QN15/12*L15,QN15/365*M15),QO15*QL15)))</f>
        <v/>
      </c>
      <c r="QQ15" s="294" t="str">
        <f t="shared" ref="QQ15:QQ46" si="360">IF(A15=FALSE,"",QL15+QP15)</f>
        <v/>
      </c>
      <c r="QR15" s="494" t="str">
        <f>IF(A15=FALSE,"",QQ15*Cotations!DD15)</f>
        <v/>
      </c>
      <c r="QS15" s="494" t="str">
        <f>IF(A15=FALSE,"",QQ15*Cotations!DE15)</f>
        <v/>
      </c>
      <c r="QT15" s="338" t="str">
        <f t="shared" ref="QT15:QT46" si="361">IF(A15=FALSE,"",INDEX(colCurrency,MATCH(QB15,colchoice,0)))</f>
        <v/>
      </c>
      <c r="QU15" s="285" t="str">
        <f>IF(A15=FALSE,"",((QG15*TAXE)-(QG15*TAXE*QI15))+IF(QM15="N/A",0,IF(INDEX(LISTES!$F$105:$F$109,MATCH(QM15,LISTES!$C$105:$C$109,0))="FIX",QN15,QO15*QL15)))</f>
        <v/>
      </c>
      <c r="RA15" s="497" t="str">
        <f t="shared" ref="RA15:RA46" si="362">IF(A15=FALSE,"","PROP")</f>
        <v/>
      </c>
      <c r="RB15" s="498" t="str">
        <f>IF(A15=FALSE,"",IF(LISTES!$A$17=1,Cotations!DF15,Cotations!$DG$4))</f>
        <v/>
      </c>
      <c r="RC15" s="499" t="str">
        <f t="shared" ref="RC15:RC46" si="363">IF(A15=FALSE,"",INDEX(colAssureur,MATCH(RB15,colchoice,0)))</f>
        <v/>
      </c>
      <c r="RD15" s="499" t="str">
        <f t="shared" ref="RD15:RD46" si="364">IF(A15=FALSE,"",INDEX(colProduct,MATCH(RB15,colchoice,0)))</f>
        <v/>
      </c>
      <c r="RE15" s="500" t="str">
        <f t="shared" ref="RE15:RE46" si="365">IF(A15=FALSE,"",IF(RA15="POEA",$RA$2,INDEX(colRatesHT,MATCH(RB15,colchoice,0))))</f>
        <v/>
      </c>
      <c r="RF15" s="501" t="str">
        <f>IF(A15=FALSE,"",Cotations!$DK$4*Y15)</f>
        <v/>
      </c>
      <c r="RG15" s="502" t="str">
        <f t="shared" ref="RG15:RG46" si="366">IF(A15=FALSE,"",IF(RB15="N/A",0,IF(RA15="POEA",RF15*$RA$2,RF15*RE15)))</f>
        <v/>
      </c>
      <c r="RH15" s="520" t="str">
        <f>IF(A15=FALSE,"",IF(Cotations!$DH$4="monthly",RG15/12*L15,RG15/365*M15))</f>
        <v/>
      </c>
      <c r="RI15" s="503" t="str">
        <f>IF(A15=FALSE,"",Cotations!$DL$4)</f>
        <v/>
      </c>
      <c r="RJ15" s="502" t="str">
        <f t="shared" ref="RJ15:RJ46" si="367">IF(A15=FALSE,"",RH15*RI15)</f>
        <v/>
      </c>
      <c r="RK15" s="502" t="str">
        <f t="shared" ref="RK15:RK46" si="368">IF(A15=FALSE,"",RH15-RJ15)</f>
        <v/>
      </c>
      <c r="RL15" s="504" t="str">
        <f t="shared" ref="RL15:RL46" si="369">IF(A15=FALSE,"",RK15*TAXE)</f>
        <v/>
      </c>
      <c r="RM15" s="505" t="str">
        <f>IF(A15=FALSE,"",Cotations!$DM$4)</f>
        <v/>
      </c>
      <c r="RN15" s="520" t="str">
        <f>IF(A15=FALSE,"",Cotations!$DN$4)</f>
        <v/>
      </c>
      <c r="RO15" s="503" t="str">
        <f>IF(A15=FALSE,"",Cotations!$DO$4)</f>
        <v/>
      </c>
      <c r="RP15" s="505" t="str">
        <f>IF(A15=FALSE,"",IF(RM15="N/A",0,IF(INDEX(LISTES!$F$105:$F$109,MATCH(RM15,LISTES!$C$105:$C$109,0))="FIX",IF(INDEX(LISTES!$E$105:$E$109,MATCH(RM15,LISTES!$C$105:$C$109,0))=12,RN15/12*L15,RN15/365*M15),RO15*RL15)))</f>
        <v/>
      </c>
      <c r="RQ15" s="504" t="str">
        <f t="shared" ref="RQ15:RQ46" si="370">IF(A15=FALSE,"",RL15+RP15)</f>
        <v/>
      </c>
      <c r="RR15" s="505" t="str">
        <f>IF(A15=FALSE,"",RQ15*Cotations!$DP$4)</f>
        <v/>
      </c>
      <c r="RS15" s="505" t="str">
        <f>IF(A15=FALSE,"",RQ15*Cotations!$DQ$4)</f>
        <v/>
      </c>
      <c r="RT15" s="506" t="str">
        <f t="shared" ref="RT15:RT46" si="371">IF(A15=FALSE,"",INDEX(colCurrency,MATCH(RB15,colchoice,0)))</f>
        <v/>
      </c>
      <c r="RU15" s="285" t="str">
        <f>IF(A15=FALSE,"",((RG15*TAXE)-(RG15*TAXE*RI15))+IF(RM15="N/A",0,IF(INDEX(LISTES!$F$105:$F$109,MATCH(RM15,LISTES!$C$105:$C$109,0))="FIX",RN15,RO15*RL15)))</f>
        <v/>
      </c>
      <c r="SA15" s="492" t="str">
        <f t="shared" ref="SA15:SA46" si="372">IF(A15=FALSE,"","PROP")</f>
        <v/>
      </c>
      <c r="SB15" s="491" t="str">
        <f>IF(A15=FALSE,"",IF(LISTES!$A$17=1,Cotations!DF15,Cotations!DG15))</f>
        <v/>
      </c>
      <c r="SC15" s="285" t="str">
        <f t="shared" ref="SC15:SC46" si="373">IF(A15=FALSE,"",INDEX(colAssureur,MATCH(SB15,colchoice,0)))</f>
        <v/>
      </c>
      <c r="SD15" s="300"/>
      <c r="SE15" s="461" t="str">
        <f t="shared" ref="SE15:SE46" si="374">IF(A15=FALSE,"",IF(SA15="POEA",$SA$2,INDEX(colRatesHT,MATCH(SB15,colchoice,0))))</f>
        <v/>
      </c>
      <c r="SF15" s="490" t="str">
        <f>IF(A15=FALSE,"",Cotations!DK15*AA15)</f>
        <v/>
      </c>
      <c r="SG15" s="300" t="str">
        <f t="shared" ref="SG15:SG46" si="375">IF(A15=FALSE,"",IF(SB15="N/A",0,SF15*INDEX(colRatesHT,MATCH(SB15,colchoice,0))))</f>
        <v/>
      </c>
      <c r="SH15" s="522" t="str">
        <f>IF(A15=FALSE,"",IF(Cotations!DH15="monthly",SG15/12*L15,SG15/365*M15))</f>
        <v/>
      </c>
      <c r="SI15" s="489" t="str">
        <f>IF(A15=FALSE,"",IF(Cotations!DL15="","",Cotations!DL15))</f>
        <v/>
      </c>
      <c r="SJ15" s="300" t="str">
        <f t="shared" ref="SJ15:SJ46" si="376">IF(A15=FALSE,"",SH15*SI15)</f>
        <v/>
      </c>
      <c r="SK15" s="300" t="str">
        <f t="shared" ref="SK15:SK46" si="377">IF(A15=FALSE,"",SH15-SJ15)</f>
        <v/>
      </c>
      <c r="SL15" s="285" t="str">
        <f t="shared" ref="SL15:SL46" si="378">IF(A15=FALSE,"",SK15*TAXE)</f>
        <v/>
      </c>
      <c r="SM15" s="285" t="str">
        <f>IF(A15=FALSE,"",Cotations!DM15)</f>
        <v/>
      </c>
      <c r="SN15" s="515" t="str">
        <f>IF(A15=FALSE,"",Cotations!DN15)</f>
        <v/>
      </c>
      <c r="SO15" s="493" t="str">
        <f>IF(A15=FALSE,"",Cotations!DO15)</f>
        <v/>
      </c>
      <c r="SP15" s="517" t="str">
        <f>IF(A15=FALSE,"",IF(SM15="N/A",0,IF(INDEX(LISTES!$F$105:$F$109,MATCH(SM15,LISTES!$C$105:$C$109,0))="FIX",IF(INDEX(LISTES!$E$105:$E$109,MATCH(SM15,LISTES!$C$105:$C$109,0))=12,SN15/12*L15,SN15/365*M15),SO15*SL15)))</f>
        <v/>
      </c>
      <c r="SQ15" s="294" t="str">
        <f t="shared" ref="SQ15:SQ46" si="379">IF(A15=FALSE,"",SL15+SP15)</f>
        <v/>
      </c>
      <c r="SR15" s="494" t="str">
        <f>IF(A15=FALSE,"",SQ15*Cotations!DP15)</f>
        <v/>
      </c>
      <c r="SS15" s="494" t="str">
        <f>IF(A15=FALSE,"",SQ15*Cotations!DQ15)</f>
        <v/>
      </c>
      <c r="ST15" s="338" t="str">
        <f t="shared" ref="ST15:ST46" si="380">IF(A15=FALSE,"",INDEX(colCurrency,MATCH(SB15,colchoice,0)))</f>
        <v/>
      </c>
      <c r="SU15" s="285" t="str">
        <f>IF(A15=FALSE,"",((SG15*TAXE)-(SG15*TAXE*SI15))+IF(SM15="N/A",0,IF(INDEX(LISTES!$F$105:$F$109,MATCH(SM15,LISTES!$C$105:$C$109,0))="FIX",SN15,SO15*SL15)))</f>
        <v/>
      </c>
      <c r="SY15" s="716"/>
      <c r="TA15" s="492" t="str">
        <f>IF(A15=FALSE,"",Cotations!D15)</f>
        <v/>
      </c>
      <c r="TB15" s="491" t="str">
        <f>IF(A15=FALSE,"",IF(LISTES!$A$17=1,Cotations!DR15,Cotations!DS15))</f>
        <v/>
      </c>
      <c r="TC15" s="285" t="str">
        <f t="shared" ref="TC15:TC46" si="381">IF(A15=FALSE,"",INDEX(colAssureur,MATCH(TB15,colchoice,0)))</f>
        <v/>
      </c>
      <c r="TD15" s="300" t="str">
        <f>IF(A15=FALSE,"",Detail!CQ15)</f>
        <v/>
      </c>
      <c r="TE15" s="461" t="str">
        <f t="shared" ref="TE15:TE46" si="382">IF(A15=FALSE,"",IF(TB15="",0,INDEX(colRatesHT,MATCH(TB15,colchoice,0))))</f>
        <v/>
      </c>
      <c r="TF15" s="490" t="str">
        <f>IF(A15=FALSE,"",IF(TA15="FIXE",Cotations!DU15,Cotations!DV15*Y15))</f>
        <v/>
      </c>
      <c r="TG15" s="300" t="str">
        <f t="shared" ref="TG15:TG46" si="383">IF(A15=FALSE,"",IF(TB15="N/A",0,TF15*INDEX(colRatesHT,MATCH(TB15,colchoice,0))))</f>
        <v/>
      </c>
      <c r="TH15" s="522" t="str">
        <f>IF(A15=FALSE,"",IF(Cotations!DT15="monthly",TG15/12*L15,TG15/365*M15))</f>
        <v/>
      </c>
      <c r="TI15" s="489" t="str">
        <f>IF(A15=FALSE,"",IF(Cotations!DW15="","",Cotations!DW15))</f>
        <v/>
      </c>
      <c r="TJ15" s="300" t="str">
        <f t="shared" ref="TJ15:TJ46" si="384">IF(A15=FALSE,"",TH15*TI15)</f>
        <v/>
      </c>
      <c r="TK15" s="300" t="str">
        <f t="shared" ref="TK15:TK46" si="385">IF(A15=FALSE,"",TH15-TJ15)</f>
        <v/>
      </c>
      <c r="TL15" s="285" t="str">
        <f t="shared" ref="TL15:TL46" si="386">IF(A15=FALSE,"",TK15*(1+TAXE))</f>
        <v/>
      </c>
      <c r="TM15" s="517" t="str">
        <f>IF(A15=FALSE,"",Cotations!DX15)</f>
        <v/>
      </c>
      <c r="TN15" s="517" t="str">
        <f>IF(A15=FALSE,"",Cotations!DY15)</f>
        <v/>
      </c>
      <c r="TO15" s="493" t="str">
        <f>IF(A15=FALSE,"",Cotations!DZ15)</f>
        <v/>
      </c>
      <c r="TP15" s="517" t="str">
        <f>IF(A15=FALSE,"",IF(TM15="N/A",0,IF(INDEX(LISTES!$F$105:$F$109,MATCH(TM15,LISTES!$C$105:$C$109,0))="FIX",IF(INDEX(LISTES!$E$105:$E$109,MATCH(TM15,LISTES!$C$105:$C$109,0))=12,TN15/12*L15,TN15/365*M15),TO15*TL15)))</f>
        <v/>
      </c>
      <c r="TQ15" s="294" t="str">
        <f t="shared" ref="TQ15:TQ46" si="387">IF(A15=FALSE,"",TL15+TP15)</f>
        <v/>
      </c>
      <c r="TR15" s="494" t="str">
        <f>IF(A15=FALSE,"",TQ15*Cotations!EA15)</f>
        <v/>
      </c>
      <c r="TS15" s="494" t="str">
        <f>IF(A15=FALSE,"",TQ15*Cotations!EB15)</f>
        <v/>
      </c>
      <c r="TT15" s="338" t="str">
        <f t="shared" ref="TT15:TT46" si="388">IF(A15=FALSE,"",INDEX(colCurrency,MATCH(TB15,colchoice,0)))</f>
        <v/>
      </c>
      <c r="TU15" s="285" t="str">
        <f>IF(A15=FALSE,"",((TG15*(1+TAXE)-(TG15*(1+TAXE)*TI15))+IF(TM15="N/A",0,IF(INDEX(LISTES!$F$105:$F$109,MATCH(TM15,LISTES!$C$105:$C$109,0))="FIX",TN15,TO15*TL15))))</f>
        <v/>
      </c>
      <c r="UA15" s="492" t="str">
        <f>IF(A15=FALSE,"",Cotations!D15)</f>
        <v/>
      </c>
      <c r="UB15" s="491" t="str">
        <f>IF(A15=FALSE,"",IF(LISTES!$A$17=1,Cotations!EC15,Cotations!ED15))</f>
        <v/>
      </c>
      <c r="UC15" s="285" t="str">
        <f t="shared" ref="UC15:UC46" si="389">IF(A15=FALSE,"",INDEX(colAssureur,MATCH(UB15,colchoice,0)))</f>
        <v/>
      </c>
      <c r="UD15" s="300" t="str">
        <f>IF(A15=FALSE,"",Detail!CY15)</f>
        <v/>
      </c>
      <c r="UE15" s="461" t="str">
        <f t="shared" ref="UE15:UE46" si="390">IF(A15=FALSE,"",INDEX(colRatesHT,MATCH(UB15,colchoice,0)))</f>
        <v/>
      </c>
      <c r="UF15" s="490" t="str">
        <f>IF(A15=FALSE,"",IF(UA15="FIXE",Cotations!EF15,Cotations!EG15*Y15))</f>
        <v/>
      </c>
      <c r="UG15" s="300" t="str">
        <f t="shared" ref="UG15:UG46" si="391">IF(A15=FALSE,"",IF(UB15="N/A",0,UF15*INDEX(colRatesHT,MATCH(UB15,colchoice,0))))</f>
        <v/>
      </c>
      <c r="UH15" s="522" t="str">
        <f>IF(A15=FALSE,"",IF(Cotations!EE15="monthly",UG15/12*L15,UG15/365*M15))</f>
        <v/>
      </c>
      <c r="UI15" s="489" t="str">
        <f>IF(A15=FALSE,"",IF(Cotations!EH15="","",Cotations!EH15))</f>
        <v/>
      </c>
      <c r="UJ15" s="300" t="str">
        <f t="shared" ref="UJ15:UJ46" si="392">IF(A15=FALSE,"",UH15*UI15)</f>
        <v/>
      </c>
      <c r="UK15" s="300" t="str">
        <f t="shared" ref="UK15:UK46" si="393">IF(A15=FALSE,"",UH15-UJ15)</f>
        <v/>
      </c>
      <c r="UL15" s="285" t="str">
        <f t="shared" ref="UL15:UL46" si="394">IF(A15=FALSE,"",UK15*(1+TAXE))</f>
        <v/>
      </c>
      <c r="UM15" s="517" t="str">
        <f>IF(A15=FALSE,"",Cotations!EI15)</f>
        <v/>
      </c>
      <c r="UN15" s="517" t="str">
        <f>IF(A15=FALSE,"",Cotations!EJ15)</f>
        <v/>
      </c>
      <c r="UO15" s="493" t="str">
        <f>IF(A15=FALSE,"",Cotations!EK15)</f>
        <v/>
      </c>
      <c r="UP15" s="517" t="str">
        <f>IF(A15=FALSE,"",IF(UM15="N/A",0,IF(INDEX(LISTES!$F$105:$F$109,MATCH(UM15,LISTES!$C$105:$C$109,0))="FIX",IF(INDEX(LISTES!$E$105:$E$109,MATCH(UM15,LISTES!$C$105:$C$109,0))=12,UN15/12*L15,UN15/365*M15),UO15*UL15)))</f>
        <v/>
      </c>
      <c r="UQ15" s="294" t="str">
        <f t="shared" ref="UQ15:UQ46" si="395">IF(A15=FALSE,"",UL15+UP15)</f>
        <v/>
      </c>
      <c r="UR15" s="494" t="str">
        <f>IF(A15=FALSE,"",UQ15*Cotations!EL15)</f>
        <v/>
      </c>
      <c r="US15" s="494" t="str">
        <f>IF(A15=FALSE,"",UQ15*Cotations!EM15)</f>
        <v/>
      </c>
      <c r="UT15" s="338" t="str">
        <f t="shared" ref="UT15:UT46" si="396">IF(A15=FALSE,"",INDEX(colCurrency,MATCH(UB15,colchoice,0)))</f>
        <v/>
      </c>
      <c r="UU15" s="285" t="str">
        <f>IF(A15=FALSE,"",((UG15*(1+TAXE)-(UG15*(1+TAXE)*UI15))+IF(UM15="N/A",0,IF(INDEX(LISTES!$F$105:$F$109,MATCH(UM15,LISTES!$C$105:$C$109,0))="FIX",UN15,UO15*UL15))))</f>
        <v/>
      </c>
      <c r="VA15" s="492" t="str">
        <f>IF(A15=FALSE,"",Cotations!D15)</f>
        <v/>
      </c>
      <c r="VB15" s="519" t="str">
        <f>IF(A15=FALSE,"",IF(LISTES!$A$17=1,Cotations!EN15,Cotations!EO15))</f>
        <v/>
      </c>
      <c r="VC15" s="291" t="str">
        <f t="shared" ref="VC15:VC46" si="397">IF(A15=FALSE,"",INDEX(colAssureur,MATCH(VB15,colchoice,0)))</f>
        <v/>
      </c>
      <c r="VD15" s="291" t="str">
        <f t="shared" ref="VD15:VD46" si="398">IF(A15=FALSE,"",INDEX(colProduct,MATCH(VB15,colchoice,0)))</f>
        <v/>
      </c>
      <c r="VE15" s="291"/>
      <c r="VF15" s="463"/>
      <c r="VG15" s="463" t="str">
        <f t="shared" ref="VG15:VG46" si="399">IF(A15=FALSE,"",INDEX(colRatesHT,MATCH(VB15,colchoice,0)))</f>
        <v/>
      </c>
      <c r="VH15" s="522" t="str">
        <f>IF(A15=FALSE,"",IF(Cotations!$AQ$4="monthly",VG15/12*L15,VG15/365*M15))</f>
        <v/>
      </c>
      <c r="VI15" s="489" t="str">
        <f>IF(A15=FALSE,"",Cotations!$AR$4)</f>
        <v/>
      </c>
      <c r="VJ15" s="300" t="str">
        <f t="shared" ref="VJ15:VJ46" si="400">IF(A15=FALSE,"",VH15*VI15)</f>
        <v/>
      </c>
      <c r="VK15" s="300" t="str">
        <f t="shared" ref="VK15:VK46" si="401">IF(A15=FALSE,"",VH15-VJ15)</f>
        <v/>
      </c>
      <c r="VL15" s="294" t="str">
        <f t="shared" ref="VL15:VL46" si="402">IF(A15=FALSE,"",VK15*TAXE)</f>
        <v/>
      </c>
      <c r="VM15" s="494" t="str">
        <f>IF(A15=FALSE,"",Cotations!$AS$4)</f>
        <v/>
      </c>
      <c r="VN15" s="494" t="str">
        <f>IF(A15=FALSE,"",Cotations!$AT$4)</f>
        <v/>
      </c>
      <c r="VO15" s="489" t="str">
        <f>IF(A15=FALSE,"",Cotations!$AU$4)</f>
        <v/>
      </c>
      <c r="VP15" s="494" t="str">
        <f>IF(A15=FALSE,"",IF(VM15="N/A",0,IF(INDEX(LISTES!$F$105:$F$109,MATCH(VM15,LISTES!$C$105:$C$109,0))="FIX",IF(INDEX(LISTES!$E$105:$E$109,MATCH(VM15,LISTES!$C$105:$C$109,0))=12,VN15/12*L15,VN15/365*M15),VO15*VL15)))</f>
        <v/>
      </c>
      <c r="VQ15" s="294" t="str">
        <f t="shared" ref="VQ15:VQ46" si="403">IF(A15=FALSE,"",VL15+VP15)</f>
        <v/>
      </c>
      <c r="VR15" s="494" t="str">
        <f>IF(A15=FALSE,"",VQ15*Cotations!$AV$4)</f>
        <v/>
      </c>
      <c r="VS15" s="494" t="str">
        <f>IF(A15=FALSE,"",VQ15*Cotations!$AW$4)</f>
        <v/>
      </c>
      <c r="VT15" s="465" t="str">
        <f t="shared" ref="VT15:VT46" si="404">IF(A15=FALSE,"",INDEX(colCurrency,MATCH(VB15,colchoice,0)))</f>
        <v/>
      </c>
      <c r="VU15" s="919" t="str">
        <f>IF(A15=FALSE,"",((VG15*TAXE)-(VG15*TAXE*VI15))+IF(VM15="N/A",0,IF(INDEX(LISTES!$F$105:$F$109,MATCH(VM15,LISTES!$C$105:$C$109,0))="FIX",VN15,VO15*VL15)))</f>
        <v/>
      </c>
      <c r="WA15" s="492" t="str">
        <f>IF(A15=FALSE,"",Cotations!D15)</f>
        <v/>
      </c>
      <c r="WB15" s="519" t="str">
        <f>IF(A15=FALSE,"",IF(LISTES!$A$17=1,Cotations!EW15,Cotations!EX15))</f>
        <v/>
      </c>
      <c r="WC15" s="291" t="str">
        <f t="shared" ref="WC15:WC46" si="405">IF(A15=FALSE,"",INDEX(colAssureur,MATCH(WB15,colchoice,0)))</f>
        <v/>
      </c>
      <c r="WD15" s="291" t="str">
        <f t="shared" ref="WD15:WD46" si="406">IF(A15=FALSE,"",INDEX(colProduct,MATCH(WB15,colchoice,0)))</f>
        <v/>
      </c>
      <c r="WE15" s="291"/>
      <c r="WF15" s="463"/>
      <c r="WG15" s="463" t="str">
        <f t="shared" ref="WG15:WG46" si="407">IF(A15=FALSE,"",INDEX(colRatesHT,MATCH(WB15,colchoice,0)))</f>
        <v/>
      </c>
      <c r="WH15" s="522" t="str">
        <f>IF(A15=FALSE,"",IF(Cotations!$AQ$4="monthly",WG15/12*L15,WG15/365*M15))</f>
        <v/>
      </c>
      <c r="WI15" s="489" t="str">
        <f>IF(A15=FALSE,"",Cotations!$AR$4)</f>
        <v/>
      </c>
      <c r="WJ15" s="300" t="str">
        <f t="shared" ref="WJ15:WJ46" si="408">IF(A15=FALSE,"",WH15*WI15)</f>
        <v/>
      </c>
      <c r="WK15" s="300" t="str">
        <f t="shared" ref="WK15:WK46" si="409">IF(A15=FALSE,"",WH15-WJ15)</f>
        <v/>
      </c>
      <c r="WL15" s="294" t="str">
        <f t="shared" ref="WL15:WL46" si="410">IF(A15=FALSE,"",WK15*TAXE)</f>
        <v/>
      </c>
      <c r="WM15" s="494" t="str">
        <f>IF(A15=FALSE,"",Cotations!$AS$4)</f>
        <v/>
      </c>
      <c r="WN15" s="494" t="str">
        <f>IF(A15=FALSE,"",Cotations!$AT$4)</f>
        <v/>
      </c>
      <c r="WO15" s="489" t="str">
        <f>IF(A15=FALSE,"",Cotations!$AU$4)</f>
        <v/>
      </c>
      <c r="WP15" s="494" t="str">
        <f>IF(A15=FALSE,"",IF(WM15="N/A",0,IF(INDEX(LISTES!$F$105:$F$109,MATCH(WM15,LISTES!$C$105:$C$109,0))="FIX",IF(INDEX(LISTES!$E$105:$E$109,MATCH(WM15,LISTES!$C$105:$C$109,0))=12,WN15/12*L15,WN15/365*M15),WO15*WL15)))</f>
        <v/>
      </c>
      <c r="WQ15" s="294" t="str">
        <f t="shared" ref="WQ15:WQ46" si="411">IF(A15=FALSE,"",WL15+WP15)</f>
        <v/>
      </c>
      <c r="WR15" s="494" t="str">
        <f>IF(A15=FALSE,"",WQ15*Cotations!$AV$4)</f>
        <v/>
      </c>
      <c r="WS15" s="494" t="str">
        <f>IF(A15=FALSE,"",WQ15*Cotations!$AW$4)</f>
        <v/>
      </c>
      <c r="WT15" s="465" t="str">
        <f t="shared" ref="WT15:WT46" si="412">IF(A15=FALSE,"",INDEX(colCurrency,MATCH(WB15,colchoice,0)))</f>
        <v/>
      </c>
      <c r="WU15" s="919" t="str">
        <f>IF(A15=FALSE,"",((WG15*TAXE)-(WG15*TAXE*WI15))+IF(WM15="N/A",0,IF(INDEX(LISTES!$F$105:$F$109,MATCH(WM15,LISTES!$C$105:$C$109,0))="FIX",WN15,WO15*WL15)))</f>
        <v/>
      </c>
    </row>
    <row r="16" spans="1:619" s="296" customFormat="1">
      <c r="A16" s="942" t="b">
        <f t="shared" si="221"/>
        <v>0</v>
      </c>
      <c r="B16" s="942" t="b">
        <f>IF(NAMES!$B$9=TRUE,TRUE,FALSE)</f>
        <v>1</v>
      </c>
      <c r="C16" s="942" t="b">
        <f t="shared" ref="C16:C79" si="413">E16</f>
        <v>0</v>
      </c>
      <c r="D16" s="942" t="b">
        <f t="shared" ref="D16:D79" si="414">IF(N16="",FALSE,TRUE)</f>
        <v>1</v>
      </c>
      <c r="E16" s="274" t="b">
        <f>IF(Cotations!C16="","",Cotations!C16)</f>
        <v>0</v>
      </c>
      <c r="F16" s="274" t="str">
        <f>IF(Cotations!D16="","",Cotations!D16)</f>
        <v>PROP</v>
      </c>
      <c r="G16" s="274" t="str">
        <f>IF(Cotations!E16="","",Cotations!E16)</f>
        <v>2015-2016!</v>
      </c>
      <c r="H16" s="274" t="str">
        <f>IF(Cotations!F16="","",Cotations!F16)</f>
        <v>SINGLE</v>
      </c>
      <c r="I16" s="274" t="str">
        <f>IF(Cotations!G16="","",Cotations!G16)</f>
        <v/>
      </c>
      <c r="J16" s="274" t="str">
        <f>IF(Cotations!H16="","",Cotations!H16)</f>
        <v/>
      </c>
      <c r="K16" s="274" t="str">
        <f>IF(Cotations!I16="","",Cotations!I16)</f>
        <v/>
      </c>
      <c r="L16" s="274" t="str">
        <f>IF(A16=FALSE,"",IF(Cotations!N16="","",Cotations!N16))</f>
        <v/>
      </c>
      <c r="M16" s="274" t="str">
        <f>IF(Cotations!P16="","",Cotations!P16)</f>
        <v/>
      </c>
      <c r="N16" s="724">
        <f>IF(NAMES!$B$10=TRUE,Cotations!J16,Cotations!L16)</f>
        <v>42320</v>
      </c>
      <c r="O16" s="724">
        <f>IF(NAMES!$B$10=TRUE,Cotations!K16,Cotations!M16)</f>
        <v>42685</v>
      </c>
      <c r="P16" s="943" t="str">
        <f t="shared" ref="P16:P79" si="415">TEXT(N16,"mmmm")</f>
        <v>novembre</v>
      </c>
      <c r="Q16" s="724" t="str">
        <f>IF(A16=FALSE,"",IF(Crewlist!Y16="","",Crewlist!Y16))</f>
        <v/>
      </c>
      <c r="R16" s="78" t="str">
        <f>IF(Cotations!U16="","",Cotations!U16)</f>
        <v/>
      </c>
      <c r="S16" s="943" t="str">
        <f t="shared" ref="S16:S79" si="416">IF(A16=FALSE,"",CONCATENATE(E16,I16,P16,N16))</f>
        <v/>
      </c>
      <c r="T16" s="919" t="str">
        <f>IF(A16=FALSE,"",VLOOKUP($U$15:$U$120,Currency!$A$2:$D$10,4,0)*Crewlist!N16)</f>
        <v/>
      </c>
      <c r="U16" s="1355" t="str">
        <f>IF(A16=FALSE,"",IF(IT16=0,Crewlist!M16&amp;"/"&amp;EX16,Crewlist!M16&amp;"/"&amp;IT16))</f>
        <v/>
      </c>
      <c r="V16" s="919" t="str">
        <f>IF(A16=FALSE,"",VLOOKUP($U$15:$U$120,Currency!$A$2:$D$10,4,0)*Detail!Q16)</f>
        <v/>
      </c>
      <c r="W16" s="1355" t="str">
        <f>IF(A16=FALSE,"",IF(IT16=0,Detail!R16&amp;"/"&amp;EX16,Detail!R16&amp;"/"&amp;IT16))</f>
        <v/>
      </c>
      <c r="X16" s="919" t="str">
        <f>IF(A16=FALSE,"",IF(LISTES!$C$17="Crewlist",Calcul!T16,Calcul!V16))</f>
        <v/>
      </c>
      <c r="Y16" s="758" t="str">
        <f t="shared" ref="Y16:Y79" si="417">IF(A16=FALSE,"",12*X16)</f>
        <v/>
      </c>
      <c r="Z16" s="758" t="str">
        <f>IF(A16=FALSE,"",IF(X16=0,0,IF((Cotations!BC16*12*X16)&lt;50000,50000,(12*X16))))</f>
        <v/>
      </c>
      <c r="AA16" s="758" t="str">
        <f t="shared" ref="AA16:AA79" si="418">IF(A16=FALSE,"",IF(X16=0,0,IF((12*X16)&lt;125000,(12*X16),125000)))</f>
        <v/>
      </c>
      <c r="AB16" s="758" t="str">
        <f>IF(A16=FALSE,"",IF(Crewlist!O16=0,"",Crewlist!O16))</f>
        <v/>
      </c>
      <c r="AC16" s="758" t="str">
        <f>IF(I16="","",VLOOKUP($AB$15:$AB$120,Currency!$A$15:$B$34,2,0))</f>
        <v/>
      </c>
      <c r="AD16" s="758" t="str">
        <f t="shared" ref="AD16:AD79" si="419">IF(I16="","",Y16-AC16)</f>
        <v/>
      </c>
      <c r="AE16" s="758" t="str">
        <f t="shared" ref="AE16:AE79" si="420">IF(I16="","",IF(AC16&gt;Y16,1/3*AC16,(AD16+AC16)*1/3))</f>
        <v/>
      </c>
      <c r="AF16" s="758" t="str">
        <f t="shared" ref="AF16:AF79" si="421">IF(I16="","",AE16/12)</f>
        <v/>
      </c>
      <c r="AG16" s="758" t="str">
        <f t="shared" ref="AG16:AG79" si="422">IF(A16=FALSE,"",X16*12/365*M16)</f>
        <v/>
      </c>
      <c r="AH16" s="1355" t="str">
        <f t="shared" si="222"/>
        <v/>
      </c>
      <c r="AI16" s="919" t="str">
        <f t="shared" ref="AI16:AI79" si="423">IF(A16=FALSE,"",BD16+BP16+(AN16+AO16+AQ16))</f>
        <v/>
      </c>
      <c r="AJ16" s="1382" t="str">
        <f t="shared" ref="AJ16:AJ79" si="424">IF(A16=FALSE,"",AS16+BZ16+AN16)</f>
        <v/>
      </c>
      <c r="AK16" s="1382" t="str">
        <f t="shared" ref="AK16:AK79" si="425">IF(A16=FALSE,"",AT16+CA16)</f>
        <v/>
      </c>
      <c r="AL16" s="238" t="str">
        <f t="shared" si="223"/>
        <v/>
      </c>
      <c r="AM16" s="238" t="str">
        <f t="shared" si="224"/>
        <v/>
      </c>
      <c r="AN16" s="1374" t="str">
        <f t="shared" si="225"/>
        <v/>
      </c>
      <c r="AO16" s="238" t="str">
        <f t="shared" si="226"/>
        <v/>
      </c>
      <c r="AP16" s="342" t="str">
        <f>IF(A16=FALSE,"",INDEX(Rates!$Z$5:$Z$367,MATCH(EB16,colchoice,0)))</f>
        <v/>
      </c>
      <c r="AQ16" s="238" t="str">
        <f t="shared" si="227"/>
        <v/>
      </c>
      <c r="AR16" s="238" t="str">
        <f t="shared" ref="AR16:AR46" si="426">IF(A16=FALSE,"",BD16+BP16)</f>
        <v/>
      </c>
      <c r="AS16" s="238" t="str">
        <f t="shared" ref="AS16:AS46" si="427">IF(A16=FALSE,"",SUM(AU16:AV16)*TAXE)</f>
        <v/>
      </c>
      <c r="AT16" s="238" t="str">
        <f t="shared" ref="AT16:AT46" si="428">IF(A16=FALSE,"",SUM(AW16:BB16)*TAXE)</f>
        <v/>
      </c>
      <c r="AU16" s="238" t="str">
        <f t="shared" si="228"/>
        <v/>
      </c>
      <c r="AV16" s="238" t="str">
        <f t="shared" ref="AV16:AV79" si="429">IF(A16=FALSE,"",BF16+BR16+BG16+BH16)</f>
        <v/>
      </c>
      <c r="AW16" s="238" t="str">
        <f t="shared" si="229"/>
        <v/>
      </c>
      <c r="AX16" s="238" t="str">
        <f t="shared" si="230"/>
        <v/>
      </c>
      <c r="AY16" s="238" t="str">
        <f t="shared" si="231"/>
        <v/>
      </c>
      <c r="AZ16" s="238" t="str">
        <f t="shared" si="232"/>
        <v/>
      </c>
      <c r="BA16" s="238" t="str">
        <f t="shared" si="233"/>
        <v/>
      </c>
      <c r="BB16" s="552" t="str">
        <f t="shared" si="234"/>
        <v/>
      </c>
      <c r="BC16" s="347" t="str">
        <f t="shared" si="235"/>
        <v/>
      </c>
      <c r="BD16" s="239" t="str">
        <f t="shared" ref="BD16:BD79" si="430">IF(A16=FALSE,"",SUM(BE16:BN16))</f>
        <v/>
      </c>
      <c r="BE16" s="239" t="str">
        <f>IF(A16=FALSE,"",IF(ALLTHESAME=TRUE,IF(DF16&lt;&gt;$BC$7,0,INDEX(DD16:DZ16,1,MATCH(Structure!$D$12,$DD$14:$DZ$14,0))),IF(EC16&lt;&gt;$BC$7,0,INDEX(EA16:EZ16,1,MATCH(Structure!$D$12,$EA$14:$EZ$14,0)))))</f>
        <v/>
      </c>
      <c r="BF16" s="239" t="str">
        <f>IF(A16=FALSE,"",IF(ALLTHESAME=TRUE,IF(FC16&lt;&gt;$BC$7,0,INDEX(FA16:FZ16,1,MATCH(Structure!$D$12,$FA$14:$FZ$14,0))),IF(GC16&lt;&gt;$BC$7,0,INDEX(GA16:GZ16,1,MATCH(Structure!$D$12,$GA$14:$GZ$14,0)))))</f>
        <v/>
      </c>
      <c r="BG16" s="239" t="str">
        <f>IF(A16=FALSE,"",IF(ALLTHESAME=TRUE,IF(VC16&lt;&gt;$BC$7,0,INDEX(VA16:VZ16,1,MATCH(Structure!$D$12,$VA$14:$VZ$14,0))),IF(VC16&lt;&gt;$BC$7,0,INDEX(VA16:VZ16,1,MATCH(Structure!$D$12,$VA$14:$VZ$14,0)))))</f>
        <v/>
      </c>
      <c r="BH16" s="239" t="str">
        <f>IF(A16=FALSE,"",IF(ALLTHESAME=TRUE,IF(WC16&lt;&gt;$BC$7,0,INDEX(WA16:WY16,1,MATCH(Structure!$D$12,$WA$14:$WZ$14,0))),IF(WC16&lt;&gt;$BC$7,0,INDEX(WA16:WZ16,1,MATCH(Structure!$D$12,$WA$14:$WZ$14,0)))))</f>
        <v/>
      </c>
      <c r="BI16" s="763" t="str">
        <f>IF(A16=FALSE,"",IF(ALLTHESAME=TRUE,IF(HC16&lt;&gt;$BC$7,0,INDEX(HA16:HZ16,1,MATCH(Structure!$D$12,$HA$14:$HZ$14,0)))+TK16,IF(IC16&lt;&gt;$BC$7,0,INDEX(IA16:IZ16,1,MATCH(Structure!$D$12,$IA$14:$IZ$14,0)))+TK16))</f>
        <v/>
      </c>
      <c r="BJ16" s="239" t="str">
        <f>IF(A16=FALSE,"",IF(ALLTHESAME=TRUE,IF(JC16&lt;&gt;$BC$7,0,INDEX(JA16:JZ16,1,MATCH(Structure!$D$12,$JA$14:$JZ$14,0))),IF(KC16&lt;&gt;$BC$7,0,INDEX(KA16:KZ16,1,MATCH(Structure!$D$12,$KA$14:$KZ$14,0)))))</f>
        <v/>
      </c>
      <c r="BK16" s="763" t="str">
        <f>IF(A16=FALSE,"",IF(ALLTHESAME=TRUE,IF(LC16&lt;&gt;$BC$7,0,INDEX(LA16:LZ16,1,MATCH(Structure!$D$12,$LA$14:$LZ$14,0)))+UK16,IF(MC16&lt;&gt;$BC$7,0,INDEX(MA16:MZ16,1,MATCH(Structure!$D$12,$MA$14:$MZ$14,0)))+UK16))</f>
        <v/>
      </c>
      <c r="BL16" s="239" t="str">
        <f>IF(A16=FALSE,"",IF(ALLTHESAME=TRUE,IF(NC16&lt;&gt;$BC$7,0,INDEX(NA16:NZ16,1,MATCH(Structure!$D$12,$NA$14:$NZ$14,0))),IF(OC16&lt;&gt;$BC$7,0,INDEX(OA16:OZ16,1,MATCH(Structure!$D$12,$OA$14:$OZ$14,0)))))</f>
        <v/>
      </c>
      <c r="BM16" s="239" t="str">
        <f>IF(A16=FALSE,"",IF(ALLTHESAME=TRUE,IF(PC16&lt;&gt;$BC$7,0,INDEX(PA16:PZ16,1,MATCH(Structure!$D$12,$PA$14:$PZ$14,0))),IF(QC16&lt;&gt;$BC$7,0,INDEX(QA16:QZ16,1,MATCH(Structure!$D$12,$QA$14:$QZ$14,0)))))</f>
        <v/>
      </c>
      <c r="BN16" s="341" t="str">
        <f>IF(A16=FALSE,"",IF(ALLTHESAME=TRUE,IF(RC16&lt;&gt;$BC$7,0,INDEX(RA16:RZ16,1,MATCH(Structure!$D$12,$RA$14:$RZ$14,0))),IF(SC16&lt;&gt;$BC$7,0,INDEX(SA16:TA16,1,MATCH(Structure!$D$12,$SA$14:$TA$14,0)))))</f>
        <v/>
      </c>
      <c r="BO16" s="507" t="str">
        <f t="shared" si="236"/>
        <v/>
      </c>
      <c r="BP16" s="239" t="str">
        <f t="shared" si="237"/>
        <v/>
      </c>
      <c r="BQ16" s="239" t="str">
        <f>IF(A16=FALSE,"",IF(ALLTHESAME=TRUE,IF(DF16&lt;&gt;$BO$7,0,INDEX(DD16:DZ16,1,MATCH(Structure!$D$12,$DD$14:$DZ$14,0))),IF(EC16&lt;&gt;$BO$7,0,INDEX(EA16:EZ16,1,MATCH(Structure!$D$12,$EA$14:$EZ$14,0)))))</f>
        <v/>
      </c>
      <c r="BR16" s="239" t="str">
        <f>IF(A16=FALSE,"",IF(ALLTHESAME=TRUE,IF(FC16&lt;&gt;$BO$7,0,INDEX(FA16:FZ16,1,MATCH(Structure!$D$12,$FA$14:$FZ$14,0))),IF(GC16&lt;&gt;$BO$7,0,INDEX(GA16:GZ16,1,MATCH(Structure!$D$12,$GA$14:$GZ$14,0)))))</f>
        <v/>
      </c>
      <c r="BS16" s="239" t="str">
        <f>IF(A16=FALSE,"",IF(ALLTHESAME=TRUE,IF(HC16&lt;&gt;$BO$7,0,INDEX(HA16:HZ16,1,MATCH(Structure!$D$12,$HA$14:$HZ$14,0))),IF(IC16&lt;&gt;$BO$7,0,INDEX(IA16:IZ16,1,MATCH(Structure!$D$12,$IA$14:$IZ$14,0)))))</f>
        <v/>
      </c>
      <c r="BT16" s="239" t="str">
        <f>IF(A16=FALSE,"",IF(ALLTHESAME=TRUE,IF(JC16&lt;&gt;$BO$7,0,INDEX(JA16:JZ16,1,MATCH(Structure!$D$12,$JA$14:$JZ$14,0))),IF(KC16&lt;&gt;$BO$7,0,INDEX(KA16:KZ16,1,MATCH(Structure!$D$12,$KA$14:$KZ$14,0)))))</f>
        <v/>
      </c>
      <c r="BU16" s="239" t="str">
        <f>IF(A16=FALSE,"",IF(ALLTHESAME=TRUE,IF(LC16&lt;&gt;$BO$7,0,INDEX(LA16:LZ16,1,MATCH(Structure!$D$12,$LA$14:$LZ$14,0))),IF(MC16&lt;&gt;$BO$7,0,INDEX(MA16:MZ16,1,MATCH(Structure!$D$12,$MA$14:$MZ$14,0)))))</f>
        <v/>
      </c>
      <c r="BV16" s="239" t="str">
        <f>IF(A16=FALSE,"",IF(ALLTHESAME=TRUE,IF(NC16&lt;&gt;$BO$7,0,INDEX(NA16:NZ16,1,MATCH(Structure!$D$12,$NA$14:$NZ$14,0))),IF(OC16&lt;&gt;$BO$7,0,INDEX(OA16:OZ16,1,MATCH(Structure!$D$12,$OA$14:$OZ$14,0)))))</f>
        <v/>
      </c>
      <c r="BW16" s="239" t="str">
        <f>IF(A16=FALSE,"",IF(ALLTHESAME=TRUE,IF(PC16&lt;&gt;$BO$7,0,INDEX(PA16:PZ16,1,MATCH(Structure!$D$12,$PA$14:$PZ$14,0))),IF(QC16&lt;&gt;$BO$7,0,INDEX(QA16:QZ16,1,MATCH(Structure!$D$12,$QA$14:$QZ$14,0)))))</f>
        <v/>
      </c>
      <c r="BX16" s="341" t="str">
        <f>IF(A16=FALSE,"",IF(ALLTHESAME=TRUE,IF(RC16&lt;&gt;$BO$7,0,INDEX(RA16:RZ16,1,MATCH(Structure!$D$12,$RA$14:$RZ$14,0))),IF(SC16&lt;&gt;$BO$7,0,INDEX(SA16:TA16,1,MATCH(Structure!$D$12,$SA$14:$TA$14,0)))))</f>
        <v/>
      </c>
      <c r="BY16" s="347" t="str">
        <f t="shared" si="238"/>
        <v/>
      </c>
      <c r="BZ16" s="507" t="str">
        <f t="shared" si="239"/>
        <v/>
      </c>
      <c r="CA16" s="239" t="str">
        <f t="shared" si="240"/>
        <v/>
      </c>
      <c r="CB16" s="239" t="str">
        <f>IF(A16=FALSE,"",IF(ALLTHESAME=TRUE,INDEX(DD16:DZ16,MATCH(DF16,DF16:DF121,0),MATCH(Structure!$D$17,$DD$14:$DZ$14,0)),INDEX(EA16:EZ16,MATCH(EC16,EC16:EC121,0),MATCH(Structure!$D$17,$EA$14:$EZ$14,0))))</f>
        <v/>
      </c>
      <c r="CC16" s="239" t="str">
        <f>IF(A16=FALSE,"",IF(ALLTHESAME=TRUE,INDEX(FA16:FZ16,MATCH(FC16,FC16:FC121,0),MATCH(Structure!$D$17,$FA$14:$FZ$14,0)),INDEX(GA16:GZ16,MATCH(GC16,GC16:GC121,0),MATCH(Structure!$D$17,$GA$14:$GZ$14,0))))</f>
        <v/>
      </c>
      <c r="CD16" s="239" t="str">
        <f>IF(A16=FALSE,"",IF(ALLTHESAME=TRUE,INDEX(HA16:HZ16,MATCH(HC16,HC16:HC121,0),MATCH(Structure!$D$17,$HA$14:$HZ$14,0)),INDEX(IA16:IZ16,MATCH(IC16,IC16:IC121,0),MATCH(Structure!$D$17,$IA$14:$IZ$14,0))))</f>
        <v/>
      </c>
      <c r="CE16" s="239" t="str">
        <f>IF(A16=FALSE,"",IF(ALLTHESAME=TRUE,INDEX(JA16:JZ16,MATCH(JC16,JC16:JC121,0),MATCH(Structure!$D$17,$JA$14:$JZ$14,0)),INDEX(KA16:KZ16,MATCH(KC16,KC16:KC121,0),MATCH(Structure!$D$17,$KA$14:$KZ$14,0))))</f>
        <v/>
      </c>
      <c r="CF16" s="239" t="str">
        <f>IF(A16=FALSE,"",IF(ALLTHESAME=TRUE,INDEX(LA16:LZ16,MATCH(LC16,LC16:LC121,0),MATCH(Structure!$D$17,$LA$14:$LZ$14,0)),INDEX(MA16:MZ16,MATCH(MC16,MC16:MC121,0),MATCH(Structure!$D$17,$MA$14:$MZ$14,0))))</f>
        <v/>
      </c>
      <c r="CG16" s="239" t="str">
        <f>IF(A16=FALSE,"",IF(ALLTHESAME=TRUE,INDEX(NA16:NZ16,MATCH(NC16,NC16:NC121,0),MATCH(Structure!$D$17,$NA$14:$NZ$14,0)),INDEX(OA16:OZ16,MATCH(OC16,OC16:OC121,0),MATCH(Structure!$D$17,$OA$14:$OZ$14,0))))</f>
        <v/>
      </c>
      <c r="CH16" s="239" t="str">
        <f>IF(A16=FALSE,"",IF(ALLTHESAME=TRUE,INDEX(PA16:PZ16,MATCH(PC16,PC16:PC121,0),MATCH(Structure!$D$17,$PA$14:$PZ$14,0)),INDEX(QA16:QZ16,MATCH(QC16,QC16:QC121,0),MATCH(Structure!$D$17,$QA$14:$QZ$14,0))))</f>
        <v/>
      </c>
      <c r="CI16" s="341" t="str">
        <f>IF(A16=FALSE,"",IF(ALLTHESAME=TRUE,INDEX(RA16:RZ16,MATCH(RC16,RC16:RC121,0),MATCH(Structure!$D$17,$RA$14:$RZ$14,0)),INDEX(SA16:TC16,MATCH(SC16,SC16:SC121,0),MATCH(Structure!$D$17,$SA$14:$TC$14,0))))</f>
        <v/>
      </c>
      <c r="CJ16" s="347"/>
      <c r="CK16" s="239" t="str">
        <f t="shared" si="241"/>
        <v/>
      </c>
      <c r="CL16" s="239" t="str">
        <f>IF(A16=FALSE,"",IF(ALLTHESAME=TRUE,INDEX(DD16:DZ16,MATCH(DF16,DF16:DF121,0),MATCH(Structure!$D$22,$DD$14:$DZ$14,0)),INDEX(EA16:EZ16,MATCH(EC16,EC16:EC121,0),MATCH(Structure!$D$22,$EA$14:$EZ$14,0))))</f>
        <v/>
      </c>
      <c r="CM16" s="239" t="str">
        <f>IF(A16=FALSE,"",IF(ALLTHESAME=TRUE,INDEX(FA16:FZ16,MATCH(FC16,FC16:FC121,0),MATCH(Structure!$D$22,$FA$14:$FZ$14,0)),INDEX(GA16:GZ16,MATCH(GC16,GC16:GC121,0),MATCH(Structure!$D$22,$GA$14:$GZ$14,0))))</f>
        <v/>
      </c>
      <c r="CN16" s="239" t="str">
        <f>IF(A16=FALSE,"",IF(ALLTHESAME=TRUE,INDEX(HA16:HZ16,MATCH(HC16,HC16:HC121,0),MATCH(Structure!$D$22,$HA$14:$HZ$14,0)),INDEX(IA16:IZ16,MATCH(IC16,IC16:IC121,0),MATCH(Structure!$D$22,$IA$14:$IZ$14,0))))</f>
        <v/>
      </c>
      <c r="CO16" s="239" t="str">
        <f>IF(A16=FALSE,"",IF(ALLTHESAME=TRUE,INDEX(JA16:JZ16,MATCH(JC16,JC16:JC121,0),MATCH(Structure!$D$22,$JA$14:$JZ$14,0)),INDEX(KA16:KZ16,MATCH(KC16,KC16:KC121,0),MATCH(Structure!$D$22,$KA$14:$KZ$14,0))))</f>
        <v/>
      </c>
      <c r="CP16" s="239" t="str">
        <f>IF(A16=FALSE,"",IF(ALLTHESAME=TRUE,INDEX(LA16:LZ16,MATCH(LC16,LC16:LC121,0),MATCH(Structure!$D$22,$LA$14:$LZ$14,0)),INDEX(MA16:MZ16,MATCH(MC16,MC16:MC121,0),MATCH(Structure!$D$22,$MA$14:$MZ$14,0))))</f>
        <v/>
      </c>
      <c r="CQ16" s="239" t="str">
        <f>IF(A16=FALSE,"",IF(ALLTHESAME=TRUE,INDEX(NA16:NZ16,MATCH(NC16,NC16:NC121,0),MATCH(Structure!$D$22,$NA$14:$NZ$14,0)),INDEX(OA16:OZ16,MATCH(OC16,OC16:OC121,0),MATCH(Structure!$D$22,$OA$14:$OZ$14,0))))</f>
        <v/>
      </c>
      <c r="CR16" s="239" t="str">
        <f>IF(A16=FALSE,"",IF(ALLTHESAME=TRUE,INDEX(PA16:PZ16,MATCH(PC16,PC16:PC121,0),MATCH(Structure!$D$22,$PA$14:$PZ$14,0)),INDEX(QA16:QZ16,MATCH(QC16,QC16:QC121,0),MATCH(Structure!$D$22,$QA$14:$QZ$14,0))))</f>
        <v/>
      </c>
      <c r="CS16" s="341" t="str">
        <f>IF(A16=FALSE,"",IF(ALLTHESAME=TRUE,INDEX(RA16:RZ16,MATCH(RC16,RC16:RC121,0),MATCH(Structure!$D$22,$RA$14:$RZ$14,0)),INDEX(SA16:TC16,MATCH(SC16,SC16:SC121,0),MATCH(Structure!$D$22,$SA$14:$TC$14,0))))</f>
        <v/>
      </c>
      <c r="CT16" s="347"/>
      <c r="CU16" s="239" t="str">
        <f t="shared" si="242"/>
        <v/>
      </c>
      <c r="CV16" s="239" t="str">
        <f>IF(A16=FALSE,"",IF(ALLTHESAME=TRUE,INDEX(DD16:DZ16,MATCH(DF16,DF16:DF121,0),MATCH(Structure!$D$8,$DD$14:$DZ$14,0)),INDEX(EA16:EZ16,MATCH(EC16,EC16:EC121,0),MATCH(Structure!$D$8,$EA$14:$EZ$14,0))))</f>
        <v/>
      </c>
      <c r="CW16" s="239" t="str">
        <f>IF(A16=FALSE,"",IF(ALLTHESAME=TRUE,INDEX(FA16:FZ16,MATCH(FC16,FC16:FC121,0),MATCH(Structure!$D$8,$FA$14:$FZ$14,0)),INDEX(GA16:GZ16,MATCH(GC16,GC16:GC121,0),MATCH(Structure!$D$8,$GA$14:$GZ$14,0))))</f>
        <v/>
      </c>
      <c r="CX16" s="239" t="str">
        <f>IF(A16=FALSE,"",IF(ALLTHESAME=TRUE,INDEX(HA16:HZ16,MATCH(HC16,HC16:HC121,0),MATCH(Structure!$D$8,$HA$14:$HZ$14,0)),INDEX(IA16:IZ16,MATCH(IC16,IC16:IC121,0),MATCH(Structure!$D$8,$IA$14:$IZ$14,0))))</f>
        <v/>
      </c>
      <c r="CY16" s="239" t="str">
        <f>IF(A16=FALSE,"",IF(ALLTHESAME=TRUE,INDEX(JA16:JZ16,MATCH(JC16,JC16:JC121,0),MATCH(Structure!$D$8,$JA$14:$JZ$14,0)),INDEX(KA16:KZ16,MATCH(KC16,KC16:KC121,0),MATCH(Structure!$D$8,$KA$14:$KZ$14,0))))</f>
        <v/>
      </c>
      <c r="CZ16" s="239" t="str">
        <f>IF(A16=FALSE,"",IF(ALLTHESAME=TRUE,INDEX(LA16:LZ16,MATCH(LC16,LC16:LC121,0),MATCH(Structure!$D$8,$LA$14:$LZ$14,0)),INDEX(MA16:MZ16,MATCH(MC16,MC16:MC121,0),MATCH(Structure!$D$8,$MA$14:$MZ$14,0))))</f>
        <v/>
      </c>
      <c r="DA16" s="239" t="str">
        <f>IF(A16=FALSE,"",IF(ALLTHESAME=TRUE,INDEX(NA16:NZ16,MATCH(NC16,NC16:NC121,0),MATCH(Structure!$D$8,$NA$14:$NZ$14,0)),INDEX(OA16:OZ16,MATCH(OC16,OC16:OC121,0),MATCH(Structure!$D$8,$OA$14:$OZ$14,0))))</f>
        <v/>
      </c>
      <c r="DB16" s="239" t="str">
        <f>IF(A16=FALSE,"",IF(ALLTHESAME=TRUE,INDEX(PA16:PZ16,MATCH(PC16,PC16:PC121,0),MATCH(Structure!$D$8,$PA$14:$PZ$14,0)),INDEX(QA16:QZ16,MATCH(QC16,QC16:QC121,0),MATCH(Structure!$D$8,$QA$14:$QZ$14,0))))</f>
        <v/>
      </c>
      <c r="DC16" s="341" t="str">
        <f>IF(A16=FALSE,"",IF(ALLTHESAME=TRUE,INDEX(RA16:RZ16,MATCH(RC16,RC16:RC121,0),MATCH(Structure!$D$8,$RA$14:$RZ$14,0)),INDEX(SA16:TC16,MATCH(SC16,SC16:SC121,0),MATCH(Structure!$D$8,$SA$14:$TC$14,0))))</f>
        <v/>
      </c>
      <c r="DD16" s="492" t="str">
        <f>IF(A16=FALSE,"",Cotations!D16)</f>
        <v/>
      </c>
      <c r="DE16" s="492" t="str">
        <f>IF(A16=FALSE,"",IF(LISTES!$A$17=1,Cotations!AF16,Cotations!$AG$4))</f>
        <v/>
      </c>
      <c r="DF16" s="291" t="str">
        <f t="shared" ref="DF16:DF46" si="431">IF(A16=FALSE,"",INDEX(colAssureur,MATCH(DE16,colchoice,0)))</f>
        <v/>
      </c>
      <c r="DG16" s="291" t="str">
        <f t="shared" si="243"/>
        <v/>
      </c>
      <c r="DH16" s="291"/>
      <c r="DI16" s="463"/>
      <c r="DJ16" s="463" t="str">
        <f t="shared" si="244"/>
        <v/>
      </c>
      <c r="DK16" s="522" t="str">
        <f>IF(A16=FALSE,"",IF(Cotations!$AH$4="monthly",DJ16/12*L16,DJ16/365*M16))</f>
        <v/>
      </c>
      <c r="DL16" s="489" t="str">
        <f>IF(A16=FALSE,"",Cotations!$AI$4)</f>
        <v/>
      </c>
      <c r="DM16" s="300" t="str">
        <f t="shared" si="245"/>
        <v/>
      </c>
      <c r="DN16" s="300" t="str">
        <f t="shared" si="246"/>
        <v/>
      </c>
      <c r="DO16" s="294" t="str">
        <f t="shared" si="247"/>
        <v/>
      </c>
      <c r="DP16" s="494" t="str">
        <f>IF(A16=FALSE,"",Cotations!$AJ$4)</f>
        <v/>
      </c>
      <c r="DQ16" s="494" t="str">
        <f>IF(A16=FALSE,"",Cotations!$AK$4)</f>
        <v/>
      </c>
      <c r="DR16" s="489" t="str">
        <f>IF(A16=FALSE,"",Cotations!$AL$4)</f>
        <v/>
      </c>
      <c r="DS16" s="494" t="str">
        <f>IF(A16=FALSE,"",IF(DP16="N/A",0,IF(INDEX(LISTES!$F$105:$F$109,MATCH(DP16,LISTES!$C$105:$C$109,0))="FIX",IF(INDEX(LISTES!$E$105:$E$109,MATCH(DP16,LISTES!$C$105:$C$109,0))=12,DQ16/12*L16,DQ16/365*M16),DR16*DO16)))</f>
        <v/>
      </c>
      <c r="DT16" s="294" t="str">
        <f t="shared" si="248"/>
        <v/>
      </c>
      <c r="DU16" s="294" t="str">
        <f>IF(A16=FALSE,"",DT16*Cotations!$AM$4)</f>
        <v/>
      </c>
      <c r="DV16" s="294" t="str">
        <f>IF(A16=FALSE,"",DT16*Cotations!$AN$4)</f>
        <v/>
      </c>
      <c r="DW16" s="465" t="str">
        <f t="shared" si="249"/>
        <v/>
      </c>
      <c r="DX16" s="919" t="str">
        <f>IF(A16=FALSE,"",((DJ16*TAXE)-(DJ16*TAXE*DL16))+IF(DP16="N/A",0,IF(INDEX(LISTES!$F$105:$F$109,MATCH(DP16,LISTES!$C$105:$C$109,0))="FIX",DQ16,DR16*DO16)))</f>
        <v/>
      </c>
      <c r="DY16" s="466"/>
      <c r="DZ16" s="466"/>
      <c r="EA16" s="492" t="str">
        <f>IF(A16=FALSE,"",Cotations!D16)</f>
        <v/>
      </c>
      <c r="EB16" s="494" t="str">
        <f>IF(A16=FALSE,"",IF(LISTES!$A$17=1,Cotations!AF16,Cotations!AG16))</f>
        <v/>
      </c>
      <c r="EC16" s="284" t="str">
        <f t="shared" si="250"/>
        <v/>
      </c>
      <c r="ED16" s="284" t="str">
        <f t="shared" si="251"/>
        <v/>
      </c>
      <c r="EE16" s="284"/>
      <c r="EF16" s="284"/>
      <c r="EG16" s="284" t="str">
        <f t="shared" si="252"/>
        <v/>
      </c>
      <c r="EH16" s="1365" t="str">
        <f t="shared" si="253"/>
        <v/>
      </c>
      <c r="EI16" s="1365" t="str">
        <f t="shared" si="254"/>
        <v/>
      </c>
      <c r="EJ16" s="515" t="str">
        <f>IF(A16=FALSE,"",IF(Cotations!AH16="monthly",EG16/12*L16,EG16/365*M16))</f>
        <v/>
      </c>
      <c r="EK16" s="1364" t="str">
        <f>IF(A16=FALSE,"",IF(Cotations!AH16="monthly",EI16/12*L16,EI16/365*M16))</f>
        <v/>
      </c>
      <c r="EL16" s="493" t="str">
        <f>IF(A16=FALSE,"",IF(Cotations!AI16="","",Cotations!AI16))</f>
        <v/>
      </c>
      <c r="EM16" s="284" t="str">
        <f t="shared" si="255"/>
        <v/>
      </c>
      <c r="EN16" s="284" t="str">
        <f t="shared" si="256"/>
        <v/>
      </c>
      <c r="EO16" s="1365" t="str">
        <f t="shared" ref="EO16:EO79" si="432">IF(A16=FALSE,"",IF(EH16=0,0,EK16-(EJ16-EM16)))</f>
        <v/>
      </c>
      <c r="EP16" s="284" t="str">
        <f t="shared" si="257"/>
        <v/>
      </c>
      <c r="EQ16" s="515" t="str">
        <f>IF(A16=FALSE,"",Cotations!AJ16)</f>
        <v/>
      </c>
      <c r="ER16" s="515" t="str">
        <f>IF(A16=FALSE,"",IF(Cotations!AK16="","",Cotations!AK16))</f>
        <v/>
      </c>
      <c r="ES16" s="493" t="str">
        <f>IF(A16=FALSE,"",Cotations!AL16)</f>
        <v/>
      </c>
      <c r="ET16" s="515" t="str">
        <f>IF(A16=FALSE,"",IF(EQ16="N/A",0,IF(INDEX(LISTES!$F$105:$F$109,MATCH(EQ16,LISTES!$C$105:$C$109,0))="FIX",IF(INDEX(LISTES!$E$105:$E$109,MATCH(EQ16,LISTES!$C$105:$C$109,0))=12,ER16/12*L16,ER16/365*M16),ES16*EP16)))</f>
        <v/>
      </c>
      <c r="EU16" s="294" t="str">
        <f t="shared" si="258"/>
        <v/>
      </c>
      <c r="EV16" s="494" t="str">
        <f>IF(A16=FALSE,"",EU16*Cotations!AM16)</f>
        <v/>
      </c>
      <c r="EW16" s="494" t="str">
        <f>IF(A16=FALSE,"",EU16*Cotations!AN16)</f>
        <v/>
      </c>
      <c r="EX16" s="334" t="str">
        <f t="shared" si="259"/>
        <v/>
      </c>
      <c r="EY16" s="919" t="str">
        <f>IF(A16=FALSE,"",((EG16*TAXE)-(EG16*TAXE*EL16)+EH16)+IF(EQ16="N/A",0,IF(INDEX(LISTES!$F$105:$F$109,MATCH(EQ16,LISTES!$C$105:$C$109,0))="FIX",ER16,ES16*EP16)))</f>
        <v/>
      </c>
      <c r="EZ16" s="422"/>
      <c r="FA16" s="492" t="str">
        <f>IF(A16=FALSE,"",Cotations!D16)</f>
        <v/>
      </c>
      <c r="FB16" s="519" t="str">
        <f>IF(A16=FALSE,"",IF(LISTES!$A$17=1,Cotations!AO16,Cotations!$AP$4))</f>
        <v/>
      </c>
      <c r="FC16" s="291" t="str">
        <f t="shared" si="260"/>
        <v/>
      </c>
      <c r="FD16" s="291" t="str">
        <f t="shared" si="261"/>
        <v/>
      </c>
      <c r="FE16" s="291"/>
      <c r="FF16" s="463"/>
      <c r="FG16" s="463" t="str">
        <f t="shared" si="262"/>
        <v/>
      </c>
      <c r="FH16" s="522" t="str">
        <f>IF(A16=FALSE,"",IF(Cotations!$AQ$4="monthly",FG16/12*L16,FG16/365*M16))</f>
        <v/>
      </c>
      <c r="FI16" s="453" t="str">
        <f>IF(A16=FALSE,"",Cotations!$AR$4)</f>
        <v/>
      </c>
      <c r="FJ16" s="300" t="str">
        <f t="shared" si="263"/>
        <v/>
      </c>
      <c r="FK16" s="300" t="str">
        <f t="shared" si="264"/>
        <v/>
      </c>
      <c r="FL16" s="294" t="str">
        <f t="shared" si="265"/>
        <v/>
      </c>
      <c r="FM16" s="494" t="str">
        <f>IF(A16=FALSE,"",Cotations!$AS$4)</f>
        <v/>
      </c>
      <c r="FN16" s="494" t="str">
        <f>IF(A16=FALSE,"",Cotations!$AT$4)</f>
        <v/>
      </c>
      <c r="FO16" s="489" t="str">
        <f>IF(A16=FALSE,"",Cotations!$AU$4)</f>
        <v/>
      </c>
      <c r="FP16" s="494" t="str">
        <f>IF(A16=FALSE,"",IF(FM16="N/A",0,IF(INDEX(LISTES!$F$105:$F$109,MATCH(FM16,LISTES!$C$105:$C$109,0))="FIX",IF(INDEX(LISTES!$E$105:$E$109,MATCH(FM16,LISTES!$C$105:$C$109,0))=12,FN16/12*L16,FN16/365*M16),FO16*FL16)))</f>
        <v/>
      </c>
      <c r="FQ16" s="294" t="str">
        <f t="shared" si="266"/>
        <v/>
      </c>
      <c r="FR16" s="494" t="str">
        <f>IF(A16=FALSE,"",FQ16*Cotations!$AV$4)</f>
        <v/>
      </c>
      <c r="FS16" s="494" t="str">
        <f>IF(A16=FALSE,"",FQ16*Cotations!$AW$4)</f>
        <v/>
      </c>
      <c r="FT16" s="465" t="str">
        <f t="shared" si="267"/>
        <v/>
      </c>
      <c r="FU16" s="919" t="str">
        <f>IF(A16=FALSE,"",((FG16*TAXE)-(FG16*TAXE*FI16))+IF(FM16="N/A",0,IF(INDEX(LISTES!$F$105:$F$109,MATCH(FM16,LISTES!$C$105:$C$109,0))="FIX",FN16,FO16*FL16)))</f>
        <v/>
      </c>
      <c r="FV16" s="478"/>
      <c r="FW16" s="478"/>
      <c r="FX16" s="478"/>
      <c r="FY16" s="478"/>
      <c r="FZ16" s="478"/>
      <c r="GA16" s="492" t="str">
        <f>IF(A16=FALSE,"",Cotations!D16)</f>
        <v/>
      </c>
      <c r="GB16" s="494" t="str">
        <f>IF(A16=FALSE,"",IF(LISTES!$A$17=1,Cotations!AO16,Cotations!AP16))</f>
        <v/>
      </c>
      <c r="GC16" s="284" t="str">
        <f t="shared" si="268"/>
        <v/>
      </c>
      <c r="GD16" s="515" t="str">
        <f>IF(A16=FALSE,"",IF(Detail!AM16="","",Detail!AM16))</f>
        <v/>
      </c>
      <c r="GE16" s="284"/>
      <c r="GF16" s="284"/>
      <c r="GG16" s="284" t="str">
        <f t="shared" si="269"/>
        <v/>
      </c>
      <c r="GH16" s="515" t="str">
        <f>IF(A16=FALSE,"",IF(Cotations!AQ16="monthly",GG16/12*L16,GG16/365*M16))</f>
        <v/>
      </c>
      <c r="GI16" s="493" t="str">
        <f>IF(A16=FALSE,"",IF(Cotations!AR16="","",Cotations!AR16))</f>
        <v/>
      </c>
      <c r="GJ16" s="284" t="str">
        <f t="shared" si="270"/>
        <v/>
      </c>
      <c r="GK16" s="284" t="str">
        <f t="shared" si="271"/>
        <v/>
      </c>
      <c r="GL16" s="284" t="str">
        <f t="shared" si="272"/>
        <v/>
      </c>
      <c r="GM16" s="515" t="str">
        <f>IF(A16=FALSE,"",Cotations!AS16)</f>
        <v/>
      </c>
      <c r="GN16" s="515" t="str">
        <f>IF(A16=FALSE,"",Cotations!AT16)</f>
        <v/>
      </c>
      <c r="GO16" s="493" t="str">
        <f>IF(A16=FALSE,"",Cotations!AU16)</f>
        <v/>
      </c>
      <c r="GP16" s="515" t="str">
        <f>IF(A16=FALSE,"",IF(GM16="N/A",0,IF(INDEX(LISTES!$F$105:$F$109,MATCH(GM16,LISTES!$C$105:$C$109,0))="FIX",IF(INDEX(LISTES!$E$105:$E$109,MATCH(GM16,LISTES!$C$105:$C$109,0))=12,GN16/12*L16,GN16/365*M16),GO16*GL16)))</f>
        <v/>
      </c>
      <c r="GQ16" s="294" t="str">
        <f t="shared" si="273"/>
        <v/>
      </c>
      <c r="GR16" s="494" t="str">
        <f>IF(A16=FALSE,"",GQ16*Cotations!AV16)</f>
        <v/>
      </c>
      <c r="GS16" s="494" t="str">
        <f>IF(A16=FALSE,"",GQ16*Cotations!AW16)</f>
        <v/>
      </c>
      <c r="GT16" s="334" t="str">
        <f t="shared" si="274"/>
        <v/>
      </c>
      <c r="GU16" s="919" t="str">
        <f>IF(A16=FALSE,"",((GG16*TAXE)-(GG16*TAXE*GI16))+IF(GM16="N/A",0,IF(INDEX(LISTES!$F$105:$F$109,MATCH(GM16,LISTES!$C$105:$C$109,0))="FIX",GN16,GO16*GL16)))</f>
        <v/>
      </c>
      <c r="GV16" s="478"/>
      <c r="GW16" s="466"/>
      <c r="GX16" s="466"/>
      <c r="GY16" s="466"/>
      <c r="GZ16" s="466"/>
      <c r="HA16" s="492" t="str">
        <f>IF(A16=FALSE,"",Cotations!D16)</f>
        <v/>
      </c>
      <c r="HB16" s="495" t="str">
        <f>IF(A16=FALSE,"",IF(LISTES!$A$17=1,Cotations!AX16,Cotations!$AY$4))</f>
        <v/>
      </c>
      <c r="HC16" s="291" t="str">
        <f t="shared" si="275"/>
        <v/>
      </c>
      <c r="HD16" s="291" t="str">
        <f t="shared" si="276"/>
        <v/>
      </c>
      <c r="HE16" s="456" t="str">
        <f t="shared" si="277"/>
        <v/>
      </c>
      <c r="HF16" s="496" t="str">
        <f>IF(A16=FALSE,"",IF(HA16="POEA",Cotations!BA16,IF(HA16="FIXE",Cotations!$BA$4,Cotations!$BC$4*Y16)))</f>
        <v/>
      </c>
      <c r="HG16" s="300" t="str">
        <f t="shared" si="278"/>
        <v/>
      </c>
      <c r="HH16" s="522" t="str">
        <f>IF(A16=FALSE,"",IF(Cotations!$AZ$4="monthly",HG16/12*L16,HG16/365*M16))</f>
        <v/>
      </c>
      <c r="HI16" s="489" t="str">
        <f>IF(A16=FALSE,"",Cotations!$BD$4)</f>
        <v/>
      </c>
      <c r="HJ16" s="300" t="str">
        <f t="shared" si="279"/>
        <v/>
      </c>
      <c r="HK16" s="300" t="str">
        <f t="shared" si="280"/>
        <v/>
      </c>
      <c r="HL16" s="294" t="str">
        <f t="shared" si="281"/>
        <v/>
      </c>
      <c r="HM16" s="494" t="str">
        <f>IF(A16=FALSE,"",Cotations!$BE$4)</f>
        <v/>
      </c>
      <c r="HN16" s="522" t="str">
        <f>IF(A16=FALSE,"",Cotations!$BF$4)</f>
        <v/>
      </c>
      <c r="HO16" s="489" t="str">
        <f>IF(A16=FALSE,"",Cotations!$BG$4)</f>
        <v/>
      </c>
      <c r="HP16" s="494" t="str">
        <f>IF(A16=FALSE,"",IF(HM16="N/A",0,IF(INDEX(LISTES!$F$105:$F$109,MATCH(HM16,LISTES!$C$105:$C$109,0))="FIX",IF(INDEX(LISTES!$E$105:$E$109,MATCH(HM16,LISTES!$C$105:$C$109,0))=12,HN16/12*L16,HN16/365*M16),HO16*HL16)))</f>
        <v/>
      </c>
      <c r="HQ16" s="294" t="str">
        <f t="shared" si="282"/>
        <v/>
      </c>
      <c r="HR16" s="494" t="str">
        <f>IF(A16=FALSE,"",HQ16*Cotations!$BH$4)</f>
        <v/>
      </c>
      <c r="HS16" s="494" t="str">
        <f>IF(A16=FALSE,"",HQ16*Cotations!$BI$4)</f>
        <v/>
      </c>
      <c r="HT16" s="294" t="str">
        <f t="shared" si="283"/>
        <v/>
      </c>
      <c r="HU16" s="919" t="str">
        <f>IF(A16=FALSE,"",((HG16*TAXE)-(HG16*TAXE*HI16))+IF(HM16="N/A",0,IF(INDEX(LISTES!$F$105:$F$109,MATCH(HM16,LISTES!$C$105:$C$109,0))="FIX",HN16,HO16*HL16)))</f>
        <v/>
      </c>
      <c r="HV16" s="422"/>
      <c r="HW16" s="422"/>
      <c r="HX16" s="422"/>
      <c r="HY16" s="716"/>
      <c r="HZ16" s="422"/>
      <c r="IA16" s="492" t="str">
        <f>IF(A16=FALSE,"",Cotations!D16)</f>
        <v/>
      </c>
      <c r="IB16" s="491" t="str">
        <f>IF(A16=FALSE,"",IF(LISTES!$A$17=1,Cotations!AX16,Cotations!AY16))</f>
        <v/>
      </c>
      <c r="IC16" s="285" t="str">
        <f t="shared" si="284"/>
        <v/>
      </c>
      <c r="ID16" s="300" t="str">
        <f>IF(A16=FALSE,"",IF(LISTES!$A$17=3,Detail!AU16,lig1_Formula_PREVOY))</f>
        <v/>
      </c>
      <c r="IE16" s="461" t="str">
        <f t="shared" si="285"/>
        <v/>
      </c>
      <c r="IF16" s="490" t="str">
        <f>IF(A16=FALSE,"",IF(IA16="POEA",Cotations!BA16,IF(HA16="FIXE",Cotations!BB16,IF(Cotations!BC16*Y16&lt;50000,Z16,Cotations!BC16*Y16))))</f>
        <v/>
      </c>
      <c r="IG16" s="300" t="str">
        <f t="shared" si="286"/>
        <v/>
      </c>
      <c r="IH16" s="522" t="str">
        <f>IF(A16=FALSE,"",IF(Cotations!AZ16="monthly",IG16/12*L16,IG16/365*M16))</f>
        <v/>
      </c>
      <c r="II16" s="489" t="str">
        <f>IF(A16=FALSE,"",IF(Cotations!BD16="","",Cotations!BD16))</f>
        <v/>
      </c>
      <c r="IJ16" s="300" t="str">
        <f t="shared" si="287"/>
        <v/>
      </c>
      <c r="IK16" s="300" t="str">
        <f t="shared" si="288"/>
        <v/>
      </c>
      <c r="IL16" s="919" t="str">
        <f t="shared" si="289"/>
        <v/>
      </c>
      <c r="IM16" s="517" t="str">
        <f>IF(A16=FALSE,"",Cotations!BE16)</f>
        <v/>
      </c>
      <c r="IN16" s="517" t="str">
        <f>IF(A16=FALSE,"",Cotations!BF16)</f>
        <v/>
      </c>
      <c r="IO16" s="493" t="str">
        <f>IF(A16=FALSE,"",Cotations!BG16)</f>
        <v/>
      </c>
      <c r="IP16" s="517" t="str">
        <f>IF(A16=FALSE,"",IF(IM16="N/A",0,IF(INDEX(LISTES!$F$105:$F$109,MATCH(IM16,LISTES!$C$105:$C$109,0))="FIX",IF(INDEX(LISTES!$E$105:$E$109,MATCH(IM16,LISTES!$C$105:$C$109,0))=12,IN16/12*L16,IN16/365*M16),IO16*IL16)))</f>
        <v/>
      </c>
      <c r="IQ16" s="294" t="str">
        <f t="shared" si="290"/>
        <v/>
      </c>
      <c r="IR16" s="494" t="str">
        <f>IF(A16=FALSE,"",IQ16*Cotations!BH16)</f>
        <v/>
      </c>
      <c r="IS16" s="494" t="str">
        <f>IF(A16=FALSE,"",IQ16*Cotations!BI16)</f>
        <v/>
      </c>
      <c r="IT16" s="338" t="str">
        <f t="shared" si="291"/>
        <v/>
      </c>
      <c r="IU16" s="919" t="str">
        <f>IF(A16=FALSE,"",((IG16*TAXE)-(IG16*TAXE*II16))+IF(IM16="N/A",0,IF(INDEX(LISTES!$F$105:$F$109,MATCH(IM16,LISTES!$C$105:$C$109,0))="FIX",IN16,IO16*IL16)))</f>
        <v/>
      </c>
      <c r="IV16" s="422"/>
      <c r="IY16" s="716"/>
      <c r="JA16" s="492" t="str">
        <f>IF(A16=FALSE,"",Cotations!D16)</f>
        <v/>
      </c>
      <c r="JB16" s="495" t="str">
        <f>IF(A16=FALSE,"",IF(LISTES!$A$17=1,Cotations!BJ16,Cotations!$BK$4))</f>
        <v/>
      </c>
      <c r="JC16" s="291" t="str">
        <f t="shared" si="292"/>
        <v/>
      </c>
      <c r="JD16" s="291" t="str">
        <f t="shared" si="293"/>
        <v/>
      </c>
      <c r="JE16" s="456" t="str">
        <f t="shared" si="294"/>
        <v/>
      </c>
      <c r="JF16" s="496" t="str">
        <f>IF(A16=FALSE,"",IF(JA16="POEA",Cotations!BM16,IF(JA16="FIXE",Cotations!$BM$4,Cotations!$BO$4*Y16)))</f>
        <v/>
      </c>
      <c r="JG16" s="300" t="str">
        <f t="shared" si="295"/>
        <v/>
      </c>
      <c r="JH16" s="522" t="str">
        <f>IF(A16=FALSE,"",IF(Cotations!$BL$4="monthly",JG16/12*L16,JG16/365*M16))</f>
        <v/>
      </c>
      <c r="JI16" s="489" t="str">
        <f>IF(A16=FALSE,"",Cotations!$BP$4)</f>
        <v/>
      </c>
      <c r="JJ16" s="300" t="str">
        <f t="shared" si="296"/>
        <v/>
      </c>
      <c r="JK16" s="300" t="str">
        <f t="shared" si="297"/>
        <v/>
      </c>
      <c r="JL16" s="294" t="str">
        <f t="shared" si="298"/>
        <v/>
      </c>
      <c r="JM16" s="494" t="str">
        <f>IF(A16=FALSE,"",Cotations!$BQ$4)</f>
        <v/>
      </c>
      <c r="JN16" s="522" t="str">
        <f>IF(A16=FALSE,"",Cotations!$BR$4)</f>
        <v/>
      </c>
      <c r="JO16" s="489" t="str">
        <f>IF(A16=FALSE,"",Cotations!$BS$4)</f>
        <v/>
      </c>
      <c r="JP16" s="494" t="str">
        <f>IF(A16=FALSE,"",IF(JM16="N/A",0,IF(INDEX(LISTES!$F$105:$F$109,MATCH(JM16,LISTES!$C$105:$C$109,0))="FIX",IF(INDEX(LISTES!$E$105:$E$109,MATCH(JM16,LISTES!$C$105:$C$109,0))=12,JN16/12*L16,JN16/365*M16),JO16*JL16)))</f>
        <v/>
      </c>
      <c r="JQ16" s="294" t="str">
        <f t="shared" si="299"/>
        <v/>
      </c>
      <c r="JR16" s="494" t="str">
        <f>IF(A16=FALSE,"",JQ16*Cotations!$BT$4)</f>
        <v/>
      </c>
      <c r="JS16" s="494" t="str">
        <f>IF(A16=FALSE,"",JQ16*Cotations!$BU$4)</f>
        <v/>
      </c>
      <c r="JT16" s="294" t="str">
        <f t="shared" si="300"/>
        <v/>
      </c>
      <c r="JU16" s="919" t="str">
        <f>IF(A16=FALSE,"",((JG16*TAXE)-(JG16*TAXE*JI16))+IF(JM16="N/A",0,IF(INDEX(LISTES!$F$105:$F$109,MATCH(JM16,LISTES!$C$105:$C$109,0))="FIX",JN16,JO16*JL16)))</f>
        <v/>
      </c>
      <c r="KA16" s="492" t="str">
        <f>IF(A16=FALSE,"",Cotations!D16)</f>
        <v/>
      </c>
      <c r="KB16" s="491" t="str">
        <f>IF(A16=FALSE,"",IF(LISTES!$A$17=1,Cotations!BJ16,Cotations!BK16))</f>
        <v/>
      </c>
      <c r="KC16" s="285" t="str">
        <f t="shared" si="301"/>
        <v/>
      </c>
      <c r="KD16" s="300"/>
      <c r="KE16" s="461" t="str">
        <f t="shared" si="302"/>
        <v/>
      </c>
      <c r="KF16" s="490" t="str">
        <f>IF(A16=FALSE,"",IF(KA16="POEA",Cotations!BM16,IF(KA16="FIXE",Cotations!BN16,IF(Cotations!BO16*Y16&lt;50000,Z16,Cotations!BO16*Y16))))</f>
        <v/>
      </c>
      <c r="KG16" s="300" t="str">
        <f t="shared" si="303"/>
        <v/>
      </c>
      <c r="KH16" s="522" t="str">
        <f>IF(A16=FALSE,"",IF(Cotations!BL16="monthly",KG16/12*L16,KG16/365*M16))</f>
        <v/>
      </c>
      <c r="KI16" s="489" t="str">
        <f>IF(A16=FALSE,"",IF(Cotations!BP16="","",Cotations!BP16))</f>
        <v/>
      </c>
      <c r="KJ16" s="300" t="str">
        <f t="shared" si="304"/>
        <v/>
      </c>
      <c r="KK16" s="300" t="str">
        <f t="shared" si="305"/>
        <v/>
      </c>
      <c r="KL16" s="919" t="str">
        <f t="shared" si="306"/>
        <v/>
      </c>
      <c r="KM16" s="517" t="str">
        <f>IF(A16=FALSE,"",Cotations!BQ16)</f>
        <v/>
      </c>
      <c r="KN16" s="515" t="str">
        <f>IF(A16=FALSE,"",Cotations!BR16)</f>
        <v/>
      </c>
      <c r="KO16" s="493" t="str">
        <f>IF(A16=FALSE,"",Cotations!BS16)</f>
        <v/>
      </c>
      <c r="KP16" s="517" t="str">
        <f>IF(A16=FALSE,"",IF(KM16="N/A",0,IF(INDEX(LISTES!$F$105:$F$109,MATCH(KM16,LISTES!$C$105:$C$109,0))="FIX",IF(INDEX(LISTES!$E$105:$E$109,MATCH(KM16,LISTES!$C$105:$C$109,0))=12,KN16/12*L16,KN16/365*M16),KO16*KL16)))</f>
        <v/>
      </c>
      <c r="KQ16" s="294" t="str">
        <f t="shared" si="307"/>
        <v/>
      </c>
      <c r="KR16" s="494" t="str">
        <f>IF(A16=FALSE,"",KQ16*Cotations!BT16)</f>
        <v/>
      </c>
      <c r="KS16" s="494" t="str">
        <f>IF(A16=FALSE,"",KQ16*Cotations!BU16)</f>
        <v/>
      </c>
      <c r="KT16" s="338" t="str">
        <f t="shared" si="308"/>
        <v/>
      </c>
      <c r="KU16" s="919" t="str">
        <f>IF(A16=FALSE,"",((KG16*TAXE)-(KG16*TAXE*KI16))+IF(KM16="N/A",0,IF(INDEX(LISTES!$F$105:$F$109,MATCH(KM16,LISTES!$C$105:$C$109,0))="FIX",KN16,KO16*KL16)))</f>
        <v/>
      </c>
      <c r="KX16" s="422"/>
      <c r="KY16" s="422"/>
      <c r="LA16" s="497" t="str">
        <f>IF(A16=FALSE,"",Cotations!D16)</f>
        <v/>
      </c>
      <c r="LB16" s="498" t="str">
        <f>IF(A16=FALSE,"",IF(LISTES!$A$17=1,Cotations!BV16,Cotations!$BW$4))</f>
        <v/>
      </c>
      <c r="LC16" s="499" t="str">
        <f t="shared" si="309"/>
        <v/>
      </c>
      <c r="LD16" s="499" t="str">
        <f t="shared" si="310"/>
        <v/>
      </c>
      <c r="LE16" s="500" t="str">
        <f t="shared" si="311"/>
        <v/>
      </c>
      <c r="LF16" s="501" t="str">
        <f>IF(A16=FALSE,"",IF(LA16="POEA",Cotations!EJ16,IF(LA16="FIXE",Cotations!$BY$4,Cotations!$CA$4*Y16)))</f>
        <v/>
      </c>
      <c r="LG16" s="502" t="str">
        <f t="shared" si="312"/>
        <v/>
      </c>
      <c r="LH16" s="520" t="str">
        <f>IF(A16=FALSE,"",IF(Cotations!$BX$4="monthly",LG16/12*L16,LG16/365*M16))</f>
        <v/>
      </c>
      <c r="LI16" s="503" t="str">
        <f>IF(A16=FALSE,"",Cotations!$CB$4)</f>
        <v/>
      </c>
      <c r="LJ16" s="502" t="str">
        <f t="shared" si="313"/>
        <v/>
      </c>
      <c r="LK16" s="502" t="str">
        <f t="shared" si="314"/>
        <v/>
      </c>
      <c r="LL16" s="504" t="str">
        <f t="shared" si="315"/>
        <v/>
      </c>
      <c r="LM16" s="505" t="str">
        <f>IF(A16=FALSE,"",Cotations!$CC$4)</f>
        <v/>
      </c>
      <c r="LN16" s="503" t="str">
        <f>IF(A16=FALSE,"",Cotations!$CD$4)</f>
        <v/>
      </c>
      <c r="LO16" s="503" t="str">
        <f>IF(A16=FALSE,"",Cotations!$CE$4)</f>
        <v/>
      </c>
      <c r="LP16" s="505" t="str">
        <f>IF(A16=FALSE,"",IF(LM16="N/A",0,IF(INDEX(LISTES!$F$105:$F$109,MATCH(LM16,LISTES!$C$105:$C$109,0))="FIX",IF(INDEX(LISTES!$E$105:$E$109,MATCH(LM16,LISTES!$C$105:$C$109,0))=12,LN16/12*L16,LN16/365*M16),LO16*LL16)))</f>
        <v/>
      </c>
      <c r="LQ16" s="504" t="str">
        <f t="shared" si="316"/>
        <v/>
      </c>
      <c r="LR16" s="505" t="str">
        <f>IF(A16=FALSE,"",LQ16*Cotations!$CF$4)</f>
        <v/>
      </c>
      <c r="LS16" s="505" t="str">
        <f>IF(A16=FALSE,"",LQ16*Cotations!$CG$4)</f>
        <v/>
      </c>
      <c r="LT16" s="506" t="str">
        <f t="shared" si="317"/>
        <v/>
      </c>
      <c r="LU16" s="919" t="str">
        <f>IF(A16=FALSE,"",((LG16*TAXE)-(LG16*TAXE*LI16))+IF(LM16="N/A",0,IF(INDEX(LISTES!$F$105:$F$109,MATCH(LM16,LISTES!$C$105:$C$109,0))="FIX",LN16,LO16*LL16)))</f>
        <v/>
      </c>
      <c r="MA16" s="492" t="str">
        <f>IF(A16=FALSE,"",Cotations!D16)</f>
        <v/>
      </c>
      <c r="MB16" s="491" t="str">
        <f>IF(A16=FALSE,"",IF(LISTES!$A$17=1,Cotations!BV16,Cotations!BW16))</f>
        <v/>
      </c>
      <c r="MC16" s="285" t="str">
        <f t="shared" si="318"/>
        <v/>
      </c>
      <c r="MD16" s="300"/>
      <c r="ME16" s="461" t="str">
        <f t="shared" si="319"/>
        <v/>
      </c>
      <c r="MF16" s="490" t="str">
        <f>IF(A16=FALSE,"",IF(MA16="POEA",Cotations!BY16,IF(MA16="FIXE",Cotations!BZ16,IF(Cotations!CA16*Y16&lt;50000,Z16,Cotations!CA16*Y16))))</f>
        <v/>
      </c>
      <c r="MG16" s="300" t="str">
        <f t="shared" si="320"/>
        <v/>
      </c>
      <c r="MH16" s="522" t="str">
        <f>IF(A16=FALSE,"",IF(Cotations!BX16="monthly",MG16/12*L16,MG16/365*M16))</f>
        <v/>
      </c>
      <c r="MI16" s="489" t="str">
        <f>IF(A16=FALSE,"",IF(Cotations!CB16="","",Cotations!CB16))</f>
        <v/>
      </c>
      <c r="MJ16" s="300" t="str">
        <f t="shared" si="321"/>
        <v/>
      </c>
      <c r="MK16" s="300" t="str">
        <f t="shared" si="322"/>
        <v/>
      </c>
      <c r="ML16" s="919" t="str">
        <f t="shared" si="323"/>
        <v/>
      </c>
      <c r="MM16" s="517" t="str">
        <f>IF(A16=FALSE,"",Cotations!CC16)</f>
        <v/>
      </c>
      <c r="MN16" s="515" t="str">
        <f>IF(A16=FALSE,"",Cotations!CD16)</f>
        <v/>
      </c>
      <c r="MO16" s="493" t="str">
        <f>IF(A16=FALSE,"",Cotations!CE16)</f>
        <v/>
      </c>
      <c r="MP16" s="517" t="str">
        <f>IF(A16=FALSE,"",IF(MM16="N/A",0,IF(INDEX(LISTES!$F$105:$F$109,MATCH(MM16,LISTES!$C$105:$C$109,0))="FIX",IF(INDEX(LISTES!$E$105:$E$109,MATCH(MM16,LISTES!$C$105:$C$109,0))=12,MN16/12*L16,MN16/365*M16),MO16*ML16)))</f>
        <v/>
      </c>
      <c r="MQ16" s="294" t="str">
        <f t="shared" si="324"/>
        <v/>
      </c>
      <c r="MR16" s="494" t="str">
        <f>IF(A16=FALSE,"",MQ16*Cotations!CF16)</f>
        <v/>
      </c>
      <c r="MS16" s="494" t="str">
        <f>IF(A16=FALSE,"",MQ16*Cotations!CG16)</f>
        <v/>
      </c>
      <c r="MT16" s="338" t="str">
        <f t="shared" si="325"/>
        <v/>
      </c>
      <c r="MU16" s="919" t="str">
        <f>IF(A16=FALSE,"",((MG16*TAXE)-(MG16*TAXE*MI16))+IF(MM16="N/A",0,IF(INDEX(LISTES!$F$105:$F$109,MATCH(MM16,LISTES!$C$105:$C$109,0))="FIX",MN16,MO16*ML16)))</f>
        <v/>
      </c>
      <c r="NA16" s="497" t="str">
        <f>IF(A16=FALSE,"",Cotations!D16)</f>
        <v/>
      </c>
      <c r="NB16" s="498" t="str">
        <f>IF(A16=FALSE,"",IF(LISTES!$A$17=1,Cotations!CH16,Cotations!$CI$4))</f>
        <v/>
      </c>
      <c r="NC16" s="499" t="str">
        <f t="shared" si="326"/>
        <v/>
      </c>
      <c r="ND16" s="499" t="str">
        <f t="shared" si="327"/>
        <v/>
      </c>
      <c r="NE16" s="500" t="str">
        <f t="shared" si="328"/>
        <v/>
      </c>
      <c r="NF16" s="501" t="str">
        <f>IF(A16=FALSE,"",IF(NA16="POEA",Cotations!CK16,IF(NA16="FIXE",Cotations!$CK$4,Cotations!$CM$4*Y16)))</f>
        <v/>
      </c>
      <c r="NG16" s="502" t="str">
        <f t="shared" si="329"/>
        <v/>
      </c>
      <c r="NH16" s="520" t="str">
        <f>IF(A16=FALSE,"",IF(Cotations!$CJ$4="monthly",NG16/12*L16,NG16/365*M16))</f>
        <v/>
      </c>
      <c r="NI16" s="503" t="str">
        <f>IF(A16=FALSE,"",Cotations!$CN$4)</f>
        <v/>
      </c>
      <c r="NJ16" s="502" t="str">
        <f t="shared" si="330"/>
        <v/>
      </c>
      <c r="NK16" s="502" t="str">
        <f t="shared" si="331"/>
        <v/>
      </c>
      <c r="NL16" s="504" t="str">
        <f t="shared" si="332"/>
        <v/>
      </c>
      <c r="NM16" s="505" t="str">
        <f>IF(A16=FALSE,"",Cotations!$CO$4)</f>
        <v/>
      </c>
      <c r="NN16" s="520" t="str">
        <f>IF(A16=FALSE,"",Cotations!$CP$4)</f>
        <v/>
      </c>
      <c r="NO16" s="503" t="str">
        <f>IF(A16=FALSE,"",Cotations!$CQ$4)</f>
        <v/>
      </c>
      <c r="NP16" s="505" t="str">
        <f>IF(A16=FALSE,"",IF(NM16="N/A",0,IF(INDEX(LISTES!$F$105:$F$109,MATCH(NM16,LISTES!$C$105:$C$109,0))="FIX",IF(INDEX(LISTES!$E$105:$E$109,MATCH(NM16,LISTES!$C$105:$C$109,0))=12,NN16/12*L16,NN16/365*M16),NO16*NL16)))</f>
        <v/>
      </c>
      <c r="NQ16" s="504" t="str">
        <f t="shared" si="333"/>
        <v/>
      </c>
      <c r="NR16" s="505" t="str">
        <f>IF(A16=FALSE,"",NQ16*Cotations!$CR$4)</f>
        <v/>
      </c>
      <c r="NS16" s="505" t="str">
        <f>IF(A16=FALSE,"",NQ16*Cotations!$CS$4)</f>
        <v/>
      </c>
      <c r="NT16" s="506" t="str">
        <f t="shared" si="334"/>
        <v/>
      </c>
      <c r="NU16" s="919" t="str">
        <f>IF(A16=FALSE,"",((NG16*TAXE)-(NG16*TAXE*NI16))+IF(NM16="N/A",0,IF(INDEX(LISTES!$F$105:$F$109,MATCH(NM16,LISTES!$C$105:$C$109,0))="FIX",NN16,NO16*NL16)))</f>
        <v/>
      </c>
      <c r="OA16" s="492" t="str">
        <f>IF(A16=FALSE,"",Cotations!D16)</f>
        <v/>
      </c>
      <c r="OB16" s="491" t="str">
        <f>IF(A16=FALSE,"",IF(LISTES!$A$17=1,Cotations!CH16,Cotations!CI16))</f>
        <v/>
      </c>
      <c r="OC16" s="285" t="str">
        <f t="shared" si="335"/>
        <v/>
      </c>
      <c r="OD16" s="300"/>
      <c r="OE16" s="461" t="str">
        <f t="shared" si="336"/>
        <v/>
      </c>
      <c r="OF16" s="490" t="str">
        <f>IF(A16=FALSE,"",IF(OA16="POEA",Cotations!CK16,IF(OA16="FIXE",Cotations!CL16,IF(Cotations!CM16*Y16&lt;50000,Z16,Cotations!CM16*Y16))))</f>
        <v/>
      </c>
      <c r="OG16" s="300" t="str">
        <f t="shared" si="337"/>
        <v/>
      </c>
      <c r="OH16" s="522" t="str">
        <f>IF(A16=FALSE,"",IF(Cotations!CJ16="monthly",OG16/12*L16,OG16/365*M16))</f>
        <v/>
      </c>
      <c r="OI16" s="489" t="str">
        <f>IF(A16=FALSE,"",IF(Cotations!CN16="","",Cotations!CN16))</f>
        <v/>
      </c>
      <c r="OJ16" s="300" t="str">
        <f t="shared" si="338"/>
        <v/>
      </c>
      <c r="OK16" s="300" t="str">
        <f t="shared" si="339"/>
        <v/>
      </c>
      <c r="OL16" s="919" t="str">
        <f t="shared" si="340"/>
        <v/>
      </c>
      <c r="OM16" s="517" t="str">
        <f>IF(A16=FALSE,"",Cotations!CO16)</f>
        <v/>
      </c>
      <c r="ON16" s="515" t="str">
        <f>IF(A16=FALSE,"",Cotations!CP16)</f>
        <v/>
      </c>
      <c r="OO16" s="493" t="str">
        <f>IF(A16=FALSE,"",Cotations!CQ16)</f>
        <v/>
      </c>
      <c r="OP16" s="517" t="str">
        <f>IF(A16=FALSE,"",IF(OM16="N/A",0,IF(INDEX(LISTES!$F$105:$F$109,MATCH(OM16,LISTES!$C$105:$C$109,0))="FIX",IF(INDEX(LISTES!$E$105:$E$109,MATCH(OM16,LISTES!$C$105:$C$109,0))=12,ON16/12*L16,ON16/365*M16),OO16*OL16)))</f>
        <v/>
      </c>
      <c r="OQ16" s="294" t="str">
        <f t="shared" si="341"/>
        <v/>
      </c>
      <c r="OR16" s="494" t="str">
        <f>IF(A16=FALSE,"",OQ16*Cotations!CR16)</f>
        <v/>
      </c>
      <c r="OS16" s="494" t="str">
        <f>IF(A16=FALSE,"",OQ16*Cotations!CS16)</f>
        <v/>
      </c>
      <c r="OT16" s="338" t="str">
        <f t="shared" si="342"/>
        <v/>
      </c>
      <c r="OU16" s="919" t="str">
        <f>IF(A16=FALSE,"",((OG16*TAXE)-(OG16*TAXE*OI16))+IF(OM16="N/A",0,IF(INDEX(LISTES!$F$105:$F$109,MATCH(OM16,LISTES!$C$105:$C$109,0))="FIX",ON16,OO16*OL16)))</f>
        <v/>
      </c>
      <c r="PA16" s="497" t="str">
        <f t="shared" si="343"/>
        <v/>
      </c>
      <c r="PB16" s="498" t="str">
        <f>IF(A16=FALSE,"",IF(LISTES!$A$17=1,Cotations!CT16,Cotations!$CU$4))</f>
        <v/>
      </c>
      <c r="PC16" s="499" t="str">
        <f t="shared" si="344"/>
        <v/>
      </c>
      <c r="PD16" s="499" t="str">
        <f t="shared" si="345"/>
        <v/>
      </c>
      <c r="PE16" s="500" t="str">
        <f t="shared" si="346"/>
        <v/>
      </c>
      <c r="PF16" s="501" t="str">
        <f>IF(A16=FALSE,"",Cotations!$CY$4*Y16)</f>
        <v/>
      </c>
      <c r="PG16" s="502" t="str">
        <f t="shared" si="347"/>
        <v/>
      </c>
      <c r="PH16" s="520" t="str">
        <f>IF(A16=FALSE,"",IF(Cotations!$CV$4="monthly",PG16/12*L16,PG16/365*M16))</f>
        <v/>
      </c>
      <c r="PI16" s="503" t="str">
        <f>IF(A16=FALSE,"",Cotations!$CZ$4)</f>
        <v/>
      </c>
      <c r="PJ16" s="502" t="str">
        <f t="shared" si="348"/>
        <v/>
      </c>
      <c r="PK16" s="502" t="str">
        <f t="shared" si="349"/>
        <v/>
      </c>
      <c r="PL16" s="504" t="str">
        <f t="shared" si="350"/>
        <v/>
      </c>
      <c r="PM16" s="505" t="str">
        <f>IF(A16=FALSE,"",Cotations!$DA$4)</f>
        <v/>
      </c>
      <c r="PN16" s="520" t="str">
        <f>IF(A16=FALSE,"",Cotations!$DB$4)</f>
        <v/>
      </c>
      <c r="PO16" s="503" t="str">
        <f>IF(A16=FALSE,"",Cotations!$DC$4)</f>
        <v/>
      </c>
      <c r="PP16" s="505" t="str">
        <f>IF(A16=FALSE,"",IF(PM16="N/A",0,IF(INDEX(LISTES!$F$105:$F$109,MATCH(PM16,LISTES!$C$105:$C$109,0))="FIX",IF(INDEX(LISTES!$E$105:$E$109,MATCH(PM16,LISTES!$C$105:$C$109,0))=12,PN16/12*L16,PN16/365*M16),PO16*PL16)))</f>
        <v/>
      </c>
      <c r="PQ16" s="504" t="str">
        <f t="shared" si="351"/>
        <v/>
      </c>
      <c r="PR16" s="505" t="str">
        <f>IF(A16=FALSE,"",PQ16*Cotations!$DD$4)</f>
        <v/>
      </c>
      <c r="PS16" s="505" t="str">
        <f>IF(A16=FALSE,"",PQ16*Cotations!$DE$4)</f>
        <v/>
      </c>
      <c r="PT16" s="506" t="str">
        <f t="shared" si="352"/>
        <v/>
      </c>
      <c r="PU16" s="919" t="str">
        <f>IF(A16=FALSE,"",((PG16*TAXE)-(PG16*TAXE*PI16))+IF(PM16="N/A",0,IF(INDEX(LISTES!$F$105:$F$109,MATCH(PM16,LISTES!$C$105:$C$109,0))="FIX",PN16,PO16*PL16)))</f>
        <v/>
      </c>
      <c r="QA16" s="492" t="str">
        <f t="shared" si="353"/>
        <v/>
      </c>
      <c r="QB16" s="491" t="str">
        <f>IF(A16=FALSE,"",IF(LISTES!$A$17=1,Cotations!CT16,Cotations!CU16))</f>
        <v/>
      </c>
      <c r="QC16" s="285" t="str">
        <f t="shared" si="354"/>
        <v/>
      </c>
      <c r="QD16" s="300"/>
      <c r="QE16" s="461" t="str">
        <f t="shared" si="355"/>
        <v/>
      </c>
      <c r="QF16" s="490" t="str">
        <f>IF(A16=FALSE,"",Cotations!CY16*AA16)</f>
        <v/>
      </c>
      <c r="QG16" s="300" t="str">
        <f t="shared" si="356"/>
        <v/>
      </c>
      <c r="QH16" s="522" t="str">
        <f>IF(A16=FALSE,"",IF(Cotations!CV16="monthly",QG16/12*L16,QG16/365*M16))</f>
        <v/>
      </c>
      <c r="QI16" s="489" t="str">
        <f>IF(A16=FALSE,"",IF(Cotations!CZ16="","",Cotations!CZ16))</f>
        <v/>
      </c>
      <c r="QJ16" s="300" t="str">
        <f t="shared" si="357"/>
        <v/>
      </c>
      <c r="QK16" s="300" t="str">
        <f t="shared" si="358"/>
        <v/>
      </c>
      <c r="QL16" s="919" t="str">
        <f t="shared" si="359"/>
        <v/>
      </c>
      <c r="QM16" s="517" t="str">
        <f>IF(A16=FALSE,"",Cotations!DA16)</f>
        <v/>
      </c>
      <c r="QN16" s="515" t="str">
        <f>IF(A16=FALSE,"",Cotations!DB16)</f>
        <v/>
      </c>
      <c r="QO16" s="493" t="str">
        <f>IF(A16=FALSE,"",Cotations!DC16)</f>
        <v/>
      </c>
      <c r="QP16" s="517" t="str">
        <f>IF(A16=FALSE,"",IF(QM16="N/A",0,IF(INDEX(LISTES!$F$105:$F$109,MATCH(QM16,LISTES!$C$105:$C$109,0))="FIX",IF(INDEX(LISTES!$E$105:$E$109,MATCH(QM16,LISTES!$C$105:$C$109,0))=12,QN16/12*L16,QN16/365*M16),QO16*QL16)))</f>
        <v/>
      </c>
      <c r="QQ16" s="294" t="str">
        <f t="shared" si="360"/>
        <v/>
      </c>
      <c r="QR16" s="494" t="str">
        <f>IF(A16=FALSE,"",QQ16*Cotations!DD16)</f>
        <v/>
      </c>
      <c r="QS16" s="494" t="str">
        <f>IF(A16=FALSE,"",QQ16*Cotations!DE16)</f>
        <v/>
      </c>
      <c r="QT16" s="338" t="str">
        <f t="shared" si="361"/>
        <v/>
      </c>
      <c r="QU16" s="919" t="str">
        <f>IF(A16=FALSE,"",((QG16*TAXE)-(QG16*TAXE*QI16))+IF(QM16="N/A",0,IF(INDEX(LISTES!$F$105:$F$109,MATCH(QM16,LISTES!$C$105:$C$109,0))="FIX",QN16,QO16*QL16)))</f>
        <v/>
      </c>
      <c r="RA16" s="497" t="str">
        <f t="shared" si="362"/>
        <v/>
      </c>
      <c r="RB16" s="498" t="str">
        <f>IF(A16=FALSE,"",IF(LISTES!$A$17=1,Cotations!DF16,Cotations!$DG$4))</f>
        <v/>
      </c>
      <c r="RC16" s="499" t="str">
        <f t="shared" si="363"/>
        <v/>
      </c>
      <c r="RD16" s="499" t="str">
        <f t="shared" si="364"/>
        <v/>
      </c>
      <c r="RE16" s="500" t="str">
        <f t="shared" si="365"/>
        <v/>
      </c>
      <c r="RF16" s="501" t="str">
        <f>IF(A16=FALSE,"",Cotations!$DK$4*Y16)</f>
        <v/>
      </c>
      <c r="RG16" s="502" t="str">
        <f t="shared" si="366"/>
        <v/>
      </c>
      <c r="RH16" s="520" t="str">
        <f>IF(A16=FALSE,"",IF(Cotations!$DH$4="monthly",RG16/12*L16,RG16/365*M16))</f>
        <v/>
      </c>
      <c r="RI16" s="503" t="str">
        <f>IF(A16=FALSE,"",Cotations!$DL$4)</f>
        <v/>
      </c>
      <c r="RJ16" s="502" t="str">
        <f t="shared" si="367"/>
        <v/>
      </c>
      <c r="RK16" s="502" t="str">
        <f t="shared" si="368"/>
        <v/>
      </c>
      <c r="RL16" s="504" t="str">
        <f t="shared" si="369"/>
        <v/>
      </c>
      <c r="RM16" s="505" t="str">
        <f>IF(A16=FALSE,"",Cotations!$DM$4)</f>
        <v/>
      </c>
      <c r="RN16" s="520" t="str">
        <f>IF(A16=FALSE,"",Cotations!$DN$4)</f>
        <v/>
      </c>
      <c r="RO16" s="503" t="str">
        <f>IF(A16=FALSE,"",Cotations!$DO$4)</f>
        <v/>
      </c>
      <c r="RP16" s="505" t="str">
        <f>IF(A16=FALSE,"",IF(RM16="N/A",0,IF(INDEX(LISTES!$F$105:$F$109,MATCH(RM16,LISTES!$C$105:$C$109,0))="FIX",IF(INDEX(LISTES!$E$105:$E$109,MATCH(RM16,LISTES!$C$105:$C$109,0))=12,RN16/12*L16,RN16/365*M16),RO16*RL16)))</f>
        <v/>
      </c>
      <c r="RQ16" s="504" t="str">
        <f t="shared" si="370"/>
        <v/>
      </c>
      <c r="RR16" s="505" t="str">
        <f>IF(A16=FALSE,"",RQ16*Cotations!$DP$4)</f>
        <v/>
      </c>
      <c r="RS16" s="505" t="str">
        <f>IF(A16=FALSE,"",RQ16*Cotations!$DQ$4)</f>
        <v/>
      </c>
      <c r="RT16" s="506" t="str">
        <f t="shared" si="371"/>
        <v/>
      </c>
      <c r="RU16" s="919" t="str">
        <f>IF(A16=FALSE,"",((RG16*TAXE)-(RG16*TAXE*RI16))+IF(RM16="N/A",0,IF(INDEX(LISTES!$F$105:$F$109,MATCH(RM16,LISTES!$C$105:$C$109,0))="FIX",RN16,RO16*RL16)))</f>
        <v/>
      </c>
      <c r="SA16" s="492" t="str">
        <f t="shared" si="372"/>
        <v/>
      </c>
      <c r="SB16" s="491" t="str">
        <f>IF(A16=FALSE,"",IF(LISTES!$A$17=1,Cotations!DF16,Cotations!DG16))</f>
        <v/>
      </c>
      <c r="SC16" s="285" t="str">
        <f t="shared" si="373"/>
        <v/>
      </c>
      <c r="SD16" s="300"/>
      <c r="SE16" s="461" t="str">
        <f t="shared" si="374"/>
        <v/>
      </c>
      <c r="SF16" s="490" t="str">
        <f>IF(A16=FALSE,"",Cotations!DK16*AA16)</f>
        <v/>
      </c>
      <c r="SG16" s="300" t="str">
        <f t="shared" si="375"/>
        <v/>
      </c>
      <c r="SH16" s="522" t="str">
        <f>IF(A16=FALSE,"",IF(Cotations!DH16="monthly",SG16/12*L16,SG16/365*M16))</f>
        <v/>
      </c>
      <c r="SI16" s="489" t="str">
        <f>IF(A16=FALSE,"",IF(Cotations!DL16="","",Cotations!DL16))</f>
        <v/>
      </c>
      <c r="SJ16" s="300" t="str">
        <f t="shared" si="376"/>
        <v/>
      </c>
      <c r="SK16" s="300" t="str">
        <f t="shared" si="377"/>
        <v/>
      </c>
      <c r="SL16" s="919" t="str">
        <f t="shared" si="378"/>
        <v/>
      </c>
      <c r="SM16" s="285" t="str">
        <f>IF(A16=FALSE,"",Cotations!DM16)</f>
        <v/>
      </c>
      <c r="SN16" s="515" t="str">
        <f>IF(A16=FALSE,"",Cotations!DN16)</f>
        <v/>
      </c>
      <c r="SO16" s="493" t="str">
        <f>IF(A16=FALSE,"",Cotations!DO16)</f>
        <v/>
      </c>
      <c r="SP16" s="517" t="str">
        <f>IF(A16=FALSE,"",IF(SM16="N/A",0,IF(INDEX(LISTES!$F$105:$F$109,MATCH(SM16,LISTES!$C$105:$C$109,0))="FIX",IF(INDEX(LISTES!$E$105:$E$109,MATCH(SM16,LISTES!$C$105:$C$109,0))=12,SN16/12*L16,SN16/365*M16),SO16*SL16)))</f>
        <v/>
      </c>
      <c r="SQ16" s="294" t="str">
        <f t="shared" si="379"/>
        <v/>
      </c>
      <c r="SR16" s="494" t="str">
        <f>IF(A16=FALSE,"",SQ16*Cotations!DP16)</f>
        <v/>
      </c>
      <c r="SS16" s="494" t="str">
        <f>IF(A16=FALSE,"",SQ16*Cotations!DQ16)</f>
        <v/>
      </c>
      <c r="ST16" s="338" t="str">
        <f t="shared" si="380"/>
        <v/>
      </c>
      <c r="SU16" s="919" t="str">
        <f>IF(A16=FALSE,"",((SG16*TAXE)-(SG16*TAXE*SI16))+IF(SM16="N/A",0,IF(INDEX(LISTES!$F$105:$F$109,MATCH(SM16,LISTES!$C$105:$C$109,0))="FIX",SN16,SO16*SL16)))</f>
        <v/>
      </c>
      <c r="SY16" s="716"/>
      <c r="TA16" s="492" t="str">
        <f>IF(A16=FALSE,"",Cotations!D16)</f>
        <v/>
      </c>
      <c r="TB16" s="491" t="str">
        <f>IF(A16=FALSE,"",IF(LISTES!$A$17=1,Cotations!DR16,Cotations!DS16))</f>
        <v/>
      </c>
      <c r="TC16" s="285" t="str">
        <f t="shared" si="381"/>
        <v/>
      </c>
      <c r="TD16" s="300" t="str">
        <f>IF(A16=FALSE,"",Detail!CQ16)</f>
        <v/>
      </c>
      <c r="TE16" s="461" t="str">
        <f t="shared" si="382"/>
        <v/>
      </c>
      <c r="TF16" s="490" t="str">
        <f>IF(A16=FALSE,"",IF(TA16="FIXE",Cotations!DU16,Cotations!DV16*Y16))</f>
        <v/>
      </c>
      <c r="TG16" s="300" t="str">
        <f t="shared" si="383"/>
        <v/>
      </c>
      <c r="TH16" s="522" t="str">
        <f>IF(A16=FALSE,"",IF(Cotations!DT16="monthly",TG16/12*L16,TG16/365*M16))</f>
        <v/>
      </c>
      <c r="TI16" s="489" t="str">
        <f>IF(A16=FALSE,"",IF(Cotations!DW16="","",Cotations!DW16))</f>
        <v/>
      </c>
      <c r="TJ16" s="300" t="str">
        <f t="shared" si="384"/>
        <v/>
      </c>
      <c r="TK16" s="300" t="str">
        <f t="shared" si="385"/>
        <v/>
      </c>
      <c r="TL16" s="919" t="str">
        <f t="shared" si="386"/>
        <v/>
      </c>
      <c r="TM16" s="517" t="str">
        <f>IF(A16=FALSE,"",Cotations!DX16)</f>
        <v/>
      </c>
      <c r="TN16" s="517" t="str">
        <f>IF(A16=FALSE,"",Cotations!DY16)</f>
        <v/>
      </c>
      <c r="TO16" s="493" t="str">
        <f>IF(A16=FALSE,"",Cotations!DZ16)</f>
        <v/>
      </c>
      <c r="TP16" s="517" t="str">
        <f>IF(A16=FALSE,"",IF(TM16="N/A",0,IF(INDEX(LISTES!$F$105:$F$109,MATCH(TM16,LISTES!$C$105:$C$109,0))="FIX",IF(INDEX(LISTES!$E$105:$E$109,MATCH(TM16,LISTES!$C$105:$C$109,0))=12,TN16/12*L16,TN16/365*M16),TO16*TL16)))</f>
        <v/>
      </c>
      <c r="TQ16" s="294" t="str">
        <f t="shared" si="387"/>
        <v/>
      </c>
      <c r="TR16" s="494" t="str">
        <f>IF(A16=FALSE,"",TQ16*Cotations!EA16)</f>
        <v/>
      </c>
      <c r="TS16" s="494" t="str">
        <f>IF(A16=FALSE,"",TQ16*Cotations!EB16)</f>
        <v/>
      </c>
      <c r="TT16" s="338" t="str">
        <f t="shared" si="388"/>
        <v/>
      </c>
      <c r="TU16" s="919" t="str">
        <f>IF(A16=FALSE,"",((TG16*(1+TAXE)-(TG16*(1+TAXE)*TI16))+IF(TM16="N/A",0,IF(INDEX(LISTES!$F$105:$F$109,MATCH(TM16,LISTES!$C$105:$C$109,0))="FIX",TN16,TO16*TL16))))</f>
        <v/>
      </c>
      <c r="UA16" s="492" t="str">
        <f>IF(A16=FALSE,"",Cotations!D16)</f>
        <v/>
      </c>
      <c r="UB16" s="491" t="str">
        <f>IF(A16=FALSE,"",IF(LISTES!$A$17=1,Cotations!EC16,Cotations!ED16))</f>
        <v/>
      </c>
      <c r="UC16" s="285" t="str">
        <f t="shared" si="389"/>
        <v/>
      </c>
      <c r="UD16" s="300" t="str">
        <f>IF(A16=FALSE,"",Detail!CY16)</f>
        <v/>
      </c>
      <c r="UE16" s="461" t="str">
        <f t="shared" si="390"/>
        <v/>
      </c>
      <c r="UF16" s="490" t="str">
        <f>IF(A16=FALSE,"",IF(UA16="FIXE",Cotations!EF16,Cotations!EG16*Y16))</f>
        <v/>
      </c>
      <c r="UG16" s="300" t="str">
        <f t="shared" si="391"/>
        <v/>
      </c>
      <c r="UH16" s="522" t="str">
        <f>IF(A16=FALSE,"",IF(Cotations!EE16="monthly",UG16/12*L16,UG16/365*M16))</f>
        <v/>
      </c>
      <c r="UI16" s="489" t="str">
        <f>IF(A16=FALSE,"",IF(Cotations!EH16="","",Cotations!EH16))</f>
        <v/>
      </c>
      <c r="UJ16" s="300" t="str">
        <f t="shared" si="392"/>
        <v/>
      </c>
      <c r="UK16" s="300" t="str">
        <f t="shared" si="393"/>
        <v/>
      </c>
      <c r="UL16" s="919" t="str">
        <f t="shared" si="394"/>
        <v/>
      </c>
      <c r="UM16" s="517" t="str">
        <f>IF(A16=FALSE,"",Cotations!EI16)</f>
        <v/>
      </c>
      <c r="UN16" s="517" t="str">
        <f>IF(A16=FALSE,"",Cotations!EJ16)</f>
        <v/>
      </c>
      <c r="UO16" s="493" t="str">
        <f>IF(A16=FALSE,"",Cotations!EK16)</f>
        <v/>
      </c>
      <c r="UP16" s="517" t="str">
        <f>IF(A16=FALSE,"",IF(UM16="N/A",0,IF(INDEX(LISTES!$F$105:$F$109,MATCH(UM16,LISTES!$C$105:$C$109,0))="FIX",IF(INDEX(LISTES!$E$105:$E$109,MATCH(UM16,LISTES!$C$105:$C$109,0))=12,UN16/12*L16,UN16/365*M16),UO16*UL16)))</f>
        <v/>
      </c>
      <c r="UQ16" s="294" t="str">
        <f t="shared" si="395"/>
        <v/>
      </c>
      <c r="UR16" s="494" t="str">
        <f>IF(A16=FALSE,"",UQ16*Cotations!EL16)</f>
        <v/>
      </c>
      <c r="US16" s="494" t="str">
        <f>IF(A16=FALSE,"",UQ16*Cotations!EM16)</f>
        <v/>
      </c>
      <c r="UT16" s="338" t="str">
        <f t="shared" si="396"/>
        <v/>
      </c>
      <c r="UU16" s="919" t="str">
        <f>IF(A16=FALSE,"",((UG16*(1+TAXE)-(UG16*(1+TAXE)*UI16))+IF(UM16="N/A",0,IF(INDEX(LISTES!$F$105:$F$109,MATCH(UM16,LISTES!$C$105:$C$109,0))="FIX",UN16,UO16*UL16))))</f>
        <v/>
      </c>
      <c r="VA16" s="492" t="str">
        <f>IF(A16=FALSE,"",Cotations!D16)</f>
        <v/>
      </c>
      <c r="VB16" s="519" t="str">
        <f>IF(A16=FALSE,"",IF(LISTES!$A$17=1,Cotations!EN16,Cotations!EO16))</f>
        <v/>
      </c>
      <c r="VC16" s="291" t="str">
        <f t="shared" si="397"/>
        <v/>
      </c>
      <c r="VD16" s="291" t="str">
        <f t="shared" si="398"/>
        <v/>
      </c>
      <c r="VE16" s="291"/>
      <c r="VF16" s="463"/>
      <c r="VG16" s="463" t="str">
        <f t="shared" si="399"/>
        <v/>
      </c>
      <c r="VH16" s="522" t="str">
        <f>IF(A16=FALSE,"",IF(Cotations!$AQ$4="monthly",VG16/12*L16,VG16/365*M16))</f>
        <v/>
      </c>
      <c r="VI16" s="489" t="str">
        <f>IF(A16=FALSE,"",Cotations!$AR$4)</f>
        <v/>
      </c>
      <c r="VJ16" s="300" t="str">
        <f t="shared" si="400"/>
        <v/>
      </c>
      <c r="VK16" s="300" t="str">
        <f t="shared" si="401"/>
        <v/>
      </c>
      <c r="VL16" s="294" t="str">
        <f t="shared" si="402"/>
        <v/>
      </c>
      <c r="VM16" s="494" t="str">
        <f>IF(A16=FALSE,"",Cotations!$AS$4)</f>
        <v/>
      </c>
      <c r="VN16" s="494" t="str">
        <f>IF(A16=FALSE,"",Cotations!$AT$4)</f>
        <v/>
      </c>
      <c r="VO16" s="489" t="str">
        <f>IF(A16=FALSE,"",Cotations!$AU$4)</f>
        <v/>
      </c>
      <c r="VP16" s="494" t="str">
        <f>IF(A16=FALSE,"",IF(VM16="N/A",0,IF(INDEX(LISTES!$F$105:$F$109,MATCH(VM16,LISTES!$C$105:$C$109,0))="FIX",IF(INDEX(LISTES!$E$105:$E$109,MATCH(VM16,LISTES!$C$105:$C$109,0))=12,VN16/12*L16,VN16/365*M16),VO16*VL16)))</f>
        <v/>
      </c>
      <c r="VQ16" s="294" t="str">
        <f t="shared" si="403"/>
        <v/>
      </c>
      <c r="VR16" s="494" t="str">
        <f>IF(A16=FALSE,"",VQ16*Cotations!$AV$4)</f>
        <v/>
      </c>
      <c r="VS16" s="494" t="str">
        <f>IF(A16=FALSE,"",VQ16*Cotations!$AW$4)</f>
        <v/>
      </c>
      <c r="VT16" s="465" t="str">
        <f t="shared" si="404"/>
        <v/>
      </c>
      <c r="VU16" s="919" t="str">
        <f>IF(A16=FALSE,"",((VG16*TAXE)-(VG16*TAXE*VI16))+IF(VM16="N/A",0,IF(INDEX(LISTES!$F$105:$F$109,MATCH(VM16,LISTES!$C$105:$C$109,0))="FIX",VN16,VO16*VL16)))</f>
        <v/>
      </c>
      <c r="WA16" s="492" t="str">
        <f>IF(A16=FALSE,"",Cotations!D16)</f>
        <v/>
      </c>
      <c r="WB16" s="519" t="str">
        <f>IF(A16=FALSE,"",IF(LISTES!$A$17=1,Cotations!EW16,Cotations!EX16))</f>
        <v/>
      </c>
      <c r="WC16" s="291" t="str">
        <f t="shared" si="405"/>
        <v/>
      </c>
      <c r="WD16" s="291" t="str">
        <f t="shared" si="406"/>
        <v/>
      </c>
      <c r="WE16" s="291"/>
      <c r="WF16" s="463"/>
      <c r="WG16" s="463" t="str">
        <f t="shared" si="407"/>
        <v/>
      </c>
      <c r="WH16" s="522" t="str">
        <f>IF(A16=FALSE,"",IF(Cotations!$AQ$4="monthly",WG16/12*L16,WG16/365*M16))</f>
        <v/>
      </c>
      <c r="WI16" s="489" t="str">
        <f>IF(A16=FALSE,"",Cotations!$AR$4)</f>
        <v/>
      </c>
      <c r="WJ16" s="300" t="str">
        <f t="shared" si="408"/>
        <v/>
      </c>
      <c r="WK16" s="300" t="str">
        <f t="shared" si="409"/>
        <v/>
      </c>
      <c r="WL16" s="294" t="str">
        <f t="shared" si="410"/>
        <v/>
      </c>
      <c r="WM16" s="494" t="str">
        <f>IF(A16=FALSE,"",Cotations!$AS$4)</f>
        <v/>
      </c>
      <c r="WN16" s="494" t="str">
        <f>IF(A16=FALSE,"",Cotations!$AT$4)</f>
        <v/>
      </c>
      <c r="WO16" s="489" t="str">
        <f>IF(A16=FALSE,"",Cotations!$AU$4)</f>
        <v/>
      </c>
      <c r="WP16" s="494" t="str">
        <f>IF(A16=FALSE,"",IF(WM16="N/A",0,IF(INDEX(LISTES!$F$105:$F$109,MATCH(WM16,LISTES!$C$105:$C$109,0))="FIX",IF(INDEX(LISTES!$E$105:$E$109,MATCH(WM16,LISTES!$C$105:$C$109,0))=12,WN16/12*L16,WN16/365*M16),WO16*WL16)))</f>
        <v/>
      </c>
      <c r="WQ16" s="294" t="str">
        <f t="shared" si="411"/>
        <v/>
      </c>
      <c r="WR16" s="494" t="str">
        <f>IF(A16=FALSE,"",WQ16*Cotations!$AV$4)</f>
        <v/>
      </c>
      <c r="WS16" s="494" t="str">
        <f>IF(A16=FALSE,"",WQ16*Cotations!$AW$4)</f>
        <v/>
      </c>
      <c r="WT16" s="465" t="str">
        <f t="shared" si="412"/>
        <v/>
      </c>
      <c r="WU16" s="919" t="str">
        <f>IF(A16=FALSE,"",((WG16*TAXE)-(WG16*TAXE*WI16))+IF(WM16="N/A",0,IF(INDEX(LISTES!$F$105:$F$109,MATCH(WM16,LISTES!$C$105:$C$109,0))="FIX",WN16,WO16*WL16)))</f>
        <v/>
      </c>
    </row>
    <row r="17" spans="1:619" s="296" customFormat="1">
      <c r="A17" s="942" t="b">
        <f t="shared" si="221"/>
        <v>0</v>
      </c>
      <c r="B17" s="942" t="b">
        <f>IF(NAMES!$B$9=TRUE,TRUE,FALSE)</f>
        <v>1</v>
      </c>
      <c r="C17" s="942" t="b">
        <f t="shared" si="413"/>
        <v>0</v>
      </c>
      <c r="D17" s="942" t="b">
        <f t="shared" si="414"/>
        <v>1</v>
      </c>
      <c r="E17" s="274" t="b">
        <f>IF(Cotations!C17="","",Cotations!C17)</f>
        <v>0</v>
      </c>
      <c r="F17" s="274" t="str">
        <f>IF(Cotations!D17="","",Cotations!D17)</f>
        <v>PROP</v>
      </c>
      <c r="G17" s="274" t="str">
        <f>IF(Cotations!E17="","",Cotations!E17)</f>
        <v>2015-2016!</v>
      </c>
      <c r="H17" s="274" t="str">
        <f>IF(Cotations!F17="","",Cotations!F17)</f>
        <v>SINGLE</v>
      </c>
      <c r="I17" s="274" t="str">
        <f>IF(Cotations!G17="","",Cotations!G17)</f>
        <v/>
      </c>
      <c r="J17" s="274" t="str">
        <f>IF(Cotations!H17="","",Cotations!H17)</f>
        <v/>
      </c>
      <c r="K17" s="274" t="str">
        <f>IF(Cotations!I17="","",Cotations!I17)</f>
        <v/>
      </c>
      <c r="L17" s="274" t="str">
        <f>IF(A17=FALSE,"",IF(Cotations!N17="","",Cotations!N17))</f>
        <v/>
      </c>
      <c r="M17" s="274" t="str">
        <f>IF(Cotations!P17="","",Cotations!P17)</f>
        <v/>
      </c>
      <c r="N17" s="724">
        <f>IF(NAMES!$B$10=TRUE,Cotations!J17,Cotations!L17)</f>
        <v>42496</v>
      </c>
      <c r="O17" s="724">
        <f>IF(NAMES!$B$10=TRUE,Cotations!K17,Cotations!M17)</f>
        <v>42561</v>
      </c>
      <c r="P17" s="943" t="str">
        <f t="shared" si="415"/>
        <v>mai</v>
      </c>
      <c r="Q17" s="724" t="str">
        <f>IF(A17=FALSE,"",IF(Crewlist!Y17="","",Crewlist!Y17))</f>
        <v/>
      </c>
      <c r="R17" s="78" t="str">
        <f>IF(Cotations!U17="","",Cotations!U17)</f>
        <v/>
      </c>
      <c r="S17" s="943" t="str">
        <f t="shared" si="416"/>
        <v/>
      </c>
      <c r="T17" s="919" t="str">
        <f>IF(A17=FALSE,"",VLOOKUP($U$15:$U$120,Currency!$A$2:$D$10,4,0)*Crewlist!N17)</f>
        <v/>
      </c>
      <c r="U17" s="1355" t="str">
        <f>IF(A17=FALSE,"",IF(IT17=0,Crewlist!M17&amp;"/"&amp;EX17,Crewlist!M17&amp;"/"&amp;IT17))</f>
        <v/>
      </c>
      <c r="V17" s="919" t="str">
        <f>IF(A17=FALSE,"",VLOOKUP($U$15:$U$120,Currency!$A$2:$D$10,4,0)*Detail!Q17)</f>
        <v/>
      </c>
      <c r="W17" s="1355" t="str">
        <f>IF(A17=FALSE,"",IF(IT17=0,Detail!R17&amp;"/"&amp;EX17,Detail!R17&amp;"/"&amp;IT17))</f>
        <v/>
      </c>
      <c r="X17" s="919" t="str">
        <f>IF(A17=FALSE,"",IF(LISTES!$C$17="Crewlist",Calcul!T17,Calcul!V17))</f>
        <v/>
      </c>
      <c r="Y17" s="758" t="str">
        <f t="shared" si="417"/>
        <v/>
      </c>
      <c r="Z17" s="758" t="str">
        <f>IF(A17=FALSE,"",IF(X17=0,0,IF((Cotations!BC17*12*X17)&lt;50000,50000,(12*X17))))</f>
        <v/>
      </c>
      <c r="AA17" s="758" t="str">
        <f t="shared" si="418"/>
        <v/>
      </c>
      <c r="AB17" s="758" t="str">
        <f>IF(A17=FALSE,"",IF(Crewlist!O17=0,"",Crewlist!O17))</f>
        <v/>
      </c>
      <c r="AC17" s="758" t="str">
        <f>IF(I17="","",VLOOKUP($AB$15:$AB$120,Currency!$A$15:$B$34,2,0))</f>
        <v/>
      </c>
      <c r="AD17" s="758" t="str">
        <f t="shared" si="419"/>
        <v/>
      </c>
      <c r="AE17" s="758" t="str">
        <f t="shared" si="420"/>
        <v/>
      </c>
      <c r="AF17" s="758" t="str">
        <f t="shared" si="421"/>
        <v/>
      </c>
      <c r="AG17" s="758" t="str">
        <f t="shared" si="422"/>
        <v/>
      </c>
      <c r="AH17" s="1355" t="str">
        <f t="shared" si="222"/>
        <v/>
      </c>
      <c r="AI17" s="919" t="str">
        <f t="shared" si="423"/>
        <v/>
      </c>
      <c r="AJ17" s="1382" t="str">
        <f t="shared" si="424"/>
        <v/>
      </c>
      <c r="AK17" s="1382" t="str">
        <f t="shared" si="425"/>
        <v/>
      </c>
      <c r="AL17" s="238" t="str">
        <f t="shared" si="223"/>
        <v/>
      </c>
      <c r="AM17" s="238" t="str">
        <f t="shared" si="224"/>
        <v/>
      </c>
      <c r="AN17" s="1374" t="str">
        <f t="shared" si="225"/>
        <v/>
      </c>
      <c r="AO17" s="238" t="str">
        <f t="shared" si="226"/>
        <v/>
      </c>
      <c r="AP17" s="342" t="str">
        <f>IF(A17=FALSE,"",INDEX(Rates!$Z$5:$Z$367,MATCH(EB17,colchoice,0)))</f>
        <v/>
      </c>
      <c r="AQ17" s="238" t="str">
        <f t="shared" si="227"/>
        <v/>
      </c>
      <c r="AR17" s="238" t="str">
        <f t="shared" si="426"/>
        <v/>
      </c>
      <c r="AS17" s="238" t="str">
        <f t="shared" si="427"/>
        <v/>
      </c>
      <c r="AT17" s="238" t="str">
        <f t="shared" si="428"/>
        <v/>
      </c>
      <c r="AU17" s="238" t="str">
        <f t="shared" si="228"/>
        <v/>
      </c>
      <c r="AV17" s="238" t="str">
        <f t="shared" si="429"/>
        <v/>
      </c>
      <c r="AW17" s="238" t="str">
        <f t="shared" si="229"/>
        <v/>
      </c>
      <c r="AX17" s="238" t="str">
        <f t="shared" si="230"/>
        <v/>
      </c>
      <c r="AY17" s="238" t="str">
        <f t="shared" si="231"/>
        <v/>
      </c>
      <c r="AZ17" s="238" t="str">
        <f t="shared" si="232"/>
        <v/>
      </c>
      <c r="BA17" s="238" t="str">
        <f t="shared" si="233"/>
        <v/>
      </c>
      <c r="BB17" s="552" t="str">
        <f t="shared" si="234"/>
        <v/>
      </c>
      <c r="BC17" s="347" t="str">
        <f t="shared" si="235"/>
        <v/>
      </c>
      <c r="BD17" s="239" t="str">
        <f t="shared" si="430"/>
        <v/>
      </c>
      <c r="BE17" s="239" t="str">
        <f>IF(A17=FALSE,"",IF(ALLTHESAME=TRUE,IF(DF17&lt;&gt;$BC$7,0,INDEX(DD17:DZ17,1,MATCH(Structure!$D$12,$DD$14:$DZ$14,0))),IF(EC17&lt;&gt;$BC$7,0,INDEX(EA17:EZ17,1,MATCH(Structure!$D$12,$EA$14:$EZ$14,0)))))</f>
        <v/>
      </c>
      <c r="BF17" s="239" t="str">
        <f>IF(A17=FALSE,"",IF(ALLTHESAME=TRUE,IF(FC17&lt;&gt;$BC$7,0,INDEX(FA17:FZ17,1,MATCH(Structure!$D$12,$FA$14:$FZ$14,0))),IF(GC17&lt;&gt;$BC$7,0,INDEX(GA17:GZ17,1,MATCH(Structure!$D$12,$GA$14:$GZ$14,0)))))</f>
        <v/>
      </c>
      <c r="BG17" s="239" t="str">
        <f>IF(A17=FALSE,"",IF(ALLTHESAME=TRUE,IF(VC17&lt;&gt;$BC$7,0,INDEX(VA17:VZ17,1,MATCH(Structure!$D$12,$VA$14:$VZ$14,0))),IF(VC17&lt;&gt;$BC$7,0,INDEX(VA17:VZ17,1,MATCH(Structure!$D$12,$VA$14:$VZ$14,0)))))</f>
        <v/>
      </c>
      <c r="BH17" s="239" t="str">
        <f>IF(A17=FALSE,"",IF(ALLTHESAME=TRUE,IF(WC17&lt;&gt;$BC$7,0,INDEX(WA17:WY17,1,MATCH(Structure!$D$12,$WA$14:$WZ$14,0))),IF(WC17&lt;&gt;$BC$7,0,INDEX(WA17:WZ17,1,MATCH(Structure!$D$12,$WA$14:$WZ$14,0)))))</f>
        <v/>
      </c>
      <c r="BI17" s="763" t="str">
        <f>IF(A17=FALSE,"",IF(ALLTHESAME=TRUE,IF(HC17&lt;&gt;$BC$7,0,INDEX(HA17:HZ17,1,MATCH(Structure!$D$12,$HA$14:$HZ$14,0)))+TK17,IF(IC17&lt;&gt;$BC$7,0,INDEX(IA17:IZ17,1,MATCH(Structure!$D$12,$IA$14:$IZ$14,0)))+TK17))</f>
        <v/>
      </c>
      <c r="BJ17" s="239" t="str">
        <f>IF(A17=FALSE,"",IF(ALLTHESAME=TRUE,IF(JC17&lt;&gt;$BC$7,0,INDEX(JA17:JZ17,1,MATCH(Structure!$D$12,$JA$14:$JZ$14,0))),IF(KC17&lt;&gt;$BC$7,0,INDEX(KA17:KZ17,1,MATCH(Structure!$D$12,$KA$14:$KZ$14,0)))))</f>
        <v/>
      </c>
      <c r="BK17" s="763" t="str">
        <f>IF(A17=FALSE,"",IF(ALLTHESAME=TRUE,IF(LC17&lt;&gt;$BC$7,0,INDEX(LA17:LZ17,1,MATCH(Structure!$D$12,$LA$14:$LZ$14,0)))+UK17,IF(MC17&lt;&gt;$BC$7,0,INDEX(MA17:MZ17,1,MATCH(Structure!$D$12,$MA$14:$MZ$14,0)))+UK17))</f>
        <v/>
      </c>
      <c r="BL17" s="239" t="str">
        <f>IF(A17=FALSE,"",IF(ALLTHESAME=TRUE,IF(NC17&lt;&gt;$BC$7,0,INDEX(NA17:NZ17,1,MATCH(Structure!$D$12,$NA$14:$NZ$14,0))),IF(OC17&lt;&gt;$BC$7,0,INDEX(OA17:OZ17,1,MATCH(Structure!$D$12,$OA$14:$OZ$14,0)))))</f>
        <v/>
      </c>
      <c r="BM17" s="239" t="str">
        <f>IF(A17=FALSE,"",IF(ALLTHESAME=TRUE,IF(PC17&lt;&gt;$BC$7,0,INDEX(PA17:PZ17,1,MATCH(Structure!$D$12,$PA$14:$PZ$14,0))),IF(QC17&lt;&gt;$BC$7,0,INDEX(QA17:QZ17,1,MATCH(Structure!$D$12,$QA$14:$QZ$14,0)))))</f>
        <v/>
      </c>
      <c r="BN17" s="341" t="str">
        <f>IF(A17=FALSE,"",IF(ALLTHESAME=TRUE,IF(RC17&lt;&gt;$BC$7,0,INDEX(RA17:RZ17,1,MATCH(Structure!$D$12,$RA$14:$RZ$14,0))),IF(SC17&lt;&gt;$BC$7,0,INDEX(SA17:TA17,1,MATCH(Structure!$D$12,$SA$14:$TA$14,0)))))</f>
        <v/>
      </c>
      <c r="BO17" s="507" t="str">
        <f t="shared" si="236"/>
        <v/>
      </c>
      <c r="BP17" s="239" t="str">
        <f t="shared" si="237"/>
        <v/>
      </c>
      <c r="BQ17" s="239" t="str">
        <f>IF(A17=FALSE,"",IF(ALLTHESAME=TRUE,IF(DF17&lt;&gt;$BO$7,0,INDEX(DD17:DZ17,1,MATCH(Structure!$D$12,$DD$14:$DZ$14,0))),IF(EC17&lt;&gt;$BO$7,0,INDEX(EA17:EZ17,1,MATCH(Structure!$D$12,$EA$14:$EZ$14,0)))))</f>
        <v/>
      </c>
      <c r="BR17" s="239" t="str">
        <f>IF(A17=FALSE,"",IF(ALLTHESAME=TRUE,IF(FC17&lt;&gt;$BO$7,0,INDEX(FA17:FZ17,1,MATCH(Structure!$D$12,$FA$14:$FZ$14,0))),IF(GC17&lt;&gt;$BO$7,0,INDEX(GA17:GZ17,1,MATCH(Structure!$D$12,$GA$14:$GZ$14,0)))))</f>
        <v/>
      </c>
      <c r="BS17" s="239" t="str">
        <f>IF(A17=FALSE,"",IF(ALLTHESAME=TRUE,IF(HC17&lt;&gt;$BO$7,0,INDEX(HA17:HZ17,1,MATCH(Structure!$D$12,$HA$14:$HZ$14,0))),IF(IC17&lt;&gt;$BO$7,0,INDEX(IA17:IZ17,1,MATCH(Structure!$D$12,$IA$14:$IZ$14,0)))))</f>
        <v/>
      </c>
      <c r="BT17" s="239" t="str">
        <f>IF(A17=FALSE,"",IF(ALLTHESAME=TRUE,IF(JC17&lt;&gt;$BO$7,0,INDEX(JA17:JZ17,1,MATCH(Structure!$D$12,$JA$14:$JZ$14,0))),IF(KC17&lt;&gt;$BO$7,0,INDEX(KA17:KZ17,1,MATCH(Structure!$D$12,$KA$14:$KZ$14,0)))))</f>
        <v/>
      </c>
      <c r="BU17" s="239" t="str">
        <f>IF(A17=FALSE,"",IF(ALLTHESAME=TRUE,IF(LC17&lt;&gt;$BO$7,0,INDEX(LA17:LZ17,1,MATCH(Structure!$D$12,$LA$14:$LZ$14,0))),IF(MC17&lt;&gt;$BO$7,0,INDEX(MA17:MZ17,1,MATCH(Structure!$D$12,$MA$14:$MZ$14,0)))))</f>
        <v/>
      </c>
      <c r="BV17" s="239" t="str">
        <f>IF(A17=FALSE,"",IF(ALLTHESAME=TRUE,IF(NC17&lt;&gt;$BO$7,0,INDEX(NA17:NZ17,1,MATCH(Structure!$D$12,$NA$14:$NZ$14,0))),IF(OC17&lt;&gt;$BO$7,0,INDEX(OA17:OZ17,1,MATCH(Structure!$D$12,$OA$14:$OZ$14,0)))))</f>
        <v/>
      </c>
      <c r="BW17" s="239" t="str">
        <f>IF(A17=FALSE,"",IF(ALLTHESAME=TRUE,IF(PC17&lt;&gt;$BO$7,0,INDEX(PA17:PZ17,1,MATCH(Structure!$D$12,$PA$14:$PZ$14,0))),IF(QC17&lt;&gt;$BO$7,0,INDEX(QA17:QZ17,1,MATCH(Structure!$D$12,$QA$14:$QZ$14,0)))))</f>
        <v/>
      </c>
      <c r="BX17" s="341" t="str">
        <f>IF(A17=FALSE,"",IF(ALLTHESAME=TRUE,IF(RC17&lt;&gt;$BO$7,0,INDEX(RA17:RZ17,1,MATCH(Structure!$D$12,$RA$14:$RZ$14,0))),IF(SC17&lt;&gt;$BO$7,0,INDEX(SA17:TA17,1,MATCH(Structure!$D$12,$SA$14:$TA$14,0)))))</f>
        <v/>
      </c>
      <c r="BY17" s="347" t="str">
        <f t="shared" si="238"/>
        <v/>
      </c>
      <c r="BZ17" s="507" t="str">
        <f t="shared" si="239"/>
        <v/>
      </c>
      <c r="CA17" s="239" t="str">
        <f t="shared" si="240"/>
        <v/>
      </c>
      <c r="CB17" s="239" t="str">
        <f>IF(A17=FALSE,"",IF(ALLTHESAME=TRUE,INDEX(DD17:DZ17,MATCH(DF17,DF17:DF122,0),MATCH(Structure!$D$17,$DD$14:$DZ$14,0)),INDEX(EA17:EZ17,MATCH(EC17,EC17:EC122,0),MATCH(Structure!$D$17,$EA$14:$EZ$14,0))))</f>
        <v/>
      </c>
      <c r="CC17" s="239" t="str">
        <f>IF(A17=FALSE,"",IF(ALLTHESAME=TRUE,INDEX(FA17:FZ17,MATCH(FC17,FC17:FC122,0),MATCH(Structure!$D$17,$FA$14:$FZ$14,0)),INDEX(GA17:GZ17,MATCH(GC17,GC17:GC122,0),MATCH(Structure!$D$17,$GA$14:$GZ$14,0))))</f>
        <v/>
      </c>
      <c r="CD17" s="239" t="str">
        <f>IF(A17=FALSE,"",IF(ALLTHESAME=TRUE,INDEX(HA17:HZ17,MATCH(HC17,HC17:HC122,0),MATCH(Structure!$D$17,$HA$14:$HZ$14,0)),INDEX(IA17:IZ17,MATCH(IC17,IC17:IC122,0),MATCH(Structure!$D$17,$IA$14:$IZ$14,0))))</f>
        <v/>
      </c>
      <c r="CE17" s="239" t="str">
        <f>IF(A17=FALSE,"",IF(ALLTHESAME=TRUE,INDEX(JA17:JZ17,MATCH(JC17,JC17:JC122,0),MATCH(Structure!$D$17,$JA$14:$JZ$14,0)),INDEX(KA17:KZ17,MATCH(KC17,KC17:KC122,0),MATCH(Structure!$D$17,$KA$14:$KZ$14,0))))</f>
        <v/>
      </c>
      <c r="CF17" s="239" t="str">
        <f>IF(A17=FALSE,"",IF(ALLTHESAME=TRUE,INDEX(LA17:LZ17,MATCH(LC17,LC17:LC122,0),MATCH(Structure!$D$17,$LA$14:$LZ$14,0)),INDEX(MA17:MZ17,MATCH(MC17,MC17:MC122,0),MATCH(Structure!$D$17,$MA$14:$MZ$14,0))))</f>
        <v/>
      </c>
      <c r="CG17" s="239" t="str">
        <f>IF(A17=FALSE,"",IF(ALLTHESAME=TRUE,INDEX(NA17:NZ17,MATCH(NC17,NC17:NC122,0),MATCH(Structure!$D$17,$NA$14:$NZ$14,0)),INDEX(OA17:OZ17,MATCH(OC17,OC17:OC122,0),MATCH(Structure!$D$17,$OA$14:$OZ$14,0))))</f>
        <v/>
      </c>
      <c r="CH17" s="239" t="str">
        <f>IF(A17=FALSE,"",IF(ALLTHESAME=TRUE,INDEX(PA17:PZ17,MATCH(PC17,PC17:PC122,0),MATCH(Structure!$D$17,$PA$14:$PZ$14,0)),INDEX(QA17:QZ17,MATCH(QC17,QC17:QC122,0),MATCH(Structure!$D$17,$QA$14:$QZ$14,0))))</f>
        <v/>
      </c>
      <c r="CI17" s="341" t="str">
        <f>IF(A17=FALSE,"",IF(ALLTHESAME=TRUE,INDEX(RA17:RZ17,MATCH(RC17,RC17:RC122,0),MATCH(Structure!$D$17,$RA$14:$RZ$14,0)),INDEX(SA17:TC17,MATCH(SC17,SC17:SC122,0),MATCH(Structure!$D$17,$SA$14:$TC$14,0))))</f>
        <v/>
      </c>
      <c r="CJ17" s="347"/>
      <c r="CK17" s="239" t="str">
        <f t="shared" si="241"/>
        <v/>
      </c>
      <c r="CL17" s="239" t="str">
        <f>IF(A17=FALSE,"",IF(ALLTHESAME=TRUE,INDEX(DD17:DZ17,MATCH(DF17,DF17:DF122,0),MATCH(Structure!$D$22,$DD$14:$DZ$14,0)),INDEX(EA17:EZ17,MATCH(EC17,EC17:EC122,0),MATCH(Structure!$D$22,$EA$14:$EZ$14,0))))</f>
        <v/>
      </c>
      <c r="CM17" s="239" t="str">
        <f>IF(A17=FALSE,"",IF(ALLTHESAME=TRUE,INDEX(FA17:FZ17,MATCH(FC17,FC17:FC122,0),MATCH(Structure!$D$22,$FA$14:$FZ$14,0)),INDEX(GA17:GZ17,MATCH(GC17,GC17:GC122,0),MATCH(Structure!$D$22,$GA$14:$GZ$14,0))))</f>
        <v/>
      </c>
      <c r="CN17" s="239" t="str">
        <f>IF(A17=FALSE,"",IF(ALLTHESAME=TRUE,INDEX(HA17:HZ17,MATCH(HC17,HC17:HC122,0),MATCH(Structure!$D$22,$HA$14:$HZ$14,0)),INDEX(IA17:IZ17,MATCH(IC17,IC17:IC122,0),MATCH(Structure!$D$22,$IA$14:$IZ$14,0))))</f>
        <v/>
      </c>
      <c r="CO17" s="239" t="str">
        <f>IF(A17=FALSE,"",IF(ALLTHESAME=TRUE,INDEX(JA17:JZ17,MATCH(JC17,JC17:JC122,0),MATCH(Structure!$D$22,$JA$14:$JZ$14,0)),INDEX(KA17:KZ17,MATCH(KC17,KC17:KC122,0),MATCH(Structure!$D$22,$KA$14:$KZ$14,0))))</f>
        <v/>
      </c>
      <c r="CP17" s="239" t="str">
        <f>IF(A17=FALSE,"",IF(ALLTHESAME=TRUE,INDEX(LA17:LZ17,MATCH(LC17,LC17:LC122,0),MATCH(Structure!$D$22,$LA$14:$LZ$14,0)),INDEX(MA17:MZ17,MATCH(MC17,MC17:MC122,0),MATCH(Structure!$D$22,$MA$14:$MZ$14,0))))</f>
        <v/>
      </c>
      <c r="CQ17" s="239" t="str">
        <f>IF(A17=FALSE,"",IF(ALLTHESAME=TRUE,INDEX(NA17:NZ17,MATCH(NC17,NC17:NC122,0),MATCH(Structure!$D$22,$NA$14:$NZ$14,0)),INDEX(OA17:OZ17,MATCH(OC17,OC17:OC122,0),MATCH(Structure!$D$22,$OA$14:$OZ$14,0))))</f>
        <v/>
      </c>
      <c r="CR17" s="239" t="str">
        <f>IF(A17=FALSE,"",IF(ALLTHESAME=TRUE,INDEX(PA17:PZ17,MATCH(PC17,PC17:PC122,0),MATCH(Structure!$D$22,$PA$14:$PZ$14,0)),INDEX(QA17:QZ17,MATCH(QC17,QC17:QC122,0),MATCH(Structure!$D$22,$QA$14:$QZ$14,0))))</f>
        <v/>
      </c>
      <c r="CS17" s="341" t="str">
        <f>IF(A17=FALSE,"",IF(ALLTHESAME=TRUE,INDEX(RA17:RZ17,MATCH(RC17,RC17:RC122,0),MATCH(Structure!$D$22,$RA$14:$RZ$14,0)),INDEX(SA17:TC17,MATCH(SC17,SC17:SC122,0),MATCH(Structure!$D$22,$SA$14:$TC$14,0))))</f>
        <v/>
      </c>
      <c r="CT17" s="347"/>
      <c r="CU17" s="239" t="str">
        <f t="shared" si="242"/>
        <v/>
      </c>
      <c r="CV17" s="239" t="str">
        <f>IF(A17=FALSE,"",IF(ALLTHESAME=TRUE,INDEX(DD17:DZ17,MATCH(DF17,DF17:DF122,0),MATCH(Structure!$D$8,$DD$14:$DZ$14,0)),INDEX(EA17:EZ17,MATCH(EC17,EC17:EC122,0),MATCH(Structure!$D$8,$EA$14:$EZ$14,0))))</f>
        <v/>
      </c>
      <c r="CW17" s="239" t="str">
        <f>IF(A17=FALSE,"",IF(ALLTHESAME=TRUE,INDEX(FA17:FZ17,MATCH(FC17,FC17:FC122,0),MATCH(Structure!$D$8,$FA$14:$FZ$14,0)),INDEX(GA17:GZ17,MATCH(GC17,GC17:GC122,0),MATCH(Structure!$D$8,$GA$14:$GZ$14,0))))</f>
        <v/>
      </c>
      <c r="CX17" s="239" t="str">
        <f>IF(A17=FALSE,"",IF(ALLTHESAME=TRUE,INDEX(HA17:HZ17,MATCH(HC17,HC17:HC122,0),MATCH(Structure!$D$8,$HA$14:$HZ$14,0)),INDEX(IA17:IZ17,MATCH(IC17,IC17:IC122,0),MATCH(Structure!$D$8,$IA$14:$IZ$14,0))))</f>
        <v/>
      </c>
      <c r="CY17" s="239" t="str">
        <f>IF(A17=FALSE,"",IF(ALLTHESAME=TRUE,INDEX(JA17:JZ17,MATCH(JC17,JC17:JC122,0),MATCH(Structure!$D$8,$JA$14:$JZ$14,0)),INDEX(KA17:KZ17,MATCH(KC17,KC17:KC122,0),MATCH(Structure!$D$8,$KA$14:$KZ$14,0))))</f>
        <v/>
      </c>
      <c r="CZ17" s="239" t="str">
        <f>IF(A17=FALSE,"",IF(ALLTHESAME=TRUE,INDEX(LA17:LZ17,MATCH(LC17,LC17:LC122,0),MATCH(Structure!$D$8,$LA$14:$LZ$14,0)),INDEX(MA17:MZ17,MATCH(MC17,MC17:MC122,0),MATCH(Structure!$D$8,$MA$14:$MZ$14,0))))</f>
        <v/>
      </c>
      <c r="DA17" s="239" t="str">
        <f>IF(A17=FALSE,"",IF(ALLTHESAME=TRUE,INDEX(NA17:NZ17,MATCH(NC17,NC17:NC122,0),MATCH(Structure!$D$8,$NA$14:$NZ$14,0)),INDEX(OA17:OZ17,MATCH(OC17,OC17:OC122,0),MATCH(Structure!$D$8,$OA$14:$OZ$14,0))))</f>
        <v/>
      </c>
      <c r="DB17" s="239" t="str">
        <f>IF(A17=FALSE,"",IF(ALLTHESAME=TRUE,INDEX(PA17:PZ17,MATCH(PC17,PC17:PC122,0),MATCH(Structure!$D$8,$PA$14:$PZ$14,0)),INDEX(QA17:QZ17,MATCH(QC17,QC17:QC122,0),MATCH(Structure!$D$8,$QA$14:$QZ$14,0))))</f>
        <v/>
      </c>
      <c r="DC17" s="341" t="str">
        <f>IF(A17=FALSE,"",IF(ALLTHESAME=TRUE,INDEX(RA17:RZ17,MATCH(RC17,RC17:RC122,0),MATCH(Structure!$D$8,$RA$14:$RZ$14,0)),INDEX(SA17:TC17,MATCH(SC17,SC17:SC122,0),MATCH(Structure!$D$8,$SA$14:$TC$14,0))))</f>
        <v/>
      </c>
      <c r="DD17" s="492" t="str">
        <f>IF(A17=FALSE,"",Cotations!D17)</f>
        <v/>
      </c>
      <c r="DE17" s="492" t="str">
        <f>IF(A17=FALSE,"",IF(LISTES!$A$17=1,Cotations!AF17,Cotations!$AG$4))</f>
        <v/>
      </c>
      <c r="DF17" s="291" t="str">
        <f t="shared" si="431"/>
        <v/>
      </c>
      <c r="DG17" s="291" t="str">
        <f t="shared" si="243"/>
        <v/>
      </c>
      <c r="DH17" s="291"/>
      <c r="DI17" s="463"/>
      <c r="DJ17" s="463" t="str">
        <f t="shared" si="244"/>
        <v/>
      </c>
      <c r="DK17" s="522" t="str">
        <f>IF(A17=FALSE,"",IF(Cotations!$AH$4="monthly",DJ17/12*L17,DJ17/365*M17))</f>
        <v/>
      </c>
      <c r="DL17" s="489" t="str">
        <f>IF(A17=FALSE,"",Cotations!$AI$4)</f>
        <v/>
      </c>
      <c r="DM17" s="300" t="str">
        <f t="shared" si="245"/>
        <v/>
      </c>
      <c r="DN17" s="300" t="str">
        <f t="shared" si="246"/>
        <v/>
      </c>
      <c r="DO17" s="294" t="str">
        <f t="shared" si="247"/>
        <v/>
      </c>
      <c r="DP17" s="494" t="str">
        <f>IF(A17=FALSE,"",Cotations!$AJ$4)</f>
        <v/>
      </c>
      <c r="DQ17" s="494" t="str">
        <f>IF(A17=FALSE,"",Cotations!$AK$4)</f>
        <v/>
      </c>
      <c r="DR17" s="489" t="str">
        <f>IF(A17=FALSE,"",Cotations!$AL$4)</f>
        <v/>
      </c>
      <c r="DS17" s="494" t="str">
        <f>IF(A17=FALSE,"",IF(DP17="N/A",0,IF(INDEX(LISTES!$F$105:$F$109,MATCH(DP17,LISTES!$C$105:$C$109,0))="FIX",IF(INDEX(LISTES!$E$105:$E$109,MATCH(DP17,LISTES!$C$105:$C$109,0))=12,DQ17/12*L17,DQ17/365*M17),DR17*DO17)))</f>
        <v/>
      </c>
      <c r="DT17" s="294" t="str">
        <f t="shared" si="248"/>
        <v/>
      </c>
      <c r="DU17" s="294" t="str">
        <f>IF(A17=FALSE,"",DT17*Cotations!$AM$4)</f>
        <v/>
      </c>
      <c r="DV17" s="294" t="str">
        <f>IF(A17=FALSE,"",DT17*Cotations!$AN$4)</f>
        <v/>
      </c>
      <c r="DW17" s="465" t="str">
        <f t="shared" si="249"/>
        <v/>
      </c>
      <c r="DX17" s="919" t="str">
        <f>IF(A17=FALSE,"",((DJ17*TAXE)-(DJ17*TAXE*DL17))+IF(DP17="N/A",0,IF(INDEX(LISTES!$F$105:$F$109,MATCH(DP17,LISTES!$C$105:$C$109,0))="FIX",DQ17,DR17*DO17)))</f>
        <v/>
      </c>
      <c r="DY17" s="466"/>
      <c r="DZ17" s="466"/>
      <c r="EA17" s="492" t="str">
        <f>IF(A17=FALSE,"",Cotations!D17)</f>
        <v/>
      </c>
      <c r="EB17" s="494" t="str">
        <f>IF(A17=FALSE,"",IF(LISTES!$A$17=1,Cotations!AF17,Cotations!AG17))</f>
        <v/>
      </c>
      <c r="EC17" s="284" t="str">
        <f t="shared" si="250"/>
        <v/>
      </c>
      <c r="ED17" s="284" t="str">
        <f t="shared" si="251"/>
        <v/>
      </c>
      <c r="EE17" s="284"/>
      <c r="EF17" s="284"/>
      <c r="EG17" s="284" t="str">
        <f t="shared" si="252"/>
        <v/>
      </c>
      <c r="EH17" s="1365" t="str">
        <f t="shared" si="253"/>
        <v/>
      </c>
      <c r="EI17" s="1365" t="str">
        <f t="shared" si="254"/>
        <v/>
      </c>
      <c r="EJ17" s="515" t="str">
        <f>IF(A17=FALSE,"",IF(Cotations!AH17="monthly",EG17/12*L17,EG17/365*M17))</f>
        <v/>
      </c>
      <c r="EK17" s="1364" t="str">
        <f>IF(A17=FALSE,"",IF(Cotations!AH17="monthly",EI17/12*L17,EI17/365*M17))</f>
        <v/>
      </c>
      <c r="EL17" s="493" t="str">
        <f>IF(A17=FALSE,"",IF(Cotations!AI17="","",Cotations!AI17))</f>
        <v/>
      </c>
      <c r="EM17" s="284" t="str">
        <f t="shared" si="255"/>
        <v/>
      </c>
      <c r="EN17" s="284" t="str">
        <f t="shared" si="256"/>
        <v/>
      </c>
      <c r="EO17" s="1365" t="str">
        <f t="shared" si="432"/>
        <v/>
      </c>
      <c r="EP17" s="284" t="str">
        <f t="shared" si="257"/>
        <v/>
      </c>
      <c r="EQ17" s="515" t="str">
        <f>IF(A17=FALSE,"",Cotations!AJ17)</f>
        <v/>
      </c>
      <c r="ER17" s="515" t="str">
        <f>IF(A17=FALSE,"",IF(Cotations!AK17="","",Cotations!AK17))</f>
        <v/>
      </c>
      <c r="ES17" s="493" t="str">
        <f>IF(A17=FALSE,"",Cotations!AL17)</f>
        <v/>
      </c>
      <c r="ET17" s="515" t="str">
        <f>IF(A17=FALSE,"",IF(EQ17="N/A",0,IF(INDEX(LISTES!$F$105:$F$109,MATCH(EQ17,LISTES!$C$105:$C$109,0))="FIX",IF(INDEX(LISTES!$E$105:$E$109,MATCH(EQ17,LISTES!$C$105:$C$109,0))=12,ER17/12*L17,ER17/365*M17),ES17*EP17)))</f>
        <v/>
      </c>
      <c r="EU17" s="294" t="str">
        <f t="shared" si="258"/>
        <v/>
      </c>
      <c r="EV17" s="494" t="str">
        <f>IF(A17=FALSE,"",EU17*Cotations!AM17)</f>
        <v/>
      </c>
      <c r="EW17" s="494" t="str">
        <f>IF(A17=FALSE,"",EU17*Cotations!AN17)</f>
        <v/>
      </c>
      <c r="EX17" s="334" t="str">
        <f t="shared" si="259"/>
        <v/>
      </c>
      <c r="EY17" s="919" t="str">
        <f>IF(A17=FALSE,"",((EG17*TAXE)-(EG17*TAXE*EL17)+EH17)+IF(EQ17="N/A",0,IF(INDEX(LISTES!$F$105:$F$109,MATCH(EQ17,LISTES!$C$105:$C$109,0))="FIX",ER17,ES17*EP17)))</f>
        <v/>
      </c>
      <c r="EZ17" s="422"/>
      <c r="FA17" s="492" t="str">
        <f>IF(A17=FALSE,"",Cotations!D17)</f>
        <v/>
      </c>
      <c r="FB17" s="519" t="str">
        <f>IF(A17=FALSE,"",IF(LISTES!$A$17=1,Cotations!AO17,Cotations!$AP$4))</f>
        <v/>
      </c>
      <c r="FC17" s="291" t="str">
        <f t="shared" si="260"/>
        <v/>
      </c>
      <c r="FD17" s="291" t="str">
        <f t="shared" si="261"/>
        <v/>
      </c>
      <c r="FE17" s="291"/>
      <c r="FF17" s="463"/>
      <c r="FG17" s="463" t="str">
        <f t="shared" si="262"/>
        <v/>
      </c>
      <c r="FH17" s="522" t="str">
        <f>IF(A17=FALSE,"",IF(Cotations!$AQ$4="monthly",FG17/12*L17,FG17/365*M17))</f>
        <v/>
      </c>
      <c r="FI17" s="453" t="str">
        <f>IF(A17=FALSE,"",Cotations!$AR$4)</f>
        <v/>
      </c>
      <c r="FJ17" s="300" t="str">
        <f t="shared" si="263"/>
        <v/>
      </c>
      <c r="FK17" s="300" t="str">
        <f t="shared" si="264"/>
        <v/>
      </c>
      <c r="FL17" s="294" t="str">
        <f t="shared" si="265"/>
        <v/>
      </c>
      <c r="FM17" s="494" t="str">
        <f>IF(A17=FALSE,"",Cotations!$AS$4)</f>
        <v/>
      </c>
      <c r="FN17" s="494" t="str">
        <f>IF(A17=FALSE,"",Cotations!$AT$4)</f>
        <v/>
      </c>
      <c r="FO17" s="489" t="str">
        <f>IF(A17=FALSE,"",Cotations!$AU$4)</f>
        <v/>
      </c>
      <c r="FP17" s="494" t="str">
        <f>IF(A17=FALSE,"",IF(FM17="N/A",0,IF(INDEX(LISTES!$F$105:$F$109,MATCH(FM17,LISTES!$C$105:$C$109,0))="FIX",IF(INDEX(LISTES!$E$105:$E$109,MATCH(FM17,LISTES!$C$105:$C$109,0))=12,FN17/12*L17,FN17/365*M17),FO17*FL17)))</f>
        <v/>
      </c>
      <c r="FQ17" s="294" t="str">
        <f t="shared" si="266"/>
        <v/>
      </c>
      <c r="FR17" s="494" t="str">
        <f>IF(A17=FALSE,"",FQ17*Cotations!$AV$4)</f>
        <v/>
      </c>
      <c r="FS17" s="494" t="str">
        <f>IF(A17=FALSE,"",FQ17*Cotations!$AW$4)</f>
        <v/>
      </c>
      <c r="FT17" s="465" t="str">
        <f t="shared" si="267"/>
        <v/>
      </c>
      <c r="FU17" s="919" t="str">
        <f>IF(A17=FALSE,"",((FG17*TAXE)-(FG17*TAXE*FI17))+IF(FM17="N/A",0,IF(INDEX(LISTES!$F$105:$F$109,MATCH(FM17,LISTES!$C$105:$C$109,0))="FIX",FN17,FO17*FL17)))</f>
        <v/>
      </c>
      <c r="FV17" s="478"/>
      <c r="FW17" s="478"/>
      <c r="FX17" s="478"/>
      <c r="FY17" s="478"/>
      <c r="FZ17" s="478"/>
      <c r="GA17" s="492" t="str">
        <f>IF(A17=FALSE,"",Cotations!D17)</f>
        <v/>
      </c>
      <c r="GB17" s="494" t="str">
        <f>IF(A17=FALSE,"",IF(LISTES!$A$17=1,Cotations!AO17,Cotations!AP17))</f>
        <v/>
      </c>
      <c r="GC17" s="284" t="str">
        <f t="shared" si="268"/>
        <v/>
      </c>
      <c r="GD17" s="515" t="str">
        <f>IF(A17=FALSE,"",IF(Detail!AM17="","",Detail!AM17))</f>
        <v/>
      </c>
      <c r="GE17" s="284"/>
      <c r="GF17" s="284"/>
      <c r="GG17" s="284" t="str">
        <f t="shared" si="269"/>
        <v/>
      </c>
      <c r="GH17" s="515" t="str">
        <f>IF(A17=FALSE,"",IF(Cotations!AQ17="monthly",GG17/12*L17,GG17/365*M17))</f>
        <v/>
      </c>
      <c r="GI17" s="493" t="str">
        <f>IF(A17=FALSE,"",IF(Cotations!AR17="","",Cotations!AR17))</f>
        <v/>
      </c>
      <c r="GJ17" s="284" t="str">
        <f t="shared" si="270"/>
        <v/>
      </c>
      <c r="GK17" s="284" t="str">
        <f t="shared" si="271"/>
        <v/>
      </c>
      <c r="GL17" s="284" t="str">
        <f t="shared" si="272"/>
        <v/>
      </c>
      <c r="GM17" s="515" t="str">
        <f>IF(A17=FALSE,"",Cotations!AS17)</f>
        <v/>
      </c>
      <c r="GN17" s="515" t="str">
        <f>IF(A17=FALSE,"",Cotations!AT17)</f>
        <v/>
      </c>
      <c r="GO17" s="493" t="str">
        <f>IF(A17=FALSE,"",Cotations!AU17)</f>
        <v/>
      </c>
      <c r="GP17" s="515" t="str">
        <f>IF(A17=FALSE,"",IF(GM17="N/A",0,IF(INDEX(LISTES!$F$105:$F$109,MATCH(GM17,LISTES!$C$105:$C$109,0))="FIX",IF(INDEX(LISTES!$E$105:$E$109,MATCH(GM17,LISTES!$C$105:$C$109,0))=12,GN17/12*L17,GN17/365*M17),GO17*GL17)))</f>
        <v/>
      </c>
      <c r="GQ17" s="294" t="str">
        <f t="shared" si="273"/>
        <v/>
      </c>
      <c r="GR17" s="494" t="str">
        <f>IF(A17=FALSE,"",GQ17*Cotations!AV17)</f>
        <v/>
      </c>
      <c r="GS17" s="494" t="str">
        <f>IF(A17=FALSE,"",GQ17*Cotations!AW17)</f>
        <v/>
      </c>
      <c r="GT17" s="334" t="str">
        <f t="shared" si="274"/>
        <v/>
      </c>
      <c r="GU17" s="919" t="str">
        <f>IF(A17=FALSE,"",((GG17*TAXE)-(GG17*TAXE*GI17))+IF(GM17="N/A",0,IF(INDEX(LISTES!$F$105:$F$109,MATCH(GM17,LISTES!$C$105:$C$109,0))="FIX",GN17,GO17*GL17)))</f>
        <v/>
      </c>
      <c r="GV17" s="478"/>
      <c r="GW17" s="466"/>
      <c r="GX17" s="466"/>
      <c r="GY17" s="466"/>
      <c r="GZ17" s="466"/>
      <c r="HA17" s="492" t="str">
        <f>IF(A17=FALSE,"",Cotations!D17)</f>
        <v/>
      </c>
      <c r="HB17" s="495" t="str">
        <f>IF(A17=FALSE,"",IF(LISTES!$A$17=1,Cotations!AX17,Cotations!$AY$4))</f>
        <v/>
      </c>
      <c r="HC17" s="291" t="str">
        <f t="shared" si="275"/>
        <v/>
      </c>
      <c r="HD17" s="291" t="str">
        <f t="shared" si="276"/>
        <v/>
      </c>
      <c r="HE17" s="456" t="str">
        <f t="shared" si="277"/>
        <v/>
      </c>
      <c r="HF17" s="496" t="str">
        <f>IF(A17=FALSE,"",IF(HA17="POEA",Cotations!BA17,IF(HA17="FIXE",Cotations!$BA$4,Cotations!$BC$4*Y17)))</f>
        <v/>
      </c>
      <c r="HG17" s="300" t="str">
        <f t="shared" si="278"/>
        <v/>
      </c>
      <c r="HH17" s="522" t="str">
        <f>IF(A17=FALSE,"",IF(Cotations!$AZ$4="monthly",HG17/12*L17,HG17/365*M17))</f>
        <v/>
      </c>
      <c r="HI17" s="489" t="str">
        <f>IF(A17=FALSE,"",Cotations!$BD$4)</f>
        <v/>
      </c>
      <c r="HJ17" s="300" t="str">
        <f t="shared" si="279"/>
        <v/>
      </c>
      <c r="HK17" s="300" t="str">
        <f t="shared" si="280"/>
        <v/>
      </c>
      <c r="HL17" s="294" t="str">
        <f t="shared" si="281"/>
        <v/>
      </c>
      <c r="HM17" s="494" t="str">
        <f>IF(A17=FALSE,"",Cotations!$BE$4)</f>
        <v/>
      </c>
      <c r="HN17" s="522" t="str">
        <f>IF(A17=FALSE,"",Cotations!$BF$4)</f>
        <v/>
      </c>
      <c r="HO17" s="489" t="str">
        <f>IF(A17=FALSE,"",Cotations!$BG$4)</f>
        <v/>
      </c>
      <c r="HP17" s="494" t="str">
        <f>IF(A17=FALSE,"",IF(HM17="N/A",0,IF(INDEX(LISTES!$F$105:$F$109,MATCH(HM17,LISTES!$C$105:$C$109,0))="FIX",IF(INDEX(LISTES!$E$105:$E$109,MATCH(HM17,LISTES!$C$105:$C$109,0))=12,HN17/12*L17,HN17/365*M17),HO17*HL17)))</f>
        <v/>
      </c>
      <c r="HQ17" s="294" t="str">
        <f t="shared" si="282"/>
        <v/>
      </c>
      <c r="HR17" s="494" t="str">
        <f>IF(A17=FALSE,"",HQ17*Cotations!$BH$4)</f>
        <v/>
      </c>
      <c r="HS17" s="494" t="str">
        <f>IF(A17=FALSE,"",HQ17*Cotations!$BI$4)</f>
        <v/>
      </c>
      <c r="HT17" s="294" t="str">
        <f t="shared" si="283"/>
        <v/>
      </c>
      <c r="HU17" s="919" t="str">
        <f>IF(A17=FALSE,"",((HG17*TAXE)-(HG17*TAXE*HI17))+IF(HM17="N/A",0,IF(INDEX(LISTES!$F$105:$F$109,MATCH(HM17,LISTES!$C$105:$C$109,0))="FIX",HN17,HO17*HL17)))</f>
        <v/>
      </c>
      <c r="HV17" s="422"/>
      <c r="HW17" s="422"/>
      <c r="HX17" s="422"/>
      <c r="HY17" s="716"/>
      <c r="HZ17" s="422"/>
      <c r="IA17" s="492" t="str">
        <f>IF(A17=FALSE,"",Cotations!D17)</f>
        <v/>
      </c>
      <c r="IB17" s="491" t="str">
        <f>IF(A17=FALSE,"",IF(LISTES!$A$17=1,Cotations!AX17,Cotations!AY17))</f>
        <v/>
      </c>
      <c r="IC17" s="285" t="str">
        <f t="shared" si="284"/>
        <v/>
      </c>
      <c r="ID17" s="300" t="str">
        <f>IF(A17=FALSE,"",IF(LISTES!$A$17=3,Detail!AU17,lig1_Formula_PREVOY))</f>
        <v/>
      </c>
      <c r="IE17" s="461" t="str">
        <f t="shared" si="285"/>
        <v/>
      </c>
      <c r="IF17" s="490" t="str">
        <f>IF(A17=FALSE,"",IF(IA17="POEA",Cotations!BA17,IF(HA17="FIXE",Cotations!BB17,IF(Cotations!BC17*Y17&lt;50000,Z17,Cotations!BC17*Y17))))</f>
        <v/>
      </c>
      <c r="IG17" s="300" t="str">
        <f t="shared" si="286"/>
        <v/>
      </c>
      <c r="IH17" s="522" t="str">
        <f>IF(A17=FALSE,"",IF(Cotations!AZ17="monthly",IG17/12*L17,IG17/365*M17))</f>
        <v/>
      </c>
      <c r="II17" s="489" t="str">
        <f>IF(A17=FALSE,"",IF(Cotations!BD17="","",Cotations!BD17))</f>
        <v/>
      </c>
      <c r="IJ17" s="300" t="str">
        <f t="shared" si="287"/>
        <v/>
      </c>
      <c r="IK17" s="300" t="str">
        <f t="shared" si="288"/>
        <v/>
      </c>
      <c r="IL17" s="919" t="str">
        <f t="shared" si="289"/>
        <v/>
      </c>
      <c r="IM17" s="517" t="str">
        <f>IF(A17=FALSE,"",Cotations!BE17)</f>
        <v/>
      </c>
      <c r="IN17" s="517" t="str">
        <f>IF(A17=FALSE,"",Cotations!BF17)</f>
        <v/>
      </c>
      <c r="IO17" s="493" t="str">
        <f>IF(A17=FALSE,"",Cotations!BG17)</f>
        <v/>
      </c>
      <c r="IP17" s="517" t="str">
        <f>IF(A17=FALSE,"",IF(IM17="N/A",0,IF(INDEX(LISTES!$F$105:$F$109,MATCH(IM17,LISTES!$C$105:$C$109,0))="FIX",IF(INDEX(LISTES!$E$105:$E$109,MATCH(IM17,LISTES!$C$105:$C$109,0))=12,IN17/12*L17,IN17/365*M17),IO17*IL17)))</f>
        <v/>
      </c>
      <c r="IQ17" s="294" t="str">
        <f t="shared" si="290"/>
        <v/>
      </c>
      <c r="IR17" s="494" t="str">
        <f>IF(A17=FALSE,"",IQ17*Cotations!BH17)</f>
        <v/>
      </c>
      <c r="IS17" s="494" t="str">
        <f>IF(A17=FALSE,"",IQ17*Cotations!BI17)</f>
        <v/>
      </c>
      <c r="IT17" s="338" t="str">
        <f t="shared" si="291"/>
        <v/>
      </c>
      <c r="IU17" s="919" t="str">
        <f>IF(A17=FALSE,"",((IG17*TAXE)-(IG17*TAXE*II17))+IF(IM17="N/A",0,IF(INDEX(LISTES!$F$105:$F$109,MATCH(IM17,LISTES!$C$105:$C$109,0))="FIX",IN17,IO17*IL17)))</f>
        <v/>
      </c>
      <c r="IV17" s="422"/>
      <c r="IY17" s="716"/>
      <c r="JA17" s="492" t="str">
        <f>IF(A17=FALSE,"",Cotations!D17)</f>
        <v/>
      </c>
      <c r="JB17" s="495" t="str">
        <f>IF(A17=FALSE,"",IF(LISTES!$A$17=1,Cotations!BJ17,Cotations!$BK$4))</f>
        <v/>
      </c>
      <c r="JC17" s="291" t="str">
        <f t="shared" si="292"/>
        <v/>
      </c>
      <c r="JD17" s="291" t="str">
        <f t="shared" si="293"/>
        <v/>
      </c>
      <c r="JE17" s="456" t="str">
        <f t="shared" si="294"/>
        <v/>
      </c>
      <c r="JF17" s="496" t="str">
        <f>IF(A17=FALSE,"",IF(JA17="POEA",Cotations!BM17,IF(JA17="FIXE",Cotations!$BM$4,Cotations!$BO$4*Y17)))</f>
        <v/>
      </c>
      <c r="JG17" s="300" t="str">
        <f t="shared" si="295"/>
        <v/>
      </c>
      <c r="JH17" s="522" t="str">
        <f>IF(A17=FALSE,"",IF(Cotations!$BL$4="monthly",JG17/12*L17,JG17/365*M17))</f>
        <v/>
      </c>
      <c r="JI17" s="489" t="str">
        <f>IF(A17=FALSE,"",Cotations!$BP$4)</f>
        <v/>
      </c>
      <c r="JJ17" s="300" t="str">
        <f t="shared" si="296"/>
        <v/>
      </c>
      <c r="JK17" s="300" t="str">
        <f t="shared" si="297"/>
        <v/>
      </c>
      <c r="JL17" s="294" t="str">
        <f t="shared" si="298"/>
        <v/>
      </c>
      <c r="JM17" s="494" t="str">
        <f>IF(A17=FALSE,"",Cotations!$BQ$4)</f>
        <v/>
      </c>
      <c r="JN17" s="522" t="str">
        <f>IF(A17=FALSE,"",Cotations!$BR$4)</f>
        <v/>
      </c>
      <c r="JO17" s="489" t="str">
        <f>IF(A17=FALSE,"",Cotations!$BS$4)</f>
        <v/>
      </c>
      <c r="JP17" s="494" t="str">
        <f>IF(A17=FALSE,"",IF(JM17="N/A",0,IF(INDEX(LISTES!$F$105:$F$109,MATCH(JM17,LISTES!$C$105:$C$109,0))="FIX",IF(INDEX(LISTES!$E$105:$E$109,MATCH(JM17,LISTES!$C$105:$C$109,0))=12,JN17/12*L17,JN17/365*M17),JO17*JL17)))</f>
        <v/>
      </c>
      <c r="JQ17" s="294" t="str">
        <f t="shared" si="299"/>
        <v/>
      </c>
      <c r="JR17" s="494" t="str">
        <f>IF(A17=FALSE,"",JQ17*Cotations!$BT$4)</f>
        <v/>
      </c>
      <c r="JS17" s="494" t="str">
        <f>IF(A17=FALSE,"",JQ17*Cotations!$BU$4)</f>
        <v/>
      </c>
      <c r="JT17" s="294" t="str">
        <f t="shared" si="300"/>
        <v/>
      </c>
      <c r="JU17" s="919" t="str">
        <f>IF(A17=FALSE,"",((JG17*TAXE)-(JG17*TAXE*JI17))+IF(JM17="N/A",0,IF(INDEX(LISTES!$F$105:$F$109,MATCH(JM17,LISTES!$C$105:$C$109,0))="FIX",JN17,JO17*JL17)))</f>
        <v/>
      </c>
      <c r="KA17" s="492" t="str">
        <f>IF(A17=FALSE,"",Cotations!D17)</f>
        <v/>
      </c>
      <c r="KB17" s="491" t="str">
        <f>IF(A17=FALSE,"",IF(LISTES!$A$17=1,Cotations!BJ17,Cotations!BK17))</f>
        <v/>
      </c>
      <c r="KC17" s="285" t="str">
        <f t="shared" si="301"/>
        <v/>
      </c>
      <c r="KD17" s="300"/>
      <c r="KE17" s="461" t="str">
        <f t="shared" si="302"/>
        <v/>
      </c>
      <c r="KF17" s="490" t="str">
        <f>IF(A17=FALSE,"",IF(KA17="POEA",Cotations!BM17,IF(KA17="FIXE",Cotations!BN17,IF(Cotations!BO17*Y17&lt;50000,Z17,Cotations!BO17*Y17))))</f>
        <v/>
      </c>
      <c r="KG17" s="300" t="str">
        <f t="shared" si="303"/>
        <v/>
      </c>
      <c r="KH17" s="522" t="str">
        <f>IF(A17=FALSE,"",IF(Cotations!BL17="monthly",KG17/12*L17,KG17/365*M17))</f>
        <v/>
      </c>
      <c r="KI17" s="489" t="str">
        <f>IF(A17=FALSE,"",IF(Cotations!BP17="","",Cotations!BP17))</f>
        <v/>
      </c>
      <c r="KJ17" s="300" t="str">
        <f t="shared" si="304"/>
        <v/>
      </c>
      <c r="KK17" s="300" t="str">
        <f t="shared" si="305"/>
        <v/>
      </c>
      <c r="KL17" s="919" t="str">
        <f t="shared" si="306"/>
        <v/>
      </c>
      <c r="KM17" s="517" t="str">
        <f>IF(A17=FALSE,"",Cotations!BQ17)</f>
        <v/>
      </c>
      <c r="KN17" s="515" t="str">
        <f>IF(A17=FALSE,"",Cotations!BR17)</f>
        <v/>
      </c>
      <c r="KO17" s="493" t="str">
        <f>IF(A17=FALSE,"",Cotations!BS17)</f>
        <v/>
      </c>
      <c r="KP17" s="517" t="str">
        <f>IF(A17=FALSE,"",IF(KM17="N/A",0,IF(INDEX(LISTES!$F$105:$F$109,MATCH(KM17,LISTES!$C$105:$C$109,0))="FIX",IF(INDEX(LISTES!$E$105:$E$109,MATCH(KM17,LISTES!$C$105:$C$109,0))=12,KN17/12*L17,KN17/365*M17),KO17*KL17)))</f>
        <v/>
      </c>
      <c r="KQ17" s="294" t="str">
        <f t="shared" si="307"/>
        <v/>
      </c>
      <c r="KR17" s="494" t="str">
        <f>IF(A17=FALSE,"",KQ17*Cotations!BT17)</f>
        <v/>
      </c>
      <c r="KS17" s="494" t="str">
        <f>IF(A17=FALSE,"",KQ17*Cotations!BU17)</f>
        <v/>
      </c>
      <c r="KT17" s="338" t="str">
        <f t="shared" si="308"/>
        <v/>
      </c>
      <c r="KU17" s="919" t="str">
        <f>IF(A17=FALSE,"",((KG17*TAXE)-(KG17*TAXE*KI17))+IF(KM17="N/A",0,IF(INDEX(LISTES!$F$105:$F$109,MATCH(KM17,LISTES!$C$105:$C$109,0))="FIX",KN17,KO17*KL17)))</f>
        <v/>
      </c>
      <c r="KX17" s="422"/>
      <c r="KY17" s="422"/>
      <c r="LA17" s="497" t="str">
        <f>IF(A17=FALSE,"",Cotations!D17)</f>
        <v/>
      </c>
      <c r="LB17" s="498" t="str">
        <f>IF(A17=FALSE,"",IF(LISTES!$A$17=1,Cotations!BV17,Cotations!$BW$4))</f>
        <v/>
      </c>
      <c r="LC17" s="499" t="str">
        <f t="shared" si="309"/>
        <v/>
      </c>
      <c r="LD17" s="499" t="str">
        <f t="shared" si="310"/>
        <v/>
      </c>
      <c r="LE17" s="500" t="str">
        <f t="shared" si="311"/>
        <v/>
      </c>
      <c r="LF17" s="501" t="str">
        <f>IF(A17=FALSE,"",IF(LA17="POEA",Cotations!EJ17,IF(LA17="FIXE",Cotations!$BY$4,Cotations!$CA$4*Y17)))</f>
        <v/>
      </c>
      <c r="LG17" s="502" t="str">
        <f t="shared" si="312"/>
        <v/>
      </c>
      <c r="LH17" s="520" t="str">
        <f>IF(A17=FALSE,"",IF(Cotations!$BX$4="monthly",LG17/12*L17,LG17/365*M17))</f>
        <v/>
      </c>
      <c r="LI17" s="503" t="str">
        <f>IF(A17=FALSE,"",Cotations!$CB$4)</f>
        <v/>
      </c>
      <c r="LJ17" s="502" t="str">
        <f t="shared" si="313"/>
        <v/>
      </c>
      <c r="LK17" s="502" t="str">
        <f t="shared" si="314"/>
        <v/>
      </c>
      <c r="LL17" s="504" t="str">
        <f t="shared" si="315"/>
        <v/>
      </c>
      <c r="LM17" s="505" t="str">
        <f>IF(A17=FALSE,"",Cotations!$CC$4)</f>
        <v/>
      </c>
      <c r="LN17" s="503" t="str">
        <f>IF(A17=FALSE,"",Cotations!$CD$4)</f>
        <v/>
      </c>
      <c r="LO17" s="503" t="str">
        <f>IF(A17=FALSE,"",Cotations!$CE$4)</f>
        <v/>
      </c>
      <c r="LP17" s="505" t="str">
        <f>IF(A17=FALSE,"",IF(LM17="N/A",0,IF(INDEX(LISTES!$F$105:$F$109,MATCH(LM17,LISTES!$C$105:$C$109,0))="FIX",IF(INDEX(LISTES!$E$105:$E$109,MATCH(LM17,LISTES!$C$105:$C$109,0))=12,LN17/12*L17,LN17/365*M17),LO17*LL17)))</f>
        <v/>
      </c>
      <c r="LQ17" s="504" t="str">
        <f t="shared" si="316"/>
        <v/>
      </c>
      <c r="LR17" s="505" t="str">
        <f>IF(A17=FALSE,"",LQ17*Cotations!$CF$4)</f>
        <v/>
      </c>
      <c r="LS17" s="505" t="str">
        <f>IF(A17=FALSE,"",LQ17*Cotations!$CG$4)</f>
        <v/>
      </c>
      <c r="LT17" s="506" t="str">
        <f t="shared" si="317"/>
        <v/>
      </c>
      <c r="LU17" s="919" t="str">
        <f>IF(A17=FALSE,"",((LG17*TAXE)-(LG17*TAXE*LI17))+IF(LM17="N/A",0,IF(INDEX(LISTES!$F$105:$F$109,MATCH(LM17,LISTES!$C$105:$C$109,0))="FIX",LN17,LO17*LL17)))</f>
        <v/>
      </c>
      <c r="MA17" s="492" t="str">
        <f>IF(A17=FALSE,"",Cotations!D17)</f>
        <v/>
      </c>
      <c r="MB17" s="491" t="str">
        <f>IF(A17=FALSE,"",IF(LISTES!$A$17=1,Cotations!BV17,Cotations!BW17))</f>
        <v/>
      </c>
      <c r="MC17" s="285" t="str">
        <f t="shared" si="318"/>
        <v/>
      </c>
      <c r="MD17" s="300"/>
      <c r="ME17" s="461" t="str">
        <f t="shared" si="319"/>
        <v/>
      </c>
      <c r="MF17" s="490" t="str">
        <f>IF(A17=FALSE,"",IF(MA17="POEA",Cotations!BY17,IF(MA17="FIXE",Cotations!BZ17,IF(Cotations!CA17*Y17&lt;50000,Z17,Cotations!CA17*Y17))))</f>
        <v/>
      </c>
      <c r="MG17" s="300" t="str">
        <f t="shared" si="320"/>
        <v/>
      </c>
      <c r="MH17" s="522" t="str">
        <f>IF(A17=FALSE,"",IF(Cotations!BX17="monthly",MG17/12*L17,MG17/365*M17))</f>
        <v/>
      </c>
      <c r="MI17" s="489" t="str">
        <f>IF(A17=FALSE,"",IF(Cotations!CB17="","",Cotations!CB17))</f>
        <v/>
      </c>
      <c r="MJ17" s="300" t="str">
        <f t="shared" si="321"/>
        <v/>
      </c>
      <c r="MK17" s="300" t="str">
        <f t="shared" si="322"/>
        <v/>
      </c>
      <c r="ML17" s="919" t="str">
        <f t="shared" si="323"/>
        <v/>
      </c>
      <c r="MM17" s="517" t="str">
        <f>IF(A17=FALSE,"",Cotations!CC17)</f>
        <v/>
      </c>
      <c r="MN17" s="515" t="str">
        <f>IF(A17=FALSE,"",Cotations!CD17)</f>
        <v/>
      </c>
      <c r="MO17" s="493" t="str">
        <f>IF(A17=FALSE,"",Cotations!CE17)</f>
        <v/>
      </c>
      <c r="MP17" s="517" t="str">
        <f>IF(A17=FALSE,"",IF(MM17="N/A",0,IF(INDEX(LISTES!$F$105:$F$109,MATCH(MM17,LISTES!$C$105:$C$109,0))="FIX",IF(INDEX(LISTES!$E$105:$E$109,MATCH(MM17,LISTES!$C$105:$C$109,0))=12,MN17/12*L17,MN17/365*M17),MO17*ML17)))</f>
        <v/>
      </c>
      <c r="MQ17" s="294" t="str">
        <f t="shared" si="324"/>
        <v/>
      </c>
      <c r="MR17" s="494" t="str">
        <f>IF(A17=FALSE,"",MQ17*Cotations!CF17)</f>
        <v/>
      </c>
      <c r="MS17" s="494" t="str">
        <f>IF(A17=FALSE,"",MQ17*Cotations!CG17)</f>
        <v/>
      </c>
      <c r="MT17" s="338" t="str">
        <f t="shared" si="325"/>
        <v/>
      </c>
      <c r="MU17" s="919" t="str">
        <f>IF(A17=FALSE,"",((MG17*TAXE)-(MG17*TAXE*MI17))+IF(MM17="N/A",0,IF(INDEX(LISTES!$F$105:$F$109,MATCH(MM17,LISTES!$C$105:$C$109,0))="FIX",MN17,MO17*ML17)))</f>
        <v/>
      </c>
      <c r="NA17" s="497" t="str">
        <f>IF(A17=FALSE,"",Cotations!D17)</f>
        <v/>
      </c>
      <c r="NB17" s="498" t="str">
        <f>IF(A17=FALSE,"",IF(LISTES!$A$17=1,Cotations!CH17,Cotations!$CI$4))</f>
        <v/>
      </c>
      <c r="NC17" s="499" t="str">
        <f t="shared" si="326"/>
        <v/>
      </c>
      <c r="ND17" s="499" t="str">
        <f t="shared" si="327"/>
        <v/>
      </c>
      <c r="NE17" s="500" t="str">
        <f t="shared" si="328"/>
        <v/>
      </c>
      <c r="NF17" s="501" t="str">
        <f>IF(A17=FALSE,"",IF(NA17="POEA",Cotations!CK17,IF(NA17="FIXE",Cotations!$CK$4,Cotations!$CM$4*Y17)))</f>
        <v/>
      </c>
      <c r="NG17" s="502" t="str">
        <f t="shared" si="329"/>
        <v/>
      </c>
      <c r="NH17" s="520" t="str">
        <f>IF(A17=FALSE,"",IF(Cotations!$CJ$4="monthly",NG17/12*L17,NG17/365*M17))</f>
        <v/>
      </c>
      <c r="NI17" s="503" t="str">
        <f>IF(A17=FALSE,"",Cotations!$CN$4)</f>
        <v/>
      </c>
      <c r="NJ17" s="502" t="str">
        <f t="shared" si="330"/>
        <v/>
      </c>
      <c r="NK17" s="502" t="str">
        <f t="shared" si="331"/>
        <v/>
      </c>
      <c r="NL17" s="504" t="str">
        <f t="shared" si="332"/>
        <v/>
      </c>
      <c r="NM17" s="505" t="str">
        <f>IF(A17=FALSE,"",Cotations!$CO$4)</f>
        <v/>
      </c>
      <c r="NN17" s="520" t="str">
        <f>IF(A17=FALSE,"",Cotations!$CP$4)</f>
        <v/>
      </c>
      <c r="NO17" s="503" t="str">
        <f>IF(A17=FALSE,"",Cotations!$CQ$4)</f>
        <v/>
      </c>
      <c r="NP17" s="505" t="str">
        <f>IF(A17=FALSE,"",IF(NM17="N/A",0,IF(INDEX(LISTES!$F$105:$F$109,MATCH(NM17,LISTES!$C$105:$C$109,0))="FIX",IF(INDEX(LISTES!$E$105:$E$109,MATCH(NM17,LISTES!$C$105:$C$109,0))=12,NN17/12*L17,NN17/365*M17),NO17*NL17)))</f>
        <v/>
      </c>
      <c r="NQ17" s="504" t="str">
        <f t="shared" si="333"/>
        <v/>
      </c>
      <c r="NR17" s="505" t="str">
        <f>IF(A17=FALSE,"",NQ17*Cotations!$CR$4)</f>
        <v/>
      </c>
      <c r="NS17" s="505" t="str">
        <f>IF(A17=FALSE,"",NQ17*Cotations!$CS$4)</f>
        <v/>
      </c>
      <c r="NT17" s="506" t="str">
        <f t="shared" si="334"/>
        <v/>
      </c>
      <c r="NU17" s="919" t="str">
        <f>IF(A17=FALSE,"",((NG17*TAXE)-(NG17*TAXE*NI17))+IF(NM17="N/A",0,IF(INDEX(LISTES!$F$105:$F$109,MATCH(NM17,LISTES!$C$105:$C$109,0))="FIX",NN17,NO17*NL17)))</f>
        <v/>
      </c>
      <c r="OA17" s="492" t="str">
        <f>IF(A17=FALSE,"",Cotations!D17)</f>
        <v/>
      </c>
      <c r="OB17" s="491" t="str">
        <f>IF(A17=FALSE,"",IF(LISTES!$A$17=1,Cotations!CH17,Cotations!CI17))</f>
        <v/>
      </c>
      <c r="OC17" s="285" t="str">
        <f t="shared" si="335"/>
        <v/>
      </c>
      <c r="OD17" s="300"/>
      <c r="OE17" s="461" t="str">
        <f t="shared" si="336"/>
        <v/>
      </c>
      <c r="OF17" s="490" t="str">
        <f>IF(A17=FALSE,"",IF(OA17="POEA",Cotations!CK17,IF(OA17="FIXE",Cotations!CL17,IF(Cotations!CM17*Y17&lt;50000,Z17,Cotations!CM17*Y17))))</f>
        <v/>
      </c>
      <c r="OG17" s="300" t="str">
        <f t="shared" si="337"/>
        <v/>
      </c>
      <c r="OH17" s="522" t="str">
        <f>IF(A17=FALSE,"",IF(Cotations!CJ17="monthly",OG17/12*L17,OG17/365*M17))</f>
        <v/>
      </c>
      <c r="OI17" s="489" t="str">
        <f>IF(A17=FALSE,"",IF(Cotations!CN17="","",Cotations!CN17))</f>
        <v/>
      </c>
      <c r="OJ17" s="300" t="str">
        <f t="shared" si="338"/>
        <v/>
      </c>
      <c r="OK17" s="300" t="str">
        <f t="shared" si="339"/>
        <v/>
      </c>
      <c r="OL17" s="919" t="str">
        <f t="shared" si="340"/>
        <v/>
      </c>
      <c r="OM17" s="517" t="str">
        <f>IF(A17=FALSE,"",Cotations!CO17)</f>
        <v/>
      </c>
      <c r="ON17" s="515" t="str">
        <f>IF(A17=FALSE,"",Cotations!CP17)</f>
        <v/>
      </c>
      <c r="OO17" s="493" t="str">
        <f>IF(A17=FALSE,"",Cotations!CQ17)</f>
        <v/>
      </c>
      <c r="OP17" s="517" t="str">
        <f>IF(A17=FALSE,"",IF(OM17="N/A",0,IF(INDEX(LISTES!$F$105:$F$109,MATCH(OM17,LISTES!$C$105:$C$109,0))="FIX",IF(INDEX(LISTES!$E$105:$E$109,MATCH(OM17,LISTES!$C$105:$C$109,0))=12,ON17/12*L17,ON17/365*M17),OO17*OL17)))</f>
        <v/>
      </c>
      <c r="OQ17" s="294" t="str">
        <f t="shared" si="341"/>
        <v/>
      </c>
      <c r="OR17" s="494" t="str">
        <f>IF(A17=FALSE,"",OQ17*Cotations!CR17)</f>
        <v/>
      </c>
      <c r="OS17" s="494" t="str">
        <f>IF(A17=FALSE,"",OQ17*Cotations!CS17)</f>
        <v/>
      </c>
      <c r="OT17" s="338" t="str">
        <f t="shared" si="342"/>
        <v/>
      </c>
      <c r="OU17" s="919" t="str">
        <f>IF(A17=FALSE,"",((OG17*TAXE)-(OG17*TAXE*OI17))+IF(OM17="N/A",0,IF(INDEX(LISTES!$F$105:$F$109,MATCH(OM17,LISTES!$C$105:$C$109,0))="FIX",ON17,OO17*OL17)))</f>
        <v/>
      </c>
      <c r="PA17" s="497" t="str">
        <f t="shared" si="343"/>
        <v/>
      </c>
      <c r="PB17" s="498" t="str">
        <f>IF(A17=FALSE,"",IF(LISTES!$A$17=1,Cotations!CT17,Cotations!$CU$4))</f>
        <v/>
      </c>
      <c r="PC17" s="499" t="str">
        <f t="shared" si="344"/>
        <v/>
      </c>
      <c r="PD17" s="499" t="str">
        <f t="shared" si="345"/>
        <v/>
      </c>
      <c r="PE17" s="500" t="str">
        <f t="shared" si="346"/>
        <v/>
      </c>
      <c r="PF17" s="501" t="str">
        <f>IF(A17=FALSE,"",Cotations!$CY$4*Y17)</f>
        <v/>
      </c>
      <c r="PG17" s="502" t="str">
        <f t="shared" si="347"/>
        <v/>
      </c>
      <c r="PH17" s="520" t="str">
        <f>IF(A17=FALSE,"",IF(Cotations!$CV$4="monthly",PG17/12*L17,PG17/365*M17))</f>
        <v/>
      </c>
      <c r="PI17" s="503" t="str">
        <f>IF(A17=FALSE,"",Cotations!$CZ$4)</f>
        <v/>
      </c>
      <c r="PJ17" s="502" t="str">
        <f t="shared" si="348"/>
        <v/>
      </c>
      <c r="PK17" s="502" t="str">
        <f t="shared" si="349"/>
        <v/>
      </c>
      <c r="PL17" s="504" t="str">
        <f t="shared" si="350"/>
        <v/>
      </c>
      <c r="PM17" s="505" t="str">
        <f>IF(A17=FALSE,"",Cotations!$DA$4)</f>
        <v/>
      </c>
      <c r="PN17" s="520" t="str">
        <f>IF(A17=FALSE,"",Cotations!$DB$4)</f>
        <v/>
      </c>
      <c r="PO17" s="503" t="str">
        <f>IF(A17=FALSE,"",Cotations!$DC$4)</f>
        <v/>
      </c>
      <c r="PP17" s="505" t="str">
        <f>IF(A17=FALSE,"",IF(PM17="N/A",0,IF(INDEX(LISTES!$F$105:$F$109,MATCH(PM17,LISTES!$C$105:$C$109,0))="FIX",IF(INDEX(LISTES!$E$105:$E$109,MATCH(PM17,LISTES!$C$105:$C$109,0))=12,PN17/12*L17,PN17/365*M17),PO17*PL17)))</f>
        <v/>
      </c>
      <c r="PQ17" s="504" t="str">
        <f t="shared" si="351"/>
        <v/>
      </c>
      <c r="PR17" s="505" t="str">
        <f>IF(A17=FALSE,"",PQ17*Cotations!$DD$4)</f>
        <v/>
      </c>
      <c r="PS17" s="505" t="str">
        <f>IF(A17=FALSE,"",PQ17*Cotations!$DE$4)</f>
        <v/>
      </c>
      <c r="PT17" s="506" t="str">
        <f t="shared" si="352"/>
        <v/>
      </c>
      <c r="PU17" s="919" t="str">
        <f>IF(A17=FALSE,"",((PG17*TAXE)-(PG17*TAXE*PI17))+IF(PM17="N/A",0,IF(INDEX(LISTES!$F$105:$F$109,MATCH(PM17,LISTES!$C$105:$C$109,0))="FIX",PN17,PO17*PL17)))</f>
        <v/>
      </c>
      <c r="QA17" s="492" t="str">
        <f t="shared" si="353"/>
        <v/>
      </c>
      <c r="QB17" s="491" t="str">
        <f>IF(A17=FALSE,"",IF(LISTES!$A$17=1,Cotations!CT17,Cotations!CU17))</f>
        <v/>
      </c>
      <c r="QC17" s="285" t="str">
        <f t="shared" si="354"/>
        <v/>
      </c>
      <c r="QD17" s="300"/>
      <c r="QE17" s="461" t="str">
        <f t="shared" si="355"/>
        <v/>
      </c>
      <c r="QF17" s="490" t="str">
        <f>IF(A17=FALSE,"",Cotations!CY17*AA17)</f>
        <v/>
      </c>
      <c r="QG17" s="300" t="str">
        <f t="shared" si="356"/>
        <v/>
      </c>
      <c r="QH17" s="522" t="str">
        <f>IF(A17=FALSE,"",IF(Cotations!CV17="monthly",QG17/12*L17,QG17/365*M17))</f>
        <v/>
      </c>
      <c r="QI17" s="489" t="str">
        <f>IF(A17=FALSE,"",IF(Cotations!CZ17="","",Cotations!CZ17))</f>
        <v/>
      </c>
      <c r="QJ17" s="300" t="str">
        <f t="shared" si="357"/>
        <v/>
      </c>
      <c r="QK17" s="300" t="str">
        <f t="shared" si="358"/>
        <v/>
      </c>
      <c r="QL17" s="919" t="str">
        <f t="shared" si="359"/>
        <v/>
      </c>
      <c r="QM17" s="517" t="str">
        <f>IF(A17=FALSE,"",Cotations!DA17)</f>
        <v/>
      </c>
      <c r="QN17" s="515" t="str">
        <f>IF(A17=FALSE,"",Cotations!DB17)</f>
        <v/>
      </c>
      <c r="QO17" s="493" t="str">
        <f>IF(A17=FALSE,"",Cotations!DC17)</f>
        <v/>
      </c>
      <c r="QP17" s="517" t="str">
        <f>IF(A17=FALSE,"",IF(QM17="N/A",0,IF(INDEX(LISTES!$F$105:$F$109,MATCH(QM17,LISTES!$C$105:$C$109,0))="FIX",IF(INDEX(LISTES!$E$105:$E$109,MATCH(QM17,LISTES!$C$105:$C$109,0))=12,QN17/12*L17,QN17/365*M17),QO17*QL17)))</f>
        <v/>
      </c>
      <c r="QQ17" s="294" t="str">
        <f t="shared" si="360"/>
        <v/>
      </c>
      <c r="QR17" s="494" t="str">
        <f>IF(A17=FALSE,"",QQ17*Cotations!DD17)</f>
        <v/>
      </c>
      <c r="QS17" s="494" t="str">
        <f>IF(A17=FALSE,"",QQ17*Cotations!DE17)</f>
        <v/>
      </c>
      <c r="QT17" s="338" t="str">
        <f t="shared" si="361"/>
        <v/>
      </c>
      <c r="QU17" s="919" t="str">
        <f>IF(A17=FALSE,"",((QG17*TAXE)-(QG17*TAXE*QI17))+IF(QM17="N/A",0,IF(INDEX(LISTES!$F$105:$F$109,MATCH(QM17,LISTES!$C$105:$C$109,0))="FIX",QN17,QO17*QL17)))</f>
        <v/>
      </c>
      <c r="RA17" s="497" t="str">
        <f t="shared" si="362"/>
        <v/>
      </c>
      <c r="RB17" s="498" t="str">
        <f>IF(A17=FALSE,"",IF(LISTES!$A$17=1,Cotations!DF17,Cotations!$DG$4))</f>
        <v/>
      </c>
      <c r="RC17" s="499" t="str">
        <f t="shared" si="363"/>
        <v/>
      </c>
      <c r="RD17" s="499" t="str">
        <f t="shared" si="364"/>
        <v/>
      </c>
      <c r="RE17" s="500" t="str">
        <f t="shared" si="365"/>
        <v/>
      </c>
      <c r="RF17" s="501" t="str">
        <f>IF(A17=FALSE,"",Cotations!$DK$4*Y17)</f>
        <v/>
      </c>
      <c r="RG17" s="502" t="str">
        <f t="shared" si="366"/>
        <v/>
      </c>
      <c r="RH17" s="520" t="str">
        <f>IF(A17=FALSE,"",IF(Cotations!$DH$4="monthly",RG17/12*L17,RG17/365*M17))</f>
        <v/>
      </c>
      <c r="RI17" s="503" t="str">
        <f>IF(A17=FALSE,"",Cotations!$DL$4)</f>
        <v/>
      </c>
      <c r="RJ17" s="502" t="str">
        <f t="shared" si="367"/>
        <v/>
      </c>
      <c r="RK17" s="502" t="str">
        <f t="shared" si="368"/>
        <v/>
      </c>
      <c r="RL17" s="504" t="str">
        <f t="shared" si="369"/>
        <v/>
      </c>
      <c r="RM17" s="505" t="str">
        <f>IF(A17=FALSE,"",Cotations!$DM$4)</f>
        <v/>
      </c>
      <c r="RN17" s="520" t="str">
        <f>IF(A17=FALSE,"",Cotations!$DN$4)</f>
        <v/>
      </c>
      <c r="RO17" s="503" t="str">
        <f>IF(A17=FALSE,"",Cotations!$DO$4)</f>
        <v/>
      </c>
      <c r="RP17" s="505" t="str">
        <f>IF(A17=FALSE,"",IF(RM17="N/A",0,IF(INDEX(LISTES!$F$105:$F$109,MATCH(RM17,LISTES!$C$105:$C$109,0))="FIX",IF(INDEX(LISTES!$E$105:$E$109,MATCH(RM17,LISTES!$C$105:$C$109,0))=12,RN17/12*L17,RN17/365*M17),RO17*RL17)))</f>
        <v/>
      </c>
      <c r="RQ17" s="504" t="str">
        <f t="shared" si="370"/>
        <v/>
      </c>
      <c r="RR17" s="505" t="str">
        <f>IF(A17=FALSE,"",RQ17*Cotations!$DP$4)</f>
        <v/>
      </c>
      <c r="RS17" s="505" t="str">
        <f>IF(A17=FALSE,"",RQ17*Cotations!$DQ$4)</f>
        <v/>
      </c>
      <c r="RT17" s="506" t="str">
        <f t="shared" si="371"/>
        <v/>
      </c>
      <c r="RU17" s="919" t="str">
        <f>IF(A17=FALSE,"",((RG17*TAXE)-(RG17*TAXE*RI17))+IF(RM17="N/A",0,IF(INDEX(LISTES!$F$105:$F$109,MATCH(RM17,LISTES!$C$105:$C$109,0))="FIX",RN17,RO17*RL17)))</f>
        <v/>
      </c>
      <c r="SA17" s="492" t="str">
        <f t="shared" si="372"/>
        <v/>
      </c>
      <c r="SB17" s="491" t="str">
        <f>IF(A17=FALSE,"",IF(LISTES!$A$17=1,Cotations!DF17,Cotations!DG17))</f>
        <v/>
      </c>
      <c r="SC17" s="285" t="str">
        <f t="shared" si="373"/>
        <v/>
      </c>
      <c r="SD17" s="300"/>
      <c r="SE17" s="461" t="str">
        <f t="shared" si="374"/>
        <v/>
      </c>
      <c r="SF17" s="490" t="str">
        <f>IF(A17=FALSE,"",Cotations!DK17*AA17)</f>
        <v/>
      </c>
      <c r="SG17" s="300" t="str">
        <f t="shared" si="375"/>
        <v/>
      </c>
      <c r="SH17" s="522" t="str">
        <f>IF(A17=FALSE,"",IF(Cotations!DH17="monthly",SG17/12*L17,SG17/365*M17))</f>
        <v/>
      </c>
      <c r="SI17" s="489" t="str">
        <f>IF(A17=FALSE,"",IF(Cotations!DL17="","",Cotations!DL17))</f>
        <v/>
      </c>
      <c r="SJ17" s="300" t="str">
        <f t="shared" si="376"/>
        <v/>
      </c>
      <c r="SK17" s="300" t="str">
        <f t="shared" si="377"/>
        <v/>
      </c>
      <c r="SL17" s="919" t="str">
        <f t="shared" si="378"/>
        <v/>
      </c>
      <c r="SM17" s="285" t="str">
        <f>IF(A17=FALSE,"",Cotations!DM17)</f>
        <v/>
      </c>
      <c r="SN17" s="515" t="str">
        <f>IF(A17=FALSE,"",Cotations!DN17)</f>
        <v/>
      </c>
      <c r="SO17" s="493" t="str">
        <f>IF(A17=FALSE,"",Cotations!DO17)</f>
        <v/>
      </c>
      <c r="SP17" s="517" t="str">
        <f>IF(A17=FALSE,"",IF(SM17="N/A",0,IF(INDEX(LISTES!$F$105:$F$109,MATCH(SM17,LISTES!$C$105:$C$109,0))="FIX",IF(INDEX(LISTES!$E$105:$E$109,MATCH(SM17,LISTES!$C$105:$C$109,0))=12,SN17/12*L17,SN17/365*M17),SO17*SL17)))</f>
        <v/>
      </c>
      <c r="SQ17" s="294" t="str">
        <f t="shared" si="379"/>
        <v/>
      </c>
      <c r="SR17" s="494" t="str">
        <f>IF(A17=FALSE,"",SQ17*Cotations!DP17)</f>
        <v/>
      </c>
      <c r="SS17" s="494" t="str">
        <f>IF(A17=FALSE,"",SQ17*Cotations!DQ17)</f>
        <v/>
      </c>
      <c r="ST17" s="338" t="str">
        <f t="shared" si="380"/>
        <v/>
      </c>
      <c r="SU17" s="919" t="str">
        <f>IF(A17=FALSE,"",((SG17*TAXE)-(SG17*TAXE*SI17))+IF(SM17="N/A",0,IF(INDEX(LISTES!$F$105:$F$109,MATCH(SM17,LISTES!$C$105:$C$109,0))="FIX",SN17,SO17*SL17)))</f>
        <v/>
      </c>
      <c r="SY17" s="716"/>
      <c r="TA17" s="492" t="str">
        <f>IF(A17=FALSE,"",Cotations!D17)</f>
        <v/>
      </c>
      <c r="TB17" s="491" t="str">
        <f>IF(A17=FALSE,"",IF(LISTES!$A$17=1,Cotations!DR17,Cotations!DS17))</f>
        <v/>
      </c>
      <c r="TC17" s="285" t="str">
        <f t="shared" si="381"/>
        <v/>
      </c>
      <c r="TD17" s="300" t="str">
        <f>IF(A17=FALSE,"",Detail!CQ17)</f>
        <v/>
      </c>
      <c r="TE17" s="461" t="str">
        <f t="shared" si="382"/>
        <v/>
      </c>
      <c r="TF17" s="490" t="str">
        <f>IF(A17=FALSE,"",IF(TA17="FIXE",Cotations!DU17,Cotations!DV17*Y17))</f>
        <v/>
      </c>
      <c r="TG17" s="300" t="str">
        <f t="shared" si="383"/>
        <v/>
      </c>
      <c r="TH17" s="522" t="str">
        <f>IF(A17=FALSE,"",IF(Cotations!DT17="monthly",TG17/12*L17,TG17/365*M17))</f>
        <v/>
      </c>
      <c r="TI17" s="489" t="str">
        <f>IF(A17=FALSE,"",IF(Cotations!DW17="","",Cotations!DW17))</f>
        <v/>
      </c>
      <c r="TJ17" s="300" t="str">
        <f t="shared" si="384"/>
        <v/>
      </c>
      <c r="TK17" s="300" t="str">
        <f t="shared" si="385"/>
        <v/>
      </c>
      <c r="TL17" s="919" t="str">
        <f t="shared" si="386"/>
        <v/>
      </c>
      <c r="TM17" s="517" t="str">
        <f>IF(A17=FALSE,"",Cotations!DX17)</f>
        <v/>
      </c>
      <c r="TN17" s="517" t="str">
        <f>IF(A17=FALSE,"",Cotations!DY17)</f>
        <v/>
      </c>
      <c r="TO17" s="493" t="str">
        <f>IF(A17=FALSE,"",Cotations!DZ17)</f>
        <v/>
      </c>
      <c r="TP17" s="517" t="str">
        <f>IF(A17=FALSE,"",IF(TM17="N/A",0,IF(INDEX(LISTES!$F$105:$F$109,MATCH(TM17,LISTES!$C$105:$C$109,0))="FIX",IF(INDEX(LISTES!$E$105:$E$109,MATCH(TM17,LISTES!$C$105:$C$109,0))=12,TN17/12*L17,TN17/365*M17),TO17*TL17)))</f>
        <v/>
      </c>
      <c r="TQ17" s="294" t="str">
        <f t="shared" si="387"/>
        <v/>
      </c>
      <c r="TR17" s="494" t="str">
        <f>IF(A17=FALSE,"",TQ17*Cotations!EA17)</f>
        <v/>
      </c>
      <c r="TS17" s="494" t="str">
        <f>IF(A17=FALSE,"",TQ17*Cotations!EB17)</f>
        <v/>
      </c>
      <c r="TT17" s="338" t="str">
        <f t="shared" si="388"/>
        <v/>
      </c>
      <c r="TU17" s="919" t="str">
        <f>IF(A17=FALSE,"",((TG17*(1+TAXE)-(TG17*(1+TAXE)*TI17))+IF(TM17="N/A",0,IF(INDEX(LISTES!$F$105:$F$109,MATCH(TM17,LISTES!$C$105:$C$109,0))="FIX",TN17,TO17*TL17))))</f>
        <v/>
      </c>
      <c r="UA17" s="492" t="str">
        <f>IF(A17=FALSE,"",Cotations!D17)</f>
        <v/>
      </c>
      <c r="UB17" s="491" t="str">
        <f>IF(A17=FALSE,"",IF(LISTES!$A$17=1,Cotations!EC17,Cotations!ED17))</f>
        <v/>
      </c>
      <c r="UC17" s="285" t="str">
        <f t="shared" si="389"/>
        <v/>
      </c>
      <c r="UD17" s="300" t="str">
        <f>IF(A17=FALSE,"",Detail!CY17)</f>
        <v/>
      </c>
      <c r="UE17" s="461" t="str">
        <f t="shared" si="390"/>
        <v/>
      </c>
      <c r="UF17" s="490" t="str">
        <f>IF(A17=FALSE,"",IF(UA17="FIXE",Cotations!EF17,Cotations!EG17*Y17))</f>
        <v/>
      </c>
      <c r="UG17" s="300" t="str">
        <f t="shared" si="391"/>
        <v/>
      </c>
      <c r="UH17" s="522" t="str">
        <f>IF(A17=FALSE,"",IF(Cotations!EE17="monthly",UG17/12*L17,UG17/365*M17))</f>
        <v/>
      </c>
      <c r="UI17" s="489" t="str">
        <f>IF(A17=FALSE,"",IF(Cotations!EH17="","",Cotations!EH17))</f>
        <v/>
      </c>
      <c r="UJ17" s="300" t="str">
        <f t="shared" si="392"/>
        <v/>
      </c>
      <c r="UK17" s="300" t="str">
        <f t="shared" si="393"/>
        <v/>
      </c>
      <c r="UL17" s="919" t="str">
        <f t="shared" si="394"/>
        <v/>
      </c>
      <c r="UM17" s="517" t="str">
        <f>IF(A17=FALSE,"",Cotations!EI17)</f>
        <v/>
      </c>
      <c r="UN17" s="517" t="str">
        <f>IF(A17=FALSE,"",Cotations!EJ17)</f>
        <v/>
      </c>
      <c r="UO17" s="493" t="str">
        <f>IF(A17=FALSE,"",Cotations!EK17)</f>
        <v/>
      </c>
      <c r="UP17" s="517" t="str">
        <f>IF(A17=FALSE,"",IF(UM17="N/A",0,IF(INDEX(LISTES!$F$105:$F$109,MATCH(UM17,LISTES!$C$105:$C$109,0))="FIX",IF(INDEX(LISTES!$E$105:$E$109,MATCH(UM17,LISTES!$C$105:$C$109,0))=12,UN17/12*L17,UN17/365*M17),UO17*UL17)))</f>
        <v/>
      </c>
      <c r="UQ17" s="294" t="str">
        <f t="shared" si="395"/>
        <v/>
      </c>
      <c r="UR17" s="494" t="str">
        <f>IF(A17=FALSE,"",UQ17*Cotations!EL17)</f>
        <v/>
      </c>
      <c r="US17" s="494" t="str">
        <f>IF(A17=FALSE,"",UQ17*Cotations!EM17)</f>
        <v/>
      </c>
      <c r="UT17" s="338" t="str">
        <f t="shared" si="396"/>
        <v/>
      </c>
      <c r="UU17" s="919" t="str">
        <f>IF(A17=FALSE,"",((UG17*(1+TAXE)-(UG17*(1+TAXE)*UI17))+IF(UM17="N/A",0,IF(INDEX(LISTES!$F$105:$F$109,MATCH(UM17,LISTES!$C$105:$C$109,0))="FIX",UN17,UO17*UL17))))</f>
        <v/>
      </c>
      <c r="VA17" s="492" t="str">
        <f>IF(A17=FALSE,"",Cotations!D17)</f>
        <v/>
      </c>
      <c r="VB17" s="519" t="str">
        <f>IF(A17=FALSE,"",IF(LISTES!$A$17=1,Cotations!EN17,Cotations!EO17))</f>
        <v/>
      </c>
      <c r="VC17" s="291" t="str">
        <f t="shared" si="397"/>
        <v/>
      </c>
      <c r="VD17" s="291" t="str">
        <f t="shared" si="398"/>
        <v/>
      </c>
      <c r="VE17" s="291"/>
      <c r="VF17" s="463"/>
      <c r="VG17" s="463" t="str">
        <f t="shared" si="399"/>
        <v/>
      </c>
      <c r="VH17" s="522" t="str">
        <f>IF(A17=FALSE,"",IF(Cotations!$AQ$4="monthly",VG17/12*L17,VG17/365*M17))</f>
        <v/>
      </c>
      <c r="VI17" s="489" t="str">
        <f>IF(A17=FALSE,"",Cotations!$AR$4)</f>
        <v/>
      </c>
      <c r="VJ17" s="300" t="str">
        <f t="shared" si="400"/>
        <v/>
      </c>
      <c r="VK17" s="300" t="str">
        <f t="shared" si="401"/>
        <v/>
      </c>
      <c r="VL17" s="294" t="str">
        <f t="shared" si="402"/>
        <v/>
      </c>
      <c r="VM17" s="494" t="str">
        <f>IF(A17=FALSE,"",Cotations!$AS$4)</f>
        <v/>
      </c>
      <c r="VN17" s="494" t="str">
        <f>IF(A17=FALSE,"",Cotations!$AT$4)</f>
        <v/>
      </c>
      <c r="VO17" s="489" t="str">
        <f>IF(A17=FALSE,"",Cotations!$AU$4)</f>
        <v/>
      </c>
      <c r="VP17" s="494" t="str">
        <f>IF(A17=FALSE,"",IF(VM17="N/A",0,IF(INDEX(LISTES!$F$105:$F$109,MATCH(VM17,LISTES!$C$105:$C$109,0))="FIX",IF(INDEX(LISTES!$E$105:$E$109,MATCH(VM17,LISTES!$C$105:$C$109,0))=12,VN17/12*L17,VN17/365*M17),VO17*VL17)))</f>
        <v/>
      </c>
      <c r="VQ17" s="294" t="str">
        <f t="shared" si="403"/>
        <v/>
      </c>
      <c r="VR17" s="494" t="str">
        <f>IF(A17=FALSE,"",VQ17*Cotations!$AV$4)</f>
        <v/>
      </c>
      <c r="VS17" s="494" t="str">
        <f>IF(A17=FALSE,"",VQ17*Cotations!$AW$4)</f>
        <v/>
      </c>
      <c r="VT17" s="465" t="str">
        <f t="shared" si="404"/>
        <v/>
      </c>
      <c r="VU17" s="919" t="str">
        <f>IF(A17=FALSE,"",((VG17*TAXE)-(VG17*TAXE*VI17))+IF(VM17="N/A",0,IF(INDEX(LISTES!$F$105:$F$109,MATCH(VM17,LISTES!$C$105:$C$109,0))="FIX",VN17,VO17*VL17)))</f>
        <v/>
      </c>
      <c r="WA17" s="492" t="str">
        <f>IF(A17=FALSE,"",Cotations!D17)</f>
        <v/>
      </c>
      <c r="WB17" s="519" t="str">
        <f>IF(A17=FALSE,"",IF(LISTES!$A$17=1,Cotations!EW17,Cotations!EX17))</f>
        <v/>
      </c>
      <c r="WC17" s="291" t="str">
        <f t="shared" si="405"/>
        <v/>
      </c>
      <c r="WD17" s="291" t="str">
        <f t="shared" si="406"/>
        <v/>
      </c>
      <c r="WE17" s="291"/>
      <c r="WF17" s="463"/>
      <c r="WG17" s="463" t="str">
        <f t="shared" si="407"/>
        <v/>
      </c>
      <c r="WH17" s="522" t="str">
        <f>IF(A17=FALSE,"",IF(Cotations!$AQ$4="monthly",WG17/12*L17,WG17/365*M17))</f>
        <v/>
      </c>
      <c r="WI17" s="489" t="str">
        <f>IF(A17=FALSE,"",Cotations!$AR$4)</f>
        <v/>
      </c>
      <c r="WJ17" s="300" t="str">
        <f t="shared" si="408"/>
        <v/>
      </c>
      <c r="WK17" s="300" t="str">
        <f t="shared" si="409"/>
        <v/>
      </c>
      <c r="WL17" s="294" t="str">
        <f t="shared" si="410"/>
        <v/>
      </c>
      <c r="WM17" s="494" t="str">
        <f>IF(A17=FALSE,"",Cotations!$AS$4)</f>
        <v/>
      </c>
      <c r="WN17" s="494" t="str">
        <f>IF(A17=FALSE,"",Cotations!$AT$4)</f>
        <v/>
      </c>
      <c r="WO17" s="489" t="str">
        <f>IF(A17=FALSE,"",Cotations!$AU$4)</f>
        <v/>
      </c>
      <c r="WP17" s="494" t="str">
        <f>IF(A17=FALSE,"",IF(WM17="N/A",0,IF(INDEX(LISTES!$F$105:$F$109,MATCH(WM17,LISTES!$C$105:$C$109,0))="FIX",IF(INDEX(LISTES!$E$105:$E$109,MATCH(WM17,LISTES!$C$105:$C$109,0))=12,WN17/12*L17,WN17/365*M17),WO17*WL17)))</f>
        <v/>
      </c>
      <c r="WQ17" s="294" t="str">
        <f t="shared" si="411"/>
        <v/>
      </c>
      <c r="WR17" s="494" t="str">
        <f>IF(A17=FALSE,"",WQ17*Cotations!$AV$4)</f>
        <v/>
      </c>
      <c r="WS17" s="494" t="str">
        <f>IF(A17=FALSE,"",WQ17*Cotations!$AW$4)</f>
        <v/>
      </c>
      <c r="WT17" s="465" t="str">
        <f t="shared" si="412"/>
        <v/>
      </c>
      <c r="WU17" s="919" t="str">
        <f>IF(A17=FALSE,"",((WG17*TAXE)-(WG17*TAXE*WI17))+IF(WM17="N/A",0,IF(INDEX(LISTES!$F$105:$F$109,MATCH(WM17,LISTES!$C$105:$C$109,0))="FIX",WN17,WO17*WL17)))</f>
        <v/>
      </c>
    </row>
    <row r="18" spans="1:619" s="296" customFormat="1">
      <c r="A18" s="942" t="b">
        <f t="shared" si="221"/>
        <v>0</v>
      </c>
      <c r="B18" s="942" t="b">
        <f>IF(NAMES!$B$9=TRUE,TRUE,FALSE)</f>
        <v>1</v>
      </c>
      <c r="C18" s="942" t="b">
        <f t="shared" si="413"/>
        <v>0</v>
      </c>
      <c r="D18" s="942" t="b">
        <f t="shared" si="414"/>
        <v>1</v>
      </c>
      <c r="E18" s="274" t="b">
        <f>IF(Cotations!C18="","",Cotations!C18)</f>
        <v>0</v>
      </c>
      <c r="F18" s="274" t="str">
        <f>IF(Cotations!D18="","",Cotations!D18)</f>
        <v>PROP</v>
      </c>
      <c r="G18" s="274" t="str">
        <f>IF(Cotations!E18="","",Cotations!E18)</f>
        <v>2015-2016!</v>
      </c>
      <c r="H18" s="274" t="str">
        <f>IF(Cotations!F18="","",Cotations!F18)</f>
        <v>SINGLE</v>
      </c>
      <c r="I18" s="274" t="str">
        <f>IF(Cotations!G18="","",Cotations!G18)</f>
        <v/>
      </c>
      <c r="J18" s="274" t="str">
        <f>IF(Cotations!H18="","",Cotations!H18)</f>
        <v/>
      </c>
      <c r="K18" s="274" t="str">
        <f>IF(Cotations!I18="","",Cotations!I18)</f>
        <v/>
      </c>
      <c r="L18" s="274" t="str">
        <f>IF(A18=FALSE,"",IF(Cotations!N18="","",Cotations!N18))</f>
        <v/>
      </c>
      <c r="M18" s="274" t="str">
        <f>IF(Cotations!P18="","",Cotations!P18)</f>
        <v/>
      </c>
      <c r="N18" s="724">
        <f>IF(NAMES!$B$10=TRUE,Cotations!J18,Cotations!L18)</f>
        <v>42561</v>
      </c>
      <c r="O18" s="724">
        <f>IF(NAMES!$B$10=TRUE,Cotations!K18,Cotations!M18)</f>
        <v>42578</v>
      </c>
      <c r="P18" s="943" t="str">
        <f t="shared" si="415"/>
        <v>juillet</v>
      </c>
      <c r="Q18" s="724" t="str">
        <f>IF(A18=FALSE,"",IF(Crewlist!Y18="","",Crewlist!Y18))</f>
        <v/>
      </c>
      <c r="R18" s="78" t="str">
        <f>IF(Cotations!U18="","",Cotations!U18)</f>
        <v/>
      </c>
      <c r="S18" s="943" t="str">
        <f t="shared" si="416"/>
        <v/>
      </c>
      <c r="T18" s="919" t="str">
        <f>IF(A18=FALSE,"",VLOOKUP($U$15:$U$120,Currency!$A$2:$D$10,4,0)*Crewlist!N18)</f>
        <v/>
      </c>
      <c r="U18" s="1355" t="str">
        <f>IF(A18=FALSE,"",IF(IT18=0,Crewlist!M18&amp;"/"&amp;EX18,Crewlist!M18&amp;"/"&amp;IT18))</f>
        <v/>
      </c>
      <c r="V18" s="919" t="str">
        <f>IF(A18=FALSE,"",VLOOKUP($U$15:$U$120,Currency!$A$2:$D$10,4,0)*Detail!Q18)</f>
        <v/>
      </c>
      <c r="W18" s="1355" t="str">
        <f>IF(A18=FALSE,"",IF(IT18=0,Detail!R18&amp;"/"&amp;EX18,Detail!R18&amp;"/"&amp;IT18))</f>
        <v/>
      </c>
      <c r="X18" s="919" t="str">
        <f>IF(A18=FALSE,"",IF(LISTES!$C$17="Crewlist",Calcul!T18,Calcul!V18))</f>
        <v/>
      </c>
      <c r="Y18" s="758" t="str">
        <f t="shared" si="417"/>
        <v/>
      </c>
      <c r="Z18" s="758" t="str">
        <f>IF(A18=FALSE,"",IF(X18=0,0,IF((Cotations!BC18*12*X18)&lt;50000,50000,(12*X18))))</f>
        <v/>
      </c>
      <c r="AA18" s="758" t="str">
        <f t="shared" si="418"/>
        <v/>
      </c>
      <c r="AB18" s="758" t="str">
        <f>IF(A18=FALSE,"",IF(Crewlist!O18=0,"",Crewlist!O18))</f>
        <v/>
      </c>
      <c r="AC18" s="758" t="str">
        <f>IF(I18="","",VLOOKUP($AB$15:$AB$120,Currency!$A$15:$B$34,2,0))</f>
        <v/>
      </c>
      <c r="AD18" s="758" t="str">
        <f t="shared" si="419"/>
        <v/>
      </c>
      <c r="AE18" s="758" t="str">
        <f t="shared" si="420"/>
        <v/>
      </c>
      <c r="AF18" s="758" t="str">
        <f t="shared" si="421"/>
        <v/>
      </c>
      <c r="AG18" s="758" t="str">
        <f t="shared" si="422"/>
        <v/>
      </c>
      <c r="AH18" s="1355" t="str">
        <f t="shared" si="222"/>
        <v/>
      </c>
      <c r="AI18" s="919" t="str">
        <f t="shared" si="423"/>
        <v/>
      </c>
      <c r="AJ18" s="1382" t="str">
        <f t="shared" si="424"/>
        <v/>
      </c>
      <c r="AK18" s="1382" t="str">
        <f t="shared" si="425"/>
        <v/>
      </c>
      <c r="AL18" s="238" t="str">
        <f t="shared" si="223"/>
        <v/>
      </c>
      <c r="AM18" s="238" t="str">
        <f t="shared" si="224"/>
        <v/>
      </c>
      <c r="AN18" s="1374" t="str">
        <f t="shared" si="225"/>
        <v/>
      </c>
      <c r="AO18" s="238" t="str">
        <f t="shared" si="226"/>
        <v/>
      </c>
      <c r="AP18" s="342" t="str">
        <f>IF(A18=FALSE,"",INDEX(Rates!$Z$5:$Z$367,MATCH(EB18,colchoice,0)))</f>
        <v/>
      </c>
      <c r="AQ18" s="238" t="str">
        <f t="shared" si="227"/>
        <v/>
      </c>
      <c r="AR18" s="238" t="str">
        <f t="shared" si="426"/>
        <v/>
      </c>
      <c r="AS18" s="238" t="str">
        <f t="shared" si="427"/>
        <v/>
      </c>
      <c r="AT18" s="238" t="str">
        <f t="shared" si="428"/>
        <v/>
      </c>
      <c r="AU18" s="238" t="str">
        <f t="shared" si="228"/>
        <v/>
      </c>
      <c r="AV18" s="238" t="str">
        <f t="shared" si="429"/>
        <v/>
      </c>
      <c r="AW18" s="238" t="str">
        <f t="shared" si="229"/>
        <v/>
      </c>
      <c r="AX18" s="238" t="str">
        <f t="shared" si="230"/>
        <v/>
      </c>
      <c r="AY18" s="238" t="str">
        <f t="shared" si="231"/>
        <v/>
      </c>
      <c r="AZ18" s="238" t="str">
        <f t="shared" si="232"/>
        <v/>
      </c>
      <c r="BA18" s="238" t="str">
        <f t="shared" si="233"/>
        <v/>
      </c>
      <c r="BB18" s="552" t="str">
        <f t="shared" si="234"/>
        <v/>
      </c>
      <c r="BC18" s="347" t="str">
        <f t="shared" si="235"/>
        <v/>
      </c>
      <c r="BD18" s="239" t="str">
        <f t="shared" si="430"/>
        <v/>
      </c>
      <c r="BE18" s="239" t="str">
        <f>IF(A18=FALSE,"",IF(ALLTHESAME=TRUE,IF(DF18&lt;&gt;$BC$7,0,INDEX(DD18:DZ18,1,MATCH(Structure!$D$12,$DD$14:$DZ$14,0))),IF(EC18&lt;&gt;$BC$7,0,INDEX(EA18:EZ18,1,MATCH(Structure!$D$12,$EA$14:$EZ$14,0)))))</f>
        <v/>
      </c>
      <c r="BF18" s="239" t="str">
        <f>IF(A18=FALSE,"",IF(ALLTHESAME=TRUE,IF(FC18&lt;&gt;$BC$7,0,INDEX(FA18:FZ18,1,MATCH(Structure!$D$12,$FA$14:$FZ$14,0))),IF(GC18&lt;&gt;$BC$7,0,INDEX(GA18:GZ18,1,MATCH(Structure!$D$12,$GA$14:$GZ$14,0)))))</f>
        <v/>
      </c>
      <c r="BG18" s="239" t="str">
        <f>IF(A18=FALSE,"",IF(ALLTHESAME=TRUE,IF(VC18&lt;&gt;$BC$7,0,INDEX(VA18:VZ18,1,MATCH(Structure!$D$12,$VA$14:$VZ$14,0))),IF(VC18&lt;&gt;$BC$7,0,INDEX(VA18:VZ18,1,MATCH(Structure!$D$12,$VA$14:$VZ$14,0)))))</f>
        <v/>
      </c>
      <c r="BH18" s="239" t="str">
        <f>IF(A18=FALSE,"",IF(ALLTHESAME=TRUE,IF(WC18&lt;&gt;$BC$7,0,INDEX(WA18:WY18,1,MATCH(Structure!$D$12,$WA$14:$WZ$14,0))),IF(WC18&lt;&gt;$BC$7,0,INDEX(WA18:WZ18,1,MATCH(Structure!$D$12,$WA$14:$WZ$14,0)))))</f>
        <v/>
      </c>
      <c r="BI18" s="763" t="str">
        <f>IF(A18=FALSE,"",IF(ALLTHESAME=TRUE,IF(HC18&lt;&gt;$BC$7,0,INDEX(HA18:HZ18,1,MATCH(Structure!$D$12,$HA$14:$HZ$14,0)))+TK18,IF(IC18&lt;&gt;$BC$7,0,INDEX(IA18:IZ18,1,MATCH(Structure!$D$12,$IA$14:$IZ$14,0)))+TK18))</f>
        <v/>
      </c>
      <c r="BJ18" s="239" t="str">
        <f>IF(A18=FALSE,"",IF(ALLTHESAME=TRUE,IF(JC18&lt;&gt;$BC$7,0,INDEX(JA18:JZ18,1,MATCH(Structure!$D$12,$JA$14:$JZ$14,0))),IF(KC18&lt;&gt;$BC$7,0,INDEX(KA18:KZ18,1,MATCH(Structure!$D$12,$KA$14:$KZ$14,0)))))</f>
        <v/>
      </c>
      <c r="BK18" s="763" t="str">
        <f>IF(A18=FALSE,"",IF(ALLTHESAME=TRUE,IF(LC18&lt;&gt;$BC$7,0,INDEX(LA18:LZ18,1,MATCH(Structure!$D$12,$LA$14:$LZ$14,0)))+UK18,IF(MC18&lt;&gt;$BC$7,0,INDEX(MA18:MZ18,1,MATCH(Structure!$D$12,$MA$14:$MZ$14,0)))+UK18))</f>
        <v/>
      </c>
      <c r="BL18" s="239" t="str">
        <f>IF(A18=FALSE,"",IF(ALLTHESAME=TRUE,IF(NC18&lt;&gt;$BC$7,0,INDEX(NA18:NZ18,1,MATCH(Structure!$D$12,$NA$14:$NZ$14,0))),IF(OC18&lt;&gt;$BC$7,0,INDEX(OA18:OZ18,1,MATCH(Structure!$D$12,$OA$14:$OZ$14,0)))))</f>
        <v/>
      </c>
      <c r="BM18" s="239" t="str">
        <f>IF(A18=FALSE,"",IF(ALLTHESAME=TRUE,IF(PC18&lt;&gt;$BC$7,0,INDEX(PA18:PZ18,1,MATCH(Structure!$D$12,$PA$14:$PZ$14,0))),IF(QC18&lt;&gt;$BC$7,0,INDEX(QA18:QZ18,1,MATCH(Structure!$D$12,$QA$14:$QZ$14,0)))))</f>
        <v/>
      </c>
      <c r="BN18" s="341" t="str">
        <f>IF(A18=FALSE,"",IF(ALLTHESAME=TRUE,IF(RC18&lt;&gt;$BC$7,0,INDEX(RA18:RZ18,1,MATCH(Structure!$D$12,$RA$14:$RZ$14,0))),IF(SC18&lt;&gt;$BC$7,0,INDEX(SA18:TA18,1,MATCH(Structure!$D$12,$SA$14:$TA$14,0)))))</f>
        <v/>
      </c>
      <c r="BO18" s="507" t="str">
        <f t="shared" si="236"/>
        <v/>
      </c>
      <c r="BP18" s="239" t="str">
        <f t="shared" si="237"/>
        <v/>
      </c>
      <c r="BQ18" s="239" t="str">
        <f>IF(A18=FALSE,"",IF(ALLTHESAME=TRUE,IF(DF18&lt;&gt;$BO$7,0,INDEX(DD18:DZ18,1,MATCH(Structure!$D$12,$DD$14:$DZ$14,0))),IF(EC18&lt;&gt;$BO$7,0,INDEX(EA18:EZ18,1,MATCH(Structure!$D$12,$EA$14:$EZ$14,0)))))</f>
        <v/>
      </c>
      <c r="BR18" s="239" t="str">
        <f>IF(A18=FALSE,"",IF(ALLTHESAME=TRUE,IF(FC18&lt;&gt;$BO$7,0,INDEX(FA18:FZ18,1,MATCH(Structure!$D$12,$FA$14:$FZ$14,0))),IF(GC18&lt;&gt;$BO$7,0,INDEX(GA18:GZ18,1,MATCH(Structure!$D$12,$GA$14:$GZ$14,0)))))</f>
        <v/>
      </c>
      <c r="BS18" s="239" t="str">
        <f>IF(A18=FALSE,"",IF(ALLTHESAME=TRUE,IF(HC18&lt;&gt;$BO$7,0,INDEX(HA18:HZ18,1,MATCH(Structure!$D$12,$HA$14:$HZ$14,0))),IF(IC18&lt;&gt;$BO$7,0,INDEX(IA18:IZ18,1,MATCH(Structure!$D$12,$IA$14:$IZ$14,0)))))</f>
        <v/>
      </c>
      <c r="BT18" s="239" t="str">
        <f>IF(A18=FALSE,"",IF(ALLTHESAME=TRUE,IF(JC18&lt;&gt;$BO$7,0,INDEX(JA18:JZ18,1,MATCH(Structure!$D$12,$JA$14:$JZ$14,0))),IF(KC18&lt;&gt;$BO$7,0,INDEX(KA18:KZ18,1,MATCH(Structure!$D$12,$KA$14:$KZ$14,0)))))</f>
        <v/>
      </c>
      <c r="BU18" s="239" t="str">
        <f>IF(A18=FALSE,"",IF(ALLTHESAME=TRUE,IF(LC18&lt;&gt;$BO$7,0,INDEX(LA18:LZ18,1,MATCH(Structure!$D$12,$LA$14:$LZ$14,0))),IF(MC18&lt;&gt;$BO$7,0,INDEX(MA18:MZ18,1,MATCH(Structure!$D$12,$MA$14:$MZ$14,0)))))</f>
        <v/>
      </c>
      <c r="BV18" s="239" t="str">
        <f>IF(A18=FALSE,"",IF(ALLTHESAME=TRUE,IF(NC18&lt;&gt;$BO$7,0,INDEX(NA18:NZ18,1,MATCH(Structure!$D$12,$NA$14:$NZ$14,0))),IF(OC18&lt;&gt;$BO$7,0,INDEX(OA18:OZ18,1,MATCH(Structure!$D$12,$OA$14:$OZ$14,0)))))</f>
        <v/>
      </c>
      <c r="BW18" s="239" t="str">
        <f>IF(A18=FALSE,"",IF(ALLTHESAME=TRUE,IF(PC18&lt;&gt;$BO$7,0,INDEX(PA18:PZ18,1,MATCH(Structure!$D$12,$PA$14:$PZ$14,0))),IF(QC18&lt;&gt;$BO$7,0,INDEX(QA18:QZ18,1,MATCH(Structure!$D$12,$QA$14:$QZ$14,0)))))</f>
        <v/>
      </c>
      <c r="BX18" s="341" t="str">
        <f>IF(A18=FALSE,"",IF(ALLTHESAME=TRUE,IF(RC18&lt;&gt;$BO$7,0,INDEX(RA18:RZ18,1,MATCH(Structure!$D$12,$RA$14:$RZ$14,0))),IF(SC18&lt;&gt;$BO$7,0,INDEX(SA18:TA18,1,MATCH(Structure!$D$12,$SA$14:$TA$14,0)))))</f>
        <v/>
      </c>
      <c r="BY18" s="347" t="str">
        <f t="shared" si="238"/>
        <v/>
      </c>
      <c r="BZ18" s="507" t="str">
        <f t="shared" si="239"/>
        <v/>
      </c>
      <c r="CA18" s="239" t="str">
        <f t="shared" si="240"/>
        <v/>
      </c>
      <c r="CB18" s="239" t="str">
        <f>IF(A18=FALSE,"",IF(ALLTHESAME=TRUE,INDEX(DD18:DZ18,MATCH(DF18,DF18:DF123,0),MATCH(Structure!$D$17,$DD$14:$DZ$14,0)),INDEX(EA18:EZ18,MATCH(EC18,EC18:EC123,0),MATCH(Structure!$D$17,$EA$14:$EZ$14,0))))</f>
        <v/>
      </c>
      <c r="CC18" s="239" t="str">
        <f>IF(A18=FALSE,"",IF(ALLTHESAME=TRUE,INDEX(FA18:FZ18,MATCH(FC18,FC18:FC123,0),MATCH(Structure!$D$17,$FA$14:$FZ$14,0)),INDEX(GA18:GZ18,MATCH(GC18,GC18:GC123,0),MATCH(Structure!$D$17,$GA$14:$GZ$14,0))))</f>
        <v/>
      </c>
      <c r="CD18" s="239" t="str">
        <f>IF(A18=FALSE,"",IF(ALLTHESAME=TRUE,INDEX(HA18:HZ18,MATCH(HC18,HC18:HC123,0),MATCH(Structure!$D$17,$HA$14:$HZ$14,0)),INDEX(IA18:IZ18,MATCH(IC18,IC18:IC123,0),MATCH(Structure!$D$17,$IA$14:$IZ$14,0))))</f>
        <v/>
      </c>
      <c r="CE18" s="239" t="str">
        <f>IF(A18=FALSE,"",IF(ALLTHESAME=TRUE,INDEX(JA18:JZ18,MATCH(JC18,JC18:JC123,0),MATCH(Structure!$D$17,$JA$14:$JZ$14,0)),INDEX(KA18:KZ18,MATCH(KC18,KC18:KC123,0),MATCH(Structure!$D$17,$KA$14:$KZ$14,0))))</f>
        <v/>
      </c>
      <c r="CF18" s="239" t="str">
        <f>IF(A18=FALSE,"",IF(ALLTHESAME=TRUE,INDEX(LA18:LZ18,MATCH(LC18,LC18:LC123,0),MATCH(Structure!$D$17,$LA$14:$LZ$14,0)),INDEX(MA18:MZ18,MATCH(MC18,MC18:MC123,0),MATCH(Structure!$D$17,$MA$14:$MZ$14,0))))</f>
        <v/>
      </c>
      <c r="CG18" s="239" t="str">
        <f>IF(A18=FALSE,"",IF(ALLTHESAME=TRUE,INDEX(NA18:NZ18,MATCH(NC18,NC18:NC123,0),MATCH(Structure!$D$17,$NA$14:$NZ$14,0)),INDEX(OA18:OZ18,MATCH(OC18,OC18:OC123,0),MATCH(Structure!$D$17,$OA$14:$OZ$14,0))))</f>
        <v/>
      </c>
      <c r="CH18" s="239" t="str">
        <f>IF(A18=FALSE,"",IF(ALLTHESAME=TRUE,INDEX(PA18:PZ18,MATCH(PC18,PC18:PC123,0),MATCH(Structure!$D$17,$PA$14:$PZ$14,0)),INDEX(QA18:QZ18,MATCH(QC18,QC18:QC123,0),MATCH(Structure!$D$17,$QA$14:$QZ$14,0))))</f>
        <v/>
      </c>
      <c r="CI18" s="341" t="str">
        <f>IF(A18=FALSE,"",IF(ALLTHESAME=TRUE,INDEX(RA18:RZ18,MATCH(RC18,RC18:RC123,0),MATCH(Structure!$D$17,$RA$14:$RZ$14,0)),INDEX(SA18:TC18,MATCH(SC18,SC18:SC123,0),MATCH(Structure!$D$17,$SA$14:$TC$14,0))))</f>
        <v/>
      </c>
      <c r="CJ18" s="347"/>
      <c r="CK18" s="239" t="str">
        <f t="shared" si="241"/>
        <v/>
      </c>
      <c r="CL18" s="239" t="str">
        <f>IF(A18=FALSE,"",IF(ALLTHESAME=TRUE,INDEX(DD18:DZ18,MATCH(DF18,DF18:DF123,0),MATCH(Structure!$D$22,$DD$14:$DZ$14,0)),INDEX(EA18:EZ18,MATCH(EC18,EC18:EC123,0),MATCH(Structure!$D$22,$EA$14:$EZ$14,0))))</f>
        <v/>
      </c>
      <c r="CM18" s="239" t="str">
        <f>IF(A18=FALSE,"",IF(ALLTHESAME=TRUE,INDEX(FA18:FZ18,MATCH(FC18,FC18:FC123,0),MATCH(Structure!$D$22,$FA$14:$FZ$14,0)),INDEX(GA18:GZ18,MATCH(GC18,GC18:GC123,0),MATCH(Structure!$D$22,$GA$14:$GZ$14,0))))</f>
        <v/>
      </c>
      <c r="CN18" s="239" t="str">
        <f>IF(A18=FALSE,"",IF(ALLTHESAME=TRUE,INDEX(HA18:HZ18,MATCH(HC18,HC18:HC123,0),MATCH(Structure!$D$22,$HA$14:$HZ$14,0)),INDEX(IA18:IZ18,MATCH(IC18,IC18:IC123,0),MATCH(Structure!$D$22,$IA$14:$IZ$14,0))))</f>
        <v/>
      </c>
      <c r="CO18" s="239" t="str">
        <f>IF(A18=FALSE,"",IF(ALLTHESAME=TRUE,INDEX(JA18:JZ18,MATCH(JC18,JC18:JC123,0),MATCH(Structure!$D$22,$JA$14:$JZ$14,0)),INDEX(KA18:KZ18,MATCH(KC18,KC18:KC123,0),MATCH(Structure!$D$22,$KA$14:$KZ$14,0))))</f>
        <v/>
      </c>
      <c r="CP18" s="239" t="str">
        <f>IF(A18=FALSE,"",IF(ALLTHESAME=TRUE,INDEX(LA18:LZ18,MATCH(LC18,LC18:LC123,0),MATCH(Structure!$D$22,$LA$14:$LZ$14,0)),INDEX(MA18:MZ18,MATCH(MC18,MC18:MC123,0),MATCH(Structure!$D$22,$MA$14:$MZ$14,0))))</f>
        <v/>
      </c>
      <c r="CQ18" s="239" t="str">
        <f>IF(A18=FALSE,"",IF(ALLTHESAME=TRUE,INDEX(NA18:NZ18,MATCH(NC18,NC18:NC123,0),MATCH(Structure!$D$22,$NA$14:$NZ$14,0)),INDEX(OA18:OZ18,MATCH(OC18,OC18:OC123,0),MATCH(Structure!$D$22,$OA$14:$OZ$14,0))))</f>
        <v/>
      </c>
      <c r="CR18" s="239" t="str">
        <f>IF(A18=FALSE,"",IF(ALLTHESAME=TRUE,INDEX(PA18:PZ18,MATCH(PC18,PC18:PC123,0),MATCH(Structure!$D$22,$PA$14:$PZ$14,0)),INDEX(QA18:QZ18,MATCH(QC18,QC18:QC123,0),MATCH(Structure!$D$22,$QA$14:$QZ$14,0))))</f>
        <v/>
      </c>
      <c r="CS18" s="341" t="str">
        <f>IF(A18=FALSE,"",IF(ALLTHESAME=TRUE,INDEX(RA18:RZ18,MATCH(RC18,RC18:RC123,0),MATCH(Structure!$D$22,$RA$14:$RZ$14,0)),INDEX(SA18:TC18,MATCH(SC18,SC18:SC123,0),MATCH(Structure!$D$22,$SA$14:$TC$14,0))))</f>
        <v/>
      </c>
      <c r="CT18" s="347"/>
      <c r="CU18" s="239" t="str">
        <f t="shared" si="242"/>
        <v/>
      </c>
      <c r="CV18" s="239" t="str">
        <f>IF(A18=FALSE,"",IF(ALLTHESAME=TRUE,INDEX(DD18:DZ18,MATCH(DF18,DF18:DF123,0),MATCH(Structure!$D$8,$DD$14:$DZ$14,0)),INDEX(EA18:EZ18,MATCH(EC18,EC18:EC123,0),MATCH(Structure!$D$8,$EA$14:$EZ$14,0))))</f>
        <v/>
      </c>
      <c r="CW18" s="239" t="str">
        <f>IF(A18=FALSE,"",IF(ALLTHESAME=TRUE,INDEX(FA18:FZ18,MATCH(FC18,FC18:FC123,0),MATCH(Structure!$D$8,$FA$14:$FZ$14,0)),INDEX(GA18:GZ18,MATCH(GC18,GC18:GC123,0),MATCH(Structure!$D$8,$GA$14:$GZ$14,0))))</f>
        <v/>
      </c>
      <c r="CX18" s="239" t="str">
        <f>IF(A18=FALSE,"",IF(ALLTHESAME=TRUE,INDEX(HA18:HZ18,MATCH(HC18,HC18:HC123,0),MATCH(Structure!$D$8,$HA$14:$HZ$14,0)),INDEX(IA18:IZ18,MATCH(IC18,IC18:IC123,0),MATCH(Structure!$D$8,$IA$14:$IZ$14,0))))</f>
        <v/>
      </c>
      <c r="CY18" s="239" t="str">
        <f>IF(A18=FALSE,"",IF(ALLTHESAME=TRUE,INDEX(JA18:JZ18,MATCH(JC18,JC18:JC123,0),MATCH(Structure!$D$8,$JA$14:$JZ$14,0)),INDEX(KA18:KZ18,MATCH(KC18,KC18:KC123,0),MATCH(Structure!$D$8,$KA$14:$KZ$14,0))))</f>
        <v/>
      </c>
      <c r="CZ18" s="239" t="str">
        <f>IF(A18=FALSE,"",IF(ALLTHESAME=TRUE,INDEX(LA18:LZ18,MATCH(LC18,LC18:LC123,0),MATCH(Structure!$D$8,$LA$14:$LZ$14,0)),INDEX(MA18:MZ18,MATCH(MC18,MC18:MC123,0),MATCH(Structure!$D$8,$MA$14:$MZ$14,0))))</f>
        <v/>
      </c>
      <c r="DA18" s="239" t="str">
        <f>IF(A18=FALSE,"",IF(ALLTHESAME=TRUE,INDEX(NA18:NZ18,MATCH(NC18,NC18:NC123,0),MATCH(Structure!$D$8,$NA$14:$NZ$14,0)),INDEX(OA18:OZ18,MATCH(OC18,OC18:OC123,0),MATCH(Structure!$D$8,$OA$14:$OZ$14,0))))</f>
        <v/>
      </c>
      <c r="DB18" s="239" t="str">
        <f>IF(A18=FALSE,"",IF(ALLTHESAME=TRUE,INDEX(PA18:PZ18,MATCH(PC18,PC18:PC123,0),MATCH(Structure!$D$8,$PA$14:$PZ$14,0)),INDEX(QA18:QZ18,MATCH(QC18,QC18:QC123,0),MATCH(Structure!$D$8,$QA$14:$QZ$14,0))))</f>
        <v/>
      </c>
      <c r="DC18" s="341" t="str">
        <f>IF(A18=FALSE,"",IF(ALLTHESAME=TRUE,INDEX(RA18:RZ18,MATCH(RC18,RC18:RC123,0),MATCH(Structure!$D$8,$RA$14:$RZ$14,0)),INDEX(SA18:TC18,MATCH(SC18,SC18:SC123,0),MATCH(Structure!$D$8,$SA$14:$TC$14,0))))</f>
        <v/>
      </c>
      <c r="DD18" s="492" t="str">
        <f>IF(A18=FALSE,"",Cotations!D18)</f>
        <v/>
      </c>
      <c r="DE18" s="492" t="str">
        <f>IF(A18=FALSE,"",IF(LISTES!$A$17=1,Cotations!AF18,Cotations!$AG$4))</f>
        <v/>
      </c>
      <c r="DF18" s="291" t="str">
        <f t="shared" si="431"/>
        <v/>
      </c>
      <c r="DG18" s="291" t="str">
        <f t="shared" si="243"/>
        <v/>
      </c>
      <c r="DH18" s="291"/>
      <c r="DI18" s="463"/>
      <c r="DJ18" s="463" t="str">
        <f t="shared" si="244"/>
        <v/>
      </c>
      <c r="DK18" s="522" t="str">
        <f>IF(A18=FALSE,"",IF(Cotations!$AH$4="monthly",DJ18/12*L18,DJ18/365*M18))</f>
        <v/>
      </c>
      <c r="DL18" s="489" t="str">
        <f>IF(A18=FALSE,"",Cotations!$AI$4)</f>
        <v/>
      </c>
      <c r="DM18" s="300" t="str">
        <f t="shared" si="245"/>
        <v/>
      </c>
      <c r="DN18" s="300" t="str">
        <f t="shared" si="246"/>
        <v/>
      </c>
      <c r="DO18" s="294" t="str">
        <f t="shared" si="247"/>
        <v/>
      </c>
      <c r="DP18" s="494" t="str">
        <f>IF(A18=FALSE,"",Cotations!$AJ$4)</f>
        <v/>
      </c>
      <c r="DQ18" s="494" t="str">
        <f>IF(A18=FALSE,"",Cotations!$AK$4)</f>
        <v/>
      </c>
      <c r="DR18" s="489" t="str">
        <f>IF(A18=FALSE,"",Cotations!$AL$4)</f>
        <v/>
      </c>
      <c r="DS18" s="494" t="str">
        <f>IF(A18=FALSE,"",IF(DP18="N/A",0,IF(INDEX(LISTES!$F$105:$F$109,MATCH(DP18,LISTES!$C$105:$C$109,0))="FIX",IF(INDEX(LISTES!$E$105:$E$109,MATCH(DP18,LISTES!$C$105:$C$109,0))=12,DQ18/12*L18,DQ18/365*M18),DR18*DO18)))</f>
        <v/>
      </c>
      <c r="DT18" s="294" t="str">
        <f t="shared" si="248"/>
        <v/>
      </c>
      <c r="DU18" s="294" t="str">
        <f>IF(A18=FALSE,"",DT18*Cotations!$AM$4)</f>
        <v/>
      </c>
      <c r="DV18" s="294" t="str">
        <f>IF(A18=FALSE,"",DT18*Cotations!$AN$4)</f>
        <v/>
      </c>
      <c r="DW18" s="465" t="str">
        <f t="shared" si="249"/>
        <v/>
      </c>
      <c r="DX18" s="919" t="str">
        <f>IF(A18=FALSE,"",((DJ18*TAXE)-(DJ18*TAXE*DL18))+IF(DP18="N/A",0,IF(INDEX(LISTES!$F$105:$F$109,MATCH(DP18,LISTES!$C$105:$C$109,0))="FIX",DQ18,DR18*DO18)))</f>
        <v/>
      </c>
      <c r="DY18" s="466"/>
      <c r="DZ18" s="466"/>
      <c r="EA18" s="492" t="str">
        <f>IF(A18=FALSE,"",Cotations!D18)</f>
        <v/>
      </c>
      <c r="EB18" s="494" t="str">
        <f>IF(A18=FALSE,"",IF(LISTES!$A$17=1,Cotations!AF18,Cotations!AG18))</f>
        <v/>
      </c>
      <c r="EC18" s="284" t="str">
        <f t="shared" si="250"/>
        <v/>
      </c>
      <c r="ED18" s="284" t="str">
        <f t="shared" si="251"/>
        <v/>
      </c>
      <c r="EE18" s="284"/>
      <c r="EF18" s="284"/>
      <c r="EG18" s="284" t="str">
        <f t="shared" si="252"/>
        <v/>
      </c>
      <c r="EH18" s="1365" t="str">
        <f t="shared" si="253"/>
        <v/>
      </c>
      <c r="EI18" s="1365" t="str">
        <f t="shared" si="254"/>
        <v/>
      </c>
      <c r="EJ18" s="515" t="str">
        <f>IF(A18=FALSE,"",IF(Cotations!AH18="monthly",EG18/12*L18,EG18/365*M18))</f>
        <v/>
      </c>
      <c r="EK18" s="1364" t="str">
        <f>IF(A18=FALSE,"",IF(Cotations!AH18="monthly",EI18/12*L18,EI18/365*M18))</f>
        <v/>
      </c>
      <c r="EL18" s="493" t="str">
        <f>IF(A18=FALSE,"",IF(Cotations!AI18="","",Cotations!AI18))</f>
        <v/>
      </c>
      <c r="EM18" s="284" t="str">
        <f t="shared" si="255"/>
        <v/>
      </c>
      <c r="EN18" s="284" t="str">
        <f t="shared" si="256"/>
        <v/>
      </c>
      <c r="EO18" s="1365" t="str">
        <f t="shared" si="432"/>
        <v/>
      </c>
      <c r="EP18" s="284" t="str">
        <f t="shared" si="257"/>
        <v/>
      </c>
      <c r="EQ18" s="515" t="str">
        <f>IF(A18=FALSE,"",Cotations!AJ18)</f>
        <v/>
      </c>
      <c r="ER18" s="515" t="str">
        <f>IF(A18=FALSE,"",IF(Cotations!AK18="","",Cotations!AK18))</f>
        <v/>
      </c>
      <c r="ES18" s="493" t="str">
        <f>IF(A18=FALSE,"",Cotations!AL18)</f>
        <v/>
      </c>
      <c r="ET18" s="515" t="str">
        <f>IF(A18=FALSE,"",IF(EQ18="N/A",0,IF(INDEX(LISTES!$F$105:$F$109,MATCH(EQ18,LISTES!$C$105:$C$109,0))="FIX",IF(INDEX(LISTES!$E$105:$E$109,MATCH(EQ18,LISTES!$C$105:$C$109,0))=12,ER18/12*L18,ER18/365*M18),ES18*EP18)))</f>
        <v/>
      </c>
      <c r="EU18" s="294" t="str">
        <f t="shared" si="258"/>
        <v/>
      </c>
      <c r="EV18" s="494" t="str">
        <f>IF(A18=FALSE,"",EU18*Cotations!AM18)</f>
        <v/>
      </c>
      <c r="EW18" s="494" t="str">
        <f>IF(A18=FALSE,"",EU18*Cotations!AN18)</f>
        <v/>
      </c>
      <c r="EX18" s="334" t="str">
        <f t="shared" si="259"/>
        <v/>
      </c>
      <c r="EY18" s="919" t="str">
        <f>IF(A18=FALSE,"",((EG18*TAXE)-(EG18*TAXE*EL18)+EH18)+IF(EQ18="N/A",0,IF(INDEX(LISTES!$F$105:$F$109,MATCH(EQ18,LISTES!$C$105:$C$109,0))="FIX",ER18,ES18*EP18)))</f>
        <v/>
      </c>
      <c r="EZ18" s="422"/>
      <c r="FA18" s="492" t="str">
        <f>IF(A18=FALSE,"",Cotations!D18)</f>
        <v/>
      </c>
      <c r="FB18" s="519" t="str">
        <f>IF(A18=FALSE,"",IF(LISTES!$A$17=1,Cotations!AO18,Cotations!$AP$4))</f>
        <v/>
      </c>
      <c r="FC18" s="291" t="str">
        <f t="shared" si="260"/>
        <v/>
      </c>
      <c r="FD18" s="291" t="str">
        <f t="shared" si="261"/>
        <v/>
      </c>
      <c r="FE18" s="291"/>
      <c r="FF18" s="463"/>
      <c r="FG18" s="463" t="str">
        <f t="shared" si="262"/>
        <v/>
      </c>
      <c r="FH18" s="522" t="str">
        <f>IF(A18=FALSE,"",IF(Cotations!$AQ$4="monthly",FG18/12*L18,FG18/365*M18))</f>
        <v/>
      </c>
      <c r="FI18" s="453" t="str">
        <f>IF(A18=FALSE,"",Cotations!$AR$4)</f>
        <v/>
      </c>
      <c r="FJ18" s="300" t="str">
        <f t="shared" si="263"/>
        <v/>
      </c>
      <c r="FK18" s="300" t="str">
        <f t="shared" si="264"/>
        <v/>
      </c>
      <c r="FL18" s="294" t="str">
        <f t="shared" si="265"/>
        <v/>
      </c>
      <c r="FM18" s="494" t="str">
        <f>IF(A18=FALSE,"",Cotations!$AS$4)</f>
        <v/>
      </c>
      <c r="FN18" s="494" t="str">
        <f>IF(A18=FALSE,"",Cotations!$AT$4)</f>
        <v/>
      </c>
      <c r="FO18" s="489" t="str">
        <f>IF(A18=FALSE,"",Cotations!$AU$4)</f>
        <v/>
      </c>
      <c r="FP18" s="494" t="str">
        <f>IF(A18=FALSE,"",IF(FM18="N/A",0,IF(INDEX(LISTES!$F$105:$F$109,MATCH(FM18,LISTES!$C$105:$C$109,0))="FIX",IF(INDEX(LISTES!$E$105:$E$109,MATCH(FM18,LISTES!$C$105:$C$109,0))=12,FN18/12*L18,FN18/365*M18),FO18*FL18)))</f>
        <v/>
      </c>
      <c r="FQ18" s="294" t="str">
        <f t="shared" si="266"/>
        <v/>
      </c>
      <c r="FR18" s="494" t="str">
        <f>IF(A18=FALSE,"",FQ18*Cotations!$AV$4)</f>
        <v/>
      </c>
      <c r="FS18" s="494" t="str">
        <f>IF(A18=FALSE,"",FQ18*Cotations!$AW$4)</f>
        <v/>
      </c>
      <c r="FT18" s="465" t="str">
        <f t="shared" si="267"/>
        <v/>
      </c>
      <c r="FU18" s="919" t="str">
        <f>IF(A18=FALSE,"",((FG18*TAXE)-(FG18*TAXE*FI18))+IF(FM18="N/A",0,IF(INDEX(LISTES!$F$105:$F$109,MATCH(FM18,LISTES!$C$105:$C$109,0))="FIX",FN18,FO18*FL18)))</f>
        <v/>
      </c>
      <c r="FV18" s="478"/>
      <c r="FW18" s="478"/>
      <c r="FX18" s="478"/>
      <c r="FY18" s="478"/>
      <c r="FZ18" s="478"/>
      <c r="GA18" s="492" t="str">
        <f>IF(A18=FALSE,"",Cotations!D18)</f>
        <v/>
      </c>
      <c r="GB18" s="494" t="str">
        <f>IF(A18=FALSE,"",IF(LISTES!$A$17=1,Cotations!AO18,Cotations!AP18))</f>
        <v/>
      </c>
      <c r="GC18" s="284" t="str">
        <f t="shared" si="268"/>
        <v/>
      </c>
      <c r="GD18" s="515" t="str">
        <f>IF(A18=FALSE,"",IF(Detail!AM18="","",Detail!AM18))</f>
        <v/>
      </c>
      <c r="GE18" s="284"/>
      <c r="GF18" s="284"/>
      <c r="GG18" s="284" t="str">
        <f t="shared" si="269"/>
        <v/>
      </c>
      <c r="GH18" s="515" t="str">
        <f>IF(A18=FALSE,"",IF(Cotations!AQ18="monthly",GG18/12*L18,GG18/365*M18))</f>
        <v/>
      </c>
      <c r="GI18" s="493" t="str">
        <f>IF(A18=FALSE,"",IF(Cotations!AR18="","",Cotations!AR18))</f>
        <v/>
      </c>
      <c r="GJ18" s="284" t="str">
        <f t="shared" si="270"/>
        <v/>
      </c>
      <c r="GK18" s="284" t="str">
        <f t="shared" si="271"/>
        <v/>
      </c>
      <c r="GL18" s="284" t="str">
        <f t="shared" si="272"/>
        <v/>
      </c>
      <c r="GM18" s="515" t="str">
        <f>IF(A18=FALSE,"",Cotations!AS18)</f>
        <v/>
      </c>
      <c r="GN18" s="515" t="str">
        <f>IF(A18=FALSE,"",Cotations!AT18)</f>
        <v/>
      </c>
      <c r="GO18" s="493" t="str">
        <f>IF(A18=FALSE,"",Cotations!AU18)</f>
        <v/>
      </c>
      <c r="GP18" s="515" t="str">
        <f>IF(A18=FALSE,"",IF(GM18="N/A",0,IF(INDEX(LISTES!$F$105:$F$109,MATCH(GM18,LISTES!$C$105:$C$109,0))="FIX",IF(INDEX(LISTES!$E$105:$E$109,MATCH(GM18,LISTES!$C$105:$C$109,0))=12,GN18/12*L18,GN18/365*M18),GO18*GL18)))</f>
        <v/>
      </c>
      <c r="GQ18" s="294" t="str">
        <f t="shared" si="273"/>
        <v/>
      </c>
      <c r="GR18" s="494" t="str">
        <f>IF(A18=FALSE,"",GQ18*Cotations!AV18)</f>
        <v/>
      </c>
      <c r="GS18" s="494" t="str">
        <f>IF(A18=FALSE,"",GQ18*Cotations!AW18)</f>
        <v/>
      </c>
      <c r="GT18" s="334" t="str">
        <f t="shared" si="274"/>
        <v/>
      </c>
      <c r="GU18" s="919" t="str">
        <f>IF(A18=FALSE,"",((GG18*TAXE)-(GG18*TAXE*GI18))+IF(GM18="N/A",0,IF(INDEX(LISTES!$F$105:$F$109,MATCH(GM18,LISTES!$C$105:$C$109,0))="FIX",GN18,GO18*GL18)))</f>
        <v/>
      </c>
      <c r="GV18" s="478"/>
      <c r="GW18" s="466"/>
      <c r="GX18" s="466"/>
      <c r="GY18" s="466"/>
      <c r="GZ18" s="466"/>
      <c r="HA18" s="492" t="str">
        <f>IF(A18=FALSE,"",Cotations!D18)</f>
        <v/>
      </c>
      <c r="HB18" s="495" t="str">
        <f>IF(A18=FALSE,"",IF(LISTES!$A$17=1,Cotations!AX18,Cotations!$AY$4))</f>
        <v/>
      </c>
      <c r="HC18" s="291" t="str">
        <f t="shared" si="275"/>
        <v/>
      </c>
      <c r="HD18" s="291" t="str">
        <f t="shared" si="276"/>
        <v/>
      </c>
      <c r="HE18" s="456" t="str">
        <f t="shared" si="277"/>
        <v/>
      </c>
      <c r="HF18" s="496" t="str">
        <f>IF(A18=FALSE,"",IF(HA18="POEA",Cotations!BA18,IF(HA18="FIXE",Cotations!$BA$4,Cotations!$BC$4*Y18)))</f>
        <v/>
      </c>
      <c r="HG18" s="300" t="str">
        <f t="shared" si="278"/>
        <v/>
      </c>
      <c r="HH18" s="522" t="str">
        <f>IF(A18=FALSE,"",IF(Cotations!$AZ$4="monthly",HG18/12*L18,HG18/365*M18))</f>
        <v/>
      </c>
      <c r="HI18" s="489" t="str">
        <f>IF(A18=FALSE,"",Cotations!$BD$4)</f>
        <v/>
      </c>
      <c r="HJ18" s="300" t="str">
        <f t="shared" si="279"/>
        <v/>
      </c>
      <c r="HK18" s="300" t="str">
        <f t="shared" si="280"/>
        <v/>
      </c>
      <c r="HL18" s="294" t="str">
        <f t="shared" si="281"/>
        <v/>
      </c>
      <c r="HM18" s="494" t="str">
        <f>IF(A18=FALSE,"",Cotations!$BE$4)</f>
        <v/>
      </c>
      <c r="HN18" s="522" t="str">
        <f>IF(A18=FALSE,"",Cotations!$BF$4)</f>
        <v/>
      </c>
      <c r="HO18" s="489" t="str">
        <f>IF(A18=FALSE,"",Cotations!$BG$4)</f>
        <v/>
      </c>
      <c r="HP18" s="494" t="str">
        <f>IF(A18=FALSE,"",IF(HM18="N/A",0,IF(INDEX(LISTES!$F$105:$F$109,MATCH(HM18,LISTES!$C$105:$C$109,0))="FIX",IF(INDEX(LISTES!$E$105:$E$109,MATCH(HM18,LISTES!$C$105:$C$109,0))=12,HN18/12*L18,HN18/365*M18),HO18*HL18)))</f>
        <v/>
      </c>
      <c r="HQ18" s="294" t="str">
        <f t="shared" si="282"/>
        <v/>
      </c>
      <c r="HR18" s="494" t="str">
        <f>IF(A18=FALSE,"",HQ18*Cotations!$BH$4)</f>
        <v/>
      </c>
      <c r="HS18" s="494" t="str">
        <f>IF(A18=FALSE,"",HQ18*Cotations!$BI$4)</f>
        <v/>
      </c>
      <c r="HT18" s="294" t="str">
        <f t="shared" si="283"/>
        <v/>
      </c>
      <c r="HU18" s="919" t="str">
        <f>IF(A18=FALSE,"",((HG18*TAXE)-(HG18*TAXE*HI18))+IF(HM18="N/A",0,IF(INDEX(LISTES!$F$105:$F$109,MATCH(HM18,LISTES!$C$105:$C$109,0))="FIX",HN18,HO18*HL18)))</f>
        <v/>
      </c>
      <c r="HV18" s="422"/>
      <c r="HW18" s="422"/>
      <c r="HX18" s="422"/>
      <c r="HY18" s="716"/>
      <c r="HZ18" s="422"/>
      <c r="IA18" s="492" t="str">
        <f>IF(A18=FALSE,"",Cotations!D18)</f>
        <v/>
      </c>
      <c r="IB18" s="491" t="str">
        <f>IF(A18=FALSE,"",IF(LISTES!$A$17=1,Cotations!AX18,Cotations!AY18))</f>
        <v/>
      </c>
      <c r="IC18" s="285" t="str">
        <f t="shared" si="284"/>
        <v/>
      </c>
      <c r="ID18" s="300" t="str">
        <f>IF(A18=FALSE,"",IF(LISTES!$A$17=3,Detail!AU18,lig1_Formula_PREVOY))</f>
        <v/>
      </c>
      <c r="IE18" s="461" t="str">
        <f t="shared" si="285"/>
        <v/>
      </c>
      <c r="IF18" s="490" t="str">
        <f>IF(A18=FALSE,"",IF(IA18="POEA",Cotations!BA18,IF(HA18="FIXE",Cotations!BB18,IF(Cotations!BC18*Y18&lt;50000,Z18,Cotations!BC18*Y18))))</f>
        <v/>
      </c>
      <c r="IG18" s="300" t="str">
        <f t="shared" si="286"/>
        <v/>
      </c>
      <c r="IH18" s="522" t="str">
        <f>IF(A18=FALSE,"",IF(Cotations!AZ18="monthly",IG18/12*L18,IG18/365*M18))</f>
        <v/>
      </c>
      <c r="II18" s="489" t="str">
        <f>IF(A18=FALSE,"",IF(Cotations!BD18="","",Cotations!BD18))</f>
        <v/>
      </c>
      <c r="IJ18" s="300" t="str">
        <f t="shared" si="287"/>
        <v/>
      </c>
      <c r="IK18" s="300" t="str">
        <f t="shared" si="288"/>
        <v/>
      </c>
      <c r="IL18" s="919" t="str">
        <f t="shared" si="289"/>
        <v/>
      </c>
      <c r="IM18" s="517" t="str">
        <f>IF(A18=FALSE,"",Cotations!BE18)</f>
        <v/>
      </c>
      <c r="IN18" s="517" t="str">
        <f>IF(A18=FALSE,"",Cotations!BF18)</f>
        <v/>
      </c>
      <c r="IO18" s="493" t="str">
        <f>IF(A18=FALSE,"",Cotations!BG18)</f>
        <v/>
      </c>
      <c r="IP18" s="517" t="str">
        <f>IF(A18=FALSE,"",IF(IM18="N/A",0,IF(INDEX(LISTES!$F$105:$F$109,MATCH(IM18,LISTES!$C$105:$C$109,0))="FIX",IF(INDEX(LISTES!$E$105:$E$109,MATCH(IM18,LISTES!$C$105:$C$109,0))=12,IN18/12*L18,IN18/365*M18),IO18*IL18)))</f>
        <v/>
      </c>
      <c r="IQ18" s="294" t="str">
        <f t="shared" si="290"/>
        <v/>
      </c>
      <c r="IR18" s="494" t="str">
        <f>IF(A18=FALSE,"",IQ18*Cotations!BH18)</f>
        <v/>
      </c>
      <c r="IS18" s="494" t="str">
        <f>IF(A18=FALSE,"",IQ18*Cotations!BI18)</f>
        <v/>
      </c>
      <c r="IT18" s="338" t="str">
        <f t="shared" si="291"/>
        <v/>
      </c>
      <c r="IU18" s="919" t="str">
        <f>IF(A18=FALSE,"",((IG18*TAXE)-(IG18*TAXE*II18))+IF(IM18="N/A",0,IF(INDEX(LISTES!$F$105:$F$109,MATCH(IM18,LISTES!$C$105:$C$109,0))="FIX",IN18,IO18*IL18)))</f>
        <v/>
      </c>
      <c r="IV18" s="422"/>
      <c r="IY18" s="716"/>
      <c r="JA18" s="492" t="str">
        <f>IF(A18=FALSE,"",Cotations!D18)</f>
        <v/>
      </c>
      <c r="JB18" s="495" t="str">
        <f>IF(A18=FALSE,"",IF(LISTES!$A$17=1,Cotations!BJ18,Cotations!$BK$4))</f>
        <v/>
      </c>
      <c r="JC18" s="291" t="str">
        <f t="shared" si="292"/>
        <v/>
      </c>
      <c r="JD18" s="291" t="str">
        <f t="shared" si="293"/>
        <v/>
      </c>
      <c r="JE18" s="456" t="str">
        <f t="shared" si="294"/>
        <v/>
      </c>
      <c r="JF18" s="496" t="str">
        <f>IF(A18=FALSE,"",IF(JA18="POEA",Cotations!BM18,IF(JA18="FIXE",Cotations!$BM$4,Cotations!$BO$4*Y18)))</f>
        <v/>
      </c>
      <c r="JG18" s="300" t="str">
        <f t="shared" si="295"/>
        <v/>
      </c>
      <c r="JH18" s="522" t="str">
        <f>IF(A18=FALSE,"",IF(Cotations!$BL$4="monthly",JG18/12*L18,JG18/365*M18))</f>
        <v/>
      </c>
      <c r="JI18" s="489" t="str">
        <f>IF(A18=FALSE,"",Cotations!$BP$4)</f>
        <v/>
      </c>
      <c r="JJ18" s="300" t="str">
        <f t="shared" si="296"/>
        <v/>
      </c>
      <c r="JK18" s="300" t="str">
        <f t="shared" si="297"/>
        <v/>
      </c>
      <c r="JL18" s="294" t="str">
        <f t="shared" si="298"/>
        <v/>
      </c>
      <c r="JM18" s="494" t="str">
        <f>IF(A18=FALSE,"",Cotations!$BQ$4)</f>
        <v/>
      </c>
      <c r="JN18" s="522" t="str">
        <f>IF(A18=FALSE,"",Cotations!$BR$4)</f>
        <v/>
      </c>
      <c r="JO18" s="489" t="str">
        <f>IF(A18=FALSE,"",Cotations!$BS$4)</f>
        <v/>
      </c>
      <c r="JP18" s="494" t="str">
        <f>IF(A18=FALSE,"",IF(JM18="N/A",0,IF(INDEX(LISTES!$F$105:$F$109,MATCH(JM18,LISTES!$C$105:$C$109,0))="FIX",IF(INDEX(LISTES!$E$105:$E$109,MATCH(JM18,LISTES!$C$105:$C$109,0))=12,JN18/12*L18,JN18/365*M18),JO18*JL18)))</f>
        <v/>
      </c>
      <c r="JQ18" s="294" t="str">
        <f t="shared" si="299"/>
        <v/>
      </c>
      <c r="JR18" s="494" t="str">
        <f>IF(A18=FALSE,"",JQ18*Cotations!$BT$4)</f>
        <v/>
      </c>
      <c r="JS18" s="494" t="str">
        <f>IF(A18=FALSE,"",JQ18*Cotations!$BU$4)</f>
        <v/>
      </c>
      <c r="JT18" s="294" t="str">
        <f t="shared" si="300"/>
        <v/>
      </c>
      <c r="JU18" s="919" t="str">
        <f>IF(A18=FALSE,"",((JG18*TAXE)-(JG18*TAXE*JI18))+IF(JM18="N/A",0,IF(INDEX(LISTES!$F$105:$F$109,MATCH(JM18,LISTES!$C$105:$C$109,0))="FIX",JN18,JO18*JL18)))</f>
        <v/>
      </c>
      <c r="KA18" s="492" t="str">
        <f>IF(A18=FALSE,"",Cotations!D18)</f>
        <v/>
      </c>
      <c r="KB18" s="491" t="str">
        <f>IF(A18=FALSE,"",IF(LISTES!$A$17=1,Cotations!BJ18,Cotations!BK18))</f>
        <v/>
      </c>
      <c r="KC18" s="285" t="str">
        <f t="shared" si="301"/>
        <v/>
      </c>
      <c r="KD18" s="300"/>
      <c r="KE18" s="461" t="str">
        <f t="shared" si="302"/>
        <v/>
      </c>
      <c r="KF18" s="490" t="str">
        <f>IF(A18=FALSE,"",IF(KA18="POEA",Cotations!BM18,IF(KA18="FIXE",Cotations!BN18,IF(Cotations!BO18*Y18&lt;50000,Z18,Cotations!BO18*Y18))))</f>
        <v/>
      </c>
      <c r="KG18" s="300" t="str">
        <f t="shared" si="303"/>
        <v/>
      </c>
      <c r="KH18" s="522" t="str">
        <f>IF(A18=FALSE,"",IF(Cotations!BL18="monthly",KG18/12*L18,KG18/365*M18))</f>
        <v/>
      </c>
      <c r="KI18" s="489" t="str">
        <f>IF(A18=FALSE,"",IF(Cotations!BP18="","",Cotations!BP18))</f>
        <v/>
      </c>
      <c r="KJ18" s="300" t="str">
        <f t="shared" si="304"/>
        <v/>
      </c>
      <c r="KK18" s="300" t="str">
        <f t="shared" si="305"/>
        <v/>
      </c>
      <c r="KL18" s="919" t="str">
        <f t="shared" si="306"/>
        <v/>
      </c>
      <c r="KM18" s="517" t="str">
        <f>IF(A18=FALSE,"",Cotations!BQ18)</f>
        <v/>
      </c>
      <c r="KN18" s="515" t="str">
        <f>IF(A18=FALSE,"",Cotations!BR18)</f>
        <v/>
      </c>
      <c r="KO18" s="493" t="str">
        <f>IF(A18=FALSE,"",Cotations!BS18)</f>
        <v/>
      </c>
      <c r="KP18" s="517" t="str">
        <f>IF(A18=FALSE,"",IF(KM18="N/A",0,IF(INDEX(LISTES!$F$105:$F$109,MATCH(KM18,LISTES!$C$105:$C$109,0))="FIX",IF(INDEX(LISTES!$E$105:$E$109,MATCH(KM18,LISTES!$C$105:$C$109,0))=12,KN18/12*L18,KN18/365*M18),KO18*KL18)))</f>
        <v/>
      </c>
      <c r="KQ18" s="294" t="str">
        <f t="shared" si="307"/>
        <v/>
      </c>
      <c r="KR18" s="494" t="str">
        <f>IF(A18=FALSE,"",KQ18*Cotations!BT18)</f>
        <v/>
      </c>
      <c r="KS18" s="494" t="str">
        <f>IF(A18=FALSE,"",KQ18*Cotations!BU18)</f>
        <v/>
      </c>
      <c r="KT18" s="338" t="str">
        <f t="shared" si="308"/>
        <v/>
      </c>
      <c r="KU18" s="919" t="str">
        <f>IF(A18=FALSE,"",((KG18*TAXE)-(KG18*TAXE*KI18))+IF(KM18="N/A",0,IF(INDEX(LISTES!$F$105:$F$109,MATCH(KM18,LISTES!$C$105:$C$109,0))="FIX",KN18,KO18*KL18)))</f>
        <v/>
      </c>
      <c r="KX18" s="422"/>
      <c r="KY18" s="422"/>
      <c r="LA18" s="497" t="str">
        <f>IF(A18=FALSE,"",Cotations!D18)</f>
        <v/>
      </c>
      <c r="LB18" s="498" t="str">
        <f>IF(A18=FALSE,"",IF(LISTES!$A$17=1,Cotations!BV18,Cotations!$BW$4))</f>
        <v/>
      </c>
      <c r="LC18" s="499" t="str">
        <f t="shared" si="309"/>
        <v/>
      </c>
      <c r="LD18" s="499" t="str">
        <f t="shared" si="310"/>
        <v/>
      </c>
      <c r="LE18" s="500" t="str">
        <f t="shared" si="311"/>
        <v/>
      </c>
      <c r="LF18" s="501" t="str">
        <f>IF(A18=FALSE,"",IF(LA18="POEA",Cotations!EJ18,IF(LA18="FIXE",Cotations!$BY$4,Cotations!$CA$4*Y18)))</f>
        <v/>
      </c>
      <c r="LG18" s="502" t="str">
        <f t="shared" si="312"/>
        <v/>
      </c>
      <c r="LH18" s="520" t="str">
        <f>IF(A18=FALSE,"",IF(Cotations!$BX$4="monthly",LG18/12*L18,LG18/365*M18))</f>
        <v/>
      </c>
      <c r="LI18" s="503" t="str">
        <f>IF(A18=FALSE,"",Cotations!$CB$4)</f>
        <v/>
      </c>
      <c r="LJ18" s="502" t="str">
        <f t="shared" si="313"/>
        <v/>
      </c>
      <c r="LK18" s="502" t="str">
        <f t="shared" si="314"/>
        <v/>
      </c>
      <c r="LL18" s="504" t="str">
        <f t="shared" si="315"/>
        <v/>
      </c>
      <c r="LM18" s="505" t="str">
        <f>IF(A18=FALSE,"",Cotations!$CC$4)</f>
        <v/>
      </c>
      <c r="LN18" s="503" t="str">
        <f>IF(A18=FALSE,"",Cotations!$CD$4)</f>
        <v/>
      </c>
      <c r="LO18" s="503" t="str">
        <f>IF(A18=FALSE,"",Cotations!$CE$4)</f>
        <v/>
      </c>
      <c r="LP18" s="505" t="str">
        <f>IF(A18=FALSE,"",IF(LM18="N/A",0,IF(INDEX(LISTES!$F$105:$F$109,MATCH(LM18,LISTES!$C$105:$C$109,0))="FIX",IF(INDEX(LISTES!$E$105:$E$109,MATCH(LM18,LISTES!$C$105:$C$109,0))=12,LN18/12*L18,LN18/365*M18),LO18*LL18)))</f>
        <v/>
      </c>
      <c r="LQ18" s="504" t="str">
        <f t="shared" si="316"/>
        <v/>
      </c>
      <c r="LR18" s="505" t="str">
        <f>IF(A18=FALSE,"",LQ18*Cotations!$CF$4)</f>
        <v/>
      </c>
      <c r="LS18" s="505" t="str">
        <f>IF(A18=FALSE,"",LQ18*Cotations!$CG$4)</f>
        <v/>
      </c>
      <c r="LT18" s="506" t="str">
        <f t="shared" si="317"/>
        <v/>
      </c>
      <c r="LU18" s="919" t="str">
        <f>IF(A18=FALSE,"",((LG18*TAXE)-(LG18*TAXE*LI18))+IF(LM18="N/A",0,IF(INDEX(LISTES!$F$105:$F$109,MATCH(LM18,LISTES!$C$105:$C$109,0))="FIX",LN18,LO18*LL18)))</f>
        <v/>
      </c>
      <c r="MA18" s="492" t="str">
        <f>IF(A18=FALSE,"",Cotations!D18)</f>
        <v/>
      </c>
      <c r="MB18" s="491" t="str">
        <f>IF(A18=FALSE,"",IF(LISTES!$A$17=1,Cotations!BV18,Cotations!BW18))</f>
        <v/>
      </c>
      <c r="MC18" s="285" t="str">
        <f t="shared" si="318"/>
        <v/>
      </c>
      <c r="MD18" s="300"/>
      <c r="ME18" s="461" t="str">
        <f t="shared" si="319"/>
        <v/>
      </c>
      <c r="MF18" s="490" t="str">
        <f>IF(A18=FALSE,"",IF(MA18="POEA",Cotations!BY18,IF(MA18="FIXE",Cotations!BZ18,IF(Cotations!CA18*Y18&lt;50000,Z18,Cotations!CA18*Y18))))</f>
        <v/>
      </c>
      <c r="MG18" s="300" t="str">
        <f t="shared" si="320"/>
        <v/>
      </c>
      <c r="MH18" s="522" t="str">
        <f>IF(A18=FALSE,"",IF(Cotations!BX18="monthly",MG18/12*L18,MG18/365*M18))</f>
        <v/>
      </c>
      <c r="MI18" s="489" t="str">
        <f>IF(A18=FALSE,"",IF(Cotations!CB18="","",Cotations!CB18))</f>
        <v/>
      </c>
      <c r="MJ18" s="300" t="str">
        <f t="shared" si="321"/>
        <v/>
      </c>
      <c r="MK18" s="300" t="str">
        <f t="shared" si="322"/>
        <v/>
      </c>
      <c r="ML18" s="919" t="str">
        <f t="shared" si="323"/>
        <v/>
      </c>
      <c r="MM18" s="517" t="str">
        <f>IF(A18=FALSE,"",Cotations!CC18)</f>
        <v/>
      </c>
      <c r="MN18" s="515" t="str">
        <f>IF(A18=FALSE,"",Cotations!CD18)</f>
        <v/>
      </c>
      <c r="MO18" s="493" t="str">
        <f>IF(A18=FALSE,"",Cotations!CE18)</f>
        <v/>
      </c>
      <c r="MP18" s="517" t="str">
        <f>IF(A18=FALSE,"",IF(MM18="N/A",0,IF(INDEX(LISTES!$F$105:$F$109,MATCH(MM18,LISTES!$C$105:$C$109,0))="FIX",IF(INDEX(LISTES!$E$105:$E$109,MATCH(MM18,LISTES!$C$105:$C$109,0))=12,MN18/12*L18,MN18/365*M18),MO18*ML18)))</f>
        <v/>
      </c>
      <c r="MQ18" s="294" t="str">
        <f t="shared" si="324"/>
        <v/>
      </c>
      <c r="MR18" s="494" t="str">
        <f>IF(A18=FALSE,"",MQ18*Cotations!CF18)</f>
        <v/>
      </c>
      <c r="MS18" s="494" t="str">
        <f>IF(A18=FALSE,"",MQ18*Cotations!CG18)</f>
        <v/>
      </c>
      <c r="MT18" s="338" t="str">
        <f t="shared" si="325"/>
        <v/>
      </c>
      <c r="MU18" s="919" t="str">
        <f>IF(A18=FALSE,"",((MG18*TAXE)-(MG18*TAXE*MI18))+IF(MM18="N/A",0,IF(INDEX(LISTES!$F$105:$F$109,MATCH(MM18,LISTES!$C$105:$C$109,0))="FIX",MN18,MO18*ML18)))</f>
        <v/>
      </c>
      <c r="NA18" s="497" t="str">
        <f>IF(A18=FALSE,"",Cotations!D18)</f>
        <v/>
      </c>
      <c r="NB18" s="498" t="str">
        <f>IF(A18=FALSE,"",IF(LISTES!$A$17=1,Cotations!CH18,Cotations!$CI$4))</f>
        <v/>
      </c>
      <c r="NC18" s="499" t="str">
        <f t="shared" si="326"/>
        <v/>
      </c>
      <c r="ND18" s="499" t="str">
        <f t="shared" si="327"/>
        <v/>
      </c>
      <c r="NE18" s="500" t="str">
        <f t="shared" si="328"/>
        <v/>
      </c>
      <c r="NF18" s="501" t="str">
        <f>IF(A18=FALSE,"",IF(NA18="POEA",Cotations!CK18,IF(NA18="FIXE",Cotations!$CK$4,Cotations!$CM$4*Y18)))</f>
        <v/>
      </c>
      <c r="NG18" s="502" t="str">
        <f t="shared" si="329"/>
        <v/>
      </c>
      <c r="NH18" s="520" t="str">
        <f>IF(A18=FALSE,"",IF(Cotations!$CJ$4="monthly",NG18/12*L18,NG18/365*M18))</f>
        <v/>
      </c>
      <c r="NI18" s="503" t="str">
        <f>IF(A18=FALSE,"",Cotations!$CN$4)</f>
        <v/>
      </c>
      <c r="NJ18" s="502" t="str">
        <f t="shared" si="330"/>
        <v/>
      </c>
      <c r="NK18" s="502" t="str">
        <f t="shared" si="331"/>
        <v/>
      </c>
      <c r="NL18" s="504" t="str">
        <f t="shared" si="332"/>
        <v/>
      </c>
      <c r="NM18" s="505" t="str">
        <f>IF(A18=FALSE,"",Cotations!$CO$4)</f>
        <v/>
      </c>
      <c r="NN18" s="520" t="str">
        <f>IF(A18=FALSE,"",Cotations!$CP$4)</f>
        <v/>
      </c>
      <c r="NO18" s="503" t="str">
        <f>IF(A18=FALSE,"",Cotations!$CQ$4)</f>
        <v/>
      </c>
      <c r="NP18" s="505" t="str">
        <f>IF(A18=FALSE,"",IF(NM18="N/A",0,IF(INDEX(LISTES!$F$105:$F$109,MATCH(NM18,LISTES!$C$105:$C$109,0))="FIX",IF(INDEX(LISTES!$E$105:$E$109,MATCH(NM18,LISTES!$C$105:$C$109,0))=12,NN18/12*L18,NN18/365*M18),NO18*NL18)))</f>
        <v/>
      </c>
      <c r="NQ18" s="504" t="str">
        <f t="shared" si="333"/>
        <v/>
      </c>
      <c r="NR18" s="505" t="str">
        <f>IF(A18=FALSE,"",NQ18*Cotations!$CR$4)</f>
        <v/>
      </c>
      <c r="NS18" s="505" t="str">
        <f>IF(A18=FALSE,"",NQ18*Cotations!$CS$4)</f>
        <v/>
      </c>
      <c r="NT18" s="506" t="str">
        <f t="shared" si="334"/>
        <v/>
      </c>
      <c r="NU18" s="919" t="str">
        <f>IF(A18=FALSE,"",((NG18*TAXE)-(NG18*TAXE*NI18))+IF(NM18="N/A",0,IF(INDEX(LISTES!$F$105:$F$109,MATCH(NM18,LISTES!$C$105:$C$109,0))="FIX",NN18,NO18*NL18)))</f>
        <v/>
      </c>
      <c r="OA18" s="492" t="str">
        <f>IF(A18=FALSE,"",Cotations!D18)</f>
        <v/>
      </c>
      <c r="OB18" s="491" t="str">
        <f>IF(A18=FALSE,"",IF(LISTES!$A$17=1,Cotations!CH18,Cotations!CI18))</f>
        <v/>
      </c>
      <c r="OC18" s="285" t="str">
        <f t="shared" si="335"/>
        <v/>
      </c>
      <c r="OD18" s="300"/>
      <c r="OE18" s="461" t="str">
        <f t="shared" si="336"/>
        <v/>
      </c>
      <c r="OF18" s="490" t="str">
        <f>IF(A18=FALSE,"",IF(OA18="POEA",Cotations!CK18,IF(OA18="FIXE",Cotations!CL18,IF(Cotations!CM18*Y18&lt;50000,Z18,Cotations!CM18*Y18))))</f>
        <v/>
      </c>
      <c r="OG18" s="300" t="str">
        <f t="shared" si="337"/>
        <v/>
      </c>
      <c r="OH18" s="522" t="str">
        <f>IF(A18=FALSE,"",IF(Cotations!CJ18="monthly",OG18/12*L18,OG18/365*M18))</f>
        <v/>
      </c>
      <c r="OI18" s="489" t="str">
        <f>IF(A18=FALSE,"",IF(Cotations!CN18="","",Cotations!CN18))</f>
        <v/>
      </c>
      <c r="OJ18" s="300" t="str">
        <f t="shared" si="338"/>
        <v/>
      </c>
      <c r="OK18" s="300" t="str">
        <f t="shared" si="339"/>
        <v/>
      </c>
      <c r="OL18" s="919" t="str">
        <f t="shared" si="340"/>
        <v/>
      </c>
      <c r="OM18" s="517" t="str">
        <f>IF(A18=FALSE,"",Cotations!CO18)</f>
        <v/>
      </c>
      <c r="ON18" s="515" t="str">
        <f>IF(A18=FALSE,"",Cotations!CP18)</f>
        <v/>
      </c>
      <c r="OO18" s="493" t="str">
        <f>IF(A18=FALSE,"",Cotations!CQ18)</f>
        <v/>
      </c>
      <c r="OP18" s="517" t="str">
        <f>IF(A18=FALSE,"",IF(OM18="N/A",0,IF(INDEX(LISTES!$F$105:$F$109,MATCH(OM18,LISTES!$C$105:$C$109,0))="FIX",IF(INDEX(LISTES!$E$105:$E$109,MATCH(OM18,LISTES!$C$105:$C$109,0))=12,ON18/12*L18,ON18/365*M18),OO18*OL18)))</f>
        <v/>
      </c>
      <c r="OQ18" s="294" t="str">
        <f t="shared" si="341"/>
        <v/>
      </c>
      <c r="OR18" s="494" t="str">
        <f>IF(A18=FALSE,"",OQ18*Cotations!CR18)</f>
        <v/>
      </c>
      <c r="OS18" s="494" t="str">
        <f>IF(A18=FALSE,"",OQ18*Cotations!CS18)</f>
        <v/>
      </c>
      <c r="OT18" s="338" t="str">
        <f t="shared" si="342"/>
        <v/>
      </c>
      <c r="OU18" s="919" t="str">
        <f>IF(A18=FALSE,"",((OG18*TAXE)-(OG18*TAXE*OI18))+IF(OM18="N/A",0,IF(INDEX(LISTES!$F$105:$F$109,MATCH(OM18,LISTES!$C$105:$C$109,0))="FIX",ON18,OO18*OL18)))</f>
        <v/>
      </c>
      <c r="PA18" s="497" t="str">
        <f t="shared" si="343"/>
        <v/>
      </c>
      <c r="PB18" s="498" t="str">
        <f>IF(A18=FALSE,"",IF(LISTES!$A$17=1,Cotations!CT18,Cotations!$CU$4))</f>
        <v/>
      </c>
      <c r="PC18" s="499" t="str">
        <f t="shared" si="344"/>
        <v/>
      </c>
      <c r="PD18" s="499" t="str">
        <f t="shared" si="345"/>
        <v/>
      </c>
      <c r="PE18" s="500" t="str">
        <f t="shared" si="346"/>
        <v/>
      </c>
      <c r="PF18" s="501" t="str">
        <f>IF(A18=FALSE,"",Cotations!$CY$4*Y18)</f>
        <v/>
      </c>
      <c r="PG18" s="502" t="str">
        <f t="shared" si="347"/>
        <v/>
      </c>
      <c r="PH18" s="520" t="str">
        <f>IF(A18=FALSE,"",IF(Cotations!$CV$4="monthly",PG18/12*L18,PG18/365*M18))</f>
        <v/>
      </c>
      <c r="PI18" s="503" t="str">
        <f>IF(A18=FALSE,"",Cotations!$CZ$4)</f>
        <v/>
      </c>
      <c r="PJ18" s="502" t="str">
        <f t="shared" si="348"/>
        <v/>
      </c>
      <c r="PK18" s="502" t="str">
        <f t="shared" si="349"/>
        <v/>
      </c>
      <c r="PL18" s="504" t="str">
        <f t="shared" si="350"/>
        <v/>
      </c>
      <c r="PM18" s="505" t="str">
        <f>IF(A18=FALSE,"",Cotations!$DA$4)</f>
        <v/>
      </c>
      <c r="PN18" s="520" t="str">
        <f>IF(A18=FALSE,"",Cotations!$DB$4)</f>
        <v/>
      </c>
      <c r="PO18" s="503" t="str">
        <f>IF(A18=FALSE,"",Cotations!$DC$4)</f>
        <v/>
      </c>
      <c r="PP18" s="505" t="str">
        <f>IF(A18=FALSE,"",IF(PM18="N/A",0,IF(INDEX(LISTES!$F$105:$F$109,MATCH(PM18,LISTES!$C$105:$C$109,0))="FIX",IF(INDEX(LISTES!$E$105:$E$109,MATCH(PM18,LISTES!$C$105:$C$109,0))=12,PN18/12*L18,PN18/365*M18),PO18*PL18)))</f>
        <v/>
      </c>
      <c r="PQ18" s="504" t="str">
        <f t="shared" si="351"/>
        <v/>
      </c>
      <c r="PR18" s="505" t="str">
        <f>IF(A18=FALSE,"",PQ18*Cotations!$DD$4)</f>
        <v/>
      </c>
      <c r="PS18" s="505" t="str">
        <f>IF(A18=FALSE,"",PQ18*Cotations!$DE$4)</f>
        <v/>
      </c>
      <c r="PT18" s="506" t="str">
        <f t="shared" si="352"/>
        <v/>
      </c>
      <c r="PU18" s="919" t="str">
        <f>IF(A18=FALSE,"",((PG18*TAXE)-(PG18*TAXE*PI18))+IF(PM18="N/A",0,IF(INDEX(LISTES!$F$105:$F$109,MATCH(PM18,LISTES!$C$105:$C$109,0))="FIX",PN18,PO18*PL18)))</f>
        <v/>
      </c>
      <c r="QA18" s="492" t="str">
        <f t="shared" si="353"/>
        <v/>
      </c>
      <c r="QB18" s="491" t="str">
        <f>IF(A18=FALSE,"",IF(LISTES!$A$17=1,Cotations!CT18,Cotations!CU18))</f>
        <v/>
      </c>
      <c r="QC18" s="285" t="str">
        <f t="shared" si="354"/>
        <v/>
      </c>
      <c r="QD18" s="300"/>
      <c r="QE18" s="461" t="str">
        <f t="shared" si="355"/>
        <v/>
      </c>
      <c r="QF18" s="490" t="str">
        <f>IF(A18=FALSE,"",Cotations!CY18*AA18)</f>
        <v/>
      </c>
      <c r="QG18" s="300" t="str">
        <f t="shared" si="356"/>
        <v/>
      </c>
      <c r="QH18" s="522" t="str">
        <f>IF(A18=FALSE,"",IF(Cotations!CV18="monthly",QG18/12*L18,QG18/365*M18))</f>
        <v/>
      </c>
      <c r="QI18" s="489" t="str">
        <f>IF(A18=FALSE,"",IF(Cotations!CZ18="","",Cotations!CZ18))</f>
        <v/>
      </c>
      <c r="QJ18" s="300" t="str">
        <f t="shared" si="357"/>
        <v/>
      </c>
      <c r="QK18" s="300" t="str">
        <f t="shared" si="358"/>
        <v/>
      </c>
      <c r="QL18" s="919" t="str">
        <f t="shared" si="359"/>
        <v/>
      </c>
      <c r="QM18" s="517" t="str">
        <f>IF(A18=FALSE,"",Cotations!DA18)</f>
        <v/>
      </c>
      <c r="QN18" s="515" t="str">
        <f>IF(A18=FALSE,"",Cotations!DB18)</f>
        <v/>
      </c>
      <c r="QO18" s="493" t="str">
        <f>IF(A18=FALSE,"",Cotations!DC18)</f>
        <v/>
      </c>
      <c r="QP18" s="517" t="str">
        <f>IF(A18=FALSE,"",IF(QM18="N/A",0,IF(INDEX(LISTES!$F$105:$F$109,MATCH(QM18,LISTES!$C$105:$C$109,0))="FIX",IF(INDEX(LISTES!$E$105:$E$109,MATCH(QM18,LISTES!$C$105:$C$109,0))=12,QN18/12*L18,QN18/365*M18),QO18*QL18)))</f>
        <v/>
      </c>
      <c r="QQ18" s="294" t="str">
        <f t="shared" si="360"/>
        <v/>
      </c>
      <c r="QR18" s="494" t="str">
        <f>IF(A18=FALSE,"",QQ18*Cotations!DD18)</f>
        <v/>
      </c>
      <c r="QS18" s="494" t="str">
        <f>IF(A18=FALSE,"",QQ18*Cotations!DE18)</f>
        <v/>
      </c>
      <c r="QT18" s="338" t="str">
        <f t="shared" si="361"/>
        <v/>
      </c>
      <c r="QU18" s="919" t="str">
        <f>IF(A18=FALSE,"",((QG18*TAXE)-(QG18*TAXE*QI18))+IF(QM18="N/A",0,IF(INDEX(LISTES!$F$105:$F$109,MATCH(QM18,LISTES!$C$105:$C$109,0))="FIX",QN18,QO18*QL18)))</f>
        <v/>
      </c>
      <c r="RA18" s="497" t="str">
        <f t="shared" si="362"/>
        <v/>
      </c>
      <c r="RB18" s="498" t="str">
        <f>IF(A18=FALSE,"",IF(LISTES!$A$17=1,Cotations!DF18,Cotations!$DG$4))</f>
        <v/>
      </c>
      <c r="RC18" s="499" t="str">
        <f t="shared" si="363"/>
        <v/>
      </c>
      <c r="RD18" s="499" t="str">
        <f t="shared" si="364"/>
        <v/>
      </c>
      <c r="RE18" s="500" t="str">
        <f t="shared" si="365"/>
        <v/>
      </c>
      <c r="RF18" s="501" t="str">
        <f>IF(A18=FALSE,"",Cotations!$DK$4*Y18)</f>
        <v/>
      </c>
      <c r="RG18" s="502" t="str">
        <f t="shared" si="366"/>
        <v/>
      </c>
      <c r="RH18" s="520" t="str">
        <f>IF(A18=FALSE,"",IF(Cotations!$DH$4="monthly",RG18/12*L18,RG18/365*M18))</f>
        <v/>
      </c>
      <c r="RI18" s="503" t="str">
        <f>IF(A18=FALSE,"",Cotations!$DL$4)</f>
        <v/>
      </c>
      <c r="RJ18" s="502" t="str">
        <f t="shared" si="367"/>
        <v/>
      </c>
      <c r="RK18" s="502" t="str">
        <f t="shared" si="368"/>
        <v/>
      </c>
      <c r="RL18" s="504" t="str">
        <f t="shared" si="369"/>
        <v/>
      </c>
      <c r="RM18" s="505" t="str">
        <f>IF(A18=FALSE,"",Cotations!$DM$4)</f>
        <v/>
      </c>
      <c r="RN18" s="520" t="str">
        <f>IF(A18=FALSE,"",Cotations!$DN$4)</f>
        <v/>
      </c>
      <c r="RO18" s="503" t="str">
        <f>IF(A18=FALSE,"",Cotations!$DO$4)</f>
        <v/>
      </c>
      <c r="RP18" s="505" t="str">
        <f>IF(A18=FALSE,"",IF(RM18="N/A",0,IF(INDEX(LISTES!$F$105:$F$109,MATCH(RM18,LISTES!$C$105:$C$109,0))="FIX",IF(INDEX(LISTES!$E$105:$E$109,MATCH(RM18,LISTES!$C$105:$C$109,0))=12,RN18/12*L18,RN18/365*M18),RO18*RL18)))</f>
        <v/>
      </c>
      <c r="RQ18" s="504" t="str">
        <f t="shared" si="370"/>
        <v/>
      </c>
      <c r="RR18" s="505" t="str">
        <f>IF(A18=FALSE,"",RQ18*Cotations!$DP$4)</f>
        <v/>
      </c>
      <c r="RS18" s="505" t="str">
        <f>IF(A18=FALSE,"",RQ18*Cotations!$DQ$4)</f>
        <v/>
      </c>
      <c r="RT18" s="506" t="str">
        <f t="shared" si="371"/>
        <v/>
      </c>
      <c r="RU18" s="919" t="str">
        <f>IF(A18=FALSE,"",((RG18*TAXE)-(RG18*TAXE*RI18))+IF(RM18="N/A",0,IF(INDEX(LISTES!$F$105:$F$109,MATCH(RM18,LISTES!$C$105:$C$109,0))="FIX",RN18,RO18*RL18)))</f>
        <v/>
      </c>
      <c r="SA18" s="492" t="str">
        <f t="shared" si="372"/>
        <v/>
      </c>
      <c r="SB18" s="491" t="str">
        <f>IF(A18=FALSE,"",IF(LISTES!$A$17=1,Cotations!DF18,Cotations!DG18))</f>
        <v/>
      </c>
      <c r="SC18" s="285" t="str">
        <f t="shared" si="373"/>
        <v/>
      </c>
      <c r="SD18" s="300"/>
      <c r="SE18" s="461" t="str">
        <f t="shared" si="374"/>
        <v/>
      </c>
      <c r="SF18" s="490" t="str">
        <f>IF(A18=FALSE,"",Cotations!DK18*AA18)</f>
        <v/>
      </c>
      <c r="SG18" s="300" t="str">
        <f t="shared" si="375"/>
        <v/>
      </c>
      <c r="SH18" s="522" t="str">
        <f>IF(A18=FALSE,"",IF(Cotations!DH18="monthly",SG18/12*L18,SG18/365*M18))</f>
        <v/>
      </c>
      <c r="SI18" s="489" t="str">
        <f>IF(A18=FALSE,"",IF(Cotations!DL18="","",Cotations!DL18))</f>
        <v/>
      </c>
      <c r="SJ18" s="300" t="str">
        <f t="shared" si="376"/>
        <v/>
      </c>
      <c r="SK18" s="300" t="str">
        <f t="shared" si="377"/>
        <v/>
      </c>
      <c r="SL18" s="919" t="str">
        <f t="shared" si="378"/>
        <v/>
      </c>
      <c r="SM18" s="285" t="str">
        <f>IF(A18=FALSE,"",Cotations!DM18)</f>
        <v/>
      </c>
      <c r="SN18" s="515" t="str">
        <f>IF(A18=FALSE,"",Cotations!DN18)</f>
        <v/>
      </c>
      <c r="SO18" s="493" t="str">
        <f>IF(A18=FALSE,"",Cotations!DO18)</f>
        <v/>
      </c>
      <c r="SP18" s="517" t="str">
        <f>IF(A18=FALSE,"",IF(SM18="N/A",0,IF(INDEX(LISTES!$F$105:$F$109,MATCH(SM18,LISTES!$C$105:$C$109,0))="FIX",IF(INDEX(LISTES!$E$105:$E$109,MATCH(SM18,LISTES!$C$105:$C$109,0))=12,SN18/12*L18,SN18/365*M18),SO18*SL18)))</f>
        <v/>
      </c>
      <c r="SQ18" s="294" t="str">
        <f t="shared" si="379"/>
        <v/>
      </c>
      <c r="SR18" s="494" t="str">
        <f>IF(A18=FALSE,"",SQ18*Cotations!DP18)</f>
        <v/>
      </c>
      <c r="SS18" s="494" t="str">
        <f>IF(A18=FALSE,"",SQ18*Cotations!DQ18)</f>
        <v/>
      </c>
      <c r="ST18" s="338" t="str">
        <f t="shared" si="380"/>
        <v/>
      </c>
      <c r="SU18" s="919" t="str">
        <f>IF(A18=FALSE,"",((SG18*TAXE)-(SG18*TAXE*SI18))+IF(SM18="N/A",0,IF(INDEX(LISTES!$F$105:$F$109,MATCH(SM18,LISTES!$C$105:$C$109,0))="FIX",SN18,SO18*SL18)))</f>
        <v/>
      </c>
      <c r="SY18" s="716"/>
      <c r="TA18" s="492" t="str">
        <f>IF(A18=FALSE,"",Cotations!D18)</f>
        <v/>
      </c>
      <c r="TB18" s="491" t="str">
        <f>IF(A18=FALSE,"",IF(LISTES!$A$17=1,Cotations!DR18,Cotations!DS18))</f>
        <v/>
      </c>
      <c r="TC18" s="285" t="str">
        <f t="shared" si="381"/>
        <v/>
      </c>
      <c r="TD18" s="300" t="str">
        <f>IF(A18=FALSE,"",Detail!CQ18)</f>
        <v/>
      </c>
      <c r="TE18" s="461" t="str">
        <f t="shared" si="382"/>
        <v/>
      </c>
      <c r="TF18" s="490" t="str">
        <f>IF(A18=FALSE,"",IF(TA18="FIXE",Cotations!DU18,Cotations!DV18*Y18))</f>
        <v/>
      </c>
      <c r="TG18" s="300" t="str">
        <f t="shared" si="383"/>
        <v/>
      </c>
      <c r="TH18" s="522" t="str">
        <f>IF(A18=FALSE,"",IF(Cotations!DT18="monthly",TG18/12*L18,TG18/365*M18))</f>
        <v/>
      </c>
      <c r="TI18" s="489" t="str">
        <f>IF(A18=FALSE,"",IF(Cotations!DW18="","",Cotations!DW18))</f>
        <v/>
      </c>
      <c r="TJ18" s="300" t="str">
        <f t="shared" si="384"/>
        <v/>
      </c>
      <c r="TK18" s="300" t="str">
        <f t="shared" si="385"/>
        <v/>
      </c>
      <c r="TL18" s="919" t="str">
        <f t="shared" si="386"/>
        <v/>
      </c>
      <c r="TM18" s="517" t="str">
        <f>IF(A18=FALSE,"",Cotations!DX18)</f>
        <v/>
      </c>
      <c r="TN18" s="517" t="str">
        <f>IF(A18=FALSE,"",Cotations!DY18)</f>
        <v/>
      </c>
      <c r="TO18" s="493" t="str">
        <f>IF(A18=FALSE,"",Cotations!DZ18)</f>
        <v/>
      </c>
      <c r="TP18" s="517" t="str">
        <f>IF(A18=FALSE,"",IF(TM18="N/A",0,IF(INDEX(LISTES!$F$105:$F$109,MATCH(TM18,LISTES!$C$105:$C$109,0))="FIX",IF(INDEX(LISTES!$E$105:$E$109,MATCH(TM18,LISTES!$C$105:$C$109,0))=12,TN18/12*L18,TN18/365*M18),TO18*TL18)))</f>
        <v/>
      </c>
      <c r="TQ18" s="294" t="str">
        <f t="shared" si="387"/>
        <v/>
      </c>
      <c r="TR18" s="494" t="str">
        <f>IF(A18=FALSE,"",TQ18*Cotations!EA18)</f>
        <v/>
      </c>
      <c r="TS18" s="494" t="str">
        <f>IF(A18=FALSE,"",TQ18*Cotations!EB18)</f>
        <v/>
      </c>
      <c r="TT18" s="338" t="str">
        <f t="shared" si="388"/>
        <v/>
      </c>
      <c r="TU18" s="919" t="str">
        <f>IF(A18=FALSE,"",((TG18*(1+TAXE)-(TG18*(1+TAXE)*TI18))+IF(TM18="N/A",0,IF(INDEX(LISTES!$F$105:$F$109,MATCH(TM18,LISTES!$C$105:$C$109,0))="FIX",TN18,TO18*TL18))))</f>
        <v/>
      </c>
      <c r="UA18" s="492" t="str">
        <f>IF(A18=FALSE,"",Cotations!D18)</f>
        <v/>
      </c>
      <c r="UB18" s="491" t="str">
        <f>IF(A18=FALSE,"",IF(LISTES!$A$17=1,Cotations!EC18,Cotations!ED18))</f>
        <v/>
      </c>
      <c r="UC18" s="285" t="str">
        <f t="shared" si="389"/>
        <v/>
      </c>
      <c r="UD18" s="300" t="str">
        <f>IF(A18=FALSE,"",Detail!CY18)</f>
        <v/>
      </c>
      <c r="UE18" s="461" t="str">
        <f t="shared" si="390"/>
        <v/>
      </c>
      <c r="UF18" s="490" t="str">
        <f>IF(A18=FALSE,"",IF(UA18="FIXE",Cotations!EF18,Cotations!EG18*Y18))</f>
        <v/>
      </c>
      <c r="UG18" s="300" t="str">
        <f t="shared" si="391"/>
        <v/>
      </c>
      <c r="UH18" s="522" t="str">
        <f>IF(A18=FALSE,"",IF(Cotations!EE18="monthly",UG18/12*L18,UG18/365*M18))</f>
        <v/>
      </c>
      <c r="UI18" s="489" t="str">
        <f>IF(A18=FALSE,"",IF(Cotations!EH18="","",Cotations!EH18))</f>
        <v/>
      </c>
      <c r="UJ18" s="300" t="str">
        <f t="shared" si="392"/>
        <v/>
      </c>
      <c r="UK18" s="300" t="str">
        <f t="shared" si="393"/>
        <v/>
      </c>
      <c r="UL18" s="919" t="str">
        <f t="shared" si="394"/>
        <v/>
      </c>
      <c r="UM18" s="517" t="str">
        <f>IF(A18=FALSE,"",Cotations!EI18)</f>
        <v/>
      </c>
      <c r="UN18" s="517" t="str">
        <f>IF(A18=FALSE,"",Cotations!EJ18)</f>
        <v/>
      </c>
      <c r="UO18" s="493" t="str">
        <f>IF(A18=FALSE,"",Cotations!EK18)</f>
        <v/>
      </c>
      <c r="UP18" s="517" t="str">
        <f>IF(A18=FALSE,"",IF(UM18="N/A",0,IF(INDEX(LISTES!$F$105:$F$109,MATCH(UM18,LISTES!$C$105:$C$109,0))="FIX",IF(INDEX(LISTES!$E$105:$E$109,MATCH(UM18,LISTES!$C$105:$C$109,0))=12,UN18/12*L18,UN18/365*M18),UO18*UL18)))</f>
        <v/>
      </c>
      <c r="UQ18" s="294" t="str">
        <f t="shared" si="395"/>
        <v/>
      </c>
      <c r="UR18" s="494" t="str">
        <f>IF(A18=FALSE,"",UQ18*Cotations!EL18)</f>
        <v/>
      </c>
      <c r="US18" s="494" t="str">
        <f>IF(A18=FALSE,"",UQ18*Cotations!EM18)</f>
        <v/>
      </c>
      <c r="UT18" s="338" t="str">
        <f t="shared" si="396"/>
        <v/>
      </c>
      <c r="UU18" s="919" t="str">
        <f>IF(A18=FALSE,"",((UG18*(1+TAXE)-(UG18*(1+TAXE)*UI18))+IF(UM18="N/A",0,IF(INDEX(LISTES!$F$105:$F$109,MATCH(UM18,LISTES!$C$105:$C$109,0))="FIX",UN18,UO18*UL18))))</f>
        <v/>
      </c>
      <c r="VA18" s="492" t="str">
        <f>IF(A18=FALSE,"",Cotations!D18)</f>
        <v/>
      </c>
      <c r="VB18" s="519" t="str">
        <f>IF(A18=FALSE,"",IF(LISTES!$A$17=1,Cotations!EN18,Cotations!EO18))</f>
        <v/>
      </c>
      <c r="VC18" s="291" t="str">
        <f t="shared" si="397"/>
        <v/>
      </c>
      <c r="VD18" s="291" t="str">
        <f t="shared" si="398"/>
        <v/>
      </c>
      <c r="VE18" s="291"/>
      <c r="VF18" s="463"/>
      <c r="VG18" s="463" t="str">
        <f t="shared" si="399"/>
        <v/>
      </c>
      <c r="VH18" s="522" t="str">
        <f>IF(A18=FALSE,"",IF(Cotations!$AQ$4="monthly",VG18/12*L18,VG18/365*M18))</f>
        <v/>
      </c>
      <c r="VI18" s="489" t="str">
        <f>IF(A18=FALSE,"",Cotations!$AR$4)</f>
        <v/>
      </c>
      <c r="VJ18" s="300" t="str">
        <f t="shared" si="400"/>
        <v/>
      </c>
      <c r="VK18" s="300" t="str">
        <f t="shared" si="401"/>
        <v/>
      </c>
      <c r="VL18" s="294" t="str">
        <f t="shared" si="402"/>
        <v/>
      </c>
      <c r="VM18" s="494" t="str">
        <f>IF(A18=FALSE,"",Cotations!$AS$4)</f>
        <v/>
      </c>
      <c r="VN18" s="494" t="str">
        <f>IF(A18=FALSE,"",Cotations!$AT$4)</f>
        <v/>
      </c>
      <c r="VO18" s="489" t="str">
        <f>IF(A18=FALSE,"",Cotations!$AU$4)</f>
        <v/>
      </c>
      <c r="VP18" s="494" t="str">
        <f>IF(A18=FALSE,"",IF(VM18="N/A",0,IF(INDEX(LISTES!$F$105:$F$109,MATCH(VM18,LISTES!$C$105:$C$109,0))="FIX",IF(INDEX(LISTES!$E$105:$E$109,MATCH(VM18,LISTES!$C$105:$C$109,0))=12,VN18/12*L18,VN18/365*M18),VO18*VL18)))</f>
        <v/>
      </c>
      <c r="VQ18" s="294" t="str">
        <f t="shared" si="403"/>
        <v/>
      </c>
      <c r="VR18" s="494" t="str">
        <f>IF(A18=FALSE,"",VQ18*Cotations!$AV$4)</f>
        <v/>
      </c>
      <c r="VS18" s="494" t="str">
        <f>IF(A18=FALSE,"",VQ18*Cotations!$AW$4)</f>
        <v/>
      </c>
      <c r="VT18" s="465" t="str">
        <f t="shared" si="404"/>
        <v/>
      </c>
      <c r="VU18" s="919" t="str">
        <f>IF(A18=FALSE,"",((VG18*TAXE)-(VG18*TAXE*VI18))+IF(VM18="N/A",0,IF(INDEX(LISTES!$F$105:$F$109,MATCH(VM18,LISTES!$C$105:$C$109,0))="FIX",VN18,VO18*VL18)))</f>
        <v/>
      </c>
      <c r="WA18" s="492" t="str">
        <f>IF(A18=FALSE,"",Cotations!D18)</f>
        <v/>
      </c>
      <c r="WB18" s="519" t="str">
        <f>IF(A18=FALSE,"",IF(LISTES!$A$17=1,Cotations!EW18,Cotations!EX18))</f>
        <v/>
      </c>
      <c r="WC18" s="291" t="str">
        <f t="shared" si="405"/>
        <v/>
      </c>
      <c r="WD18" s="291" t="str">
        <f t="shared" si="406"/>
        <v/>
      </c>
      <c r="WE18" s="291"/>
      <c r="WF18" s="463"/>
      <c r="WG18" s="463" t="str">
        <f t="shared" si="407"/>
        <v/>
      </c>
      <c r="WH18" s="522" t="str">
        <f>IF(A18=FALSE,"",IF(Cotations!$AQ$4="monthly",WG18/12*L18,WG18/365*M18))</f>
        <v/>
      </c>
      <c r="WI18" s="489" t="str">
        <f>IF(A18=FALSE,"",Cotations!$AR$4)</f>
        <v/>
      </c>
      <c r="WJ18" s="300" t="str">
        <f t="shared" si="408"/>
        <v/>
      </c>
      <c r="WK18" s="300" t="str">
        <f t="shared" si="409"/>
        <v/>
      </c>
      <c r="WL18" s="294" t="str">
        <f t="shared" si="410"/>
        <v/>
      </c>
      <c r="WM18" s="494" t="str">
        <f>IF(A18=FALSE,"",Cotations!$AS$4)</f>
        <v/>
      </c>
      <c r="WN18" s="494" t="str">
        <f>IF(A18=FALSE,"",Cotations!$AT$4)</f>
        <v/>
      </c>
      <c r="WO18" s="489" t="str">
        <f>IF(A18=FALSE,"",Cotations!$AU$4)</f>
        <v/>
      </c>
      <c r="WP18" s="494" t="str">
        <f>IF(A18=FALSE,"",IF(WM18="N/A",0,IF(INDEX(LISTES!$F$105:$F$109,MATCH(WM18,LISTES!$C$105:$C$109,0))="FIX",IF(INDEX(LISTES!$E$105:$E$109,MATCH(WM18,LISTES!$C$105:$C$109,0))=12,WN18/12*L18,WN18/365*M18),WO18*WL18)))</f>
        <v/>
      </c>
      <c r="WQ18" s="294" t="str">
        <f t="shared" si="411"/>
        <v/>
      </c>
      <c r="WR18" s="494" t="str">
        <f>IF(A18=FALSE,"",WQ18*Cotations!$AV$4)</f>
        <v/>
      </c>
      <c r="WS18" s="494" t="str">
        <f>IF(A18=FALSE,"",WQ18*Cotations!$AW$4)</f>
        <v/>
      </c>
      <c r="WT18" s="465" t="str">
        <f t="shared" si="412"/>
        <v/>
      </c>
      <c r="WU18" s="919" t="str">
        <f>IF(A18=FALSE,"",((WG18*TAXE)-(WG18*TAXE*WI18))+IF(WM18="N/A",0,IF(INDEX(LISTES!$F$105:$F$109,MATCH(WM18,LISTES!$C$105:$C$109,0))="FIX",WN18,WO18*WL18)))</f>
        <v/>
      </c>
    </row>
    <row r="19" spans="1:619" s="296" customFormat="1">
      <c r="A19" s="942" t="b">
        <f t="shared" si="221"/>
        <v>0</v>
      </c>
      <c r="B19" s="942" t="b">
        <f>IF(NAMES!$B$9=TRUE,TRUE,FALSE)</f>
        <v>1</v>
      </c>
      <c r="C19" s="942" t="b">
        <f t="shared" si="413"/>
        <v>0</v>
      </c>
      <c r="D19" s="942" t="b">
        <f t="shared" si="414"/>
        <v>1</v>
      </c>
      <c r="E19" s="274" t="b">
        <f>IF(Cotations!C19="","",Cotations!C19)</f>
        <v>0</v>
      </c>
      <c r="F19" s="274" t="str">
        <f>IF(Cotations!D19="","",Cotations!D19)</f>
        <v>PROP</v>
      </c>
      <c r="G19" s="274" t="str">
        <f>IF(Cotations!E19="","",Cotations!E19)</f>
        <v>2015-2016!</v>
      </c>
      <c r="H19" s="274" t="str">
        <f>IF(Cotations!F19="","",Cotations!F19)</f>
        <v>SINGLE</v>
      </c>
      <c r="I19" s="274" t="str">
        <f>IF(Cotations!G19="","",Cotations!G19)</f>
        <v/>
      </c>
      <c r="J19" s="274" t="str">
        <f>IF(Cotations!H19="","",Cotations!H19)</f>
        <v/>
      </c>
      <c r="K19" s="274" t="str">
        <f>IF(Cotations!I19="","",Cotations!I19)</f>
        <v/>
      </c>
      <c r="L19" s="274" t="str">
        <f>IF(A19=FALSE,"",IF(Cotations!N19="","",Cotations!N19))</f>
        <v/>
      </c>
      <c r="M19" s="274" t="str">
        <f>IF(Cotations!P19="","",Cotations!P19)</f>
        <v/>
      </c>
      <c r="N19" s="724">
        <f>IF(NAMES!$B$10=TRUE,Cotations!J19,Cotations!L19)</f>
        <v>42580</v>
      </c>
      <c r="O19" s="724">
        <f>IF(NAMES!$B$10=TRUE,Cotations!K19,Cotations!M19)</f>
        <v>42585</v>
      </c>
      <c r="P19" s="943" t="str">
        <f t="shared" si="415"/>
        <v>juillet</v>
      </c>
      <c r="Q19" s="724" t="str">
        <f>IF(A19=FALSE,"",IF(Crewlist!Y19="","",Crewlist!Y19))</f>
        <v/>
      </c>
      <c r="R19" s="78" t="str">
        <f>IF(Cotations!U19="","",Cotations!U19)</f>
        <v/>
      </c>
      <c r="S19" s="943" t="str">
        <f t="shared" si="416"/>
        <v/>
      </c>
      <c r="T19" s="919" t="str">
        <f>IF(A19=FALSE,"",VLOOKUP($U$15:$U$120,Currency!$A$2:$D$10,4,0)*Crewlist!N19)</f>
        <v/>
      </c>
      <c r="U19" s="1355" t="str">
        <f>IF(A19=FALSE,"",IF(IT19=0,Crewlist!M19&amp;"/"&amp;EX19,Crewlist!M19&amp;"/"&amp;IT19))</f>
        <v/>
      </c>
      <c r="V19" s="919" t="str">
        <f>IF(A19=FALSE,"",VLOOKUP($U$15:$U$120,Currency!$A$2:$D$10,4,0)*Detail!Q19)</f>
        <v/>
      </c>
      <c r="W19" s="1355" t="str">
        <f>IF(A19=FALSE,"",IF(IT19=0,Detail!R19&amp;"/"&amp;EX19,Detail!R19&amp;"/"&amp;IT19))</f>
        <v/>
      </c>
      <c r="X19" s="919" t="str">
        <f>IF(A19=FALSE,"",IF(LISTES!$C$17="Crewlist",Calcul!T19,Calcul!V19))</f>
        <v/>
      </c>
      <c r="Y19" s="758" t="str">
        <f t="shared" si="417"/>
        <v/>
      </c>
      <c r="Z19" s="758" t="str">
        <f>IF(A19=FALSE,"",IF(X19=0,0,IF((Cotations!BC19*12*X19)&lt;50000,50000,(12*X19))))</f>
        <v/>
      </c>
      <c r="AA19" s="758" t="str">
        <f t="shared" si="418"/>
        <v/>
      </c>
      <c r="AB19" s="758" t="str">
        <f>IF(A19=FALSE,"",IF(Crewlist!O19=0,"",Crewlist!O19))</f>
        <v/>
      </c>
      <c r="AC19" s="758" t="str">
        <f>IF(I19="","",VLOOKUP($AB$15:$AB$120,Currency!$A$15:$B$34,2,0))</f>
        <v/>
      </c>
      <c r="AD19" s="758" t="str">
        <f t="shared" si="419"/>
        <v/>
      </c>
      <c r="AE19" s="758" t="str">
        <f t="shared" si="420"/>
        <v/>
      </c>
      <c r="AF19" s="758" t="str">
        <f t="shared" si="421"/>
        <v/>
      </c>
      <c r="AG19" s="758" t="str">
        <f t="shared" si="422"/>
        <v/>
      </c>
      <c r="AH19" s="1355" t="str">
        <f t="shared" si="222"/>
        <v/>
      </c>
      <c r="AI19" s="919" t="str">
        <f t="shared" si="423"/>
        <v/>
      </c>
      <c r="AJ19" s="1382" t="str">
        <f t="shared" si="424"/>
        <v/>
      </c>
      <c r="AK19" s="1382" t="str">
        <f t="shared" si="425"/>
        <v/>
      </c>
      <c r="AL19" s="238" t="str">
        <f t="shared" si="223"/>
        <v/>
      </c>
      <c r="AM19" s="238" t="str">
        <f t="shared" si="224"/>
        <v/>
      </c>
      <c r="AN19" s="1374" t="str">
        <f t="shared" si="225"/>
        <v/>
      </c>
      <c r="AO19" s="238" t="str">
        <f t="shared" si="226"/>
        <v/>
      </c>
      <c r="AP19" s="342" t="str">
        <f>IF(A19=FALSE,"",INDEX(Rates!$Z$5:$Z$367,MATCH(EB19,colchoice,0)))</f>
        <v/>
      </c>
      <c r="AQ19" s="238" t="str">
        <f t="shared" si="227"/>
        <v/>
      </c>
      <c r="AR19" s="238" t="str">
        <f t="shared" si="426"/>
        <v/>
      </c>
      <c r="AS19" s="238" t="str">
        <f t="shared" si="427"/>
        <v/>
      </c>
      <c r="AT19" s="238" t="str">
        <f t="shared" si="428"/>
        <v/>
      </c>
      <c r="AU19" s="238" t="str">
        <f t="shared" si="228"/>
        <v/>
      </c>
      <c r="AV19" s="238" t="str">
        <f t="shared" si="429"/>
        <v/>
      </c>
      <c r="AW19" s="238" t="str">
        <f t="shared" si="229"/>
        <v/>
      </c>
      <c r="AX19" s="238" t="str">
        <f t="shared" si="230"/>
        <v/>
      </c>
      <c r="AY19" s="238" t="str">
        <f t="shared" si="231"/>
        <v/>
      </c>
      <c r="AZ19" s="238" t="str">
        <f t="shared" si="232"/>
        <v/>
      </c>
      <c r="BA19" s="238" t="str">
        <f t="shared" si="233"/>
        <v/>
      </c>
      <c r="BB19" s="552" t="str">
        <f t="shared" si="234"/>
        <v/>
      </c>
      <c r="BC19" s="347" t="str">
        <f t="shared" si="235"/>
        <v/>
      </c>
      <c r="BD19" s="239" t="str">
        <f t="shared" si="430"/>
        <v/>
      </c>
      <c r="BE19" s="239" t="str">
        <f>IF(A19=FALSE,"",IF(ALLTHESAME=TRUE,IF(DF19&lt;&gt;$BC$7,0,INDEX(DD19:DZ19,1,MATCH(Structure!$D$12,$DD$14:$DZ$14,0))),IF(EC19&lt;&gt;$BC$7,0,INDEX(EA19:EZ19,1,MATCH(Structure!$D$12,$EA$14:$EZ$14,0)))))</f>
        <v/>
      </c>
      <c r="BF19" s="239" t="str">
        <f>IF(A19=FALSE,"",IF(ALLTHESAME=TRUE,IF(FC19&lt;&gt;$BC$7,0,INDEX(FA19:FZ19,1,MATCH(Structure!$D$12,$FA$14:$FZ$14,0))),IF(GC19&lt;&gt;$BC$7,0,INDEX(GA19:GZ19,1,MATCH(Structure!$D$12,$GA$14:$GZ$14,0)))))</f>
        <v/>
      </c>
      <c r="BG19" s="239" t="str">
        <f>IF(A19=FALSE,"",IF(ALLTHESAME=TRUE,IF(VC19&lt;&gt;$BC$7,0,INDEX(VA19:VZ19,1,MATCH(Structure!$D$12,$VA$14:$VZ$14,0))),IF(VC19&lt;&gt;$BC$7,0,INDEX(VA19:VZ19,1,MATCH(Structure!$D$12,$VA$14:$VZ$14,0)))))</f>
        <v/>
      </c>
      <c r="BH19" s="239" t="str">
        <f>IF(A19=FALSE,"",IF(ALLTHESAME=TRUE,IF(WC19&lt;&gt;$BC$7,0,INDEX(WA19:WY19,1,MATCH(Structure!$D$12,$WA$14:$WZ$14,0))),IF(WC19&lt;&gt;$BC$7,0,INDEX(WA19:WZ19,1,MATCH(Structure!$D$12,$WA$14:$WZ$14,0)))))</f>
        <v/>
      </c>
      <c r="BI19" s="763" t="str">
        <f>IF(A19=FALSE,"",IF(ALLTHESAME=TRUE,IF(HC19&lt;&gt;$BC$7,0,INDEX(HA19:HZ19,1,MATCH(Structure!$D$12,$HA$14:$HZ$14,0)))+TK19,IF(IC19&lt;&gt;$BC$7,0,INDEX(IA19:IZ19,1,MATCH(Structure!$D$12,$IA$14:$IZ$14,0)))+TK19))</f>
        <v/>
      </c>
      <c r="BJ19" s="239" t="str">
        <f>IF(A19=FALSE,"",IF(ALLTHESAME=TRUE,IF(JC19&lt;&gt;$BC$7,0,INDEX(JA19:JZ19,1,MATCH(Structure!$D$12,$JA$14:$JZ$14,0))),IF(KC19&lt;&gt;$BC$7,0,INDEX(KA19:KZ19,1,MATCH(Structure!$D$12,$KA$14:$KZ$14,0)))))</f>
        <v/>
      </c>
      <c r="BK19" s="763" t="str">
        <f>IF(A19=FALSE,"",IF(ALLTHESAME=TRUE,IF(LC19&lt;&gt;$BC$7,0,INDEX(LA19:LZ19,1,MATCH(Structure!$D$12,$LA$14:$LZ$14,0)))+UK19,IF(MC19&lt;&gt;$BC$7,0,INDEX(MA19:MZ19,1,MATCH(Structure!$D$12,$MA$14:$MZ$14,0)))+UK19))</f>
        <v/>
      </c>
      <c r="BL19" s="239" t="str">
        <f>IF(A19=FALSE,"",IF(ALLTHESAME=TRUE,IF(NC19&lt;&gt;$BC$7,0,INDEX(NA19:NZ19,1,MATCH(Structure!$D$12,$NA$14:$NZ$14,0))),IF(OC19&lt;&gt;$BC$7,0,INDEX(OA19:OZ19,1,MATCH(Structure!$D$12,$OA$14:$OZ$14,0)))))</f>
        <v/>
      </c>
      <c r="BM19" s="239" t="str">
        <f>IF(A19=FALSE,"",IF(ALLTHESAME=TRUE,IF(PC19&lt;&gt;$BC$7,0,INDEX(PA19:PZ19,1,MATCH(Structure!$D$12,$PA$14:$PZ$14,0))),IF(QC19&lt;&gt;$BC$7,0,INDEX(QA19:QZ19,1,MATCH(Structure!$D$12,$QA$14:$QZ$14,0)))))</f>
        <v/>
      </c>
      <c r="BN19" s="341" t="str">
        <f>IF(A19=FALSE,"",IF(ALLTHESAME=TRUE,IF(RC19&lt;&gt;$BC$7,0,INDEX(RA19:RZ19,1,MATCH(Structure!$D$12,$RA$14:$RZ$14,0))),IF(SC19&lt;&gt;$BC$7,0,INDEX(SA19:TA19,1,MATCH(Structure!$D$12,$SA$14:$TA$14,0)))))</f>
        <v/>
      </c>
      <c r="BO19" s="507" t="str">
        <f t="shared" si="236"/>
        <v/>
      </c>
      <c r="BP19" s="239" t="str">
        <f t="shared" si="237"/>
        <v/>
      </c>
      <c r="BQ19" s="239" t="str">
        <f>IF(A19=FALSE,"",IF(ALLTHESAME=TRUE,IF(DF19&lt;&gt;$BO$7,0,INDEX(DD19:DZ19,1,MATCH(Structure!$D$12,$DD$14:$DZ$14,0))),IF(EC19&lt;&gt;$BO$7,0,INDEX(EA19:EZ19,1,MATCH(Structure!$D$12,$EA$14:$EZ$14,0)))))</f>
        <v/>
      </c>
      <c r="BR19" s="239" t="str">
        <f>IF(A19=FALSE,"",IF(ALLTHESAME=TRUE,IF(FC19&lt;&gt;$BO$7,0,INDEX(FA19:FZ19,1,MATCH(Structure!$D$12,$FA$14:$FZ$14,0))),IF(GC19&lt;&gt;$BO$7,0,INDEX(GA19:GZ19,1,MATCH(Structure!$D$12,$GA$14:$GZ$14,0)))))</f>
        <v/>
      </c>
      <c r="BS19" s="239" t="str">
        <f>IF(A19=FALSE,"",IF(ALLTHESAME=TRUE,IF(HC19&lt;&gt;$BO$7,0,INDEX(HA19:HZ19,1,MATCH(Structure!$D$12,$HA$14:$HZ$14,0))),IF(IC19&lt;&gt;$BO$7,0,INDEX(IA19:IZ19,1,MATCH(Structure!$D$12,$IA$14:$IZ$14,0)))))</f>
        <v/>
      </c>
      <c r="BT19" s="239" t="str">
        <f>IF(A19=FALSE,"",IF(ALLTHESAME=TRUE,IF(JC19&lt;&gt;$BO$7,0,INDEX(JA19:JZ19,1,MATCH(Structure!$D$12,$JA$14:$JZ$14,0))),IF(KC19&lt;&gt;$BO$7,0,INDEX(KA19:KZ19,1,MATCH(Structure!$D$12,$KA$14:$KZ$14,0)))))</f>
        <v/>
      </c>
      <c r="BU19" s="239" t="str">
        <f>IF(A19=FALSE,"",IF(ALLTHESAME=TRUE,IF(LC19&lt;&gt;$BO$7,0,INDEX(LA19:LZ19,1,MATCH(Structure!$D$12,$LA$14:$LZ$14,0))),IF(MC19&lt;&gt;$BO$7,0,INDEX(MA19:MZ19,1,MATCH(Structure!$D$12,$MA$14:$MZ$14,0)))))</f>
        <v/>
      </c>
      <c r="BV19" s="239" t="str">
        <f>IF(A19=FALSE,"",IF(ALLTHESAME=TRUE,IF(NC19&lt;&gt;$BO$7,0,INDEX(NA19:NZ19,1,MATCH(Structure!$D$12,$NA$14:$NZ$14,0))),IF(OC19&lt;&gt;$BO$7,0,INDEX(OA19:OZ19,1,MATCH(Structure!$D$12,$OA$14:$OZ$14,0)))))</f>
        <v/>
      </c>
      <c r="BW19" s="239" t="str">
        <f>IF(A19=FALSE,"",IF(ALLTHESAME=TRUE,IF(PC19&lt;&gt;$BO$7,0,INDEX(PA19:PZ19,1,MATCH(Structure!$D$12,$PA$14:$PZ$14,0))),IF(QC19&lt;&gt;$BO$7,0,INDEX(QA19:QZ19,1,MATCH(Structure!$D$12,$QA$14:$QZ$14,0)))))</f>
        <v/>
      </c>
      <c r="BX19" s="341" t="str">
        <f>IF(A19=FALSE,"",IF(ALLTHESAME=TRUE,IF(RC19&lt;&gt;$BO$7,0,INDEX(RA19:RZ19,1,MATCH(Structure!$D$12,$RA$14:$RZ$14,0))),IF(SC19&lt;&gt;$BO$7,0,INDEX(SA19:TA19,1,MATCH(Structure!$D$12,$SA$14:$TA$14,0)))))</f>
        <v/>
      </c>
      <c r="BY19" s="347" t="str">
        <f t="shared" si="238"/>
        <v/>
      </c>
      <c r="BZ19" s="507" t="str">
        <f t="shared" si="239"/>
        <v/>
      </c>
      <c r="CA19" s="239" t="str">
        <f t="shared" si="240"/>
        <v/>
      </c>
      <c r="CB19" s="239" t="str">
        <f>IF(A19=FALSE,"",IF(ALLTHESAME=TRUE,INDEX(DD19:DZ19,MATCH(DF19,DF19:DF124,0),MATCH(Structure!$D$17,$DD$14:$DZ$14,0)),INDEX(EA19:EZ19,MATCH(EC19,EC19:EC124,0),MATCH(Structure!$D$17,$EA$14:$EZ$14,0))))</f>
        <v/>
      </c>
      <c r="CC19" s="239" t="str">
        <f>IF(A19=FALSE,"",IF(ALLTHESAME=TRUE,INDEX(FA19:FZ19,MATCH(FC19,FC19:FC124,0),MATCH(Structure!$D$17,$FA$14:$FZ$14,0)),INDEX(GA19:GZ19,MATCH(GC19,GC19:GC124,0),MATCH(Structure!$D$17,$GA$14:$GZ$14,0))))</f>
        <v/>
      </c>
      <c r="CD19" s="239" t="str">
        <f>IF(A19=FALSE,"",IF(ALLTHESAME=TRUE,INDEX(HA19:HZ19,MATCH(HC19,HC19:HC124,0),MATCH(Structure!$D$17,$HA$14:$HZ$14,0)),INDEX(IA19:IZ19,MATCH(IC19,IC19:IC124,0),MATCH(Structure!$D$17,$IA$14:$IZ$14,0))))</f>
        <v/>
      </c>
      <c r="CE19" s="239" t="str">
        <f>IF(A19=FALSE,"",IF(ALLTHESAME=TRUE,INDEX(JA19:JZ19,MATCH(JC19,JC19:JC124,0),MATCH(Structure!$D$17,$JA$14:$JZ$14,0)),INDEX(KA19:KZ19,MATCH(KC19,KC19:KC124,0),MATCH(Structure!$D$17,$KA$14:$KZ$14,0))))</f>
        <v/>
      </c>
      <c r="CF19" s="239" t="str">
        <f>IF(A19=FALSE,"",IF(ALLTHESAME=TRUE,INDEX(LA19:LZ19,MATCH(LC19,LC19:LC124,0),MATCH(Structure!$D$17,$LA$14:$LZ$14,0)),INDEX(MA19:MZ19,MATCH(MC19,MC19:MC124,0),MATCH(Structure!$D$17,$MA$14:$MZ$14,0))))</f>
        <v/>
      </c>
      <c r="CG19" s="239" t="str">
        <f>IF(A19=FALSE,"",IF(ALLTHESAME=TRUE,INDEX(NA19:NZ19,MATCH(NC19,NC19:NC124,0),MATCH(Structure!$D$17,$NA$14:$NZ$14,0)),INDEX(OA19:OZ19,MATCH(OC19,OC19:OC124,0),MATCH(Structure!$D$17,$OA$14:$OZ$14,0))))</f>
        <v/>
      </c>
      <c r="CH19" s="239" t="str">
        <f>IF(A19=FALSE,"",IF(ALLTHESAME=TRUE,INDEX(PA19:PZ19,MATCH(PC19,PC19:PC124,0),MATCH(Structure!$D$17,$PA$14:$PZ$14,0)),INDEX(QA19:QZ19,MATCH(QC19,QC19:QC124,0),MATCH(Structure!$D$17,$QA$14:$QZ$14,0))))</f>
        <v/>
      </c>
      <c r="CI19" s="341" t="str">
        <f>IF(A19=FALSE,"",IF(ALLTHESAME=TRUE,INDEX(RA19:RZ19,MATCH(RC19,RC19:RC124,0),MATCH(Structure!$D$17,$RA$14:$RZ$14,0)),INDEX(SA19:TC19,MATCH(SC19,SC19:SC124,0),MATCH(Structure!$D$17,$SA$14:$TC$14,0))))</f>
        <v/>
      </c>
      <c r="CJ19" s="347"/>
      <c r="CK19" s="239" t="str">
        <f t="shared" si="241"/>
        <v/>
      </c>
      <c r="CL19" s="239" t="str">
        <f>IF(A19=FALSE,"",IF(ALLTHESAME=TRUE,INDEX(DD19:DZ19,MATCH(DF19,DF19:DF124,0),MATCH(Structure!$D$22,$DD$14:$DZ$14,0)),INDEX(EA19:EZ19,MATCH(EC19,EC19:EC124,0),MATCH(Structure!$D$22,$EA$14:$EZ$14,0))))</f>
        <v/>
      </c>
      <c r="CM19" s="239" t="str">
        <f>IF(A19=FALSE,"",IF(ALLTHESAME=TRUE,INDEX(FA19:FZ19,MATCH(FC19,FC19:FC124,0),MATCH(Structure!$D$22,$FA$14:$FZ$14,0)),INDEX(GA19:GZ19,MATCH(GC19,GC19:GC124,0),MATCH(Structure!$D$22,$GA$14:$GZ$14,0))))</f>
        <v/>
      </c>
      <c r="CN19" s="239" t="str">
        <f>IF(A19=FALSE,"",IF(ALLTHESAME=TRUE,INDEX(HA19:HZ19,MATCH(HC19,HC19:HC124,0),MATCH(Structure!$D$22,$HA$14:$HZ$14,0)),INDEX(IA19:IZ19,MATCH(IC19,IC19:IC124,0),MATCH(Structure!$D$22,$IA$14:$IZ$14,0))))</f>
        <v/>
      </c>
      <c r="CO19" s="239" t="str">
        <f>IF(A19=FALSE,"",IF(ALLTHESAME=TRUE,INDEX(JA19:JZ19,MATCH(JC19,JC19:JC124,0),MATCH(Structure!$D$22,$JA$14:$JZ$14,0)),INDEX(KA19:KZ19,MATCH(KC19,KC19:KC124,0),MATCH(Structure!$D$22,$KA$14:$KZ$14,0))))</f>
        <v/>
      </c>
      <c r="CP19" s="239" t="str">
        <f>IF(A19=FALSE,"",IF(ALLTHESAME=TRUE,INDEX(LA19:LZ19,MATCH(LC19,LC19:LC124,0),MATCH(Structure!$D$22,$LA$14:$LZ$14,0)),INDEX(MA19:MZ19,MATCH(MC19,MC19:MC124,0),MATCH(Structure!$D$22,$MA$14:$MZ$14,0))))</f>
        <v/>
      </c>
      <c r="CQ19" s="239" t="str">
        <f>IF(A19=FALSE,"",IF(ALLTHESAME=TRUE,INDEX(NA19:NZ19,MATCH(NC19,NC19:NC124,0),MATCH(Structure!$D$22,$NA$14:$NZ$14,0)),INDEX(OA19:OZ19,MATCH(OC19,OC19:OC124,0),MATCH(Structure!$D$22,$OA$14:$OZ$14,0))))</f>
        <v/>
      </c>
      <c r="CR19" s="239" t="str">
        <f>IF(A19=FALSE,"",IF(ALLTHESAME=TRUE,INDEX(PA19:PZ19,MATCH(PC19,PC19:PC124,0),MATCH(Structure!$D$22,$PA$14:$PZ$14,0)),INDEX(QA19:QZ19,MATCH(QC19,QC19:QC124,0),MATCH(Structure!$D$22,$QA$14:$QZ$14,0))))</f>
        <v/>
      </c>
      <c r="CS19" s="341" t="str">
        <f>IF(A19=FALSE,"",IF(ALLTHESAME=TRUE,INDEX(RA19:RZ19,MATCH(RC19,RC19:RC124,0),MATCH(Structure!$D$22,$RA$14:$RZ$14,0)),INDEX(SA19:TC19,MATCH(SC19,SC19:SC124,0),MATCH(Structure!$D$22,$SA$14:$TC$14,0))))</f>
        <v/>
      </c>
      <c r="CT19" s="347"/>
      <c r="CU19" s="239" t="str">
        <f t="shared" si="242"/>
        <v/>
      </c>
      <c r="CV19" s="239" t="str">
        <f>IF(A19=FALSE,"",IF(ALLTHESAME=TRUE,INDEX(DD19:DZ19,MATCH(DF19,DF19:DF124,0),MATCH(Structure!$D$8,$DD$14:$DZ$14,0)),INDEX(EA19:EZ19,MATCH(EC19,EC19:EC124,0),MATCH(Structure!$D$8,$EA$14:$EZ$14,0))))</f>
        <v/>
      </c>
      <c r="CW19" s="239" t="str">
        <f>IF(A19=FALSE,"",IF(ALLTHESAME=TRUE,INDEX(FA19:FZ19,MATCH(FC19,FC19:FC124,0),MATCH(Structure!$D$8,$FA$14:$FZ$14,0)),INDEX(GA19:GZ19,MATCH(GC19,GC19:GC124,0),MATCH(Structure!$D$8,$GA$14:$GZ$14,0))))</f>
        <v/>
      </c>
      <c r="CX19" s="239" t="str">
        <f>IF(A19=FALSE,"",IF(ALLTHESAME=TRUE,INDEX(HA19:HZ19,MATCH(HC19,HC19:HC124,0),MATCH(Structure!$D$8,$HA$14:$HZ$14,0)),INDEX(IA19:IZ19,MATCH(IC19,IC19:IC124,0),MATCH(Structure!$D$8,$IA$14:$IZ$14,0))))</f>
        <v/>
      </c>
      <c r="CY19" s="239" t="str">
        <f>IF(A19=FALSE,"",IF(ALLTHESAME=TRUE,INDEX(JA19:JZ19,MATCH(JC19,JC19:JC124,0),MATCH(Structure!$D$8,$JA$14:$JZ$14,0)),INDEX(KA19:KZ19,MATCH(KC19,KC19:KC124,0),MATCH(Structure!$D$8,$KA$14:$KZ$14,0))))</f>
        <v/>
      </c>
      <c r="CZ19" s="239" t="str">
        <f>IF(A19=FALSE,"",IF(ALLTHESAME=TRUE,INDEX(LA19:LZ19,MATCH(LC19,LC19:LC124,0),MATCH(Structure!$D$8,$LA$14:$LZ$14,0)),INDEX(MA19:MZ19,MATCH(MC19,MC19:MC124,0),MATCH(Structure!$D$8,$MA$14:$MZ$14,0))))</f>
        <v/>
      </c>
      <c r="DA19" s="239" t="str">
        <f>IF(A19=FALSE,"",IF(ALLTHESAME=TRUE,INDEX(NA19:NZ19,MATCH(NC19,NC19:NC124,0),MATCH(Structure!$D$8,$NA$14:$NZ$14,0)),INDEX(OA19:OZ19,MATCH(OC19,OC19:OC124,0),MATCH(Structure!$D$8,$OA$14:$OZ$14,0))))</f>
        <v/>
      </c>
      <c r="DB19" s="239" t="str">
        <f>IF(A19=FALSE,"",IF(ALLTHESAME=TRUE,INDEX(PA19:PZ19,MATCH(PC19,PC19:PC124,0),MATCH(Structure!$D$8,$PA$14:$PZ$14,0)),INDEX(QA19:QZ19,MATCH(QC19,QC19:QC124,0),MATCH(Structure!$D$8,$QA$14:$QZ$14,0))))</f>
        <v/>
      </c>
      <c r="DC19" s="341" t="str">
        <f>IF(A19=FALSE,"",IF(ALLTHESAME=TRUE,INDEX(RA19:RZ19,MATCH(RC19,RC19:RC124,0),MATCH(Structure!$D$8,$RA$14:$RZ$14,0)),INDEX(SA19:TC19,MATCH(SC19,SC19:SC124,0),MATCH(Structure!$D$8,$SA$14:$TC$14,0))))</f>
        <v/>
      </c>
      <c r="DD19" s="492" t="str">
        <f>IF(A19=FALSE,"",Cotations!D19)</f>
        <v/>
      </c>
      <c r="DE19" s="492" t="str">
        <f>IF(A19=FALSE,"",IF(LISTES!$A$17=1,Cotations!AF19,Cotations!$AG$4))</f>
        <v/>
      </c>
      <c r="DF19" s="291" t="str">
        <f t="shared" si="431"/>
        <v/>
      </c>
      <c r="DG19" s="291" t="str">
        <f t="shared" si="243"/>
        <v/>
      </c>
      <c r="DH19" s="291"/>
      <c r="DI19" s="463"/>
      <c r="DJ19" s="463" t="str">
        <f t="shared" si="244"/>
        <v/>
      </c>
      <c r="DK19" s="522" t="str">
        <f>IF(A19=FALSE,"",IF(Cotations!$AH$4="monthly",DJ19/12*L19,DJ19/365*M19))</f>
        <v/>
      </c>
      <c r="DL19" s="489" t="str">
        <f>IF(A19=FALSE,"",Cotations!$AI$4)</f>
        <v/>
      </c>
      <c r="DM19" s="300" t="str">
        <f t="shared" si="245"/>
        <v/>
      </c>
      <c r="DN19" s="300" t="str">
        <f t="shared" si="246"/>
        <v/>
      </c>
      <c r="DO19" s="294" t="str">
        <f t="shared" si="247"/>
        <v/>
      </c>
      <c r="DP19" s="494" t="str">
        <f>IF(A19=FALSE,"",Cotations!$AJ$4)</f>
        <v/>
      </c>
      <c r="DQ19" s="494" t="str">
        <f>IF(A19=FALSE,"",Cotations!$AK$4)</f>
        <v/>
      </c>
      <c r="DR19" s="489" t="str">
        <f>IF(A19=FALSE,"",Cotations!$AL$4)</f>
        <v/>
      </c>
      <c r="DS19" s="494" t="str">
        <f>IF(A19=FALSE,"",IF(DP19="N/A",0,IF(INDEX(LISTES!$F$105:$F$109,MATCH(DP19,LISTES!$C$105:$C$109,0))="FIX",IF(INDEX(LISTES!$E$105:$E$109,MATCH(DP19,LISTES!$C$105:$C$109,0))=12,DQ19/12*L19,DQ19/365*M19),DR19*DO19)))</f>
        <v/>
      </c>
      <c r="DT19" s="294" t="str">
        <f t="shared" si="248"/>
        <v/>
      </c>
      <c r="DU19" s="294" t="str">
        <f>IF(A19=FALSE,"",DT19*Cotations!$AM$4)</f>
        <v/>
      </c>
      <c r="DV19" s="294" t="str">
        <f>IF(A19=FALSE,"",DT19*Cotations!$AN$4)</f>
        <v/>
      </c>
      <c r="DW19" s="465" t="str">
        <f t="shared" si="249"/>
        <v/>
      </c>
      <c r="DX19" s="919" t="str">
        <f>IF(A19=FALSE,"",((DJ19*TAXE)-(DJ19*TAXE*DL19))+IF(DP19="N/A",0,IF(INDEX(LISTES!$F$105:$F$109,MATCH(DP19,LISTES!$C$105:$C$109,0))="FIX",DQ19,DR19*DO19)))</f>
        <v/>
      </c>
      <c r="DY19" s="466"/>
      <c r="DZ19" s="466"/>
      <c r="EA19" s="492" t="str">
        <f>IF(A19=FALSE,"",Cotations!D19)</f>
        <v/>
      </c>
      <c r="EB19" s="494" t="str">
        <f>IF(A19=FALSE,"",IF(LISTES!$A$17=1,Cotations!AF19,Cotations!AG19))</f>
        <v/>
      </c>
      <c r="EC19" s="284" t="str">
        <f t="shared" si="250"/>
        <v/>
      </c>
      <c r="ED19" s="284" t="str">
        <f t="shared" si="251"/>
        <v/>
      </c>
      <c r="EE19" s="284"/>
      <c r="EF19" s="284"/>
      <c r="EG19" s="284" t="str">
        <f t="shared" si="252"/>
        <v/>
      </c>
      <c r="EH19" s="1365" t="str">
        <f t="shared" si="253"/>
        <v/>
      </c>
      <c r="EI19" s="1365" t="str">
        <f t="shared" si="254"/>
        <v/>
      </c>
      <c r="EJ19" s="515" t="str">
        <f>IF(A19=FALSE,"",IF(Cotations!AH19="monthly",EG19/12*L19,EG19/365*M19))</f>
        <v/>
      </c>
      <c r="EK19" s="1364" t="str">
        <f>IF(A19=FALSE,"",IF(Cotations!AH19="monthly",EI19/12*L19,EI19/365*M19))</f>
        <v/>
      </c>
      <c r="EL19" s="493" t="str">
        <f>IF(A19=FALSE,"",IF(Cotations!AI19="","",Cotations!AI19))</f>
        <v/>
      </c>
      <c r="EM19" s="284" t="str">
        <f t="shared" si="255"/>
        <v/>
      </c>
      <c r="EN19" s="284" t="str">
        <f t="shared" si="256"/>
        <v/>
      </c>
      <c r="EO19" s="1365" t="str">
        <f t="shared" si="432"/>
        <v/>
      </c>
      <c r="EP19" s="284" t="str">
        <f t="shared" si="257"/>
        <v/>
      </c>
      <c r="EQ19" s="515" t="str">
        <f>IF(A19=FALSE,"",Cotations!AJ19)</f>
        <v/>
      </c>
      <c r="ER19" s="515" t="str">
        <f>IF(A19=FALSE,"",IF(Cotations!AK19="","",Cotations!AK19))</f>
        <v/>
      </c>
      <c r="ES19" s="493" t="str">
        <f>IF(A19=FALSE,"",Cotations!AL19)</f>
        <v/>
      </c>
      <c r="ET19" s="515" t="str">
        <f>IF(A19=FALSE,"",IF(EQ19="N/A",0,IF(INDEX(LISTES!$F$105:$F$109,MATCH(EQ19,LISTES!$C$105:$C$109,0))="FIX",IF(INDEX(LISTES!$E$105:$E$109,MATCH(EQ19,LISTES!$C$105:$C$109,0))=12,ER19/12*L19,ER19/365*M19),ES19*EP19)))</f>
        <v/>
      </c>
      <c r="EU19" s="294" t="str">
        <f t="shared" si="258"/>
        <v/>
      </c>
      <c r="EV19" s="494" t="str">
        <f>IF(A19=FALSE,"",EU19*Cotations!AM19)</f>
        <v/>
      </c>
      <c r="EW19" s="494" t="str">
        <f>IF(A19=FALSE,"",EU19*Cotations!AN19)</f>
        <v/>
      </c>
      <c r="EX19" s="334" t="str">
        <f t="shared" si="259"/>
        <v/>
      </c>
      <c r="EY19" s="919" t="str">
        <f>IF(A19=FALSE,"",((EG19*TAXE)-(EG19*TAXE*EL19)+EH19)+IF(EQ19="N/A",0,IF(INDEX(LISTES!$F$105:$F$109,MATCH(EQ19,LISTES!$C$105:$C$109,0))="FIX",ER19,ES19*EP19)))</f>
        <v/>
      </c>
      <c r="EZ19" s="422"/>
      <c r="FA19" s="492" t="str">
        <f>IF(A19=FALSE,"",Cotations!D19)</f>
        <v/>
      </c>
      <c r="FB19" s="519" t="str">
        <f>IF(A19=FALSE,"",IF(LISTES!$A$17=1,Cotations!AO19,Cotations!$AP$4))</f>
        <v/>
      </c>
      <c r="FC19" s="291" t="str">
        <f t="shared" si="260"/>
        <v/>
      </c>
      <c r="FD19" s="291" t="str">
        <f t="shared" si="261"/>
        <v/>
      </c>
      <c r="FE19" s="291"/>
      <c r="FF19" s="463"/>
      <c r="FG19" s="463" t="str">
        <f t="shared" si="262"/>
        <v/>
      </c>
      <c r="FH19" s="522" t="str">
        <f>IF(A19=FALSE,"",IF(Cotations!$AQ$4="monthly",FG19/12*L19,FG19/365*M19))</f>
        <v/>
      </c>
      <c r="FI19" s="453" t="str">
        <f>IF(A19=FALSE,"",Cotations!$AR$4)</f>
        <v/>
      </c>
      <c r="FJ19" s="300" t="str">
        <f t="shared" si="263"/>
        <v/>
      </c>
      <c r="FK19" s="300" t="str">
        <f t="shared" si="264"/>
        <v/>
      </c>
      <c r="FL19" s="294" t="str">
        <f t="shared" si="265"/>
        <v/>
      </c>
      <c r="FM19" s="494" t="str">
        <f>IF(A19=FALSE,"",Cotations!$AS$4)</f>
        <v/>
      </c>
      <c r="FN19" s="494" t="str">
        <f>IF(A19=FALSE,"",Cotations!$AT$4)</f>
        <v/>
      </c>
      <c r="FO19" s="489" t="str">
        <f>IF(A19=FALSE,"",Cotations!$AU$4)</f>
        <v/>
      </c>
      <c r="FP19" s="494" t="str">
        <f>IF(A19=FALSE,"",IF(FM19="N/A",0,IF(INDEX(LISTES!$F$105:$F$109,MATCH(FM19,LISTES!$C$105:$C$109,0))="FIX",IF(INDEX(LISTES!$E$105:$E$109,MATCH(FM19,LISTES!$C$105:$C$109,0))=12,FN19/12*L19,FN19/365*M19),FO19*FL19)))</f>
        <v/>
      </c>
      <c r="FQ19" s="294" t="str">
        <f t="shared" si="266"/>
        <v/>
      </c>
      <c r="FR19" s="494" t="str">
        <f>IF(A19=FALSE,"",FQ19*Cotations!$AV$4)</f>
        <v/>
      </c>
      <c r="FS19" s="494" t="str">
        <f>IF(A19=FALSE,"",FQ19*Cotations!$AW$4)</f>
        <v/>
      </c>
      <c r="FT19" s="465" t="str">
        <f t="shared" si="267"/>
        <v/>
      </c>
      <c r="FU19" s="919" t="str">
        <f>IF(A19=FALSE,"",((FG19*TAXE)-(FG19*TAXE*FI19))+IF(FM19="N/A",0,IF(INDEX(LISTES!$F$105:$F$109,MATCH(FM19,LISTES!$C$105:$C$109,0))="FIX",FN19,FO19*FL19)))</f>
        <v/>
      </c>
      <c r="FV19" s="478"/>
      <c r="FW19" s="478"/>
      <c r="FX19" s="478"/>
      <c r="FY19" s="478"/>
      <c r="FZ19" s="478"/>
      <c r="GA19" s="492" t="str">
        <f>IF(A19=FALSE,"",Cotations!D19)</f>
        <v/>
      </c>
      <c r="GB19" s="494" t="str">
        <f>IF(A19=FALSE,"",IF(LISTES!$A$17=1,Cotations!AO19,Cotations!AP19))</f>
        <v/>
      </c>
      <c r="GC19" s="284" t="str">
        <f t="shared" si="268"/>
        <v/>
      </c>
      <c r="GD19" s="515" t="str">
        <f>IF(A19=FALSE,"",IF(Detail!AM19="","",Detail!AM19))</f>
        <v/>
      </c>
      <c r="GE19" s="284"/>
      <c r="GF19" s="284"/>
      <c r="GG19" s="284" t="str">
        <f t="shared" si="269"/>
        <v/>
      </c>
      <c r="GH19" s="515" t="str">
        <f>IF(A19=FALSE,"",IF(Cotations!AQ19="monthly",GG19/12*L19,GG19/365*M19))</f>
        <v/>
      </c>
      <c r="GI19" s="493" t="str">
        <f>IF(A19=FALSE,"",IF(Cotations!AR19="","",Cotations!AR19))</f>
        <v/>
      </c>
      <c r="GJ19" s="284" t="str">
        <f t="shared" si="270"/>
        <v/>
      </c>
      <c r="GK19" s="284" t="str">
        <f t="shared" si="271"/>
        <v/>
      </c>
      <c r="GL19" s="284" t="str">
        <f t="shared" si="272"/>
        <v/>
      </c>
      <c r="GM19" s="515" t="str">
        <f>IF(A19=FALSE,"",Cotations!AS19)</f>
        <v/>
      </c>
      <c r="GN19" s="515" t="str">
        <f>IF(A19=FALSE,"",Cotations!AT19)</f>
        <v/>
      </c>
      <c r="GO19" s="493" t="str">
        <f>IF(A19=FALSE,"",Cotations!AU19)</f>
        <v/>
      </c>
      <c r="GP19" s="515" t="str">
        <f>IF(A19=FALSE,"",IF(GM19="N/A",0,IF(INDEX(LISTES!$F$105:$F$109,MATCH(GM19,LISTES!$C$105:$C$109,0))="FIX",IF(INDEX(LISTES!$E$105:$E$109,MATCH(GM19,LISTES!$C$105:$C$109,0))=12,GN19/12*L19,GN19/365*M19),GO19*GL19)))</f>
        <v/>
      </c>
      <c r="GQ19" s="294" t="str">
        <f t="shared" si="273"/>
        <v/>
      </c>
      <c r="GR19" s="494" t="str">
        <f>IF(A19=FALSE,"",GQ19*Cotations!AV19)</f>
        <v/>
      </c>
      <c r="GS19" s="494" t="str">
        <f>IF(A19=FALSE,"",GQ19*Cotations!AW19)</f>
        <v/>
      </c>
      <c r="GT19" s="334" t="str">
        <f t="shared" si="274"/>
        <v/>
      </c>
      <c r="GU19" s="919" t="str">
        <f>IF(A19=FALSE,"",((GG19*TAXE)-(GG19*TAXE*GI19))+IF(GM19="N/A",0,IF(INDEX(LISTES!$F$105:$F$109,MATCH(GM19,LISTES!$C$105:$C$109,0))="FIX",GN19,GO19*GL19)))</f>
        <v/>
      </c>
      <c r="GV19" s="478"/>
      <c r="GW19" s="466"/>
      <c r="GX19" s="466"/>
      <c r="GY19" s="466"/>
      <c r="GZ19" s="466"/>
      <c r="HA19" s="492" t="str">
        <f>IF(A19=FALSE,"",Cotations!D19)</f>
        <v/>
      </c>
      <c r="HB19" s="495" t="str">
        <f>IF(A19=FALSE,"",IF(LISTES!$A$17=1,Cotations!AX19,Cotations!$AY$4))</f>
        <v/>
      </c>
      <c r="HC19" s="291" t="str">
        <f t="shared" si="275"/>
        <v/>
      </c>
      <c r="HD19" s="291" t="str">
        <f t="shared" si="276"/>
        <v/>
      </c>
      <c r="HE19" s="456" t="str">
        <f t="shared" si="277"/>
        <v/>
      </c>
      <c r="HF19" s="496" t="str">
        <f>IF(A19=FALSE,"",IF(HA19="POEA",Cotations!BA19,IF(HA19="FIXE",Cotations!$BA$4,Cotations!$BC$4*Y19)))</f>
        <v/>
      </c>
      <c r="HG19" s="300" t="str">
        <f t="shared" si="278"/>
        <v/>
      </c>
      <c r="HH19" s="522" t="str">
        <f>IF(A19=FALSE,"",IF(Cotations!$AZ$4="monthly",HG19/12*L19,HG19/365*M19))</f>
        <v/>
      </c>
      <c r="HI19" s="489" t="str">
        <f>IF(A19=FALSE,"",Cotations!$BD$4)</f>
        <v/>
      </c>
      <c r="HJ19" s="300" t="str">
        <f t="shared" si="279"/>
        <v/>
      </c>
      <c r="HK19" s="300" t="str">
        <f t="shared" si="280"/>
        <v/>
      </c>
      <c r="HL19" s="294" t="str">
        <f t="shared" si="281"/>
        <v/>
      </c>
      <c r="HM19" s="494" t="str">
        <f>IF(A19=FALSE,"",Cotations!$BE$4)</f>
        <v/>
      </c>
      <c r="HN19" s="522" t="str">
        <f>IF(A19=FALSE,"",Cotations!$BF$4)</f>
        <v/>
      </c>
      <c r="HO19" s="489" t="str">
        <f>IF(A19=FALSE,"",Cotations!$BG$4)</f>
        <v/>
      </c>
      <c r="HP19" s="494" t="str">
        <f>IF(A19=FALSE,"",IF(HM19="N/A",0,IF(INDEX(LISTES!$F$105:$F$109,MATCH(HM19,LISTES!$C$105:$C$109,0))="FIX",IF(INDEX(LISTES!$E$105:$E$109,MATCH(HM19,LISTES!$C$105:$C$109,0))=12,HN19/12*L19,HN19/365*M19),HO19*HL19)))</f>
        <v/>
      </c>
      <c r="HQ19" s="294" t="str">
        <f t="shared" si="282"/>
        <v/>
      </c>
      <c r="HR19" s="494" t="str">
        <f>IF(A19=FALSE,"",HQ19*Cotations!$BH$4)</f>
        <v/>
      </c>
      <c r="HS19" s="494" t="str">
        <f>IF(A19=FALSE,"",HQ19*Cotations!$BI$4)</f>
        <v/>
      </c>
      <c r="HT19" s="294" t="str">
        <f t="shared" si="283"/>
        <v/>
      </c>
      <c r="HU19" s="919" t="str">
        <f>IF(A19=FALSE,"",((HG19*TAXE)-(HG19*TAXE*HI19))+IF(HM19="N/A",0,IF(INDEX(LISTES!$F$105:$F$109,MATCH(HM19,LISTES!$C$105:$C$109,0))="FIX",HN19,HO19*HL19)))</f>
        <v/>
      </c>
      <c r="HV19" s="422"/>
      <c r="HW19" s="422"/>
      <c r="HX19" s="422"/>
      <c r="HY19" s="716"/>
      <c r="HZ19" s="422"/>
      <c r="IA19" s="492" t="str">
        <f>IF(A19=FALSE,"",Cotations!D19)</f>
        <v/>
      </c>
      <c r="IB19" s="491" t="str">
        <f>IF(A19=FALSE,"",IF(LISTES!$A$17=1,Cotations!AX19,Cotations!AY19))</f>
        <v/>
      </c>
      <c r="IC19" s="285" t="str">
        <f t="shared" si="284"/>
        <v/>
      </c>
      <c r="ID19" s="300" t="str">
        <f>IF(A19=FALSE,"",IF(LISTES!$A$17=3,Detail!AU19,lig1_Formula_PREVOY))</f>
        <v/>
      </c>
      <c r="IE19" s="461" t="str">
        <f t="shared" si="285"/>
        <v/>
      </c>
      <c r="IF19" s="490" t="str">
        <f>IF(A19=FALSE,"",IF(IA19="POEA",Cotations!BA19,IF(HA19="FIXE",Cotations!BB19,IF(Cotations!BC19*Y19&lt;50000,Z19,Cotations!BC19*Y19))))</f>
        <v/>
      </c>
      <c r="IG19" s="300" t="str">
        <f t="shared" si="286"/>
        <v/>
      </c>
      <c r="IH19" s="522" t="str">
        <f>IF(A19=FALSE,"",IF(Cotations!AZ19="monthly",IG19/12*L19,IG19/365*M19))</f>
        <v/>
      </c>
      <c r="II19" s="489" t="str">
        <f>IF(A19=FALSE,"",IF(Cotations!BD19="","",Cotations!BD19))</f>
        <v/>
      </c>
      <c r="IJ19" s="300" t="str">
        <f t="shared" si="287"/>
        <v/>
      </c>
      <c r="IK19" s="300" t="str">
        <f t="shared" si="288"/>
        <v/>
      </c>
      <c r="IL19" s="919" t="str">
        <f t="shared" si="289"/>
        <v/>
      </c>
      <c r="IM19" s="517" t="str">
        <f>IF(A19=FALSE,"",Cotations!BE19)</f>
        <v/>
      </c>
      <c r="IN19" s="517" t="str">
        <f>IF(A19=FALSE,"",Cotations!BF19)</f>
        <v/>
      </c>
      <c r="IO19" s="493" t="str">
        <f>IF(A19=FALSE,"",Cotations!BG19)</f>
        <v/>
      </c>
      <c r="IP19" s="517" t="str">
        <f>IF(A19=FALSE,"",IF(IM19="N/A",0,IF(INDEX(LISTES!$F$105:$F$109,MATCH(IM19,LISTES!$C$105:$C$109,0))="FIX",IF(INDEX(LISTES!$E$105:$E$109,MATCH(IM19,LISTES!$C$105:$C$109,0))=12,IN19/12*L19,IN19/365*M19),IO19*IL19)))</f>
        <v/>
      </c>
      <c r="IQ19" s="294" t="str">
        <f t="shared" si="290"/>
        <v/>
      </c>
      <c r="IR19" s="494" t="str">
        <f>IF(A19=FALSE,"",IQ19*Cotations!BH19)</f>
        <v/>
      </c>
      <c r="IS19" s="494" t="str">
        <f>IF(A19=FALSE,"",IQ19*Cotations!BI19)</f>
        <v/>
      </c>
      <c r="IT19" s="338" t="str">
        <f t="shared" si="291"/>
        <v/>
      </c>
      <c r="IU19" s="919" t="str">
        <f>IF(A19=FALSE,"",((IG19*TAXE)-(IG19*TAXE*II19))+IF(IM19="N/A",0,IF(INDEX(LISTES!$F$105:$F$109,MATCH(IM19,LISTES!$C$105:$C$109,0))="FIX",IN19,IO19*IL19)))</f>
        <v/>
      </c>
      <c r="IV19" s="422"/>
      <c r="IY19" s="716"/>
      <c r="JA19" s="492" t="str">
        <f>IF(A19=FALSE,"",Cotations!D19)</f>
        <v/>
      </c>
      <c r="JB19" s="495" t="str">
        <f>IF(A19=FALSE,"",IF(LISTES!$A$17=1,Cotations!BJ19,Cotations!$BK$4))</f>
        <v/>
      </c>
      <c r="JC19" s="291" t="str">
        <f t="shared" si="292"/>
        <v/>
      </c>
      <c r="JD19" s="291" t="str">
        <f t="shared" si="293"/>
        <v/>
      </c>
      <c r="JE19" s="456" t="str">
        <f t="shared" si="294"/>
        <v/>
      </c>
      <c r="JF19" s="496" t="str">
        <f>IF(A19=FALSE,"",IF(JA19="POEA",Cotations!BM19,IF(JA19="FIXE",Cotations!$BM$4,Cotations!$BO$4*Y19)))</f>
        <v/>
      </c>
      <c r="JG19" s="300" t="str">
        <f t="shared" si="295"/>
        <v/>
      </c>
      <c r="JH19" s="522" t="str">
        <f>IF(A19=FALSE,"",IF(Cotations!$BL$4="monthly",JG19/12*L19,JG19/365*M19))</f>
        <v/>
      </c>
      <c r="JI19" s="489" t="str">
        <f>IF(A19=FALSE,"",Cotations!$BP$4)</f>
        <v/>
      </c>
      <c r="JJ19" s="300" t="str">
        <f t="shared" si="296"/>
        <v/>
      </c>
      <c r="JK19" s="300" t="str">
        <f t="shared" si="297"/>
        <v/>
      </c>
      <c r="JL19" s="294" t="str">
        <f t="shared" si="298"/>
        <v/>
      </c>
      <c r="JM19" s="494" t="str">
        <f>IF(A19=FALSE,"",Cotations!$BQ$4)</f>
        <v/>
      </c>
      <c r="JN19" s="522" t="str">
        <f>IF(A19=FALSE,"",Cotations!$BR$4)</f>
        <v/>
      </c>
      <c r="JO19" s="489" t="str">
        <f>IF(A19=FALSE,"",Cotations!$BS$4)</f>
        <v/>
      </c>
      <c r="JP19" s="494" t="str">
        <f>IF(A19=FALSE,"",IF(JM19="N/A",0,IF(INDEX(LISTES!$F$105:$F$109,MATCH(JM19,LISTES!$C$105:$C$109,0))="FIX",IF(INDEX(LISTES!$E$105:$E$109,MATCH(JM19,LISTES!$C$105:$C$109,0))=12,JN19/12*L19,JN19/365*M19),JO19*JL19)))</f>
        <v/>
      </c>
      <c r="JQ19" s="294" t="str">
        <f t="shared" si="299"/>
        <v/>
      </c>
      <c r="JR19" s="494" t="str">
        <f>IF(A19=FALSE,"",JQ19*Cotations!$BT$4)</f>
        <v/>
      </c>
      <c r="JS19" s="494" t="str">
        <f>IF(A19=FALSE,"",JQ19*Cotations!$BU$4)</f>
        <v/>
      </c>
      <c r="JT19" s="294" t="str">
        <f t="shared" si="300"/>
        <v/>
      </c>
      <c r="JU19" s="919" t="str">
        <f>IF(A19=FALSE,"",((JG19*TAXE)-(JG19*TAXE*JI19))+IF(JM19="N/A",0,IF(INDEX(LISTES!$F$105:$F$109,MATCH(JM19,LISTES!$C$105:$C$109,0))="FIX",JN19,JO19*JL19)))</f>
        <v/>
      </c>
      <c r="KA19" s="492" t="str">
        <f>IF(A19=FALSE,"",Cotations!D19)</f>
        <v/>
      </c>
      <c r="KB19" s="491" t="str">
        <f>IF(A19=FALSE,"",IF(LISTES!$A$17=1,Cotations!BJ19,Cotations!BK19))</f>
        <v/>
      </c>
      <c r="KC19" s="285" t="str">
        <f t="shared" si="301"/>
        <v/>
      </c>
      <c r="KD19" s="300"/>
      <c r="KE19" s="461" t="str">
        <f t="shared" si="302"/>
        <v/>
      </c>
      <c r="KF19" s="490" t="str">
        <f>IF(A19=FALSE,"",IF(KA19="POEA",Cotations!BM19,IF(KA19="FIXE",Cotations!BN19,IF(Cotations!BO19*Y19&lt;50000,Z19,Cotations!BO19*Y19))))</f>
        <v/>
      </c>
      <c r="KG19" s="300" t="str">
        <f t="shared" si="303"/>
        <v/>
      </c>
      <c r="KH19" s="522" t="str">
        <f>IF(A19=FALSE,"",IF(Cotations!BL19="monthly",KG19/12*L19,KG19/365*M19))</f>
        <v/>
      </c>
      <c r="KI19" s="489" t="str">
        <f>IF(A19=FALSE,"",IF(Cotations!BP19="","",Cotations!BP19))</f>
        <v/>
      </c>
      <c r="KJ19" s="300" t="str">
        <f t="shared" si="304"/>
        <v/>
      </c>
      <c r="KK19" s="300" t="str">
        <f t="shared" si="305"/>
        <v/>
      </c>
      <c r="KL19" s="919" t="str">
        <f t="shared" si="306"/>
        <v/>
      </c>
      <c r="KM19" s="517" t="str">
        <f>IF(A19=FALSE,"",Cotations!BQ19)</f>
        <v/>
      </c>
      <c r="KN19" s="515" t="str">
        <f>IF(A19=FALSE,"",Cotations!BR19)</f>
        <v/>
      </c>
      <c r="KO19" s="493" t="str">
        <f>IF(A19=FALSE,"",Cotations!BS19)</f>
        <v/>
      </c>
      <c r="KP19" s="517" t="str">
        <f>IF(A19=FALSE,"",IF(KM19="N/A",0,IF(INDEX(LISTES!$F$105:$F$109,MATCH(KM19,LISTES!$C$105:$C$109,0))="FIX",IF(INDEX(LISTES!$E$105:$E$109,MATCH(KM19,LISTES!$C$105:$C$109,0))=12,KN19/12*L19,KN19/365*M19),KO19*KL19)))</f>
        <v/>
      </c>
      <c r="KQ19" s="294" t="str">
        <f t="shared" si="307"/>
        <v/>
      </c>
      <c r="KR19" s="494" t="str">
        <f>IF(A19=FALSE,"",KQ19*Cotations!BT19)</f>
        <v/>
      </c>
      <c r="KS19" s="494" t="str">
        <f>IF(A19=FALSE,"",KQ19*Cotations!BU19)</f>
        <v/>
      </c>
      <c r="KT19" s="338" t="str">
        <f t="shared" si="308"/>
        <v/>
      </c>
      <c r="KU19" s="919" t="str">
        <f>IF(A19=FALSE,"",((KG19*TAXE)-(KG19*TAXE*KI19))+IF(KM19="N/A",0,IF(INDEX(LISTES!$F$105:$F$109,MATCH(KM19,LISTES!$C$105:$C$109,0))="FIX",KN19,KO19*KL19)))</f>
        <v/>
      </c>
      <c r="KX19" s="422"/>
      <c r="KY19" s="422"/>
      <c r="LA19" s="497" t="str">
        <f>IF(A19=FALSE,"",Cotations!D19)</f>
        <v/>
      </c>
      <c r="LB19" s="498" t="str">
        <f>IF(A19=FALSE,"",IF(LISTES!$A$17=1,Cotations!BV19,Cotations!$BW$4))</f>
        <v/>
      </c>
      <c r="LC19" s="499" t="str">
        <f t="shared" si="309"/>
        <v/>
      </c>
      <c r="LD19" s="499" t="str">
        <f t="shared" si="310"/>
        <v/>
      </c>
      <c r="LE19" s="500" t="str">
        <f t="shared" si="311"/>
        <v/>
      </c>
      <c r="LF19" s="501" t="str">
        <f>IF(A19=FALSE,"",IF(LA19="POEA",Cotations!EJ19,IF(LA19="FIXE",Cotations!$BY$4,Cotations!$CA$4*Y19)))</f>
        <v/>
      </c>
      <c r="LG19" s="502" t="str">
        <f t="shared" si="312"/>
        <v/>
      </c>
      <c r="LH19" s="520" t="str">
        <f>IF(A19=FALSE,"",IF(Cotations!$BX$4="monthly",LG19/12*L19,LG19/365*M19))</f>
        <v/>
      </c>
      <c r="LI19" s="503" t="str">
        <f>IF(A19=FALSE,"",Cotations!$CB$4)</f>
        <v/>
      </c>
      <c r="LJ19" s="502" t="str">
        <f t="shared" si="313"/>
        <v/>
      </c>
      <c r="LK19" s="502" t="str">
        <f t="shared" si="314"/>
        <v/>
      </c>
      <c r="LL19" s="504" t="str">
        <f t="shared" si="315"/>
        <v/>
      </c>
      <c r="LM19" s="505" t="str">
        <f>IF(A19=FALSE,"",Cotations!$CC$4)</f>
        <v/>
      </c>
      <c r="LN19" s="503" t="str">
        <f>IF(A19=FALSE,"",Cotations!$CD$4)</f>
        <v/>
      </c>
      <c r="LO19" s="503" t="str">
        <f>IF(A19=FALSE,"",Cotations!$CE$4)</f>
        <v/>
      </c>
      <c r="LP19" s="505" t="str">
        <f>IF(A19=FALSE,"",IF(LM19="N/A",0,IF(INDEX(LISTES!$F$105:$F$109,MATCH(LM19,LISTES!$C$105:$C$109,0))="FIX",IF(INDEX(LISTES!$E$105:$E$109,MATCH(LM19,LISTES!$C$105:$C$109,0))=12,LN19/12*L19,LN19/365*M19),LO19*LL19)))</f>
        <v/>
      </c>
      <c r="LQ19" s="504" t="str">
        <f t="shared" si="316"/>
        <v/>
      </c>
      <c r="LR19" s="505" t="str">
        <f>IF(A19=FALSE,"",LQ19*Cotations!$CF$4)</f>
        <v/>
      </c>
      <c r="LS19" s="505" t="str">
        <f>IF(A19=FALSE,"",LQ19*Cotations!$CG$4)</f>
        <v/>
      </c>
      <c r="LT19" s="506" t="str">
        <f t="shared" si="317"/>
        <v/>
      </c>
      <c r="LU19" s="919" t="str">
        <f>IF(A19=FALSE,"",((LG19*TAXE)-(LG19*TAXE*LI19))+IF(LM19="N/A",0,IF(INDEX(LISTES!$F$105:$F$109,MATCH(LM19,LISTES!$C$105:$C$109,0))="FIX",LN19,LO19*LL19)))</f>
        <v/>
      </c>
      <c r="MA19" s="492" t="str">
        <f>IF(A19=FALSE,"",Cotations!D19)</f>
        <v/>
      </c>
      <c r="MB19" s="491" t="str">
        <f>IF(A19=FALSE,"",IF(LISTES!$A$17=1,Cotations!BV19,Cotations!BW19))</f>
        <v/>
      </c>
      <c r="MC19" s="285" t="str">
        <f t="shared" si="318"/>
        <v/>
      </c>
      <c r="MD19" s="300"/>
      <c r="ME19" s="461" t="str">
        <f t="shared" si="319"/>
        <v/>
      </c>
      <c r="MF19" s="490" t="str">
        <f>IF(A19=FALSE,"",IF(MA19="POEA",Cotations!BY19,IF(MA19="FIXE",Cotations!BZ19,IF(Cotations!CA19*Y19&lt;50000,Z19,Cotations!CA19*Y19))))</f>
        <v/>
      </c>
      <c r="MG19" s="300" t="str">
        <f t="shared" si="320"/>
        <v/>
      </c>
      <c r="MH19" s="522" t="str">
        <f>IF(A19=FALSE,"",IF(Cotations!BX19="monthly",MG19/12*L19,MG19/365*M19))</f>
        <v/>
      </c>
      <c r="MI19" s="489" t="str">
        <f>IF(A19=FALSE,"",IF(Cotations!CB19="","",Cotations!CB19))</f>
        <v/>
      </c>
      <c r="MJ19" s="300" t="str">
        <f t="shared" si="321"/>
        <v/>
      </c>
      <c r="MK19" s="300" t="str">
        <f t="shared" si="322"/>
        <v/>
      </c>
      <c r="ML19" s="919" t="str">
        <f t="shared" si="323"/>
        <v/>
      </c>
      <c r="MM19" s="517" t="str">
        <f>IF(A19=FALSE,"",Cotations!CC19)</f>
        <v/>
      </c>
      <c r="MN19" s="515" t="str">
        <f>IF(A19=FALSE,"",Cotations!CD19)</f>
        <v/>
      </c>
      <c r="MO19" s="493" t="str">
        <f>IF(A19=FALSE,"",Cotations!CE19)</f>
        <v/>
      </c>
      <c r="MP19" s="517" t="str">
        <f>IF(A19=FALSE,"",IF(MM19="N/A",0,IF(INDEX(LISTES!$F$105:$F$109,MATCH(MM19,LISTES!$C$105:$C$109,0))="FIX",IF(INDEX(LISTES!$E$105:$E$109,MATCH(MM19,LISTES!$C$105:$C$109,0))=12,MN19/12*L19,MN19/365*M19),MO19*ML19)))</f>
        <v/>
      </c>
      <c r="MQ19" s="294" t="str">
        <f t="shared" si="324"/>
        <v/>
      </c>
      <c r="MR19" s="494" t="str">
        <f>IF(A19=FALSE,"",MQ19*Cotations!CF19)</f>
        <v/>
      </c>
      <c r="MS19" s="494" t="str">
        <f>IF(A19=FALSE,"",MQ19*Cotations!CG19)</f>
        <v/>
      </c>
      <c r="MT19" s="338" t="str">
        <f t="shared" si="325"/>
        <v/>
      </c>
      <c r="MU19" s="919" t="str">
        <f>IF(A19=FALSE,"",((MG19*TAXE)-(MG19*TAXE*MI19))+IF(MM19="N/A",0,IF(INDEX(LISTES!$F$105:$F$109,MATCH(MM19,LISTES!$C$105:$C$109,0))="FIX",MN19,MO19*ML19)))</f>
        <v/>
      </c>
      <c r="NA19" s="497" t="str">
        <f>IF(A19=FALSE,"",Cotations!D19)</f>
        <v/>
      </c>
      <c r="NB19" s="498" t="str">
        <f>IF(A19=FALSE,"",IF(LISTES!$A$17=1,Cotations!CH19,Cotations!$CI$4))</f>
        <v/>
      </c>
      <c r="NC19" s="499" t="str">
        <f t="shared" si="326"/>
        <v/>
      </c>
      <c r="ND19" s="499" t="str">
        <f t="shared" si="327"/>
        <v/>
      </c>
      <c r="NE19" s="500" t="str">
        <f t="shared" si="328"/>
        <v/>
      </c>
      <c r="NF19" s="501" t="str">
        <f>IF(A19=FALSE,"",IF(NA19="POEA",Cotations!CK19,IF(NA19="FIXE",Cotations!$CK$4,Cotations!$CM$4*Y19)))</f>
        <v/>
      </c>
      <c r="NG19" s="502" t="str">
        <f t="shared" si="329"/>
        <v/>
      </c>
      <c r="NH19" s="520" t="str">
        <f>IF(A19=FALSE,"",IF(Cotations!$CJ$4="monthly",NG19/12*L19,NG19/365*M19))</f>
        <v/>
      </c>
      <c r="NI19" s="503" t="str">
        <f>IF(A19=FALSE,"",Cotations!$CN$4)</f>
        <v/>
      </c>
      <c r="NJ19" s="502" t="str">
        <f t="shared" si="330"/>
        <v/>
      </c>
      <c r="NK19" s="502" t="str">
        <f t="shared" si="331"/>
        <v/>
      </c>
      <c r="NL19" s="504" t="str">
        <f t="shared" si="332"/>
        <v/>
      </c>
      <c r="NM19" s="505" t="str">
        <f>IF(A19=FALSE,"",Cotations!$CO$4)</f>
        <v/>
      </c>
      <c r="NN19" s="520" t="str">
        <f>IF(A19=FALSE,"",Cotations!$CP$4)</f>
        <v/>
      </c>
      <c r="NO19" s="503" t="str">
        <f>IF(A19=FALSE,"",Cotations!$CQ$4)</f>
        <v/>
      </c>
      <c r="NP19" s="505" t="str">
        <f>IF(A19=FALSE,"",IF(NM19="N/A",0,IF(INDEX(LISTES!$F$105:$F$109,MATCH(NM19,LISTES!$C$105:$C$109,0))="FIX",IF(INDEX(LISTES!$E$105:$E$109,MATCH(NM19,LISTES!$C$105:$C$109,0))=12,NN19/12*L19,NN19/365*M19),NO19*NL19)))</f>
        <v/>
      </c>
      <c r="NQ19" s="504" t="str">
        <f t="shared" si="333"/>
        <v/>
      </c>
      <c r="NR19" s="505" t="str">
        <f>IF(A19=FALSE,"",NQ19*Cotations!$CR$4)</f>
        <v/>
      </c>
      <c r="NS19" s="505" t="str">
        <f>IF(A19=FALSE,"",NQ19*Cotations!$CS$4)</f>
        <v/>
      </c>
      <c r="NT19" s="506" t="str">
        <f t="shared" si="334"/>
        <v/>
      </c>
      <c r="NU19" s="919" t="str">
        <f>IF(A19=FALSE,"",((NG19*TAXE)-(NG19*TAXE*NI19))+IF(NM19="N/A",0,IF(INDEX(LISTES!$F$105:$F$109,MATCH(NM19,LISTES!$C$105:$C$109,0))="FIX",NN19,NO19*NL19)))</f>
        <v/>
      </c>
      <c r="OA19" s="492" t="str">
        <f>IF(A19=FALSE,"",Cotations!D19)</f>
        <v/>
      </c>
      <c r="OB19" s="491" t="str">
        <f>IF(A19=FALSE,"",IF(LISTES!$A$17=1,Cotations!CH19,Cotations!CI19))</f>
        <v/>
      </c>
      <c r="OC19" s="285" t="str">
        <f t="shared" si="335"/>
        <v/>
      </c>
      <c r="OD19" s="300"/>
      <c r="OE19" s="461" t="str">
        <f t="shared" si="336"/>
        <v/>
      </c>
      <c r="OF19" s="490" t="str">
        <f>IF(A19=FALSE,"",IF(OA19="POEA",Cotations!CK19,IF(OA19="FIXE",Cotations!CL19,IF(Cotations!CM19*Y19&lt;50000,Z19,Cotations!CM19*Y19))))</f>
        <v/>
      </c>
      <c r="OG19" s="300" t="str">
        <f t="shared" si="337"/>
        <v/>
      </c>
      <c r="OH19" s="522" t="str">
        <f>IF(A19=FALSE,"",IF(Cotations!CJ19="monthly",OG19/12*L19,OG19/365*M19))</f>
        <v/>
      </c>
      <c r="OI19" s="489" t="str">
        <f>IF(A19=FALSE,"",IF(Cotations!CN19="","",Cotations!CN19))</f>
        <v/>
      </c>
      <c r="OJ19" s="300" t="str">
        <f t="shared" si="338"/>
        <v/>
      </c>
      <c r="OK19" s="300" t="str">
        <f t="shared" si="339"/>
        <v/>
      </c>
      <c r="OL19" s="919" t="str">
        <f t="shared" si="340"/>
        <v/>
      </c>
      <c r="OM19" s="517" t="str">
        <f>IF(A19=FALSE,"",Cotations!CO19)</f>
        <v/>
      </c>
      <c r="ON19" s="515" t="str">
        <f>IF(A19=FALSE,"",Cotations!CP19)</f>
        <v/>
      </c>
      <c r="OO19" s="493" t="str">
        <f>IF(A19=FALSE,"",Cotations!CQ19)</f>
        <v/>
      </c>
      <c r="OP19" s="517" t="str">
        <f>IF(A19=FALSE,"",IF(OM19="N/A",0,IF(INDEX(LISTES!$F$105:$F$109,MATCH(OM19,LISTES!$C$105:$C$109,0))="FIX",IF(INDEX(LISTES!$E$105:$E$109,MATCH(OM19,LISTES!$C$105:$C$109,0))=12,ON19/12*L19,ON19/365*M19),OO19*OL19)))</f>
        <v/>
      </c>
      <c r="OQ19" s="294" t="str">
        <f t="shared" si="341"/>
        <v/>
      </c>
      <c r="OR19" s="494" t="str">
        <f>IF(A19=FALSE,"",OQ19*Cotations!CR19)</f>
        <v/>
      </c>
      <c r="OS19" s="494" t="str">
        <f>IF(A19=FALSE,"",OQ19*Cotations!CS19)</f>
        <v/>
      </c>
      <c r="OT19" s="338" t="str">
        <f t="shared" si="342"/>
        <v/>
      </c>
      <c r="OU19" s="919" t="str">
        <f>IF(A19=FALSE,"",((OG19*TAXE)-(OG19*TAXE*OI19))+IF(OM19="N/A",0,IF(INDEX(LISTES!$F$105:$F$109,MATCH(OM19,LISTES!$C$105:$C$109,0))="FIX",ON19,OO19*OL19)))</f>
        <v/>
      </c>
      <c r="PA19" s="497" t="str">
        <f t="shared" si="343"/>
        <v/>
      </c>
      <c r="PB19" s="498" t="str">
        <f>IF(A19=FALSE,"",IF(LISTES!$A$17=1,Cotations!CT19,Cotations!$CU$4))</f>
        <v/>
      </c>
      <c r="PC19" s="499" t="str">
        <f t="shared" si="344"/>
        <v/>
      </c>
      <c r="PD19" s="499" t="str">
        <f t="shared" si="345"/>
        <v/>
      </c>
      <c r="PE19" s="500" t="str">
        <f t="shared" si="346"/>
        <v/>
      </c>
      <c r="PF19" s="501" t="str">
        <f>IF(A19=FALSE,"",Cotations!$CY$4*Y19)</f>
        <v/>
      </c>
      <c r="PG19" s="502" t="str">
        <f t="shared" si="347"/>
        <v/>
      </c>
      <c r="PH19" s="520" t="str">
        <f>IF(A19=FALSE,"",IF(Cotations!$CV$4="monthly",PG19/12*L19,PG19/365*M19))</f>
        <v/>
      </c>
      <c r="PI19" s="503" t="str">
        <f>IF(A19=FALSE,"",Cotations!$CZ$4)</f>
        <v/>
      </c>
      <c r="PJ19" s="502" t="str">
        <f t="shared" si="348"/>
        <v/>
      </c>
      <c r="PK19" s="502" t="str">
        <f t="shared" si="349"/>
        <v/>
      </c>
      <c r="PL19" s="504" t="str">
        <f t="shared" si="350"/>
        <v/>
      </c>
      <c r="PM19" s="505" t="str">
        <f>IF(A19=FALSE,"",Cotations!$DA$4)</f>
        <v/>
      </c>
      <c r="PN19" s="520" t="str">
        <f>IF(A19=FALSE,"",Cotations!$DB$4)</f>
        <v/>
      </c>
      <c r="PO19" s="503" t="str">
        <f>IF(A19=FALSE,"",Cotations!$DC$4)</f>
        <v/>
      </c>
      <c r="PP19" s="505" t="str">
        <f>IF(A19=FALSE,"",IF(PM19="N/A",0,IF(INDEX(LISTES!$F$105:$F$109,MATCH(PM19,LISTES!$C$105:$C$109,0))="FIX",IF(INDEX(LISTES!$E$105:$E$109,MATCH(PM19,LISTES!$C$105:$C$109,0))=12,PN19/12*L19,PN19/365*M19),PO19*PL19)))</f>
        <v/>
      </c>
      <c r="PQ19" s="504" t="str">
        <f t="shared" si="351"/>
        <v/>
      </c>
      <c r="PR19" s="505" t="str">
        <f>IF(A19=FALSE,"",PQ19*Cotations!$DD$4)</f>
        <v/>
      </c>
      <c r="PS19" s="505" t="str">
        <f>IF(A19=FALSE,"",PQ19*Cotations!$DE$4)</f>
        <v/>
      </c>
      <c r="PT19" s="506" t="str">
        <f t="shared" si="352"/>
        <v/>
      </c>
      <c r="PU19" s="919" t="str">
        <f>IF(A19=FALSE,"",((PG19*TAXE)-(PG19*TAXE*PI19))+IF(PM19="N/A",0,IF(INDEX(LISTES!$F$105:$F$109,MATCH(PM19,LISTES!$C$105:$C$109,0))="FIX",PN19,PO19*PL19)))</f>
        <v/>
      </c>
      <c r="QA19" s="492" t="str">
        <f t="shared" si="353"/>
        <v/>
      </c>
      <c r="QB19" s="491" t="str">
        <f>IF(A19=FALSE,"",IF(LISTES!$A$17=1,Cotations!CT19,Cotations!CU19))</f>
        <v/>
      </c>
      <c r="QC19" s="285" t="str">
        <f t="shared" si="354"/>
        <v/>
      </c>
      <c r="QD19" s="300"/>
      <c r="QE19" s="461" t="str">
        <f t="shared" si="355"/>
        <v/>
      </c>
      <c r="QF19" s="490" t="str">
        <f>IF(A19=FALSE,"",Cotations!CY19*AA19)</f>
        <v/>
      </c>
      <c r="QG19" s="300" t="str">
        <f t="shared" si="356"/>
        <v/>
      </c>
      <c r="QH19" s="522" t="str">
        <f>IF(A19=FALSE,"",IF(Cotations!CV19="monthly",QG19/12*L19,QG19/365*M19))</f>
        <v/>
      </c>
      <c r="QI19" s="489" t="str">
        <f>IF(A19=FALSE,"",IF(Cotations!CZ19="","",Cotations!CZ19))</f>
        <v/>
      </c>
      <c r="QJ19" s="300" t="str">
        <f t="shared" si="357"/>
        <v/>
      </c>
      <c r="QK19" s="300" t="str">
        <f t="shared" si="358"/>
        <v/>
      </c>
      <c r="QL19" s="919" t="str">
        <f t="shared" si="359"/>
        <v/>
      </c>
      <c r="QM19" s="517" t="str">
        <f>IF(A19=FALSE,"",Cotations!DA19)</f>
        <v/>
      </c>
      <c r="QN19" s="515" t="str">
        <f>IF(A19=FALSE,"",Cotations!DB19)</f>
        <v/>
      </c>
      <c r="QO19" s="493" t="str">
        <f>IF(A19=FALSE,"",Cotations!DC19)</f>
        <v/>
      </c>
      <c r="QP19" s="517" t="str">
        <f>IF(A19=FALSE,"",IF(QM19="N/A",0,IF(INDEX(LISTES!$F$105:$F$109,MATCH(QM19,LISTES!$C$105:$C$109,0))="FIX",IF(INDEX(LISTES!$E$105:$E$109,MATCH(QM19,LISTES!$C$105:$C$109,0))=12,QN19/12*L19,QN19/365*M19),QO19*QL19)))</f>
        <v/>
      </c>
      <c r="QQ19" s="294" t="str">
        <f t="shared" si="360"/>
        <v/>
      </c>
      <c r="QR19" s="494" t="str">
        <f>IF(A19=FALSE,"",QQ19*Cotations!DD19)</f>
        <v/>
      </c>
      <c r="QS19" s="494" t="str">
        <f>IF(A19=FALSE,"",QQ19*Cotations!DE19)</f>
        <v/>
      </c>
      <c r="QT19" s="338" t="str">
        <f t="shared" si="361"/>
        <v/>
      </c>
      <c r="QU19" s="919" t="str">
        <f>IF(A19=FALSE,"",((QG19*TAXE)-(QG19*TAXE*QI19))+IF(QM19="N/A",0,IF(INDEX(LISTES!$F$105:$F$109,MATCH(QM19,LISTES!$C$105:$C$109,0))="FIX",QN19,QO19*QL19)))</f>
        <v/>
      </c>
      <c r="RA19" s="497" t="str">
        <f t="shared" si="362"/>
        <v/>
      </c>
      <c r="RB19" s="498" t="str">
        <f>IF(A19=FALSE,"",IF(LISTES!$A$17=1,Cotations!DF19,Cotations!$DG$4))</f>
        <v/>
      </c>
      <c r="RC19" s="499" t="str">
        <f t="shared" si="363"/>
        <v/>
      </c>
      <c r="RD19" s="499" t="str">
        <f t="shared" si="364"/>
        <v/>
      </c>
      <c r="RE19" s="500" t="str">
        <f t="shared" si="365"/>
        <v/>
      </c>
      <c r="RF19" s="501" t="str">
        <f>IF(A19=FALSE,"",Cotations!$DK$4*Y19)</f>
        <v/>
      </c>
      <c r="RG19" s="502" t="str">
        <f t="shared" si="366"/>
        <v/>
      </c>
      <c r="RH19" s="520" t="str">
        <f>IF(A19=FALSE,"",IF(Cotations!$DH$4="monthly",RG19/12*L19,RG19/365*M19))</f>
        <v/>
      </c>
      <c r="RI19" s="503" t="str">
        <f>IF(A19=FALSE,"",Cotations!$DL$4)</f>
        <v/>
      </c>
      <c r="RJ19" s="502" t="str">
        <f t="shared" si="367"/>
        <v/>
      </c>
      <c r="RK19" s="502" t="str">
        <f t="shared" si="368"/>
        <v/>
      </c>
      <c r="RL19" s="504" t="str">
        <f t="shared" si="369"/>
        <v/>
      </c>
      <c r="RM19" s="505" t="str">
        <f>IF(A19=FALSE,"",Cotations!$DM$4)</f>
        <v/>
      </c>
      <c r="RN19" s="520" t="str">
        <f>IF(A19=FALSE,"",Cotations!$DN$4)</f>
        <v/>
      </c>
      <c r="RO19" s="503" t="str">
        <f>IF(A19=FALSE,"",Cotations!$DO$4)</f>
        <v/>
      </c>
      <c r="RP19" s="505" t="str">
        <f>IF(A19=FALSE,"",IF(RM19="N/A",0,IF(INDEX(LISTES!$F$105:$F$109,MATCH(RM19,LISTES!$C$105:$C$109,0))="FIX",IF(INDEX(LISTES!$E$105:$E$109,MATCH(RM19,LISTES!$C$105:$C$109,0))=12,RN19/12*L19,RN19/365*M19),RO19*RL19)))</f>
        <v/>
      </c>
      <c r="RQ19" s="504" t="str">
        <f t="shared" si="370"/>
        <v/>
      </c>
      <c r="RR19" s="505" t="str">
        <f>IF(A19=FALSE,"",RQ19*Cotations!$DP$4)</f>
        <v/>
      </c>
      <c r="RS19" s="505" t="str">
        <f>IF(A19=FALSE,"",RQ19*Cotations!$DQ$4)</f>
        <v/>
      </c>
      <c r="RT19" s="506" t="str">
        <f t="shared" si="371"/>
        <v/>
      </c>
      <c r="RU19" s="919" t="str">
        <f>IF(A19=FALSE,"",((RG19*TAXE)-(RG19*TAXE*RI19))+IF(RM19="N/A",0,IF(INDEX(LISTES!$F$105:$F$109,MATCH(RM19,LISTES!$C$105:$C$109,0))="FIX",RN19,RO19*RL19)))</f>
        <v/>
      </c>
      <c r="SA19" s="492" t="str">
        <f t="shared" si="372"/>
        <v/>
      </c>
      <c r="SB19" s="491" t="str">
        <f>IF(A19=FALSE,"",IF(LISTES!$A$17=1,Cotations!DF19,Cotations!DG19))</f>
        <v/>
      </c>
      <c r="SC19" s="285" t="str">
        <f t="shared" si="373"/>
        <v/>
      </c>
      <c r="SD19" s="300"/>
      <c r="SE19" s="461" t="str">
        <f t="shared" si="374"/>
        <v/>
      </c>
      <c r="SF19" s="490" t="str">
        <f>IF(A19=FALSE,"",Cotations!DK19*AA19)</f>
        <v/>
      </c>
      <c r="SG19" s="300" t="str">
        <f t="shared" si="375"/>
        <v/>
      </c>
      <c r="SH19" s="522" t="str">
        <f>IF(A19=FALSE,"",IF(Cotations!DH19="monthly",SG19/12*L19,SG19/365*M19))</f>
        <v/>
      </c>
      <c r="SI19" s="489" t="str">
        <f>IF(A19=FALSE,"",IF(Cotations!DL19="","",Cotations!DL19))</f>
        <v/>
      </c>
      <c r="SJ19" s="300" t="str">
        <f t="shared" si="376"/>
        <v/>
      </c>
      <c r="SK19" s="300" t="str">
        <f t="shared" si="377"/>
        <v/>
      </c>
      <c r="SL19" s="919" t="str">
        <f t="shared" si="378"/>
        <v/>
      </c>
      <c r="SM19" s="285" t="str">
        <f>IF(A19=FALSE,"",Cotations!DM19)</f>
        <v/>
      </c>
      <c r="SN19" s="515" t="str">
        <f>IF(A19=FALSE,"",Cotations!DN19)</f>
        <v/>
      </c>
      <c r="SO19" s="493" t="str">
        <f>IF(A19=FALSE,"",Cotations!DO19)</f>
        <v/>
      </c>
      <c r="SP19" s="517" t="str">
        <f>IF(A19=FALSE,"",IF(SM19="N/A",0,IF(INDEX(LISTES!$F$105:$F$109,MATCH(SM19,LISTES!$C$105:$C$109,0))="FIX",IF(INDEX(LISTES!$E$105:$E$109,MATCH(SM19,LISTES!$C$105:$C$109,0))=12,SN19/12*L19,SN19/365*M19),SO19*SL19)))</f>
        <v/>
      </c>
      <c r="SQ19" s="294" t="str">
        <f t="shared" si="379"/>
        <v/>
      </c>
      <c r="SR19" s="494" t="str">
        <f>IF(A19=FALSE,"",SQ19*Cotations!DP19)</f>
        <v/>
      </c>
      <c r="SS19" s="494" t="str">
        <f>IF(A19=FALSE,"",SQ19*Cotations!DQ19)</f>
        <v/>
      </c>
      <c r="ST19" s="338" t="str">
        <f t="shared" si="380"/>
        <v/>
      </c>
      <c r="SU19" s="919" t="str">
        <f>IF(A19=FALSE,"",((SG19*TAXE)-(SG19*TAXE*SI19))+IF(SM19="N/A",0,IF(INDEX(LISTES!$F$105:$F$109,MATCH(SM19,LISTES!$C$105:$C$109,0))="FIX",SN19,SO19*SL19)))</f>
        <v/>
      </c>
      <c r="SY19" s="716"/>
      <c r="TA19" s="492" t="str">
        <f>IF(A19=FALSE,"",Cotations!D19)</f>
        <v/>
      </c>
      <c r="TB19" s="491" t="str">
        <f>IF(A19=FALSE,"",IF(LISTES!$A$17=1,Cotations!DR19,Cotations!DS19))</f>
        <v/>
      </c>
      <c r="TC19" s="285" t="str">
        <f t="shared" si="381"/>
        <v/>
      </c>
      <c r="TD19" s="300" t="str">
        <f>IF(A19=FALSE,"",Detail!CQ19)</f>
        <v/>
      </c>
      <c r="TE19" s="461" t="str">
        <f t="shared" si="382"/>
        <v/>
      </c>
      <c r="TF19" s="490" t="str">
        <f>IF(A19=FALSE,"",IF(TA19="FIXE",Cotations!DU19,Cotations!DV19*Y19))</f>
        <v/>
      </c>
      <c r="TG19" s="300" t="str">
        <f t="shared" si="383"/>
        <v/>
      </c>
      <c r="TH19" s="522" t="str">
        <f>IF(A19=FALSE,"",IF(Cotations!DT19="monthly",TG19/12*L19,TG19/365*M19))</f>
        <v/>
      </c>
      <c r="TI19" s="489" t="str">
        <f>IF(A19=FALSE,"",IF(Cotations!DW19="","",Cotations!DW19))</f>
        <v/>
      </c>
      <c r="TJ19" s="300" t="str">
        <f t="shared" si="384"/>
        <v/>
      </c>
      <c r="TK19" s="300" t="str">
        <f t="shared" si="385"/>
        <v/>
      </c>
      <c r="TL19" s="919" t="str">
        <f t="shared" si="386"/>
        <v/>
      </c>
      <c r="TM19" s="517" t="str">
        <f>IF(A19=FALSE,"",Cotations!DX19)</f>
        <v/>
      </c>
      <c r="TN19" s="517" t="str">
        <f>IF(A19=FALSE,"",Cotations!DY19)</f>
        <v/>
      </c>
      <c r="TO19" s="493" t="str">
        <f>IF(A19=FALSE,"",Cotations!DZ19)</f>
        <v/>
      </c>
      <c r="TP19" s="517" t="str">
        <f>IF(A19=FALSE,"",IF(TM19="N/A",0,IF(INDEX(LISTES!$F$105:$F$109,MATCH(TM19,LISTES!$C$105:$C$109,0))="FIX",IF(INDEX(LISTES!$E$105:$E$109,MATCH(TM19,LISTES!$C$105:$C$109,0))=12,TN19/12*L19,TN19/365*M19),TO19*TL19)))</f>
        <v/>
      </c>
      <c r="TQ19" s="294" t="str">
        <f t="shared" si="387"/>
        <v/>
      </c>
      <c r="TR19" s="494" t="str">
        <f>IF(A19=FALSE,"",TQ19*Cotations!EA19)</f>
        <v/>
      </c>
      <c r="TS19" s="494" t="str">
        <f>IF(A19=FALSE,"",TQ19*Cotations!EB19)</f>
        <v/>
      </c>
      <c r="TT19" s="338" t="str">
        <f t="shared" si="388"/>
        <v/>
      </c>
      <c r="TU19" s="919" t="str">
        <f>IF(A19=FALSE,"",((TG19*(1+TAXE)-(TG19*(1+TAXE)*TI19))+IF(TM19="N/A",0,IF(INDEX(LISTES!$F$105:$F$109,MATCH(TM19,LISTES!$C$105:$C$109,0))="FIX",TN19,TO19*TL19))))</f>
        <v/>
      </c>
      <c r="UA19" s="492" t="str">
        <f>IF(A19=FALSE,"",Cotations!D19)</f>
        <v/>
      </c>
      <c r="UB19" s="491" t="str">
        <f>IF(A19=FALSE,"",IF(LISTES!$A$17=1,Cotations!EC19,Cotations!ED19))</f>
        <v/>
      </c>
      <c r="UC19" s="285" t="str">
        <f t="shared" si="389"/>
        <v/>
      </c>
      <c r="UD19" s="300" t="str">
        <f>IF(A19=FALSE,"",Detail!CY19)</f>
        <v/>
      </c>
      <c r="UE19" s="461" t="str">
        <f t="shared" si="390"/>
        <v/>
      </c>
      <c r="UF19" s="490" t="str">
        <f>IF(A19=FALSE,"",IF(UA19="FIXE",Cotations!EF19,Cotations!EG19*Y19))</f>
        <v/>
      </c>
      <c r="UG19" s="300" t="str">
        <f t="shared" si="391"/>
        <v/>
      </c>
      <c r="UH19" s="522" t="str">
        <f>IF(A19=FALSE,"",IF(Cotations!EE19="monthly",UG19/12*L19,UG19/365*M19))</f>
        <v/>
      </c>
      <c r="UI19" s="489" t="str">
        <f>IF(A19=FALSE,"",IF(Cotations!EH19="","",Cotations!EH19))</f>
        <v/>
      </c>
      <c r="UJ19" s="300" t="str">
        <f t="shared" si="392"/>
        <v/>
      </c>
      <c r="UK19" s="300" t="str">
        <f t="shared" si="393"/>
        <v/>
      </c>
      <c r="UL19" s="919" t="str">
        <f t="shared" si="394"/>
        <v/>
      </c>
      <c r="UM19" s="517" t="str">
        <f>IF(A19=FALSE,"",Cotations!EI19)</f>
        <v/>
      </c>
      <c r="UN19" s="517" t="str">
        <f>IF(A19=FALSE,"",Cotations!EJ19)</f>
        <v/>
      </c>
      <c r="UO19" s="493" t="str">
        <f>IF(A19=FALSE,"",Cotations!EK19)</f>
        <v/>
      </c>
      <c r="UP19" s="517" t="str">
        <f>IF(A19=FALSE,"",IF(UM19="N/A",0,IF(INDEX(LISTES!$F$105:$F$109,MATCH(UM19,LISTES!$C$105:$C$109,0))="FIX",IF(INDEX(LISTES!$E$105:$E$109,MATCH(UM19,LISTES!$C$105:$C$109,0))=12,UN19/12*L19,UN19/365*M19),UO19*UL19)))</f>
        <v/>
      </c>
      <c r="UQ19" s="294" t="str">
        <f t="shared" si="395"/>
        <v/>
      </c>
      <c r="UR19" s="494" t="str">
        <f>IF(A19=FALSE,"",UQ19*Cotations!EL19)</f>
        <v/>
      </c>
      <c r="US19" s="494" t="str">
        <f>IF(A19=FALSE,"",UQ19*Cotations!EM19)</f>
        <v/>
      </c>
      <c r="UT19" s="338" t="str">
        <f t="shared" si="396"/>
        <v/>
      </c>
      <c r="UU19" s="919" t="str">
        <f>IF(A19=FALSE,"",((UG19*(1+TAXE)-(UG19*(1+TAXE)*UI19))+IF(UM19="N/A",0,IF(INDEX(LISTES!$F$105:$F$109,MATCH(UM19,LISTES!$C$105:$C$109,0))="FIX",UN19,UO19*UL19))))</f>
        <v/>
      </c>
      <c r="VA19" s="492" t="str">
        <f>IF(A19=FALSE,"",Cotations!D19)</f>
        <v/>
      </c>
      <c r="VB19" s="519" t="str">
        <f>IF(A19=FALSE,"",IF(LISTES!$A$17=1,Cotations!EN19,Cotations!EO19))</f>
        <v/>
      </c>
      <c r="VC19" s="291" t="str">
        <f t="shared" si="397"/>
        <v/>
      </c>
      <c r="VD19" s="291" t="str">
        <f t="shared" si="398"/>
        <v/>
      </c>
      <c r="VE19" s="291"/>
      <c r="VF19" s="463"/>
      <c r="VG19" s="463" t="str">
        <f t="shared" si="399"/>
        <v/>
      </c>
      <c r="VH19" s="522" t="str">
        <f>IF(A19=FALSE,"",IF(Cotations!$AQ$4="monthly",VG19/12*L19,VG19/365*M19))</f>
        <v/>
      </c>
      <c r="VI19" s="489" t="str">
        <f>IF(A19=FALSE,"",Cotations!$AR$4)</f>
        <v/>
      </c>
      <c r="VJ19" s="300" t="str">
        <f t="shared" si="400"/>
        <v/>
      </c>
      <c r="VK19" s="300" t="str">
        <f t="shared" si="401"/>
        <v/>
      </c>
      <c r="VL19" s="294" t="str">
        <f t="shared" si="402"/>
        <v/>
      </c>
      <c r="VM19" s="494" t="str">
        <f>IF(A19=FALSE,"",Cotations!$AS$4)</f>
        <v/>
      </c>
      <c r="VN19" s="494" t="str">
        <f>IF(A19=FALSE,"",Cotations!$AT$4)</f>
        <v/>
      </c>
      <c r="VO19" s="489" t="str">
        <f>IF(A19=FALSE,"",Cotations!$AU$4)</f>
        <v/>
      </c>
      <c r="VP19" s="494" t="str">
        <f>IF(A19=FALSE,"",IF(VM19="N/A",0,IF(INDEX(LISTES!$F$105:$F$109,MATCH(VM19,LISTES!$C$105:$C$109,0))="FIX",IF(INDEX(LISTES!$E$105:$E$109,MATCH(VM19,LISTES!$C$105:$C$109,0))=12,VN19/12*L19,VN19/365*M19),VO19*VL19)))</f>
        <v/>
      </c>
      <c r="VQ19" s="294" t="str">
        <f t="shared" si="403"/>
        <v/>
      </c>
      <c r="VR19" s="494" t="str">
        <f>IF(A19=FALSE,"",VQ19*Cotations!$AV$4)</f>
        <v/>
      </c>
      <c r="VS19" s="494" t="str">
        <f>IF(A19=FALSE,"",VQ19*Cotations!$AW$4)</f>
        <v/>
      </c>
      <c r="VT19" s="465" t="str">
        <f t="shared" si="404"/>
        <v/>
      </c>
      <c r="VU19" s="919" t="str">
        <f>IF(A19=FALSE,"",((VG19*TAXE)-(VG19*TAXE*VI19))+IF(VM19="N/A",0,IF(INDEX(LISTES!$F$105:$F$109,MATCH(VM19,LISTES!$C$105:$C$109,0))="FIX",VN19,VO19*VL19)))</f>
        <v/>
      </c>
      <c r="WA19" s="492" t="str">
        <f>IF(A19=FALSE,"",Cotations!D19)</f>
        <v/>
      </c>
      <c r="WB19" s="519" t="str">
        <f>IF(A19=FALSE,"",IF(LISTES!$A$17=1,Cotations!EW19,Cotations!EX19))</f>
        <v/>
      </c>
      <c r="WC19" s="291" t="str">
        <f t="shared" si="405"/>
        <v/>
      </c>
      <c r="WD19" s="291" t="str">
        <f t="shared" si="406"/>
        <v/>
      </c>
      <c r="WE19" s="291"/>
      <c r="WF19" s="463"/>
      <c r="WG19" s="463" t="str">
        <f t="shared" si="407"/>
        <v/>
      </c>
      <c r="WH19" s="522" t="str">
        <f>IF(A19=FALSE,"",IF(Cotations!$AQ$4="monthly",WG19/12*L19,WG19/365*M19))</f>
        <v/>
      </c>
      <c r="WI19" s="489" t="str">
        <f>IF(A19=FALSE,"",Cotations!$AR$4)</f>
        <v/>
      </c>
      <c r="WJ19" s="300" t="str">
        <f t="shared" si="408"/>
        <v/>
      </c>
      <c r="WK19" s="300" t="str">
        <f t="shared" si="409"/>
        <v/>
      </c>
      <c r="WL19" s="294" t="str">
        <f t="shared" si="410"/>
        <v/>
      </c>
      <c r="WM19" s="494" t="str">
        <f>IF(A19=FALSE,"",Cotations!$AS$4)</f>
        <v/>
      </c>
      <c r="WN19" s="494" t="str">
        <f>IF(A19=FALSE,"",Cotations!$AT$4)</f>
        <v/>
      </c>
      <c r="WO19" s="489" t="str">
        <f>IF(A19=FALSE,"",Cotations!$AU$4)</f>
        <v/>
      </c>
      <c r="WP19" s="494" t="str">
        <f>IF(A19=FALSE,"",IF(WM19="N/A",0,IF(INDEX(LISTES!$F$105:$F$109,MATCH(WM19,LISTES!$C$105:$C$109,0))="FIX",IF(INDEX(LISTES!$E$105:$E$109,MATCH(WM19,LISTES!$C$105:$C$109,0))=12,WN19/12*L19,WN19/365*M19),WO19*WL19)))</f>
        <v/>
      </c>
      <c r="WQ19" s="294" t="str">
        <f t="shared" si="411"/>
        <v/>
      </c>
      <c r="WR19" s="494" t="str">
        <f>IF(A19=FALSE,"",WQ19*Cotations!$AV$4)</f>
        <v/>
      </c>
      <c r="WS19" s="494" t="str">
        <f>IF(A19=FALSE,"",WQ19*Cotations!$AW$4)</f>
        <v/>
      </c>
      <c r="WT19" s="465" t="str">
        <f t="shared" si="412"/>
        <v/>
      </c>
      <c r="WU19" s="919" t="str">
        <f>IF(A19=FALSE,"",((WG19*TAXE)-(WG19*TAXE*WI19))+IF(WM19="N/A",0,IF(INDEX(LISTES!$F$105:$F$109,MATCH(WM19,LISTES!$C$105:$C$109,0))="FIX",WN19,WO19*WL19)))</f>
        <v/>
      </c>
    </row>
    <row r="20" spans="1:619" s="296" customFormat="1">
      <c r="A20" s="942" t="b">
        <f t="shared" si="221"/>
        <v>0</v>
      </c>
      <c r="B20" s="942" t="b">
        <f>IF(NAMES!$B$9=TRUE,TRUE,FALSE)</f>
        <v>1</v>
      </c>
      <c r="C20" s="942" t="b">
        <f t="shared" si="413"/>
        <v>0</v>
      </c>
      <c r="D20" s="942" t="b">
        <f t="shared" si="414"/>
        <v>1</v>
      </c>
      <c r="E20" s="274" t="b">
        <f>IF(Cotations!C20="","",Cotations!C20)</f>
        <v>0</v>
      </c>
      <c r="F20" s="274" t="str">
        <f>IF(Cotations!D20="","",Cotations!D20)</f>
        <v>PROP</v>
      </c>
      <c r="G20" s="274" t="str">
        <f>IF(Cotations!E20="","",Cotations!E20)</f>
        <v>2015-2016!</v>
      </c>
      <c r="H20" s="274" t="str">
        <f>IF(Cotations!F20="","",Cotations!F20)</f>
        <v>SINGLE</v>
      </c>
      <c r="I20" s="274" t="str">
        <f>IF(Cotations!G20="","",Cotations!G20)</f>
        <v/>
      </c>
      <c r="J20" s="274" t="str">
        <f>IF(Cotations!H20="","",Cotations!H20)</f>
        <v/>
      </c>
      <c r="K20" s="274" t="str">
        <f>IF(Cotations!I20="","",Cotations!I20)</f>
        <v/>
      </c>
      <c r="L20" s="274" t="str">
        <f>IF(A20=FALSE,"",IF(Cotations!N20="","",Cotations!N20))</f>
        <v/>
      </c>
      <c r="M20" s="274" t="str">
        <f>IF(Cotations!P20="","",Cotations!P20)</f>
        <v/>
      </c>
      <c r="N20" s="724">
        <f>IF(NAMES!$B$10=TRUE,Cotations!J20,Cotations!L20)</f>
        <v>42592</v>
      </c>
      <c r="O20" s="724">
        <f>IF(NAMES!$B$10=TRUE,Cotations!K20,Cotations!M20)</f>
        <v>42643</v>
      </c>
      <c r="P20" s="943" t="str">
        <f t="shared" si="415"/>
        <v>août</v>
      </c>
      <c r="Q20" s="724" t="str">
        <f>IF(A20=FALSE,"",IF(Crewlist!Y20="","",Crewlist!Y20))</f>
        <v/>
      </c>
      <c r="R20" s="78" t="str">
        <f>IF(Cotations!U20="","",Cotations!U20)</f>
        <v/>
      </c>
      <c r="S20" s="943" t="str">
        <f t="shared" si="416"/>
        <v/>
      </c>
      <c r="T20" s="919" t="str">
        <f>IF(A20=FALSE,"",VLOOKUP($U$15:$U$120,Currency!$A$2:$D$10,4,0)*Crewlist!N20)</f>
        <v/>
      </c>
      <c r="U20" s="1355" t="str">
        <f>IF(A20=FALSE,"",IF(IT20=0,Crewlist!M20&amp;"/"&amp;EX20,Crewlist!M20&amp;"/"&amp;IT20))</f>
        <v/>
      </c>
      <c r="V20" s="919" t="str">
        <f>IF(A20=FALSE,"",VLOOKUP($U$15:$U$120,Currency!$A$2:$D$10,4,0)*Detail!Q20)</f>
        <v/>
      </c>
      <c r="W20" s="1355" t="str">
        <f>IF(A20=FALSE,"",IF(IT20=0,Detail!R20&amp;"/"&amp;EX20,Detail!R20&amp;"/"&amp;IT20))</f>
        <v/>
      </c>
      <c r="X20" s="919" t="str">
        <f>IF(A20=FALSE,"",IF(LISTES!$C$17="Crewlist",Calcul!T20,Calcul!V20))</f>
        <v/>
      </c>
      <c r="Y20" s="758" t="str">
        <f t="shared" si="417"/>
        <v/>
      </c>
      <c r="Z20" s="758" t="str">
        <f>IF(A20=FALSE,"",IF(X20=0,0,IF((Cotations!BC20*12*X20)&lt;50000,50000,(12*X20))))</f>
        <v/>
      </c>
      <c r="AA20" s="758" t="str">
        <f t="shared" si="418"/>
        <v/>
      </c>
      <c r="AB20" s="758" t="str">
        <f>IF(A20=FALSE,"",IF(Crewlist!O20=0,"",Crewlist!O20))</f>
        <v/>
      </c>
      <c r="AC20" s="758" t="str">
        <f>IF(I20="","",VLOOKUP($AB$15:$AB$120,Currency!$A$15:$B$34,2,0))</f>
        <v/>
      </c>
      <c r="AD20" s="758" t="str">
        <f t="shared" si="419"/>
        <v/>
      </c>
      <c r="AE20" s="758" t="str">
        <f t="shared" si="420"/>
        <v/>
      </c>
      <c r="AF20" s="758" t="str">
        <f t="shared" si="421"/>
        <v/>
      </c>
      <c r="AG20" s="758" t="str">
        <f t="shared" si="422"/>
        <v/>
      </c>
      <c r="AH20" s="1355" t="str">
        <f t="shared" si="222"/>
        <v/>
      </c>
      <c r="AI20" s="919" t="str">
        <f t="shared" si="423"/>
        <v/>
      </c>
      <c r="AJ20" s="1382" t="str">
        <f t="shared" si="424"/>
        <v/>
      </c>
      <c r="AK20" s="1382" t="str">
        <f t="shared" si="425"/>
        <v/>
      </c>
      <c r="AL20" s="238" t="str">
        <f t="shared" si="223"/>
        <v/>
      </c>
      <c r="AM20" s="238" t="str">
        <f t="shared" si="224"/>
        <v/>
      </c>
      <c r="AN20" s="1374" t="str">
        <f t="shared" si="225"/>
        <v/>
      </c>
      <c r="AO20" s="238" t="str">
        <f t="shared" si="226"/>
        <v/>
      </c>
      <c r="AP20" s="342" t="str">
        <f>IF(A20=FALSE,"",INDEX(Rates!$Z$5:$Z$367,MATCH(EB20,colchoice,0)))</f>
        <v/>
      </c>
      <c r="AQ20" s="238" t="str">
        <f t="shared" si="227"/>
        <v/>
      </c>
      <c r="AR20" s="238" t="str">
        <f t="shared" si="426"/>
        <v/>
      </c>
      <c r="AS20" s="238" t="str">
        <f t="shared" si="427"/>
        <v/>
      </c>
      <c r="AT20" s="238" t="str">
        <f t="shared" si="428"/>
        <v/>
      </c>
      <c r="AU20" s="238" t="str">
        <f t="shared" si="228"/>
        <v/>
      </c>
      <c r="AV20" s="238" t="str">
        <f t="shared" si="429"/>
        <v/>
      </c>
      <c r="AW20" s="238" t="str">
        <f t="shared" si="229"/>
        <v/>
      </c>
      <c r="AX20" s="238" t="str">
        <f t="shared" si="230"/>
        <v/>
      </c>
      <c r="AY20" s="238" t="str">
        <f t="shared" si="231"/>
        <v/>
      </c>
      <c r="AZ20" s="238" t="str">
        <f t="shared" si="232"/>
        <v/>
      </c>
      <c r="BA20" s="238" t="str">
        <f t="shared" si="233"/>
        <v/>
      </c>
      <c r="BB20" s="552" t="str">
        <f t="shared" si="234"/>
        <v/>
      </c>
      <c r="BC20" s="347" t="str">
        <f t="shared" si="235"/>
        <v/>
      </c>
      <c r="BD20" s="239" t="str">
        <f t="shared" si="430"/>
        <v/>
      </c>
      <c r="BE20" s="239" t="str">
        <f>IF(A20=FALSE,"",IF(ALLTHESAME=TRUE,IF(DF20&lt;&gt;$BC$7,0,INDEX(DD20:DZ20,1,MATCH(Structure!$D$12,$DD$14:$DZ$14,0))),IF(EC20&lt;&gt;$BC$7,0,INDEX(EA20:EZ20,1,MATCH(Structure!$D$12,$EA$14:$EZ$14,0)))))</f>
        <v/>
      </c>
      <c r="BF20" s="239" t="str">
        <f>IF(A20=FALSE,"",IF(ALLTHESAME=TRUE,IF(FC20&lt;&gt;$BC$7,0,INDEX(FA20:FZ20,1,MATCH(Structure!$D$12,$FA$14:$FZ$14,0))),IF(GC20&lt;&gt;$BC$7,0,INDEX(GA20:GZ20,1,MATCH(Structure!$D$12,$GA$14:$GZ$14,0)))))</f>
        <v/>
      </c>
      <c r="BG20" s="239" t="str">
        <f>IF(A20=FALSE,"",IF(ALLTHESAME=TRUE,IF(VC20&lt;&gt;$BC$7,0,INDEX(VA20:VZ20,1,MATCH(Structure!$D$12,$VA$14:$VZ$14,0))),IF(VC20&lt;&gt;$BC$7,0,INDEX(VA20:VZ20,1,MATCH(Structure!$D$12,$VA$14:$VZ$14,0)))))</f>
        <v/>
      </c>
      <c r="BH20" s="239" t="str">
        <f>IF(A20=FALSE,"",IF(ALLTHESAME=TRUE,IF(WC20&lt;&gt;$BC$7,0,INDEX(WA20:WY20,1,MATCH(Structure!$D$12,$WA$14:$WZ$14,0))),IF(WC20&lt;&gt;$BC$7,0,INDEX(WA20:WZ20,1,MATCH(Structure!$D$12,$WA$14:$WZ$14,0)))))</f>
        <v/>
      </c>
      <c r="BI20" s="763" t="str">
        <f>IF(A20=FALSE,"",IF(ALLTHESAME=TRUE,IF(HC20&lt;&gt;$BC$7,0,INDEX(HA20:HZ20,1,MATCH(Structure!$D$12,$HA$14:$HZ$14,0)))+TK20,IF(IC20&lt;&gt;$BC$7,0,INDEX(IA20:IZ20,1,MATCH(Structure!$D$12,$IA$14:$IZ$14,0)))+TK20))</f>
        <v/>
      </c>
      <c r="BJ20" s="239" t="str">
        <f>IF(A20=FALSE,"",IF(ALLTHESAME=TRUE,IF(JC20&lt;&gt;$BC$7,0,INDEX(JA20:JZ20,1,MATCH(Structure!$D$12,$JA$14:$JZ$14,0))),IF(KC20&lt;&gt;$BC$7,0,INDEX(KA20:KZ20,1,MATCH(Structure!$D$12,$KA$14:$KZ$14,0)))))</f>
        <v/>
      </c>
      <c r="BK20" s="763" t="str">
        <f>IF(A20=FALSE,"",IF(ALLTHESAME=TRUE,IF(LC20&lt;&gt;$BC$7,0,INDEX(LA20:LZ20,1,MATCH(Structure!$D$12,$LA$14:$LZ$14,0)))+UK20,IF(MC20&lt;&gt;$BC$7,0,INDEX(MA20:MZ20,1,MATCH(Structure!$D$12,$MA$14:$MZ$14,0)))+UK20))</f>
        <v/>
      </c>
      <c r="BL20" s="239" t="str">
        <f>IF(A20=FALSE,"",IF(ALLTHESAME=TRUE,IF(NC20&lt;&gt;$BC$7,0,INDEX(NA20:NZ20,1,MATCH(Structure!$D$12,$NA$14:$NZ$14,0))),IF(OC20&lt;&gt;$BC$7,0,INDEX(OA20:OZ20,1,MATCH(Structure!$D$12,$OA$14:$OZ$14,0)))))</f>
        <v/>
      </c>
      <c r="BM20" s="239" t="str">
        <f>IF(A20=FALSE,"",IF(ALLTHESAME=TRUE,IF(PC20&lt;&gt;$BC$7,0,INDEX(PA20:PZ20,1,MATCH(Structure!$D$12,$PA$14:$PZ$14,0))),IF(QC20&lt;&gt;$BC$7,0,INDEX(QA20:QZ20,1,MATCH(Structure!$D$12,$QA$14:$QZ$14,0)))))</f>
        <v/>
      </c>
      <c r="BN20" s="341" t="str">
        <f>IF(A20=FALSE,"",IF(ALLTHESAME=TRUE,IF(RC20&lt;&gt;$BC$7,0,INDEX(RA20:RZ20,1,MATCH(Structure!$D$12,$RA$14:$RZ$14,0))),IF(SC20&lt;&gt;$BC$7,0,INDEX(SA20:TA20,1,MATCH(Structure!$D$12,$SA$14:$TA$14,0)))))</f>
        <v/>
      </c>
      <c r="BO20" s="507" t="str">
        <f t="shared" si="236"/>
        <v/>
      </c>
      <c r="BP20" s="239" t="str">
        <f t="shared" si="237"/>
        <v/>
      </c>
      <c r="BQ20" s="239" t="str">
        <f>IF(A20=FALSE,"",IF(ALLTHESAME=TRUE,IF(DF20&lt;&gt;$BO$7,0,INDEX(DD20:DZ20,1,MATCH(Structure!$D$12,$DD$14:$DZ$14,0))),IF(EC20&lt;&gt;$BO$7,0,INDEX(EA20:EZ20,1,MATCH(Structure!$D$12,$EA$14:$EZ$14,0)))))</f>
        <v/>
      </c>
      <c r="BR20" s="239" t="str">
        <f>IF(A20=FALSE,"",IF(ALLTHESAME=TRUE,IF(FC20&lt;&gt;$BO$7,0,INDEX(FA20:FZ20,1,MATCH(Structure!$D$12,$FA$14:$FZ$14,0))),IF(GC20&lt;&gt;$BO$7,0,INDEX(GA20:GZ20,1,MATCH(Structure!$D$12,$GA$14:$GZ$14,0)))))</f>
        <v/>
      </c>
      <c r="BS20" s="239" t="str">
        <f>IF(A20=FALSE,"",IF(ALLTHESAME=TRUE,IF(HC20&lt;&gt;$BO$7,0,INDEX(HA20:HZ20,1,MATCH(Structure!$D$12,$HA$14:$HZ$14,0))),IF(IC20&lt;&gt;$BO$7,0,INDEX(IA20:IZ20,1,MATCH(Structure!$D$12,$IA$14:$IZ$14,0)))))</f>
        <v/>
      </c>
      <c r="BT20" s="239" t="str">
        <f>IF(A20=FALSE,"",IF(ALLTHESAME=TRUE,IF(JC20&lt;&gt;$BO$7,0,INDEX(JA20:JZ20,1,MATCH(Structure!$D$12,$JA$14:$JZ$14,0))),IF(KC20&lt;&gt;$BO$7,0,INDEX(KA20:KZ20,1,MATCH(Structure!$D$12,$KA$14:$KZ$14,0)))))</f>
        <v/>
      </c>
      <c r="BU20" s="239" t="str">
        <f>IF(A20=FALSE,"",IF(ALLTHESAME=TRUE,IF(LC20&lt;&gt;$BO$7,0,INDEX(LA20:LZ20,1,MATCH(Structure!$D$12,$LA$14:$LZ$14,0))),IF(MC20&lt;&gt;$BO$7,0,INDEX(MA20:MZ20,1,MATCH(Structure!$D$12,$MA$14:$MZ$14,0)))))</f>
        <v/>
      </c>
      <c r="BV20" s="239" t="str">
        <f>IF(A20=FALSE,"",IF(ALLTHESAME=TRUE,IF(NC20&lt;&gt;$BO$7,0,INDEX(NA20:NZ20,1,MATCH(Structure!$D$12,$NA$14:$NZ$14,0))),IF(OC20&lt;&gt;$BO$7,0,INDEX(OA20:OZ20,1,MATCH(Structure!$D$12,$OA$14:$OZ$14,0)))))</f>
        <v/>
      </c>
      <c r="BW20" s="239" t="str">
        <f>IF(A20=FALSE,"",IF(ALLTHESAME=TRUE,IF(PC20&lt;&gt;$BO$7,0,INDEX(PA20:PZ20,1,MATCH(Structure!$D$12,$PA$14:$PZ$14,0))),IF(QC20&lt;&gt;$BO$7,0,INDEX(QA20:QZ20,1,MATCH(Structure!$D$12,$QA$14:$QZ$14,0)))))</f>
        <v/>
      </c>
      <c r="BX20" s="341" t="str">
        <f>IF(A20=FALSE,"",IF(ALLTHESAME=TRUE,IF(RC20&lt;&gt;$BO$7,0,INDEX(RA20:RZ20,1,MATCH(Structure!$D$12,$RA$14:$RZ$14,0))),IF(SC20&lt;&gt;$BO$7,0,INDEX(SA20:TA20,1,MATCH(Structure!$D$12,$SA$14:$TA$14,0)))))</f>
        <v/>
      </c>
      <c r="BY20" s="347" t="str">
        <f t="shared" si="238"/>
        <v/>
      </c>
      <c r="BZ20" s="507" t="str">
        <f t="shared" si="239"/>
        <v/>
      </c>
      <c r="CA20" s="239" t="str">
        <f t="shared" si="240"/>
        <v/>
      </c>
      <c r="CB20" s="239" t="str">
        <f>IF(A20=FALSE,"",IF(ALLTHESAME=TRUE,INDEX(DD20:DZ20,MATCH(DF20,DF20:DF125,0),MATCH(Structure!$D$17,$DD$14:$DZ$14,0)),INDEX(EA20:EZ20,MATCH(EC20,EC20:EC125,0),MATCH(Structure!$D$17,$EA$14:$EZ$14,0))))</f>
        <v/>
      </c>
      <c r="CC20" s="239" t="str">
        <f>IF(A20=FALSE,"",IF(ALLTHESAME=TRUE,INDEX(FA20:FZ20,MATCH(FC20,FC20:FC125,0),MATCH(Structure!$D$17,$FA$14:$FZ$14,0)),INDEX(GA20:GZ20,MATCH(GC20,GC20:GC125,0),MATCH(Structure!$D$17,$GA$14:$GZ$14,0))))</f>
        <v/>
      </c>
      <c r="CD20" s="239" t="str">
        <f>IF(A20=FALSE,"",IF(ALLTHESAME=TRUE,INDEX(HA20:HZ20,MATCH(HC20,HC20:HC125,0),MATCH(Structure!$D$17,$HA$14:$HZ$14,0)),INDEX(IA20:IZ20,MATCH(IC20,IC20:IC125,0),MATCH(Structure!$D$17,$IA$14:$IZ$14,0))))</f>
        <v/>
      </c>
      <c r="CE20" s="239" t="str">
        <f>IF(A20=FALSE,"",IF(ALLTHESAME=TRUE,INDEX(JA20:JZ20,MATCH(JC20,JC20:JC125,0),MATCH(Structure!$D$17,$JA$14:$JZ$14,0)),INDEX(KA20:KZ20,MATCH(KC20,KC20:KC125,0),MATCH(Structure!$D$17,$KA$14:$KZ$14,0))))</f>
        <v/>
      </c>
      <c r="CF20" s="239" t="str">
        <f>IF(A20=FALSE,"",IF(ALLTHESAME=TRUE,INDEX(LA20:LZ20,MATCH(LC20,LC20:LC125,0),MATCH(Structure!$D$17,$LA$14:$LZ$14,0)),INDEX(MA20:MZ20,MATCH(MC20,MC20:MC125,0),MATCH(Structure!$D$17,$MA$14:$MZ$14,0))))</f>
        <v/>
      </c>
      <c r="CG20" s="239" t="str">
        <f>IF(A20=FALSE,"",IF(ALLTHESAME=TRUE,INDEX(NA20:NZ20,MATCH(NC20,NC20:NC125,0),MATCH(Structure!$D$17,$NA$14:$NZ$14,0)),INDEX(OA20:OZ20,MATCH(OC20,OC20:OC125,0),MATCH(Structure!$D$17,$OA$14:$OZ$14,0))))</f>
        <v/>
      </c>
      <c r="CH20" s="239" t="str">
        <f>IF(A20=FALSE,"",IF(ALLTHESAME=TRUE,INDEX(PA20:PZ20,MATCH(PC20,PC20:PC125,0),MATCH(Structure!$D$17,$PA$14:$PZ$14,0)),INDEX(QA20:QZ20,MATCH(QC20,QC20:QC125,0),MATCH(Structure!$D$17,$QA$14:$QZ$14,0))))</f>
        <v/>
      </c>
      <c r="CI20" s="341" t="str">
        <f>IF(A20=FALSE,"",IF(ALLTHESAME=TRUE,INDEX(RA20:RZ20,MATCH(RC20,RC20:RC125,0),MATCH(Structure!$D$17,$RA$14:$RZ$14,0)),INDEX(SA20:TC20,MATCH(SC20,SC20:SC125,0),MATCH(Structure!$D$17,$SA$14:$TC$14,0))))</f>
        <v/>
      </c>
      <c r="CJ20" s="347"/>
      <c r="CK20" s="239" t="str">
        <f t="shared" si="241"/>
        <v/>
      </c>
      <c r="CL20" s="239" t="str">
        <f>IF(A20=FALSE,"",IF(ALLTHESAME=TRUE,INDEX(DD20:DZ20,MATCH(DF20,DF20:DF125,0),MATCH(Structure!$D$22,$DD$14:$DZ$14,0)),INDEX(EA20:EZ20,MATCH(EC20,EC20:EC125,0),MATCH(Structure!$D$22,$EA$14:$EZ$14,0))))</f>
        <v/>
      </c>
      <c r="CM20" s="239" t="str">
        <f>IF(A20=FALSE,"",IF(ALLTHESAME=TRUE,INDEX(FA20:FZ20,MATCH(FC20,FC20:FC125,0),MATCH(Structure!$D$22,$FA$14:$FZ$14,0)),INDEX(GA20:GZ20,MATCH(GC20,GC20:GC125,0),MATCH(Structure!$D$22,$GA$14:$GZ$14,0))))</f>
        <v/>
      </c>
      <c r="CN20" s="239" t="str">
        <f>IF(A20=FALSE,"",IF(ALLTHESAME=TRUE,INDEX(HA20:HZ20,MATCH(HC20,HC20:HC125,0),MATCH(Structure!$D$22,$HA$14:$HZ$14,0)),INDEX(IA20:IZ20,MATCH(IC20,IC20:IC125,0),MATCH(Structure!$D$22,$IA$14:$IZ$14,0))))</f>
        <v/>
      </c>
      <c r="CO20" s="239" t="str">
        <f>IF(A20=FALSE,"",IF(ALLTHESAME=TRUE,INDEX(JA20:JZ20,MATCH(JC20,JC20:JC125,0),MATCH(Structure!$D$22,$JA$14:$JZ$14,0)),INDEX(KA20:KZ20,MATCH(KC20,KC20:KC125,0),MATCH(Structure!$D$22,$KA$14:$KZ$14,0))))</f>
        <v/>
      </c>
      <c r="CP20" s="239" t="str">
        <f>IF(A20=FALSE,"",IF(ALLTHESAME=TRUE,INDEX(LA20:LZ20,MATCH(LC20,LC20:LC125,0),MATCH(Structure!$D$22,$LA$14:$LZ$14,0)),INDEX(MA20:MZ20,MATCH(MC20,MC20:MC125,0),MATCH(Structure!$D$22,$MA$14:$MZ$14,0))))</f>
        <v/>
      </c>
      <c r="CQ20" s="239" t="str">
        <f>IF(A20=FALSE,"",IF(ALLTHESAME=TRUE,INDEX(NA20:NZ20,MATCH(NC20,NC20:NC125,0),MATCH(Structure!$D$22,$NA$14:$NZ$14,0)),INDEX(OA20:OZ20,MATCH(OC20,OC20:OC125,0),MATCH(Structure!$D$22,$OA$14:$OZ$14,0))))</f>
        <v/>
      </c>
      <c r="CR20" s="239" t="str">
        <f>IF(A20=FALSE,"",IF(ALLTHESAME=TRUE,INDEX(PA20:PZ20,MATCH(PC20,PC20:PC125,0),MATCH(Structure!$D$22,$PA$14:$PZ$14,0)),INDEX(QA20:QZ20,MATCH(QC20,QC20:QC125,0),MATCH(Structure!$D$22,$QA$14:$QZ$14,0))))</f>
        <v/>
      </c>
      <c r="CS20" s="341" t="str">
        <f>IF(A20=FALSE,"",IF(ALLTHESAME=TRUE,INDEX(RA20:RZ20,MATCH(RC20,RC20:RC125,0),MATCH(Structure!$D$22,$RA$14:$RZ$14,0)),INDEX(SA20:TC20,MATCH(SC20,SC20:SC125,0),MATCH(Structure!$D$22,$SA$14:$TC$14,0))))</f>
        <v/>
      </c>
      <c r="CT20" s="347"/>
      <c r="CU20" s="239" t="str">
        <f t="shared" si="242"/>
        <v/>
      </c>
      <c r="CV20" s="239" t="str">
        <f>IF(A20=FALSE,"",IF(ALLTHESAME=TRUE,INDEX(DD20:DZ20,MATCH(DF20,DF20:DF125,0),MATCH(Structure!$D$8,$DD$14:$DZ$14,0)),INDEX(EA20:EZ20,MATCH(EC20,EC20:EC125,0),MATCH(Structure!$D$8,$EA$14:$EZ$14,0))))</f>
        <v/>
      </c>
      <c r="CW20" s="239" t="str">
        <f>IF(A20=FALSE,"",IF(ALLTHESAME=TRUE,INDEX(FA20:FZ20,MATCH(FC20,FC20:FC125,0),MATCH(Structure!$D$8,$FA$14:$FZ$14,0)),INDEX(GA20:GZ20,MATCH(GC20,GC20:GC125,0),MATCH(Structure!$D$8,$GA$14:$GZ$14,0))))</f>
        <v/>
      </c>
      <c r="CX20" s="239" t="str">
        <f>IF(A20=FALSE,"",IF(ALLTHESAME=TRUE,INDEX(HA20:HZ20,MATCH(HC20,HC20:HC125,0),MATCH(Structure!$D$8,$HA$14:$HZ$14,0)),INDEX(IA20:IZ20,MATCH(IC20,IC20:IC125,0),MATCH(Structure!$D$8,$IA$14:$IZ$14,0))))</f>
        <v/>
      </c>
      <c r="CY20" s="239" t="str">
        <f>IF(A20=FALSE,"",IF(ALLTHESAME=TRUE,INDEX(JA20:JZ20,MATCH(JC20,JC20:JC125,0),MATCH(Structure!$D$8,$JA$14:$JZ$14,0)),INDEX(KA20:KZ20,MATCH(KC20,KC20:KC125,0),MATCH(Structure!$D$8,$KA$14:$KZ$14,0))))</f>
        <v/>
      </c>
      <c r="CZ20" s="239" t="str">
        <f>IF(A20=FALSE,"",IF(ALLTHESAME=TRUE,INDEX(LA20:LZ20,MATCH(LC20,LC20:LC125,0),MATCH(Structure!$D$8,$LA$14:$LZ$14,0)),INDEX(MA20:MZ20,MATCH(MC20,MC20:MC125,0),MATCH(Structure!$D$8,$MA$14:$MZ$14,0))))</f>
        <v/>
      </c>
      <c r="DA20" s="239" t="str">
        <f>IF(A20=FALSE,"",IF(ALLTHESAME=TRUE,INDEX(NA20:NZ20,MATCH(NC20,NC20:NC125,0),MATCH(Structure!$D$8,$NA$14:$NZ$14,0)),INDEX(OA20:OZ20,MATCH(OC20,OC20:OC125,0),MATCH(Structure!$D$8,$OA$14:$OZ$14,0))))</f>
        <v/>
      </c>
      <c r="DB20" s="239" t="str">
        <f>IF(A20=FALSE,"",IF(ALLTHESAME=TRUE,INDEX(PA20:PZ20,MATCH(PC20,PC20:PC125,0),MATCH(Structure!$D$8,$PA$14:$PZ$14,0)),INDEX(QA20:QZ20,MATCH(QC20,QC20:QC125,0),MATCH(Structure!$D$8,$QA$14:$QZ$14,0))))</f>
        <v/>
      </c>
      <c r="DC20" s="341" t="str">
        <f>IF(A20=FALSE,"",IF(ALLTHESAME=TRUE,INDEX(RA20:RZ20,MATCH(RC20,RC20:RC125,0),MATCH(Structure!$D$8,$RA$14:$RZ$14,0)),INDEX(SA20:TC20,MATCH(SC20,SC20:SC125,0),MATCH(Structure!$D$8,$SA$14:$TC$14,0))))</f>
        <v/>
      </c>
      <c r="DD20" s="492" t="str">
        <f>IF(A20=FALSE,"",Cotations!D20)</f>
        <v/>
      </c>
      <c r="DE20" s="492" t="str">
        <f>IF(A20=FALSE,"",IF(LISTES!$A$17=1,Cotations!AF20,Cotations!$AG$4))</f>
        <v/>
      </c>
      <c r="DF20" s="291" t="str">
        <f t="shared" si="431"/>
        <v/>
      </c>
      <c r="DG20" s="291" t="str">
        <f t="shared" si="243"/>
        <v/>
      </c>
      <c r="DH20" s="291"/>
      <c r="DI20" s="463"/>
      <c r="DJ20" s="463" t="str">
        <f t="shared" si="244"/>
        <v/>
      </c>
      <c r="DK20" s="522" t="str">
        <f>IF(A20=FALSE,"",IF(Cotations!$AH$4="monthly",DJ20/12*L20,DJ20/365*M20))</f>
        <v/>
      </c>
      <c r="DL20" s="489" t="str">
        <f>IF(A20=FALSE,"",Cotations!$AI$4)</f>
        <v/>
      </c>
      <c r="DM20" s="300" t="str">
        <f t="shared" si="245"/>
        <v/>
      </c>
      <c r="DN20" s="300" t="str">
        <f t="shared" si="246"/>
        <v/>
      </c>
      <c r="DO20" s="294" t="str">
        <f t="shared" si="247"/>
        <v/>
      </c>
      <c r="DP20" s="494" t="str">
        <f>IF(A20=FALSE,"",Cotations!$AJ$4)</f>
        <v/>
      </c>
      <c r="DQ20" s="494" t="str">
        <f>IF(A20=FALSE,"",Cotations!$AK$4)</f>
        <v/>
      </c>
      <c r="DR20" s="489" t="str">
        <f>IF(A20=FALSE,"",Cotations!$AL$4)</f>
        <v/>
      </c>
      <c r="DS20" s="494" t="str">
        <f>IF(A20=FALSE,"",IF(DP20="N/A",0,IF(INDEX(LISTES!$F$105:$F$109,MATCH(DP20,LISTES!$C$105:$C$109,0))="FIX",IF(INDEX(LISTES!$E$105:$E$109,MATCH(DP20,LISTES!$C$105:$C$109,0))=12,DQ20/12*L20,DQ20/365*M20),DR20*DO20)))</f>
        <v/>
      </c>
      <c r="DT20" s="294" t="str">
        <f t="shared" si="248"/>
        <v/>
      </c>
      <c r="DU20" s="294" t="str">
        <f>IF(A20=FALSE,"",DT20*Cotations!$AM$4)</f>
        <v/>
      </c>
      <c r="DV20" s="294" t="str">
        <f>IF(A20=FALSE,"",DT20*Cotations!$AN$4)</f>
        <v/>
      </c>
      <c r="DW20" s="465" t="str">
        <f t="shared" si="249"/>
        <v/>
      </c>
      <c r="DX20" s="919" t="str">
        <f>IF(A20=FALSE,"",((DJ20*TAXE)-(DJ20*TAXE*DL20))+IF(DP20="N/A",0,IF(INDEX(LISTES!$F$105:$F$109,MATCH(DP20,LISTES!$C$105:$C$109,0))="FIX",DQ20,DR20*DO20)))</f>
        <v/>
      </c>
      <c r="DY20" s="466"/>
      <c r="DZ20" s="466"/>
      <c r="EA20" s="492" t="str">
        <f>IF(A20=FALSE,"",Cotations!D20)</f>
        <v/>
      </c>
      <c r="EB20" s="494" t="str">
        <f>IF(A20=FALSE,"",IF(LISTES!$A$17=1,Cotations!AF20,Cotations!AG20))</f>
        <v/>
      </c>
      <c r="EC20" s="284" t="str">
        <f t="shared" si="250"/>
        <v/>
      </c>
      <c r="ED20" s="284" t="str">
        <f t="shared" si="251"/>
        <v/>
      </c>
      <c r="EE20" s="284"/>
      <c r="EF20" s="284"/>
      <c r="EG20" s="284" t="str">
        <f t="shared" si="252"/>
        <v/>
      </c>
      <c r="EH20" s="1365" t="str">
        <f t="shared" si="253"/>
        <v/>
      </c>
      <c r="EI20" s="1365" t="str">
        <f t="shared" si="254"/>
        <v/>
      </c>
      <c r="EJ20" s="515" t="str">
        <f>IF(A20=FALSE,"",IF(Cotations!AH20="monthly",EG20/12*L20,EG20/365*M20))</f>
        <v/>
      </c>
      <c r="EK20" s="1364" t="str">
        <f>IF(A20=FALSE,"",IF(Cotations!AH20="monthly",EI20/12*L20,EI20/365*M20))</f>
        <v/>
      </c>
      <c r="EL20" s="493" t="str">
        <f>IF(A20=FALSE,"",IF(Cotations!AI20="","",Cotations!AI20))</f>
        <v/>
      </c>
      <c r="EM20" s="284" t="str">
        <f t="shared" si="255"/>
        <v/>
      </c>
      <c r="EN20" s="284" t="str">
        <f t="shared" si="256"/>
        <v/>
      </c>
      <c r="EO20" s="1365" t="str">
        <f t="shared" si="432"/>
        <v/>
      </c>
      <c r="EP20" s="284" t="str">
        <f t="shared" si="257"/>
        <v/>
      </c>
      <c r="EQ20" s="515" t="str">
        <f>IF(A20=FALSE,"",Cotations!AJ20)</f>
        <v/>
      </c>
      <c r="ER20" s="515" t="str">
        <f>IF(A20=FALSE,"",IF(Cotations!AK20="","",Cotations!AK20))</f>
        <v/>
      </c>
      <c r="ES20" s="493" t="str">
        <f>IF(A20=FALSE,"",Cotations!AL20)</f>
        <v/>
      </c>
      <c r="ET20" s="515" t="str">
        <f>IF(A20=FALSE,"",IF(EQ20="N/A",0,IF(INDEX(LISTES!$F$105:$F$109,MATCH(EQ20,LISTES!$C$105:$C$109,0))="FIX",IF(INDEX(LISTES!$E$105:$E$109,MATCH(EQ20,LISTES!$C$105:$C$109,0))=12,ER20/12*L20,ER20/365*M20),ES20*EP20)))</f>
        <v/>
      </c>
      <c r="EU20" s="294" t="str">
        <f t="shared" si="258"/>
        <v/>
      </c>
      <c r="EV20" s="494" t="str">
        <f>IF(A20=FALSE,"",EU20*Cotations!AM20)</f>
        <v/>
      </c>
      <c r="EW20" s="494" t="str">
        <f>IF(A20=FALSE,"",EU20*Cotations!AN20)</f>
        <v/>
      </c>
      <c r="EX20" s="334" t="str">
        <f t="shared" si="259"/>
        <v/>
      </c>
      <c r="EY20" s="919" t="str">
        <f>IF(A20=FALSE,"",((EG20*TAXE)-(EG20*TAXE*EL20)+EH20)+IF(EQ20="N/A",0,IF(INDEX(LISTES!$F$105:$F$109,MATCH(EQ20,LISTES!$C$105:$C$109,0))="FIX",ER20,ES20*EP20)))</f>
        <v/>
      </c>
      <c r="EZ20" s="422"/>
      <c r="FA20" s="492" t="str">
        <f>IF(A20=FALSE,"",Cotations!D20)</f>
        <v/>
      </c>
      <c r="FB20" s="519" t="str">
        <f>IF(A20=FALSE,"",IF(LISTES!$A$17=1,Cotations!AO20,Cotations!$AP$4))</f>
        <v/>
      </c>
      <c r="FC20" s="291" t="str">
        <f t="shared" si="260"/>
        <v/>
      </c>
      <c r="FD20" s="291" t="str">
        <f t="shared" si="261"/>
        <v/>
      </c>
      <c r="FE20" s="291"/>
      <c r="FF20" s="463"/>
      <c r="FG20" s="463" t="str">
        <f t="shared" si="262"/>
        <v/>
      </c>
      <c r="FH20" s="522" t="str">
        <f>IF(A20=FALSE,"",IF(Cotations!$AQ$4="monthly",FG20/12*L20,FG20/365*M20))</f>
        <v/>
      </c>
      <c r="FI20" s="453" t="str">
        <f>IF(A20=FALSE,"",Cotations!$AR$4)</f>
        <v/>
      </c>
      <c r="FJ20" s="300" t="str">
        <f t="shared" si="263"/>
        <v/>
      </c>
      <c r="FK20" s="300" t="str">
        <f t="shared" si="264"/>
        <v/>
      </c>
      <c r="FL20" s="294" t="str">
        <f t="shared" si="265"/>
        <v/>
      </c>
      <c r="FM20" s="494" t="str">
        <f>IF(A20=FALSE,"",Cotations!$AS$4)</f>
        <v/>
      </c>
      <c r="FN20" s="494" t="str">
        <f>IF(A20=FALSE,"",Cotations!$AT$4)</f>
        <v/>
      </c>
      <c r="FO20" s="489" t="str">
        <f>IF(A20=FALSE,"",Cotations!$AU$4)</f>
        <v/>
      </c>
      <c r="FP20" s="494" t="str">
        <f>IF(A20=FALSE,"",IF(FM20="N/A",0,IF(INDEX(LISTES!$F$105:$F$109,MATCH(FM20,LISTES!$C$105:$C$109,0))="FIX",IF(INDEX(LISTES!$E$105:$E$109,MATCH(FM20,LISTES!$C$105:$C$109,0))=12,FN20/12*L20,FN20/365*M20),FO20*FL20)))</f>
        <v/>
      </c>
      <c r="FQ20" s="294" t="str">
        <f t="shared" si="266"/>
        <v/>
      </c>
      <c r="FR20" s="494" t="str">
        <f>IF(A20=FALSE,"",FQ20*Cotations!$AV$4)</f>
        <v/>
      </c>
      <c r="FS20" s="494" t="str">
        <f>IF(A20=FALSE,"",FQ20*Cotations!$AW$4)</f>
        <v/>
      </c>
      <c r="FT20" s="465" t="str">
        <f t="shared" si="267"/>
        <v/>
      </c>
      <c r="FU20" s="919" t="str">
        <f>IF(A20=FALSE,"",((FG20*TAXE)-(FG20*TAXE*FI20))+IF(FM20="N/A",0,IF(INDEX(LISTES!$F$105:$F$109,MATCH(FM20,LISTES!$C$105:$C$109,0))="FIX",FN20,FO20*FL20)))</f>
        <v/>
      </c>
      <c r="FV20" s="478"/>
      <c r="FW20" s="478"/>
      <c r="FX20" s="478"/>
      <c r="FY20" s="478"/>
      <c r="FZ20" s="478"/>
      <c r="GA20" s="492" t="str">
        <f>IF(A20=FALSE,"",Cotations!D20)</f>
        <v/>
      </c>
      <c r="GB20" s="494" t="str">
        <f>IF(A20=FALSE,"",IF(LISTES!$A$17=1,Cotations!AO20,Cotations!AP20))</f>
        <v/>
      </c>
      <c r="GC20" s="284" t="str">
        <f t="shared" si="268"/>
        <v/>
      </c>
      <c r="GD20" s="515" t="str">
        <f>IF(A20=FALSE,"",IF(Detail!AM20="","",Detail!AM20))</f>
        <v/>
      </c>
      <c r="GE20" s="284"/>
      <c r="GF20" s="284"/>
      <c r="GG20" s="284" t="str">
        <f t="shared" si="269"/>
        <v/>
      </c>
      <c r="GH20" s="515" t="str">
        <f>IF(A20=FALSE,"",IF(Cotations!AQ20="monthly",GG20/12*L20,GG20/365*M20))</f>
        <v/>
      </c>
      <c r="GI20" s="493" t="str">
        <f>IF(A20=FALSE,"",IF(Cotations!AR20="","",Cotations!AR20))</f>
        <v/>
      </c>
      <c r="GJ20" s="284" t="str">
        <f t="shared" si="270"/>
        <v/>
      </c>
      <c r="GK20" s="284" t="str">
        <f t="shared" si="271"/>
        <v/>
      </c>
      <c r="GL20" s="284" t="str">
        <f t="shared" si="272"/>
        <v/>
      </c>
      <c r="GM20" s="515" t="str">
        <f>IF(A20=FALSE,"",Cotations!AS20)</f>
        <v/>
      </c>
      <c r="GN20" s="515" t="str">
        <f>IF(A20=FALSE,"",Cotations!AT20)</f>
        <v/>
      </c>
      <c r="GO20" s="493" t="str">
        <f>IF(A20=FALSE,"",Cotations!AU20)</f>
        <v/>
      </c>
      <c r="GP20" s="515" t="str">
        <f>IF(A20=FALSE,"",IF(GM20="N/A",0,IF(INDEX(LISTES!$F$105:$F$109,MATCH(GM20,LISTES!$C$105:$C$109,0))="FIX",IF(INDEX(LISTES!$E$105:$E$109,MATCH(GM20,LISTES!$C$105:$C$109,0))=12,GN20/12*L20,GN20/365*M20),GO20*GL20)))</f>
        <v/>
      </c>
      <c r="GQ20" s="294" t="str">
        <f t="shared" si="273"/>
        <v/>
      </c>
      <c r="GR20" s="494" t="str">
        <f>IF(A20=FALSE,"",GQ20*Cotations!AV20)</f>
        <v/>
      </c>
      <c r="GS20" s="494" t="str">
        <f>IF(A20=FALSE,"",GQ20*Cotations!AW20)</f>
        <v/>
      </c>
      <c r="GT20" s="334" t="str">
        <f t="shared" si="274"/>
        <v/>
      </c>
      <c r="GU20" s="919" t="str">
        <f>IF(A20=FALSE,"",((GG20*TAXE)-(GG20*TAXE*GI20))+IF(GM20="N/A",0,IF(INDEX(LISTES!$F$105:$F$109,MATCH(GM20,LISTES!$C$105:$C$109,0))="FIX",GN20,GO20*GL20)))</f>
        <v/>
      </c>
      <c r="GV20" s="478"/>
      <c r="GW20" s="466"/>
      <c r="GX20" s="466"/>
      <c r="GY20" s="466"/>
      <c r="GZ20" s="466"/>
      <c r="HA20" s="492" t="str">
        <f>IF(A20=FALSE,"",Cotations!D20)</f>
        <v/>
      </c>
      <c r="HB20" s="495" t="str">
        <f>IF(A20=FALSE,"",IF(LISTES!$A$17=1,Cotations!AX20,Cotations!$AY$4))</f>
        <v/>
      </c>
      <c r="HC20" s="291" t="str">
        <f t="shared" si="275"/>
        <v/>
      </c>
      <c r="HD20" s="291" t="str">
        <f t="shared" si="276"/>
        <v/>
      </c>
      <c r="HE20" s="456" t="str">
        <f t="shared" si="277"/>
        <v/>
      </c>
      <c r="HF20" s="496" t="str">
        <f>IF(A20=FALSE,"",IF(HA20="POEA",Cotations!BA20,IF(HA20="FIXE",Cotations!$BA$4,Cotations!$BC$4*Y20)))</f>
        <v/>
      </c>
      <c r="HG20" s="300" t="str">
        <f t="shared" si="278"/>
        <v/>
      </c>
      <c r="HH20" s="522" t="str">
        <f>IF(A20=FALSE,"",IF(Cotations!$AZ$4="monthly",HG20/12*L20,HG20/365*M20))</f>
        <v/>
      </c>
      <c r="HI20" s="489" t="str">
        <f>IF(A20=FALSE,"",Cotations!$BD$4)</f>
        <v/>
      </c>
      <c r="HJ20" s="300" t="str">
        <f t="shared" si="279"/>
        <v/>
      </c>
      <c r="HK20" s="300" t="str">
        <f t="shared" si="280"/>
        <v/>
      </c>
      <c r="HL20" s="294" t="str">
        <f t="shared" si="281"/>
        <v/>
      </c>
      <c r="HM20" s="494" t="str">
        <f>IF(A20=FALSE,"",Cotations!$BE$4)</f>
        <v/>
      </c>
      <c r="HN20" s="522" t="str">
        <f>IF(A20=FALSE,"",Cotations!$BF$4)</f>
        <v/>
      </c>
      <c r="HO20" s="489" t="str">
        <f>IF(A20=FALSE,"",Cotations!$BG$4)</f>
        <v/>
      </c>
      <c r="HP20" s="494" t="str">
        <f>IF(A20=FALSE,"",IF(HM20="N/A",0,IF(INDEX(LISTES!$F$105:$F$109,MATCH(HM20,LISTES!$C$105:$C$109,0))="FIX",IF(INDEX(LISTES!$E$105:$E$109,MATCH(HM20,LISTES!$C$105:$C$109,0))=12,HN20/12*L20,HN20/365*M20),HO20*HL20)))</f>
        <v/>
      </c>
      <c r="HQ20" s="294" t="str">
        <f t="shared" si="282"/>
        <v/>
      </c>
      <c r="HR20" s="494" t="str">
        <f>IF(A20=FALSE,"",HQ20*Cotations!$BH$4)</f>
        <v/>
      </c>
      <c r="HS20" s="494" t="str">
        <f>IF(A20=FALSE,"",HQ20*Cotations!$BI$4)</f>
        <v/>
      </c>
      <c r="HT20" s="294" t="str">
        <f t="shared" si="283"/>
        <v/>
      </c>
      <c r="HU20" s="919" t="str">
        <f>IF(A20=FALSE,"",((HG20*TAXE)-(HG20*TAXE*HI20))+IF(HM20="N/A",0,IF(INDEX(LISTES!$F$105:$F$109,MATCH(HM20,LISTES!$C$105:$C$109,0))="FIX",HN20,HO20*HL20)))</f>
        <v/>
      </c>
      <c r="HV20" s="422"/>
      <c r="HW20" s="422"/>
      <c r="HX20" s="422"/>
      <c r="HY20" s="716"/>
      <c r="HZ20" s="422"/>
      <c r="IA20" s="492" t="str">
        <f>IF(A20=FALSE,"",Cotations!D20)</f>
        <v/>
      </c>
      <c r="IB20" s="491" t="str">
        <f>IF(A20=FALSE,"",IF(LISTES!$A$17=1,Cotations!AX20,Cotations!AY20))</f>
        <v/>
      </c>
      <c r="IC20" s="285" t="str">
        <f t="shared" si="284"/>
        <v/>
      </c>
      <c r="ID20" s="300" t="str">
        <f>IF(A20=FALSE,"",IF(LISTES!$A$17=3,Detail!AU20,lig1_Formula_PREVOY))</f>
        <v/>
      </c>
      <c r="IE20" s="461" t="str">
        <f t="shared" si="285"/>
        <v/>
      </c>
      <c r="IF20" s="490" t="str">
        <f>IF(A20=FALSE,"",IF(IA20="POEA",Cotations!BA20,IF(HA20="FIXE",Cotations!BB20,IF(Cotations!BC20*Y20&lt;50000,Z20,Cotations!BC20*Y20))))</f>
        <v/>
      </c>
      <c r="IG20" s="300" t="str">
        <f t="shared" si="286"/>
        <v/>
      </c>
      <c r="IH20" s="522" t="str">
        <f>IF(A20=FALSE,"",IF(Cotations!AZ20="monthly",IG20/12*L20,IG20/365*M20))</f>
        <v/>
      </c>
      <c r="II20" s="489" t="str">
        <f>IF(A20=FALSE,"",IF(Cotations!BD20="","",Cotations!BD20))</f>
        <v/>
      </c>
      <c r="IJ20" s="300" t="str">
        <f t="shared" si="287"/>
        <v/>
      </c>
      <c r="IK20" s="300" t="str">
        <f t="shared" si="288"/>
        <v/>
      </c>
      <c r="IL20" s="919" t="str">
        <f t="shared" si="289"/>
        <v/>
      </c>
      <c r="IM20" s="517" t="str">
        <f>IF(A20=FALSE,"",Cotations!BE20)</f>
        <v/>
      </c>
      <c r="IN20" s="517" t="str">
        <f>IF(A20=FALSE,"",Cotations!BF20)</f>
        <v/>
      </c>
      <c r="IO20" s="493" t="str">
        <f>IF(A20=FALSE,"",Cotations!BG20)</f>
        <v/>
      </c>
      <c r="IP20" s="517" t="str">
        <f>IF(A20=FALSE,"",IF(IM20="N/A",0,IF(INDEX(LISTES!$F$105:$F$109,MATCH(IM20,LISTES!$C$105:$C$109,0))="FIX",IF(INDEX(LISTES!$E$105:$E$109,MATCH(IM20,LISTES!$C$105:$C$109,0))=12,IN20/12*L20,IN20/365*M20),IO20*IL20)))</f>
        <v/>
      </c>
      <c r="IQ20" s="294" t="str">
        <f t="shared" si="290"/>
        <v/>
      </c>
      <c r="IR20" s="494" t="str">
        <f>IF(A20=FALSE,"",IQ20*Cotations!BH20)</f>
        <v/>
      </c>
      <c r="IS20" s="494" t="str">
        <f>IF(A20=FALSE,"",IQ20*Cotations!BI20)</f>
        <v/>
      </c>
      <c r="IT20" s="338" t="str">
        <f t="shared" si="291"/>
        <v/>
      </c>
      <c r="IU20" s="919" t="str">
        <f>IF(A20=FALSE,"",((IG20*TAXE)-(IG20*TAXE*II20))+IF(IM20="N/A",0,IF(INDEX(LISTES!$F$105:$F$109,MATCH(IM20,LISTES!$C$105:$C$109,0))="FIX",IN20,IO20*IL20)))</f>
        <v/>
      </c>
      <c r="IV20" s="422"/>
      <c r="IY20" s="716"/>
      <c r="JA20" s="492" t="str">
        <f>IF(A20=FALSE,"",Cotations!D20)</f>
        <v/>
      </c>
      <c r="JB20" s="495" t="str">
        <f>IF(A20=FALSE,"",IF(LISTES!$A$17=1,Cotations!BJ20,Cotations!$BK$4))</f>
        <v/>
      </c>
      <c r="JC20" s="291" t="str">
        <f t="shared" si="292"/>
        <v/>
      </c>
      <c r="JD20" s="291" t="str">
        <f t="shared" si="293"/>
        <v/>
      </c>
      <c r="JE20" s="456" t="str">
        <f t="shared" si="294"/>
        <v/>
      </c>
      <c r="JF20" s="496" t="str">
        <f>IF(A20=FALSE,"",IF(JA20="POEA",Cotations!BM20,IF(JA20="FIXE",Cotations!$BM$4,Cotations!$BO$4*Y20)))</f>
        <v/>
      </c>
      <c r="JG20" s="300" t="str">
        <f t="shared" si="295"/>
        <v/>
      </c>
      <c r="JH20" s="522" t="str">
        <f>IF(A20=FALSE,"",IF(Cotations!$BL$4="monthly",JG20/12*L20,JG20/365*M20))</f>
        <v/>
      </c>
      <c r="JI20" s="489" t="str">
        <f>IF(A20=FALSE,"",Cotations!$BP$4)</f>
        <v/>
      </c>
      <c r="JJ20" s="300" t="str">
        <f t="shared" si="296"/>
        <v/>
      </c>
      <c r="JK20" s="300" t="str">
        <f t="shared" si="297"/>
        <v/>
      </c>
      <c r="JL20" s="294" t="str">
        <f t="shared" si="298"/>
        <v/>
      </c>
      <c r="JM20" s="494" t="str">
        <f>IF(A20=FALSE,"",Cotations!$BQ$4)</f>
        <v/>
      </c>
      <c r="JN20" s="522" t="str">
        <f>IF(A20=FALSE,"",Cotations!$BR$4)</f>
        <v/>
      </c>
      <c r="JO20" s="489" t="str">
        <f>IF(A20=FALSE,"",Cotations!$BS$4)</f>
        <v/>
      </c>
      <c r="JP20" s="494" t="str">
        <f>IF(A20=FALSE,"",IF(JM20="N/A",0,IF(INDEX(LISTES!$F$105:$F$109,MATCH(JM20,LISTES!$C$105:$C$109,0))="FIX",IF(INDEX(LISTES!$E$105:$E$109,MATCH(JM20,LISTES!$C$105:$C$109,0))=12,JN20/12*L20,JN20/365*M20),JO20*JL20)))</f>
        <v/>
      </c>
      <c r="JQ20" s="294" t="str">
        <f t="shared" si="299"/>
        <v/>
      </c>
      <c r="JR20" s="494" t="str">
        <f>IF(A20=FALSE,"",JQ20*Cotations!$BT$4)</f>
        <v/>
      </c>
      <c r="JS20" s="494" t="str">
        <f>IF(A20=FALSE,"",JQ20*Cotations!$BU$4)</f>
        <v/>
      </c>
      <c r="JT20" s="294" t="str">
        <f t="shared" si="300"/>
        <v/>
      </c>
      <c r="JU20" s="919" t="str">
        <f>IF(A20=FALSE,"",((JG20*TAXE)-(JG20*TAXE*JI20))+IF(JM20="N/A",0,IF(INDEX(LISTES!$F$105:$F$109,MATCH(JM20,LISTES!$C$105:$C$109,0))="FIX",JN20,JO20*JL20)))</f>
        <v/>
      </c>
      <c r="KA20" s="492" t="str">
        <f>IF(A20=FALSE,"",Cotations!D20)</f>
        <v/>
      </c>
      <c r="KB20" s="491" t="str">
        <f>IF(A20=FALSE,"",IF(LISTES!$A$17=1,Cotations!BJ20,Cotations!BK20))</f>
        <v/>
      </c>
      <c r="KC20" s="285" t="str">
        <f t="shared" si="301"/>
        <v/>
      </c>
      <c r="KD20" s="300"/>
      <c r="KE20" s="461" t="str">
        <f t="shared" si="302"/>
        <v/>
      </c>
      <c r="KF20" s="490" t="str">
        <f>IF(A20=FALSE,"",IF(KA20="POEA",Cotations!BM20,IF(KA20="FIXE",Cotations!BN20,IF(Cotations!BO20*Y20&lt;50000,Z20,Cotations!BO20*Y20))))</f>
        <v/>
      </c>
      <c r="KG20" s="300" t="str">
        <f t="shared" si="303"/>
        <v/>
      </c>
      <c r="KH20" s="522" t="str">
        <f>IF(A20=FALSE,"",IF(Cotations!BL20="monthly",KG20/12*L20,KG20/365*M20))</f>
        <v/>
      </c>
      <c r="KI20" s="489" t="str">
        <f>IF(A20=FALSE,"",IF(Cotations!BP20="","",Cotations!BP20))</f>
        <v/>
      </c>
      <c r="KJ20" s="300" t="str">
        <f t="shared" si="304"/>
        <v/>
      </c>
      <c r="KK20" s="300" t="str">
        <f t="shared" si="305"/>
        <v/>
      </c>
      <c r="KL20" s="919" t="str">
        <f t="shared" si="306"/>
        <v/>
      </c>
      <c r="KM20" s="517" t="str">
        <f>IF(A20=FALSE,"",Cotations!BQ20)</f>
        <v/>
      </c>
      <c r="KN20" s="515" t="str">
        <f>IF(A20=FALSE,"",Cotations!BR20)</f>
        <v/>
      </c>
      <c r="KO20" s="493" t="str">
        <f>IF(A20=FALSE,"",Cotations!BS20)</f>
        <v/>
      </c>
      <c r="KP20" s="517" t="str">
        <f>IF(A20=FALSE,"",IF(KM20="N/A",0,IF(INDEX(LISTES!$F$105:$F$109,MATCH(KM20,LISTES!$C$105:$C$109,0))="FIX",IF(INDEX(LISTES!$E$105:$E$109,MATCH(KM20,LISTES!$C$105:$C$109,0))=12,KN20/12*L20,KN20/365*M20),KO20*KL20)))</f>
        <v/>
      </c>
      <c r="KQ20" s="294" t="str">
        <f t="shared" si="307"/>
        <v/>
      </c>
      <c r="KR20" s="494" t="str">
        <f>IF(A20=FALSE,"",KQ20*Cotations!BT20)</f>
        <v/>
      </c>
      <c r="KS20" s="494" t="str">
        <f>IF(A20=FALSE,"",KQ20*Cotations!BU20)</f>
        <v/>
      </c>
      <c r="KT20" s="338" t="str">
        <f t="shared" si="308"/>
        <v/>
      </c>
      <c r="KU20" s="919" t="str">
        <f>IF(A20=FALSE,"",((KG20*TAXE)-(KG20*TAXE*KI20))+IF(KM20="N/A",0,IF(INDEX(LISTES!$F$105:$F$109,MATCH(KM20,LISTES!$C$105:$C$109,0))="FIX",KN20,KO20*KL20)))</f>
        <v/>
      </c>
      <c r="KX20" s="422"/>
      <c r="KY20" s="422"/>
      <c r="LA20" s="497" t="str">
        <f>IF(A20=FALSE,"",Cotations!D20)</f>
        <v/>
      </c>
      <c r="LB20" s="498" t="str">
        <f>IF(A20=FALSE,"",IF(LISTES!$A$17=1,Cotations!BV20,Cotations!$BW$4))</f>
        <v/>
      </c>
      <c r="LC20" s="499" t="str">
        <f t="shared" si="309"/>
        <v/>
      </c>
      <c r="LD20" s="499" t="str">
        <f t="shared" si="310"/>
        <v/>
      </c>
      <c r="LE20" s="500" t="str">
        <f t="shared" si="311"/>
        <v/>
      </c>
      <c r="LF20" s="501" t="str">
        <f>IF(A20=FALSE,"",IF(LA20="POEA",Cotations!EJ20,IF(LA20="FIXE",Cotations!$BY$4,Cotations!$CA$4*Y20)))</f>
        <v/>
      </c>
      <c r="LG20" s="502" t="str">
        <f t="shared" si="312"/>
        <v/>
      </c>
      <c r="LH20" s="520" t="str">
        <f>IF(A20=FALSE,"",IF(Cotations!$BX$4="monthly",LG20/12*L20,LG20/365*M20))</f>
        <v/>
      </c>
      <c r="LI20" s="503" t="str">
        <f>IF(A20=FALSE,"",Cotations!$CB$4)</f>
        <v/>
      </c>
      <c r="LJ20" s="502" t="str">
        <f t="shared" si="313"/>
        <v/>
      </c>
      <c r="LK20" s="502" t="str">
        <f t="shared" si="314"/>
        <v/>
      </c>
      <c r="LL20" s="504" t="str">
        <f t="shared" si="315"/>
        <v/>
      </c>
      <c r="LM20" s="505" t="str">
        <f>IF(A20=FALSE,"",Cotations!$CC$4)</f>
        <v/>
      </c>
      <c r="LN20" s="503" t="str">
        <f>IF(A20=FALSE,"",Cotations!$CD$4)</f>
        <v/>
      </c>
      <c r="LO20" s="503" t="str">
        <f>IF(A20=FALSE,"",Cotations!$CE$4)</f>
        <v/>
      </c>
      <c r="LP20" s="505" t="str">
        <f>IF(A20=FALSE,"",IF(LM20="N/A",0,IF(INDEX(LISTES!$F$105:$F$109,MATCH(LM20,LISTES!$C$105:$C$109,0))="FIX",IF(INDEX(LISTES!$E$105:$E$109,MATCH(LM20,LISTES!$C$105:$C$109,0))=12,LN20/12*L20,LN20/365*M20),LO20*LL20)))</f>
        <v/>
      </c>
      <c r="LQ20" s="504" t="str">
        <f t="shared" si="316"/>
        <v/>
      </c>
      <c r="LR20" s="505" t="str">
        <f>IF(A20=FALSE,"",LQ20*Cotations!$CF$4)</f>
        <v/>
      </c>
      <c r="LS20" s="505" t="str">
        <f>IF(A20=FALSE,"",LQ20*Cotations!$CG$4)</f>
        <v/>
      </c>
      <c r="LT20" s="506" t="str">
        <f t="shared" si="317"/>
        <v/>
      </c>
      <c r="LU20" s="919" t="str">
        <f>IF(A20=FALSE,"",((LG20*TAXE)-(LG20*TAXE*LI20))+IF(LM20="N/A",0,IF(INDEX(LISTES!$F$105:$F$109,MATCH(LM20,LISTES!$C$105:$C$109,0))="FIX",LN20,LO20*LL20)))</f>
        <v/>
      </c>
      <c r="MA20" s="492" t="str">
        <f>IF(A20=FALSE,"",Cotations!D20)</f>
        <v/>
      </c>
      <c r="MB20" s="491" t="str">
        <f>IF(A20=FALSE,"",IF(LISTES!$A$17=1,Cotations!BV20,Cotations!BW20))</f>
        <v/>
      </c>
      <c r="MC20" s="285" t="str">
        <f t="shared" si="318"/>
        <v/>
      </c>
      <c r="MD20" s="300"/>
      <c r="ME20" s="461" t="str">
        <f t="shared" si="319"/>
        <v/>
      </c>
      <c r="MF20" s="490" t="str">
        <f>IF(A20=FALSE,"",IF(MA20="POEA",Cotations!BY20,IF(MA20="FIXE",Cotations!BZ20,IF(Cotations!CA20*Y20&lt;50000,Z20,Cotations!CA20*Y20))))</f>
        <v/>
      </c>
      <c r="MG20" s="300" t="str">
        <f t="shared" si="320"/>
        <v/>
      </c>
      <c r="MH20" s="522" t="str">
        <f>IF(A20=FALSE,"",IF(Cotations!BX20="monthly",MG20/12*L20,MG20/365*M20))</f>
        <v/>
      </c>
      <c r="MI20" s="489" t="str">
        <f>IF(A20=FALSE,"",IF(Cotations!CB20="","",Cotations!CB20))</f>
        <v/>
      </c>
      <c r="MJ20" s="300" t="str">
        <f t="shared" si="321"/>
        <v/>
      </c>
      <c r="MK20" s="300" t="str">
        <f t="shared" si="322"/>
        <v/>
      </c>
      <c r="ML20" s="919" t="str">
        <f t="shared" si="323"/>
        <v/>
      </c>
      <c r="MM20" s="517" t="str">
        <f>IF(A20=FALSE,"",Cotations!CC20)</f>
        <v/>
      </c>
      <c r="MN20" s="515" t="str">
        <f>IF(A20=FALSE,"",Cotations!CD20)</f>
        <v/>
      </c>
      <c r="MO20" s="493" t="str">
        <f>IF(A20=FALSE,"",Cotations!CE20)</f>
        <v/>
      </c>
      <c r="MP20" s="517" t="str">
        <f>IF(A20=FALSE,"",IF(MM20="N/A",0,IF(INDEX(LISTES!$F$105:$F$109,MATCH(MM20,LISTES!$C$105:$C$109,0))="FIX",IF(INDEX(LISTES!$E$105:$E$109,MATCH(MM20,LISTES!$C$105:$C$109,0))=12,MN20/12*L20,MN20/365*M20),MO20*ML20)))</f>
        <v/>
      </c>
      <c r="MQ20" s="294" t="str">
        <f t="shared" si="324"/>
        <v/>
      </c>
      <c r="MR20" s="494" t="str">
        <f>IF(A20=FALSE,"",MQ20*Cotations!CF20)</f>
        <v/>
      </c>
      <c r="MS20" s="494" t="str">
        <f>IF(A20=FALSE,"",MQ20*Cotations!CG20)</f>
        <v/>
      </c>
      <c r="MT20" s="338" t="str">
        <f t="shared" si="325"/>
        <v/>
      </c>
      <c r="MU20" s="919" t="str">
        <f>IF(A20=FALSE,"",((MG20*TAXE)-(MG20*TAXE*MI20))+IF(MM20="N/A",0,IF(INDEX(LISTES!$F$105:$F$109,MATCH(MM20,LISTES!$C$105:$C$109,0))="FIX",MN20,MO20*ML20)))</f>
        <v/>
      </c>
      <c r="NA20" s="497" t="str">
        <f>IF(A20=FALSE,"",Cotations!D20)</f>
        <v/>
      </c>
      <c r="NB20" s="498" t="str">
        <f>IF(A20=FALSE,"",IF(LISTES!$A$17=1,Cotations!CH20,Cotations!$CI$4))</f>
        <v/>
      </c>
      <c r="NC20" s="499" t="str">
        <f t="shared" si="326"/>
        <v/>
      </c>
      <c r="ND20" s="499" t="str">
        <f t="shared" si="327"/>
        <v/>
      </c>
      <c r="NE20" s="500" t="str">
        <f t="shared" si="328"/>
        <v/>
      </c>
      <c r="NF20" s="501" t="str">
        <f>IF(A20=FALSE,"",IF(NA20="POEA",Cotations!CK20,IF(NA20="FIXE",Cotations!$CK$4,Cotations!$CM$4*Y20)))</f>
        <v/>
      </c>
      <c r="NG20" s="502" t="str">
        <f t="shared" si="329"/>
        <v/>
      </c>
      <c r="NH20" s="520" t="str">
        <f>IF(A20=FALSE,"",IF(Cotations!$CJ$4="monthly",NG20/12*L20,NG20/365*M20))</f>
        <v/>
      </c>
      <c r="NI20" s="503" t="str">
        <f>IF(A20=FALSE,"",Cotations!$CN$4)</f>
        <v/>
      </c>
      <c r="NJ20" s="502" t="str">
        <f t="shared" si="330"/>
        <v/>
      </c>
      <c r="NK20" s="502" t="str">
        <f t="shared" si="331"/>
        <v/>
      </c>
      <c r="NL20" s="504" t="str">
        <f t="shared" si="332"/>
        <v/>
      </c>
      <c r="NM20" s="505" t="str">
        <f>IF(A20=FALSE,"",Cotations!$CO$4)</f>
        <v/>
      </c>
      <c r="NN20" s="520" t="str">
        <f>IF(A20=FALSE,"",Cotations!$CP$4)</f>
        <v/>
      </c>
      <c r="NO20" s="503" t="str">
        <f>IF(A20=FALSE,"",Cotations!$CQ$4)</f>
        <v/>
      </c>
      <c r="NP20" s="505" t="str">
        <f>IF(A20=FALSE,"",IF(NM20="N/A",0,IF(INDEX(LISTES!$F$105:$F$109,MATCH(NM20,LISTES!$C$105:$C$109,0))="FIX",IF(INDEX(LISTES!$E$105:$E$109,MATCH(NM20,LISTES!$C$105:$C$109,0))=12,NN20/12*L20,NN20/365*M20),NO20*NL20)))</f>
        <v/>
      </c>
      <c r="NQ20" s="504" t="str">
        <f t="shared" si="333"/>
        <v/>
      </c>
      <c r="NR20" s="505" t="str">
        <f>IF(A20=FALSE,"",NQ20*Cotations!$CR$4)</f>
        <v/>
      </c>
      <c r="NS20" s="505" t="str">
        <f>IF(A20=FALSE,"",NQ20*Cotations!$CS$4)</f>
        <v/>
      </c>
      <c r="NT20" s="506" t="str">
        <f t="shared" si="334"/>
        <v/>
      </c>
      <c r="NU20" s="919" t="str">
        <f>IF(A20=FALSE,"",((NG20*TAXE)-(NG20*TAXE*NI20))+IF(NM20="N/A",0,IF(INDEX(LISTES!$F$105:$F$109,MATCH(NM20,LISTES!$C$105:$C$109,0))="FIX",NN20,NO20*NL20)))</f>
        <v/>
      </c>
      <c r="OA20" s="492" t="str">
        <f>IF(A20=FALSE,"",Cotations!D20)</f>
        <v/>
      </c>
      <c r="OB20" s="491" t="str">
        <f>IF(A20=FALSE,"",IF(LISTES!$A$17=1,Cotations!CH20,Cotations!CI20))</f>
        <v/>
      </c>
      <c r="OC20" s="285" t="str">
        <f t="shared" si="335"/>
        <v/>
      </c>
      <c r="OD20" s="300"/>
      <c r="OE20" s="461" t="str">
        <f t="shared" si="336"/>
        <v/>
      </c>
      <c r="OF20" s="490" t="str">
        <f>IF(A20=FALSE,"",IF(OA20="POEA",Cotations!CK20,IF(OA20="FIXE",Cotations!CL20,IF(Cotations!CM20*Y20&lt;50000,Z20,Cotations!CM20*Y20))))</f>
        <v/>
      </c>
      <c r="OG20" s="300" t="str">
        <f t="shared" si="337"/>
        <v/>
      </c>
      <c r="OH20" s="522" t="str">
        <f>IF(A20=FALSE,"",IF(Cotations!CJ20="monthly",OG20/12*L20,OG20/365*M20))</f>
        <v/>
      </c>
      <c r="OI20" s="489" t="str">
        <f>IF(A20=FALSE,"",IF(Cotations!CN20="","",Cotations!CN20))</f>
        <v/>
      </c>
      <c r="OJ20" s="300" t="str">
        <f t="shared" si="338"/>
        <v/>
      </c>
      <c r="OK20" s="300" t="str">
        <f t="shared" si="339"/>
        <v/>
      </c>
      <c r="OL20" s="919" t="str">
        <f t="shared" si="340"/>
        <v/>
      </c>
      <c r="OM20" s="517" t="str">
        <f>IF(A20=FALSE,"",Cotations!CO20)</f>
        <v/>
      </c>
      <c r="ON20" s="515" t="str">
        <f>IF(A20=FALSE,"",Cotations!CP20)</f>
        <v/>
      </c>
      <c r="OO20" s="493" t="str">
        <f>IF(A20=FALSE,"",Cotations!CQ20)</f>
        <v/>
      </c>
      <c r="OP20" s="517" t="str">
        <f>IF(A20=FALSE,"",IF(OM20="N/A",0,IF(INDEX(LISTES!$F$105:$F$109,MATCH(OM20,LISTES!$C$105:$C$109,0))="FIX",IF(INDEX(LISTES!$E$105:$E$109,MATCH(OM20,LISTES!$C$105:$C$109,0))=12,ON20/12*L20,ON20/365*M20),OO20*OL20)))</f>
        <v/>
      </c>
      <c r="OQ20" s="294" t="str">
        <f t="shared" si="341"/>
        <v/>
      </c>
      <c r="OR20" s="494" t="str">
        <f>IF(A20=FALSE,"",OQ20*Cotations!CR20)</f>
        <v/>
      </c>
      <c r="OS20" s="494" t="str">
        <f>IF(A20=FALSE,"",OQ20*Cotations!CS20)</f>
        <v/>
      </c>
      <c r="OT20" s="338" t="str">
        <f t="shared" si="342"/>
        <v/>
      </c>
      <c r="OU20" s="919" t="str">
        <f>IF(A20=FALSE,"",((OG20*TAXE)-(OG20*TAXE*OI20))+IF(OM20="N/A",0,IF(INDEX(LISTES!$F$105:$F$109,MATCH(OM20,LISTES!$C$105:$C$109,0))="FIX",ON20,OO20*OL20)))</f>
        <v/>
      </c>
      <c r="PA20" s="497" t="str">
        <f t="shared" si="343"/>
        <v/>
      </c>
      <c r="PB20" s="498" t="str">
        <f>IF(A20=FALSE,"",IF(LISTES!$A$17=1,Cotations!CT20,Cotations!$CU$4))</f>
        <v/>
      </c>
      <c r="PC20" s="499" t="str">
        <f t="shared" si="344"/>
        <v/>
      </c>
      <c r="PD20" s="499" t="str">
        <f t="shared" si="345"/>
        <v/>
      </c>
      <c r="PE20" s="500" t="str">
        <f t="shared" si="346"/>
        <v/>
      </c>
      <c r="PF20" s="501" t="str">
        <f>IF(A20=FALSE,"",Cotations!$CY$4*Y20)</f>
        <v/>
      </c>
      <c r="PG20" s="502" t="str">
        <f t="shared" si="347"/>
        <v/>
      </c>
      <c r="PH20" s="520" t="str">
        <f>IF(A20=FALSE,"",IF(Cotations!$CV$4="monthly",PG20/12*L20,PG20/365*M20))</f>
        <v/>
      </c>
      <c r="PI20" s="503" t="str">
        <f>IF(A20=FALSE,"",Cotations!$CZ$4)</f>
        <v/>
      </c>
      <c r="PJ20" s="502" t="str">
        <f t="shared" si="348"/>
        <v/>
      </c>
      <c r="PK20" s="502" t="str">
        <f t="shared" si="349"/>
        <v/>
      </c>
      <c r="PL20" s="504" t="str">
        <f t="shared" si="350"/>
        <v/>
      </c>
      <c r="PM20" s="505" t="str">
        <f>IF(A20=FALSE,"",Cotations!$DA$4)</f>
        <v/>
      </c>
      <c r="PN20" s="520" t="str">
        <f>IF(A20=FALSE,"",Cotations!$DB$4)</f>
        <v/>
      </c>
      <c r="PO20" s="503" t="str">
        <f>IF(A20=FALSE,"",Cotations!$DC$4)</f>
        <v/>
      </c>
      <c r="PP20" s="505" t="str">
        <f>IF(A20=FALSE,"",IF(PM20="N/A",0,IF(INDEX(LISTES!$F$105:$F$109,MATCH(PM20,LISTES!$C$105:$C$109,0))="FIX",IF(INDEX(LISTES!$E$105:$E$109,MATCH(PM20,LISTES!$C$105:$C$109,0))=12,PN20/12*L20,PN20/365*M20),PO20*PL20)))</f>
        <v/>
      </c>
      <c r="PQ20" s="504" t="str">
        <f t="shared" si="351"/>
        <v/>
      </c>
      <c r="PR20" s="505" t="str">
        <f>IF(A20=FALSE,"",PQ20*Cotations!$DD$4)</f>
        <v/>
      </c>
      <c r="PS20" s="505" t="str">
        <f>IF(A20=FALSE,"",PQ20*Cotations!$DE$4)</f>
        <v/>
      </c>
      <c r="PT20" s="506" t="str">
        <f t="shared" si="352"/>
        <v/>
      </c>
      <c r="PU20" s="919" t="str">
        <f>IF(A20=FALSE,"",((PG20*TAXE)-(PG20*TAXE*PI20))+IF(PM20="N/A",0,IF(INDEX(LISTES!$F$105:$F$109,MATCH(PM20,LISTES!$C$105:$C$109,0))="FIX",PN20,PO20*PL20)))</f>
        <v/>
      </c>
      <c r="QA20" s="492" t="str">
        <f t="shared" si="353"/>
        <v/>
      </c>
      <c r="QB20" s="491" t="str">
        <f>IF(A20=FALSE,"",IF(LISTES!$A$17=1,Cotations!CT20,Cotations!CU20))</f>
        <v/>
      </c>
      <c r="QC20" s="285" t="str">
        <f t="shared" si="354"/>
        <v/>
      </c>
      <c r="QD20" s="300"/>
      <c r="QE20" s="461" t="str">
        <f t="shared" si="355"/>
        <v/>
      </c>
      <c r="QF20" s="490" t="str">
        <f>IF(A20=FALSE,"",Cotations!CY20*AA20)</f>
        <v/>
      </c>
      <c r="QG20" s="300" t="str">
        <f t="shared" si="356"/>
        <v/>
      </c>
      <c r="QH20" s="522" t="str">
        <f>IF(A20=FALSE,"",IF(Cotations!CV20="monthly",QG20/12*L20,QG20/365*M20))</f>
        <v/>
      </c>
      <c r="QI20" s="489" t="str">
        <f>IF(A20=FALSE,"",IF(Cotations!CZ20="","",Cotations!CZ20))</f>
        <v/>
      </c>
      <c r="QJ20" s="300" t="str">
        <f t="shared" si="357"/>
        <v/>
      </c>
      <c r="QK20" s="300" t="str">
        <f t="shared" si="358"/>
        <v/>
      </c>
      <c r="QL20" s="919" t="str">
        <f t="shared" si="359"/>
        <v/>
      </c>
      <c r="QM20" s="517" t="str">
        <f>IF(A20=FALSE,"",Cotations!DA20)</f>
        <v/>
      </c>
      <c r="QN20" s="515" t="str">
        <f>IF(A20=FALSE,"",Cotations!DB20)</f>
        <v/>
      </c>
      <c r="QO20" s="493" t="str">
        <f>IF(A20=FALSE,"",Cotations!DC20)</f>
        <v/>
      </c>
      <c r="QP20" s="517" t="str">
        <f>IF(A20=FALSE,"",IF(QM20="N/A",0,IF(INDEX(LISTES!$F$105:$F$109,MATCH(QM20,LISTES!$C$105:$C$109,0))="FIX",IF(INDEX(LISTES!$E$105:$E$109,MATCH(QM20,LISTES!$C$105:$C$109,0))=12,QN20/12*L20,QN20/365*M20),QO20*QL20)))</f>
        <v/>
      </c>
      <c r="QQ20" s="294" t="str">
        <f t="shared" si="360"/>
        <v/>
      </c>
      <c r="QR20" s="494" t="str">
        <f>IF(A20=FALSE,"",QQ20*Cotations!DD20)</f>
        <v/>
      </c>
      <c r="QS20" s="494" t="str">
        <f>IF(A20=FALSE,"",QQ20*Cotations!DE20)</f>
        <v/>
      </c>
      <c r="QT20" s="338" t="str">
        <f t="shared" si="361"/>
        <v/>
      </c>
      <c r="QU20" s="919" t="str">
        <f>IF(A20=FALSE,"",((QG20*TAXE)-(QG20*TAXE*QI20))+IF(QM20="N/A",0,IF(INDEX(LISTES!$F$105:$F$109,MATCH(QM20,LISTES!$C$105:$C$109,0))="FIX",QN20,QO20*QL20)))</f>
        <v/>
      </c>
      <c r="RA20" s="497" t="str">
        <f t="shared" si="362"/>
        <v/>
      </c>
      <c r="RB20" s="498" t="str">
        <f>IF(A20=FALSE,"",IF(LISTES!$A$17=1,Cotations!DF20,Cotations!$DG$4))</f>
        <v/>
      </c>
      <c r="RC20" s="499" t="str">
        <f t="shared" si="363"/>
        <v/>
      </c>
      <c r="RD20" s="499" t="str">
        <f t="shared" si="364"/>
        <v/>
      </c>
      <c r="RE20" s="500" t="str">
        <f t="shared" si="365"/>
        <v/>
      </c>
      <c r="RF20" s="501" t="str">
        <f>IF(A20=FALSE,"",Cotations!$DK$4*Y20)</f>
        <v/>
      </c>
      <c r="RG20" s="502" t="str">
        <f t="shared" si="366"/>
        <v/>
      </c>
      <c r="RH20" s="520" t="str">
        <f>IF(A20=FALSE,"",IF(Cotations!$DH$4="monthly",RG20/12*L20,RG20/365*M20))</f>
        <v/>
      </c>
      <c r="RI20" s="503" t="str">
        <f>IF(A20=FALSE,"",Cotations!$DL$4)</f>
        <v/>
      </c>
      <c r="RJ20" s="502" t="str">
        <f t="shared" si="367"/>
        <v/>
      </c>
      <c r="RK20" s="502" t="str">
        <f t="shared" si="368"/>
        <v/>
      </c>
      <c r="RL20" s="504" t="str">
        <f t="shared" si="369"/>
        <v/>
      </c>
      <c r="RM20" s="505" t="str">
        <f>IF(A20=FALSE,"",Cotations!$DM$4)</f>
        <v/>
      </c>
      <c r="RN20" s="520" t="str">
        <f>IF(A20=FALSE,"",Cotations!$DN$4)</f>
        <v/>
      </c>
      <c r="RO20" s="503" t="str">
        <f>IF(A20=FALSE,"",Cotations!$DO$4)</f>
        <v/>
      </c>
      <c r="RP20" s="505" t="str">
        <f>IF(A20=FALSE,"",IF(RM20="N/A",0,IF(INDEX(LISTES!$F$105:$F$109,MATCH(RM20,LISTES!$C$105:$C$109,0))="FIX",IF(INDEX(LISTES!$E$105:$E$109,MATCH(RM20,LISTES!$C$105:$C$109,0))=12,RN20/12*L20,RN20/365*M20),RO20*RL20)))</f>
        <v/>
      </c>
      <c r="RQ20" s="504" t="str">
        <f t="shared" si="370"/>
        <v/>
      </c>
      <c r="RR20" s="505" t="str">
        <f>IF(A20=FALSE,"",RQ20*Cotations!$DP$4)</f>
        <v/>
      </c>
      <c r="RS20" s="505" t="str">
        <f>IF(A20=FALSE,"",RQ20*Cotations!$DQ$4)</f>
        <v/>
      </c>
      <c r="RT20" s="506" t="str">
        <f t="shared" si="371"/>
        <v/>
      </c>
      <c r="RU20" s="919" t="str">
        <f>IF(A20=FALSE,"",((RG20*TAXE)-(RG20*TAXE*RI20))+IF(RM20="N/A",0,IF(INDEX(LISTES!$F$105:$F$109,MATCH(RM20,LISTES!$C$105:$C$109,0))="FIX",RN20,RO20*RL20)))</f>
        <v/>
      </c>
      <c r="SA20" s="492" t="str">
        <f t="shared" si="372"/>
        <v/>
      </c>
      <c r="SB20" s="491" t="str">
        <f>IF(A20=FALSE,"",IF(LISTES!$A$17=1,Cotations!DF20,Cotations!DG20))</f>
        <v/>
      </c>
      <c r="SC20" s="285" t="str">
        <f t="shared" si="373"/>
        <v/>
      </c>
      <c r="SD20" s="300"/>
      <c r="SE20" s="461" t="str">
        <f t="shared" si="374"/>
        <v/>
      </c>
      <c r="SF20" s="490" t="str">
        <f>IF(A20=FALSE,"",Cotations!DK20*AA20)</f>
        <v/>
      </c>
      <c r="SG20" s="300" t="str">
        <f t="shared" si="375"/>
        <v/>
      </c>
      <c r="SH20" s="522" t="str">
        <f>IF(A20=FALSE,"",IF(Cotations!DH20="monthly",SG20/12*L20,SG20/365*M20))</f>
        <v/>
      </c>
      <c r="SI20" s="489" t="str">
        <f>IF(A20=FALSE,"",IF(Cotations!DL20="","",Cotations!DL20))</f>
        <v/>
      </c>
      <c r="SJ20" s="300" t="str">
        <f t="shared" si="376"/>
        <v/>
      </c>
      <c r="SK20" s="300" t="str">
        <f t="shared" si="377"/>
        <v/>
      </c>
      <c r="SL20" s="919" t="str">
        <f t="shared" si="378"/>
        <v/>
      </c>
      <c r="SM20" s="285" t="str">
        <f>IF(A20=FALSE,"",Cotations!DM20)</f>
        <v/>
      </c>
      <c r="SN20" s="515" t="str">
        <f>IF(A20=FALSE,"",Cotations!DN20)</f>
        <v/>
      </c>
      <c r="SO20" s="493" t="str">
        <f>IF(A20=FALSE,"",Cotations!DO20)</f>
        <v/>
      </c>
      <c r="SP20" s="517" t="str">
        <f>IF(A20=FALSE,"",IF(SM20="N/A",0,IF(INDEX(LISTES!$F$105:$F$109,MATCH(SM20,LISTES!$C$105:$C$109,0))="FIX",IF(INDEX(LISTES!$E$105:$E$109,MATCH(SM20,LISTES!$C$105:$C$109,0))=12,SN20/12*L20,SN20/365*M20),SO20*SL20)))</f>
        <v/>
      </c>
      <c r="SQ20" s="294" t="str">
        <f t="shared" si="379"/>
        <v/>
      </c>
      <c r="SR20" s="494" t="str">
        <f>IF(A20=FALSE,"",SQ20*Cotations!DP20)</f>
        <v/>
      </c>
      <c r="SS20" s="494" t="str">
        <f>IF(A20=FALSE,"",SQ20*Cotations!DQ20)</f>
        <v/>
      </c>
      <c r="ST20" s="338" t="str">
        <f t="shared" si="380"/>
        <v/>
      </c>
      <c r="SU20" s="919" t="str">
        <f>IF(A20=FALSE,"",((SG20*TAXE)-(SG20*TAXE*SI20))+IF(SM20="N/A",0,IF(INDEX(LISTES!$F$105:$F$109,MATCH(SM20,LISTES!$C$105:$C$109,0))="FIX",SN20,SO20*SL20)))</f>
        <v/>
      </c>
      <c r="SY20" s="716"/>
      <c r="TA20" s="492" t="str">
        <f>IF(A20=FALSE,"",Cotations!D20)</f>
        <v/>
      </c>
      <c r="TB20" s="491" t="str">
        <f>IF(A20=FALSE,"",IF(LISTES!$A$17=1,Cotations!DR20,Cotations!DS20))</f>
        <v/>
      </c>
      <c r="TC20" s="285" t="str">
        <f t="shared" si="381"/>
        <v/>
      </c>
      <c r="TD20" s="300" t="str">
        <f>IF(A20=FALSE,"",Detail!CQ20)</f>
        <v/>
      </c>
      <c r="TE20" s="461" t="str">
        <f t="shared" si="382"/>
        <v/>
      </c>
      <c r="TF20" s="490" t="str">
        <f>IF(A20=FALSE,"",IF(TA20="FIXE",Cotations!DU20,Cotations!DV20*Y20))</f>
        <v/>
      </c>
      <c r="TG20" s="300" t="str">
        <f t="shared" si="383"/>
        <v/>
      </c>
      <c r="TH20" s="522" t="str">
        <f>IF(A20=FALSE,"",IF(Cotations!DT20="monthly",TG20/12*L20,TG20/365*M20))</f>
        <v/>
      </c>
      <c r="TI20" s="489" t="str">
        <f>IF(A20=FALSE,"",IF(Cotations!DW20="","",Cotations!DW20))</f>
        <v/>
      </c>
      <c r="TJ20" s="300" t="str">
        <f t="shared" si="384"/>
        <v/>
      </c>
      <c r="TK20" s="300" t="str">
        <f t="shared" si="385"/>
        <v/>
      </c>
      <c r="TL20" s="919" t="str">
        <f t="shared" si="386"/>
        <v/>
      </c>
      <c r="TM20" s="517" t="str">
        <f>IF(A20=FALSE,"",Cotations!DX20)</f>
        <v/>
      </c>
      <c r="TN20" s="517" t="str">
        <f>IF(A20=FALSE,"",Cotations!DY20)</f>
        <v/>
      </c>
      <c r="TO20" s="493" t="str">
        <f>IF(A20=FALSE,"",Cotations!DZ20)</f>
        <v/>
      </c>
      <c r="TP20" s="517" t="str">
        <f>IF(A20=FALSE,"",IF(TM20="N/A",0,IF(INDEX(LISTES!$F$105:$F$109,MATCH(TM20,LISTES!$C$105:$C$109,0))="FIX",IF(INDEX(LISTES!$E$105:$E$109,MATCH(TM20,LISTES!$C$105:$C$109,0))=12,TN20/12*L20,TN20/365*M20),TO20*TL20)))</f>
        <v/>
      </c>
      <c r="TQ20" s="294" t="str">
        <f t="shared" si="387"/>
        <v/>
      </c>
      <c r="TR20" s="494" t="str">
        <f>IF(A20=FALSE,"",TQ20*Cotations!EA20)</f>
        <v/>
      </c>
      <c r="TS20" s="494" t="str">
        <f>IF(A20=FALSE,"",TQ20*Cotations!EB20)</f>
        <v/>
      </c>
      <c r="TT20" s="338" t="str">
        <f t="shared" si="388"/>
        <v/>
      </c>
      <c r="TU20" s="919" t="str">
        <f>IF(A20=FALSE,"",((TG20*(1+TAXE)-(TG20*(1+TAXE)*TI20))+IF(TM20="N/A",0,IF(INDEX(LISTES!$F$105:$F$109,MATCH(TM20,LISTES!$C$105:$C$109,0))="FIX",TN20,TO20*TL20))))</f>
        <v/>
      </c>
      <c r="UA20" s="492" t="str">
        <f>IF(A20=FALSE,"",Cotations!D20)</f>
        <v/>
      </c>
      <c r="UB20" s="491" t="str">
        <f>IF(A20=FALSE,"",IF(LISTES!$A$17=1,Cotations!EC20,Cotations!ED20))</f>
        <v/>
      </c>
      <c r="UC20" s="285" t="str">
        <f t="shared" si="389"/>
        <v/>
      </c>
      <c r="UD20" s="300" t="str">
        <f>IF(A20=FALSE,"",Detail!CY20)</f>
        <v/>
      </c>
      <c r="UE20" s="461" t="str">
        <f t="shared" si="390"/>
        <v/>
      </c>
      <c r="UF20" s="490" t="str">
        <f>IF(A20=FALSE,"",IF(UA20="FIXE",Cotations!EF20,Cotations!EG20*Y20))</f>
        <v/>
      </c>
      <c r="UG20" s="300" t="str">
        <f t="shared" si="391"/>
        <v/>
      </c>
      <c r="UH20" s="522" t="str">
        <f>IF(A20=FALSE,"",IF(Cotations!EE20="monthly",UG20/12*L20,UG20/365*M20))</f>
        <v/>
      </c>
      <c r="UI20" s="489" t="str">
        <f>IF(A20=FALSE,"",IF(Cotations!EH20="","",Cotations!EH20))</f>
        <v/>
      </c>
      <c r="UJ20" s="300" t="str">
        <f t="shared" si="392"/>
        <v/>
      </c>
      <c r="UK20" s="300" t="str">
        <f t="shared" si="393"/>
        <v/>
      </c>
      <c r="UL20" s="919" t="str">
        <f t="shared" si="394"/>
        <v/>
      </c>
      <c r="UM20" s="517" t="str">
        <f>IF(A20=FALSE,"",Cotations!EI20)</f>
        <v/>
      </c>
      <c r="UN20" s="517" t="str">
        <f>IF(A20=FALSE,"",Cotations!EJ20)</f>
        <v/>
      </c>
      <c r="UO20" s="493" t="str">
        <f>IF(A20=FALSE,"",Cotations!EK20)</f>
        <v/>
      </c>
      <c r="UP20" s="517" t="str">
        <f>IF(A20=FALSE,"",IF(UM20="N/A",0,IF(INDEX(LISTES!$F$105:$F$109,MATCH(UM20,LISTES!$C$105:$C$109,0))="FIX",IF(INDEX(LISTES!$E$105:$E$109,MATCH(UM20,LISTES!$C$105:$C$109,0))=12,UN20/12*L20,UN20/365*M20),UO20*UL20)))</f>
        <v/>
      </c>
      <c r="UQ20" s="294" t="str">
        <f t="shared" si="395"/>
        <v/>
      </c>
      <c r="UR20" s="494" t="str">
        <f>IF(A20=FALSE,"",UQ20*Cotations!EL20)</f>
        <v/>
      </c>
      <c r="US20" s="494" t="str">
        <f>IF(A20=FALSE,"",UQ20*Cotations!EM20)</f>
        <v/>
      </c>
      <c r="UT20" s="338" t="str">
        <f t="shared" si="396"/>
        <v/>
      </c>
      <c r="UU20" s="919" t="str">
        <f>IF(A20=FALSE,"",((UG20*(1+TAXE)-(UG20*(1+TAXE)*UI20))+IF(UM20="N/A",0,IF(INDEX(LISTES!$F$105:$F$109,MATCH(UM20,LISTES!$C$105:$C$109,0))="FIX",UN20,UO20*UL20))))</f>
        <v/>
      </c>
      <c r="VA20" s="492" t="str">
        <f>IF(A20=FALSE,"",Cotations!D20)</f>
        <v/>
      </c>
      <c r="VB20" s="519" t="str">
        <f>IF(A20=FALSE,"",IF(LISTES!$A$17=1,Cotations!EN20,Cotations!EO20))</f>
        <v/>
      </c>
      <c r="VC20" s="291" t="str">
        <f t="shared" si="397"/>
        <v/>
      </c>
      <c r="VD20" s="291" t="str">
        <f t="shared" si="398"/>
        <v/>
      </c>
      <c r="VE20" s="291"/>
      <c r="VF20" s="463"/>
      <c r="VG20" s="463" t="str">
        <f t="shared" si="399"/>
        <v/>
      </c>
      <c r="VH20" s="522" t="str">
        <f>IF(A20=FALSE,"",IF(Cotations!$AQ$4="monthly",VG20/12*L20,VG20/365*M20))</f>
        <v/>
      </c>
      <c r="VI20" s="489" t="str">
        <f>IF(A20=FALSE,"",Cotations!$AR$4)</f>
        <v/>
      </c>
      <c r="VJ20" s="300" t="str">
        <f t="shared" si="400"/>
        <v/>
      </c>
      <c r="VK20" s="300" t="str">
        <f t="shared" si="401"/>
        <v/>
      </c>
      <c r="VL20" s="294" t="str">
        <f t="shared" si="402"/>
        <v/>
      </c>
      <c r="VM20" s="494" t="str">
        <f>IF(A20=FALSE,"",Cotations!$AS$4)</f>
        <v/>
      </c>
      <c r="VN20" s="494" t="str">
        <f>IF(A20=FALSE,"",Cotations!$AT$4)</f>
        <v/>
      </c>
      <c r="VO20" s="489" t="str">
        <f>IF(A20=FALSE,"",Cotations!$AU$4)</f>
        <v/>
      </c>
      <c r="VP20" s="494" t="str">
        <f>IF(A20=FALSE,"",IF(VM20="N/A",0,IF(INDEX(LISTES!$F$105:$F$109,MATCH(VM20,LISTES!$C$105:$C$109,0))="FIX",IF(INDEX(LISTES!$E$105:$E$109,MATCH(VM20,LISTES!$C$105:$C$109,0))=12,VN20/12*L20,VN20/365*M20),VO20*VL20)))</f>
        <v/>
      </c>
      <c r="VQ20" s="294" t="str">
        <f t="shared" si="403"/>
        <v/>
      </c>
      <c r="VR20" s="494" t="str">
        <f>IF(A20=FALSE,"",VQ20*Cotations!$AV$4)</f>
        <v/>
      </c>
      <c r="VS20" s="494" t="str">
        <f>IF(A20=FALSE,"",VQ20*Cotations!$AW$4)</f>
        <v/>
      </c>
      <c r="VT20" s="465" t="str">
        <f t="shared" si="404"/>
        <v/>
      </c>
      <c r="VU20" s="919" t="str">
        <f>IF(A20=FALSE,"",((VG20*TAXE)-(VG20*TAXE*VI20))+IF(VM20="N/A",0,IF(INDEX(LISTES!$F$105:$F$109,MATCH(VM20,LISTES!$C$105:$C$109,0))="FIX",VN20,VO20*VL20)))</f>
        <v/>
      </c>
      <c r="WA20" s="492" t="str">
        <f>IF(A20=FALSE,"",Cotations!D20)</f>
        <v/>
      </c>
      <c r="WB20" s="519" t="str">
        <f>IF(A20=FALSE,"",IF(LISTES!$A$17=1,Cotations!EW20,Cotations!EX20))</f>
        <v/>
      </c>
      <c r="WC20" s="291" t="str">
        <f t="shared" si="405"/>
        <v/>
      </c>
      <c r="WD20" s="291" t="str">
        <f t="shared" si="406"/>
        <v/>
      </c>
      <c r="WE20" s="291"/>
      <c r="WF20" s="463"/>
      <c r="WG20" s="463" t="str">
        <f t="shared" si="407"/>
        <v/>
      </c>
      <c r="WH20" s="522" t="str">
        <f>IF(A20=FALSE,"",IF(Cotations!$AQ$4="monthly",WG20/12*L20,WG20/365*M20))</f>
        <v/>
      </c>
      <c r="WI20" s="489" t="str">
        <f>IF(A20=FALSE,"",Cotations!$AR$4)</f>
        <v/>
      </c>
      <c r="WJ20" s="300" t="str">
        <f t="shared" si="408"/>
        <v/>
      </c>
      <c r="WK20" s="300" t="str">
        <f t="shared" si="409"/>
        <v/>
      </c>
      <c r="WL20" s="294" t="str">
        <f t="shared" si="410"/>
        <v/>
      </c>
      <c r="WM20" s="494" t="str">
        <f>IF(A20=FALSE,"",Cotations!$AS$4)</f>
        <v/>
      </c>
      <c r="WN20" s="494" t="str">
        <f>IF(A20=FALSE,"",Cotations!$AT$4)</f>
        <v/>
      </c>
      <c r="WO20" s="489" t="str">
        <f>IF(A20=FALSE,"",Cotations!$AU$4)</f>
        <v/>
      </c>
      <c r="WP20" s="494" t="str">
        <f>IF(A20=FALSE,"",IF(WM20="N/A",0,IF(INDEX(LISTES!$F$105:$F$109,MATCH(WM20,LISTES!$C$105:$C$109,0))="FIX",IF(INDEX(LISTES!$E$105:$E$109,MATCH(WM20,LISTES!$C$105:$C$109,0))=12,WN20/12*L20,WN20/365*M20),WO20*WL20)))</f>
        <v/>
      </c>
      <c r="WQ20" s="294" t="str">
        <f t="shared" si="411"/>
        <v/>
      </c>
      <c r="WR20" s="494" t="str">
        <f>IF(A20=FALSE,"",WQ20*Cotations!$AV$4)</f>
        <v/>
      </c>
      <c r="WS20" s="494" t="str">
        <f>IF(A20=FALSE,"",WQ20*Cotations!$AW$4)</f>
        <v/>
      </c>
      <c r="WT20" s="465" t="str">
        <f t="shared" si="412"/>
        <v/>
      </c>
      <c r="WU20" s="919" t="str">
        <f>IF(A20=FALSE,"",((WG20*TAXE)-(WG20*TAXE*WI20))+IF(WM20="N/A",0,IF(INDEX(LISTES!$F$105:$F$109,MATCH(WM20,LISTES!$C$105:$C$109,0))="FIX",WN20,WO20*WL20)))</f>
        <v/>
      </c>
    </row>
    <row r="21" spans="1:619" s="296" customFormat="1">
      <c r="A21" s="942" t="b">
        <f t="shared" si="221"/>
        <v>0</v>
      </c>
      <c r="B21" s="942" t="b">
        <f>IF(NAMES!$B$9=TRUE,TRUE,FALSE)</f>
        <v>1</v>
      </c>
      <c r="C21" s="942" t="b">
        <f t="shared" si="413"/>
        <v>0</v>
      </c>
      <c r="D21" s="942" t="b">
        <f t="shared" si="414"/>
        <v>1</v>
      </c>
      <c r="E21" s="274" t="b">
        <f>IF(Cotations!C21="","",Cotations!C21)</f>
        <v>0</v>
      </c>
      <c r="F21" s="274" t="str">
        <f>IF(Cotations!D21="","",Cotations!D21)</f>
        <v>PROP</v>
      </c>
      <c r="G21" s="274" t="str">
        <f>IF(Cotations!E21="","",Cotations!E21)</f>
        <v>2015-2016!</v>
      </c>
      <c r="H21" s="274" t="str">
        <f>IF(Cotations!F21="","",Cotations!F21)</f>
        <v>SINGLE</v>
      </c>
      <c r="I21" s="274" t="str">
        <f>IF(Cotations!G21="","",Cotations!G21)</f>
        <v/>
      </c>
      <c r="J21" s="274" t="str">
        <f>IF(Cotations!H21="","",Cotations!H21)</f>
        <v/>
      </c>
      <c r="K21" s="274" t="str">
        <f>IF(Cotations!I21="","",Cotations!I21)</f>
        <v/>
      </c>
      <c r="L21" s="274" t="str">
        <f>IF(A21=FALSE,"",IF(Cotations!N21="","",Cotations!N21))</f>
        <v/>
      </c>
      <c r="M21" s="274" t="str">
        <f>IF(Cotations!P21="","",Cotations!P21)</f>
        <v/>
      </c>
      <c r="N21" s="724">
        <f>IF(NAMES!$B$10=TRUE,Cotations!J21,Cotations!L21)</f>
        <v>42320</v>
      </c>
      <c r="O21" s="724">
        <f>IF(NAMES!$B$10=TRUE,Cotations!K21,Cotations!M21)</f>
        <v>42685</v>
      </c>
      <c r="P21" s="943" t="str">
        <f t="shared" si="415"/>
        <v>novembre</v>
      </c>
      <c r="Q21" s="724" t="str">
        <f>IF(A21=FALSE,"",IF(Crewlist!Y21="","",Crewlist!Y21))</f>
        <v/>
      </c>
      <c r="R21" s="78" t="str">
        <f>IF(Cotations!U21="","",Cotations!U21)</f>
        <v/>
      </c>
      <c r="S21" s="943" t="str">
        <f t="shared" si="416"/>
        <v/>
      </c>
      <c r="T21" s="919" t="str">
        <f>IF(A21=FALSE,"",VLOOKUP($U$15:$U$120,Currency!$A$2:$D$10,4,0)*Crewlist!N21)</f>
        <v/>
      </c>
      <c r="U21" s="1355" t="str">
        <f>IF(A21=FALSE,"",IF(IT21=0,Crewlist!M21&amp;"/"&amp;EX21,Crewlist!M21&amp;"/"&amp;IT21))</f>
        <v/>
      </c>
      <c r="V21" s="919" t="str">
        <f>IF(A21=FALSE,"",VLOOKUP($U$15:$U$120,Currency!$A$2:$D$10,4,0)*Detail!Q21)</f>
        <v/>
      </c>
      <c r="W21" s="1355" t="str">
        <f>IF(A21=FALSE,"",IF(IT21=0,Detail!R21&amp;"/"&amp;EX21,Detail!R21&amp;"/"&amp;IT21))</f>
        <v/>
      </c>
      <c r="X21" s="919" t="str">
        <f>IF(A21=FALSE,"",IF(LISTES!$C$17="Crewlist",Calcul!T21,Calcul!V21))</f>
        <v/>
      </c>
      <c r="Y21" s="758" t="str">
        <f t="shared" si="417"/>
        <v/>
      </c>
      <c r="Z21" s="758" t="str">
        <f>IF(A21=FALSE,"",IF(X21=0,0,IF((Cotations!BC21*12*X21)&lt;50000,50000,(12*X21))))</f>
        <v/>
      </c>
      <c r="AA21" s="758" t="str">
        <f t="shared" si="418"/>
        <v/>
      </c>
      <c r="AB21" s="758" t="str">
        <f>IF(A21=FALSE,"",IF(Crewlist!O21=0,"",Crewlist!O21))</f>
        <v/>
      </c>
      <c r="AC21" s="758" t="str">
        <f>IF(I21="","",VLOOKUP($AB$15:$AB$120,Currency!$A$15:$B$34,2,0))</f>
        <v/>
      </c>
      <c r="AD21" s="758" t="str">
        <f t="shared" si="419"/>
        <v/>
      </c>
      <c r="AE21" s="758" t="str">
        <f t="shared" si="420"/>
        <v/>
      </c>
      <c r="AF21" s="758" t="str">
        <f t="shared" si="421"/>
        <v/>
      </c>
      <c r="AG21" s="758" t="str">
        <f t="shared" si="422"/>
        <v/>
      </c>
      <c r="AH21" s="1355" t="str">
        <f t="shared" si="222"/>
        <v/>
      </c>
      <c r="AI21" s="919" t="str">
        <f t="shared" si="423"/>
        <v/>
      </c>
      <c r="AJ21" s="1382" t="str">
        <f t="shared" si="424"/>
        <v/>
      </c>
      <c r="AK21" s="1382" t="str">
        <f t="shared" si="425"/>
        <v/>
      </c>
      <c r="AL21" s="238" t="str">
        <f t="shared" si="223"/>
        <v/>
      </c>
      <c r="AM21" s="238" t="str">
        <f t="shared" si="224"/>
        <v/>
      </c>
      <c r="AN21" s="1374" t="str">
        <f t="shared" si="225"/>
        <v/>
      </c>
      <c r="AO21" s="238" t="str">
        <f t="shared" si="226"/>
        <v/>
      </c>
      <c r="AP21" s="342" t="str">
        <f>IF(A21=FALSE,"",INDEX(Rates!$Z$5:$Z$367,MATCH(EB21,colchoice,0)))</f>
        <v/>
      </c>
      <c r="AQ21" s="238" t="str">
        <f t="shared" si="227"/>
        <v/>
      </c>
      <c r="AR21" s="238" t="str">
        <f t="shared" si="426"/>
        <v/>
      </c>
      <c r="AS21" s="238" t="str">
        <f t="shared" si="427"/>
        <v/>
      </c>
      <c r="AT21" s="238" t="str">
        <f t="shared" si="428"/>
        <v/>
      </c>
      <c r="AU21" s="238" t="str">
        <f t="shared" si="228"/>
        <v/>
      </c>
      <c r="AV21" s="238" t="str">
        <f t="shared" si="429"/>
        <v/>
      </c>
      <c r="AW21" s="238" t="str">
        <f t="shared" si="229"/>
        <v/>
      </c>
      <c r="AX21" s="238" t="str">
        <f t="shared" si="230"/>
        <v/>
      </c>
      <c r="AY21" s="238" t="str">
        <f t="shared" si="231"/>
        <v/>
      </c>
      <c r="AZ21" s="238" t="str">
        <f t="shared" si="232"/>
        <v/>
      </c>
      <c r="BA21" s="238" t="str">
        <f t="shared" si="233"/>
        <v/>
      </c>
      <c r="BB21" s="552" t="str">
        <f t="shared" si="234"/>
        <v/>
      </c>
      <c r="BC21" s="347" t="str">
        <f t="shared" si="235"/>
        <v/>
      </c>
      <c r="BD21" s="239" t="str">
        <f t="shared" si="430"/>
        <v/>
      </c>
      <c r="BE21" s="239" t="str">
        <f>IF(A21=FALSE,"",IF(ALLTHESAME=TRUE,IF(DF21&lt;&gt;$BC$7,0,INDEX(DD21:DZ21,1,MATCH(Structure!$D$12,$DD$14:$DZ$14,0))),IF(EC21&lt;&gt;$BC$7,0,INDEX(EA21:EZ21,1,MATCH(Structure!$D$12,$EA$14:$EZ$14,0)))))</f>
        <v/>
      </c>
      <c r="BF21" s="239" t="str">
        <f>IF(A21=FALSE,"",IF(ALLTHESAME=TRUE,IF(FC21&lt;&gt;$BC$7,0,INDEX(FA21:FZ21,1,MATCH(Structure!$D$12,$FA$14:$FZ$14,0))),IF(GC21&lt;&gt;$BC$7,0,INDEX(GA21:GZ21,1,MATCH(Structure!$D$12,$GA$14:$GZ$14,0)))))</f>
        <v/>
      </c>
      <c r="BG21" s="239" t="str">
        <f>IF(A21=FALSE,"",IF(ALLTHESAME=TRUE,IF(VC21&lt;&gt;$BC$7,0,INDEX(VA21:VZ21,1,MATCH(Structure!$D$12,$VA$14:$VZ$14,0))),IF(VC21&lt;&gt;$BC$7,0,INDEX(VA21:VZ21,1,MATCH(Structure!$D$12,$VA$14:$VZ$14,0)))))</f>
        <v/>
      </c>
      <c r="BH21" s="239" t="str">
        <f>IF(A21=FALSE,"",IF(ALLTHESAME=TRUE,IF(WC21&lt;&gt;$BC$7,0,INDEX(WA21:WY21,1,MATCH(Structure!$D$12,$WA$14:$WZ$14,0))),IF(WC21&lt;&gt;$BC$7,0,INDEX(WA21:WZ21,1,MATCH(Structure!$D$12,$WA$14:$WZ$14,0)))))</f>
        <v/>
      </c>
      <c r="BI21" s="763" t="str">
        <f>IF(A21=FALSE,"",IF(ALLTHESAME=TRUE,IF(HC21&lt;&gt;$BC$7,0,INDEX(HA21:HZ21,1,MATCH(Structure!$D$12,$HA$14:$HZ$14,0)))+TK21,IF(IC21&lt;&gt;$BC$7,0,INDEX(IA21:IZ21,1,MATCH(Structure!$D$12,$IA$14:$IZ$14,0)))+TK21))</f>
        <v/>
      </c>
      <c r="BJ21" s="239" t="str">
        <f>IF(A21=FALSE,"",IF(ALLTHESAME=TRUE,IF(JC21&lt;&gt;$BC$7,0,INDEX(JA21:JZ21,1,MATCH(Structure!$D$12,$JA$14:$JZ$14,0))),IF(KC21&lt;&gt;$BC$7,0,INDEX(KA21:KZ21,1,MATCH(Structure!$D$12,$KA$14:$KZ$14,0)))))</f>
        <v/>
      </c>
      <c r="BK21" s="763" t="str">
        <f>IF(A21=FALSE,"",IF(ALLTHESAME=TRUE,IF(LC21&lt;&gt;$BC$7,0,INDEX(LA21:LZ21,1,MATCH(Structure!$D$12,$LA$14:$LZ$14,0)))+UK21,IF(MC21&lt;&gt;$BC$7,0,INDEX(MA21:MZ21,1,MATCH(Structure!$D$12,$MA$14:$MZ$14,0)))+UK21))</f>
        <v/>
      </c>
      <c r="BL21" s="239" t="str">
        <f>IF(A21=FALSE,"",IF(ALLTHESAME=TRUE,IF(NC21&lt;&gt;$BC$7,0,INDEX(NA21:NZ21,1,MATCH(Structure!$D$12,$NA$14:$NZ$14,0))),IF(OC21&lt;&gt;$BC$7,0,INDEX(OA21:OZ21,1,MATCH(Structure!$D$12,$OA$14:$OZ$14,0)))))</f>
        <v/>
      </c>
      <c r="BM21" s="239" t="str">
        <f>IF(A21=FALSE,"",IF(ALLTHESAME=TRUE,IF(PC21&lt;&gt;$BC$7,0,INDEX(PA21:PZ21,1,MATCH(Structure!$D$12,$PA$14:$PZ$14,0))),IF(QC21&lt;&gt;$BC$7,0,INDEX(QA21:QZ21,1,MATCH(Structure!$D$12,$QA$14:$QZ$14,0)))))</f>
        <v/>
      </c>
      <c r="BN21" s="341" t="str">
        <f>IF(A21=FALSE,"",IF(ALLTHESAME=TRUE,IF(RC21&lt;&gt;$BC$7,0,INDEX(RA21:RZ21,1,MATCH(Structure!$D$12,$RA$14:$RZ$14,0))),IF(SC21&lt;&gt;$BC$7,0,INDEX(SA21:TA21,1,MATCH(Structure!$D$12,$SA$14:$TA$14,0)))))</f>
        <v/>
      </c>
      <c r="BO21" s="507" t="str">
        <f t="shared" si="236"/>
        <v/>
      </c>
      <c r="BP21" s="239" t="str">
        <f t="shared" si="237"/>
        <v/>
      </c>
      <c r="BQ21" s="239" t="str">
        <f>IF(A21=FALSE,"",IF(ALLTHESAME=TRUE,IF(DF21&lt;&gt;$BO$7,0,INDEX(DD21:DZ21,1,MATCH(Structure!$D$12,$DD$14:$DZ$14,0))),IF(EC21&lt;&gt;$BO$7,0,INDEX(EA21:EZ21,1,MATCH(Structure!$D$12,$EA$14:$EZ$14,0)))))</f>
        <v/>
      </c>
      <c r="BR21" s="239" t="str">
        <f>IF(A21=FALSE,"",IF(ALLTHESAME=TRUE,IF(FC21&lt;&gt;$BO$7,0,INDEX(FA21:FZ21,1,MATCH(Structure!$D$12,$FA$14:$FZ$14,0))),IF(GC21&lt;&gt;$BO$7,0,INDEX(GA21:GZ21,1,MATCH(Structure!$D$12,$GA$14:$GZ$14,0)))))</f>
        <v/>
      </c>
      <c r="BS21" s="239" t="str">
        <f>IF(A21=FALSE,"",IF(ALLTHESAME=TRUE,IF(HC21&lt;&gt;$BO$7,0,INDEX(HA21:HZ21,1,MATCH(Structure!$D$12,$HA$14:$HZ$14,0))),IF(IC21&lt;&gt;$BO$7,0,INDEX(IA21:IZ21,1,MATCH(Structure!$D$12,$IA$14:$IZ$14,0)))))</f>
        <v/>
      </c>
      <c r="BT21" s="239" t="str">
        <f>IF(A21=FALSE,"",IF(ALLTHESAME=TRUE,IF(JC21&lt;&gt;$BO$7,0,INDEX(JA21:JZ21,1,MATCH(Structure!$D$12,$JA$14:$JZ$14,0))),IF(KC21&lt;&gt;$BO$7,0,INDEX(KA21:KZ21,1,MATCH(Structure!$D$12,$KA$14:$KZ$14,0)))))</f>
        <v/>
      </c>
      <c r="BU21" s="239" t="str">
        <f>IF(A21=FALSE,"",IF(ALLTHESAME=TRUE,IF(LC21&lt;&gt;$BO$7,0,INDEX(LA21:LZ21,1,MATCH(Structure!$D$12,$LA$14:$LZ$14,0))),IF(MC21&lt;&gt;$BO$7,0,INDEX(MA21:MZ21,1,MATCH(Structure!$D$12,$MA$14:$MZ$14,0)))))</f>
        <v/>
      </c>
      <c r="BV21" s="239" t="str">
        <f>IF(A21=FALSE,"",IF(ALLTHESAME=TRUE,IF(NC21&lt;&gt;$BO$7,0,INDEX(NA21:NZ21,1,MATCH(Structure!$D$12,$NA$14:$NZ$14,0))),IF(OC21&lt;&gt;$BO$7,0,INDEX(OA21:OZ21,1,MATCH(Structure!$D$12,$OA$14:$OZ$14,0)))))</f>
        <v/>
      </c>
      <c r="BW21" s="239" t="str">
        <f>IF(A21=FALSE,"",IF(ALLTHESAME=TRUE,IF(PC21&lt;&gt;$BO$7,0,INDEX(PA21:PZ21,1,MATCH(Structure!$D$12,$PA$14:$PZ$14,0))),IF(QC21&lt;&gt;$BO$7,0,INDEX(QA21:QZ21,1,MATCH(Structure!$D$12,$QA$14:$QZ$14,0)))))</f>
        <v/>
      </c>
      <c r="BX21" s="341" t="str">
        <f>IF(A21=FALSE,"",IF(ALLTHESAME=TRUE,IF(RC21&lt;&gt;$BO$7,0,INDEX(RA21:RZ21,1,MATCH(Structure!$D$12,$RA$14:$RZ$14,0))),IF(SC21&lt;&gt;$BO$7,0,INDEX(SA21:TA21,1,MATCH(Structure!$D$12,$SA$14:$TA$14,0)))))</f>
        <v/>
      </c>
      <c r="BY21" s="347" t="str">
        <f t="shared" si="238"/>
        <v/>
      </c>
      <c r="BZ21" s="507" t="str">
        <f t="shared" si="239"/>
        <v/>
      </c>
      <c r="CA21" s="239" t="str">
        <f t="shared" si="240"/>
        <v/>
      </c>
      <c r="CB21" s="239" t="str">
        <f>IF(A21=FALSE,"",IF(ALLTHESAME=TRUE,INDEX(DD21:DZ21,MATCH(DF21,DF21:DF126,0),MATCH(Structure!$D$17,$DD$14:$DZ$14,0)),INDEX(EA21:EZ21,MATCH(EC21,EC21:EC126,0),MATCH(Structure!$D$17,$EA$14:$EZ$14,0))))</f>
        <v/>
      </c>
      <c r="CC21" s="239" t="str">
        <f>IF(A21=FALSE,"",IF(ALLTHESAME=TRUE,INDEX(FA21:FZ21,MATCH(FC21,FC21:FC126,0),MATCH(Structure!$D$17,$FA$14:$FZ$14,0)),INDEX(GA21:GZ21,MATCH(GC21,GC21:GC126,0),MATCH(Structure!$D$17,$GA$14:$GZ$14,0))))</f>
        <v/>
      </c>
      <c r="CD21" s="239" t="str">
        <f>IF(A21=FALSE,"",IF(ALLTHESAME=TRUE,INDEX(HA21:HZ21,MATCH(HC21,HC21:HC126,0),MATCH(Structure!$D$17,$HA$14:$HZ$14,0)),INDEX(IA21:IZ21,MATCH(IC21,IC21:IC126,0),MATCH(Structure!$D$17,$IA$14:$IZ$14,0))))</f>
        <v/>
      </c>
      <c r="CE21" s="239" t="str">
        <f>IF(A21=FALSE,"",IF(ALLTHESAME=TRUE,INDEX(JA21:JZ21,MATCH(JC21,JC21:JC126,0),MATCH(Structure!$D$17,$JA$14:$JZ$14,0)),INDEX(KA21:KZ21,MATCH(KC21,KC21:KC126,0),MATCH(Structure!$D$17,$KA$14:$KZ$14,0))))</f>
        <v/>
      </c>
      <c r="CF21" s="239" t="str">
        <f>IF(A21=FALSE,"",IF(ALLTHESAME=TRUE,INDEX(LA21:LZ21,MATCH(LC21,LC21:LC126,0),MATCH(Structure!$D$17,$LA$14:$LZ$14,0)),INDEX(MA21:MZ21,MATCH(MC21,MC21:MC126,0),MATCH(Structure!$D$17,$MA$14:$MZ$14,0))))</f>
        <v/>
      </c>
      <c r="CG21" s="239" t="str">
        <f>IF(A21=FALSE,"",IF(ALLTHESAME=TRUE,INDEX(NA21:NZ21,MATCH(NC21,NC21:NC126,0),MATCH(Structure!$D$17,$NA$14:$NZ$14,0)),INDEX(OA21:OZ21,MATCH(OC21,OC21:OC126,0),MATCH(Structure!$D$17,$OA$14:$OZ$14,0))))</f>
        <v/>
      </c>
      <c r="CH21" s="239" t="str">
        <f>IF(A21=FALSE,"",IF(ALLTHESAME=TRUE,INDEX(PA21:PZ21,MATCH(PC21,PC21:PC126,0),MATCH(Structure!$D$17,$PA$14:$PZ$14,0)),INDEX(QA21:QZ21,MATCH(QC21,QC21:QC126,0),MATCH(Structure!$D$17,$QA$14:$QZ$14,0))))</f>
        <v/>
      </c>
      <c r="CI21" s="341" t="str">
        <f>IF(A21=FALSE,"",IF(ALLTHESAME=TRUE,INDEX(RA21:RZ21,MATCH(RC21,RC21:RC126,0),MATCH(Structure!$D$17,$RA$14:$RZ$14,0)),INDEX(SA21:TC21,MATCH(SC21,SC21:SC126,0),MATCH(Structure!$D$17,$SA$14:$TC$14,0))))</f>
        <v/>
      </c>
      <c r="CJ21" s="347"/>
      <c r="CK21" s="239" t="str">
        <f t="shared" si="241"/>
        <v/>
      </c>
      <c r="CL21" s="239" t="str">
        <f>IF(A21=FALSE,"",IF(ALLTHESAME=TRUE,INDEX(DD21:DZ21,MATCH(DF21,DF21:DF126,0),MATCH(Structure!$D$22,$DD$14:$DZ$14,0)),INDEX(EA21:EZ21,MATCH(EC21,EC21:EC126,0),MATCH(Structure!$D$22,$EA$14:$EZ$14,0))))</f>
        <v/>
      </c>
      <c r="CM21" s="239" t="str">
        <f>IF(A21=FALSE,"",IF(ALLTHESAME=TRUE,INDEX(FA21:FZ21,MATCH(FC21,FC21:FC126,0),MATCH(Structure!$D$22,$FA$14:$FZ$14,0)),INDEX(GA21:GZ21,MATCH(GC21,GC21:GC126,0),MATCH(Structure!$D$22,$GA$14:$GZ$14,0))))</f>
        <v/>
      </c>
      <c r="CN21" s="239" t="str">
        <f>IF(A21=FALSE,"",IF(ALLTHESAME=TRUE,INDEX(HA21:HZ21,MATCH(HC21,HC21:HC126,0),MATCH(Structure!$D$22,$HA$14:$HZ$14,0)),INDEX(IA21:IZ21,MATCH(IC21,IC21:IC126,0),MATCH(Structure!$D$22,$IA$14:$IZ$14,0))))</f>
        <v/>
      </c>
      <c r="CO21" s="239" t="str">
        <f>IF(A21=FALSE,"",IF(ALLTHESAME=TRUE,INDEX(JA21:JZ21,MATCH(JC21,JC21:JC126,0),MATCH(Structure!$D$22,$JA$14:$JZ$14,0)),INDEX(KA21:KZ21,MATCH(KC21,KC21:KC126,0),MATCH(Structure!$D$22,$KA$14:$KZ$14,0))))</f>
        <v/>
      </c>
      <c r="CP21" s="239" t="str">
        <f>IF(A21=FALSE,"",IF(ALLTHESAME=TRUE,INDEX(LA21:LZ21,MATCH(LC21,LC21:LC126,0),MATCH(Structure!$D$22,$LA$14:$LZ$14,0)),INDEX(MA21:MZ21,MATCH(MC21,MC21:MC126,0),MATCH(Structure!$D$22,$MA$14:$MZ$14,0))))</f>
        <v/>
      </c>
      <c r="CQ21" s="239" t="str">
        <f>IF(A21=FALSE,"",IF(ALLTHESAME=TRUE,INDEX(NA21:NZ21,MATCH(NC21,NC21:NC126,0),MATCH(Structure!$D$22,$NA$14:$NZ$14,0)),INDEX(OA21:OZ21,MATCH(OC21,OC21:OC126,0),MATCH(Structure!$D$22,$OA$14:$OZ$14,0))))</f>
        <v/>
      </c>
      <c r="CR21" s="239" t="str">
        <f>IF(A21=FALSE,"",IF(ALLTHESAME=TRUE,INDEX(PA21:PZ21,MATCH(PC21,PC21:PC126,0),MATCH(Structure!$D$22,$PA$14:$PZ$14,0)),INDEX(QA21:QZ21,MATCH(QC21,QC21:QC126,0),MATCH(Structure!$D$22,$QA$14:$QZ$14,0))))</f>
        <v/>
      </c>
      <c r="CS21" s="341" t="str">
        <f>IF(A21=FALSE,"",IF(ALLTHESAME=TRUE,INDEX(RA21:RZ21,MATCH(RC21,RC21:RC126,0),MATCH(Structure!$D$22,$RA$14:$RZ$14,0)),INDEX(SA21:TC21,MATCH(SC21,SC21:SC126,0),MATCH(Structure!$D$22,$SA$14:$TC$14,0))))</f>
        <v/>
      </c>
      <c r="CT21" s="347"/>
      <c r="CU21" s="239" t="str">
        <f t="shared" si="242"/>
        <v/>
      </c>
      <c r="CV21" s="239" t="str">
        <f>IF(A21=FALSE,"",IF(ALLTHESAME=TRUE,INDEX(DD21:DZ21,MATCH(DF21,DF21:DF126,0),MATCH(Structure!$D$8,$DD$14:$DZ$14,0)),INDEX(EA21:EZ21,MATCH(EC21,EC21:EC126,0),MATCH(Structure!$D$8,$EA$14:$EZ$14,0))))</f>
        <v/>
      </c>
      <c r="CW21" s="239" t="str">
        <f>IF(A21=FALSE,"",IF(ALLTHESAME=TRUE,INDEX(FA21:FZ21,MATCH(FC21,FC21:FC126,0),MATCH(Structure!$D$8,$FA$14:$FZ$14,0)),INDEX(GA21:GZ21,MATCH(GC21,GC21:GC126,0),MATCH(Structure!$D$8,$GA$14:$GZ$14,0))))</f>
        <v/>
      </c>
      <c r="CX21" s="239" t="str">
        <f>IF(A21=FALSE,"",IF(ALLTHESAME=TRUE,INDEX(HA21:HZ21,MATCH(HC21,HC21:HC126,0),MATCH(Structure!$D$8,$HA$14:$HZ$14,0)),INDEX(IA21:IZ21,MATCH(IC21,IC21:IC126,0),MATCH(Structure!$D$8,$IA$14:$IZ$14,0))))</f>
        <v/>
      </c>
      <c r="CY21" s="239" t="str">
        <f>IF(A21=FALSE,"",IF(ALLTHESAME=TRUE,INDEX(JA21:JZ21,MATCH(JC21,JC21:JC126,0),MATCH(Structure!$D$8,$JA$14:$JZ$14,0)),INDEX(KA21:KZ21,MATCH(KC21,KC21:KC126,0),MATCH(Structure!$D$8,$KA$14:$KZ$14,0))))</f>
        <v/>
      </c>
      <c r="CZ21" s="239" t="str">
        <f>IF(A21=FALSE,"",IF(ALLTHESAME=TRUE,INDEX(LA21:LZ21,MATCH(LC21,LC21:LC126,0),MATCH(Structure!$D$8,$LA$14:$LZ$14,0)),INDEX(MA21:MZ21,MATCH(MC21,MC21:MC126,0),MATCH(Structure!$D$8,$MA$14:$MZ$14,0))))</f>
        <v/>
      </c>
      <c r="DA21" s="239" t="str">
        <f>IF(A21=FALSE,"",IF(ALLTHESAME=TRUE,INDEX(NA21:NZ21,MATCH(NC21,NC21:NC126,0),MATCH(Structure!$D$8,$NA$14:$NZ$14,0)),INDEX(OA21:OZ21,MATCH(OC21,OC21:OC126,0),MATCH(Structure!$D$8,$OA$14:$OZ$14,0))))</f>
        <v/>
      </c>
      <c r="DB21" s="239" t="str">
        <f>IF(A21=FALSE,"",IF(ALLTHESAME=TRUE,INDEX(PA21:PZ21,MATCH(PC21,PC21:PC126,0),MATCH(Structure!$D$8,$PA$14:$PZ$14,0)),INDEX(QA21:QZ21,MATCH(QC21,QC21:QC126,0),MATCH(Structure!$D$8,$QA$14:$QZ$14,0))))</f>
        <v/>
      </c>
      <c r="DC21" s="341" t="str">
        <f>IF(A21=FALSE,"",IF(ALLTHESAME=TRUE,INDEX(RA21:RZ21,MATCH(RC21,RC21:RC126,0),MATCH(Structure!$D$8,$RA$14:$RZ$14,0)),INDEX(SA21:TC21,MATCH(SC21,SC21:SC126,0),MATCH(Structure!$D$8,$SA$14:$TC$14,0))))</f>
        <v/>
      </c>
      <c r="DD21" s="492" t="str">
        <f>IF(A21=FALSE,"",Cotations!D21)</f>
        <v/>
      </c>
      <c r="DE21" s="492" t="str">
        <f>IF(A21=FALSE,"",IF(LISTES!$A$17=1,Cotations!AF21,Cotations!$AG$4))</f>
        <v/>
      </c>
      <c r="DF21" s="291" t="str">
        <f t="shared" si="431"/>
        <v/>
      </c>
      <c r="DG21" s="291" t="str">
        <f t="shared" si="243"/>
        <v/>
      </c>
      <c r="DH21" s="291"/>
      <c r="DI21" s="463"/>
      <c r="DJ21" s="463" t="str">
        <f t="shared" si="244"/>
        <v/>
      </c>
      <c r="DK21" s="522" t="str">
        <f>IF(A21=FALSE,"",IF(Cotations!$AH$4="monthly",DJ21/12*L21,DJ21/365*M21))</f>
        <v/>
      </c>
      <c r="DL21" s="489" t="str">
        <f>IF(A21=FALSE,"",Cotations!$AI$4)</f>
        <v/>
      </c>
      <c r="DM21" s="300" t="str">
        <f t="shared" si="245"/>
        <v/>
      </c>
      <c r="DN21" s="300" t="str">
        <f t="shared" si="246"/>
        <v/>
      </c>
      <c r="DO21" s="294" t="str">
        <f t="shared" si="247"/>
        <v/>
      </c>
      <c r="DP21" s="494" t="str">
        <f>IF(A21=FALSE,"",Cotations!$AJ$4)</f>
        <v/>
      </c>
      <c r="DQ21" s="494" t="str">
        <f>IF(A21=FALSE,"",Cotations!$AK$4)</f>
        <v/>
      </c>
      <c r="DR21" s="489" t="str">
        <f>IF(A21=FALSE,"",Cotations!$AL$4)</f>
        <v/>
      </c>
      <c r="DS21" s="494" t="str">
        <f>IF(A21=FALSE,"",IF(DP21="N/A",0,IF(INDEX(LISTES!$F$105:$F$109,MATCH(DP21,LISTES!$C$105:$C$109,0))="FIX",IF(INDEX(LISTES!$E$105:$E$109,MATCH(DP21,LISTES!$C$105:$C$109,0))=12,DQ21/12*L21,DQ21/365*M21),DR21*DO21)))</f>
        <v/>
      </c>
      <c r="DT21" s="294" t="str">
        <f t="shared" si="248"/>
        <v/>
      </c>
      <c r="DU21" s="294" t="str">
        <f>IF(A21=FALSE,"",DT21*Cotations!$AM$4)</f>
        <v/>
      </c>
      <c r="DV21" s="294" t="str">
        <f>IF(A21=FALSE,"",DT21*Cotations!$AN$4)</f>
        <v/>
      </c>
      <c r="DW21" s="465" t="str">
        <f t="shared" si="249"/>
        <v/>
      </c>
      <c r="DX21" s="919" t="str">
        <f>IF(A21=FALSE,"",((DJ21*TAXE)-(DJ21*TAXE*DL21))+IF(DP21="N/A",0,IF(INDEX(LISTES!$F$105:$F$109,MATCH(DP21,LISTES!$C$105:$C$109,0))="FIX",DQ21,DR21*DO21)))</f>
        <v/>
      </c>
      <c r="DY21" s="466"/>
      <c r="DZ21" s="466"/>
      <c r="EA21" s="492" t="str">
        <f>IF(A21=FALSE,"",Cotations!D21)</f>
        <v/>
      </c>
      <c r="EB21" s="494" t="str">
        <f>IF(A21=FALSE,"",IF(LISTES!$A$17=1,Cotations!AF21,Cotations!AG21))</f>
        <v/>
      </c>
      <c r="EC21" s="284" t="str">
        <f t="shared" si="250"/>
        <v/>
      </c>
      <c r="ED21" s="284" t="str">
        <f t="shared" si="251"/>
        <v/>
      </c>
      <c r="EE21" s="284"/>
      <c r="EF21" s="284"/>
      <c r="EG21" s="284" t="str">
        <f t="shared" si="252"/>
        <v/>
      </c>
      <c r="EH21" s="1365" t="str">
        <f t="shared" si="253"/>
        <v/>
      </c>
      <c r="EI21" s="1365" t="str">
        <f t="shared" si="254"/>
        <v/>
      </c>
      <c r="EJ21" s="515" t="str">
        <f>IF(A21=FALSE,"",IF(Cotations!AH21="monthly",EG21/12*L21,EG21/365*M21))</f>
        <v/>
      </c>
      <c r="EK21" s="1364" t="str">
        <f>IF(A21=FALSE,"",IF(Cotations!AH21="monthly",EI21/12*L21,EI21/365*M21))</f>
        <v/>
      </c>
      <c r="EL21" s="493" t="str">
        <f>IF(A21=FALSE,"",IF(Cotations!AI21="","",Cotations!AI21))</f>
        <v/>
      </c>
      <c r="EM21" s="284" t="str">
        <f t="shared" si="255"/>
        <v/>
      </c>
      <c r="EN21" s="284" t="str">
        <f t="shared" si="256"/>
        <v/>
      </c>
      <c r="EO21" s="1365" t="str">
        <f t="shared" si="432"/>
        <v/>
      </c>
      <c r="EP21" s="284" t="str">
        <f t="shared" si="257"/>
        <v/>
      </c>
      <c r="EQ21" s="515" t="str">
        <f>IF(A21=FALSE,"",Cotations!AJ21)</f>
        <v/>
      </c>
      <c r="ER21" s="515" t="str">
        <f>IF(A21=FALSE,"",IF(Cotations!AK21="","",Cotations!AK21))</f>
        <v/>
      </c>
      <c r="ES21" s="493" t="str">
        <f>IF(A21=FALSE,"",Cotations!AL21)</f>
        <v/>
      </c>
      <c r="ET21" s="515" t="str">
        <f>IF(A21=FALSE,"",IF(EQ21="N/A",0,IF(INDEX(LISTES!$F$105:$F$109,MATCH(EQ21,LISTES!$C$105:$C$109,0))="FIX",IF(INDEX(LISTES!$E$105:$E$109,MATCH(EQ21,LISTES!$C$105:$C$109,0))=12,ER21/12*L21,ER21/365*M21),ES21*EP21)))</f>
        <v/>
      </c>
      <c r="EU21" s="294" t="str">
        <f t="shared" si="258"/>
        <v/>
      </c>
      <c r="EV21" s="494" t="str">
        <f>IF(A21=FALSE,"",EU21*Cotations!AM21)</f>
        <v/>
      </c>
      <c r="EW21" s="494" t="str">
        <f>IF(A21=FALSE,"",EU21*Cotations!AN21)</f>
        <v/>
      </c>
      <c r="EX21" s="334" t="str">
        <f t="shared" si="259"/>
        <v/>
      </c>
      <c r="EY21" s="919" t="str">
        <f>IF(A21=FALSE,"",((EG21*TAXE)-(EG21*TAXE*EL21)+EH21)+IF(EQ21="N/A",0,IF(INDEX(LISTES!$F$105:$F$109,MATCH(EQ21,LISTES!$C$105:$C$109,0))="FIX",ER21,ES21*EP21)))</f>
        <v/>
      </c>
      <c r="EZ21" s="422"/>
      <c r="FA21" s="492" t="str">
        <f>IF(A21=FALSE,"",Cotations!D21)</f>
        <v/>
      </c>
      <c r="FB21" s="519" t="str">
        <f>IF(A21=FALSE,"",IF(LISTES!$A$17=1,Cotations!AO21,Cotations!$AP$4))</f>
        <v/>
      </c>
      <c r="FC21" s="291" t="str">
        <f t="shared" si="260"/>
        <v/>
      </c>
      <c r="FD21" s="291" t="str">
        <f t="shared" si="261"/>
        <v/>
      </c>
      <c r="FE21" s="291"/>
      <c r="FF21" s="463"/>
      <c r="FG21" s="463" t="str">
        <f t="shared" si="262"/>
        <v/>
      </c>
      <c r="FH21" s="522" t="str">
        <f>IF(A21=FALSE,"",IF(Cotations!$AQ$4="monthly",FG21/12*L21,FG21/365*M21))</f>
        <v/>
      </c>
      <c r="FI21" s="453" t="str">
        <f>IF(A21=FALSE,"",Cotations!$AR$4)</f>
        <v/>
      </c>
      <c r="FJ21" s="300" t="str">
        <f t="shared" si="263"/>
        <v/>
      </c>
      <c r="FK21" s="300" t="str">
        <f t="shared" si="264"/>
        <v/>
      </c>
      <c r="FL21" s="294" t="str">
        <f t="shared" si="265"/>
        <v/>
      </c>
      <c r="FM21" s="494" t="str">
        <f>IF(A21=FALSE,"",Cotations!$AS$4)</f>
        <v/>
      </c>
      <c r="FN21" s="494" t="str">
        <f>IF(A21=FALSE,"",Cotations!$AT$4)</f>
        <v/>
      </c>
      <c r="FO21" s="489" t="str">
        <f>IF(A21=FALSE,"",Cotations!$AU$4)</f>
        <v/>
      </c>
      <c r="FP21" s="494" t="str">
        <f>IF(A21=FALSE,"",IF(FM21="N/A",0,IF(INDEX(LISTES!$F$105:$F$109,MATCH(FM21,LISTES!$C$105:$C$109,0))="FIX",IF(INDEX(LISTES!$E$105:$E$109,MATCH(FM21,LISTES!$C$105:$C$109,0))=12,FN21/12*L21,FN21/365*M21),FO21*FL21)))</f>
        <v/>
      </c>
      <c r="FQ21" s="294" t="str">
        <f t="shared" si="266"/>
        <v/>
      </c>
      <c r="FR21" s="494" t="str">
        <f>IF(A21=FALSE,"",FQ21*Cotations!$AV$4)</f>
        <v/>
      </c>
      <c r="FS21" s="494" t="str">
        <f>IF(A21=FALSE,"",FQ21*Cotations!$AW$4)</f>
        <v/>
      </c>
      <c r="FT21" s="465" t="str">
        <f t="shared" si="267"/>
        <v/>
      </c>
      <c r="FU21" s="919" t="str">
        <f>IF(A21=FALSE,"",((FG21*TAXE)-(FG21*TAXE*FI21))+IF(FM21="N/A",0,IF(INDEX(LISTES!$F$105:$F$109,MATCH(FM21,LISTES!$C$105:$C$109,0))="FIX",FN21,FO21*FL21)))</f>
        <v/>
      </c>
      <c r="FV21" s="478"/>
      <c r="FW21" s="478"/>
      <c r="FX21" s="478"/>
      <c r="FY21" s="478"/>
      <c r="FZ21" s="478"/>
      <c r="GA21" s="492" t="str">
        <f>IF(A21=FALSE,"",Cotations!D21)</f>
        <v/>
      </c>
      <c r="GB21" s="494" t="str">
        <f>IF(A21=FALSE,"",IF(LISTES!$A$17=1,Cotations!AO21,Cotations!AP21))</f>
        <v/>
      </c>
      <c r="GC21" s="284" t="str">
        <f t="shared" si="268"/>
        <v/>
      </c>
      <c r="GD21" s="515" t="str">
        <f>IF(A21=FALSE,"",IF(Detail!AM21="","",Detail!AM21))</f>
        <v/>
      </c>
      <c r="GE21" s="284"/>
      <c r="GF21" s="284"/>
      <c r="GG21" s="284" t="str">
        <f t="shared" si="269"/>
        <v/>
      </c>
      <c r="GH21" s="515" t="str">
        <f>IF(A21=FALSE,"",IF(Cotations!AQ21="monthly",GG21/12*L21,GG21/365*M21))</f>
        <v/>
      </c>
      <c r="GI21" s="493" t="str">
        <f>IF(A21=FALSE,"",IF(Cotations!AR21="","",Cotations!AR21))</f>
        <v/>
      </c>
      <c r="GJ21" s="284" t="str">
        <f t="shared" si="270"/>
        <v/>
      </c>
      <c r="GK21" s="284" t="str">
        <f t="shared" si="271"/>
        <v/>
      </c>
      <c r="GL21" s="284" t="str">
        <f t="shared" si="272"/>
        <v/>
      </c>
      <c r="GM21" s="515" t="str">
        <f>IF(A21=FALSE,"",Cotations!AS21)</f>
        <v/>
      </c>
      <c r="GN21" s="515" t="str">
        <f>IF(A21=FALSE,"",Cotations!AT21)</f>
        <v/>
      </c>
      <c r="GO21" s="493" t="str">
        <f>IF(A21=FALSE,"",Cotations!AU21)</f>
        <v/>
      </c>
      <c r="GP21" s="515" t="str">
        <f>IF(A21=FALSE,"",IF(GM21="N/A",0,IF(INDEX(LISTES!$F$105:$F$109,MATCH(GM21,LISTES!$C$105:$C$109,0))="FIX",IF(INDEX(LISTES!$E$105:$E$109,MATCH(GM21,LISTES!$C$105:$C$109,0))=12,GN21/12*L21,GN21/365*M21),GO21*GL21)))</f>
        <v/>
      </c>
      <c r="GQ21" s="294" t="str">
        <f t="shared" si="273"/>
        <v/>
      </c>
      <c r="GR21" s="494" t="str">
        <f>IF(A21=FALSE,"",GQ21*Cotations!AV21)</f>
        <v/>
      </c>
      <c r="GS21" s="494" t="str">
        <f>IF(A21=FALSE,"",GQ21*Cotations!AW21)</f>
        <v/>
      </c>
      <c r="GT21" s="334" t="str">
        <f t="shared" si="274"/>
        <v/>
      </c>
      <c r="GU21" s="919" t="str">
        <f>IF(A21=FALSE,"",((GG21*TAXE)-(GG21*TAXE*GI21))+IF(GM21="N/A",0,IF(INDEX(LISTES!$F$105:$F$109,MATCH(GM21,LISTES!$C$105:$C$109,0))="FIX",GN21,GO21*GL21)))</f>
        <v/>
      </c>
      <c r="GV21" s="478"/>
      <c r="GW21" s="466"/>
      <c r="GX21" s="466"/>
      <c r="GY21" s="466"/>
      <c r="GZ21" s="466"/>
      <c r="HA21" s="492" t="str">
        <f>IF(A21=FALSE,"",Cotations!D21)</f>
        <v/>
      </c>
      <c r="HB21" s="495" t="str">
        <f>IF(A21=FALSE,"",IF(LISTES!$A$17=1,Cotations!AX21,Cotations!$AY$4))</f>
        <v/>
      </c>
      <c r="HC21" s="291" t="str">
        <f t="shared" si="275"/>
        <v/>
      </c>
      <c r="HD21" s="291" t="str">
        <f t="shared" si="276"/>
        <v/>
      </c>
      <c r="HE21" s="456" t="str">
        <f t="shared" si="277"/>
        <v/>
      </c>
      <c r="HF21" s="496" t="str">
        <f>IF(A21=FALSE,"",IF(HA21="POEA",Cotations!BA21,IF(HA21="FIXE",Cotations!$BA$4,Cotations!$BC$4*Y21)))</f>
        <v/>
      </c>
      <c r="HG21" s="300" t="str">
        <f t="shared" si="278"/>
        <v/>
      </c>
      <c r="HH21" s="522" t="str">
        <f>IF(A21=FALSE,"",IF(Cotations!$AZ$4="monthly",HG21/12*L21,HG21/365*M21))</f>
        <v/>
      </c>
      <c r="HI21" s="489" t="str">
        <f>IF(A21=FALSE,"",Cotations!$BD$4)</f>
        <v/>
      </c>
      <c r="HJ21" s="300" t="str">
        <f t="shared" si="279"/>
        <v/>
      </c>
      <c r="HK21" s="300" t="str">
        <f t="shared" si="280"/>
        <v/>
      </c>
      <c r="HL21" s="294" t="str">
        <f t="shared" si="281"/>
        <v/>
      </c>
      <c r="HM21" s="494" t="str">
        <f>IF(A21=FALSE,"",Cotations!$BE$4)</f>
        <v/>
      </c>
      <c r="HN21" s="522" t="str">
        <f>IF(A21=FALSE,"",Cotations!$BF$4)</f>
        <v/>
      </c>
      <c r="HO21" s="489" t="str">
        <f>IF(A21=FALSE,"",Cotations!$BG$4)</f>
        <v/>
      </c>
      <c r="HP21" s="494" t="str">
        <f>IF(A21=FALSE,"",IF(HM21="N/A",0,IF(INDEX(LISTES!$F$105:$F$109,MATCH(HM21,LISTES!$C$105:$C$109,0))="FIX",IF(INDEX(LISTES!$E$105:$E$109,MATCH(HM21,LISTES!$C$105:$C$109,0))=12,HN21/12*L21,HN21/365*M21),HO21*HL21)))</f>
        <v/>
      </c>
      <c r="HQ21" s="294" t="str">
        <f t="shared" si="282"/>
        <v/>
      </c>
      <c r="HR21" s="494" t="str">
        <f>IF(A21=FALSE,"",HQ21*Cotations!$BH$4)</f>
        <v/>
      </c>
      <c r="HS21" s="494" t="str">
        <f>IF(A21=FALSE,"",HQ21*Cotations!$BI$4)</f>
        <v/>
      </c>
      <c r="HT21" s="294" t="str">
        <f t="shared" si="283"/>
        <v/>
      </c>
      <c r="HU21" s="919" t="str">
        <f>IF(A21=FALSE,"",((HG21*TAXE)-(HG21*TAXE*HI21))+IF(HM21="N/A",0,IF(INDEX(LISTES!$F$105:$F$109,MATCH(HM21,LISTES!$C$105:$C$109,0))="FIX",HN21,HO21*HL21)))</f>
        <v/>
      </c>
      <c r="HV21" s="422"/>
      <c r="HW21" s="422"/>
      <c r="HX21" s="422"/>
      <c r="HY21" s="716"/>
      <c r="HZ21" s="422"/>
      <c r="IA21" s="492" t="str">
        <f>IF(A21=FALSE,"",Cotations!D21)</f>
        <v/>
      </c>
      <c r="IB21" s="491" t="str">
        <f>IF(A21=FALSE,"",IF(LISTES!$A$17=1,Cotations!AX21,Cotations!AY21))</f>
        <v/>
      </c>
      <c r="IC21" s="285" t="str">
        <f t="shared" si="284"/>
        <v/>
      </c>
      <c r="ID21" s="300" t="str">
        <f>IF(A21=FALSE,"",IF(LISTES!$A$17=3,Detail!AU21,lig1_Formula_PREVOY))</f>
        <v/>
      </c>
      <c r="IE21" s="461" t="str">
        <f t="shared" si="285"/>
        <v/>
      </c>
      <c r="IF21" s="490" t="str">
        <f>IF(A21=FALSE,"",IF(IA21="POEA",Cotations!BA21,IF(HA21="FIXE",Cotations!BB21,IF(Cotations!BC21*Y21&lt;50000,Z21,Cotations!BC21*Y21))))</f>
        <v/>
      </c>
      <c r="IG21" s="300" t="str">
        <f t="shared" si="286"/>
        <v/>
      </c>
      <c r="IH21" s="522" t="str">
        <f>IF(A21=FALSE,"",IF(Cotations!AZ21="monthly",IG21/12*L21,IG21/365*M21))</f>
        <v/>
      </c>
      <c r="II21" s="489" t="str">
        <f>IF(A21=FALSE,"",IF(Cotations!BD21="","",Cotations!BD21))</f>
        <v/>
      </c>
      <c r="IJ21" s="300" t="str">
        <f t="shared" si="287"/>
        <v/>
      </c>
      <c r="IK21" s="300" t="str">
        <f t="shared" si="288"/>
        <v/>
      </c>
      <c r="IL21" s="919" t="str">
        <f t="shared" si="289"/>
        <v/>
      </c>
      <c r="IM21" s="517" t="str">
        <f>IF(A21=FALSE,"",Cotations!BE21)</f>
        <v/>
      </c>
      <c r="IN21" s="517" t="str">
        <f>IF(A21=FALSE,"",Cotations!BF21)</f>
        <v/>
      </c>
      <c r="IO21" s="493" t="str">
        <f>IF(A21=FALSE,"",Cotations!BG21)</f>
        <v/>
      </c>
      <c r="IP21" s="517" t="str">
        <f>IF(A21=FALSE,"",IF(IM21="N/A",0,IF(INDEX(LISTES!$F$105:$F$109,MATCH(IM21,LISTES!$C$105:$C$109,0))="FIX",IF(INDEX(LISTES!$E$105:$E$109,MATCH(IM21,LISTES!$C$105:$C$109,0))=12,IN21/12*L21,IN21/365*M21),IO21*IL21)))</f>
        <v/>
      </c>
      <c r="IQ21" s="294" t="str">
        <f t="shared" si="290"/>
        <v/>
      </c>
      <c r="IR21" s="494" t="str">
        <f>IF(A21=FALSE,"",IQ21*Cotations!BH21)</f>
        <v/>
      </c>
      <c r="IS21" s="494" t="str">
        <f>IF(A21=FALSE,"",IQ21*Cotations!BI21)</f>
        <v/>
      </c>
      <c r="IT21" s="338" t="str">
        <f t="shared" si="291"/>
        <v/>
      </c>
      <c r="IU21" s="919" t="str">
        <f>IF(A21=FALSE,"",((IG21*TAXE)-(IG21*TAXE*II21))+IF(IM21="N/A",0,IF(INDEX(LISTES!$F$105:$F$109,MATCH(IM21,LISTES!$C$105:$C$109,0))="FIX",IN21,IO21*IL21)))</f>
        <v/>
      </c>
      <c r="IV21" s="422"/>
      <c r="IY21" s="716"/>
      <c r="JA21" s="492" t="str">
        <f>IF(A21=FALSE,"",Cotations!D21)</f>
        <v/>
      </c>
      <c r="JB21" s="495" t="str">
        <f>IF(A21=FALSE,"",IF(LISTES!$A$17=1,Cotations!BJ21,Cotations!$BK$4))</f>
        <v/>
      </c>
      <c r="JC21" s="291" t="str">
        <f t="shared" si="292"/>
        <v/>
      </c>
      <c r="JD21" s="291" t="str">
        <f t="shared" si="293"/>
        <v/>
      </c>
      <c r="JE21" s="456" t="str">
        <f t="shared" si="294"/>
        <v/>
      </c>
      <c r="JF21" s="496" t="str">
        <f>IF(A21=FALSE,"",IF(JA21="POEA",Cotations!BM21,IF(JA21="FIXE",Cotations!$BM$4,Cotations!$BO$4*Y21)))</f>
        <v/>
      </c>
      <c r="JG21" s="300" t="str">
        <f t="shared" si="295"/>
        <v/>
      </c>
      <c r="JH21" s="522" t="str">
        <f>IF(A21=FALSE,"",IF(Cotations!$BL$4="monthly",JG21/12*L21,JG21/365*M21))</f>
        <v/>
      </c>
      <c r="JI21" s="489" t="str">
        <f>IF(A21=FALSE,"",Cotations!$BP$4)</f>
        <v/>
      </c>
      <c r="JJ21" s="300" t="str">
        <f t="shared" si="296"/>
        <v/>
      </c>
      <c r="JK21" s="300" t="str">
        <f t="shared" si="297"/>
        <v/>
      </c>
      <c r="JL21" s="294" t="str">
        <f t="shared" si="298"/>
        <v/>
      </c>
      <c r="JM21" s="494" t="str">
        <f>IF(A21=FALSE,"",Cotations!$BQ$4)</f>
        <v/>
      </c>
      <c r="JN21" s="522" t="str">
        <f>IF(A21=FALSE,"",Cotations!$BR$4)</f>
        <v/>
      </c>
      <c r="JO21" s="489" t="str">
        <f>IF(A21=FALSE,"",Cotations!$BS$4)</f>
        <v/>
      </c>
      <c r="JP21" s="494" t="str">
        <f>IF(A21=FALSE,"",IF(JM21="N/A",0,IF(INDEX(LISTES!$F$105:$F$109,MATCH(JM21,LISTES!$C$105:$C$109,0))="FIX",IF(INDEX(LISTES!$E$105:$E$109,MATCH(JM21,LISTES!$C$105:$C$109,0))=12,JN21/12*L21,JN21/365*M21),JO21*JL21)))</f>
        <v/>
      </c>
      <c r="JQ21" s="294" t="str">
        <f t="shared" si="299"/>
        <v/>
      </c>
      <c r="JR21" s="494" t="str">
        <f>IF(A21=FALSE,"",JQ21*Cotations!$BT$4)</f>
        <v/>
      </c>
      <c r="JS21" s="494" t="str">
        <f>IF(A21=FALSE,"",JQ21*Cotations!$BU$4)</f>
        <v/>
      </c>
      <c r="JT21" s="294" t="str">
        <f t="shared" si="300"/>
        <v/>
      </c>
      <c r="JU21" s="919" t="str">
        <f>IF(A21=FALSE,"",((JG21*TAXE)-(JG21*TAXE*JI21))+IF(JM21="N/A",0,IF(INDEX(LISTES!$F$105:$F$109,MATCH(JM21,LISTES!$C$105:$C$109,0))="FIX",JN21,JO21*JL21)))</f>
        <v/>
      </c>
      <c r="KA21" s="492" t="str">
        <f>IF(A21=FALSE,"",Cotations!D21)</f>
        <v/>
      </c>
      <c r="KB21" s="491" t="str">
        <f>IF(A21=FALSE,"",IF(LISTES!$A$17=1,Cotations!BJ21,Cotations!BK21))</f>
        <v/>
      </c>
      <c r="KC21" s="285" t="str">
        <f t="shared" si="301"/>
        <v/>
      </c>
      <c r="KD21" s="300"/>
      <c r="KE21" s="461" t="str">
        <f t="shared" si="302"/>
        <v/>
      </c>
      <c r="KF21" s="490" t="str">
        <f>IF(A21=FALSE,"",IF(KA21="POEA",Cotations!BM21,IF(KA21="FIXE",Cotations!BN21,IF(Cotations!BO21*Y21&lt;50000,Z21,Cotations!BO21*Y21))))</f>
        <v/>
      </c>
      <c r="KG21" s="300" t="str">
        <f t="shared" si="303"/>
        <v/>
      </c>
      <c r="KH21" s="522" t="str">
        <f>IF(A21=FALSE,"",IF(Cotations!BL21="monthly",KG21/12*L21,KG21/365*M21))</f>
        <v/>
      </c>
      <c r="KI21" s="489" t="str">
        <f>IF(A21=FALSE,"",IF(Cotations!BP21="","",Cotations!BP21))</f>
        <v/>
      </c>
      <c r="KJ21" s="300" t="str">
        <f t="shared" si="304"/>
        <v/>
      </c>
      <c r="KK21" s="300" t="str">
        <f t="shared" si="305"/>
        <v/>
      </c>
      <c r="KL21" s="919" t="str">
        <f t="shared" si="306"/>
        <v/>
      </c>
      <c r="KM21" s="517" t="str">
        <f>IF(A21=FALSE,"",Cotations!BQ21)</f>
        <v/>
      </c>
      <c r="KN21" s="515" t="str">
        <f>IF(A21=FALSE,"",Cotations!BR21)</f>
        <v/>
      </c>
      <c r="KO21" s="493" t="str">
        <f>IF(A21=FALSE,"",Cotations!BS21)</f>
        <v/>
      </c>
      <c r="KP21" s="517" t="str">
        <f>IF(A21=FALSE,"",IF(KM21="N/A",0,IF(INDEX(LISTES!$F$105:$F$109,MATCH(KM21,LISTES!$C$105:$C$109,0))="FIX",IF(INDEX(LISTES!$E$105:$E$109,MATCH(KM21,LISTES!$C$105:$C$109,0))=12,KN21/12*L21,KN21/365*M21),KO21*KL21)))</f>
        <v/>
      </c>
      <c r="KQ21" s="294" t="str">
        <f t="shared" si="307"/>
        <v/>
      </c>
      <c r="KR21" s="494" t="str">
        <f>IF(A21=FALSE,"",KQ21*Cotations!BT21)</f>
        <v/>
      </c>
      <c r="KS21" s="494" t="str">
        <f>IF(A21=FALSE,"",KQ21*Cotations!BU21)</f>
        <v/>
      </c>
      <c r="KT21" s="338" t="str">
        <f t="shared" si="308"/>
        <v/>
      </c>
      <c r="KU21" s="919" t="str">
        <f>IF(A21=FALSE,"",((KG21*TAXE)-(KG21*TAXE*KI21))+IF(KM21="N/A",0,IF(INDEX(LISTES!$F$105:$F$109,MATCH(KM21,LISTES!$C$105:$C$109,0))="FIX",KN21,KO21*KL21)))</f>
        <v/>
      </c>
      <c r="KX21" s="422"/>
      <c r="KY21" s="422"/>
      <c r="LA21" s="497" t="str">
        <f>IF(A21=FALSE,"",Cotations!D21)</f>
        <v/>
      </c>
      <c r="LB21" s="498" t="str">
        <f>IF(A21=FALSE,"",IF(LISTES!$A$17=1,Cotations!BV21,Cotations!$BW$4))</f>
        <v/>
      </c>
      <c r="LC21" s="499" t="str">
        <f t="shared" si="309"/>
        <v/>
      </c>
      <c r="LD21" s="499" t="str">
        <f t="shared" si="310"/>
        <v/>
      </c>
      <c r="LE21" s="500" t="str">
        <f t="shared" si="311"/>
        <v/>
      </c>
      <c r="LF21" s="501" t="str">
        <f>IF(A21=FALSE,"",IF(LA21="POEA",Cotations!EJ21,IF(LA21="FIXE",Cotations!$BY$4,Cotations!$CA$4*Y21)))</f>
        <v/>
      </c>
      <c r="LG21" s="502" t="str">
        <f t="shared" si="312"/>
        <v/>
      </c>
      <c r="LH21" s="520" t="str">
        <f>IF(A21=FALSE,"",IF(Cotations!$BX$4="monthly",LG21/12*L21,LG21/365*M21))</f>
        <v/>
      </c>
      <c r="LI21" s="503" t="str">
        <f>IF(A21=FALSE,"",Cotations!$CB$4)</f>
        <v/>
      </c>
      <c r="LJ21" s="502" t="str">
        <f t="shared" si="313"/>
        <v/>
      </c>
      <c r="LK21" s="502" t="str">
        <f t="shared" si="314"/>
        <v/>
      </c>
      <c r="LL21" s="504" t="str">
        <f t="shared" si="315"/>
        <v/>
      </c>
      <c r="LM21" s="505" t="str">
        <f>IF(A21=FALSE,"",Cotations!$CC$4)</f>
        <v/>
      </c>
      <c r="LN21" s="503" t="str">
        <f>IF(A21=FALSE,"",Cotations!$CD$4)</f>
        <v/>
      </c>
      <c r="LO21" s="503" t="str">
        <f>IF(A21=FALSE,"",Cotations!$CE$4)</f>
        <v/>
      </c>
      <c r="LP21" s="505" t="str">
        <f>IF(A21=FALSE,"",IF(LM21="N/A",0,IF(INDEX(LISTES!$F$105:$F$109,MATCH(LM21,LISTES!$C$105:$C$109,0))="FIX",IF(INDEX(LISTES!$E$105:$E$109,MATCH(LM21,LISTES!$C$105:$C$109,0))=12,LN21/12*L21,LN21/365*M21),LO21*LL21)))</f>
        <v/>
      </c>
      <c r="LQ21" s="504" t="str">
        <f t="shared" si="316"/>
        <v/>
      </c>
      <c r="LR21" s="505" t="str">
        <f>IF(A21=FALSE,"",LQ21*Cotations!$CF$4)</f>
        <v/>
      </c>
      <c r="LS21" s="505" t="str">
        <f>IF(A21=FALSE,"",LQ21*Cotations!$CG$4)</f>
        <v/>
      </c>
      <c r="LT21" s="506" t="str">
        <f t="shared" si="317"/>
        <v/>
      </c>
      <c r="LU21" s="919" t="str">
        <f>IF(A21=FALSE,"",((LG21*TAXE)-(LG21*TAXE*LI21))+IF(LM21="N/A",0,IF(INDEX(LISTES!$F$105:$F$109,MATCH(LM21,LISTES!$C$105:$C$109,0))="FIX",LN21,LO21*LL21)))</f>
        <v/>
      </c>
      <c r="MA21" s="492" t="str">
        <f>IF(A21=FALSE,"",Cotations!D21)</f>
        <v/>
      </c>
      <c r="MB21" s="491" t="str">
        <f>IF(A21=FALSE,"",IF(LISTES!$A$17=1,Cotations!BV21,Cotations!BW21))</f>
        <v/>
      </c>
      <c r="MC21" s="285" t="str">
        <f t="shared" si="318"/>
        <v/>
      </c>
      <c r="MD21" s="300"/>
      <c r="ME21" s="461" t="str">
        <f t="shared" si="319"/>
        <v/>
      </c>
      <c r="MF21" s="490" t="str">
        <f>IF(A21=FALSE,"",IF(MA21="POEA",Cotations!BY21,IF(MA21="FIXE",Cotations!BZ21,IF(Cotations!CA21*Y21&lt;50000,Z21,Cotations!CA21*Y21))))</f>
        <v/>
      </c>
      <c r="MG21" s="300" t="str">
        <f t="shared" si="320"/>
        <v/>
      </c>
      <c r="MH21" s="522" t="str">
        <f>IF(A21=FALSE,"",IF(Cotations!BX21="monthly",MG21/12*L21,MG21/365*M21))</f>
        <v/>
      </c>
      <c r="MI21" s="489" t="str">
        <f>IF(A21=FALSE,"",IF(Cotations!CB21="","",Cotations!CB21))</f>
        <v/>
      </c>
      <c r="MJ21" s="300" t="str">
        <f t="shared" si="321"/>
        <v/>
      </c>
      <c r="MK21" s="300" t="str">
        <f t="shared" si="322"/>
        <v/>
      </c>
      <c r="ML21" s="919" t="str">
        <f t="shared" si="323"/>
        <v/>
      </c>
      <c r="MM21" s="517" t="str">
        <f>IF(A21=FALSE,"",Cotations!CC21)</f>
        <v/>
      </c>
      <c r="MN21" s="515" t="str">
        <f>IF(A21=FALSE,"",Cotations!CD21)</f>
        <v/>
      </c>
      <c r="MO21" s="493" t="str">
        <f>IF(A21=FALSE,"",Cotations!CE21)</f>
        <v/>
      </c>
      <c r="MP21" s="517" t="str">
        <f>IF(A21=FALSE,"",IF(MM21="N/A",0,IF(INDEX(LISTES!$F$105:$F$109,MATCH(MM21,LISTES!$C$105:$C$109,0))="FIX",IF(INDEX(LISTES!$E$105:$E$109,MATCH(MM21,LISTES!$C$105:$C$109,0))=12,MN21/12*L21,MN21/365*M21),MO21*ML21)))</f>
        <v/>
      </c>
      <c r="MQ21" s="294" t="str">
        <f t="shared" si="324"/>
        <v/>
      </c>
      <c r="MR21" s="494" t="str">
        <f>IF(A21=FALSE,"",MQ21*Cotations!CF21)</f>
        <v/>
      </c>
      <c r="MS21" s="494" t="str">
        <f>IF(A21=FALSE,"",MQ21*Cotations!CG21)</f>
        <v/>
      </c>
      <c r="MT21" s="338" t="str">
        <f t="shared" si="325"/>
        <v/>
      </c>
      <c r="MU21" s="919" t="str">
        <f>IF(A21=FALSE,"",((MG21*TAXE)-(MG21*TAXE*MI21))+IF(MM21="N/A",0,IF(INDEX(LISTES!$F$105:$F$109,MATCH(MM21,LISTES!$C$105:$C$109,0))="FIX",MN21,MO21*ML21)))</f>
        <v/>
      </c>
      <c r="NA21" s="497" t="str">
        <f>IF(A21=FALSE,"",Cotations!D21)</f>
        <v/>
      </c>
      <c r="NB21" s="498" t="str">
        <f>IF(A21=FALSE,"",IF(LISTES!$A$17=1,Cotations!CH21,Cotations!$CI$4))</f>
        <v/>
      </c>
      <c r="NC21" s="499" t="str">
        <f t="shared" si="326"/>
        <v/>
      </c>
      <c r="ND21" s="499" t="str">
        <f t="shared" si="327"/>
        <v/>
      </c>
      <c r="NE21" s="500" t="str">
        <f t="shared" si="328"/>
        <v/>
      </c>
      <c r="NF21" s="501" t="str">
        <f>IF(A21=FALSE,"",IF(NA21="POEA",Cotations!CK21,IF(NA21="FIXE",Cotations!$CK$4,Cotations!$CM$4*Y21)))</f>
        <v/>
      </c>
      <c r="NG21" s="502" t="str">
        <f t="shared" si="329"/>
        <v/>
      </c>
      <c r="NH21" s="520" t="str">
        <f>IF(A21=FALSE,"",IF(Cotations!$CJ$4="monthly",NG21/12*L21,NG21/365*M21))</f>
        <v/>
      </c>
      <c r="NI21" s="503" t="str">
        <f>IF(A21=FALSE,"",Cotations!$CN$4)</f>
        <v/>
      </c>
      <c r="NJ21" s="502" t="str">
        <f t="shared" si="330"/>
        <v/>
      </c>
      <c r="NK21" s="502" t="str">
        <f t="shared" si="331"/>
        <v/>
      </c>
      <c r="NL21" s="504" t="str">
        <f t="shared" si="332"/>
        <v/>
      </c>
      <c r="NM21" s="505" t="str">
        <f>IF(A21=FALSE,"",Cotations!$CO$4)</f>
        <v/>
      </c>
      <c r="NN21" s="520" t="str">
        <f>IF(A21=FALSE,"",Cotations!$CP$4)</f>
        <v/>
      </c>
      <c r="NO21" s="503" t="str">
        <f>IF(A21=FALSE,"",Cotations!$CQ$4)</f>
        <v/>
      </c>
      <c r="NP21" s="505" t="str">
        <f>IF(A21=FALSE,"",IF(NM21="N/A",0,IF(INDEX(LISTES!$F$105:$F$109,MATCH(NM21,LISTES!$C$105:$C$109,0))="FIX",IF(INDEX(LISTES!$E$105:$E$109,MATCH(NM21,LISTES!$C$105:$C$109,0))=12,NN21/12*L21,NN21/365*M21),NO21*NL21)))</f>
        <v/>
      </c>
      <c r="NQ21" s="504" t="str">
        <f t="shared" si="333"/>
        <v/>
      </c>
      <c r="NR21" s="505" t="str">
        <f>IF(A21=FALSE,"",NQ21*Cotations!$CR$4)</f>
        <v/>
      </c>
      <c r="NS21" s="505" t="str">
        <f>IF(A21=FALSE,"",NQ21*Cotations!$CS$4)</f>
        <v/>
      </c>
      <c r="NT21" s="506" t="str">
        <f t="shared" si="334"/>
        <v/>
      </c>
      <c r="NU21" s="919" t="str">
        <f>IF(A21=FALSE,"",((NG21*TAXE)-(NG21*TAXE*NI21))+IF(NM21="N/A",0,IF(INDEX(LISTES!$F$105:$F$109,MATCH(NM21,LISTES!$C$105:$C$109,0))="FIX",NN21,NO21*NL21)))</f>
        <v/>
      </c>
      <c r="OA21" s="492" t="str">
        <f>IF(A21=FALSE,"",Cotations!D21)</f>
        <v/>
      </c>
      <c r="OB21" s="491" t="str">
        <f>IF(A21=FALSE,"",IF(LISTES!$A$17=1,Cotations!CH21,Cotations!CI21))</f>
        <v/>
      </c>
      <c r="OC21" s="285" t="str">
        <f t="shared" si="335"/>
        <v/>
      </c>
      <c r="OD21" s="300"/>
      <c r="OE21" s="461" t="str">
        <f t="shared" si="336"/>
        <v/>
      </c>
      <c r="OF21" s="490" t="str">
        <f>IF(A21=FALSE,"",IF(OA21="POEA",Cotations!CK21,IF(OA21="FIXE",Cotations!CL21,IF(Cotations!CM21*Y21&lt;50000,Z21,Cotations!CM21*Y21))))</f>
        <v/>
      </c>
      <c r="OG21" s="300" t="str">
        <f t="shared" si="337"/>
        <v/>
      </c>
      <c r="OH21" s="522" t="str">
        <f>IF(A21=FALSE,"",IF(Cotations!CJ21="monthly",OG21/12*L21,OG21/365*M21))</f>
        <v/>
      </c>
      <c r="OI21" s="489" t="str">
        <f>IF(A21=FALSE,"",IF(Cotations!CN21="","",Cotations!CN21))</f>
        <v/>
      </c>
      <c r="OJ21" s="300" t="str">
        <f t="shared" si="338"/>
        <v/>
      </c>
      <c r="OK21" s="300" t="str">
        <f t="shared" si="339"/>
        <v/>
      </c>
      <c r="OL21" s="919" t="str">
        <f t="shared" si="340"/>
        <v/>
      </c>
      <c r="OM21" s="517" t="str">
        <f>IF(A21=FALSE,"",Cotations!CO21)</f>
        <v/>
      </c>
      <c r="ON21" s="515" t="str">
        <f>IF(A21=FALSE,"",Cotations!CP21)</f>
        <v/>
      </c>
      <c r="OO21" s="493" t="str">
        <f>IF(A21=FALSE,"",Cotations!CQ21)</f>
        <v/>
      </c>
      <c r="OP21" s="517" t="str">
        <f>IF(A21=FALSE,"",IF(OM21="N/A",0,IF(INDEX(LISTES!$F$105:$F$109,MATCH(OM21,LISTES!$C$105:$C$109,0))="FIX",IF(INDEX(LISTES!$E$105:$E$109,MATCH(OM21,LISTES!$C$105:$C$109,0))=12,ON21/12*L21,ON21/365*M21),OO21*OL21)))</f>
        <v/>
      </c>
      <c r="OQ21" s="294" t="str">
        <f t="shared" si="341"/>
        <v/>
      </c>
      <c r="OR21" s="494" t="str">
        <f>IF(A21=FALSE,"",OQ21*Cotations!CR21)</f>
        <v/>
      </c>
      <c r="OS21" s="494" t="str">
        <f>IF(A21=FALSE,"",OQ21*Cotations!CS21)</f>
        <v/>
      </c>
      <c r="OT21" s="338" t="str">
        <f t="shared" si="342"/>
        <v/>
      </c>
      <c r="OU21" s="919" t="str">
        <f>IF(A21=FALSE,"",((OG21*TAXE)-(OG21*TAXE*OI21))+IF(OM21="N/A",0,IF(INDEX(LISTES!$F$105:$F$109,MATCH(OM21,LISTES!$C$105:$C$109,0))="FIX",ON21,OO21*OL21)))</f>
        <v/>
      </c>
      <c r="PA21" s="497" t="str">
        <f t="shared" si="343"/>
        <v/>
      </c>
      <c r="PB21" s="498" t="str">
        <f>IF(A21=FALSE,"",IF(LISTES!$A$17=1,Cotations!CT21,Cotations!$CU$4))</f>
        <v/>
      </c>
      <c r="PC21" s="499" t="str">
        <f t="shared" si="344"/>
        <v/>
      </c>
      <c r="PD21" s="499" t="str">
        <f t="shared" si="345"/>
        <v/>
      </c>
      <c r="PE21" s="500" t="str">
        <f t="shared" si="346"/>
        <v/>
      </c>
      <c r="PF21" s="501" t="str">
        <f>IF(A21=FALSE,"",Cotations!$CY$4*Y21)</f>
        <v/>
      </c>
      <c r="PG21" s="502" t="str">
        <f t="shared" si="347"/>
        <v/>
      </c>
      <c r="PH21" s="520" t="str">
        <f>IF(A21=FALSE,"",IF(Cotations!$CV$4="monthly",PG21/12*L21,PG21/365*M21))</f>
        <v/>
      </c>
      <c r="PI21" s="503" t="str">
        <f>IF(A21=FALSE,"",Cotations!$CZ$4)</f>
        <v/>
      </c>
      <c r="PJ21" s="502" t="str">
        <f t="shared" si="348"/>
        <v/>
      </c>
      <c r="PK21" s="502" t="str">
        <f t="shared" si="349"/>
        <v/>
      </c>
      <c r="PL21" s="504" t="str">
        <f t="shared" si="350"/>
        <v/>
      </c>
      <c r="PM21" s="505" t="str">
        <f>IF(A21=FALSE,"",Cotations!$DA$4)</f>
        <v/>
      </c>
      <c r="PN21" s="520" t="str">
        <f>IF(A21=FALSE,"",Cotations!$DB$4)</f>
        <v/>
      </c>
      <c r="PO21" s="503" t="str">
        <f>IF(A21=FALSE,"",Cotations!$DC$4)</f>
        <v/>
      </c>
      <c r="PP21" s="505" t="str">
        <f>IF(A21=FALSE,"",IF(PM21="N/A",0,IF(INDEX(LISTES!$F$105:$F$109,MATCH(PM21,LISTES!$C$105:$C$109,0))="FIX",IF(INDEX(LISTES!$E$105:$E$109,MATCH(PM21,LISTES!$C$105:$C$109,0))=12,PN21/12*L21,PN21/365*M21),PO21*PL21)))</f>
        <v/>
      </c>
      <c r="PQ21" s="504" t="str">
        <f t="shared" si="351"/>
        <v/>
      </c>
      <c r="PR21" s="505" t="str">
        <f>IF(A21=FALSE,"",PQ21*Cotations!$DD$4)</f>
        <v/>
      </c>
      <c r="PS21" s="505" t="str">
        <f>IF(A21=FALSE,"",PQ21*Cotations!$DE$4)</f>
        <v/>
      </c>
      <c r="PT21" s="506" t="str">
        <f t="shared" si="352"/>
        <v/>
      </c>
      <c r="PU21" s="919" t="str">
        <f>IF(A21=FALSE,"",((PG21*TAXE)-(PG21*TAXE*PI21))+IF(PM21="N/A",0,IF(INDEX(LISTES!$F$105:$F$109,MATCH(PM21,LISTES!$C$105:$C$109,0))="FIX",PN21,PO21*PL21)))</f>
        <v/>
      </c>
      <c r="QA21" s="492" t="str">
        <f t="shared" si="353"/>
        <v/>
      </c>
      <c r="QB21" s="491" t="str">
        <f>IF(A21=FALSE,"",IF(LISTES!$A$17=1,Cotations!CT21,Cotations!CU21))</f>
        <v/>
      </c>
      <c r="QC21" s="285" t="str">
        <f t="shared" si="354"/>
        <v/>
      </c>
      <c r="QD21" s="300"/>
      <c r="QE21" s="461" t="str">
        <f t="shared" si="355"/>
        <v/>
      </c>
      <c r="QF21" s="490" t="str">
        <f>IF(A21=FALSE,"",Cotations!CY21*AA21)</f>
        <v/>
      </c>
      <c r="QG21" s="300" t="str">
        <f t="shared" si="356"/>
        <v/>
      </c>
      <c r="QH21" s="522" t="str">
        <f>IF(A21=FALSE,"",IF(Cotations!CV21="monthly",QG21/12*L21,QG21/365*M21))</f>
        <v/>
      </c>
      <c r="QI21" s="489" t="str">
        <f>IF(A21=FALSE,"",IF(Cotations!CZ21="","",Cotations!CZ21))</f>
        <v/>
      </c>
      <c r="QJ21" s="300" t="str">
        <f t="shared" si="357"/>
        <v/>
      </c>
      <c r="QK21" s="300" t="str">
        <f t="shared" si="358"/>
        <v/>
      </c>
      <c r="QL21" s="919" t="str">
        <f t="shared" si="359"/>
        <v/>
      </c>
      <c r="QM21" s="517" t="str">
        <f>IF(A21=FALSE,"",Cotations!DA21)</f>
        <v/>
      </c>
      <c r="QN21" s="515" t="str">
        <f>IF(A21=FALSE,"",Cotations!DB21)</f>
        <v/>
      </c>
      <c r="QO21" s="493" t="str">
        <f>IF(A21=FALSE,"",Cotations!DC21)</f>
        <v/>
      </c>
      <c r="QP21" s="517" t="str">
        <f>IF(A21=FALSE,"",IF(QM21="N/A",0,IF(INDEX(LISTES!$F$105:$F$109,MATCH(QM21,LISTES!$C$105:$C$109,0))="FIX",IF(INDEX(LISTES!$E$105:$E$109,MATCH(QM21,LISTES!$C$105:$C$109,0))=12,QN21/12*L21,QN21/365*M21),QO21*QL21)))</f>
        <v/>
      </c>
      <c r="QQ21" s="294" t="str">
        <f t="shared" si="360"/>
        <v/>
      </c>
      <c r="QR21" s="494" t="str">
        <f>IF(A21=FALSE,"",QQ21*Cotations!DD21)</f>
        <v/>
      </c>
      <c r="QS21" s="494" t="str">
        <f>IF(A21=FALSE,"",QQ21*Cotations!DE21)</f>
        <v/>
      </c>
      <c r="QT21" s="338" t="str">
        <f t="shared" si="361"/>
        <v/>
      </c>
      <c r="QU21" s="919" t="str">
        <f>IF(A21=FALSE,"",((QG21*TAXE)-(QG21*TAXE*QI21))+IF(QM21="N/A",0,IF(INDEX(LISTES!$F$105:$F$109,MATCH(QM21,LISTES!$C$105:$C$109,0))="FIX",QN21,QO21*QL21)))</f>
        <v/>
      </c>
      <c r="RA21" s="497" t="str">
        <f t="shared" si="362"/>
        <v/>
      </c>
      <c r="RB21" s="498" t="str">
        <f>IF(A21=FALSE,"",IF(LISTES!$A$17=1,Cotations!DF21,Cotations!$DG$4))</f>
        <v/>
      </c>
      <c r="RC21" s="499" t="str">
        <f t="shared" si="363"/>
        <v/>
      </c>
      <c r="RD21" s="499" t="str">
        <f t="shared" si="364"/>
        <v/>
      </c>
      <c r="RE21" s="500" t="str">
        <f t="shared" si="365"/>
        <v/>
      </c>
      <c r="RF21" s="501" t="str">
        <f>IF(A21=FALSE,"",Cotations!$DK$4*Y21)</f>
        <v/>
      </c>
      <c r="RG21" s="502" t="str">
        <f t="shared" si="366"/>
        <v/>
      </c>
      <c r="RH21" s="520" t="str">
        <f>IF(A21=FALSE,"",IF(Cotations!$DH$4="monthly",RG21/12*L21,RG21/365*M21))</f>
        <v/>
      </c>
      <c r="RI21" s="503" t="str">
        <f>IF(A21=FALSE,"",Cotations!$DL$4)</f>
        <v/>
      </c>
      <c r="RJ21" s="502" t="str">
        <f t="shared" si="367"/>
        <v/>
      </c>
      <c r="RK21" s="502" t="str">
        <f t="shared" si="368"/>
        <v/>
      </c>
      <c r="RL21" s="504" t="str">
        <f t="shared" si="369"/>
        <v/>
      </c>
      <c r="RM21" s="505" t="str">
        <f>IF(A21=FALSE,"",Cotations!$DM$4)</f>
        <v/>
      </c>
      <c r="RN21" s="520" t="str">
        <f>IF(A21=FALSE,"",Cotations!$DN$4)</f>
        <v/>
      </c>
      <c r="RO21" s="503" t="str">
        <f>IF(A21=FALSE,"",Cotations!$DO$4)</f>
        <v/>
      </c>
      <c r="RP21" s="505" t="str">
        <f>IF(A21=FALSE,"",IF(RM21="N/A",0,IF(INDEX(LISTES!$F$105:$F$109,MATCH(RM21,LISTES!$C$105:$C$109,0))="FIX",IF(INDEX(LISTES!$E$105:$E$109,MATCH(RM21,LISTES!$C$105:$C$109,0))=12,RN21/12*L21,RN21/365*M21),RO21*RL21)))</f>
        <v/>
      </c>
      <c r="RQ21" s="504" t="str">
        <f t="shared" si="370"/>
        <v/>
      </c>
      <c r="RR21" s="505" t="str">
        <f>IF(A21=FALSE,"",RQ21*Cotations!$DP$4)</f>
        <v/>
      </c>
      <c r="RS21" s="505" t="str">
        <f>IF(A21=FALSE,"",RQ21*Cotations!$DQ$4)</f>
        <v/>
      </c>
      <c r="RT21" s="506" t="str">
        <f t="shared" si="371"/>
        <v/>
      </c>
      <c r="RU21" s="919" t="str">
        <f>IF(A21=FALSE,"",((RG21*TAXE)-(RG21*TAXE*RI21))+IF(RM21="N/A",0,IF(INDEX(LISTES!$F$105:$F$109,MATCH(RM21,LISTES!$C$105:$C$109,0))="FIX",RN21,RO21*RL21)))</f>
        <v/>
      </c>
      <c r="SA21" s="492" t="str">
        <f t="shared" si="372"/>
        <v/>
      </c>
      <c r="SB21" s="491" t="str">
        <f>IF(A21=FALSE,"",IF(LISTES!$A$17=1,Cotations!DF21,Cotations!DG21))</f>
        <v/>
      </c>
      <c r="SC21" s="285" t="str">
        <f t="shared" si="373"/>
        <v/>
      </c>
      <c r="SD21" s="300"/>
      <c r="SE21" s="461" t="str">
        <f t="shared" si="374"/>
        <v/>
      </c>
      <c r="SF21" s="490" t="str">
        <f>IF(A21=FALSE,"",Cotations!DK21*AA21)</f>
        <v/>
      </c>
      <c r="SG21" s="300" t="str">
        <f t="shared" si="375"/>
        <v/>
      </c>
      <c r="SH21" s="522" t="str">
        <f>IF(A21=FALSE,"",IF(Cotations!DH21="monthly",SG21/12*L21,SG21/365*M21))</f>
        <v/>
      </c>
      <c r="SI21" s="489" t="str">
        <f>IF(A21=FALSE,"",IF(Cotations!DL21="","",Cotations!DL21))</f>
        <v/>
      </c>
      <c r="SJ21" s="300" t="str">
        <f t="shared" si="376"/>
        <v/>
      </c>
      <c r="SK21" s="300" t="str">
        <f t="shared" si="377"/>
        <v/>
      </c>
      <c r="SL21" s="919" t="str">
        <f t="shared" si="378"/>
        <v/>
      </c>
      <c r="SM21" s="285" t="str">
        <f>IF(A21=FALSE,"",Cotations!DM21)</f>
        <v/>
      </c>
      <c r="SN21" s="515" t="str">
        <f>IF(A21=FALSE,"",Cotations!DN21)</f>
        <v/>
      </c>
      <c r="SO21" s="493" t="str">
        <f>IF(A21=FALSE,"",Cotations!DO21)</f>
        <v/>
      </c>
      <c r="SP21" s="517" t="str">
        <f>IF(A21=FALSE,"",IF(SM21="N/A",0,IF(INDEX(LISTES!$F$105:$F$109,MATCH(SM21,LISTES!$C$105:$C$109,0))="FIX",IF(INDEX(LISTES!$E$105:$E$109,MATCH(SM21,LISTES!$C$105:$C$109,0))=12,SN21/12*L21,SN21/365*M21),SO21*SL21)))</f>
        <v/>
      </c>
      <c r="SQ21" s="294" t="str">
        <f t="shared" si="379"/>
        <v/>
      </c>
      <c r="SR21" s="494" t="str">
        <f>IF(A21=FALSE,"",SQ21*Cotations!DP21)</f>
        <v/>
      </c>
      <c r="SS21" s="494" t="str">
        <f>IF(A21=FALSE,"",SQ21*Cotations!DQ21)</f>
        <v/>
      </c>
      <c r="ST21" s="338" t="str">
        <f t="shared" si="380"/>
        <v/>
      </c>
      <c r="SU21" s="919" t="str">
        <f>IF(A21=FALSE,"",((SG21*TAXE)-(SG21*TAXE*SI21))+IF(SM21="N/A",0,IF(INDEX(LISTES!$F$105:$F$109,MATCH(SM21,LISTES!$C$105:$C$109,0))="FIX",SN21,SO21*SL21)))</f>
        <v/>
      </c>
      <c r="SY21" s="716"/>
      <c r="TA21" s="492" t="str">
        <f>IF(A21=FALSE,"",Cotations!D21)</f>
        <v/>
      </c>
      <c r="TB21" s="491" t="str">
        <f>IF(A21=FALSE,"",IF(LISTES!$A$17=1,Cotations!DR21,Cotations!DS21))</f>
        <v/>
      </c>
      <c r="TC21" s="285" t="str">
        <f t="shared" si="381"/>
        <v/>
      </c>
      <c r="TD21" s="300" t="str">
        <f>IF(A21=FALSE,"",Detail!CQ21)</f>
        <v/>
      </c>
      <c r="TE21" s="461" t="str">
        <f t="shared" si="382"/>
        <v/>
      </c>
      <c r="TF21" s="490" t="str">
        <f>IF(A21=FALSE,"",IF(TA21="FIXE",Cotations!DU21,Cotations!DV21*Y21))</f>
        <v/>
      </c>
      <c r="TG21" s="300" t="str">
        <f t="shared" si="383"/>
        <v/>
      </c>
      <c r="TH21" s="522" t="str">
        <f>IF(A21=FALSE,"",IF(Cotations!DT21="monthly",TG21/12*L21,TG21/365*M21))</f>
        <v/>
      </c>
      <c r="TI21" s="489" t="str">
        <f>IF(A21=FALSE,"",IF(Cotations!DW21="","",Cotations!DW21))</f>
        <v/>
      </c>
      <c r="TJ21" s="300" t="str">
        <f t="shared" si="384"/>
        <v/>
      </c>
      <c r="TK21" s="300" t="str">
        <f t="shared" si="385"/>
        <v/>
      </c>
      <c r="TL21" s="919" t="str">
        <f t="shared" si="386"/>
        <v/>
      </c>
      <c r="TM21" s="517" t="str">
        <f>IF(A21=FALSE,"",Cotations!DX21)</f>
        <v/>
      </c>
      <c r="TN21" s="517" t="str">
        <f>IF(A21=FALSE,"",Cotations!DY21)</f>
        <v/>
      </c>
      <c r="TO21" s="493" t="str">
        <f>IF(A21=FALSE,"",Cotations!DZ21)</f>
        <v/>
      </c>
      <c r="TP21" s="517" t="str">
        <f>IF(A21=FALSE,"",IF(TM21="N/A",0,IF(INDEX(LISTES!$F$105:$F$109,MATCH(TM21,LISTES!$C$105:$C$109,0))="FIX",IF(INDEX(LISTES!$E$105:$E$109,MATCH(TM21,LISTES!$C$105:$C$109,0))=12,TN21/12*L21,TN21/365*M21),TO21*TL21)))</f>
        <v/>
      </c>
      <c r="TQ21" s="294" t="str">
        <f t="shared" si="387"/>
        <v/>
      </c>
      <c r="TR21" s="494" t="str">
        <f>IF(A21=FALSE,"",TQ21*Cotations!EA21)</f>
        <v/>
      </c>
      <c r="TS21" s="494" t="str">
        <f>IF(A21=FALSE,"",TQ21*Cotations!EB21)</f>
        <v/>
      </c>
      <c r="TT21" s="338" t="str">
        <f t="shared" si="388"/>
        <v/>
      </c>
      <c r="TU21" s="919" t="str">
        <f>IF(A21=FALSE,"",((TG21*(1+TAXE)-(TG21*(1+TAXE)*TI21))+IF(TM21="N/A",0,IF(INDEX(LISTES!$F$105:$F$109,MATCH(TM21,LISTES!$C$105:$C$109,0))="FIX",TN21,TO21*TL21))))</f>
        <v/>
      </c>
      <c r="UA21" s="492" t="str">
        <f>IF(A21=FALSE,"",Cotations!D21)</f>
        <v/>
      </c>
      <c r="UB21" s="491" t="str">
        <f>IF(A21=FALSE,"",IF(LISTES!$A$17=1,Cotations!EC21,Cotations!ED21))</f>
        <v/>
      </c>
      <c r="UC21" s="285" t="str">
        <f t="shared" si="389"/>
        <v/>
      </c>
      <c r="UD21" s="300" t="str">
        <f>IF(A21=FALSE,"",Detail!CY21)</f>
        <v/>
      </c>
      <c r="UE21" s="461" t="str">
        <f t="shared" si="390"/>
        <v/>
      </c>
      <c r="UF21" s="490" t="str">
        <f>IF(A21=FALSE,"",IF(UA21="FIXE",Cotations!EF21,Cotations!EG21*Y21))</f>
        <v/>
      </c>
      <c r="UG21" s="300" t="str">
        <f t="shared" si="391"/>
        <v/>
      </c>
      <c r="UH21" s="522" t="str">
        <f>IF(A21=FALSE,"",IF(Cotations!EE21="monthly",UG21/12*L21,UG21/365*M21))</f>
        <v/>
      </c>
      <c r="UI21" s="489" t="str">
        <f>IF(A21=FALSE,"",IF(Cotations!EH21="","",Cotations!EH21))</f>
        <v/>
      </c>
      <c r="UJ21" s="300" t="str">
        <f t="shared" si="392"/>
        <v/>
      </c>
      <c r="UK21" s="300" t="str">
        <f t="shared" si="393"/>
        <v/>
      </c>
      <c r="UL21" s="919" t="str">
        <f t="shared" si="394"/>
        <v/>
      </c>
      <c r="UM21" s="517" t="str">
        <f>IF(A21=FALSE,"",Cotations!EI21)</f>
        <v/>
      </c>
      <c r="UN21" s="517" t="str">
        <f>IF(A21=FALSE,"",Cotations!EJ21)</f>
        <v/>
      </c>
      <c r="UO21" s="493" t="str">
        <f>IF(A21=FALSE,"",Cotations!EK21)</f>
        <v/>
      </c>
      <c r="UP21" s="517" t="str">
        <f>IF(A21=FALSE,"",IF(UM21="N/A",0,IF(INDEX(LISTES!$F$105:$F$109,MATCH(UM21,LISTES!$C$105:$C$109,0))="FIX",IF(INDEX(LISTES!$E$105:$E$109,MATCH(UM21,LISTES!$C$105:$C$109,0))=12,UN21/12*L21,UN21/365*M21),UO21*UL21)))</f>
        <v/>
      </c>
      <c r="UQ21" s="294" t="str">
        <f t="shared" si="395"/>
        <v/>
      </c>
      <c r="UR21" s="494" t="str">
        <f>IF(A21=FALSE,"",UQ21*Cotations!EL21)</f>
        <v/>
      </c>
      <c r="US21" s="494" t="str">
        <f>IF(A21=FALSE,"",UQ21*Cotations!EM21)</f>
        <v/>
      </c>
      <c r="UT21" s="338" t="str">
        <f t="shared" si="396"/>
        <v/>
      </c>
      <c r="UU21" s="919" t="str">
        <f>IF(A21=FALSE,"",((UG21*(1+TAXE)-(UG21*(1+TAXE)*UI21))+IF(UM21="N/A",0,IF(INDEX(LISTES!$F$105:$F$109,MATCH(UM21,LISTES!$C$105:$C$109,0))="FIX",UN21,UO21*UL21))))</f>
        <v/>
      </c>
      <c r="VA21" s="492" t="str">
        <f>IF(A21=FALSE,"",Cotations!D21)</f>
        <v/>
      </c>
      <c r="VB21" s="519" t="str">
        <f>IF(A21=FALSE,"",IF(LISTES!$A$17=1,Cotations!EN21,Cotations!EO21))</f>
        <v/>
      </c>
      <c r="VC21" s="291" t="str">
        <f t="shared" si="397"/>
        <v/>
      </c>
      <c r="VD21" s="291" t="str">
        <f t="shared" si="398"/>
        <v/>
      </c>
      <c r="VE21" s="291"/>
      <c r="VF21" s="463"/>
      <c r="VG21" s="463" t="str">
        <f t="shared" si="399"/>
        <v/>
      </c>
      <c r="VH21" s="522" t="str">
        <f>IF(A21=FALSE,"",IF(Cotations!$AQ$4="monthly",VG21/12*L21,VG21/365*M21))</f>
        <v/>
      </c>
      <c r="VI21" s="489" t="str">
        <f>IF(A21=FALSE,"",Cotations!$AR$4)</f>
        <v/>
      </c>
      <c r="VJ21" s="300" t="str">
        <f t="shared" si="400"/>
        <v/>
      </c>
      <c r="VK21" s="300" t="str">
        <f t="shared" si="401"/>
        <v/>
      </c>
      <c r="VL21" s="294" t="str">
        <f t="shared" si="402"/>
        <v/>
      </c>
      <c r="VM21" s="494" t="str">
        <f>IF(A21=FALSE,"",Cotations!$AS$4)</f>
        <v/>
      </c>
      <c r="VN21" s="494" t="str">
        <f>IF(A21=FALSE,"",Cotations!$AT$4)</f>
        <v/>
      </c>
      <c r="VO21" s="489" t="str">
        <f>IF(A21=FALSE,"",Cotations!$AU$4)</f>
        <v/>
      </c>
      <c r="VP21" s="494" t="str">
        <f>IF(A21=FALSE,"",IF(VM21="N/A",0,IF(INDEX(LISTES!$F$105:$F$109,MATCH(VM21,LISTES!$C$105:$C$109,0))="FIX",IF(INDEX(LISTES!$E$105:$E$109,MATCH(VM21,LISTES!$C$105:$C$109,0))=12,VN21/12*L21,VN21/365*M21),VO21*VL21)))</f>
        <v/>
      </c>
      <c r="VQ21" s="294" t="str">
        <f t="shared" si="403"/>
        <v/>
      </c>
      <c r="VR21" s="494" t="str">
        <f>IF(A21=FALSE,"",VQ21*Cotations!$AV$4)</f>
        <v/>
      </c>
      <c r="VS21" s="494" t="str">
        <f>IF(A21=FALSE,"",VQ21*Cotations!$AW$4)</f>
        <v/>
      </c>
      <c r="VT21" s="465" t="str">
        <f t="shared" si="404"/>
        <v/>
      </c>
      <c r="VU21" s="919" t="str">
        <f>IF(A21=FALSE,"",((VG21*TAXE)-(VG21*TAXE*VI21))+IF(VM21="N/A",0,IF(INDEX(LISTES!$F$105:$F$109,MATCH(VM21,LISTES!$C$105:$C$109,0))="FIX",VN21,VO21*VL21)))</f>
        <v/>
      </c>
      <c r="WA21" s="492" t="str">
        <f>IF(A21=FALSE,"",Cotations!D21)</f>
        <v/>
      </c>
      <c r="WB21" s="519" t="str">
        <f>IF(A21=FALSE,"",IF(LISTES!$A$17=1,Cotations!EW21,Cotations!EX21))</f>
        <v/>
      </c>
      <c r="WC21" s="291" t="str">
        <f t="shared" si="405"/>
        <v/>
      </c>
      <c r="WD21" s="291" t="str">
        <f t="shared" si="406"/>
        <v/>
      </c>
      <c r="WE21" s="291"/>
      <c r="WF21" s="463"/>
      <c r="WG21" s="463" t="str">
        <f t="shared" si="407"/>
        <v/>
      </c>
      <c r="WH21" s="522" t="str">
        <f>IF(A21=FALSE,"",IF(Cotations!$AQ$4="monthly",WG21/12*L21,WG21/365*M21))</f>
        <v/>
      </c>
      <c r="WI21" s="489" t="str">
        <f>IF(A21=FALSE,"",Cotations!$AR$4)</f>
        <v/>
      </c>
      <c r="WJ21" s="300" t="str">
        <f t="shared" si="408"/>
        <v/>
      </c>
      <c r="WK21" s="300" t="str">
        <f t="shared" si="409"/>
        <v/>
      </c>
      <c r="WL21" s="294" t="str">
        <f t="shared" si="410"/>
        <v/>
      </c>
      <c r="WM21" s="494" t="str">
        <f>IF(A21=FALSE,"",Cotations!$AS$4)</f>
        <v/>
      </c>
      <c r="WN21" s="494" t="str">
        <f>IF(A21=FALSE,"",Cotations!$AT$4)</f>
        <v/>
      </c>
      <c r="WO21" s="489" t="str">
        <f>IF(A21=FALSE,"",Cotations!$AU$4)</f>
        <v/>
      </c>
      <c r="WP21" s="494" t="str">
        <f>IF(A21=FALSE,"",IF(WM21="N/A",0,IF(INDEX(LISTES!$F$105:$F$109,MATCH(WM21,LISTES!$C$105:$C$109,0))="FIX",IF(INDEX(LISTES!$E$105:$E$109,MATCH(WM21,LISTES!$C$105:$C$109,0))=12,WN21/12*L21,WN21/365*M21),WO21*WL21)))</f>
        <v/>
      </c>
      <c r="WQ21" s="294" t="str">
        <f t="shared" si="411"/>
        <v/>
      </c>
      <c r="WR21" s="494" t="str">
        <f>IF(A21=FALSE,"",WQ21*Cotations!$AV$4)</f>
        <v/>
      </c>
      <c r="WS21" s="494" t="str">
        <f>IF(A21=FALSE,"",WQ21*Cotations!$AW$4)</f>
        <v/>
      </c>
      <c r="WT21" s="465" t="str">
        <f t="shared" si="412"/>
        <v/>
      </c>
      <c r="WU21" s="919" t="str">
        <f>IF(A21=FALSE,"",((WG21*TAXE)-(WG21*TAXE*WI21))+IF(WM21="N/A",0,IF(INDEX(LISTES!$F$105:$F$109,MATCH(WM21,LISTES!$C$105:$C$109,0))="FIX",WN21,WO21*WL21)))</f>
        <v/>
      </c>
    </row>
    <row r="22" spans="1:619" s="296" customFormat="1">
      <c r="A22" s="942" t="b">
        <f t="shared" si="221"/>
        <v>0</v>
      </c>
      <c r="B22" s="942" t="b">
        <f>IF(NAMES!$B$9=TRUE,TRUE,FALSE)</f>
        <v>1</v>
      </c>
      <c r="C22" s="942" t="b">
        <f t="shared" si="413"/>
        <v>0</v>
      </c>
      <c r="D22" s="942" t="b">
        <f t="shared" si="414"/>
        <v>1</v>
      </c>
      <c r="E22" s="274" t="b">
        <f>IF(Cotations!C22="","",Cotations!C22)</f>
        <v>0</v>
      </c>
      <c r="F22" s="274" t="str">
        <f>IF(Cotations!D22="","",Cotations!D22)</f>
        <v>PROP</v>
      </c>
      <c r="G22" s="274" t="str">
        <f>IF(Cotations!E22="","",Cotations!E22)</f>
        <v>2015-2016!</v>
      </c>
      <c r="H22" s="274" t="str">
        <f>IF(Cotations!F22="","",Cotations!F22)</f>
        <v>SINGLE</v>
      </c>
      <c r="I22" s="274" t="str">
        <f>IF(Cotations!G22="","",Cotations!G22)</f>
        <v/>
      </c>
      <c r="J22" s="274" t="str">
        <f>IF(Cotations!H22="","",Cotations!H22)</f>
        <v/>
      </c>
      <c r="K22" s="274" t="str">
        <f>IF(Cotations!I22="","",Cotations!I22)</f>
        <v/>
      </c>
      <c r="L22" s="274" t="str">
        <f>IF(A22=FALSE,"",IF(Cotations!N22="","",Cotations!N22))</f>
        <v/>
      </c>
      <c r="M22" s="274" t="str">
        <f>IF(Cotations!P22="","",Cotations!P22)</f>
        <v/>
      </c>
      <c r="N22" s="724">
        <f>IF(NAMES!$B$10=TRUE,Cotations!J22,Cotations!L22)</f>
        <v>42496</v>
      </c>
      <c r="O22" s="724">
        <f>IF(NAMES!$B$10=TRUE,Cotations!K22,Cotations!M22)</f>
        <v>42643</v>
      </c>
      <c r="P22" s="943" t="str">
        <f t="shared" si="415"/>
        <v>mai</v>
      </c>
      <c r="Q22" s="724" t="str">
        <f>IF(A22=FALSE,"",IF(Crewlist!Y22="","",Crewlist!Y22))</f>
        <v/>
      </c>
      <c r="R22" s="78" t="str">
        <f>IF(Cotations!U22="","",Cotations!U22)</f>
        <v/>
      </c>
      <c r="S22" s="943" t="str">
        <f t="shared" si="416"/>
        <v/>
      </c>
      <c r="T22" s="919" t="str">
        <f>IF(A22=FALSE,"",VLOOKUP($U$15:$U$120,Currency!$A$2:$D$10,4,0)*Crewlist!N22)</f>
        <v/>
      </c>
      <c r="U22" s="1355" t="str">
        <f>IF(A22=FALSE,"",IF(IT22=0,Crewlist!M22&amp;"/"&amp;EX22,Crewlist!M22&amp;"/"&amp;IT22))</f>
        <v/>
      </c>
      <c r="V22" s="919" t="str">
        <f>IF(A22=FALSE,"",VLOOKUP($U$15:$U$120,Currency!$A$2:$D$10,4,0)*Detail!Q22)</f>
        <v/>
      </c>
      <c r="W22" s="1355" t="str">
        <f>IF(A22=FALSE,"",IF(IT22=0,Detail!R22&amp;"/"&amp;EX22,Detail!R22&amp;"/"&amp;IT22))</f>
        <v/>
      </c>
      <c r="X22" s="919" t="str">
        <f>IF(A22=FALSE,"",IF(LISTES!$C$17="Crewlist",Calcul!T22,Calcul!V22))</f>
        <v/>
      </c>
      <c r="Y22" s="758" t="str">
        <f t="shared" si="417"/>
        <v/>
      </c>
      <c r="Z22" s="758" t="str">
        <f>IF(A22=FALSE,"",IF(X22=0,0,IF((Cotations!BC22*12*X22)&lt;50000,50000,(12*X22))))</f>
        <v/>
      </c>
      <c r="AA22" s="758" t="str">
        <f t="shared" si="418"/>
        <v/>
      </c>
      <c r="AB22" s="758" t="str">
        <f>IF(A22=FALSE,"",IF(Crewlist!O22=0,"",Crewlist!O22))</f>
        <v/>
      </c>
      <c r="AC22" s="758" t="str">
        <f>IF(I22="","",VLOOKUP($AB$15:$AB$120,Currency!$A$15:$B$34,2,0))</f>
        <v/>
      </c>
      <c r="AD22" s="758" t="str">
        <f t="shared" si="419"/>
        <v/>
      </c>
      <c r="AE22" s="758" t="str">
        <f t="shared" si="420"/>
        <v/>
      </c>
      <c r="AF22" s="758" t="str">
        <f t="shared" si="421"/>
        <v/>
      </c>
      <c r="AG22" s="758" t="str">
        <f t="shared" si="422"/>
        <v/>
      </c>
      <c r="AH22" s="1355" t="str">
        <f t="shared" si="222"/>
        <v/>
      </c>
      <c r="AI22" s="919" t="str">
        <f t="shared" si="423"/>
        <v/>
      </c>
      <c r="AJ22" s="1382" t="str">
        <f t="shared" si="424"/>
        <v/>
      </c>
      <c r="AK22" s="1382" t="str">
        <f t="shared" si="425"/>
        <v/>
      </c>
      <c r="AL22" s="238" t="str">
        <f t="shared" si="223"/>
        <v/>
      </c>
      <c r="AM22" s="238" t="str">
        <f t="shared" si="224"/>
        <v/>
      </c>
      <c r="AN22" s="1374" t="str">
        <f t="shared" si="225"/>
        <v/>
      </c>
      <c r="AO22" s="238" t="str">
        <f t="shared" si="226"/>
        <v/>
      </c>
      <c r="AP22" s="342" t="str">
        <f>IF(A22=FALSE,"",INDEX(Rates!$Z$5:$Z$367,MATCH(EB22,colchoice,0)))</f>
        <v/>
      </c>
      <c r="AQ22" s="238" t="str">
        <f t="shared" si="227"/>
        <v/>
      </c>
      <c r="AR22" s="238" t="str">
        <f t="shared" si="426"/>
        <v/>
      </c>
      <c r="AS22" s="238" t="str">
        <f t="shared" si="427"/>
        <v/>
      </c>
      <c r="AT22" s="238" t="str">
        <f t="shared" si="428"/>
        <v/>
      </c>
      <c r="AU22" s="238" t="str">
        <f t="shared" si="228"/>
        <v/>
      </c>
      <c r="AV22" s="238" t="str">
        <f t="shared" si="429"/>
        <v/>
      </c>
      <c r="AW22" s="238" t="str">
        <f t="shared" si="229"/>
        <v/>
      </c>
      <c r="AX22" s="238" t="str">
        <f t="shared" si="230"/>
        <v/>
      </c>
      <c r="AY22" s="238" t="str">
        <f t="shared" si="231"/>
        <v/>
      </c>
      <c r="AZ22" s="238" t="str">
        <f t="shared" si="232"/>
        <v/>
      </c>
      <c r="BA22" s="238" t="str">
        <f t="shared" si="233"/>
        <v/>
      </c>
      <c r="BB22" s="552" t="str">
        <f t="shared" si="234"/>
        <v/>
      </c>
      <c r="BC22" s="347" t="str">
        <f t="shared" si="235"/>
        <v/>
      </c>
      <c r="BD22" s="239" t="str">
        <f t="shared" si="430"/>
        <v/>
      </c>
      <c r="BE22" s="239" t="str">
        <f>IF(A22=FALSE,"",IF(ALLTHESAME=TRUE,IF(DF22&lt;&gt;$BC$7,0,INDEX(DD22:DZ22,1,MATCH(Structure!$D$12,$DD$14:$DZ$14,0))),IF(EC22&lt;&gt;$BC$7,0,INDEX(EA22:EZ22,1,MATCH(Structure!$D$12,$EA$14:$EZ$14,0)))))</f>
        <v/>
      </c>
      <c r="BF22" s="239" t="str">
        <f>IF(A22=FALSE,"",IF(ALLTHESAME=TRUE,IF(FC22&lt;&gt;$BC$7,0,INDEX(FA22:FZ22,1,MATCH(Structure!$D$12,$FA$14:$FZ$14,0))),IF(GC22&lt;&gt;$BC$7,0,INDEX(GA22:GZ22,1,MATCH(Structure!$D$12,$GA$14:$GZ$14,0)))))</f>
        <v/>
      </c>
      <c r="BG22" s="239" t="str">
        <f>IF(A22=FALSE,"",IF(ALLTHESAME=TRUE,IF(VC22&lt;&gt;$BC$7,0,INDEX(VA22:VZ22,1,MATCH(Structure!$D$12,$VA$14:$VZ$14,0))),IF(VC22&lt;&gt;$BC$7,0,INDEX(VA22:VZ22,1,MATCH(Structure!$D$12,$VA$14:$VZ$14,0)))))</f>
        <v/>
      </c>
      <c r="BH22" s="239" t="str">
        <f>IF(A22=FALSE,"",IF(ALLTHESAME=TRUE,IF(WC22&lt;&gt;$BC$7,0,INDEX(WA22:WY22,1,MATCH(Structure!$D$12,$WA$14:$WZ$14,0))),IF(WC22&lt;&gt;$BC$7,0,INDEX(WA22:WZ22,1,MATCH(Structure!$D$12,$WA$14:$WZ$14,0)))))</f>
        <v/>
      </c>
      <c r="BI22" s="763" t="str">
        <f>IF(A22=FALSE,"",IF(ALLTHESAME=TRUE,IF(HC22&lt;&gt;$BC$7,0,INDEX(HA22:HZ22,1,MATCH(Structure!$D$12,$HA$14:$HZ$14,0)))+TK22,IF(IC22&lt;&gt;$BC$7,0,INDEX(IA22:IZ22,1,MATCH(Structure!$D$12,$IA$14:$IZ$14,0)))+TK22))</f>
        <v/>
      </c>
      <c r="BJ22" s="239" t="str">
        <f>IF(A22=FALSE,"",IF(ALLTHESAME=TRUE,IF(JC22&lt;&gt;$BC$7,0,INDEX(JA22:JZ22,1,MATCH(Structure!$D$12,$JA$14:$JZ$14,0))),IF(KC22&lt;&gt;$BC$7,0,INDEX(KA22:KZ22,1,MATCH(Structure!$D$12,$KA$14:$KZ$14,0)))))</f>
        <v/>
      </c>
      <c r="BK22" s="763" t="str">
        <f>IF(A22=FALSE,"",IF(ALLTHESAME=TRUE,IF(LC22&lt;&gt;$BC$7,0,INDEX(LA22:LZ22,1,MATCH(Structure!$D$12,$LA$14:$LZ$14,0)))+UK22,IF(MC22&lt;&gt;$BC$7,0,INDEX(MA22:MZ22,1,MATCH(Structure!$D$12,$MA$14:$MZ$14,0)))+UK22))</f>
        <v/>
      </c>
      <c r="BL22" s="239" t="str">
        <f>IF(A22=FALSE,"",IF(ALLTHESAME=TRUE,IF(NC22&lt;&gt;$BC$7,0,INDEX(NA22:NZ22,1,MATCH(Structure!$D$12,$NA$14:$NZ$14,0))),IF(OC22&lt;&gt;$BC$7,0,INDEX(OA22:OZ22,1,MATCH(Structure!$D$12,$OA$14:$OZ$14,0)))))</f>
        <v/>
      </c>
      <c r="BM22" s="239" t="str">
        <f>IF(A22=FALSE,"",IF(ALLTHESAME=TRUE,IF(PC22&lt;&gt;$BC$7,0,INDEX(PA22:PZ22,1,MATCH(Structure!$D$12,$PA$14:$PZ$14,0))),IF(QC22&lt;&gt;$BC$7,0,INDEX(QA22:QZ22,1,MATCH(Structure!$D$12,$QA$14:$QZ$14,0)))))</f>
        <v/>
      </c>
      <c r="BN22" s="341" t="str">
        <f>IF(A22=FALSE,"",IF(ALLTHESAME=TRUE,IF(RC22&lt;&gt;$BC$7,0,INDEX(RA22:RZ22,1,MATCH(Structure!$D$12,$RA$14:$RZ$14,0))),IF(SC22&lt;&gt;$BC$7,0,INDEX(SA22:TA22,1,MATCH(Structure!$D$12,$SA$14:$TA$14,0)))))</f>
        <v/>
      </c>
      <c r="BO22" s="507" t="str">
        <f t="shared" si="236"/>
        <v/>
      </c>
      <c r="BP22" s="239" t="str">
        <f t="shared" si="237"/>
        <v/>
      </c>
      <c r="BQ22" s="239" t="str">
        <f>IF(A22=FALSE,"",IF(ALLTHESAME=TRUE,IF(DF22&lt;&gt;$BO$7,0,INDEX(DD22:DZ22,1,MATCH(Structure!$D$12,$DD$14:$DZ$14,0))),IF(EC22&lt;&gt;$BO$7,0,INDEX(EA22:EZ22,1,MATCH(Structure!$D$12,$EA$14:$EZ$14,0)))))</f>
        <v/>
      </c>
      <c r="BR22" s="239" t="str">
        <f>IF(A22=FALSE,"",IF(ALLTHESAME=TRUE,IF(FC22&lt;&gt;$BO$7,0,INDEX(FA22:FZ22,1,MATCH(Structure!$D$12,$FA$14:$FZ$14,0))),IF(GC22&lt;&gt;$BO$7,0,INDEX(GA22:GZ22,1,MATCH(Structure!$D$12,$GA$14:$GZ$14,0)))))</f>
        <v/>
      </c>
      <c r="BS22" s="239" t="str">
        <f>IF(A22=FALSE,"",IF(ALLTHESAME=TRUE,IF(HC22&lt;&gt;$BO$7,0,INDEX(HA22:HZ22,1,MATCH(Structure!$D$12,$HA$14:$HZ$14,0))),IF(IC22&lt;&gt;$BO$7,0,INDEX(IA22:IZ22,1,MATCH(Structure!$D$12,$IA$14:$IZ$14,0)))))</f>
        <v/>
      </c>
      <c r="BT22" s="239" t="str">
        <f>IF(A22=FALSE,"",IF(ALLTHESAME=TRUE,IF(JC22&lt;&gt;$BO$7,0,INDEX(JA22:JZ22,1,MATCH(Structure!$D$12,$JA$14:$JZ$14,0))),IF(KC22&lt;&gt;$BO$7,0,INDEX(KA22:KZ22,1,MATCH(Structure!$D$12,$KA$14:$KZ$14,0)))))</f>
        <v/>
      </c>
      <c r="BU22" s="239" t="str">
        <f>IF(A22=FALSE,"",IF(ALLTHESAME=TRUE,IF(LC22&lt;&gt;$BO$7,0,INDEX(LA22:LZ22,1,MATCH(Structure!$D$12,$LA$14:$LZ$14,0))),IF(MC22&lt;&gt;$BO$7,0,INDEX(MA22:MZ22,1,MATCH(Structure!$D$12,$MA$14:$MZ$14,0)))))</f>
        <v/>
      </c>
      <c r="BV22" s="239" t="str">
        <f>IF(A22=FALSE,"",IF(ALLTHESAME=TRUE,IF(NC22&lt;&gt;$BO$7,0,INDEX(NA22:NZ22,1,MATCH(Structure!$D$12,$NA$14:$NZ$14,0))),IF(OC22&lt;&gt;$BO$7,0,INDEX(OA22:OZ22,1,MATCH(Structure!$D$12,$OA$14:$OZ$14,0)))))</f>
        <v/>
      </c>
      <c r="BW22" s="239" t="str">
        <f>IF(A22=FALSE,"",IF(ALLTHESAME=TRUE,IF(PC22&lt;&gt;$BO$7,0,INDEX(PA22:PZ22,1,MATCH(Structure!$D$12,$PA$14:$PZ$14,0))),IF(QC22&lt;&gt;$BO$7,0,INDEX(QA22:QZ22,1,MATCH(Structure!$D$12,$QA$14:$QZ$14,0)))))</f>
        <v/>
      </c>
      <c r="BX22" s="341" t="str">
        <f>IF(A22=FALSE,"",IF(ALLTHESAME=TRUE,IF(RC22&lt;&gt;$BO$7,0,INDEX(RA22:RZ22,1,MATCH(Structure!$D$12,$RA$14:$RZ$14,0))),IF(SC22&lt;&gt;$BO$7,0,INDEX(SA22:TA22,1,MATCH(Structure!$D$12,$SA$14:$TA$14,0)))))</f>
        <v/>
      </c>
      <c r="BY22" s="347" t="str">
        <f t="shared" si="238"/>
        <v/>
      </c>
      <c r="BZ22" s="507" t="str">
        <f t="shared" si="239"/>
        <v/>
      </c>
      <c r="CA22" s="239" t="str">
        <f t="shared" si="240"/>
        <v/>
      </c>
      <c r="CB22" s="239" t="str">
        <f>IF(A22=FALSE,"",IF(ALLTHESAME=TRUE,INDEX(DD22:DZ22,MATCH(DF22,DF22:DF127,0),MATCH(Structure!$D$17,$DD$14:$DZ$14,0)),INDEX(EA22:EZ22,MATCH(EC22,EC22:EC127,0),MATCH(Structure!$D$17,$EA$14:$EZ$14,0))))</f>
        <v/>
      </c>
      <c r="CC22" s="239" t="str">
        <f>IF(A22=FALSE,"",IF(ALLTHESAME=TRUE,INDEX(FA22:FZ22,MATCH(FC22,FC22:FC127,0),MATCH(Structure!$D$17,$FA$14:$FZ$14,0)),INDEX(GA22:GZ22,MATCH(GC22,GC22:GC127,0),MATCH(Structure!$D$17,$GA$14:$GZ$14,0))))</f>
        <v/>
      </c>
      <c r="CD22" s="239" t="str">
        <f>IF(A22=FALSE,"",IF(ALLTHESAME=TRUE,INDEX(HA22:HZ22,MATCH(HC22,HC22:HC127,0),MATCH(Structure!$D$17,$HA$14:$HZ$14,0)),INDEX(IA22:IZ22,MATCH(IC22,IC22:IC127,0),MATCH(Structure!$D$17,$IA$14:$IZ$14,0))))</f>
        <v/>
      </c>
      <c r="CE22" s="239" t="str">
        <f>IF(A22=FALSE,"",IF(ALLTHESAME=TRUE,INDEX(JA22:JZ22,MATCH(JC22,JC22:JC127,0),MATCH(Structure!$D$17,$JA$14:$JZ$14,0)),INDEX(KA22:KZ22,MATCH(KC22,KC22:KC127,0),MATCH(Structure!$D$17,$KA$14:$KZ$14,0))))</f>
        <v/>
      </c>
      <c r="CF22" s="239" t="str">
        <f>IF(A22=FALSE,"",IF(ALLTHESAME=TRUE,INDEX(LA22:LZ22,MATCH(LC22,LC22:LC127,0),MATCH(Structure!$D$17,$LA$14:$LZ$14,0)),INDEX(MA22:MZ22,MATCH(MC22,MC22:MC127,0),MATCH(Structure!$D$17,$MA$14:$MZ$14,0))))</f>
        <v/>
      </c>
      <c r="CG22" s="239" t="str">
        <f>IF(A22=FALSE,"",IF(ALLTHESAME=TRUE,INDEX(NA22:NZ22,MATCH(NC22,NC22:NC127,0),MATCH(Structure!$D$17,$NA$14:$NZ$14,0)),INDEX(OA22:OZ22,MATCH(OC22,OC22:OC127,0),MATCH(Structure!$D$17,$OA$14:$OZ$14,0))))</f>
        <v/>
      </c>
      <c r="CH22" s="239" t="str">
        <f>IF(A22=FALSE,"",IF(ALLTHESAME=TRUE,INDEX(PA22:PZ22,MATCH(PC22,PC22:PC127,0),MATCH(Structure!$D$17,$PA$14:$PZ$14,0)),INDEX(QA22:QZ22,MATCH(QC22,QC22:QC127,0),MATCH(Structure!$D$17,$QA$14:$QZ$14,0))))</f>
        <v/>
      </c>
      <c r="CI22" s="341" t="str">
        <f>IF(A22=FALSE,"",IF(ALLTHESAME=TRUE,INDEX(RA22:RZ22,MATCH(RC22,RC22:RC127,0),MATCH(Structure!$D$17,$RA$14:$RZ$14,0)),INDEX(SA22:TC22,MATCH(SC22,SC22:SC127,0),MATCH(Structure!$D$17,$SA$14:$TC$14,0))))</f>
        <v/>
      </c>
      <c r="CJ22" s="347"/>
      <c r="CK22" s="239" t="str">
        <f t="shared" si="241"/>
        <v/>
      </c>
      <c r="CL22" s="239" t="str">
        <f>IF(A22=FALSE,"",IF(ALLTHESAME=TRUE,INDEX(DD22:DZ22,MATCH(DF22,DF22:DF127,0),MATCH(Structure!$D$22,$DD$14:$DZ$14,0)),INDEX(EA22:EZ22,MATCH(EC22,EC22:EC127,0),MATCH(Structure!$D$22,$EA$14:$EZ$14,0))))</f>
        <v/>
      </c>
      <c r="CM22" s="239" t="str">
        <f>IF(A22=FALSE,"",IF(ALLTHESAME=TRUE,INDEX(FA22:FZ22,MATCH(FC22,FC22:FC127,0),MATCH(Structure!$D$22,$FA$14:$FZ$14,0)),INDEX(GA22:GZ22,MATCH(GC22,GC22:GC127,0),MATCH(Structure!$D$22,$GA$14:$GZ$14,0))))</f>
        <v/>
      </c>
      <c r="CN22" s="239" t="str">
        <f>IF(A22=FALSE,"",IF(ALLTHESAME=TRUE,INDEX(HA22:HZ22,MATCH(HC22,HC22:HC127,0),MATCH(Structure!$D$22,$HA$14:$HZ$14,0)),INDEX(IA22:IZ22,MATCH(IC22,IC22:IC127,0),MATCH(Structure!$D$22,$IA$14:$IZ$14,0))))</f>
        <v/>
      </c>
      <c r="CO22" s="239" t="str">
        <f>IF(A22=FALSE,"",IF(ALLTHESAME=TRUE,INDEX(JA22:JZ22,MATCH(JC22,JC22:JC127,0),MATCH(Structure!$D$22,$JA$14:$JZ$14,0)),INDEX(KA22:KZ22,MATCH(KC22,KC22:KC127,0),MATCH(Structure!$D$22,$KA$14:$KZ$14,0))))</f>
        <v/>
      </c>
      <c r="CP22" s="239" t="str">
        <f>IF(A22=FALSE,"",IF(ALLTHESAME=TRUE,INDEX(LA22:LZ22,MATCH(LC22,LC22:LC127,0),MATCH(Structure!$D$22,$LA$14:$LZ$14,0)),INDEX(MA22:MZ22,MATCH(MC22,MC22:MC127,0),MATCH(Structure!$D$22,$MA$14:$MZ$14,0))))</f>
        <v/>
      </c>
      <c r="CQ22" s="239" t="str">
        <f>IF(A22=FALSE,"",IF(ALLTHESAME=TRUE,INDEX(NA22:NZ22,MATCH(NC22,NC22:NC127,0),MATCH(Structure!$D$22,$NA$14:$NZ$14,0)),INDEX(OA22:OZ22,MATCH(OC22,OC22:OC127,0),MATCH(Structure!$D$22,$OA$14:$OZ$14,0))))</f>
        <v/>
      </c>
      <c r="CR22" s="239" t="str">
        <f>IF(A22=FALSE,"",IF(ALLTHESAME=TRUE,INDEX(PA22:PZ22,MATCH(PC22,PC22:PC127,0),MATCH(Structure!$D$22,$PA$14:$PZ$14,0)),INDEX(QA22:QZ22,MATCH(QC22,QC22:QC127,0),MATCH(Structure!$D$22,$QA$14:$QZ$14,0))))</f>
        <v/>
      </c>
      <c r="CS22" s="341" t="str">
        <f>IF(A22=FALSE,"",IF(ALLTHESAME=TRUE,INDEX(RA22:RZ22,MATCH(RC22,RC22:RC127,0),MATCH(Structure!$D$22,$RA$14:$RZ$14,0)),INDEX(SA22:TC22,MATCH(SC22,SC22:SC127,0),MATCH(Structure!$D$22,$SA$14:$TC$14,0))))</f>
        <v/>
      </c>
      <c r="CT22" s="347"/>
      <c r="CU22" s="239" t="str">
        <f t="shared" si="242"/>
        <v/>
      </c>
      <c r="CV22" s="239" t="str">
        <f>IF(A22=FALSE,"",IF(ALLTHESAME=TRUE,INDEX(DD22:DZ22,MATCH(DF22,DF22:DF127,0),MATCH(Structure!$D$8,$DD$14:$DZ$14,0)),INDEX(EA22:EZ22,MATCH(EC22,EC22:EC127,0),MATCH(Structure!$D$8,$EA$14:$EZ$14,0))))</f>
        <v/>
      </c>
      <c r="CW22" s="239" t="str">
        <f>IF(A22=FALSE,"",IF(ALLTHESAME=TRUE,INDEX(FA22:FZ22,MATCH(FC22,FC22:FC127,0),MATCH(Structure!$D$8,$FA$14:$FZ$14,0)),INDEX(GA22:GZ22,MATCH(GC22,GC22:GC127,0),MATCH(Structure!$D$8,$GA$14:$GZ$14,0))))</f>
        <v/>
      </c>
      <c r="CX22" s="239" t="str">
        <f>IF(A22=FALSE,"",IF(ALLTHESAME=TRUE,INDEX(HA22:HZ22,MATCH(HC22,HC22:HC127,0),MATCH(Structure!$D$8,$HA$14:$HZ$14,0)),INDEX(IA22:IZ22,MATCH(IC22,IC22:IC127,0),MATCH(Structure!$D$8,$IA$14:$IZ$14,0))))</f>
        <v/>
      </c>
      <c r="CY22" s="239" t="str">
        <f>IF(A22=FALSE,"",IF(ALLTHESAME=TRUE,INDEX(JA22:JZ22,MATCH(JC22,JC22:JC127,0),MATCH(Structure!$D$8,$JA$14:$JZ$14,0)),INDEX(KA22:KZ22,MATCH(KC22,KC22:KC127,0),MATCH(Structure!$D$8,$KA$14:$KZ$14,0))))</f>
        <v/>
      </c>
      <c r="CZ22" s="239" t="str">
        <f>IF(A22=FALSE,"",IF(ALLTHESAME=TRUE,INDEX(LA22:LZ22,MATCH(LC22,LC22:LC127,0),MATCH(Structure!$D$8,$LA$14:$LZ$14,0)),INDEX(MA22:MZ22,MATCH(MC22,MC22:MC127,0),MATCH(Structure!$D$8,$MA$14:$MZ$14,0))))</f>
        <v/>
      </c>
      <c r="DA22" s="239" t="str">
        <f>IF(A22=FALSE,"",IF(ALLTHESAME=TRUE,INDEX(NA22:NZ22,MATCH(NC22,NC22:NC127,0),MATCH(Structure!$D$8,$NA$14:$NZ$14,0)),INDEX(OA22:OZ22,MATCH(OC22,OC22:OC127,0),MATCH(Structure!$D$8,$OA$14:$OZ$14,0))))</f>
        <v/>
      </c>
      <c r="DB22" s="239" t="str">
        <f>IF(A22=FALSE,"",IF(ALLTHESAME=TRUE,INDEX(PA22:PZ22,MATCH(PC22,PC22:PC127,0),MATCH(Structure!$D$8,$PA$14:$PZ$14,0)),INDEX(QA22:QZ22,MATCH(QC22,QC22:QC127,0),MATCH(Structure!$D$8,$QA$14:$QZ$14,0))))</f>
        <v/>
      </c>
      <c r="DC22" s="341" t="str">
        <f>IF(A22=FALSE,"",IF(ALLTHESAME=TRUE,INDEX(RA22:RZ22,MATCH(RC22,RC22:RC127,0),MATCH(Structure!$D$8,$RA$14:$RZ$14,0)),INDEX(SA22:TC22,MATCH(SC22,SC22:SC127,0),MATCH(Structure!$D$8,$SA$14:$TC$14,0))))</f>
        <v/>
      </c>
      <c r="DD22" s="492" t="str">
        <f>IF(A22=FALSE,"",Cotations!D22)</f>
        <v/>
      </c>
      <c r="DE22" s="492" t="str">
        <f>IF(A22=FALSE,"",IF(LISTES!$A$17=1,Cotations!AF22,Cotations!$AG$4))</f>
        <v/>
      </c>
      <c r="DF22" s="291" t="str">
        <f t="shared" si="431"/>
        <v/>
      </c>
      <c r="DG22" s="291" t="str">
        <f t="shared" si="243"/>
        <v/>
      </c>
      <c r="DH22" s="291"/>
      <c r="DI22" s="463"/>
      <c r="DJ22" s="463" t="str">
        <f t="shared" si="244"/>
        <v/>
      </c>
      <c r="DK22" s="522" t="str">
        <f>IF(A22=FALSE,"",IF(Cotations!$AH$4="monthly",DJ22/12*L22,DJ22/365*M22))</f>
        <v/>
      </c>
      <c r="DL22" s="489" t="str">
        <f>IF(A22=FALSE,"",Cotations!$AI$4)</f>
        <v/>
      </c>
      <c r="DM22" s="300" t="str">
        <f t="shared" si="245"/>
        <v/>
      </c>
      <c r="DN22" s="300" t="str">
        <f t="shared" si="246"/>
        <v/>
      </c>
      <c r="DO22" s="294" t="str">
        <f t="shared" si="247"/>
        <v/>
      </c>
      <c r="DP22" s="494" t="str">
        <f>IF(A22=FALSE,"",Cotations!$AJ$4)</f>
        <v/>
      </c>
      <c r="DQ22" s="494" t="str">
        <f>IF(A22=FALSE,"",Cotations!$AK$4)</f>
        <v/>
      </c>
      <c r="DR22" s="489" t="str">
        <f>IF(A22=FALSE,"",Cotations!$AL$4)</f>
        <v/>
      </c>
      <c r="DS22" s="494" t="str">
        <f>IF(A22=FALSE,"",IF(DP22="N/A",0,IF(INDEX(LISTES!$F$105:$F$109,MATCH(DP22,LISTES!$C$105:$C$109,0))="FIX",IF(INDEX(LISTES!$E$105:$E$109,MATCH(DP22,LISTES!$C$105:$C$109,0))=12,DQ22/12*L22,DQ22/365*M22),DR22*DO22)))</f>
        <v/>
      </c>
      <c r="DT22" s="294" t="str">
        <f t="shared" si="248"/>
        <v/>
      </c>
      <c r="DU22" s="294" t="str">
        <f>IF(A22=FALSE,"",DT22*Cotations!$AM$4)</f>
        <v/>
      </c>
      <c r="DV22" s="294" t="str">
        <f>IF(A22=FALSE,"",DT22*Cotations!$AN$4)</f>
        <v/>
      </c>
      <c r="DW22" s="465" t="str">
        <f t="shared" si="249"/>
        <v/>
      </c>
      <c r="DX22" s="919" t="str">
        <f>IF(A22=FALSE,"",((DJ22*TAXE)-(DJ22*TAXE*DL22))+IF(DP22="N/A",0,IF(INDEX(LISTES!$F$105:$F$109,MATCH(DP22,LISTES!$C$105:$C$109,0))="FIX",DQ22,DR22*DO22)))</f>
        <v/>
      </c>
      <c r="DY22" s="466"/>
      <c r="DZ22" s="466"/>
      <c r="EA22" s="492" t="str">
        <f>IF(A22=FALSE,"",Cotations!D22)</f>
        <v/>
      </c>
      <c r="EB22" s="494" t="str">
        <f>IF(A22=FALSE,"",IF(LISTES!$A$17=1,Cotations!AF22,Cotations!AG22))</f>
        <v/>
      </c>
      <c r="EC22" s="284" t="str">
        <f t="shared" si="250"/>
        <v/>
      </c>
      <c r="ED22" s="284" t="str">
        <f t="shared" si="251"/>
        <v/>
      </c>
      <c r="EE22" s="284"/>
      <c r="EF22" s="284"/>
      <c r="EG22" s="284" t="str">
        <f t="shared" si="252"/>
        <v/>
      </c>
      <c r="EH22" s="1365" t="str">
        <f t="shared" si="253"/>
        <v/>
      </c>
      <c r="EI22" s="1365" t="str">
        <f t="shared" si="254"/>
        <v/>
      </c>
      <c r="EJ22" s="515" t="str">
        <f>IF(A22=FALSE,"",IF(Cotations!AH22="monthly",EG22/12*L22,EG22/365*M22))</f>
        <v/>
      </c>
      <c r="EK22" s="1364" t="str">
        <f>IF(A22=FALSE,"",IF(Cotations!AH22="monthly",EI22/12*L22,EI22/365*M22))</f>
        <v/>
      </c>
      <c r="EL22" s="493" t="str">
        <f>IF(A22=FALSE,"",IF(Cotations!AI22="","",Cotations!AI22))</f>
        <v/>
      </c>
      <c r="EM22" s="284" t="str">
        <f t="shared" si="255"/>
        <v/>
      </c>
      <c r="EN22" s="284" t="str">
        <f t="shared" si="256"/>
        <v/>
      </c>
      <c r="EO22" s="1365" t="str">
        <f t="shared" si="432"/>
        <v/>
      </c>
      <c r="EP22" s="284" t="str">
        <f t="shared" si="257"/>
        <v/>
      </c>
      <c r="EQ22" s="515" t="str">
        <f>IF(A22=FALSE,"",Cotations!AJ22)</f>
        <v/>
      </c>
      <c r="ER22" s="515" t="str">
        <f>IF(A22=FALSE,"",IF(Cotations!AK22="","",Cotations!AK22))</f>
        <v/>
      </c>
      <c r="ES22" s="493" t="str">
        <f>IF(A22=FALSE,"",Cotations!AL22)</f>
        <v/>
      </c>
      <c r="ET22" s="515" t="str">
        <f>IF(A22=FALSE,"",IF(EQ22="N/A",0,IF(INDEX(LISTES!$F$105:$F$109,MATCH(EQ22,LISTES!$C$105:$C$109,0))="FIX",IF(INDEX(LISTES!$E$105:$E$109,MATCH(EQ22,LISTES!$C$105:$C$109,0))=12,ER22/12*L22,ER22/365*M22),ES22*EP22)))</f>
        <v/>
      </c>
      <c r="EU22" s="294" t="str">
        <f t="shared" si="258"/>
        <v/>
      </c>
      <c r="EV22" s="494" t="str">
        <f>IF(A22=FALSE,"",EU22*Cotations!AM22)</f>
        <v/>
      </c>
      <c r="EW22" s="494" t="str">
        <f>IF(A22=FALSE,"",EU22*Cotations!AN22)</f>
        <v/>
      </c>
      <c r="EX22" s="334" t="str">
        <f t="shared" si="259"/>
        <v/>
      </c>
      <c r="EY22" s="919" t="str">
        <f>IF(A22=FALSE,"",((EG22*TAXE)-(EG22*TAXE*EL22)+EH22)+IF(EQ22="N/A",0,IF(INDEX(LISTES!$F$105:$F$109,MATCH(EQ22,LISTES!$C$105:$C$109,0))="FIX",ER22,ES22*EP22)))</f>
        <v/>
      </c>
      <c r="EZ22" s="422"/>
      <c r="FA22" s="492" t="str">
        <f>IF(A22=FALSE,"",Cotations!D22)</f>
        <v/>
      </c>
      <c r="FB22" s="519" t="str">
        <f>IF(A22=FALSE,"",IF(LISTES!$A$17=1,Cotations!AO22,Cotations!$AP$4))</f>
        <v/>
      </c>
      <c r="FC22" s="291" t="str">
        <f t="shared" si="260"/>
        <v/>
      </c>
      <c r="FD22" s="291" t="str">
        <f t="shared" si="261"/>
        <v/>
      </c>
      <c r="FE22" s="291"/>
      <c r="FF22" s="463"/>
      <c r="FG22" s="463" t="str">
        <f t="shared" si="262"/>
        <v/>
      </c>
      <c r="FH22" s="522" t="str">
        <f>IF(A22=FALSE,"",IF(Cotations!$AQ$4="monthly",FG22/12*L22,FG22/365*M22))</f>
        <v/>
      </c>
      <c r="FI22" s="453" t="str">
        <f>IF(A22=FALSE,"",Cotations!$AR$4)</f>
        <v/>
      </c>
      <c r="FJ22" s="300" t="str">
        <f t="shared" si="263"/>
        <v/>
      </c>
      <c r="FK22" s="300" t="str">
        <f t="shared" si="264"/>
        <v/>
      </c>
      <c r="FL22" s="294" t="str">
        <f t="shared" si="265"/>
        <v/>
      </c>
      <c r="FM22" s="494" t="str">
        <f>IF(A22=FALSE,"",Cotations!$AS$4)</f>
        <v/>
      </c>
      <c r="FN22" s="494" t="str">
        <f>IF(A22=FALSE,"",Cotations!$AT$4)</f>
        <v/>
      </c>
      <c r="FO22" s="489" t="str">
        <f>IF(A22=FALSE,"",Cotations!$AU$4)</f>
        <v/>
      </c>
      <c r="FP22" s="494" t="str">
        <f>IF(A22=FALSE,"",IF(FM22="N/A",0,IF(INDEX(LISTES!$F$105:$F$109,MATCH(FM22,LISTES!$C$105:$C$109,0))="FIX",IF(INDEX(LISTES!$E$105:$E$109,MATCH(FM22,LISTES!$C$105:$C$109,0))=12,FN22/12*L22,FN22/365*M22),FO22*FL22)))</f>
        <v/>
      </c>
      <c r="FQ22" s="294" t="str">
        <f t="shared" si="266"/>
        <v/>
      </c>
      <c r="FR22" s="494" t="str">
        <f>IF(A22=FALSE,"",FQ22*Cotations!$AV$4)</f>
        <v/>
      </c>
      <c r="FS22" s="494" t="str">
        <f>IF(A22=FALSE,"",FQ22*Cotations!$AW$4)</f>
        <v/>
      </c>
      <c r="FT22" s="465" t="str">
        <f t="shared" si="267"/>
        <v/>
      </c>
      <c r="FU22" s="919" t="str">
        <f>IF(A22=FALSE,"",((FG22*TAXE)-(FG22*TAXE*FI22))+IF(FM22="N/A",0,IF(INDEX(LISTES!$F$105:$F$109,MATCH(FM22,LISTES!$C$105:$C$109,0))="FIX",FN22,FO22*FL22)))</f>
        <v/>
      </c>
      <c r="FV22" s="478"/>
      <c r="FW22" s="478"/>
      <c r="FX22" s="478"/>
      <c r="FY22" s="478"/>
      <c r="FZ22" s="478"/>
      <c r="GA22" s="492" t="str">
        <f>IF(A22=FALSE,"",Cotations!D22)</f>
        <v/>
      </c>
      <c r="GB22" s="494" t="str">
        <f>IF(A22=FALSE,"",IF(LISTES!$A$17=1,Cotations!AO22,Cotations!AP22))</f>
        <v/>
      </c>
      <c r="GC22" s="284" t="str">
        <f t="shared" si="268"/>
        <v/>
      </c>
      <c r="GD22" s="515" t="str">
        <f>IF(A22=FALSE,"",IF(Detail!AM22="","",Detail!AM22))</f>
        <v/>
      </c>
      <c r="GE22" s="284"/>
      <c r="GF22" s="284"/>
      <c r="GG22" s="284" t="str">
        <f t="shared" si="269"/>
        <v/>
      </c>
      <c r="GH22" s="515" t="str">
        <f>IF(A22=FALSE,"",IF(Cotations!AQ22="monthly",GG22/12*L22,GG22/365*M22))</f>
        <v/>
      </c>
      <c r="GI22" s="493" t="str">
        <f>IF(A22=FALSE,"",IF(Cotations!AR22="","",Cotations!AR22))</f>
        <v/>
      </c>
      <c r="GJ22" s="284" t="str">
        <f t="shared" si="270"/>
        <v/>
      </c>
      <c r="GK22" s="284" t="str">
        <f t="shared" si="271"/>
        <v/>
      </c>
      <c r="GL22" s="284" t="str">
        <f t="shared" si="272"/>
        <v/>
      </c>
      <c r="GM22" s="515" t="str">
        <f>IF(A22=FALSE,"",Cotations!AS22)</f>
        <v/>
      </c>
      <c r="GN22" s="515" t="str">
        <f>IF(A22=FALSE,"",Cotations!AT22)</f>
        <v/>
      </c>
      <c r="GO22" s="493" t="str">
        <f>IF(A22=FALSE,"",Cotations!AU22)</f>
        <v/>
      </c>
      <c r="GP22" s="515" t="str">
        <f>IF(A22=FALSE,"",IF(GM22="N/A",0,IF(INDEX(LISTES!$F$105:$F$109,MATCH(GM22,LISTES!$C$105:$C$109,0))="FIX",IF(INDEX(LISTES!$E$105:$E$109,MATCH(GM22,LISTES!$C$105:$C$109,0))=12,GN22/12*L22,GN22/365*M22),GO22*GL22)))</f>
        <v/>
      </c>
      <c r="GQ22" s="294" t="str">
        <f t="shared" si="273"/>
        <v/>
      </c>
      <c r="GR22" s="494" t="str">
        <f>IF(A22=FALSE,"",GQ22*Cotations!AV22)</f>
        <v/>
      </c>
      <c r="GS22" s="494" t="str">
        <f>IF(A22=FALSE,"",GQ22*Cotations!AW22)</f>
        <v/>
      </c>
      <c r="GT22" s="334" t="str">
        <f t="shared" si="274"/>
        <v/>
      </c>
      <c r="GU22" s="919" t="str">
        <f>IF(A22=FALSE,"",((GG22*TAXE)-(GG22*TAXE*GI22))+IF(GM22="N/A",0,IF(INDEX(LISTES!$F$105:$F$109,MATCH(GM22,LISTES!$C$105:$C$109,0))="FIX",GN22,GO22*GL22)))</f>
        <v/>
      </c>
      <c r="GV22" s="478"/>
      <c r="GW22" s="466"/>
      <c r="GX22" s="466"/>
      <c r="GY22" s="466"/>
      <c r="GZ22" s="466"/>
      <c r="HA22" s="492" t="str">
        <f>IF(A22=FALSE,"",Cotations!D22)</f>
        <v/>
      </c>
      <c r="HB22" s="495" t="str">
        <f>IF(A22=FALSE,"",IF(LISTES!$A$17=1,Cotations!AX22,Cotations!$AY$4))</f>
        <v/>
      </c>
      <c r="HC22" s="291" t="str">
        <f t="shared" si="275"/>
        <v/>
      </c>
      <c r="HD22" s="291" t="str">
        <f t="shared" si="276"/>
        <v/>
      </c>
      <c r="HE22" s="456" t="str">
        <f t="shared" si="277"/>
        <v/>
      </c>
      <c r="HF22" s="496" t="str">
        <f>IF(A22=FALSE,"",IF(HA22="POEA",Cotations!BA22,IF(HA22="FIXE",Cotations!$BA$4,Cotations!$BC$4*Y22)))</f>
        <v/>
      </c>
      <c r="HG22" s="300" t="str">
        <f t="shared" si="278"/>
        <v/>
      </c>
      <c r="HH22" s="522" t="str">
        <f>IF(A22=FALSE,"",IF(Cotations!$AZ$4="monthly",HG22/12*L22,HG22/365*M22))</f>
        <v/>
      </c>
      <c r="HI22" s="489" t="str">
        <f>IF(A22=FALSE,"",Cotations!$BD$4)</f>
        <v/>
      </c>
      <c r="HJ22" s="300" t="str">
        <f t="shared" si="279"/>
        <v/>
      </c>
      <c r="HK22" s="300" t="str">
        <f t="shared" si="280"/>
        <v/>
      </c>
      <c r="HL22" s="294" t="str">
        <f t="shared" si="281"/>
        <v/>
      </c>
      <c r="HM22" s="494" t="str">
        <f>IF(A22=FALSE,"",Cotations!$BE$4)</f>
        <v/>
      </c>
      <c r="HN22" s="522" t="str">
        <f>IF(A22=FALSE,"",Cotations!$BF$4)</f>
        <v/>
      </c>
      <c r="HO22" s="489" t="str">
        <f>IF(A22=FALSE,"",Cotations!$BG$4)</f>
        <v/>
      </c>
      <c r="HP22" s="494" t="str">
        <f>IF(A22=FALSE,"",IF(HM22="N/A",0,IF(INDEX(LISTES!$F$105:$F$109,MATCH(HM22,LISTES!$C$105:$C$109,0))="FIX",IF(INDEX(LISTES!$E$105:$E$109,MATCH(HM22,LISTES!$C$105:$C$109,0))=12,HN22/12*L22,HN22/365*M22),HO22*HL22)))</f>
        <v/>
      </c>
      <c r="HQ22" s="294" t="str">
        <f t="shared" si="282"/>
        <v/>
      </c>
      <c r="HR22" s="494" t="str">
        <f>IF(A22=FALSE,"",HQ22*Cotations!$BH$4)</f>
        <v/>
      </c>
      <c r="HS22" s="494" t="str">
        <f>IF(A22=FALSE,"",HQ22*Cotations!$BI$4)</f>
        <v/>
      </c>
      <c r="HT22" s="294" t="str">
        <f t="shared" si="283"/>
        <v/>
      </c>
      <c r="HU22" s="919" t="str">
        <f>IF(A22=FALSE,"",((HG22*TAXE)-(HG22*TAXE*HI22))+IF(HM22="N/A",0,IF(INDEX(LISTES!$F$105:$F$109,MATCH(HM22,LISTES!$C$105:$C$109,0))="FIX",HN22,HO22*HL22)))</f>
        <v/>
      </c>
      <c r="HV22" s="422"/>
      <c r="HW22" s="422"/>
      <c r="HX22" s="422"/>
      <c r="HY22" s="716"/>
      <c r="HZ22" s="422"/>
      <c r="IA22" s="492" t="str">
        <f>IF(A22=FALSE,"",Cotations!D22)</f>
        <v/>
      </c>
      <c r="IB22" s="491" t="str">
        <f>IF(A22=FALSE,"",IF(LISTES!$A$17=1,Cotations!AX22,Cotations!AY22))</f>
        <v/>
      </c>
      <c r="IC22" s="285" t="str">
        <f t="shared" si="284"/>
        <v/>
      </c>
      <c r="ID22" s="300" t="str">
        <f>IF(A22=FALSE,"",IF(LISTES!$A$17=3,Detail!AU22,lig1_Formula_PREVOY))</f>
        <v/>
      </c>
      <c r="IE22" s="461" t="str">
        <f t="shared" si="285"/>
        <v/>
      </c>
      <c r="IF22" s="490" t="str">
        <f>IF(A22=FALSE,"",IF(IA22="POEA",Cotations!BA22,IF(HA22="FIXE",Cotations!BB22,IF(Cotations!BC22*Y22&lt;50000,Z22,Cotations!BC22*Y22))))</f>
        <v/>
      </c>
      <c r="IG22" s="300" t="str">
        <f t="shared" si="286"/>
        <v/>
      </c>
      <c r="IH22" s="522" t="str">
        <f>IF(A22=FALSE,"",IF(Cotations!AZ22="monthly",IG22/12*L22,IG22/365*M22))</f>
        <v/>
      </c>
      <c r="II22" s="489" t="str">
        <f>IF(A22=FALSE,"",IF(Cotations!BD22="","",Cotations!BD22))</f>
        <v/>
      </c>
      <c r="IJ22" s="300" t="str">
        <f t="shared" si="287"/>
        <v/>
      </c>
      <c r="IK22" s="300" t="str">
        <f t="shared" si="288"/>
        <v/>
      </c>
      <c r="IL22" s="919" t="str">
        <f t="shared" si="289"/>
        <v/>
      </c>
      <c r="IM22" s="517" t="str">
        <f>IF(A22=FALSE,"",Cotations!BE22)</f>
        <v/>
      </c>
      <c r="IN22" s="517" t="str">
        <f>IF(A22=FALSE,"",Cotations!BF22)</f>
        <v/>
      </c>
      <c r="IO22" s="493" t="str">
        <f>IF(A22=FALSE,"",Cotations!BG22)</f>
        <v/>
      </c>
      <c r="IP22" s="517" t="str">
        <f>IF(A22=FALSE,"",IF(IM22="N/A",0,IF(INDEX(LISTES!$F$105:$F$109,MATCH(IM22,LISTES!$C$105:$C$109,0))="FIX",IF(INDEX(LISTES!$E$105:$E$109,MATCH(IM22,LISTES!$C$105:$C$109,0))=12,IN22/12*L22,IN22/365*M22),IO22*IL22)))</f>
        <v/>
      </c>
      <c r="IQ22" s="294" t="str">
        <f t="shared" si="290"/>
        <v/>
      </c>
      <c r="IR22" s="494" t="str">
        <f>IF(A22=FALSE,"",IQ22*Cotations!BH22)</f>
        <v/>
      </c>
      <c r="IS22" s="494" t="str">
        <f>IF(A22=FALSE,"",IQ22*Cotations!BI22)</f>
        <v/>
      </c>
      <c r="IT22" s="338" t="str">
        <f t="shared" si="291"/>
        <v/>
      </c>
      <c r="IU22" s="919" t="str">
        <f>IF(A22=FALSE,"",((IG22*TAXE)-(IG22*TAXE*II22))+IF(IM22="N/A",0,IF(INDEX(LISTES!$F$105:$F$109,MATCH(IM22,LISTES!$C$105:$C$109,0))="FIX",IN22,IO22*IL22)))</f>
        <v/>
      </c>
      <c r="IV22" s="422"/>
      <c r="IY22" s="716"/>
      <c r="JA22" s="492" t="str">
        <f>IF(A22=FALSE,"",Cotations!D22)</f>
        <v/>
      </c>
      <c r="JB22" s="495" t="str">
        <f>IF(A22=FALSE,"",IF(LISTES!$A$17=1,Cotations!BJ22,Cotations!$BK$4))</f>
        <v/>
      </c>
      <c r="JC22" s="291" t="str">
        <f t="shared" si="292"/>
        <v/>
      </c>
      <c r="JD22" s="291" t="str">
        <f t="shared" si="293"/>
        <v/>
      </c>
      <c r="JE22" s="456" t="str">
        <f t="shared" si="294"/>
        <v/>
      </c>
      <c r="JF22" s="496" t="str">
        <f>IF(A22=FALSE,"",IF(JA22="POEA",Cotations!BM22,IF(JA22="FIXE",Cotations!$BM$4,Cotations!$BO$4*Y22)))</f>
        <v/>
      </c>
      <c r="JG22" s="300" t="str">
        <f t="shared" si="295"/>
        <v/>
      </c>
      <c r="JH22" s="522" t="str">
        <f>IF(A22=FALSE,"",IF(Cotations!$BL$4="monthly",JG22/12*L22,JG22/365*M22))</f>
        <v/>
      </c>
      <c r="JI22" s="489" t="str">
        <f>IF(A22=FALSE,"",Cotations!$BP$4)</f>
        <v/>
      </c>
      <c r="JJ22" s="300" t="str">
        <f t="shared" si="296"/>
        <v/>
      </c>
      <c r="JK22" s="300" t="str">
        <f t="shared" si="297"/>
        <v/>
      </c>
      <c r="JL22" s="294" t="str">
        <f t="shared" si="298"/>
        <v/>
      </c>
      <c r="JM22" s="494" t="str">
        <f>IF(A22=FALSE,"",Cotations!$BQ$4)</f>
        <v/>
      </c>
      <c r="JN22" s="522" t="str">
        <f>IF(A22=FALSE,"",Cotations!$BR$4)</f>
        <v/>
      </c>
      <c r="JO22" s="489" t="str">
        <f>IF(A22=FALSE,"",Cotations!$BS$4)</f>
        <v/>
      </c>
      <c r="JP22" s="494" t="str">
        <f>IF(A22=FALSE,"",IF(JM22="N/A",0,IF(INDEX(LISTES!$F$105:$F$109,MATCH(JM22,LISTES!$C$105:$C$109,0))="FIX",IF(INDEX(LISTES!$E$105:$E$109,MATCH(JM22,LISTES!$C$105:$C$109,0))=12,JN22/12*L22,JN22/365*M22),JO22*JL22)))</f>
        <v/>
      </c>
      <c r="JQ22" s="294" t="str">
        <f t="shared" si="299"/>
        <v/>
      </c>
      <c r="JR22" s="494" t="str">
        <f>IF(A22=FALSE,"",JQ22*Cotations!$BT$4)</f>
        <v/>
      </c>
      <c r="JS22" s="494" t="str">
        <f>IF(A22=FALSE,"",JQ22*Cotations!$BU$4)</f>
        <v/>
      </c>
      <c r="JT22" s="294" t="str">
        <f t="shared" si="300"/>
        <v/>
      </c>
      <c r="JU22" s="919" t="str">
        <f>IF(A22=FALSE,"",((JG22*TAXE)-(JG22*TAXE*JI22))+IF(JM22="N/A",0,IF(INDEX(LISTES!$F$105:$F$109,MATCH(JM22,LISTES!$C$105:$C$109,0))="FIX",JN22,JO22*JL22)))</f>
        <v/>
      </c>
      <c r="KA22" s="492" t="str">
        <f>IF(A22=FALSE,"",Cotations!D22)</f>
        <v/>
      </c>
      <c r="KB22" s="491" t="str">
        <f>IF(A22=FALSE,"",IF(LISTES!$A$17=1,Cotations!BJ22,Cotations!BK22))</f>
        <v/>
      </c>
      <c r="KC22" s="285" t="str">
        <f t="shared" si="301"/>
        <v/>
      </c>
      <c r="KD22" s="300"/>
      <c r="KE22" s="461" t="str">
        <f t="shared" si="302"/>
        <v/>
      </c>
      <c r="KF22" s="490" t="str">
        <f>IF(A22=FALSE,"",IF(KA22="POEA",Cotations!BM22,IF(KA22="FIXE",Cotations!BN22,IF(Cotations!BO22*Y22&lt;50000,Z22,Cotations!BO22*Y22))))</f>
        <v/>
      </c>
      <c r="KG22" s="300" t="str">
        <f t="shared" si="303"/>
        <v/>
      </c>
      <c r="KH22" s="522" t="str">
        <f>IF(A22=FALSE,"",IF(Cotations!BL22="monthly",KG22/12*L22,KG22/365*M22))</f>
        <v/>
      </c>
      <c r="KI22" s="489" t="str">
        <f>IF(A22=FALSE,"",IF(Cotations!BP22="","",Cotations!BP22))</f>
        <v/>
      </c>
      <c r="KJ22" s="300" t="str">
        <f t="shared" si="304"/>
        <v/>
      </c>
      <c r="KK22" s="300" t="str">
        <f t="shared" si="305"/>
        <v/>
      </c>
      <c r="KL22" s="919" t="str">
        <f t="shared" si="306"/>
        <v/>
      </c>
      <c r="KM22" s="517" t="str">
        <f>IF(A22=FALSE,"",Cotations!BQ22)</f>
        <v/>
      </c>
      <c r="KN22" s="515" t="str">
        <f>IF(A22=FALSE,"",Cotations!BR22)</f>
        <v/>
      </c>
      <c r="KO22" s="493" t="str">
        <f>IF(A22=FALSE,"",Cotations!BS22)</f>
        <v/>
      </c>
      <c r="KP22" s="517" t="str">
        <f>IF(A22=FALSE,"",IF(KM22="N/A",0,IF(INDEX(LISTES!$F$105:$F$109,MATCH(KM22,LISTES!$C$105:$C$109,0))="FIX",IF(INDEX(LISTES!$E$105:$E$109,MATCH(KM22,LISTES!$C$105:$C$109,0))=12,KN22/12*L22,KN22/365*M22),KO22*KL22)))</f>
        <v/>
      </c>
      <c r="KQ22" s="294" t="str">
        <f t="shared" si="307"/>
        <v/>
      </c>
      <c r="KR22" s="494" t="str">
        <f>IF(A22=FALSE,"",KQ22*Cotations!BT22)</f>
        <v/>
      </c>
      <c r="KS22" s="494" t="str">
        <f>IF(A22=FALSE,"",KQ22*Cotations!BU22)</f>
        <v/>
      </c>
      <c r="KT22" s="338" t="str">
        <f t="shared" si="308"/>
        <v/>
      </c>
      <c r="KU22" s="919" t="str">
        <f>IF(A22=FALSE,"",((KG22*TAXE)-(KG22*TAXE*KI22))+IF(KM22="N/A",0,IF(INDEX(LISTES!$F$105:$F$109,MATCH(KM22,LISTES!$C$105:$C$109,0))="FIX",KN22,KO22*KL22)))</f>
        <v/>
      </c>
      <c r="KX22" s="422"/>
      <c r="KY22" s="422"/>
      <c r="LA22" s="497" t="str">
        <f>IF(A22=FALSE,"",Cotations!D22)</f>
        <v/>
      </c>
      <c r="LB22" s="498" t="str">
        <f>IF(A22=FALSE,"",IF(LISTES!$A$17=1,Cotations!BV22,Cotations!$BW$4))</f>
        <v/>
      </c>
      <c r="LC22" s="499" t="str">
        <f t="shared" si="309"/>
        <v/>
      </c>
      <c r="LD22" s="499" t="str">
        <f t="shared" si="310"/>
        <v/>
      </c>
      <c r="LE22" s="500" t="str">
        <f t="shared" si="311"/>
        <v/>
      </c>
      <c r="LF22" s="501" t="str">
        <f>IF(A22=FALSE,"",IF(LA22="POEA",Cotations!EJ22,IF(LA22="FIXE",Cotations!$BY$4,Cotations!$CA$4*Y22)))</f>
        <v/>
      </c>
      <c r="LG22" s="502" t="str">
        <f t="shared" si="312"/>
        <v/>
      </c>
      <c r="LH22" s="520" t="str">
        <f>IF(A22=FALSE,"",IF(Cotations!$BX$4="monthly",LG22/12*L22,LG22/365*M22))</f>
        <v/>
      </c>
      <c r="LI22" s="503" t="str">
        <f>IF(A22=FALSE,"",Cotations!$CB$4)</f>
        <v/>
      </c>
      <c r="LJ22" s="502" t="str">
        <f t="shared" si="313"/>
        <v/>
      </c>
      <c r="LK22" s="502" t="str">
        <f t="shared" si="314"/>
        <v/>
      </c>
      <c r="LL22" s="504" t="str">
        <f t="shared" si="315"/>
        <v/>
      </c>
      <c r="LM22" s="505" t="str">
        <f>IF(A22=FALSE,"",Cotations!$CC$4)</f>
        <v/>
      </c>
      <c r="LN22" s="503" t="str">
        <f>IF(A22=FALSE,"",Cotations!$CD$4)</f>
        <v/>
      </c>
      <c r="LO22" s="503" t="str">
        <f>IF(A22=FALSE,"",Cotations!$CE$4)</f>
        <v/>
      </c>
      <c r="LP22" s="505" t="str">
        <f>IF(A22=FALSE,"",IF(LM22="N/A",0,IF(INDEX(LISTES!$F$105:$F$109,MATCH(LM22,LISTES!$C$105:$C$109,0))="FIX",IF(INDEX(LISTES!$E$105:$E$109,MATCH(LM22,LISTES!$C$105:$C$109,0))=12,LN22/12*L22,LN22/365*M22),LO22*LL22)))</f>
        <v/>
      </c>
      <c r="LQ22" s="504" t="str">
        <f t="shared" si="316"/>
        <v/>
      </c>
      <c r="LR22" s="505" t="str">
        <f>IF(A22=FALSE,"",LQ22*Cotations!$CF$4)</f>
        <v/>
      </c>
      <c r="LS22" s="505" t="str">
        <f>IF(A22=FALSE,"",LQ22*Cotations!$CG$4)</f>
        <v/>
      </c>
      <c r="LT22" s="506" t="str">
        <f t="shared" si="317"/>
        <v/>
      </c>
      <c r="LU22" s="919" t="str">
        <f>IF(A22=FALSE,"",((LG22*TAXE)-(LG22*TAXE*LI22))+IF(LM22="N/A",0,IF(INDEX(LISTES!$F$105:$F$109,MATCH(LM22,LISTES!$C$105:$C$109,0))="FIX",LN22,LO22*LL22)))</f>
        <v/>
      </c>
      <c r="MA22" s="492" t="str">
        <f>IF(A22=FALSE,"",Cotations!D22)</f>
        <v/>
      </c>
      <c r="MB22" s="491" t="str">
        <f>IF(A22=FALSE,"",IF(LISTES!$A$17=1,Cotations!BV22,Cotations!BW22))</f>
        <v/>
      </c>
      <c r="MC22" s="285" t="str">
        <f t="shared" si="318"/>
        <v/>
      </c>
      <c r="MD22" s="300"/>
      <c r="ME22" s="461" t="str">
        <f t="shared" si="319"/>
        <v/>
      </c>
      <c r="MF22" s="490" t="str">
        <f>IF(A22=FALSE,"",IF(MA22="POEA",Cotations!BY22,IF(MA22="FIXE",Cotations!BZ22,IF(Cotations!CA22*Y22&lt;50000,Z22,Cotations!CA22*Y22))))</f>
        <v/>
      </c>
      <c r="MG22" s="300" t="str">
        <f t="shared" si="320"/>
        <v/>
      </c>
      <c r="MH22" s="522" t="str">
        <f>IF(A22=FALSE,"",IF(Cotations!BX22="monthly",MG22/12*L22,MG22/365*M22))</f>
        <v/>
      </c>
      <c r="MI22" s="489" t="str">
        <f>IF(A22=FALSE,"",IF(Cotations!CB22="","",Cotations!CB22))</f>
        <v/>
      </c>
      <c r="MJ22" s="300" t="str">
        <f t="shared" si="321"/>
        <v/>
      </c>
      <c r="MK22" s="300" t="str">
        <f t="shared" si="322"/>
        <v/>
      </c>
      <c r="ML22" s="919" t="str">
        <f t="shared" si="323"/>
        <v/>
      </c>
      <c r="MM22" s="517" t="str">
        <f>IF(A22=FALSE,"",Cotations!CC22)</f>
        <v/>
      </c>
      <c r="MN22" s="515" t="str">
        <f>IF(A22=FALSE,"",Cotations!CD22)</f>
        <v/>
      </c>
      <c r="MO22" s="493" t="str">
        <f>IF(A22=FALSE,"",Cotations!CE22)</f>
        <v/>
      </c>
      <c r="MP22" s="517" t="str">
        <f>IF(A22=FALSE,"",IF(MM22="N/A",0,IF(INDEX(LISTES!$F$105:$F$109,MATCH(MM22,LISTES!$C$105:$C$109,0))="FIX",IF(INDEX(LISTES!$E$105:$E$109,MATCH(MM22,LISTES!$C$105:$C$109,0))=12,MN22/12*L22,MN22/365*M22),MO22*ML22)))</f>
        <v/>
      </c>
      <c r="MQ22" s="294" t="str">
        <f t="shared" si="324"/>
        <v/>
      </c>
      <c r="MR22" s="494" t="str">
        <f>IF(A22=FALSE,"",MQ22*Cotations!CF22)</f>
        <v/>
      </c>
      <c r="MS22" s="494" t="str">
        <f>IF(A22=FALSE,"",MQ22*Cotations!CG22)</f>
        <v/>
      </c>
      <c r="MT22" s="338" t="str">
        <f t="shared" si="325"/>
        <v/>
      </c>
      <c r="MU22" s="919" t="str">
        <f>IF(A22=FALSE,"",((MG22*TAXE)-(MG22*TAXE*MI22))+IF(MM22="N/A",0,IF(INDEX(LISTES!$F$105:$F$109,MATCH(MM22,LISTES!$C$105:$C$109,0))="FIX",MN22,MO22*ML22)))</f>
        <v/>
      </c>
      <c r="NA22" s="497" t="str">
        <f>IF(A22=FALSE,"",Cotations!D22)</f>
        <v/>
      </c>
      <c r="NB22" s="498" t="str">
        <f>IF(A22=FALSE,"",IF(LISTES!$A$17=1,Cotations!CH22,Cotations!$CI$4))</f>
        <v/>
      </c>
      <c r="NC22" s="499" t="str">
        <f t="shared" si="326"/>
        <v/>
      </c>
      <c r="ND22" s="499" t="str">
        <f t="shared" si="327"/>
        <v/>
      </c>
      <c r="NE22" s="500" t="str">
        <f t="shared" si="328"/>
        <v/>
      </c>
      <c r="NF22" s="501" t="str">
        <f>IF(A22=FALSE,"",IF(NA22="POEA",Cotations!CK22,IF(NA22="FIXE",Cotations!$CK$4,Cotations!$CM$4*Y22)))</f>
        <v/>
      </c>
      <c r="NG22" s="502" t="str">
        <f t="shared" si="329"/>
        <v/>
      </c>
      <c r="NH22" s="520" t="str">
        <f>IF(A22=FALSE,"",IF(Cotations!$CJ$4="monthly",NG22/12*L22,NG22/365*M22))</f>
        <v/>
      </c>
      <c r="NI22" s="503" t="str">
        <f>IF(A22=FALSE,"",Cotations!$CN$4)</f>
        <v/>
      </c>
      <c r="NJ22" s="502" t="str">
        <f t="shared" si="330"/>
        <v/>
      </c>
      <c r="NK22" s="502" t="str">
        <f t="shared" si="331"/>
        <v/>
      </c>
      <c r="NL22" s="504" t="str">
        <f t="shared" si="332"/>
        <v/>
      </c>
      <c r="NM22" s="505" t="str">
        <f>IF(A22=FALSE,"",Cotations!$CO$4)</f>
        <v/>
      </c>
      <c r="NN22" s="520" t="str">
        <f>IF(A22=FALSE,"",Cotations!$CP$4)</f>
        <v/>
      </c>
      <c r="NO22" s="503" t="str">
        <f>IF(A22=FALSE,"",Cotations!$CQ$4)</f>
        <v/>
      </c>
      <c r="NP22" s="505" t="str">
        <f>IF(A22=FALSE,"",IF(NM22="N/A",0,IF(INDEX(LISTES!$F$105:$F$109,MATCH(NM22,LISTES!$C$105:$C$109,0))="FIX",IF(INDEX(LISTES!$E$105:$E$109,MATCH(NM22,LISTES!$C$105:$C$109,0))=12,NN22/12*L22,NN22/365*M22),NO22*NL22)))</f>
        <v/>
      </c>
      <c r="NQ22" s="504" t="str">
        <f t="shared" si="333"/>
        <v/>
      </c>
      <c r="NR22" s="505" t="str">
        <f>IF(A22=FALSE,"",NQ22*Cotations!$CR$4)</f>
        <v/>
      </c>
      <c r="NS22" s="505" t="str">
        <f>IF(A22=FALSE,"",NQ22*Cotations!$CS$4)</f>
        <v/>
      </c>
      <c r="NT22" s="506" t="str">
        <f t="shared" si="334"/>
        <v/>
      </c>
      <c r="NU22" s="919" t="str">
        <f>IF(A22=FALSE,"",((NG22*TAXE)-(NG22*TAXE*NI22))+IF(NM22="N/A",0,IF(INDEX(LISTES!$F$105:$F$109,MATCH(NM22,LISTES!$C$105:$C$109,0))="FIX",NN22,NO22*NL22)))</f>
        <v/>
      </c>
      <c r="OA22" s="492" t="str">
        <f>IF(A22=FALSE,"",Cotations!D22)</f>
        <v/>
      </c>
      <c r="OB22" s="491" t="str">
        <f>IF(A22=FALSE,"",IF(LISTES!$A$17=1,Cotations!CH22,Cotations!CI22))</f>
        <v/>
      </c>
      <c r="OC22" s="285" t="str">
        <f t="shared" si="335"/>
        <v/>
      </c>
      <c r="OD22" s="300"/>
      <c r="OE22" s="461" t="str">
        <f t="shared" si="336"/>
        <v/>
      </c>
      <c r="OF22" s="490" t="str">
        <f>IF(A22=FALSE,"",IF(OA22="POEA",Cotations!CK22,IF(OA22="FIXE",Cotations!CL22,IF(Cotations!CM22*Y22&lt;50000,Z22,Cotations!CM22*Y22))))</f>
        <v/>
      </c>
      <c r="OG22" s="300" t="str">
        <f t="shared" si="337"/>
        <v/>
      </c>
      <c r="OH22" s="522" t="str">
        <f>IF(A22=FALSE,"",IF(Cotations!CJ22="monthly",OG22/12*L22,OG22/365*M22))</f>
        <v/>
      </c>
      <c r="OI22" s="489" t="str">
        <f>IF(A22=FALSE,"",IF(Cotations!CN22="","",Cotations!CN22))</f>
        <v/>
      </c>
      <c r="OJ22" s="300" t="str">
        <f t="shared" si="338"/>
        <v/>
      </c>
      <c r="OK22" s="300" t="str">
        <f t="shared" si="339"/>
        <v/>
      </c>
      <c r="OL22" s="919" t="str">
        <f t="shared" si="340"/>
        <v/>
      </c>
      <c r="OM22" s="517" t="str">
        <f>IF(A22=FALSE,"",Cotations!CO22)</f>
        <v/>
      </c>
      <c r="ON22" s="515" t="str">
        <f>IF(A22=FALSE,"",Cotations!CP22)</f>
        <v/>
      </c>
      <c r="OO22" s="493" t="str">
        <f>IF(A22=FALSE,"",Cotations!CQ22)</f>
        <v/>
      </c>
      <c r="OP22" s="517" t="str">
        <f>IF(A22=FALSE,"",IF(OM22="N/A",0,IF(INDEX(LISTES!$F$105:$F$109,MATCH(OM22,LISTES!$C$105:$C$109,0))="FIX",IF(INDEX(LISTES!$E$105:$E$109,MATCH(OM22,LISTES!$C$105:$C$109,0))=12,ON22/12*L22,ON22/365*M22),OO22*OL22)))</f>
        <v/>
      </c>
      <c r="OQ22" s="294" t="str">
        <f t="shared" si="341"/>
        <v/>
      </c>
      <c r="OR22" s="494" t="str">
        <f>IF(A22=FALSE,"",OQ22*Cotations!CR22)</f>
        <v/>
      </c>
      <c r="OS22" s="494" t="str">
        <f>IF(A22=FALSE,"",OQ22*Cotations!CS22)</f>
        <v/>
      </c>
      <c r="OT22" s="338" t="str">
        <f t="shared" si="342"/>
        <v/>
      </c>
      <c r="OU22" s="919" t="str">
        <f>IF(A22=FALSE,"",((OG22*TAXE)-(OG22*TAXE*OI22))+IF(OM22="N/A",0,IF(INDEX(LISTES!$F$105:$F$109,MATCH(OM22,LISTES!$C$105:$C$109,0))="FIX",ON22,OO22*OL22)))</f>
        <v/>
      </c>
      <c r="PA22" s="497" t="str">
        <f t="shared" si="343"/>
        <v/>
      </c>
      <c r="PB22" s="498" t="str">
        <f>IF(A22=FALSE,"",IF(LISTES!$A$17=1,Cotations!CT22,Cotations!$CU$4))</f>
        <v/>
      </c>
      <c r="PC22" s="499" t="str">
        <f t="shared" si="344"/>
        <v/>
      </c>
      <c r="PD22" s="499" t="str">
        <f t="shared" si="345"/>
        <v/>
      </c>
      <c r="PE22" s="500" t="str">
        <f t="shared" si="346"/>
        <v/>
      </c>
      <c r="PF22" s="501" t="str">
        <f>IF(A22=FALSE,"",Cotations!$CY$4*Y22)</f>
        <v/>
      </c>
      <c r="PG22" s="502" t="str">
        <f t="shared" si="347"/>
        <v/>
      </c>
      <c r="PH22" s="520" t="str">
        <f>IF(A22=FALSE,"",IF(Cotations!$CV$4="monthly",PG22/12*L22,PG22/365*M22))</f>
        <v/>
      </c>
      <c r="PI22" s="503" t="str">
        <f>IF(A22=FALSE,"",Cotations!$CZ$4)</f>
        <v/>
      </c>
      <c r="PJ22" s="502" t="str">
        <f t="shared" si="348"/>
        <v/>
      </c>
      <c r="PK22" s="502" t="str">
        <f t="shared" si="349"/>
        <v/>
      </c>
      <c r="PL22" s="504" t="str">
        <f t="shared" si="350"/>
        <v/>
      </c>
      <c r="PM22" s="505" t="str">
        <f>IF(A22=FALSE,"",Cotations!$DA$4)</f>
        <v/>
      </c>
      <c r="PN22" s="520" t="str">
        <f>IF(A22=FALSE,"",Cotations!$DB$4)</f>
        <v/>
      </c>
      <c r="PO22" s="503" t="str">
        <f>IF(A22=FALSE,"",Cotations!$DC$4)</f>
        <v/>
      </c>
      <c r="PP22" s="505" t="str">
        <f>IF(A22=FALSE,"",IF(PM22="N/A",0,IF(INDEX(LISTES!$F$105:$F$109,MATCH(PM22,LISTES!$C$105:$C$109,0))="FIX",IF(INDEX(LISTES!$E$105:$E$109,MATCH(PM22,LISTES!$C$105:$C$109,0))=12,PN22/12*L22,PN22/365*M22),PO22*PL22)))</f>
        <v/>
      </c>
      <c r="PQ22" s="504" t="str">
        <f t="shared" si="351"/>
        <v/>
      </c>
      <c r="PR22" s="505" t="str">
        <f>IF(A22=FALSE,"",PQ22*Cotations!$DD$4)</f>
        <v/>
      </c>
      <c r="PS22" s="505" t="str">
        <f>IF(A22=FALSE,"",PQ22*Cotations!$DE$4)</f>
        <v/>
      </c>
      <c r="PT22" s="506" t="str">
        <f t="shared" si="352"/>
        <v/>
      </c>
      <c r="PU22" s="919" t="str">
        <f>IF(A22=FALSE,"",((PG22*TAXE)-(PG22*TAXE*PI22))+IF(PM22="N/A",0,IF(INDEX(LISTES!$F$105:$F$109,MATCH(PM22,LISTES!$C$105:$C$109,0))="FIX",PN22,PO22*PL22)))</f>
        <v/>
      </c>
      <c r="QA22" s="492" t="str">
        <f t="shared" si="353"/>
        <v/>
      </c>
      <c r="QB22" s="491" t="str">
        <f>IF(A22=FALSE,"",IF(LISTES!$A$17=1,Cotations!CT22,Cotations!CU22))</f>
        <v/>
      </c>
      <c r="QC22" s="285" t="str">
        <f t="shared" si="354"/>
        <v/>
      </c>
      <c r="QD22" s="300"/>
      <c r="QE22" s="461" t="str">
        <f t="shared" si="355"/>
        <v/>
      </c>
      <c r="QF22" s="490" t="str">
        <f>IF(A22=FALSE,"",Cotations!CY22*AA22)</f>
        <v/>
      </c>
      <c r="QG22" s="300" t="str">
        <f t="shared" si="356"/>
        <v/>
      </c>
      <c r="QH22" s="522" t="str">
        <f>IF(A22=FALSE,"",IF(Cotations!CV22="monthly",QG22/12*L22,QG22/365*M22))</f>
        <v/>
      </c>
      <c r="QI22" s="489" t="str">
        <f>IF(A22=FALSE,"",IF(Cotations!CZ22="","",Cotations!CZ22))</f>
        <v/>
      </c>
      <c r="QJ22" s="300" t="str">
        <f t="shared" si="357"/>
        <v/>
      </c>
      <c r="QK22" s="300" t="str">
        <f t="shared" si="358"/>
        <v/>
      </c>
      <c r="QL22" s="919" t="str">
        <f t="shared" si="359"/>
        <v/>
      </c>
      <c r="QM22" s="517" t="str">
        <f>IF(A22=FALSE,"",Cotations!DA22)</f>
        <v/>
      </c>
      <c r="QN22" s="515" t="str">
        <f>IF(A22=FALSE,"",Cotations!DB22)</f>
        <v/>
      </c>
      <c r="QO22" s="493" t="str">
        <f>IF(A22=FALSE,"",Cotations!DC22)</f>
        <v/>
      </c>
      <c r="QP22" s="517" t="str">
        <f>IF(A22=FALSE,"",IF(QM22="N/A",0,IF(INDEX(LISTES!$F$105:$F$109,MATCH(QM22,LISTES!$C$105:$C$109,0))="FIX",IF(INDEX(LISTES!$E$105:$E$109,MATCH(QM22,LISTES!$C$105:$C$109,0))=12,QN22/12*L22,QN22/365*M22),QO22*QL22)))</f>
        <v/>
      </c>
      <c r="QQ22" s="294" t="str">
        <f t="shared" si="360"/>
        <v/>
      </c>
      <c r="QR22" s="494" t="str">
        <f>IF(A22=FALSE,"",QQ22*Cotations!DD22)</f>
        <v/>
      </c>
      <c r="QS22" s="494" t="str">
        <f>IF(A22=FALSE,"",QQ22*Cotations!DE22)</f>
        <v/>
      </c>
      <c r="QT22" s="338" t="str">
        <f t="shared" si="361"/>
        <v/>
      </c>
      <c r="QU22" s="919" t="str">
        <f>IF(A22=FALSE,"",((QG22*TAXE)-(QG22*TAXE*QI22))+IF(QM22="N/A",0,IF(INDEX(LISTES!$F$105:$F$109,MATCH(QM22,LISTES!$C$105:$C$109,0))="FIX",QN22,QO22*QL22)))</f>
        <v/>
      </c>
      <c r="RA22" s="497" t="str">
        <f t="shared" si="362"/>
        <v/>
      </c>
      <c r="RB22" s="498" t="str">
        <f>IF(A22=FALSE,"",IF(LISTES!$A$17=1,Cotations!DF22,Cotations!$DG$4))</f>
        <v/>
      </c>
      <c r="RC22" s="499" t="str">
        <f t="shared" si="363"/>
        <v/>
      </c>
      <c r="RD22" s="499" t="str">
        <f t="shared" si="364"/>
        <v/>
      </c>
      <c r="RE22" s="500" t="str">
        <f t="shared" si="365"/>
        <v/>
      </c>
      <c r="RF22" s="501" t="str">
        <f>IF(A22=FALSE,"",Cotations!$DK$4*Y22)</f>
        <v/>
      </c>
      <c r="RG22" s="502" t="str">
        <f t="shared" si="366"/>
        <v/>
      </c>
      <c r="RH22" s="520" t="str">
        <f>IF(A22=FALSE,"",IF(Cotations!$DH$4="monthly",RG22/12*L22,RG22/365*M22))</f>
        <v/>
      </c>
      <c r="RI22" s="503" t="str">
        <f>IF(A22=FALSE,"",Cotations!$DL$4)</f>
        <v/>
      </c>
      <c r="RJ22" s="502" t="str">
        <f t="shared" si="367"/>
        <v/>
      </c>
      <c r="RK22" s="502" t="str">
        <f t="shared" si="368"/>
        <v/>
      </c>
      <c r="RL22" s="504" t="str">
        <f t="shared" si="369"/>
        <v/>
      </c>
      <c r="RM22" s="505" t="str">
        <f>IF(A22=FALSE,"",Cotations!$DM$4)</f>
        <v/>
      </c>
      <c r="RN22" s="520" t="str">
        <f>IF(A22=FALSE,"",Cotations!$DN$4)</f>
        <v/>
      </c>
      <c r="RO22" s="503" t="str">
        <f>IF(A22=FALSE,"",Cotations!$DO$4)</f>
        <v/>
      </c>
      <c r="RP22" s="505" t="str">
        <f>IF(A22=FALSE,"",IF(RM22="N/A",0,IF(INDEX(LISTES!$F$105:$F$109,MATCH(RM22,LISTES!$C$105:$C$109,0))="FIX",IF(INDEX(LISTES!$E$105:$E$109,MATCH(RM22,LISTES!$C$105:$C$109,0))=12,RN22/12*L22,RN22/365*M22),RO22*RL22)))</f>
        <v/>
      </c>
      <c r="RQ22" s="504" t="str">
        <f t="shared" si="370"/>
        <v/>
      </c>
      <c r="RR22" s="505" t="str">
        <f>IF(A22=FALSE,"",RQ22*Cotations!$DP$4)</f>
        <v/>
      </c>
      <c r="RS22" s="505" t="str">
        <f>IF(A22=FALSE,"",RQ22*Cotations!$DQ$4)</f>
        <v/>
      </c>
      <c r="RT22" s="506" t="str">
        <f t="shared" si="371"/>
        <v/>
      </c>
      <c r="RU22" s="919" t="str">
        <f>IF(A22=FALSE,"",((RG22*TAXE)-(RG22*TAXE*RI22))+IF(RM22="N/A",0,IF(INDEX(LISTES!$F$105:$F$109,MATCH(RM22,LISTES!$C$105:$C$109,0))="FIX",RN22,RO22*RL22)))</f>
        <v/>
      </c>
      <c r="SA22" s="492" t="str">
        <f t="shared" si="372"/>
        <v/>
      </c>
      <c r="SB22" s="491" t="str">
        <f>IF(A22=FALSE,"",IF(LISTES!$A$17=1,Cotations!DF22,Cotations!DG22))</f>
        <v/>
      </c>
      <c r="SC22" s="285" t="str">
        <f t="shared" si="373"/>
        <v/>
      </c>
      <c r="SD22" s="300"/>
      <c r="SE22" s="461" t="str">
        <f t="shared" si="374"/>
        <v/>
      </c>
      <c r="SF22" s="490" t="str">
        <f>IF(A22=FALSE,"",Cotations!DK22*AA22)</f>
        <v/>
      </c>
      <c r="SG22" s="300" t="str">
        <f t="shared" si="375"/>
        <v/>
      </c>
      <c r="SH22" s="522" t="str">
        <f>IF(A22=FALSE,"",IF(Cotations!DH22="monthly",SG22/12*L22,SG22/365*M22))</f>
        <v/>
      </c>
      <c r="SI22" s="489" t="str">
        <f>IF(A22=FALSE,"",IF(Cotations!DL22="","",Cotations!DL22))</f>
        <v/>
      </c>
      <c r="SJ22" s="300" t="str">
        <f t="shared" si="376"/>
        <v/>
      </c>
      <c r="SK22" s="300" t="str">
        <f t="shared" si="377"/>
        <v/>
      </c>
      <c r="SL22" s="919" t="str">
        <f t="shared" si="378"/>
        <v/>
      </c>
      <c r="SM22" s="285" t="str">
        <f>IF(A22=FALSE,"",Cotations!DM22)</f>
        <v/>
      </c>
      <c r="SN22" s="515" t="str">
        <f>IF(A22=FALSE,"",Cotations!DN22)</f>
        <v/>
      </c>
      <c r="SO22" s="493" t="str">
        <f>IF(A22=FALSE,"",Cotations!DO22)</f>
        <v/>
      </c>
      <c r="SP22" s="517" t="str">
        <f>IF(A22=FALSE,"",IF(SM22="N/A",0,IF(INDEX(LISTES!$F$105:$F$109,MATCH(SM22,LISTES!$C$105:$C$109,0))="FIX",IF(INDEX(LISTES!$E$105:$E$109,MATCH(SM22,LISTES!$C$105:$C$109,0))=12,SN22/12*L22,SN22/365*M22),SO22*SL22)))</f>
        <v/>
      </c>
      <c r="SQ22" s="294" t="str">
        <f t="shared" si="379"/>
        <v/>
      </c>
      <c r="SR22" s="494" t="str">
        <f>IF(A22=FALSE,"",SQ22*Cotations!DP22)</f>
        <v/>
      </c>
      <c r="SS22" s="494" t="str">
        <f>IF(A22=FALSE,"",SQ22*Cotations!DQ22)</f>
        <v/>
      </c>
      <c r="ST22" s="338" t="str">
        <f t="shared" si="380"/>
        <v/>
      </c>
      <c r="SU22" s="919" t="str">
        <f>IF(A22=FALSE,"",((SG22*TAXE)-(SG22*TAXE*SI22))+IF(SM22="N/A",0,IF(INDEX(LISTES!$F$105:$F$109,MATCH(SM22,LISTES!$C$105:$C$109,0))="FIX",SN22,SO22*SL22)))</f>
        <v/>
      </c>
      <c r="SY22" s="716"/>
      <c r="TA22" s="492" t="str">
        <f>IF(A22=FALSE,"",Cotations!D22)</f>
        <v/>
      </c>
      <c r="TB22" s="491" t="str">
        <f>IF(A22=FALSE,"",IF(LISTES!$A$17=1,Cotations!DR22,Cotations!DS22))</f>
        <v/>
      </c>
      <c r="TC22" s="285" t="str">
        <f t="shared" si="381"/>
        <v/>
      </c>
      <c r="TD22" s="300" t="str">
        <f>IF(A22=FALSE,"",Detail!CQ22)</f>
        <v/>
      </c>
      <c r="TE22" s="461" t="str">
        <f t="shared" si="382"/>
        <v/>
      </c>
      <c r="TF22" s="490" t="str">
        <f>IF(A22=FALSE,"",IF(TA22="FIXE",Cotations!DU22,Cotations!DV22*Y22))</f>
        <v/>
      </c>
      <c r="TG22" s="300" t="str">
        <f t="shared" si="383"/>
        <v/>
      </c>
      <c r="TH22" s="522" t="str">
        <f>IF(A22=FALSE,"",IF(Cotations!DT22="monthly",TG22/12*L22,TG22/365*M22))</f>
        <v/>
      </c>
      <c r="TI22" s="489" t="str">
        <f>IF(A22=FALSE,"",IF(Cotations!DW22="","",Cotations!DW22))</f>
        <v/>
      </c>
      <c r="TJ22" s="300" t="str">
        <f t="shared" si="384"/>
        <v/>
      </c>
      <c r="TK22" s="300" t="str">
        <f t="shared" si="385"/>
        <v/>
      </c>
      <c r="TL22" s="919" t="str">
        <f t="shared" si="386"/>
        <v/>
      </c>
      <c r="TM22" s="517" t="str">
        <f>IF(A22=FALSE,"",Cotations!DX22)</f>
        <v/>
      </c>
      <c r="TN22" s="517" t="str">
        <f>IF(A22=FALSE,"",Cotations!DY22)</f>
        <v/>
      </c>
      <c r="TO22" s="493" t="str">
        <f>IF(A22=FALSE,"",Cotations!DZ22)</f>
        <v/>
      </c>
      <c r="TP22" s="517" t="str">
        <f>IF(A22=FALSE,"",IF(TM22="N/A",0,IF(INDEX(LISTES!$F$105:$F$109,MATCH(TM22,LISTES!$C$105:$C$109,0))="FIX",IF(INDEX(LISTES!$E$105:$E$109,MATCH(TM22,LISTES!$C$105:$C$109,0))=12,TN22/12*L22,TN22/365*M22),TO22*TL22)))</f>
        <v/>
      </c>
      <c r="TQ22" s="294" t="str">
        <f t="shared" si="387"/>
        <v/>
      </c>
      <c r="TR22" s="494" t="str">
        <f>IF(A22=FALSE,"",TQ22*Cotations!EA22)</f>
        <v/>
      </c>
      <c r="TS22" s="494" t="str">
        <f>IF(A22=FALSE,"",TQ22*Cotations!EB22)</f>
        <v/>
      </c>
      <c r="TT22" s="338" t="str">
        <f t="shared" si="388"/>
        <v/>
      </c>
      <c r="TU22" s="919" t="str">
        <f>IF(A22=FALSE,"",((TG22*(1+TAXE)-(TG22*(1+TAXE)*TI22))+IF(TM22="N/A",0,IF(INDEX(LISTES!$F$105:$F$109,MATCH(TM22,LISTES!$C$105:$C$109,0))="FIX",TN22,TO22*TL22))))</f>
        <v/>
      </c>
      <c r="UA22" s="492" t="str">
        <f>IF(A22=FALSE,"",Cotations!D22)</f>
        <v/>
      </c>
      <c r="UB22" s="491" t="str">
        <f>IF(A22=FALSE,"",IF(LISTES!$A$17=1,Cotations!EC22,Cotations!ED22))</f>
        <v/>
      </c>
      <c r="UC22" s="285" t="str">
        <f t="shared" si="389"/>
        <v/>
      </c>
      <c r="UD22" s="300" t="str">
        <f>IF(A22=FALSE,"",Detail!CY22)</f>
        <v/>
      </c>
      <c r="UE22" s="461" t="str">
        <f t="shared" si="390"/>
        <v/>
      </c>
      <c r="UF22" s="490" t="str">
        <f>IF(A22=FALSE,"",IF(UA22="FIXE",Cotations!EF22,Cotations!EG22*Y22))</f>
        <v/>
      </c>
      <c r="UG22" s="300" t="str">
        <f t="shared" si="391"/>
        <v/>
      </c>
      <c r="UH22" s="522" t="str">
        <f>IF(A22=FALSE,"",IF(Cotations!EE22="monthly",UG22/12*L22,UG22/365*M22))</f>
        <v/>
      </c>
      <c r="UI22" s="489" t="str">
        <f>IF(A22=FALSE,"",IF(Cotations!EH22="","",Cotations!EH22))</f>
        <v/>
      </c>
      <c r="UJ22" s="300" t="str">
        <f t="shared" si="392"/>
        <v/>
      </c>
      <c r="UK22" s="300" t="str">
        <f t="shared" si="393"/>
        <v/>
      </c>
      <c r="UL22" s="919" t="str">
        <f t="shared" si="394"/>
        <v/>
      </c>
      <c r="UM22" s="517" t="str">
        <f>IF(A22=FALSE,"",Cotations!EI22)</f>
        <v/>
      </c>
      <c r="UN22" s="517" t="str">
        <f>IF(A22=FALSE,"",Cotations!EJ22)</f>
        <v/>
      </c>
      <c r="UO22" s="493" t="str">
        <f>IF(A22=FALSE,"",Cotations!EK22)</f>
        <v/>
      </c>
      <c r="UP22" s="517" t="str">
        <f>IF(A22=FALSE,"",IF(UM22="N/A",0,IF(INDEX(LISTES!$F$105:$F$109,MATCH(UM22,LISTES!$C$105:$C$109,0))="FIX",IF(INDEX(LISTES!$E$105:$E$109,MATCH(UM22,LISTES!$C$105:$C$109,0))=12,UN22/12*L22,UN22/365*M22),UO22*UL22)))</f>
        <v/>
      </c>
      <c r="UQ22" s="294" t="str">
        <f t="shared" si="395"/>
        <v/>
      </c>
      <c r="UR22" s="494" t="str">
        <f>IF(A22=FALSE,"",UQ22*Cotations!EL22)</f>
        <v/>
      </c>
      <c r="US22" s="494" t="str">
        <f>IF(A22=FALSE,"",UQ22*Cotations!EM22)</f>
        <v/>
      </c>
      <c r="UT22" s="338" t="str">
        <f t="shared" si="396"/>
        <v/>
      </c>
      <c r="UU22" s="919" t="str">
        <f>IF(A22=FALSE,"",((UG22*(1+TAXE)-(UG22*(1+TAXE)*UI22))+IF(UM22="N/A",0,IF(INDEX(LISTES!$F$105:$F$109,MATCH(UM22,LISTES!$C$105:$C$109,0))="FIX",UN22,UO22*UL22))))</f>
        <v/>
      </c>
      <c r="VA22" s="492" t="str">
        <f>IF(A22=FALSE,"",Cotations!D22)</f>
        <v/>
      </c>
      <c r="VB22" s="519" t="str">
        <f>IF(A22=FALSE,"",IF(LISTES!$A$17=1,Cotations!EN22,Cotations!EO22))</f>
        <v/>
      </c>
      <c r="VC22" s="291" t="str">
        <f t="shared" si="397"/>
        <v/>
      </c>
      <c r="VD22" s="291" t="str">
        <f t="shared" si="398"/>
        <v/>
      </c>
      <c r="VE22" s="291"/>
      <c r="VF22" s="463"/>
      <c r="VG22" s="463" t="str">
        <f t="shared" si="399"/>
        <v/>
      </c>
      <c r="VH22" s="522" t="str">
        <f>IF(A22=FALSE,"",IF(Cotations!$AQ$4="monthly",VG22/12*L22,VG22/365*M22))</f>
        <v/>
      </c>
      <c r="VI22" s="489" t="str">
        <f>IF(A22=FALSE,"",Cotations!$AR$4)</f>
        <v/>
      </c>
      <c r="VJ22" s="300" t="str">
        <f t="shared" si="400"/>
        <v/>
      </c>
      <c r="VK22" s="300" t="str">
        <f t="shared" si="401"/>
        <v/>
      </c>
      <c r="VL22" s="294" t="str">
        <f t="shared" si="402"/>
        <v/>
      </c>
      <c r="VM22" s="494" t="str">
        <f>IF(A22=FALSE,"",Cotations!$AS$4)</f>
        <v/>
      </c>
      <c r="VN22" s="494" t="str">
        <f>IF(A22=FALSE,"",Cotations!$AT$4)</f>
        <v/>
      </c>
      <c r="VO22" s="489" t="str">
        <f>IF(A22=FALSE,"",Cotations!$AU$4)</f>
        <v/>
      </c>
      <c r="VP22" s="494" t="str">
        <f>IF(A22=FALSE,"",IF(VM22="N/A",0,IF(INDEX(LISTES!$F$105:$F$109,MATCH(VM22,LISTES!$C$105:$C$109,0))="FIX",IF(INDEX(LISTES!$E$105:$E$109,MATCH(VM22,LISTES!$C$105:$C$109,0))=12,VN22/12*L22,VN22/365*M22),VO22*VL22)))</f>
        <v/>
      </c>
      <c r="VQ22" s="294" t="str">
        <f t="shared" si="403"/>
        <v/>
      </c>
      <c r="VR22" s="494" t="str">
        <f>IF(A22=FALSE,"",VQ22*Cotations!$AV$4)</f>
        <v/>
      </c>
      <c r="VS22" s="494" t="str">
        <f>IF(A22=FALSE,"",VQ22*Cotations!$AW$4)</f>
        <v/>
      </c>
      <c r="VT22" s="465" t="str">
        <f t="shared" si="404"/>
        <v/>
      </c>
      <c r="VU22" s="919" t="str">
        <f>IF(A22=FALSE,"",((VG22*TAXE)-(VG22*TAXE*VI22))+IF(VM22="N/A",0,IF(INDEX(LISTES!$F$105:$F$109,MATCH(VM22,LISTES!$C$105:$C$109,0))="FIX",VN22,VO22*VL22)))</f>
        <v/>
      </c>
      <c r="WA22" s="492" t="str">
        <f>IF(A22=FALSE,"",Cotations!D22)</f>
        <v/>
      </c>
      <c r="WB22" s="519" t="str">
        <f>IF(A22=FALSE,"",IF(LISTES!$A$17=1,Cotations!EW22,Cotations!EX22))</f>
        <v/>
      </c>
      <c r="WC22" s="291" t="str">
        <f t="shared" si="405"/>
        <v/>
      </c>
      <c r="WD22" s="291" t="str">
        <f t="shared" si="406"/>
        <v/>
      </c>
      <c r="WE22" s="291"/>
      <c r="WF22" s="463"/>
      <c r="WG22" s="463" t="str">
        <f t="shared" si="407"/>
        <v/>
      </c>
      <c r="WH22" s="522" t="str">
        <f>IF(A22=FALSE,"",IF(Cotations!$AQ$4="monthly",WG22/12*L22,WG22/365*M22))</f>
        <v/>
      </c>
      <c r="WI22" s="489" t="str">
        <f>IF(A22=FALSE,"",Cotations!$AR$4)</f>
        <v/>
      </c>
      <c r="WJ22" s="300" t="str">
        <f t="shared" si="408"/>
        <v/>
      </c>
      <c r="WK22" s="300" t="str">
        <f t="shared" si="409"/>
        <v/>
      </c>
      <c r="WL22" s="294" t="str">
        <f t="shared" si="410"/>
        <v/>
      </c>
      <c r="WM22" s="494" t="str">
        <f>IF(A22=FALSE,"",Cotations!$AS$4)</f>
        <v/>
      </c>
      <c r="WN22" s="494" t="str">
        <f>IF(A22=FALSE,"",Cotations!$AT$4)</f>
        <v/>
      </c>
      <c r="WO22" s="489" t="str">
        <f>IF(A22=FALSE,"",Cotations!$AU$4)</f>
        <v/>
      </c>
      <c r="WP22" s="494" t="str">
        <f>IF(A22=FALSE,"",IF(WM22="N/A",0,IF(INDEX(LISTES!$F$105:$F$109,MATCH(WM22,LISTES!$C$105:$C$109,0))="FIX",IF(INDEX(LISTES!$E$105:$E$109,MATCH(WM22,LISTES!$C$105:$C$109,0))=12,WN22/12*L22,WN22/365*M22),WO22*WL22)))</f>
        <v/>
      </c>
      <c r="WQ22" s="294" t="str">
        <f t="shared" si="411"/>
        <v/>
      </c>
      <c r="WR22" s="494" t="str">
        <f>IF(A22=FALSE,"",WQ22*Cotations!$AV$4)</f>
        <v/>
      </c>
      <c r="WS22" s="494" t="str">
        <f>IF(A22=FALSE,"",WQ22*Cotations!$AW$4)</f>
        <v/>
      </c>
      <c r="WT22" s="465" t="str">
        <f t="shared" si="412"/>
        <v/>
      </c>
      <c r="WU22" s="919" t="str">
        <f>IF(A22=FALSE,"",((WG22*TAXE)-(WG22*TAXE*WI22))+IF(WM22="N/A",0,IF(INDEX(LISTES!$F$105:$F$109,MATCH(WM22,LISTES!$C$105:$C$109,0))="FIX",WN22,WO22*WL22)))</f>
        <v/>
      </c>
    </row>
    <row r="23" spans="1:619" s="296" customFormat="1">
      <c r="A23" s="942" t="b">
        <f t="shared" si="221"/>
        <v>1</v>
      </c>
      <c r="B23" s="942" t="b">
        <f>IF(NAMES!$B$9=TRUE,TRUE,FALSE)</f>
        <v>1</v>
      </c>
      <c r="C23" s="942" t="b">
        <f t="shared" si="413"/>
        <v>1</v>
      </c>
      <c r="D23" s="942" t="b">
        <f t="shared" si="414"/>
        <v>1</v>
      </c>
      <c r="E23" s="274" t="b">
        <f>IF(Cotations!C23="","",Cotations!C23)</f>
        <v>1</v>
      </c>
      <c r="F23" s="274" t="str">
        <f>IF(Cotations!D23="","",Cotations!D23)</f>
        <v>PROP</v>
      </c>
      <c r="G23" s="274" t="str">
        <f>IF(Cotations!E23="","",Cotations!E23)</f>
        <v>2016-2017!</v>
      </c>
      <c r="H23" s="274" t="str">
        <f>IF(Cotations!F23="","",Cotations!F23)</f>
        <v>SINGLE</v>
      </c>
      <c r="I23" s="274">
        <f>IF(Cotations!G23="","",Cotations!G23)</f>
        <v>131262</v>
      </c>
      <c r="J23" s="274" t="str">
        <f>IF(Cotations!H23="","",Cotations!H23)</f>
        <v>Chief Steward/ess</v>
      </c>
      <c r="K23" s="274" t="str">
        <f>IF(Cotations!I23="","",Cotations!I23)</f>
        <v>BERTHE</v>
      </c>
      <c r="L23" s="274">
        <f>IF(A23=FALSE,"",IF(Cotations!N23="","",Cotations!N23))</f>
        <v>12</v>
      </c>
      <c r="M23" s="274">
        <f>IF(Cotations!P23="","",Cotations!P23)</f>
        <v>365</v>
      </c>
      <c r="N23" s="724">
        <f>IF(NAMES!$B$10=TRUE,Cotations!J23,Cotations!L23)</f>
        <v>42686</v>
      </c>
      <c r="O23" s="724">
        <f>IF(NAMES!$B$10=TRUE,Cotations!K23,Cotations!M23)</f>
        <v>43050</v>
      </c>
      <c r="P23" s="943" t="str">
        <f t="shared" si="415"/>
        <v>novembre</v>
      </c>
      <c r="Q23" s="724">
        <f>IF(A23=FALSE,"",IF(Crewlist!Y23="","",Crewlist!Y23))</f>
        <v>43050</v>
      </c>
      <c r="R23" s="78" t="str">
        <f>IF(Cotations!U23="","",Cotations!U23)</f>
        <v>annual</v>
      </c>
      <c r="S23" s="943" t="str">
        <f t="shared" si="416"/>
        <v>VRAI131262novembre42686</v>
      </c>
      <c r="T23" s="919">
        <f>IF(A23=FALSE,"",VLOOKUP($U$15:$U$120,Currency!$A$2:$D$10,4,0)*Crewlist!N23)</f>
        <v>3000</v>
      </c>
      <c r="U23" s="1355" t="str">
        <f>IF(A23=FALSE,"",IF(IT23=0,Crewlist!M23&amp;"/"&amp;EX23,Crewlist!M23&amp;"/"&amp;IT23))</f>
        <v>EUR/EUR</v>
      </c>
      <c r="V23" s="919">
        <f>IF(A23=FALSE,"",VLOOKUP($U$15:$U$120,Currency!$A$2:$D$10,4,0)*Detail!Q23)</f>
        <v>3000</v>
      </c>
      <c r="W23" s="1355" t="str">
        <f>IF(A23=FALSE,"",IF(IT23=0,Detail!R23&amp;"/"&amp;EX23,Detail!R23&amp;"/"&amp;IT23))</f>
        <v>EUR/EUR</v>
      </c>
      <c r="X23" s="919">
        <f>IF(A23=FALSE,"",IF(LISTES!$C$17="Crewlist",Calcul!T23,Calcul!V23))</f>
        <v>3000</v>
      </c>
      <c r="Y23" s="758">
        <f t="shared" si="417"/>
        <v>36000</v>
      </c>
      <c r="Z23" s="758">
        <f>IF(A23=FALSE,"",IF(X23=0,0,IF((Cotations!BC23*12*X23)&lt;50000,50000,(12*X23))))</f>
        <v>36000</v>
      </c>
      <c r="AA23" s="758">
        <f t="shared" si="418"/>
        <v>36000</v>
      </c>
      <c r="AB23" s="758" t="str">
        <f>IF(A23=FALSE,"",IF(Crewlist!O23=0,"",Crewlist!O23))</f>
        <v/>
      </c>
      <c r="AC23" s="758" t="e">
        <f>IF(I23="","",VLOOKUP($AB$15:$AB$120,Currency!$A$15:$B$34,2,0))</f>
        <v>#N/A</v>
      </c>
      <c r="AD23" s="758" t="e">
        <f t="shared" si="419"/>
        <v>#N/A</v>
      </c>
      <c r="AE23" s="758" t="e">
        <f t="shared" si="420"/>
        <v>#N/A</v>
      </c>
      <c r="AF23" s="758" t="e">
        <f t="shared" si="421"/>
        <v>#N/A</v>
      </c>
      <c r="AG23" s="758">
        <f t="shared" si="422"/>
        <v>36000</v>
      </c>
      <c r="AH23" s="1355" t="str">
        <f t="shared" si="222"/>
        <v>EUR</v>
      </c>
      <c r="AI23" s="919">
        <f t="shared" si="423"/>
        <v>2963.2709517241383</v>
      </c>
      <c r="AJ23" s="1382">
        <f t="shared" si="424"/>
        <v>1442</v>
      </c>
      <c r="AK23" s="1382">
        <f t="shared" si="425"/>
        <v>1509.2709517241381</v>
      </c>
      <c r="AL23" s="238">
        <f t="shared" si="223"/>
        <v>32</v>
      </c>
      <c r="AM23" s="238">
        <f t="shared" si="224"/>
        <v>112.27965198939003</v>
      </c>
      <c r="AN23" s="1374">
        <f t="shared" si="225"/>
        <v>0</v>
      </c>
      <c r="AO23" s="238">
        <f t="shared" si="226"/>
        <v>144.27965198939003</v>
      </c>
      <c r="AP23" s="342" t="str">
        <f>IF(A23=FALSE,"",INDEX(Rates!$Z$5:$Z$367,MATCH(EB23,colchoice,0)))</f>
        <v>WCA</v>
      </c>
      <c r="AQ23" s="238">
        <f t="shared" si="227"/>
        <v>12</v>
      </c>
      <c r="AR23" s="238">
        <f t="shared" si="426"/>
        <v>2806.9912997347483</v>
      </c>
      <c r="AS23" s="238">
        <f t="shared" si="427"/>
        <v>1410</v>
      </c>
      <c r="AT23" s="238">
        <f t="shared" si="428"/>
        <v>1509.2709517241381</v>
      </c>
      <c r="AU23" s="238">
        <f t="shared" si="228"/>
        <v>1165.3846153846152</v>
      </c>
      <c r="AV23" s="238">
        <f t="shared" si="429"/>
        <v>190.38461538461539</v>
      </c>
      <c r="AW23" s="238">
        <f t="shared" si="229"/>
        <v>74.63172413793103</v>
      </c>
      <c r="AX23" s="238">
        <f t="shared" si="230"/>
        <v>186.65379310344829</v>
      </c>
      <c r="AY23" s="238">
        <f t="shared" si="231"/>
        <v>92.20965517241379</v>
      </c>
      <c r="AZ23" s="238">
        <f t="shared" si="232"/>
        <v>221.80965517241381</v>
      </c>
      <c r="BA23" s="238">
        <f t="shared" si="233"/>
        <v>292.12137931034482</v>
      </c>
      <c r="BB23" s="552">
        <f t="shared" si="234"/>
        <v>583.79586206896556</v>
      </c>
      <c r="BC23" s="347">
        <f t="shared" si="235"/>
        <v>1410</v>
      </c>
      <c r="BD23" s="239">
        <f t="shared" si="430"/>
        <v>1355.7692307692307</v>
      </c>
      <c r="BE23" s="239">
        <f>IF(A23=FALSE,"",IF(ALLTHESAME=TRUE,IF(DF23&lt;&gt;$BC$7,0,INDEX(DD23:DZ23,1,MATCH(Structure!$D$12,$DD$14:$DZ$14,0))),IF(EC23&lt;&gt;$BC$7,0,INDEX(EA23:EZ23,1,MATCH(Structure!$D$12,$EA$14:$EZ$14,0)))))</f>
        <v>1165.3846153846152</v>
      </c>
      <c r="BF23" s="239">
        <f>IF(A23=FALSE,"",IF(ALLTHESAME=TRUE,IF(FC23&lt;&gt;$BC$7,0,INDEX(FA23:FZ23,1,MATCH(Structure!$D$12,$FA$14:$FZ$14,0))),IF(GC23&lt;&gt;$BC$7,0,INDEX(GA23:GZ23,1,MATCH(Structure!$D$12,$GA$14:$GZ$14,0)))))</f>
        <v>190.38461538461539</v>
      </c>
      <c r="BG23" s="239">
        <f>IF(A23=FALSE,"",IF(ALLTHESAME=TRUE,IF(VC23&lt;&gt;$BC$7,0,INDEX(VA23:VZ23,1,MATCH(Structure!$D$12,$VA$14:$VZ$14,0))),IF(VC23&lt;&gt;$BC$7,0,INDEX(VA23:VZ23,1,MATCH(Structure!$D$12,$VA$14:$VZ$14,0)))))</f>
        <v>0</v>
      </c>
      <c r="BH23" s="239">
        <f>IF(A23=FALSE,"",IF(ALLTHESAME=TRUE,IF(WC23&lt;&gt;$BC$7,0,INDEX(WA23:WY23,1,MATCH(Structure!$D$12,$WA$14:$WZ$14,0))),IF(WC23&lt;&gt;$BC$7,0,INDEX(WA23:WZ23,1,MATCH(Structure!$D$12,$WA$14:$WZ$14,0)))))</f>
        <v>0</v>
      </c>
      <c r="BI23" s="763">
        <f>IF(A23=FALSE,"",IF(ALLTHESAME=TRUE,IF(HC23&lt;&gt;$BC$7,0,INDEX(HA23:HZ23,1,MATCH(Structure!$D$12,$HA$14:$HZ$14,0)))+TK23,IF(IC23&lt;&gt;$BC$7,0,INDEX(IA23:IZ23,1,MATCH(Structure!$D$12,$IA$14:$IZ$14,0)))+TK23))</f>
        <v>0</v>
      </c>
      <c r="BJ23" s="239">
        <f>IF(A23=FALSE,"",IF(ALLTHESAME=TRUE,IF(JC23&lt;&gt;$BC$7,0,INDEX(JA23:JZ23,1,MATCH(Structure!$D$12,$JA$14:$JZ$14,0))),IF(KC23&lt;&gt;$BC$7,0,INDEX(KA23:KZ23,1,MATCH(Structure!$D$12,$KA$14:$KZ$14,0)))))</f>
        <v>0</v>
      </c>
      <c r="BK23" s="763">
        <f>IF(A23=FALSE,"",IF(ALLTHESAME=TRUE,IF(LC23&lt;&gt;$BC$7,0,INDEX(LA23:LZ23,1,MATCH(Structure!$D$12,$LA$14:$LZ$14,0)))+UK23,IF(MC23&lt;&gt;$BC$7,0,INDEX(MA23:MZ23,1,MATCH(Structure!$D$12,$MA$14:$MZ$14,0)))+UK23))</f>
        <v>0</v>
      </c>
      <c r="BL23" s="239">
        <f>IF(A23=FALSE,"",IF(ALLTHESAME=TRUE,IF(NC23&lt;&gt;$BC$7,0,INDEX(NA23:NZ23,1,MATCH(Structure!$D$12,$NA$14:$NZ$14,0))),IF(OC23&lt;&gt;$BC$7,0,INDEX(OA23:OZ23,1,MATCH(Structure!$D$12,$OA$14:$OZ$14,0)))))</f>
        <v>0</v>
      </c>
      <c r="BM23" s="239">
        <f>IF(A23=FALSE,"",IF(ALLTHESAME=TRUE,IF(PC23&lt;&gt;$BC$7,0,INDEX(PA23:PZ23,1,MATCH(Structure!$D$12,$PA$14:$PZ$14,0))),IF(QC23&lt;&gt;$BC$7,0,INDEX(QA23:QZ23,1,MATCH(Structure!$D$12,$QA$14:$QZ$14,0)))))</f>
        <v>0</v>
      </c>
      <c r="BN23" s="341">
        <f>IF(A23=FALSE,"",IF(ALLTHESAME=TRUE,IF(RC23&lt;&gt;$BC$7,0,INDEX(RA23:RZ23,1,MATCH(Structure!$D$12,$RA$14:$RZ$14,0))),IF(SC23&lt;&gt;$BC$7,0,INDEX(SA23:TA23,1,MATCH(Structure!$D$12,$SA$14:$TA$14,0)))))</f>
        <v>0</v>
      </c>
      <c r="BO23" s="507">
        <f t="shared" si="236"/>
        <v>1509.2709517241381</v>
      </c>
      <c r="BP23" s="239">
        <f t="shared" si="237"/>
        <v>1451.2220689655173</v>
      </c>
      <c r="BQ23" s="239">
        <f>IF(A23=FALSE,"",IF(ALLTHESAME=TRUE,IF(DF23&lt;&gt;$BO$7,0,INDEX(DD23:DZ23,1,MATCH(Structure!$D$12,$DD$14:$DZ$14,0))),IF(EC23&lt;&gt;$BO$7,0,INDEX(EA23:EZ23,1,MATCH(Structure!$D$12,$EA$14:$EZ$14,0)))))</f>
        <v>0</v>
      </c>
      <c r="BR23" s="239">
        <f>IF(A23=FALSE,"",IF(ALLTHESAME=TRUE,IF(FC23&lt;&gt;$BO$7,0,INDEX(FA23:FZ23,1,MATCH(Structure!$D$12,$FA$14:$FZ$14,0))),IF(GC23&lt;&gt;$BO$7,0,INDEX(GA23:GZ23,1,MATCH(Structure!$D$12,$GA$14:$GZ$14,0)))))</f>
        <v>0</v>
      </c>
      <c r="BS23" s="239">
        <f>IF(A23=FALSE,"",IF(ALLTHESAME=TRUE,IF(HC23&lt;&gt;$BO$7,0,INDEX(HA23:HZ23,1,MATCH(Structure!$D$12,$HA$14:$HZ$14,0))),IF(IC23&lt;&gt;$BO$7,0,INDEX(IA23:IZ23,1,MATCH(Structure!$D$12,$IA$14:$IZ$14,0)))))</f>
        <v>74.63172413793103</v>
      </c>
      <c r="BT23" s="239">
        <f>IF(A23=FALSE,"",IF(ALLTHESAME=TRUE,IF(JC23&lt;&gt;$BO$7,0,INDEX(JA23:JZ23,1,MATCH(Structure!$D$12,$JA$14:$JZ$14,0))),IF(KC23&lt;&gt;$BO$7,0,INDEX(KA23:KZ23,1,MATCH(Structure!$D$12,$KA$14:$KZ$14,0)))))</f>
        <v>186.65379310344829</v>
      </c>
      <c r="BU23" s="239">
        <f>IF(A23=FALSE,"",IF(ALLTHESAME=TRUE,IF(LC23&lt;&gt;$BO$7,0,INDEX(LA23:LZ23,1,MATCH(Structure!$D$12,$LA$14:$LZ$14,0))),IF(MC23&lt;&gt;$BO$7,0,INDEX(MA23:MZ23,1,MATCH(Structure!$D$12,$MA$14:$MZ$14,0)))))</f>
        <v>92.20965517241379</v>
      </c>
      <c r="BV23" s="239">
        <f>IF(A23=FALSE,"",IF(ALLTHESAME=TRUE,IF(NC23&lt;&gt;$BO$7,0,INDEX(NA23:NZ23,1,MATCH(Structure!$D$12,$NA$14:$NZ$14,0))),IF(OC23&lt;&gt;$BO$7,0,INDEX(OA23:OZ23,1,MATCH(Structure!$D$12,$OA$14:$OZ$14,0)))))</f>
        <v>221.80965517241381</v>
      </c>
      <c r="BW23" s="239">
        <f>IF(A23=FALSE,"",IF(ALLTHESAME=TRUE,IF(PC23&lt;&gt;$BO$7,0,INDEX(PA23:PZ23,1,MATCH(Structure!$D$12,$PA$14:$PZ$14,0))),IF(QC23&lt;&gt;$BO$7,0,INDEX(QA23:QZ23,1,MATCH(Structure!$D$12,$QA$14:$QZ$14,0)))))</f>
        <v>292.12137931034482</v>
      </c>
      <c r="BX23" s="341">
        <f>IF(A23=FALSE,"",IF(ALLTHESAME=TRUE,IF(RC23&lt;&gt;$BO$7,0,INDEX(RA23:RZ23,1,MATCH(Structure!$D$12,$RA$14:$RZ$14,0))),IF(SC23&lt;&gt;$BO$7,0,INDEX(SA23:TA23,1,MATCH(Structure!$D$12,$SA$14:$TA$14,0)))))</f>
        <v>583.79586206896556</v>
      </c>
      <c r="BY23" s="347" t="str">
        <f t="shared" si="238"/>
        <v>MEDI</v>
      </c>
      <c r="BZ23" s="507">
        <f t="shared" si="239"/>
        <v>32</v>
      </c>
      <c r="CA23" s="239">
        <f t="shared" si="240"/>
        <v>0</v>
      </c>
      <c r="CB23" s="239">
        <f>IF(A23=FALSE,"",IF(ALLTHESAME=TRUE,INDEX(DD23:DZ23,MATCH(DF23,DF23:DF128,0),MATCH(Structure!$D$17,$DD$14:$DZ$14,0)),INDEX(EA23:EZ23,MATCH(EC23,EC23:EC128,0),MATCH(Structure!$D$17,$EA$14:$EZ$14,0))))</f>
        <v>32</v>
      </c>
      <c r="CC23" s="239">
        <f>IF(A23=FALSE,"",IF(ALLTHESAME=TRUE,INDEX(FA23:FZ23,MATCH(FC23,FC23:FC128,0),MATCH(Structure!$D$17,$FA$14:$FZ$14,0)),INDEX(GA23:GZ23,MATCH(GC23,GC23:GC128,0),MATCH(Structure!$D$17,$GA$14:$GZ$14,0))))</f>
        <v>0</v>
      </c>
      <c r="CD23" s="239">
        <f>IF(A23=FALSE,"",IF(ALLTHESAME=TRUE,INDEX(HA23:HZ23,MATCH(HC23,HC23:HC128,0),MATCH(Structure!$D$17,$HA$14:$HZ$14,0)),INDEX(IA23:IZ23,MATCH(IC23,IC23:IC128,0),MATCH(Structure!$D$17,$IA$14:$IZ$14,0))))</f>
        <v>0</v>
      </c>
      <c r="CE23" s="239">
        <f>IF(A23=FALSE,"",IF(ALLTHESAME=TRUE,INDEX(JA23:JZ23,MATCH(JC23,JC23:JC128,0),MATCH(Structure!$D$17,$JA$14:$JZ$14,0)),INDEX(KA23:KZ23,MATCH(KC23,KC23:KC128,0),MATCH(Structure!$D$17,$KA$14:$KZ$14,0))))</f>
        <v>0</v>
      </c>
      <c r="CF23" s="239">
        <f>IF(A23=FALSE,"",IF(ALLTHESAME=TRUE,INDEX(LA23:LZ23,MATCH(LC23,LC23:LC128,0),MATCH(Structure!$D$17,$LA$14:$LZ$14,0)),INDEX(MA23:MZ23,MATCH(MC23,MC23:MC128,0),MATCH(Structure!$D$17,$MA$14:$MZ$14,0))))</f>
        <v>0</v>
      </c>
      <c r="CG23" s="239">
        <f>IF(A23=FALSE,"",IF(ALLTHESAME=TRUE,INDEX(NA23:NZ23,MATCH(NC23,NC23:NC128,0),MATCH(Structure!$D$17,$NA$14:$NZ$14,0)),INDEX(OA23:OZ23,MATCH(OC23,OC23:OC128,0),MATCH(Structure!$D$17,$OA$14:$OZ$14,0))))</f>
        <v>0</v>
      </c>
      <c r="CH23" s="239">
        <f>IF(A23=FALSE,"",IF(ALLTHESAME=TRUE,INDEX(PA23:PZ23,MATCH(PC23,PC23:PC128,0),MATCH(Structure!$D$17,$PA$14:$PZ$14,0)),INDEX(QA23:QZ23,MATCH(QC23,QC23:QC128,0),MATCH(Structure!$D$17,$QA$14:$QZ$14,0))))</f>
        <v>0</v>
      </c>
      <c r="CI23" s="341">
        <f>IF(A23=FALSE,"",IF(ALLTHESAME=TRUE,INDEX(RA23:RZ23,MATCH(RC23,RC23:RC128,0),MATCH(Structure!$D$17,$RA$14:$RZ$14,0)),INDEX(SA23:TC23,MATCH(SC23,SC23:SC128,0),MATCH(Structure!$D$17,$SA$14:$TC$14,0))))</f>
        <v>0</v>
      </c>
      <c r="CJ23" s="347"/>
      <c r="CK23" s="239">
        <f t="shared" si="241"/>
        <v>2951.2709517241378</v>
      </c>
      <c r="CL23" s="239">
        <f>IF(A23=FALSE,"",IF(ALLTHESAME=TRUE,INDEX(DD23:DZ23,MATCH(DF23,DF23:DF128,0),MATCH(Structure!$D$22,$DD$14:$DZ$14,0)),INDEX(EA23:EZ23,MATCH(EC23,EC23:EC128,0),MATCH(Structure!$D$22,$EA$14:$EZ$14,0))))</f>
        <v>1244</v>
      </c>
      <c r="CM23" s="239">
        <f>IF(A23=FALSE,"",IF(ALLTHESAME=TRUE,INDEX(FA23:FZ23,MATCH(FC23,FC23:FC128,0),MATCH(Structure!$D$22,$FA$14:$FZ$14,0)),INDEX(GA23:GZ23,MATCH(GC23,GC23:GC128,0),MATCH(Structure!$D$22,$GA$14:$GZ$14,0))))</f>
        <v>198</v>
      </c>
      <c r="CN23" s="239">
        <f>IF(A23=FALSE,"",IF(ALLTHESAME=TRUE,INDEX(HA23:HZ23,MATCH(HC23,HC23:HC128,0),MATCH(Structure!$D$22,$HA$14:$HZ$14,0)),INDEX(IA23:IZ23,MATCH(IC23,IC23:IC128,0),MATCH(Structure!$D$22,$IA$14:$IZ$14,0))))</f>
        <v>77.61699310344828</v>
      </c>
      <c r="CO23" s="239">
        <f>IF(A23=FALSE,"",IF(ALLTHESAME=TRUE,INDEX(JA23:JZ23,MATCH(JC23,JC23:JC128,0),MATCH(Structure!$D$22,$JA$14:$JZ$14,0)),INDEX(KA23:KZ23,MATCH(KC23,KC23:KC128,0),MATCH(Structure!$D$22,$KA$14:$KZ$14,0))))</f>
        <v>194.11994482758621</v>
      </c>
      <c r="CP23" s="239">
        <f>IF(A23=FALSE,"",IF(ALLTHESAME=TRUE,INDEX(LA23:LZ23,MATCH(LC23,LC23:LC128,0),MATCH(Structure!$D$22,$LA$14:$LZ$14,0)),INDEX(MA23:MZ23,MATCH(MC23,MC23:MC128,0),MATCH(Structure!$D$22,$MA$14:$MZ$14,0))))</f>
        <v>95.898041379310342</v>
      </c>
      <c r="CQ23" s="239">
        <f>IF(A23=FALSE,"",IF(ALLTHESAME=TRUE,INDEX(NA23:NZ23,MATCH(NC23,NC23:NC128,0),MATCH(Structure!$D$22,$NA$14:$NZ$14,0)),INDEX(OA23:OZ23,MATCH(OC23,OC23:OC128,0),MATCH(Structure!$D$22,$OA$14:$OZ$14,0))))</f>
        <v>230.68204137931036</v>
      </c>
      <c r="CR23" s="239">
        <f>IF(A23=FALSE,"",IF(ALLTHESAME=TRUE,INDEX(PA23:PZ23,MATCH(PC23,PC23:PC128,0),MATCH(Structure!$D$22,$PA$14:$PZ$14,0)),INDEX(QA23:QZ23,MATCH(QC23,QC23:QC128,0),MATCH(Structure!$D$22,$QA$14:$QZ$14,0))))</f>
        <v>303.80623448275861</v>
      </c>
      <c r="CS23" s="341">
        <f>IF(A23=FALSE,"",IF(ALLTHESAME=TRUE,INDEX(RA23:RZ23,MATCH(RC23,RC23:RC128,0),MATCH(Structure!$D$22,$RA$14:$RZ$14,0)),INDEX(SA23:TC23,MATCH(SC23,SC23:SC128,0),MATCH(Structure!$D$22,$SA$14:$TC$14,0))))</f>
        <v>607.14769655172415</v>
      </c>
      <c r="CT23" s="347"/>
      <c r="CU23" s="239">
        <f t="shared" si="242"/>
        <v>2806.9912997347483</v>
      </c>
      <c r="CV23" s="239">
        <f>IF(A23=FALSE,"",IF(ALLTHESAME=TRUE,INDEX(DD23:DZ23,MATCH(DF23,DF23:DF128,0),MATCH(Structure!$D$8,$DD$14:$DZ$14,0)),INDEX(EA23:EZ23,MATCH(EC23,EC23:EC128,0),MATCH(Structure!$D$8,$EA$14:$EZ$14,0))))</f>
        <v>1165.3846153846152</v>
      </c>
      <c r="CW23" s="239">
        <f>IF(A23=FALSE,"",IF(ALLTHESAME=TRUE,INDEX(FA23:FZ23,MATCH(FC23,FC23:FC128,0),MATCH(Structure!$D$8,$FA$14:$FZ$14,0)),INDEX(GA23:GZ23,MATCH(GC23,GC23:GC128,0),MATCH(Structure!$D$8,$GA$14:$GZ$14,0))))</f>
        <v>190.38461538461539</v>
      </c>
      <c r="CX23" s="239">
        <f>IF(A23=FALSE,"",IF(ALLTHESAME=TRUE,INDEX(HA23:HZ23,MATCH(HC23,HC23:HC128,0),MATCH(Structure!$D$8,$HA$14:$HZ$14,0)),INDEX(IA23:IZ23,MATCH(IC23,IC23:IC128,0),MATCH(Structure!$D$8,$IA$14:$IZ$14,0))))</f>
        <v>74.63172413793103</v>
      </c>
      <c r="CY23" s="239">
        <f>IF(A23=FALSE,"",IF(ALLTHESAME=TRUE,INDEX(JA23:JZ23,MATCH(JC23,JC23:JC128,0),MATCH(Structure!$D$8,$JA$14:$JZ$14,0)),INDEX(KA23:KZ23,MATCH(KC23,KC23:KC128,0),MATCH(Structure!$D$8,$KA$14:$KZ$14,0))))</f>
        <v>186.65379310344827</v>
      </c>
      <c r="CZ23" s="239">
        <f>IF(A23=FALSE,"",IF(ALLTHESAME=TRUE,INDEX(LA23:LZ23,MATCH(LC23,LC23:LC128,0),MATCH(Structure!$D$8,$LA$14:$LZ$14,0)),INDEX(MA23:MZ23,MATCH(MC23,MC23:MC128,0),MATCH(Structure!$D$8,$MA$14:$MZ$14,0))))</f>
        <v>92.20965517241379</v>
      </c>
      <c r="DA23" s="239">
        <f>IF(A23=FALSE,"",IF(ALLTHESAME=TRUE,INDEX(NA23:NZ23,MATCH(NC23,NC23:NC128,0),MATCH(Structure!$D$8,$NA$14:$NZ$14,0)),INDEX(OA23:OZ23,MATCH(OC23,OC23:OC128,0),MATCH(Structure!$D$8,$OA$14:$OZ$14,0))))</f>
        <v>221.80965517241381</v>
      </c>
      <c r="DB23" s="239">
        <f>IF(A23=FALSE,"",IF(ALLTHESAME=TRUE,INDEX(PA23:PZ23,MATCH(PC23,PC23:PC128,0),MATCH(Structure!$D$8,$PA$14:$PZ$14,0)),INDEX(QA23:QZ23,MATCH(QC23,QC23:QC128,0),MATCH(Structure!$D$8,$QA$14:$QZ$14,0))))</f>
        <v>292.12137931034482</v>
      </c>
      <c r="DC23" s="341">
        <f>IF(A23=FALSE,"",IF(ALLTHESAME=TRUE,INDEX(RA23:RZ23,MATCH(RC23,RC23:RC128,0),MATCH(Structure!$D$8,$RA$14:$RZ$14,0)),INDEX(SA23:TC23,MATCH(SC23,SC23:SC128,0),MATCH(Structure!$D$8,$SA$14:$TC$14,0))))</f>
        <v>583.79586206896556</v>
      </c>
      <c r="DD23" s="492" t="str">
        <f>IF(A23=FALSE,"",Cotations!D23)</f>
        <v>PROP</v>
      </c>
      <c r="DE23" s="492" t="str">
        <f>IF(A23=FALSE,"",IF(LISTES!$A$17=1,Cotations!AF23,Cotations!$AG$4))</f>
        <v>2016EURAIG Luxembourg-Healthcare PlanPerfect</v>
      </c>
      <c r="DF23" s="291" t="str">
        <f t="shared" si="431"/>
        <v>AIG Luxembourg</v>
      </c>
      <c r="DG23" s="291" t="str">
        <f t="shared" si="243"/>
        <v>Perfect</v>
      </c>
      <c r="DH23" s="291"/>
      <c r="DI23" s="463"/>
      <c r="DJ23" s="463">
        <f t="shared" si="244"/>
        <v>1165.3846153846152</v>
      </c>
      <c r="DK23" s="522">
        <f>IF(A23=FALSE,"",IF(Cotations!$AH$4="monthly",DJ23/12*L23,DJ23/365*M23))</f>
        <v>1165.3846153846152</v>
      </c>
      <c r="DL23" s="489">
        <f>IF(A23=FALSE,"",Cotations!$AI$4)</f>
        <v>0</v>
      </c>
      <c r="DM23" s="300">
        <f t="shared" si="245"/>
        <v>0</v>
      </c>
      <c r="DN23" s="300">
        <f t="shared" si="246"/>
        <v>1165.3846153846152</v>
      </c>
      <c r="DO23" s="294">
        <f t="shared" si="247"/>
        <v>1212</v>
      </c>
      <c r="DP23" s="494" t="str">
        <f>IF(A23=FALSE,"",Cotations!$AJ$4)</f>
        <v>fix Fees pro rata month</v>
      </c>
      <c r="DQ23" s="494">
        <f>IF(A23=FALSE,"",Cotations!$AK$4)</f>
        <v>15.2</v>
      </c>
      <c r="DR23" s="489">
        <f>IF(A23=FALSE,"",Cotations!$AL$4)</f>
        <v>0</v>
      </c>
      <c r="DS23" s="494">
        <f>IF(A23=FALSE,"",IF(DP23="N/A",0,IF(INDEX(LISTES!$F$105:$F$109,MATCH(DP23,LISTES!$C$105:$C$109,0))="FIX",IF(INDEX(LISTES!$E$105:$E$109,MATCH(DP23,LISTES!$C$105:$C$109,0))=12,DQ23/12*L23,DQ23/365*M23),DR23*DO23)))</f>
        <v>15.2</v>
      </c>
      <c r="DT23" s="294">
        <f t="shared" si="248"/>
        <v>1227.2</v>
      </c>
      <c r="DU23" s="294">
        <f>IF(A23=FALSE,"",DT23*Cotations!$AM$4)</f>
        <v>1227.2</v>
      </c>
      <c r="DV23" s="294">
        <f>IF(A23=FALSE,"",DT23*Cotations!$AN$4)</f>
        <v>0</v>
      </c>
      <c r="DW23" s="465" t="str">
        <f t="shared" si="249"/>
        <v>EUR</v>
      </c>
      <c r="DX23" s="919">
        <f>IF(A23=FALSE,"",((DJ23*TAXE)-(DJ23*TAXE*DL23))+IF(DP23="N/A",0,IF(INDEX(LISTES!$F$105:$F$109,MATCH(DP23,LISTES!$C$105:$C$109,0))="FIX",DQ23,DR23*DO23)))</f>
        <v>1227.2</v>
      </c>
      <c r="DY23" s="466"/>
      <c r="DZ23" s="466"/>
      <c r="EA23" s="492" t="str">
        <f>IF(A23=FALSE,"",Cotations!D23)</f>
        <v>PROP</v>
      </c>
      <c r="EB23" s="494" t="str">
        <f>IF(A23=FALSE,"",IF(LISTES!$A$17=1,Cotations!AF23,Cotations!AG23))</f>
        <v>2016EURAIG Luxembourg-Healthcare PlanPerfect</v>
      </c>
      <c r="EC23" s="284" t="str">
        <f t="shared" si="250"/>
        <v>AIG Luxembourg</v>
      </c>
      <c r="ED23" s="284" t="str">
        <f t="shared" si="251"/>
        <v>Perfect</v>
      </c>
      <c r="EE23" s="284"/>
      <c r="EF23" s="284"/>
      <c r="EG23" s="284">
        <f t="shared" si="252"/>
        <v>1165.3846153846152</v>
      </c>
      <c r="EH23" s="1365">
        <f t="shared" si="253"/>
        <v>0</v>
      </c>
      <c r="EI23" s="1365">
        <f t="shared" si="254"/>
        <v>1165.3846153846152</v>
      </c>
      <c r="EJ23" s="515">
        <f>IF(A23=FALSE,"",IF(Cotations!AH23="monthly",EG23/12*L23,EG23/365*M23))</f>
        <v>1165.3846153846152</v>
      </c>
      <c r="EK23" s="1364">
        <f>IF(A23=FALSE,"",IF(Cotations!AH23="monthly",EI23/12*L23,EI23/365*M23))</f>
        <v>1165.3846153846152</v>
      </c>
      <c r="EL23" s="493">
        <f>IF(A23=FALSE,"",IF(Cotations!AI23="","",Cotations!AI23))</f>
        <v>0</v>
      </c>
      <c r="EM23" s="284">
        <f t="shared" si="255"/>
        <v>0</v>
      </c>
      <c r="EN23" s="284">
        <f t="shared" si="256"/>
        <v>1165.3846153846152</v>
      </c>
      <c r="EO23" s="1365">
        <f t="shared" si="432"/>
        <v>0</v>
      </c>
      <c r="EP23" s="284">
        <f t="shared" si="257"/>
        <v>1212</v>
      </c>
      <c r="EQ23" s="515" t="str">
        <f>IF(A23=FALSE,"",Cotations!AJ23)</f>
        <v>fix Fees pro rata month</v>
      </c>
      <c r="ER23" s="515">
        <f>IF(A23=FALSE,"",IF(Cotations!AK23="","",Cotations!AK23))</f>
        <v>32</v>
      </c>
      <c r="ES23" s="493">
        <f>IF(A23=FALSE,"",Cotations!AL23)</f>
        <v>0</v>
      </c>
      <c r="ET23" s="515">
        <f>IF(A23=FALSE,"",IF(EQ23="N/A",0,IF(INDEX(LISTES!$F$105:$F$109,MATCH(EQ23,LISTES!$C$105:$C$109,0))="FIX",IF(INDEX(LISTES!$E$105:$E$109,MATCH(EQ23,LISTES!$C$105:$C$109,0))=12,ER23/12*L23,ER23/365*M23),ES23*EP23)))</f>
        <v>32</v>
      </c>
      <c r="EU23" s="294">
        <f t="shared" si="258"/>
        <v>1244</v>
      </c>
      <c r="EV23" s="494">
        <f>IF(A23=FALSE,"",EU23*Cotations!AM23)</f>
        <v>1244</v>
      </c>
      <c r="EW23" s="494">
        <f>IF(A23=FALSE,"",EU23*Cotations!AN23)</f>
        <v>0</v>
      </c>
      <c r="EX23" s="334" t="str">
        <f t="shared" si="259"/>
        <v>EUR</v>
      </c>
      <c r="EY23" s="919">
        <f>IF(A23=FALSE,"",((EG23*TAXE)-(EG23*TAXE*EL23)+EH23)+IF(EQ23="N/A",0,IF(INDEX(LISTES!$F$105:$F$109,MATCH(EQ23,LISTES!$C$105:$C$109,0))="FIX",ER23,ES23*EP23)))</f>
        <v>1244</v>
      </c>
      <c r="EZ23" s="422"/>
      <c r="FA23" s="492" t="str">
        <f>IF(A23=FALSE,"",Cotations!D23)</f>
        <v>PROP</v>
      </c>
      <c r="FB23" s="519" t="str">
        <f>IF(A23=FALSE,"",IF(LISTES!$A$17=1,Cotations!AO23,Cotations!$AP$4))</f>
        <v>2016EURAIG Luxembourg-Assistance and RepatriationPERFECT</v>
      </c>
      <c r="FC23" s="291" t="str">
        <f t="shared" si="260"/>
        <v>AIG Luxembourg</v>
      </c>
      <c r="FD23" s="291" t="str">
        <f t="shared" si="261"/>
        <v>PERFECT</v>
      </c>
      <c r="FE23" s="291"/>
      <c r="FF23" s="463"/>
      <c r="FG23" s="463">
        <f t="shared" si="262"/>
        <v>190.38461538461539</v>
      </c>
      <c r="FH23" s="522">
        <f>IF(A23=FALSE,"",IF(Cotations!$AQ$4="monthly",FG23/12*L23,FG23/365*M23))</f>
        <v>190.38461538461539</v>
      </c>
      <c r="FI23" s="453">
        <f>IF(A23=FALSE,"",Cotations!$AR$4)</f>
        <v>0</v>
      </c>
      <c r="FJ23" s="300">
        <f t="shared" si="263"/>
        <v>0</v>
      </c>
      <c r="FK23" s="300">
        <f t="shared" si="264"/>
        <v>190.38461538461539</v>
      </c>
      <c r="FL23" s="294">
        <f t="shared" si="265"/>
        <v>198</v>
      </c>
      <c r="FM23" s="494" t="str">
        <f>IF(A23=FALSE,"",Cotations!$AS$4)</f>
        <v>N/A</v>
      </c>
      <c r="FN23" s="494">
        <f>IF(A23=FALSE,"",Cotations!$AT$4)</f>
        <v>0</v>
      </c>
      <c r="FO23" s="489">
        <f>IF(A23=FALSE,"",Cotations!$AU$4)</f>
        <v>0</v>
      </c>
      <c r="FP23" s="494">
        <f>IF(A23=FALSE,"",IF(FM23="N/A",0,IF(INDEX(LISTES!$F$105:$F$109,MATCH(FM23,LISTES!$C$105:$C$109,0))="FIX",IF(INDEX(LISTES!$E$105:$E$109,MATCH(FM23,LISTES!$C$105:$C$109,0))=12,FN23/12*L23,FN23/365*M23),FO23*FL23)))</f>
        <v>0</v>
      </c>
      <c r="FQ23" s="294">
        <f t="shared" si="266"/>
        <v>198</v>
      </c>
      <c r="FR23" s="494">
        <f>IF(A23=FALSE,"",FQ23*Cotations!$AV$4)</f>
        <v>198</v>
      </c>
      <c r="FS23" s="494">
        <f>IF(A23=FALSE,"",FQ23*Cotations!$AW$4)</f>
        <v>0</v>
      </c>
      <c r="FT23" s="465" t="str">
        <f t="shared" si="267"/>
        <v>EUR</v>
      </c>
      <c r="FU23" s="919">
        <f>IF(A23=FALSE,"",((FG23*TAXE)-(FG23*TAXE*FI23))+IF(FM23="N/A",0,IF(INDEX(LISTES!$F$105:$F$109,MATCH(FM23,LISTES!$C$105:$C$109,0))="FIX",FN23,FO23*FL23)))</f>
        <v>198</v>
      </c>
      <c r="FV23" s="478"/>
      <c r="FW23" s="478"/>
      <c r="FX23" s="478"/>
      <c r="FY23" s="478"/>
      <c r="FZ23" s="478"/>
      <c r="GA23" s="492" t="str">
        <f>IF(A23=FALSE,"",Cotations!D23)</f>
        <v>PROP</v>
      </c>
      <c r="GB23" s="494" t="str">
        <f>IF(A23=FALSE,"",IF(LISTES!$A$17=1,Cotations!AO23,Cotations!AP23))</f>
        <v>2016EURAIG Luxembourg-Assistance and RepatriationPERFECT</v>
      </c>
      <c r="GC23" s="284" t="str">
        <f t="shared" si="268"/>
        <v>AIG Luxembourg</v>
      </c>
      <c r="GD23" s="515" t="str">
        <f>IF(A23=FALSE,"",IF(Detail!AM23="","",Detail!AM23))</f>
        <v>Perfect</v>
      </c>
      <c r="GE23" s="284"/>
      <c r="GF23" s="284"/>
      <c r="GG23" s="284">
        <f t="shared" si="269"/>
        <v>190.38461538461539</v>
      </c>
      <c r="GH23" s="515">
        <f>IF(A23=FALSE,"",IF(Cotations!AQ23="monthly",GG23/12*L23,GG23/365*M23))</f>
        <v>190.38461538461539</v>
      </c>
      <c r="GI23" s="493">
        <f>IF(A23=FALSE,"",IF(Cotations!AR23="","",Cotations!AR23))</f>
        <v>0</v>
      </c>
      <c r="GJ23" s="284">
        <f t="shared" si="270"/>
        <v>0</v>
      </c>
      <c r="GK23" s="284">
        <f t="shared" si="271"/>
        <v>190.38461538461539</v>
      </c>
      <c r="GL23" s="284">
        <f t="shared" si="272"/>
        <v>198</v>
      </c>
      <c r="GM23" s="515" t="str">
        <f>IF(A23=FALSE,"",Cotations!AS23)</f>
        <v>N/A</v>
      </c>
      <c r="GN23" s="515">
        <f>IF(A23=FALSE,"",Cotations!AT23)</f>
        <v>0</v>
      </c>
      <c r="GO23" s="493">
        <f>IF(A23=FALSE,"",Cotations!AU23)</f>
        <v>0</v>
      </c>
      <c r="GP23" s="515">
        <f>IF(A23=FALSE,"",IF(GM23="N/A",0,IF(INDEX(LISTES!$F$105:$F$109,MATCH(GM23,LISTES!$C$105:$C$109,0))="FIX",IF(INDEX(LISTES!$E$105:$E$109,MATCH(GM23,LISTES!$C$105:$C$109,0))=12,GN23/12*L23,GN23/365*M23),GO23*GL23)))</f>
        <v>0</v>
      </c>
      <c r="GQ23" s="294">
        <f t="shared" si="273"/>
        <v>198</v>
      </c>
      <c r="GR23" s="494">
        <f>IF(A23=FALSE,"",GQ23*Cotations!AV23)</f>
        <v>198</v>
      </c>
      <c r="GS23" s="494">
        <f>IF(A23=FALSE,"",GQ23*Cotations!AW23)</f>
        <v>0</v>
      </c>
      <c r="GT23" s="334" t="str">
        <f t="shared" si="274"/>
        <v>EUR</v>
      </c>
      <c r="GU23" s="919">
        <f>IF(A23=FALSE,"",((GG23*TAXE)-(GG23*TAXE*GI23))+IF(GM23="N/A",0,IF(INDEX(LISTES!$F$105:$F$109,MATCH(GM23,LISTES!$C$105:$C$109,0))="FIX",GN23,GO23*GL23)))</f>
        <v>198</v>
      </c>
      <c r="GV23" s="478"/>
      <c r="GW23" s="466"/>
      <c r="GX23" s="466"/>
      <c r="GY23" s="466"/>
      <c r="GZ23" s="466"/>
      <c r="HA23" s="492" t="str">
        <f>IF(A23=FALSE,"",Cotations!D23)</f>
        <v>PROP</v>
      </c>
      <c r="HB23" s="495" t="str">
        <f>IF(A23=FALSE,"",IF(LISTES!$A$17=1,Cotations!AX23,Cotations!$AY$4))</f>
        <v>2016EURAnker Verzekeringen n.v.-Death Accident</v>
      </c>
      <c r="HC23" s="291" t="str">
        <f t="shared" si="275"/>
        <v>Anker Verzekeringen n.v.</v>
      </c>
      <c r="HD23" s="291">
        <f t="shared" si="276"/>
        <v>0</v>
      </c>
      <c r="HE23" s="456">
        <f t="shared" si="277"/>
        <v>6.9103448275862072E-4</v>
      </c>
      <c r="HF23" s="496">
        <f>IF(A23=FALSE,"",IF(HA23="POEA",Cotations!BA23,IF(HA23="FIXE",Cotations!$BA$4,Cotations!$BC$4*Y23)))</f>
        <v>108000</v>
      </c>
      <c r="HG23" s="300">
        <f t="shared" si="278"/>
        <v>74.63172413793103</v>
      </c>
      <c r="HH23" s="522">
        <f>IF(A23=FALSE,"",IF(Cotations!$AZ$4="monthly",HG23/12*L23,HG23/365*M23))</f>
        <v>74.63172413793103</v>
      </c>
      <c r="HI23" s="489">
        <f>IF(A23=FALSE,"",Cotations!$BD$4)</f>
        <v>0</v>
      </c>
      <c r="HJ23" s="300">
        <f t="shared" si="279"/>
        <v>0</v>
      </c>
      <c r="HK23" s="300">
        <f t="shared" si="280"/>
        <v>74.63172413793103</v>
      </c>
      <c r="HL23" s="294">
        <f t="shared" si="281"/>
        <v>77.61699310344828</v>
      </c>
      <c r="HM23" s="494" t="str">
        <f>IF(A23=FALSE,"",Cotations!$BE$4)</f>
        <v>N/A</v>
      </c>
      <c r="HN23" s="522">
        <f>IF(A23=FALSE,"",Cotations!$BF$4)</f>
        <v>10</v>
      </c>
      <c r="HO23" s="489">
        <f>IF(A23=FALSE,"",Cotations!$BG$4)</f>
        <v>0</v>
      </c>
      <c r="HP23" s="494">
        <f>IF(A23=FALSE,"",IF(HM23="N/A",0,IF(INDEX(LISTES!$F$105:$F$109,MATCH(HM23,LISTES!$C$105:$C$109,0))="FIX",IF(INDEX(LISTES!$E$105:$E$109,MATCH(HM23,LISTES!$C$105:$C$109,0))=12,HN23/12*L23,HN23/365*M23),HO23*HL23)))</f>
        <v>0</v>
      </c>
      <c r="HQ23" s="294">
        <f t="shared" si="282"/>
        <v>77.61699310344828</v>
      </c>
      <c r="HR23" s="494">
        <f>IF(A23=FALSE,"",HQ23*Cotations!$BH$4)</f>
        <v>77.61699310344828</v>
      </c>
      <c r="HS23" s="494">
        <f>IF(A23=FALSE,"",HQ23*Cotations!$BI$4)</f>
        <v>0</v>
      </c>
      <c r="HT23" s="294" t="str">
        <f t="shared" si="283"/>
        <v>EUR</v>
      </c>
      <c r="HU23" s="919">
        <f>IF(A23=FALSE,"",((HG23*TAXE)-(HG23*TAXE*HI23))+IF(HM23="N/A",0,IF(INDEX(LISTES!$F$105:$F$109,MATCH(HM23,LISTES!$C$105:$C$109,0))="FIX",HN23,HO23*HL23)))</f>
        <v>77.61699310344828</v>
      </c>
      <c r="HV23" s="422"/>
      <c r="HW23" s="422"/>
      <c r="HX23" s="422"/>
      <c r="HY23" s="716"/>
      <c r="HZ23" s="422"/>
      <c r="IA23" s="492" t="str">
        <f>IF(A23=FALSE,"",Cotations!D23)</f>
        <v>PROP</v>
      </c>
      <c r="IB23" s="491" t="str">
        <f>IF(A23=FALSE,"",IF(LISTES!$A$17=1,Cotations!AX23,Cotations!AY23))</f>
        <v>2016EURAnker Verzekeringen n.v.-Death Accident</v>
      </c>
      <c r="IC23" s="285" t="str">
        <f t="shared" si="284"/>
        <v>Anker Verzekeringen n.v.</v>
      </c>
      <c r="ID23" s="300" t="str">
        <f>IF(A23=FALSE,"",IF(LISTES!$A$17=3,Detail!AU23,lig1_Formula_PREVOY))</f>
        <v>Formula 3</v>
      </c>
      <c r="IE23" s="461">
        <f t="shared" si="285"/>
        <v>6.9103448275862072E-4</v>
      </c>
      <c r="IF23" s="490">
        <f>IF(A23=FALSE,"",IF(IA23="POEA",Cotations!BA23,IF(HA23="FIXE",Cotations!BB23,IF(Cotations!BC23*Y23&lt;50000,Z23,Cotations!BC23*Y23))))</f>
        <v>108000</v>
      </c>
      <c r="IG23" s="300">
        <f t="shared" si="286"/>
        <v>74.63172413793103</v>
      </c>
      <c r="IH23" s="522">
        <f>IF(A23=FALSE,"",IF(Cotations!AZ23="monthly",IG23/12*L23,IG23/365*M23))</f>
        <v>74.63172413793103</v>
      </c>
      <c r="II23" s="489">
        <f>IF(A23=FALSE,"",IF(Cotations!BD23="","",Cotations!BD23))</f>
        <v>0</v>
      </c>
      <c r="IJ23" s="300">
        <f t="shared" si="287"/>
        <v>0</v>
      </c>
      <c r="IK23" s="300">
        <f t="shared" si="288"/>
        <v>74.63172413793103</v>
      </c>
      <c r="IL23" s="919">
        <f t="shared" si="289"/>
        <v>77.61699310344828</v>
      </c>
      <c r="IM23" s="517" t="str">
        <f>IF(A23=FALSE,"",Cotations!BE23)</f>
        <v>N/A</v>
      </c>
      <c r="IN23" s="517">
        <f>IF(A23=FALSE,"",Cotations!BF23)</f>
        <v>0</v>
      </c>
      <c r="IO23" s="493">
        <f>IF(A23=FALSE,"",Cotations!BG23)</f>
        <v>0</v>
      </c>
      <c r="IP23" s="517">
        <f>IF(A23=FALSE,"",IF(IM23="N/A",0,IF(INDEX(LISTES!$F$105:$F$109,MATCH(IM23,LISTES!$C$105:$C$109,0))="FIX",IF(INDEX(LISTES!$E$105:$E$109,MATCH(IM23,LISTES!$C$105:$C$109,0))=12,IN23/12*L23,IN23/365*M23),IO23*IL23)))</f>
        <v>0</v>
      </c>
      <c r="IQ23" s="294">
        <f t="shared" si="290"/>
        <v>77.61699310344828</v>
      </c>
      <c r="IR23" s="494">
        <f>IF(A23=FALSE,"",IQ23*Cotations!BH23)</f>
        <v>77.61699310344828</v>
      </c>
      <c r="IS23" s="494">
        <f>IF(A23=FALSE,"",IQ23*Cotations!BI23)</f>
        <v>0</v>
      </c>
      <c r="IT23" s="338" t="str">
        <f t="shared" si="291"/>
        <v>EUR</v>
      </c>
      <c r="IU23" s="919">
        <f>IF(A23=FALSE,"",((IG23*TAXE)-(IG23*TAXE*II23))+IF(IM23="N/A",0,IF(INDEX(LISTES!$F$105:$F$109,MATCH(IM23,LISTES!$C$105:$C$109,0))="FIX",IN23,IO23*IL23)))</f>
        <v>77.61699310344828</v>
      </c>
      <c r="IV23" s="422"/>
      <c r="IY23" s="716"/>
      <c r="JA23" s="492" t="str">
        <f>IF(A23=FALSE,"",Cotations!D23)</f>
        <v>PROP</v>
      </c>
      <c r="JB23" s="495" t="str">
        <f>IF(A23=FALSE,"",IF(LISTES!$A$17=1,Cotations!BJ23,Cotations!$BK$4))</f>
        <v>2016EURAnker Verzekeringen n.v.-Death illness</v>
      </c>
      <c r="JC23" s="291" t="str">
        <f t="shared" si="292"/>
        <v>Anker Verzekeringen n.v.</v>
      </c>
      <c r="JD23" s="291">
        <f t="shared" si="293"/>
        <v>0</v>
      </c>
      <c r="JE23" s="456">
        <f t="shared" si="294"/>
        <v>1.7282758620689655E-3</v>
      </c>
      <c r="JF23" s="496">
        <f>IF(A23=FALSE,"",IF(JA23="POEA",Cotations!BM23,IF(JA23="FIXE",Cotations!$BM$4,Cotations!$BO$4*Y23)))</f>
        <v>108000</v>
      </c>
      <c r="JG23" s="300">
        <f t="shared" si="295"/>
        <v>186.65379310344827</v>
      </c>
      <c r="JH23" s="522">
        <f>IF(A23=FALSE,"",IF(Cotations!$BL$4="monthly",JG23/12*L23,JG23/365*M23))</f>
        <v>186.65379310344829</v>
      </c>
      <c r="JI23" s="489">
        <f>IF(A23=FALSE,"",Cotations!$BP$4)</f>
        <v>0</v>
      </c>
      <c r="JJ23" s="300">
        <f t="shared" si="296"/>
        <v>0</v>
      </c>
      <c r="JK23" s="300">
        <f t="shared" si="297"/>
        <v>186.65379310344829</v>
      </c>
      <c r="JL23" s="294">
        <f t="shared" si="298"/>
        <v>194.11994482758624</v>
      </c>
      <c r="JM23" s="494" t="str">
        <f>IF(A23=FALSE,"",Cotations!$BQ$4)</f>
        <v>N/A</v>
      </c>
      <c r="JN23" s="522">
        <f>IF(A23=FALSE,"",Cotations!$BR$4)</f>
        <v>0</v>
      </c>
      <c r="JO23" s="489">
        <f>IF(A23=FALSE,"",Cotations!$BS$4)</f>
        <v>0</v>
      </c>
      <c r="JP23" s="494">
        <f>IF(A23=FALSE,"",IF(JM23="N/A",0,IF(INDEX(LISTES!$F$105:$F$109,MATCH(JM23,LISTES!$C$105:$C$109,0))="FIX",IF(INDEX(LISTES!$E$105:$E$109,MATCH(JM23,LISTES!$C$105:$C$109,0))=12,JN23/12*L23,JN23/365*M23),JO23*JL23)))</f>
        <v>0</v>
      </c>
      <c r="JQ23" s="294">
        <f t="shared" si="299"/>
        <v>194.11994482758624</v>
      </c>
      <c r="JR23" s="494">
        <f>IF(A23=FALSE,"",JQ23*Cotations!$BT$4)</f>
        <v>194.11994482758624</v>
      </c>
      <c r="JS23" s="494">
        <f>IF(A23=FALSE,"",JQ23*Cotations!$BU$4)</f>
        <v>0</v>
      </c>
      <c r="JT23" s="294" t="str">
        <f t="shared" si="300"/>
        <v>EUR</v>
      </c>
      <c r="JU23" s="919">
        <f>IF(A23=FALSE,"",((JG23*TAXE)-(JG23*TAXE*JI23))+IF(JM23="N/A",0,IF(INDEX(LISTES!$F$105:$F$109,MATCH(JM23,LISTES!$C$105:$C$109,0))="FIX",JN23,JO23*JL23)))</f>
        <v>194.11994482758621</v>
      </c>
      <c r="KA23" s="492" t="str">
        <f>IF(A23=FALSE,"",Cotations!D23)</f>
        <v>PROP</v>
      </c>
      <c r="KB23" s="491" t="str">
        <f>IF(A23=FALSE,"",IF(LISTES!$A$17=1,Cotations!BJ23,Cotations!BK23))</f>
        <v>2016EURAnker Verzekeringen n.v.-Death illness</v>
      </c>
      <c r="KC23" s="285" t="str">
        <f t="shared" si="301"/>
        <v>Anker Verzekeringen n.v.</v>
      </c>
      <c r="KD23" s="300"/>
      <c r="KE23" s="461">
        <f t="shared" si="302"/>
        <v>1.7282758620689655E-3</v>
      </c>
      <c r="KF23" s="490">
        <f>IF(A23=FALSE,"",IF(KA23="POEA",Cotations!BM23,IF(KA23="FIXE",Cotations!BN23,IF(Cotations!BO23*Y23&lt;50000,Z23,Cotations!BO23*Y23))))</f>
        <v>108000</v>
      </c>
      <c r="KG23" s="300">
        <f t="shared" si="303"/>
        <v>186.65379310344827</v>
      </c>
      <c r="KH23" s="522">
        <f>IF(A23=FALSE,"",IF(Cotations!BL23="monthly",KG23/12*L23,KG23/365*M23))</f>
        <v>186.65379310344829</v>
      </c>
      <c r="KI23" s="489">
        <f>IF(A23=FALSE,"",IF(Cotations!BP23="","",Cotations!BP23))</f>
        <v>0</v>
      </c>
      <c r="KJ23" s="300">
        <f t="shared" si="304"/>
        <v>0</v>
      </c>
      <c r="KK23" s="300">
        <f t="shared" si="305"/>
        <v>186.65379310344829</v>
      </c>
      <c r="KL23" s="919">
        <f t="shared" si="306"/>
        <v>194.11994482758624</v>
      </c>
      <c r="KM23" s="517" t="str">
        <f>IF(A23=FALSE,"",Cotations!BQ23)</f>
        <v>N/A</v>
      </c>
      <c r="KN23" s="515">
        <f>IF(A23=FALSE,"",Cotations!BR23)</f>
        <v>0</v>
      </c>
      <c r="KO23" s="493">
        <f>IF(A23=FALSE,"",Cotations!BS23)</f>
        <v>0</v>
      </c>
      <c r="KP23" s="517">
        <f>IF(A23=FALSE,"",IF(KM23="N/A",0,IF(INDEX(LISTES!$F$105:$F$109,MATCH(KM23,LISTES!$C$105:$C$109,0))="FIX",IF(INDEX(LISTES!$E$105:$E$109,MATCH(KM23,LISTES!$C$105:$C$109,0))=12,KN23/12*L23,KN23/365*M23),KO23*KL23)))</f>
        <v>0</v>
      </c>
      <c r="KQ23" s="294">
        <f t="shared" si="307"/>
        <v>194.11994482758624</v>
      </c>
      <c r="KR23" s="494">
        <f>IF(A23=FALSE,"",KQ23*Cotations!BT23)</f>
        <v>194.11994482758624</v>
      </c>
      <c r="KS23" s="494">
        <f>IF(A23=FALSE,"",KQ23*Cotations!BU23)</f>
        <v>0</v>
      </c>
      <c r="KT23" s="338" t="str">
        <f t="shared" si="308"/>
        <v>EUR</v>
      </c>
      <c r="KU23" s="919">
        <f>IF(A23=FALSE,"",((KG23*TAXE)-(KG23*TAXE*KI23))+IF(KM23="N/A",0,IF(INDEX(LISTES!$F$105:$F$109,MATCH(KM23,LISTES!$C$105:$C$109,0))="FIX",KN23,KO23*KL23)))</f>
        <v>194.11994482758621</v>
      </c>
      <c r="KX23" s="422"/>
      <c r="KY23" s="422"/>
      <c r="LA23" s="497" t="str">
        <f>IF(A23=FALSE,"",Cotations!D23)</f>
        <v>PROP</v>
      </c>
      <c r="LB23" s="498" t="str">
        <f>IF(A23=FALSE,"",IF(LISTES!$A$17=1,Cotations!BV23,Cotations!$BW$4))</f>
        <v>2016EURAnker Verzekeringen n.v.-Permanent Disability Accident</v>
      </c>
      <c r="LC23" s="499" t="str">
        <f t="shared" si="309"/>
        <v>Anker Verzekeringen n.v.</v>
      </c>
      <c r="LD23" s="499">
        <f t="shared" si="310"/>
        <v>0</v>
      </c>
      <c r="LE23" s="500">
        <f t="shared" si="311"/>
        <v>8.5379310344827581E-4</v>
      </c>
      <c r="LF23" s="501">
        <f>IF(A23=FALSE,"",IF(LA23="POEA",Cotations!EJ23,IF(LA23="FIXE",Cotations!$BY$4,Cotations!$CA$4*Y23)))</f>
        <v>108000</v>
      </c>
      <c r="LG23" s="502">
        <f t="shared" si="312"/>
        <v>92.20965517241379</v>
      </c>
      <c r="LH23" s="520">
        <f>IF(A23=FALSE,"",IF(Cotations!$BX$4="monthly",LG23/12*L23,LG23/365*M23))</f>
        <v>92.20965517241379</v>
      </c>
      <c r="LI23" s="503">
        <f>IF(A23=FALSE,"",Cotations!$CB$4)</f>
        <v>0</v>
      </c>
      <c r="LJ23" s="502">
        <f t="shared" si="313"/>
        <v>0</v>
      </c>
      <c r="LK23" s="502">
        <f t="shared" si="314"/>
        <v>92.20965517241379</v>
      </c>
      <c r="LL23" s="504">
        <f t="shared" si="315"/>
        <v>95.898041379310342</v>
      </c>
      <c r="LM23" s="505" t="str">
        <f>IF(A23=FALSE,"",Cotations!$CC$4)</f>
        <v>N/A</v>
      </c>
      <c r="LN23" s="503">
        <f>IF(A23=FALSE,"",Cotations!$CD$4)</f>
        <v>0</v>
      </c>
      <c r="LO23" s="503">
        <f>IF(A23=FALSE,"",Cotations!$CE$4)</f>
        <v>0</v>
      </c>
      <c r="LP23" s="505">
        <f>IF(A23=FALSE,"",IF(LM23="N/A",0,IF(INDEX(LISTES!$F$105:$F$109,MATCH(LM23,LISTES!$C$105:$C$109,0))="FIX",IF(INDEX(LISTES!$E$105:$E$109,MATCH(LM23,LISTES!$C$105:$C$109,0))=12,LN23/12*L23,LN23/365*M23),LO23*LL23)))</f>
        <v>0</v>
      </c>
      <c r="LQ23" s="504">
        <f t="shared" si="316"/>
        <v>95.898041379310342</v>
      </c>
      <c r="LR23" s="505">
        <f>IF(A23=FALSE,"",LQ23*Cotations!$CF$4)</f>
        <v>95.898041379310342</v>
      </c>
      <c r="LS23" s="505">
        <f>IF(A23=FALSE,"",LQ23*Cotations!$CG$4)</f>
        <v>0</v>
      </c>
      <c r="LT23" s="506" t="str">
        <f t="shared" si="317"/>
        <v>EUR</v>
      </c>
      <c r="LU23" s="919">
        <f>IF(A23=FALSE,"",((LG23*TAXE)-(LG23*TAXE*LI23))+IF(LM23="N/A",0,IF(INDEX(LISTES!$F$105:$F$109,MATCH(LM23,LISTES!$C$105:$C$109,0))="FIX",LN23,LO23*LL23)))</f>
        <v>95.898041379310342</v>
      </c>
      <c r="MA23" s="492" t="str">
        <f>IF(A23=FALSE,"",Cotations!D23)</f>
        <v>PROP</v>
      </c>
      <c r="MB23" s="491" t="str">
        <f>IF(A23=FALSE,"",IF(LISTES!$A$17=1,Cotations!BV23,Cotations!BW23))</f>
        <v>2016EURAnker Verzekeringen n.v.-Permanent Disability Accident</v>
      </c>
      <c r="MC23" s="285" t="str">
        <f t="shared" si="318"/>
        <v>Anker Verzekeringen n.v.</v>
      </c>
      <c r="MD23" s="300"/>
      <c r="ME23" s="461">
        <f t="shared" si="319"/>
        <v>8.5379310344827581E-4</v>
      </c>
      <c r="MF23" s="490">
        <f>IF(A23=FALSE,"",IF(MA23="POEA",Cotations!BY23,IF(MA23="FIXE",Cotations!BZ23,IF(Cotations!CA23*Y23&lt;50000,Z23,Cotations!CA23*Y23))))</f>
        <v>108000</v>
      </c>
      <c r="MG23" s="300">
        <f t="shared" si="320"/>
        <v>92.20965517241379</v>
      </c>
      <c r="MH23" s="522">
        <f>IF(A23=FALSE,"",IF(Cotations!BX23="monthly",MG23/12*L23,MG23/365*M23))</f>
        <v>92.20965517241379</v>
      </c>
      <c r="MI23" s="489">
        <f>IF(A23=FALSE,"",IF(Cotations!CB23="","",Cotations!CB23))</f>
        <v>0</v>
      </c>
      <c r="MJ23" s="300">
        <f t="shared" si="321"/>
        <v>0</v>
      </c>
      <c r="MK23" s="300">
        <f t="shared" si="322"/>
        <v>92.20965517241379</v>
      </c>
      <c r="ML23" s="919">
        <f t="shared" si="323"/>
        <v>95.898041379310342</v>
      </c>
      <c r="MM23" s="517" t="str">
        <f>IF(A23=FALSE,"",Cotations!CC23)</f>
        <v>N/A</v>
      </c>
      <c r="MN23" s="515">
        <f>IF(A23=FALSE,"",Cotations!CD23)</f>
        <v>0</v>
      </c>
      <c r="MO23" s="493">
        <f>IF(A23=FALSE,"",Cotations!CE23)</f>
        <v>0</v>
      </c>
      <c r="MP23" s="517">
        <f>IF(A23=FALSE,"",IF(MM23="N/A",0,IF(INDEX(LISTES!$F$105:$F$109,MATCH(MM23,LISTES!$C$105:$C$109,0))="FIX",IF(INDEX(LISTES!$E$105:$E$109,MATCH(MM23,LISTES!$C$105:$C$109,0))=12,MN23/12*L23,MN23/365*M23),MO23*ML23)))</f>
        <v>0</v>
      </c>
      <c r="MQ23" s="294">
        <f t="shared" si="324"/>
        <v>95.898041379310342</v>
      </c>
      <c r="MR23" s="494">
        <f>IF(A23=FALSE,"",MQ23*Cotations!CF23)</f>
        <v>95.898041379310342</v>
      </c>
      <c r="MS23" s="494">
        <f>IF(A23=FALSE,"",MQ23*Cotations!CG23)</f>
        <v>0</v>
      </c>
      <c r="MT23" s="338" t="str">
        <f t="shared" si="325"/>
        <v>EUR</v>
      </c>
      <c r="MU23" s="919">
        <f>IF(A23=FALSE,"",((MG23*TAXE)-(MG23*TAXE*MI23))+IF(MM23="N/A",0,IF(INDEX(LISTES!$F$105:$F$109,MATCH(MM23,LISTES!$C$105:$C$109,0))="FIX",MN23,MO23*ML23)))</f>
        <v>95.898041379310342</v>
      </c>
      <c r="NA23" s="497" t="str">
        <f>IF(A23=FALSE,"",Cotations!D23)</f>
        <v>PROP</v>
      </c>
      <c r="NB23" s="498" t="str">
        <f>IF(A23=FALSE,"",IF(LISTES!$A$17=1,Cotations!CH23,Cotations!$CI$4))</f>
        <v>2016EURAnker Verzekeringen n.v.-Permanent Disability illness</v>
      </c>
      <c r="NC23" s="499" t="str">
        <f t="shared" si="326"/>
        <v>Anker Verzekeringen n.v.</v>
      </c>
      <c r="ND23" s="499">
        <f t="shared" si="327"/>
        <v>0</v>
      </c>
      <c r="NE23" s="500">
        <f t="shared" si="328"/>
        <v>2.0537931034482759E-3</v>
      </c>
      <c r="NF23" s="501">
        <f>IF(A23=FALSE,"",IF(NA23="POEA",Cotations!CK23,IF(NA23="FIXE",Cotations!$CK$4,Cotations!$CM$4*Y23)))</f>
        <v>108000</v>
      </c>
      <c r="NG23" s="502">
        <f t="shared" si="329"/>
        <v>221.80965517241381</v>
      </c>
      <c r="NH23" s="520">
        <f>IF(A23=FALSE,"",IF(Cotations!$CJ$4="monthly",NG23/12*L23,NG23/365*M23))</f>
        <v>221.80965517241381</v>
      </c>
      <c r="NI23" s="503">
        <f>IF(A23=FALSE,"",Cotations!$CN$4)</f>
        <v>0</v>
      </c>
      <c r="NJ23" s="502">
        <f t="shared" si="330"/>
        <v>0</v>
      </c>
      <c r="NK23" s="502">
        <f t="shared" si="331"/>
        <v>221.80965517241381</v>
      </c>
      <c r="NL23" s="504">
        <f t="shared" si="332"/>
        <v>230.68204137931036</v>
      </c>
      <c r="NM23" s="505" t="str">
        <f>IF(A23=FALSE,"",Cotations!$CO$4)</f>
        <v>N/A</v>
      </c>
      <c r="NN23" s="520">
        <f>IF(A23=FALSE,"",Cotations!$CP$4)</f>
        <v>0</v>
      </c>
      <c r="NO23" s="503">
        <f>IF(A23=FALSE,"",Cotations!$CQ$4)</f>
        <v>0</v>
      </c>
      <c r="NP23" s="505">
        <f>IF(A23=FALSE,"",IF(NM23="N/A",0,IF(INDEX(LISTES!$F$105:$F$109,MATCH(NM23,LISTES!$C$105:$C$109,0))="FIX",IF(INDEX(LISTES!$E$105:$E$109,MATCH(NM23,LISTES!$C$105:$C$109,0))=12,NN23/12*L23,NN23/365*M23),NO23*NL23)))</f>
        <v>0</v>
      </c>
      <c r="NQ23" s="504">
        <f t="shared" si="333"/>
        <v>230.68204137931036</v>
      </c>
      <c r="NR23" s="505">
        <f>IF(A23=FALSE,"",NQ23*Cotations!$CR$4)</f>
        <v>230.68204137931036</v>
      </c>
      <c r="NS23" s="505">
        <f>IF(A23=FALSE,"",NQ23*Cotations!$CS$4)</f>
        <v>0</v>
      </c>
      <c r="NT23" s="506" t="str">
        <f t="shared" si="334"/>
        <v>EUR</v>
      </c>
      <c r="NU23" s="919">
        <f>IF(A23=FALSE,"",((NG23*TAXE)-(NG23*TAXE*NI23))+IF(NM23="N/A",0,IF(INDEX(LISTES!$F$105:$F$109,MATCH(NM23,LISTES!$C$105:$C$109,0))="FIX",NN23,NO23*NL23)))</f>
        <v>230.68204137931036</v>
      </c>
      <c r="OA23" s="492" t="str">
        <f>IF(A23=FALSE,"",Cotations!D23)</f>
        <v>PROP</v>
      </c>
      <c r="OB23" s="491" t="str">
        <f>IF(A23=FALSE,"",IF(LISTES!$A$17=1,Cotations!CH23,Cotations!CI23))</f>
        <v>2016EURAnker Verzekeringen n.v.-Permanent Disability illness</v>
      </c>
      <c r="OC23" s="285" t="str">
        <f t="shared" si="335"/>
        <v>Anker Verzekeringen n.v.</v>
      </c>
      <c r="OD23" s="300"/>
      <c r="OE23" s="461">
        <f t="shared" si="336"/>
        <v>2.0537931034482759E-3</v>
      </c>
      <c r="OF23" s="490">
        <f>IF(A23=FALSE,"",IF(OA23="POEA",Cotations!CK23,IF(OA23="FIXE",Cotations!CL23,IF(Cotations!CM23*Y23&lt;50000,Z23,Cotations!CM23*Y23))))</f>
        <v>108000</v>
      </c>
      <c r="OG23" s="300">
        <f t="shared" si="337"/>
        <v>221.80965517241381</v>
      </c>
      <c r="OH23" s="522">
        <f>IF(A23=FALSE,"",IF(Cotations!CJ23="monthly",OG23/12*L23,OG23/365*M23))</f>
        <v>221.80965517241381</v>
      </c>
      <c r="OI23" s="489">
        <f>IF(A23=FALSE,"",IF(Cotations!CN23="","",Cotations!CN23))</f>
        <v>0</v>
      </c>
      <c r="OJ23" s="300">
        <f t="shared" si="338"/>
        <v>0</v>
      </c>
      <c r="OK23" s="300">
        <f t="shared" si="339"/>
        <v>221.80965517241381</v>
      </c>
      <c r="OL23" s="919">
        <f t="shared" si="340"/>
        <v>230.68204137931036</v>
      </c>
      <c r="OM23" s="517" t="str">
        <f>IF(A23=FALSE,"",Cotations!CO23)</f>
        <v>N/A</v>
      </c>
      <c r="ON23" s="515">
        <f>IF(A23=FALSE,"",Cotations!CP23)</f>
        <v>0</v>
      </c>
      <c r="OO23" s="493">
        <f>IF(A23=FALSE,"",Cotations!CQ23)</f>
        <v>0</v>
      </c>
      <c r="OP23" s="517">
        <f>IF(A23=FALSE,"",IF(OM23="N/A",0,IF(INDEX(LISTES!$F$105:$F$109,MATCH(OM23,LISTES!$C$105:$C$109,0))="FIX",IF(INDEX(LISTES!$E$105:$E$109,MATCH(OM23,LISTES!$C$105:$C$109,0))=12,ON23/12*L23,ON23/365*M23),OO23*OL23)))</f>
        <v>0</v>
      </c>
      <c r="OQ23" s="294">
        <f t="shared" si="341"/>
        <v>230.68204137931036</v>
      </c>
      <c r="OR23" s="494">
        <f>IF(A23=FALSE,"",OQ23*Cotations!CR23)</f>
        <v>230.68204137931036</v>
      </c>
      <c r="OS23" s="494">
        <f>IF(A23=FALSE,"",OQ23*Cotations!CS23)</f>
        <v>0</v>
      </c>
      <c r="OT23" s="338" t="str">
        <f t="shared" si="342"/>
        <v>EUR</v>
      </c>
      <c r="OU23" s="919">
        <f>IF(A23=FALSE,"",((OG23*TAXE)-(OG23*TAXE*OI23))+IF(OM23="N/A",0,IF(INDEX(LISTES!$F$105:$F$109,MATCH(OM23,LISTES!$C$105:$C$109,0))="FIX",ON23,OO23*OL23)))</f>
        <v>230.68204137931036</v>
      </c>
      <c r="PA23" s="497" t="str">
        <f t="shared" si="343"/>
        <v>PROP</v>
      </c>
      <c r="PB23" s="498" t="str">
        <f>IF(A23=FALSE,"",IF(LISTES!$A$17=1,Cotations!CT23,Cotations!$CU$4))</f>
        <v>2016EURAnker Verzekeringen n.v.-Temporary Disability Accident (100%/7/365D)</v>
      </c>
      <c r="PC23" s="499" t="str">
        <f t="shared" si="344"/>
        <v>Anker Verzekeringen n.v.</v>
      </c>
      <c r="PD23" s="499">
        <f t="shared" si="345"/>
        <v>0</v>
      </c>
      <c r="PE23" s="500">
        <f t="shared" si="346"/>
        <v>8.1144827586206898E-3</v>
      </c>
      <c r="PF23" s="501">
        <f>IF(A23=FALSE,"",Cotations!$CY$4*Y23)</f>
        <v>36000</v>
      </c>
      <c r="PG23" s="502">
        <f t="shared" si="347"/>
        <v>292.12137931034482</v>
      </c>
      <c r="PH23" s="520">
        <f>IF(A23=FALSE,"",IF(Cotations!$CV$4="monthly",PG23/12*L23,PG23/365*M23))</f>
        <v>292.12137931034482</v>
      </c>
      <c r="PI23" s="503">
        <f>IF(A23=FALSE,"",Cotations!$CZ$4)</f>
        <v>0</v>
      </c>
      <c r="PJ23" s="502">
        <f t="shared" si="348"/>
        <v>0</v>
      </c>
      <c r="PK23" s="502">
        <f t="shared" si="349"/>
        <v>292.12137931034482</v>
      </c>
      <c r="PL23" s="504">
        <f t="shared" si="350"/>
        <v>303.80623448275861</v>
      </c>
      <c r="PM23" s="505" t="str">
        <f>IF(A23=FALSE,"",Cotations!$DA$4)</f>
        <v>N/A</v>
      </c>
      <c r="PN23" s="520">
        <f>IF(A23=FALSE,"",Cotations!$DB$4)</f>
        <v>0</v>
      </c>
      <c r="PO23" s="503">
        <f>IF(A23=FALSE,"",Cotations!$DC$4)</f>
        <v>0.1</v>
      </c>
      <c r="PP23" s="505">
        <f>IF(A23=FALSE,"",IF(PM23="N/A",0,IF(INDEX(LISTES!$F$105:$F$109,MATCH(PM23,LISTES!$C$105:$C$109,0))="FIX",IF(INDEX(LISTES!$E$105:$E$109,MATCH(PM23,LISTES!$C$105:$C$109,0))=12,PN23/12*L23,PN23/365*M23),PO23*PL23)))</f>
        <v>0</v>
      </c>
      <c r="PQ23" s="504">
        <f t="shared" si="351"/>
        <v>303.80623448275861</v>
      </c>
      <c r="PR23" s="505">
        <f>IF(A23=FALSE,"",PQ23*Cotations!$DD$4)</f>
        <v>303.80623448275861</v>
      </c>
      <c r="PS23" s="505">
        <f>IF(A23=FALSE,"",PQ23*Cotations!$DE$4)</f>
        <v>0</v>
      </c>
      <c r="PT23" s="506" t="str">
        <f t="shared" si="352"/>
        <v>EUR</v>
      </c>
      <c r="PU23" s="919">
        <f>IF(A23=FALSE,"",((PG23*TAXE)-(PG23*TAXE*PI23))+IF(PM23="N/A",0,IF(INDEX(LISTES!$F$105:$F$109,MATCH(PM23,LISTES!$C$105:$C$109,0))="FIX",PN23,PO23*PL23)))</f>
        <v>303.80623448275861</v>
      </c>
      <c r="QA23" s="492" t="str">
        <f t="shared" si="353"/>
        <v>PROP</v>
      </c>
      <c r="QB23" s="491" t="str">
        <f>IF(A23=FALSE,"",IF(LISTES!$A$17=1,Cotations!CT23,Cotations!CU23))</f>
        <v>2016EURAnker Verzekeringen n.v.-Temporary Disability Accident (100%/7/365D)</v>
      </c>
      <c r="QC23" s="285" t="str">
        <f t="shared" si="354"/>
        <v>Anker Verzekeringen n.v.</v>
      </c>
      <c r="QD23" s="300"/>
      <c r="QE23" s="461">
        <f t="shared" si="355"/>
        <v>8.1144827586206898E-3</v>
      </c>
      <c r="QF23" s="490">
        <f>IF(A23=FALSE,"",Cotations!CY23*AA23)</f>
        <v>36000</v>
      </c>
      <c r="QG23" s="300">
        <f t="shared" si="356"/>
        <v>292.12137931034482</v>
      </c>
      <c r="QH23" s="522">
        <f>IF(A23=FALSE,"",IF(Cotations!CV23="monthly",QG23/12*L23,QG23/365*M23))</f>
        <v>292.12137931034482</v>
      </c>
      <c r="QI23" s="489">
        <f>IF(A23=FALSE,"",IF(Cotations!CZ23="","",Cotations!CZ23))</f>
        <v>0</v>
      </c>
      <c r="QJ23" s="300">
        <f t="shared" si="357"/>
        <v>0</v>
      </c>
      <c r="QK23" s="300">
        <f t="shared" si="358"/>
        <v>292.12137931034482</v>
      </c>
      <c r="QL23" s="919">
        <f t="shared" si="359"/>
        <v>303.80623448275861</v>
      </c>
      <c r="QM23" s="517" t="str">
        <f>IF(A23=FALSE,"",Cotations!DA23)</f>
        <v>N/A</v>
      </c>
      <c r="QN23" s="515">
        <f>IF(A23=FALSE,"",Cotations!DB23)</f>
        <v>40</v>
      </c>
      <c r="QO23" s="493">
        <f>IF(A23=FALSE,"",Cotations!DC23)</f>
        <v>0.1</v>
      </c>
      <c r="QP23" s="517">
        <f>IF(A23=FALSE,"",IF(QM23="N/A",0,IF(INDEX(LISTES!$F$105:$F$109,MATCH(QM23,LISTES!$C$105:$C$109,0))="FIX",IF(INDEX(LISTES!$E$105:$E$109,MATCH(QM23,LISTES!$C$105:$C$109,0))=12,QN23/12*L23,QN23/365*M23),QO23*QL23)))</f>
        <v>0</v>
      </c>
      <c r="QQ23" s="294">
        <f t="shared" si="360"/>
        <v>303.80623448275861</v>
      </c>
      <c r="QR23" s="494">
        <f>IF(A23=FALSE,"",QQ23*Cotations!DD23)</f>
        <v>303.80623448275861</v>
      </c>
      <c r="QS23" s="494">
        <f>IF(A23=FALSE,"",QQ23*Cotations!DE23)</f>
        <v>0</v>
      </c>
      <c r="QT23" s="338" t="str">
        <f t="shared" si="361"/>
        <v>EUR</v>
      </c>
      <c r="QU23" s="919">
        <f>IF(A23=FALSE,"",((QG23*TAXE)-(QG23*TAXE*QI23))+IF(QM23="N/A",0,IF(INDEX(LISTES!$F$105:$F$109,MATCH(QM23,LISTES!$C$105:$C$109,0))="FIX",QN23,QO23*QL23)))</f>
        <v>303.80623448275861</v>
      </c>
      <c r="RA23" s="497" t="str">
        <f t="shared" si="362"/>
        <v>PROP</v>
      </c>
      <c r="RB23" s="498" t="str">
        <f>IF(A23=FALSE,"",IF(LISTES!$A$17=1,Cotations!DF23,Cotations!$DG$4))</f>
        <v>2016EURAnker Verzekeringen n.v.-Temporary Disability illness (100%/7/365D)</v>
      </c>
      <c r="RC23" s="499" t="str">
        <f t="shared" si="363"/>
        <v>Anker Verzekeringen n.v.</v>
      </c>
      <c r="RD23" s="499">
        <f t="shared" si="364"/>
        <v>0</v>
      </c>
      <c r="RE23" s="500">
        <f t="shared" si="365"/>
        <v>1.6216551724137933E-2</v>
      </c>
      <c r="RF23" s="501">
        <f>IF(A23=FALSE,"",Cotations!$DK$4*Y23)</f>
        <v>36000</v>
      </c>
      <c r="RG23" s="502">
        <f t="shared" si="366"/>
        <v>583.79586206896556</v>
      </c>
      <c r="RH23" s="520">
        <f>IF(A23=FALSE,"",IF(Cotations!$DH$4="monthly",RG23/12*L23,RG23/365*M23))</f>
        <v>583.79586206896556</v>
      </c>
      <c r="RI23" s="503">
        <f>IF(A23=FALSE,"",Cotations!$DL$4)</f>
        <v>0</v>
      </c>
      <c r="RJ23" s="502">
        <f t="shared" si="367"/>
        <v>0</v>
      </c>
      <c r="RK23" s="502">
        <f t="shared" si="368"/>
        <v>583.79586206896556</v>
      </c>
      <c r="RL23" s="504">
        <f t="shared" si="369"/>
        <v>607.14769655172415</v>
      </c>
      <c r="RM23" s="505" t="str">
        <f>IF(A23=FALSE,"",Cotations!$DM$4)</f>
        <v>N/A</v>
      </c>
      <c r="RN23" s="520">
        <f>IF(A23=FALSE,"",Cotations!$DN$4)</f>
        <v>0</v>
      </c>
      <c r="RO23" s="503">
        <f>IF(A23=FALSE,"",Cotations!$DO$4)</f>
        <v>0.1</v>
      </c>
      <c r="RP23" s="505">
        <f>IF(A23=FALSE,"",IF(RM23="N/A",0,IF(INDEX(LISTES!$F$105:$F$109,MATCH(RM23,LISTES!$C$105:$C$109,0))="FIX",IF(INDEX(LISTES!$E$105:$E$109,MATCH(RM23,LISTES!$C$105:$C$109,0))=12,RN23/12*L23,RN23/365*M23),RO23*RL23)))</f>
        <v>0</v>
      </c>
      <c r="RQ23" s="504">
        <f t="shared" si="370"/>
        <v>607.14769655172415</v>
      </c>
      <c r="RR23" s="505">
        <f>IF(A23=FALSE,"",RQ23*Cotations!$DP$4)</f>
        <v>607.14769655172415</v>
      </c>
      <c r="RS23" s="505">
        <f>IF(A23=FALSE,"",RQ23*Cotations!$DQ$4)</f>
        <v>0</v>
      </c>
      <c r="RT23" s="506" t="str">
        <f t="shared" si="371"/>
        <v>EUR</v>
      </c>
      <c r="RU23" s="919">
        <f>IF(A23=FALSE,"",((RG23*TAXE)-(RG23*TAXE*RI23))+IF(RM23="N/A",0,IF(INDEX(LISTES!$F$105:$F$109,MATCH(RM23,LISTES!$C$105:$C$109,0))="FIX",RN23,RO23*RL23)))</f>
        <v>607.14769655172415</v>
      </c>
      <c r="SA23" s="492" t="str">
        <f t="shared" si="372"/>
        <v>PROP</v>
      </c>
      <c r="SB23" s="491" t="str">
        <f>IF(A23=FALSE,"",IF(LISTES!$A$17=1,Cotations!DF23,Cotations!DG23))</f>
        <v>2016EURAnker Verzekeringen n.v.-Temporary Disability illness (100%/7/365D)</v>
      </c>
      <c r="SC23" s="285" t="str">
        <f t="shared" si="373"/>
        <v>Anker Verzekeringen n.v.</v>
      </c>
      <c r="SD23" s="300"/>
      <c r="SE23" s="461">
        <f t="shared" si="374"/>
        <v>1.6216551724137933E-2</v>
      </c>
      <c r="SF23" s="490">
        <f>IF(A23=FALSE,"",Cotations!DK23*AA23)</f>
        <v>36000</v>
      </c>
      <c r="SG23" s="300">
        <f t="shared" si="375"/>
        <v>583.79586206896556</v>
      </c>
      <c r="SH23" s="522">
        <f>IF(A23=FALSE,"",IF(Cotations!DH23="monthly",SG23/12*L23,SG23/365*M23))</f>
        <v>583.79586206896556</v>
      </c>
      <c r="SI23" s="489">
        <f>IF(A23=FALSE,"",IF(Cotations!DL23="","",Cotations!DL23))</f>
        <v>0</v>
      </c>
      <c r="SJ23" s="300">
        <f t="shared" si="376"/>
        <v>0</v>
      </c>
      <c r="SK23" s="300">
        <f t="shared" si="377"/>
        <v>583.79586206896556</v>
      </c>
      <c r="SL23" s="919">
        <f t="shared" si="378"/>
        <v>607.14769655172415</v>
      </c>
      <c r="SM23" s="285" t="str">
        <f>IF(A23=FALSE,"",Cotations!DM23)</f>
        <v>N/A</v>
      </c>
      <c r="SN23" s="515">
        <f>IF(A23=FALSE,"",Cotations!DN23)</f>
        <v>40</v>
      </c>
      <c r="SO23" s="493">
        <f>IF(A23=FALSE,"",Cotations!DO23)</f>
        <v>0.1</v>
      </c>
      <c r="SP23" s="517">
        <f>IF(A23=FALSE,"",IF(SM23="N/A",0,IF(INDEX(LISTES!$F$105:$F$109,MATCH(SM23,LISTES!$C$105:$C$109,0))="FIX",IF(INDEX(LISTES!$E$105:$E$109,MATCH(SM23,LISTES!$C$105:$C$109,0))=12,SN23/12*L23,SN23/365*M23),SO23*SL23)))</f>
        <v>0</v>
      </c>
      <c r="SQ23" s="294">
        <f t="shared" si="379"/>
        <v>607.14769655172415</v>
      </c>
      <c r="SR23" s="494">
        <f>IF(A23=FALSE,"",SQ23*Cotations!DP23)</f>
        <v>607.14769655172415</v>
      </c>
      <c r="SS23" s="494">
        <f>IF(A23=FALSE,"",SQ23*Cotations!DQ23)</f>
        <v>0</v>
      </c>
      <c r="ST23" s="338" t="str">
        <f t="shared" si="380"/>
        <v>EUR</v>
      </c>
      <c r="SU23" s="919">
        <f>IF(A23=FALSE,"",((SG23*TAXE)-(SG23*TAXE*SI23))+IF(SM23="N/A",0,IF(INDEX(LISTES!$F$105:$F$109,MATCH(SM23,LISTES!$C$105:$C$109,0))="FIX",SN23,SO23*SL23)))</f>
        <v>607.14769655172415</v>
      </c>
      <c r="SY23" s="716"/>
      <c r="TA23" s="492" t="str">
        <f>IF(A23=FALSE,"",Cotations!D23)</f>
        <v>PROP</v>
      </c>
      <c r="TB23" s="491" t="str">
        <f>IF(A23=FALSE,"",IF(LISTES!$A$17=1,Cotations!DR23,Cotations!DS23))</f>
        <v>N/A</v>
      </c>
      <c r="TC23" s="285" t="str">
        <f t="shared" si="381"/>
        <v>N/A</v>
      </c>
      <c r="TD23" s="300">
        <f>IF(A23=FALSE,"",Detail!CQ23)</f>
        <v>0</v>
      </c>
      <c r="TE23" s="461" t="str">
        <f t="shared" si="382"/>
        <v/>
      </c>
      <c r="TF23" s="490">
        <f>IF(A23=FALSE,"",IF(TA23="FIXE",Cotations!DU23,Cotations!DV23*Y23))</f>
        <v>72000</v>
      </c>
      <c r="TG23" s="300">
        <f t="shared" si="383"/>
        <v>0</v>
      </c>
      <c r="TH23" s="522">
        <f>IF(A23=FALSE,"",IF(Cotations!DT23="monthly",TG23/12*L23,TG23/365*M23))</f>
        <v>0</v>
      </c>
      <c r="TI23" s="489">
        <f>IF(A23=FALSE,"",IF(Cotations!DW23="","",Cotations!DW23))</f>
        <v>0</v>
      </c>
      <c r="TJ23" s="300">
        <f t="shared" si="384"/>
        <v>0</v>
      </c>
      <c r="TK23" s="300">
        <f t="shared" si="385"/>
        <v>0</v>
      </c>
      <c r="TL23" s="919">
        <f t="shared" si="386"/>
        <v>0</v>
      </c>
      <c r="TM23" s="517" t="str">
        <f>IF(A23=FALSE,"",Cotations!DX23)</f>
        <v>N/A</v>
      </c>
      <c r="TN23" s="517">
        <f>IF(A23=FALSE,"",Cotations!DY23)</f>
        <v>0</v>
      </c>
      <c r="TO23" s="493">
        <f>IF(A23=FALSE,"",Cotations!DZ23)</f>
        <v>0</v>
      </c>
      <c r="TP23" s="517">
        <f>IF(A23=FALSE,"",IF(TM23="N/A",0,IF(INDEX(LISTES!$F$105:$F$109,MATCH(TM23,LISTES!$C$105:$C$109,0))="FIX",IF(INDEX(LISTES!$E$105:$E$109,MATCH(TM23,LISTES!$C$105:$C$109,0))=12,TN23/12*L23,TN23/365*M23),TO23*TL23)))</f>
        <v>0</v>
      </c>
      <c r="TQ23" s="294">
        <f t="shared" si="387"/>
        <v>0</v>
      </c>
      <c r="TR23" s="494">
        <f>IF(A23=FALSE,"",TQ23*Cotations!EA23)</f>
        <v>0</v>
      </c>
      <c r="TS23" s="494">
        <f>IF(A23=FALSE,"",TQ23*Cotations!EB23)</f>
        <v>0</v>
      </c>
      <c r="TT23" s="338">
        <f t="shared" si="388"/>
        <v>0</v>
      </c>
      <c r="TU23" s="919">
        <f>IF(A23=FALSE,"",((TG23*(1+TAXE)-(TG23*(1+TAXE)*TI23))+IF(TM23="N/A",0,IF(INDEX(LISTES!$F$105:$F$109,MATCH(TM23,LISTES!$C$105:$C$109,0))="FIX",TN23,TO23*TL23))))</f>
        <v>0</v>
      </c>
      <c r="UA23" s="492" t="str">
        <f>IF(A23=FALSE,"",Cotations!D23)</f>
        <v>PROP</v>
      </c>
      <c r="UB23" s="491" t="str">
        <f>IF(A23=FALSE,"",IF(LISTES!$A$17=1,Cotations!EC23,Cotations!ED23))</f>
        <v>N/A</v>
      </c>
      <c r="UC23" s="285" t="str">
        <f t="shared" si="389"/>
        <v>N/A</v>
      </c>
      <c r="UD23" s="300">
        <f>IF(A23=FALSE,"",Detail!CY23)</f>
        <v>0</v>
      </c>
      <c r="UE23" s="461" t="str">
        <f t="shared" si="390"/>
        <v/>
      </c>
      <c r="UF23" s="490">
        <f>IF(A23=FALSE,"",IF(UA23="FIXE",Cotations!EF23,Cotations!EG23*Y23))</f>
        <v>72000</v>
      </c>
      <c r="UG23" s="300">
        <f t="shared" si="391"/>
        <v>0</v>
      </c>
      <c r="UH23" s="522">
        <f>IF(A23=FALSE,"",IF(Cotations!EE23="monthly",UG23/12*L23,UG23/365*M23))</f>
        <v>0</v>
      </c>
      <c r="UI23" s="489">
        <f>IF(A23=FALSE,"",IF(Cotations!EH23="","",Cotations!EH23))</f>
        <v>0</v>
      </c>
      <c r="UJ23" s="300">
        <f t="shared" si="392"/>
        <v>0</v>
      </c>
      <c r="UK23" s="300">
        <f t="shared" si="393"/>
        <v>0</v>
      </c>
      <c r="UL23" s="919">
        <f t="shared" si="394"/>
        <v>0</v>
      </c>
      <c r="UM23" s="517" t="str">
        <f>IF(A23=FALSE,"",Cotations!EI23)</f>
        <v>N/A</v>
      </c>
      <c r="UN23" s="517">
        <f>IF(A23=FALSE,"",Cotations!EJ23)</f>
        <v>0</v>
      </c>
      <c r="UO23" s="493">
        <f>IF(A23=FALSE,"",Cotations!EK23)</f>
        <v>0</v>
      </c>
      <c r="UP23" s="517">
        <f>IF(A23=FALSE,"",IF(UM23="N/A",0,IF(INDEX(LISTES!$F$105:$F$109,MATCH(UM23,LISTES!$C$105:$C$109,0))="FIX",IF(INDEX(LISTES!$E$105:$E$109,MATCH(UM23,LISTES!$C$105:$C$109,0))=12,UN23/12*L23,UN23/365*M23),UO23*UL23)))</f>
        <v>0</v>
      </c>
      <c r="UQ23" s="294">
        <f t="shared" si="395"/>
        <v>0</v>
      </c>
      <c r="UR23" s="494">
        <f>IF(A23=FALSE,"",UQ23*Cotations!EL23)</f>
        <v>0</v>
      </c>
      <c r="US23" s="494">
        <f>IF(A23=FALSE,"",UQ23*Cotations!EM23)</f>
        <v>0</v>
      </c>
      <c r="UT23" s="338">
        <f t="shared" si="396"/>
        <v>0</v>
      </c>
      <c r="UU23" s="919">
        <f>IF(A23=FALSE,"",((UG23*(1+TAXE)-(UG23*(1+TAXE)*UI23))+IF(UM23="N/A",0,IF(INDEX(LISTES!$F$105:$F$109,MATCH(UM23,LISTES!$C$105:$C$109,0))="FIX",UN23,UO23*UL23))))</f>
        <v>0</v>
      </c>
      <c r="VA23" s="492" t="str">
        <f>IF(A23=FALSE,"",Cotations!D23)</f>
        <v>PROP</v>
      </c>
      <c r="VB23" s="519" t="str">
        <f>IF(A23=FALSE,"",IF(LISTES!$A$17=1,Cotations!EN23,Cotations!EO23))</f>
        <v>N/A</v>
      </c>
      <c r="VC23" s="291" t="str">
        <f t="shared" si="397"/>
        <v>N/A</v>
      </c>
      <c r="VD23" s="291">
        <f t="shared" si="398"/>
        <v>0</v>
      </c>
      <c r="VE23" s="291"/>
      <c r="VF23" s="463"/>
      <c r="VG23" s="463" t="str">
        <f t="shared" si="399"/>
        <v/>
      </c>
      <c r="VH23" s="522" t="e">
        <f>IF(A23=FALSE,"",IF(Cotations!$AQ$4="monthly",VG23/12*L23,VG23/365*M23))</f>
        <v>#VALUE!</v>
      </c>
      <c r="VI23" s="489">
        <f>IF(A23=FALSE,"",Cotations!$AR$4)</f>
        <v>0</v>
      </c>
      <c r="VJ23" s="300" t="e">
        <f t="shared" si="400"/>
        <v>#VALUE!</v>
      </c>
      <c r="VK23" s="300" t="e">
        <f t="shared" si="401"/>
        <v>#VALUE!</v>
      </c>
      <c r="VL23" s="294" t="e">
        <f t="shared" si="402"/>
        <v>#VALUE!</v>
      </c>
      <c r="VM23" s="494" t="str">
        <f>IF(A23=FALSE,"",Cotations!$AS$4)</f>
        <v>N/A</v>
      </c>
      <c r="VN23" s="494">
        <f>IF(A23=FALSE,"",Cotations!$AT$4)</f>
        <v>0</v>
      </c>
      <c r="VO23" s="489">
        <f>IF(A23=FALSE,"",Cotations!$AU$4)</f>
        <v>0</v>
      </c>
      <c r="VP23" s="494">
        <f>IF(A23=FALSE,"",IF(VM23="N/A",0,IF(INDEX(LISTES!$F$105:$F$109,MATCH(VM23,LISTES!$C$105:$C$109,0))="FIX",IF(INDEX(LISTES!$E$105:$E$109,MATCH(VM23,LISTES!$C$105:$C$109,0))=12,VN23/12*L23,VN23/365*M23),VO23*VL23)))</f>
        <v>0</v>
      </c>
      <c r="VQ23" s="294" t="e">
        <f t="shared" si="403"/>
        <v>#VALUE!</v>
      </c>
      <c r="VR23" s="494" t="e">
        <f>IF(A23=FALSE,"",VQ23*Cotations!$AV$4)</f>
        <v>#VALUE!</v>
      </c>
      <c r="VS23" s="494" t="e">
        <f>IF(A23=FALSE,"",VQ23*Cotations!$AW$4)</f>
        <v>#VALUE!</v>
      </c>
      <c r="VT23" s="465">
        <f t="shared" si="404"/>
        <v>0</v>
      </c>
      <c r="VU23" s="919" t="e">
        <f>IF(A23=FALSE,"",((VG23*TAXE)-(VG23*TAXE*VI23))+IF(VM23="N/A",0,IF(INDEX(LISTES!$F$105:$F$109,MATCH(VM23,LISTES!$C$105:$C$109,0))="FIX",VN23,VO23*VL23)))</f>
        <v>#VALUE!</v>
      </c>
      <c r="WA23" s="492" t="str">
        <f>IF(A23=FALSE,"",Cotations!D23)</f>
        <v>PROP</v>
      </c>
      <c r="WB23" s="519" t="str">
        <f>IF(A23=FALSE,"",IF(LISTES!$A$17=1,Cotations!EW23,Cotations!EX23))</f>
        <v>N/A</v>
      </c>
      <c r="WC23" s="291" t="str">
        <f t="shared" si="405"/>
        <v>N/A</v>
      </c>
      <c r="WD23" s="291">
        <f t="shared" si="406"/>
        <v>0</v>
      </c>
      <c r="WE23" s="291"/>
      <c r="WF23" s="463"/>
      <c r="WG23" s="463" t="str">
        <f t="shared" si="407"/>
        <v/>
      </c>
      <c r="WH23" s="522" t="e">
        <f>IF(A23=FALSE,"",IF(Cotations!$AQ$4="monthly",WG23/12*L23,WG23/365*M23))</f>
        <v>#VALUE!</v>
      </c>
      <c r="WI23" s="489">
        <f>IF(A23=FALSE,"",Cotations!$AR$4)</f>
        <v>0</v>
      </c>
      <c r="WJ23" s="300" t="e">
        <f t="shared" si="408"/>
        <v>#VALUE!</v>
      </c>
      <c r="WK23" s="300" t="e">
        <f t="shared" si="409"/>
        <v>#VALUE!</v>
      </c>
      <c r="WL23" s="294" t="e">
        <f t="shared" si="410"/>
        <v>#VALUE!</v>
      </c>
      <c r="WM23" s="494" t="str">
        <f>IF(A23=FALSE,"",Cotations!$AS$4)</f>
        <v>N/A</v>
      </c>
      <c r="WN23" s="494">
        <f>IF(A23=FALSE,"",Cotations!$AT$4)</f>
        <v>0</v>
      </c>
      <c r="WO23" s="489">
        <f>IF(A23=FALSE,"",Cotations!$AU$4)</f>
        <v>0</v>
      </c>
      <c r="WP23" s="494">
        <f>IF(A23=FALSE,"",IF(WM23="N/A",0,IF(INDEX(LISTES!$F$105:$F$109,MATCH(WM23,LISTES!$C$105:$C$109,0))="FIX",IF(INDEX(LISTES!$E$105:$E$109,MATCH(WM23,LISTES!$C$105:$C$109,0))=12,WN23/12*L23,WN23/365*M23),WO23*WL23)))</f>
        <v>0</v>
      </c>
      <c r="WQ23" s="294" t="e">
        <f t="shared" si="411"/>
        <v>#VALUE!</v>
      </c>
      <c r="WR23" s="494" t="e">
        <f>IF(A23=FALSE,"",WQ23*Cotations!$AV$4)</f>
        <v>#VALUE!</v>
      </c>
      <c r="WS23" s="494" t="e">
        <f>IF(A23=FALSE,"",WQ23*Cotations!$AW$4)</f>
        <v>#VALUE!</v>
      </c>
      <c r="WT23" s="465">
        <f t="shared" si="412"/>
        <v>0</v>
      </c>
      <c r="WU23" s="919" t="e">
        <f>IF(A23=FALSE,"",((WG23*TAXE)-(WG23*TAXE*WI23))+IF(WM23="N/A",0,IF(INDEX(LISTES!$F$105:$F$109,MATCH(WM23,LISTES!$C$105:$C$109,0))="FIX",WN23,WO23*WL23)))</f>
        <v>#VALUE!</v>
      </c>
    </row>
    <row r="24" spans="1:619" s="296" customFormat="1">
      <c r="A24" s="942" t="b">
        <f t="shared" si="221"/>
        <v>1</v>
      </c>
      <c r="B24" s="942" t="b">
        <f>IF(NAMES!$B$9=TRUE,TRUE,FALSE)</f>
        <v>1</v>
      </c>
      <c r="C24" s="942" t="b">
        <f t="shared" si="413"/>
        <v>1</v>
      </c>
      <c r="D24" s="942" t="b">
        <f t="shared" si="414"/>
        <v>1</v>
      </c>
      <c r="E24" s="274" t="b">
        <f>IF(Cotations!C24="","",Cotations!C24)</f>
        <v>1</v>
      </c>
      <c r="F24" s="274" t="str">
        <f>IF(Cotations!D24="","",Cotations!D24)</f>
        <v>PROP</v>
      </c>
      <c r="G24" s="274" t="str">
        <f>IF(Cotations!E24="","",Cotations!E24)</f>
        <v>2016-2017!</v>
      </c>
      <c r="H24" s="274" t="str">
        <f>IF(Cotations!F24="","",Cotations!F24)</f>
        <v>SINGLE</v>
      </c>
      <c r="I24" s="274">
        <f>IF(Cotations!G24="","",Cotations!G24)</f>
        <v>130534</v>
      </c>
      <c r="J24" s="274" t="str">
        <f>IF(Cotations!H24="","",Cotations!H24)</f>
        <v>Captain/Master</v>
      </c>
      <c r="K24" s="274" t="str">
        <f>IF(Cotations!I24="","",Cotations!I24)</f>
        <v>MATTER</v>
      </c>
      <c r="L24" s="274">
        <f>IF(A24=FALSE,"",IF(Cotations!N24="","",Cotations!N24))</f>
        <v>12</v>
      </c>
      <c r="M24" s="274">
        <f>IF(Cotations!P24="","",Cotations!P24)</f>
        <v>365</v>
      </c>
      <c r="N24" s="724">
        <f>IF(NAMES!$B$10=TRUE,Cotations!J24,Cotations!L24)</f>
        <v>42686</v>
      </c>
      <c r="O24" s="724">
        <f>IF(NAMES!$B$10=TRUE,Cotations!K24,Cotations!M24)</f>
        <v>43050</v>
      </c>
      <c r="P24" s="943" t="str">
        <f t="shared" si="415"/>
        <v>novembre</v>
      </c>
      <c r="Q24" s="724">
        <f>IF(A24=FALSE,"",IF(Crewlist!Y24="","",Crewlist!Y24))</f>
        <v>43050</v>
      </c>
      <c r="R24" s="78" t="str">
        <f>IF(Cotations!U24="","",Cotations!U24)</f>
        <v>annual</v>
      </c>
      <c r="S24" s="943" t="str">
        <f t="shared" si="416"/>
        <v>VRAI130534novembre42686</v>
      </c>
      <c r="T24" s="919">
        <f>IF(A24=FALSE,"",VLOOKUP($U$15:$U$120,Currency!$A$2:$D$10,4,0)*Crewlist!N24)</f>
        <v>7000</v>
      </c>
      <c r="U24" s="1355" t="str">
        <f>IF(A24=FALSE,"",IF(IT24=0,Crewlist!M24&amp;"/"&amp;EX24,Crewlist!M24&amp;"/"&amp;IT24))</f>
        <v>EUR/EUR</v>
      </c>
      <c r="V24" s="919">
        <f>IF(A24=FALSE,"",VLOOKUP($U$15:$U$120,Currency!$A$2:$D$10,4,0)*Detail!Q24)</f>
        <v>7000</v>
      </c>
      <c r="W24" s="1355" t="str">
        <f>IF(A24=FALSE,"",IF(IT24=0,Detail!R24&amp;"/"&amp;EX24,Detail!R24&amp;"/"&amp;IT24))</f>
        <v>EUR/EUR</v>
      </c>
      <c r="X24" s="919">
        <f>IF(A24=FALSE,"",IF(LISTES!$C$17="Crewlist",Calcul!T24,Calcul!V24))</f>
        <v>7000</v>
      </c>
      <c r="Y24" s="758">
        <f t="shared" si="417"/>
        <v>84000</v>
      </c>
      <c r="Z24" s="758">
        <f>IF(A24=FALSE,"",IF(X24=0,0,IF((Cotations!BC24*12*X24)&lt;50000,50000,(12*X24))))</f>
        <v>84000</v>
      </c>
      <c r="AA24" s="758">
        <f t="shared" si="418"/>
        <v>84000</v>
      </c>
      <c r="AB24" s="758" t="str">
        <f>IF(A24=FALSE,"",IF(Crewlist!O24=0,"",Crewlist!O24))</f>
        <v/>
      </c>
      <c r="AC24" s="758" t="e">
        <f>IF(I24="","",VLOOKUP($AB$15:$AB$120,Currency!$A$15:$B$34,2,0))</f>
        <v>#N/A</v>
      </c>
      <c r="AD24" s="758" t="e">
        <f t="shared" si="419"/>
        <v>#N/A</v>
      </c>
      <c r="AE24" s="758" t="e">
        <f t="shared" si="420"/>
        <v>#N/A</v>
      </c>
      <c r="AF24" s="758" t="e">
        <f t="shared" si="421"/>
        <v>#N/A</v>
      </c>
      <c r="AG24" s="758">
        <f t="shared" si="422"/>
        <v>84000</v>
      </c>
      <c r="AH24" s="1355" t="str">
        <f t="shared" si="222"/>
        <v>EUR</v>
      </c>
      <c r="AI24" s="919">
        <f t="shared" si="423"/>
        <v>4975.6322206896557</v>
      </c>
      <c r="AJ24" s="1382">
        <f t="shared" si="424"/>
        <v>1442</v>
      </c>
      <c r="AK24" s="1382">
        <f t="shared" si="425"/>
        <v>3521.6322206896557</v>
      </c>
      <c r="AL24" s="238">
        <f t="shared" si="223"/>
        <v>32</v>
      </c>
      <c r="AM24" s="238">
        <f t="shared" si="224"/>
        <v>189.67816233421769</v>
      </c>
      <c r="AN24" s="1374">
        <f t="shared" si="225"/>
        <v>0</v>
      </c>
      <c r="AO24" s="238">
        <f t="shared" si="226"/>
        <v>221.67816233421769</v>
      </c>
      <c r="AP24" s="342" t="str">
        <f>IF(A24=FALSE,"",INDEX(Rates!$Z$5:$Z$367,MATCH(EB24,colchoice,0)))</f>
        <v>WCA</v>
      </c>
      <c r="AQ24" s="238">
        <f t="shared" si="227"/>
        <v>12</v>
      </c>
      <c r="AR24" s="238">
        <f t="shared" si="426"/>
        <v>4741.9540583554381</v>
      </c>
      <c r="AS24" s="238">
        <f t="shared" si="427"/>
        <v>1410</v>
      </c>
      <c r="AT24" s="238">
        <f t="shared" si="428"/>
        <v>3521.6322206896557</v>
      </c>
      <c r="AU24" s="238">
        <f t="shared" si="228"/>
        <v>1165.3846153846152</v>
      </c>
      <c r="AV24" s="238">
        <f t="shared" si="429"/>
        <v>190.38461538461539</v>
      </c>
      <c r="AW24" s="238">
        <f t="shared" si="229"/>
        <v>174.14068965517242</v>
      </c>
      <c r="AX24" s="238">
        <f t="shared" si="230"/>
        <v>435.5255172413793</v>
      </c>
      <c r="AY24" s="238">
        <f t="shared" si="231"/>
        <v>215.15586206896552</v>
      </c>
      <c r="AZ24" s="238">
        <f t="shared" si="232"/>
        <v>517.55586206896555</v>
      </c>
      <c r="BA24" s="238">
        <f t="shared" si="233"/>
        <v>681.61655172413793</v>
      </c>
      <c r="BB24" s="552">
        <f t="shared" si="234"/>
        <v>1362.1903448275864</v>
      </c>
      <c r="BC24" s="347">
        <f t="shared" si="235"/>
        <v>1410</v>
      </c>
      <c r="BD24" s="239">
        <f t="shared" si="430"/>
        <v>1355.7692307692307</v>
      </c>
      <c r="BE24" s="239">
        <f>IF(A24=FALSE,"",IF(ALLTHESAME=TRUE,IF(DF24&lt;&gt;$BC$7,0,INDEX(DD24:DZ24,1,MATCH(Structure!$D$12,$DD$14:$DZ$14,0))),IF(EC24&lt;&gt;$BC$7,0,INDEX(EA24:EZ24,1,MATCH(Structure!$D$12,$EA$14:$EZ$14,0)))))</f>
        <v>1165.3846153846152</v>
      </c>
      <c r="BF24" s="239">
        <f>IF(A24=FALSE,"",IF(ALLTHESAME=TRUE,IF(FC24&lt;&gt;$BC$7,0,INDEX(FA24:FZ24,1,MATCH(Structure!$D$12,$FA$14:$FZ$14,0))),IF(GC24&lt;&gt;$BC$7,0,INDEX(GA24:GZ24,1,MATCH(Structure!$D$12,$GA$14:$GZ$14,0)))))</f>
        <v>190.38461538461539</v>
      </c>
      <c r="BG24" s="239">
        <f>IF(A24=FALSE,"",IF(ALLTHESAME=TRUE,IF(VC24&lt;&gt;$BC$7,0,INDEX(VA24:VZ24,1,MATCH(Structure!$D$12,$VA$14:$VZ$14,0))),IF(VC24&lt;&gt;$BC$7,0,INDEX(VA24:VZ24,1,MATCH(Structure!$D$12,$VA$14:$VZ$14,0)))))</f>
        <v>0</v>
      </c>
      <c r="BH24" s="239">
        <f>IF(A24=FALSE,"",IF(ALLTHESAME=TRUE,IF(WC24&lt;&gt;$BC$7,0,INDEX(WA24:WY24,1,MATCH(Structure!$D$12,$WA$14:$WZ$14,0))),IF(WC24&lt;&gt;$BC$7,0,INDEX(WA24:WZ24,1,MATCH(Structure!$D$12,$WA$14:$WZ$14,0)))))</f>
        <v>0</v>
      </c>
      <c r="BI24" s="763">
        <f>IF(A24=FALSE,"",IF(ALLTHESAME=TRUE,IF(HC24&lt;&gt;$BC$7,0,INDEX(HA24:HZ24,1,MATCH(Structure!$D$12,$HA$14:$HZ$14,0)))+TK24,IF(IC24&lt;&gt;$BC$7,0,INDEX(IA24:IZ24,1,MATCH(Structure!$D$12,$IA$14:$IZ$14,0)))+TK24))</f>
        <v>0</v>
      </c>
      <c r="BJ24" s="239">
        <f>IF(A24=FALSE,"",IF(ALLTHESAME=TRUE,IF(JC24&lt;&gt;$BC$7,0,INDEX(JA24:JZ24,1,MATCH(Structure!$D$12,$JA$14:$JZ$14,0))),IF(KC24&lt;&gt;$BC$7,0,INDEX(KA24:KZ24,1,MATCH(Structure!$D$12,$KA$14:$KZ$14,0)))))</f>
        <v>0</v>
      </c>
      <c r="BK24" s="763">
        <f>IF(A24=FALSE,"",IF(ALLTHESAME=TRUE,IF(LC24&lt;&gt;$BC$7,0,INDEX(LA24:LZ24,1,MATCH(Structure!$D$12,$LA$14:$LZ$14,0)))+UK24,IF(MC24&lt;&gt;$BC$7,0,INDEX(MA24:MZ24,1,MATCH(Structure!$D$12,$MA$14:$MZ$14,0)))+UK24))</f>
        <v>0</v>
      </c>
      <c r="BL24" s="239">
        <f>IF(A24=FALSE,"",IF(ALLTHESAME=TRUE,IF(NC24&lt;&gt;$BC$7,0,INDEX(NA24:NZ24,1,MATCH(Structure!$D$12,$NA$14:$NZ$14,0))),IF(OC24&lt;&gt;$BC$7,0,INDEX(OA24:OZ24,1,MATCH(Structure!$D$12,$OA$14:$OZ$14,0)))))</f>
        <v>0</v>
      </c>
      <c r="BM24" s="239">
        <f>IF(A24=FALSE,"",IF(ALLTHESAME=TRUE,IF(PC24&lt;&gt;$BC$7,0,INDEX(PA24:PZ24,1,MATCH(Structure!$D$12,$PA$14:$PZ$14,0))),IF(QC24&lt;&gt;$BC$7,0,INDEX(QA24:QZ24,1,MATCH(Structure!$D$12,$QA$14:$QZ$14,0)))))</f>
        <v>0</v>
      </c>
      <c r="BN24" s="341">
        <f>IF(A24=FALSE,"",IF(ALLTHESAME=TRUE,IF(RC24&lt;&gt;$BC$7,0,INDEX(RA24:RZ24,1,MATCH(Structure!$D$12,$RA$14:$RZ$14,0))),IF(SC24&lt;&gt;$BC$7,0,INDEX(SA24:TA24,1,MATCH(Structure!$D$12,$SA$14:$TA$14,0)))))</f>
        <v>0</v>
      </c>
      <c r="BO24" s="507">
        <f t="shared" si="236"/>
        <v>3521.6322206896557</v>
      </c>
      <c r="BP24" s="239">
        <f t="shared" si="237"/>
        <v>3386.1848275862071</v>
      </c>
      <c r="BQ24" s="239">
        <f>IF(A24=FALSE,"",IF(ALLTHESAME=TRUE,IF(DF24&lt;&gt;$BO$7,0,INDEX(DD24:DZ24,1,MATCH(Structure!$D$12,$DD$14:$DZ$14,0))),IF(EC24&lt;&gt;$BO$7,0,INDEX(EA24:EZ24,1,MATCH(Structure!$D$12,$EA$14:$EZ$14,0)))))</f>
        <v>0</v>
      </c>
      <c r="BR24" s="239">
        <f>IF(A24=FALSE,"",IF(ALLTHESAME=TRUE,IF(FC24&lt;&gt;$BO$7,0,INDEX(FA24:FZ24,1,MATCH(Structure!$D$12,$FA$14:$FZ$14,0))),IF(GC24&lt;&gt;$BO$7,0,INDEX(GA24:GZ24,1,MATCH(Structure!$D$12,$GA$14:$GZ$14,0)))))</f>
        <v>0</v>
      </c>
      <c r="BS24" s="239">
        <f>IF(A24=FALSE,"",IF(ALLTHESAME=TRUE,IF(HC24&lt;&gt;$BO$7,0,INDEX(HA24:HZ24,1,MATCH(Structure!$D$12,$HA$14:$HZ$14,0))),IF(IC24&lt;&gt;$BO$7,0,INDEX(IA24:IZ24,1,MATCH(Structure!$D$12,$IA$14:$IZ$14,0)))))</f>
        <v>174.14068965517242</v>
      </c>
      <c r="BT24" s="239">
        <f>IF(A24=FALSE,"",IF(ALLTHESAME=TRUE,IF(JC24&lt;&gt;$BO$7,0,INDEX(JA24:JZ24,1,MATCH(Structure!$D$12,$JA$14:$JZ$14,0))),IF(KC24&lt;&gt;$BO$7,0,INDEX(KA24:KZ24,1,MATCH(Structure!$D$12,$KA$14:$KZ$14,0)))))</f>
        <v>435.5255172413793</v>
      </c>
      <c r="BU24" s="239">
        <f>IF(A24=FALSE,"",IF(ALLTHESAME=TRUE,IF(LC24&lt;&gt;$BO$7,0,INDEX(LA24:LZ24,1,MATCH(Structure!$D$12,$LA$14:$LZ$14,0))),IF(MC24&lt;&gt;$BO$7,0,INDEX(MA24:MZ24,1,MATCH(Structure!$D$12,$MA$14:$MZ$14,0)))))</f>
        <v>215.15586206896552</v>
      </c>
      <c r="BV24" s="239">
        <f>IF(A24=FALSE,"",IF(ALLTHESAME=TRUE,IF(NC24&lt;&gt;$BO$7,0,INDEX(NA24:NZ24,1,MATCH(Structure!$D$12,$NA$14:$NZ$14,0))),IF(OC24&lt;&gt;$BO$7,0,INDEX(OA24:OZ24,1,MATCH(Structure!$D$12,$OA$14:$OZ$14,0)))))</f>
        <v>517.55586206896555</v>
      </c>
      <c r="BW24" s="239">
        <f>IF(A24=FALSE,"",IF(ALLTHESAME=TRUE,IF(PC24&lt;&gt;$BO$7,0,INDEX(PA24:PZ24,1,MATCH(Structure!$D$12,$PA$14:$PZ$14,0))),IF(QC24&lt;&gt;$BO$7,0,INDEX(QA24:QZ24,1,MATCH(Structure!$D$12,$QA$14:$QZ$14,0)))))</f>
        <v>681.61655172413793</v>
      </c>
      <c r="BX24" s="341">
        <f>IF(A24=FALSE,"",IF(ALLTHESAME=TRUE,IF(RC24&lt;&gt;$BO$7,0,INDEX(RA24:RZ24,1,MATCH(Structure!$D$12,$RA$14:$RZ$14,0))),IF(SC24&lt;&gt;$BO$7,0,INDEX(SA24:TA24,1,MATCH(Structure!$D$12,$SA$14:$TA$14,0)))))</f>
        <v>1362.1903448275864</v>
      </c>
      <c r="BY24" s="347" t="str">
        <f t="shared" si="238"/>
        <v>MEDI</v>
      </c>
      <c r="BZ24" s="507">
        <f t="shared" si="239"/>
        <v>32</v>
      </c>
      <c r="CA24" s="239">
        <f t="shared" si="240"/>
        <v>0</v>
      </c>
      <c r="CB24" s="239">
        <f>IF(A24=FALSE,"",IF(ALLTHESAME=TRUE,INDEX(DD24:DZ24,MATCH(DF24,DF24:DF129,0),MATCH(Structure!$D$17,$DD$14:$DZ$14,0)),INDEX(EA24:EZ24,MATCH(EC24,EC24:EC129,0),MATCH(Structure!$D$17,$EA$14:$EZ$14,0))))</f>
        <v>32</v>
      </c>
      <c r="CC24" s="239">
        <f>IF(A24=FALSE,"",IF(ALLTHESAME=TRUE,INDEX(FA24:FZ24,MATCH(FC24,FC24:FC129,0),MATCH(Structure!$D$17,$FA$14:$FZ$14,0)),INDEX(GA24:GZ24,MATCH(GC24,GC24:GC129,0),MATCH(Structure!$D$17,$GA$14:$GZ$14,0))))</f>
        <v>0</v>
      </c>
      <c r="CD24" s="239">
        <f>IF(A24=FALSE,"",IF(ALLTHESAME=TRUE,INDEX(HA24:HZ24,MATCH(HC24,HC24:HC129,0),MATCH(Structure!$D$17,$HA$14:$HZ$14,0)),INDEX(IA24:IZ24,MATCH(IC24,IC24:IC129,0),MATCH(Structure!$D$17,$IA$14:$IZ$14,0))))</f>
        <v>0</v>
      </c>
      <c r="CE24" s="239">
        <f>IF(A24=FALSE,"",IF(ALLTHESAME=TRUE,INDEX(JA24:JZ24,MATCH(JC24,JC24:JC129,0),MATCH(Structure!$D$17,$JA$14:$JZ$14,0)),INDEX(KA24:KZ24,MATCH(KC24,KC24:KC129,0),MATCH(Structure!$D$17,$KA$14:$KZ$14,0))))</f>
        <v>0</v>
      </c>
      <c r="CF24" s="239">
        <f>IF(A24=FALSE,"",IF(ALLTHESAME=TRUE,INDEX(LA24:LZ24,MATCH(LC24,LC24:LC129,0),MATCH(Structure!$D$17,$LA$14:$LZ$14,0)),INDEX(MA24:MZ24,MATCH(MC24,MC24:MC129,0),MATCH(Structure!$D$17,$MA$14:$MZ$14,0))))</f>
        <v>0</v>
      </c>
      <c r="CG24" s="239">
        <f>IF(A24=FALSE,"",IF(ALLTHESAME=TRUE,INDEX(NA24:NZ24,MATCH(NC24,NC24:NC129,0),MATCH(Structure!$D$17,$NA$14:$NZ$14,0)),INDEX(OA24:OZ24,MATCH(OC24,OC24:OC129,0),MATCH(Structure!$D$17,$OA$14:$OZ$14,0))))</f>
        <v>0</v>
      </c>
      <c r="CH24" s="239">
        <f>IF(A24=FALSE,"",IF(ALLTHESAME=TRUE,INDEX(PA24:PZ24,MATCH(PC24,PC24:PC129,0),MATCH(Structure!$D$17,$PA$14:$PZ$14,0)),INDEX(QA24:QZ24,MATCH(QC24,QC24:QC129,0),MATCH(Structure!$D$17,$QA$14:$QZ$14,0))))</f>
        <v>0</v>
      </c>
      <c r="CI24" s="341">
        <f>IF(A24=FALSE,"",IF(ALLTHESAME=TRUE,INDEX(RA24:RZ24,MATCH(RC24,RC24:RC129,0),MATCH(Structure!$D$17,$RA$14:$RZ$14,0)),INDEX(SA24:TC24,MATCH(SC24,SC24:SC129,0),MATCH(Structure!$D$17,$SA$14:$TC$14,0))))</f>
        <v>0</v>
      </c>
      <c r="CJ24" s="347"/>
      <c r="CK24" s="239">
        <f t="shared" si="241"/>
        <v>4963.6322206896548</v>
      </c>
      <c r="CL24" s="239">
        <f>IF(A24=FALSE,"",IF(ALLTHESAME=TRUE,INDEX(DD24:DZ24,MATCH(DF24,DF24:DF129,0),MATCH(Structure!$D$22,$DD$14:$DZ$14,0)),INDEX(EA24:EZ24,MATCH(EC24,EC24:EC129,0),MATCH(Structure!$D$22,$EA$14:$EZ$14,0))))</f>
        <v>1244</v>
      </c>
      <c r="CM24" s="239">
        <f>IF(A24=FALSE,"",IF(ALLTHESAME=TRUE,INDEX(FA24:FZ24,MATCH(FC24,FC24:FC129,0),MATCH(Structure!$D$22,$FA$14:$FZ$14,0)),INDEX(GA24:GZ24,MATCH(GC24,GC24:GC129,0),MATCH(Structure!$D$22,$GA$14:$GZ$14,0))))</f>
        <v>198</v>
      </c>
      <c r="CN24" s="239">
        <f>IF(A24=FALSE,"",IF(ALLTHESAME=TRUE,INDEX(HA24:HZ24,MATCH(HC24,HC24:HC129,0),MATCH(Structure!$D$22,$HA$14:$HZ$14,0)),INDEX(IA24:IZ24,MATCH(IC24,IC24:IC129,0),MATCH(Structure!$D$22,$IA$14:$IZ$14,0))))</f>
        <v>181.10631724137932</v>
      </c>
      <c r="CO24" s="239">
        <f>IF(A24=FALSE,"",IF(ALLTHESAME=TRUE,INDEX(JA24:JZ24,MATCH(JC24,JC24:JC129,0),MATCH(Structure!$D$22,$JA$14:$JZ$14,0)),INDEX(KA24:KZ24,MATCH(KC24,KC24:KC129,0),MATCH(Structure!$D$22,$KA$14:$KZ$14,0))))</f>
        <v>452.94653793103447</v>
      </c>
      <c r="CP24" s="239">
        <f>IF(A24=FALSE,"",IF(ALLTHESAME=TRUE,INDEX(LA24:LZ24,MATCH(LC24,LC24:LC129,0),MATCH(Structure!$D$22,$LA$14:$LZ$14,0)),INDEX(MA24:MZ24,MATCH(MC24,MC24:MC129,0),MATCH(Structure!$D$22,$MA$14:$MZ$14,0))))</f>
        <v>223.76209655172414</v>
      </c>
      <c r="CQ24" s="239">
        <f>IF(A24=FALSE,"",IF(ALLTHESAME=TRUE,INDEX(NA24:NZ24,MATCH(NC24,NC24:NC129,0),MATCH(Structure!$D$22,$NA$14:$NZ$14,0)),INDEX(OA24:OZ24,MATCH(OC24,OC24:OC129,0),MATCH(Structure!$D$22,$OA$14:$OZ$14,0))))</f>
        <v>538.25809655172418</v>
      </c>
      <c r="CR24" s="239">
        <f>IF(A24=FALSE,"",IF(ALLTHESAME=TRUE,INDEX(PA24:PZ24,MATCH(PC24,PC24:PC129,0),MATCH(Structure!$D$22,$PA$14:$PZ$14,0)),INDEX(QA24:QZ24,MATCH(QC24,QC24:QC129,0),MATCH(Structure!$D$22,$QA$14:$QZ$14,0))))</f>
        <v>708.88121379310348</v>
      </c>
      <c r="CS24" s="341">
        <f>IF(A24=FALSE,"",IF(ALLTHESAME=TRUE,INDEX(RA24:RZ24,MATCH(RC24,RC24:RC129,0),MATCH(Structure!$D$22,$RA$14:$RZ$14,0)),INDEX(SA24:TC24,MATCH(SC24,SC24:SC129,0),MATCH(Structure!$D$22,$SA$14:$TC$14,0))))</f>
        <v>1416.6779586206899</v>
      </c>
      <c r="CT24" s="347"/>
      <c r="CU24" s="239">
        <f t="shared" si="242"/>
        <v>4741.9540583554372</v>
      </c>
      <c r="CV24" s="239">
        <f>IF(A24=FALSE,"",IF(ALLTHESAME=TRUE,INDEX(DD24:DZ24,MATCH(DF24,DF24:DF129,0),MATCH(Structure!$D$8,$DD$14:$DZ$14,0)),INDEX(EA24:EZ24,MATCH(EC24,EC24:EC129,0),MATCH(Structure!$D$8,$EA$14:$EZ$14,0))))</f>
        <v>1165.3846153846152</v>
      </c>
      <c r="CW24" s="239">
        <f>IF(A24=FALSE,"",IF(ALLTHESAME=TRUE,INDEX(FA24:FZ24,MATCH(FC24,FC24:FC129,0),MATCH(Structure!$D$8,$FA$14:$FZ$14,0)),INDEX(GA24:GZ24,MATCH(GC24,GC24:GC129,0),MATCH(Structure!$D$8,$GA$14:$GZ$14,0))))</f>
        <v>190.38461538461539</v>
      </c>
      <c r="CX24" s="239">
        <f>IF(A24=FALSE,"",IF(ALLTHESAME=TRUE,INDEX(HA24:HZ24,MATCH(HC24,HC24:HC129,0),MATCH(Structure!$D$8,$HA$14:$HZ$14,0)),INDEX(IA24:IZ24,MATCH(IC24,IC24:IC129,0),MATCH(Structure!$D$8,$IA$14:$IZ$14,0))))</f>
        <v>174.14068965517242</v>
      </c>
      <c r="CY24" s="239">
        <f>IF(A24=FALSE,"",IF(ALLTHESAME=TRUE,INDEX(JA24:JZ24,MATCH(JC24,JC24:JC129,0),MATCH(Structure!$D$8,$JA$14:$JZ$14,0)),INDEX(KA24:KZ24,MATCH(KC24,KC24:KC129,0),MATCH(Structure!$D$8,$KA$14:$KZ$14,0))))</f>
        <v>435.5255172413793</v>
      </c>
      <c r="CZ24" s="239">
        <f>IF(A24=FALSE,"",IF(ALLTHESAME=TRUE,INDEX(LA24:LZ24,MATCH(LC24,LC24:LC129,0),MATCH(Structure!$D$8,$LA$14:$LZ$14,0)),INDEX(MA24:MZ24,MATCH(MC24,MC24:MC129,0),MATCH(Structure!$D$8,$MA$14:$MZ$14,0))))</f>
        <v>215.15586206896552</v>
      </c>
      <c r="DA24" s="239">
        <f>IF(A24=FALSE,"",IF(ALLTHESAME=TRUE,INDEX(NA24:NZ24,MATCH(NC24,NC24:NC129,0),MATCH(Structure!$D$8,$NA$14:$NZ$14,0)),INDEX(OA24:OZ24,MATCH(OC24,OC24:OC129,0),MATCH(Structure!$D$8,$OA$14:$OZ$14,0))))</f>
        <v>517.55586206896555</v>
      </c>
      <c r="DB24" s="239">
        <f>IF(A24=FALSE,"",IF(ALLTHESAME=TRUE,INDEX(PA24:PZ24,MATCH(PC24,PC24:PC129,0),MATCH(Structure!$D$8,$PA$14:$PZ$14,0)),INDEX(QA24:QZ24,MATCH(QC24,QC24:QC129,0),MATCH(Structure!$D$8,$QA$14:$QZ$14,0))))</f>
        <v>681.61655172413793</v>
      </c>
      <c r="DC24" s="341">
        <f>IF(A24=FALSE,"",IF(ALLTHESAME=TRUE,INDEX(RA24:RZ24,MATCH(RC24,RC24:RC129,0),MATCH(Structure!$D$8,$RA$14:$RZ$14,0)),INDEX(SA24:TC24,MATCH(SC24,SC24:SC129,0),MATCH(Structure!$D$8,$SA$14:$TC$14,0))))</f>
        <v>1362.1903448275864</v>
      </c>
      <c r="DD24" s="492" t="str">
        <f>IF(A24=FALSE,"",Cotations!D24)</f>
        <v>PROP</v>
      </c>
      <c r="DE24" s="492" t="str">
        <f>IF(A24=FALSE,"",IF(LISTES!$A$17=1,Cotations!AF24,Cotations!$AG$4))</f>
        <v>2016EURAIG Luxembourg-Healthcare PlanPerfect</v>
      </c>
      <c r="DF24" s="291" t="str">
        <f t="shared" si="431"/>
        <v>AIG Luxembourg</v>
      </c>
      <c r="DG24" s="291" t="str">
        <f t="shared" si="243"/>
        <v>Perfect</v>
      </c>
      <c r="DH24" s="291"/>
      <c r="DI24" s="463"/>
      <c r="DJ24" s="463">
        <f t="shared" si="244"/>
        <v>1165.3846153846152</v>
      </c>
      <c r="DK24" s="522">
        <f>IF(A24=FALSE,"",IF(Cotations!$AH$4="monthly",DJ24/12*L24,DJ24/365*M24))</f>
        <v>1165.3846153846152</v>
      </c>
      <c r="DL24" s="489">
        <f>IF(A24=FALSE,"",Cotations!$AI$4)</f>
        <v>0</v>
      </c>
      <c r="DM24" s="300">
        <f t="shared" si="245"/>
        <v>0</v>
      </c>
      <c r="DN24" s="300">
        <f t="shared" si="246"/>
        <v>1165.3846153846152</v>
      </c>
      <c r="DO24" s="294">
        <f t="shared" si="247"/>
        <v>1212</v>
      </c>
      <c r="DP24" s="494" t="str">
        <f>IF(A24=FALSE,"",Cotations!$AJ$4)</f>
        <v>fix Fees pro rata month</v>
      </c>
      <c r="DQ24" s="494">
        <f>IF(A24=FALSE,"",Cotations!$AK$4)</f>
        <v>15.2</v>
      </c>
      <c r="DR24" s="489">
        <f>IF(A24=FALSE,"",Cotations!$AL$4)</f>
        <v>0</v>
      </c>
      <c r="DS24" s="494">
        <f>IF(A24=FALSE,"",IF(DP24="N/A",0,IF(INDEX(LISTES!$F$105:$F$109,MATCH(DP24,LISTES!$C$105:$C$109,0))="FIX",IF(INDEX(LISTES!$E$105:$E$109,MATCH(DP24,LISTES!$C$105:$C$109,0))=12,DQ24/12*L24,DQ24/365*M24),DR24*DO24)))</f>
        <v>15.2</v>
      </c>
      <c r="DT24" s="294">
        <f t="shared" si="248"/>
        <v>1227.2</v>
      </c>
      <c r="DU24" s="294">
        <f>IF(A24=FALSE,"",DT24*Cotations!$AM$4)</f>
        <v>1227.2</v>
      </c>
      <c r="DV24" s="294">
        <f>IF(A24=FALSE,"",DT24*Cotations!$AN$4)</f>
        <v>0</v>
      </c>
      <c r="DW24" s="465" t="str">
        <f t="shared" si="249"/>
        <v>EUR</v>
      </c>
      <c r="DX24" s="919">
        <f>IF(A24=FALSE,"",((DJ24*TAXE)-(DJ24*TAXE*DL24))+IF(DP24="N/A",0,IF(INDEX(LISTES!$F$105:$F$109,MATCH(DP24,LISTES!$C$105:$C$109,0))="FIX",DQ24,DR24*DO24)))</f>
        <v>1227.2</v>
      </c>
      <c r="DY24" s="466"/>
      <c r="DZ24" s="466"/>
      <c r="EA24" s="492" t="str">
        <f>IF(A24=FALSE,"",Cotations!D24)</f>
        <v>PROP</v>
      </c>
      <c r="EB24" s="494" t="str">
        <f>IF(A24=FALSE,"",IF(LISTES!$A$17=1,Cotations!AF24,Cotations!AG24))</f>
        <v>2016EURAIG Luxembourg-Healthcare PlanPerfect</v>
      </c>
      <c r="EC24" s="284" t="str">
        <f t="shared" si="250"/>
        <v>AIG Luxembourg</v>
      </c>
      <c r="ED24" s="284" t="str">
        <f t="shared" si="251"/>
        <v>Perfect</v>
      </c>
      <c r="EE24" s="284"/>
      <c r="EF24" s="284"/>
      <c r="EG24" s="284">
        <f t="shared" si="252"/>
        <v>1165.3846153846152</v>
      </c>
      <c r="EH24" s="1365">
        <f t="shared" si="253"/>
        <v>0</v>
      </c>
      <c r="EI24" s="1365">
        <f t="shared" si="254"/>
        <v>1165.3846153846152</v>
      </c>
      <c r="EJ24" s="515">
        <f>IF(A24=FALSE,"",IF(Cotations!AH24="monthly",EG24/12*L24,EG24/365*M24))</f>
        <v>1165.3846153846152</v>
      </c>
      <c r="EK24" s="1364">
        <f>IF(A24=FALSE,"",IF(Cotations!AH24="monthly",EI24/12*L24,EI24/365*M24))</f>
        <v>1165.3846153846152</v>
      </c>
      <c r="EL24" s="493">
        <f>IF(A24=FALSE,"",IF(Cotations!AI24="","",Cotations!AI24))</f>
        <v>0</v>
      </c>
      <c r="EM24" s="284">
        <f t="shared" si="255"/>
        <v>0</v>
      </c>
      <c r="EN24" s="284">
        <f t="shared" si="256"/>
        <v>1165.3846153846152</v>
      </c>
      <c r="EO24" s="1365">
        <f t="shared" si="432"/>
        <v>0</v>
      </c>
      <c r="EP24" s="284">
        <f t="shared" si="257"/>
        <v>1212</v>
      </c>
      <c r="EQ24" s="515" t="str">
        <f>IF(A24=FALSE,"",Cotations!AJ24)</f>
        <v>fix Fees pro rata month</v>
      </c>
      <c r="ER24" s="515">
        <f>IF(A24=FALSE,"",IF(Cotations!AK24="","",Cotations!AK24))</f>
        <v>32</v>
      </c>
      <c r="ES24" s="493">
        <f>IF(A24=FALSE,"",Cotations!AL24)</f>
        <v>0</v>
      </c>
      <c r="ET24" s="515">
        <f>IF(A24=FALSE,"",IF(EQ24="N/A",0,IF(INDEX(LISTES!$F$105:$F$109,MATCH(EQ24,LISTES!$C$105:$C$109,0))="FIX",IF(INDEX(LISTES!$E$105:$E$109,MATCH(EQ24,LISTES!$C$105:$C$109,0))=12,ER24/12*L24,ER24/365*M24),ES24*EP24)))</f>
        <v>32</v>
      </c>
      <c r="EU24" s="294">
        <f t="shared" si="258"/>
        <v>1244</v>
      </c>
      <c r="EV24" s="494">
        <f>IF(A24=FALSE,"",EU24*Cotations!AM24)</f>
        <v>1244</v>
      </c>
      <c r="EW24" s="494">
        <f>IF(A24=FALSE,"",EU24*Cotations!AN24)</f>
        <v>0</v>
      </c>
      <c r="EX24" s="334" t="str">
        <f t="shared" si="259"/>
        <v>EUR</v>
      </c>
      <c r="EY24" s="919">
        <f>IF(A24=FALSE,"",((EG24*TAXE)-(EG24*TAXE*EL24)+EH24)+IF(EQ24="N/A",0,IF(INDEX(LISTES!$F$105:$F$109,MATCH(EQ24,LISTES!$C$105:$C$109,0))="FIX",ER24,ES24*EP24)))</f>
        <v>1244</v>
      </c>
      <c r="EZ24" s="422"/>
      <c r="FA24" s="492" t="str">
        <f>IF(A24=FALSE,"",Cotations!D24)</f>
        <v>PROP</v>
      </c>
      <c r="FB24" s="519" t="str">
        <f>IF(A24=FALSE,"",IF(LISTES!$A$17=1,Cotations!AO24,Cotations!$AP$4))</f>
        <v>2016EURAIG Luxembourg-Assistance and RepatriationPERFECT</v>
      </c>
      <c r="FC24" s="291" t="str">
        <f t="shared" si="260"/>
        <v>AIG Luxembourg</v>
      </c>
      <c r="FD24" s="291" t="str">
        <f t="shared" si="261"/>
        <v>PERFECT</v>
      </c>
      <c r="FE24" s="291"/>
      <c r="FF24" s="463"/>
      <c r="FG24" s="463">
        <f t="shared" si="262"/>
        <v>190.38461538461539</v>
      </c>
      <c r="FH24" s="522">
        <f>IF(A24=FALSE,"",IF(Cotations!$AQ$4="monthly",FG24/12*L24,FG24/365*M24))</f>
        <v>190.38461538461539</v>
      </c>
      <c r="FI24" s="453">
        <f>IF(A24=FALSE,"",Cotations!$AR$4)</f>
        <v>0</v>
      </c>
      <c r="FJ24" s="300">
        <f t="shared" si="263"/>
        <v>0</v>
      </c>
      <c r="FK24" s="300">
        <f t="shared" si="264"/>
        <v>190.38461538461539</v>
      </c>
      <c r="FL24" s="294">
        <f t="shared" si="265"/>
        <v>198</v>
      </c>
      <c r="FM24" s="494" t="str">
        <f>IF(A24=FALSE,"",Cotations!$AS$4)</f>
        <v>N/A</v>
      </c>
      <c r="FN24" s="494">
        <f>IF(A24=FALSE,"",Cotations!$AT$4)</f>
        <v>0</v>
      </c>
      <c r="FO24" s="489">
        <f>IF(A24=FALSE,"",Cotations!$AU$4)</f>
        <v>0</v>
      </c>
      <c r="FP24" s="494">
        <f>IF(A24=FALSE,"",IF(FM24="N/A",0,IF(INDEX(LISTES!$F$105:$F$109,MATCH(FM24,LISTES!$C$105:$C$109,0))="FIX",IF(INDEX(LISTES!$E$105:$E$109,MATCH(FM24,LISTES!$C$105:$C$109,0))=12,FN24/12*L24,FN24/365*M24),FO24*FL24)))</f>
        <v>0</v>
      </c>
      <c r="FQ24" s="294">
        <f t="shared" si="266"/>
        <v>198</v>
      </c>
      <c r="FR24" s="494">
        <f>IF(A24=FALSE,"",FQ24*Cotations!$AV$4)</f>
        <v>198</v>
      </c>
      <c r="FS24" s="494">
        <f>IF(A24=FALSE,"",FQ24*Cotations!$AW$4)</f>
        <v>0</v>
      </c>
      <c r="FT24" s="465" t="str">
        <f t="shared" si="267"/>
        <v>EUR</v>
      </c>
      <c r="FU24" s="919">
        <f>IF(A24=FALSE,"",((FG24*TAXE)-(FG24*TAXE*FI24))+IF(FM24="N/A",0,IF(INDEX(LISTES!$F$105:$F$109,MATCH(FM24,LISTES!$C$105:$C$109,0))="FIX",FN24,FO24*FL24)))</f>
        <v>198</v>
      </c>
      <c r="FV24" s="478"/>
      <c r="FW24" s="478"/>
      <c r="FX24" s="478"/>
      <c r="FY24" s="478"/>
      <c r="FZ24" s="478"/>
      <c r="GA24" s="492" t="str">
        <f>IF(A24=FALSE,"",Cotations!D24)</f>
        <v>PROP</v>
      </c>
      <c r="GB24" s="494" t="str">
        <f>IF(A24=FALSE,"",IF(LISTES!$A$17=1,Cotations!AO24,Cotations!AP24))</f>
        <v>2016EURAIG Luxembourg-Assistance and RepatriationPERFECT</v>
      </c>
      <c r="GC24" s="284" t="str">
        <f t="shared" si="268"/>
        <v>AIG Luxembourg</v>
      </c>
      <c r="GD24" s="515" t="str">
        <f>IF(A24=FALSE,"",IF(Detail!AM24="","",Detail!AM24))</f>
        <v>Perfect</v>
      </c>
      <c r="GE24" s="284"/>
      <c r="GF24" s="284"/>
      <c r="GG24" s="284">
        <f t="shared" si="269"/>
        <v>190.38461538461539</v>
      </c>
      <c r="GH24" s="515">
        <f>IF(A24=FALSE,"",IF(Cotations!AQ24="monthly",GG24/12*L24,GG24/365*M24))</f>
        <v>190.38461538461539</v>
      </c>
      <c r="GI24" s="493">
        <f>IF(A24=FALSE,"",IF(Cotations!AR24="","",Cotations!AR24))</f>
        <v>0</v>
      </c>
      <c r="GJ24" s="284">
        <f t="shared" si="270"/>
        <v>0</v>
      </c>
      <c r="GK24" s="284">
        <f t="shared" si="271"/>
        <v>190.38461538461539</v>
      </c>
      <c r="GL24" s="284">
        <f t="shared" si="272"/>
        <v>198</v>
      </c>
      <c r="GM24" s="515" t="str">
        <f>IF(A24=FALSE,"",Cotations!AS24)</f>
        <v>N/A</v>
      </c>
      <c r="GN24" s="515">
        <f>IF(A24=FALSE,"",Cotations!AT24)</f>
        <v>0</v>
      </c>
      <c r="GO24" s="493">
        <f>IF(A24=FALSE,"",Cotations!AU24)</f>
        <v>0</v>
      </c>
      <c r="GP24" s="515">
        <f>IF(A24=FALSE,"",IF(GM24="N/A",0,IF(INDEX(LISTES!$F$105:$F$109,MATCH(GM24,LISTES!$C$105:$C$109,0))="FIX",IF(INDEX(LISTES!$E$105:$E$109,MATCH(GM24,LISTES!$C$105:$C$109,0))=12,GN24/12*L24,GN24/365*M24),GO24*GL24)))</f>
        <v>0</v>
      </c>
      <c r="GQ24" s="294">
        <f t="shared" si="273"/>
        <v>198</v>
      </c>
      <c r="GR24" s="494">
        <f>IF(A24=FALSE,"",GQ24*Cotations!AV24)</f>
        <v>198</v>
      </c>
      <c r="GS24" s="494">
        <f>IF(A24=FALSE,"",GQ24*Cotations!AW24)</f>
        <v>0</v>
      </c>
      <c r="GT24" s="334" t="str">
        <f t="shared" si="274"/>
        <v>EUR</v>
      </c>
      <c r="GU24" s="919">
        <f>IF(A24=FALSE,"",((GG24*TAXE)-(GG24*TAXE*GI24))+IF(GM24="N/A",0,IF(INDEX(LISTES!$F$105:$F$109,MATCH(GM24,LISTES!$C$105:$C$109,0))="FIX",GN24,GO24*GL24)))</f>
        <v>198</v>
      </c>
      <c r="GV24" s="478"/>
      <c r="GW24" s="466"/>
      <c r="GX24" s="466"/>
      <c r="GY24" s="466"/>
      <c r="GZ24" s="466"/>
      <c r="HA24" s="492" t="str">
        <f>IF(A24=FALSE,"",Cotations!D24)</f>
        <v>PROP</v>
      </c>
      <c r="HB24" s="495" t="str">
        <f>IF(A24=FALSE,"",IF(LISTES!$A$17=1,Cotations!AX24,Cotations!$AY$4))</f>
        <v>2016EURAnker Verzekeringen n.v.-Death Accident</v>
      </c>
      <c r="HC24" s="291" t="str">
        <f t="shared" si="275"/>
        <v>Anker Verzekeringen n.v.</v>
      </c>
      <c r="HD24" s="291">
        <f t="shared" si="276"/>
        <v>0</v>
      </c>
      <c r="HE24" s="456">
        <f t="shared" si="277"/>
        <v>6.9103448275862072E-4</v>
      </c>
      <c r="HF24" s="496">
        <f>IF(A24=FALSE,"",IF(HA24="POEA",Cotations!BA24,IF(HA24="FIXE",Cotations!$BA$4,Cotations!$BC$4*Y24)))</f>
        <v>252000</v>
      </c>
      <c r="HG24" s="300">
        <f t="shared" si="278"/>
        <v>174.14068965517242</v>
      </c>
      <c r="HH24" s="522">
        <f>IF(A24=FALSE,"",IF(Cotations!$AZ$4="monthly",HG24/12*L24,HG24/365*M24))</f>
        <v>174.14068965517242</v>
      </c>
      <c r="HI24" s="489">
        <f>IF(A24=FALSE,"",Cotations!$BD$4)</f>
        <v>0</v>
      </c>
      <c r="HJ24" s="300">
        <f t="shared" si="279"/>
        <v>0</v>
      </c>
      <c r="HK24" s="300">
        <f t="shared" si="280"/>
        <v>174.14068965517242</v>
      </c>
      <c r="HL24" s="294">
        <f t="shared" si="281"/>
        <v>181.10631724137932</v>
      </c>
      <c r="HM24" s="494" t="str">
        <f>IF(A24=FALSE,"",Cotations!$BE$4)</f>
        <v>N/A</v>
      </c>
      <c r="HN24" s="522">
        <f>IF(A24=FALSE,"",Cotations!$BF$4)</f>
        <v>10</v>
      </c>
      <c r="HO24" s="489">
        <f>IF(A24=FALSE,"",Cotations!$BG$4)</f>
        <v>0</v>
      </c>
      <c r="HP24" s="494">
        <f>IF(A24=FALSE,"",IF(HM24="N/A",0,IF(INDEX(LISTES!$F$105:$F$109,MATCH(HM24,LISTES!$C$105:$C$109,0))="FIX",IF(INDEX(LISTES!$E$105:$E$109,MATCH(HM24,LISTES!$C$105:$C$109,0))=12,HN24/12*L24,HN24/365*M24),HO24*HL24)))</f>
        <v>0</v>
      </c>
      <c r="HQ24" s="294">
        <f t="shared" si="282"/>
        <v>181.10631724137932</v>
      </c>
      <c r="HR24" s="494">
        <f>IF(A24=FALSE,"",HQ24*Cotations!$BH$4)</f>
        <v>181.10631724137932</v>
      </c>
      <c r="HS24" s="494">
        <f>IF(A24=FALSE,"",HQ24*Cotations!$BI$4)</f>
        <v>0</v>
      </c>
      <c r="HT24" s="294" t="str">
        <f t="shared" si="283"/>
        <v>EUR</v>
      </c>
      <c r="HU24" s="919">
        <f>IF(A24=FALSE,"",((HG24*TAXE)-(HG24*TAXE*HI24))+IF(HM24="N/A",0,IF(INDEX(LISTES!$F$105:$F$109,MATCH(HM24,LISTES!$C$105:$C$109,0))="FIX",HN24,HO24*HL24)))</f>
        <v>181.10631724137932</v>
      </c>
      <c r="HV24" s="422"/>
      <c r="HW24" s="422"/>
      <c r="HX24" s="422"/>
      <c r="HY24" s="716"/>
      <c r="HZ24" s="422"/>
      <c r="IA24" s="492" t="str">
        <f>IF(A24=FALSE,"",Cotations!D24)</f>
        <v>PROP</v>
      </c>
      <c r="IB24" s="491" t="str">
        <f>IF(A24=FALSE,"",IF(LISTES!$A$17=1,Cotations!AX24,Cotations!AY24))</f>
        <v>2016EURAnker Verzekeringen n.v.-Death Accident</v>
      </c>
      <c r="IC24" s="285" t="str">
        <f t="shared" si="284"/>
        <v>Anker Verzekeringen n.v.</v>
      </c>
      <c r="ID24" s="300" t="str">
        <f>IF(A24=FALSE,"",IF(LISTES!$A$17=3,Detail!AU24,lig1_Formula_PREVOY))</f>
        <v>Formula 3</v>
      </c>
      <c r="IE24" s="461">
        <f t="shared" si="285"/>
        <v>6.9103448275862072E-4</v>
      </c>
      <c r="IF24" s="490">
        <f>IF(A24=FALSE,"",IF(IA24="POEA",Cotations!BA24,IF(HA24="FIXE",Cotations!BB24,IF(Cotations!BC24*Y24&lt;50000,Z24,Cotations!BC24*Y24))))</f>
        <v>252000</v>
      </c>
      <c r="IG24" s="300">
        <f t="shared" si="286"/>
        <v>174.14068965517242</v>
      </c>
      <c r="IH24" s="522">
        <f>IF(A24=FALSE,"",IF(Cotations!AZ24="monthly",IG24/12*L24,IG24/365*M24))</f>
        <v>174.14068965517242</v>
      </c>
      <c r="II24" s="489">
        <f>IF(A24=FALSE,"",IF(Cotations!BD24="","",Cotations!BD24))</f>
        <v>0</v>
      </c>
      <c r="IJ24" s="300">
        <f t="shared" si="287"/>
        <v>0</v>
      </c>
      <c r="IK24" s="300">
        <f t="shared" si="288"/>
        <v>174.14068965517242</v>
      </c>
      <c r="IL24" s="919">
        <f t="shared" si="289"/>
        <v>181.10631724137932</v>
      </c>
      <c r="IM24" s="517" t="str">
        <f>IF(A24=FALSE,"",Cotations!BE24)</f>
        <v>N/A</v>
      </c>
      <c r="IN24" s="517">
        <f>IF(A24=FALSE,"",Cotations!BF24)</f>
        <v>0</v>
      </c>
      <c r="IO24" s="493">
        <f>IF(A24=FALSE,"",Cotations!BG24)</f>
        <v>0</v>
      </c>
      <c r="IP24" s="517">
        <f>IF(A24=FALSE,"",IF(IM24="N/A",0,IF(INDEX(LISTES!$F$105:$F$109,MATCH(IM24,LISTES!$C$105:$C$109,0))="FIX",IF(INDEX(LISTES!$E$105:$E$109,MATCH(IM24,LISTES!$C$105:$C$109,0))=12,IN24/12*L24,IN24/365*M24),IO24*IL24)))</f>
        <v>0</v>
      </c>
      <c r="IQ24" s="294">
        <f t="shared" si="290"/>
        <v>181.10631724137932</v>
      </c>
      <c r="IR24" s="494">
        <f>IF(A24=FALSE,"",IQ24*Cotations!BH24)</f>
        <v>181.10631724137932</v>
      </c>
      <c r="IS24" s="494">
        <f>IF(A24=FALSE,"",IQ24*Cotations!BI24)</f>
        <v>0</v>
      </c>
      <c r="IT24" s="338" t="str">
        <f t="shared" si="291"/>
        <v>EUR</v>
      </c>
      <c r="IU24" s="919">
        <f>IF(A24=FALSE,"",((IG24*TAXE)-(IG24*TAXE*II24))+IF(IM24="N/A",0,IF(INDEX(LISTES!$F$105:$F$109,MATCH(IM24,LISTES!$C$105:$C$109,0))="FIX",IN24,IO24*IL24)))</f>
        <v>181.10631724137932</v>
      </c>
      <c r="IV24" s="422"/>
      <c r="IY24" s="716"/>
      <c r="JA24" s="492" t="str">
        <f>IF(A24=FALSE,"",Cotations!D24)</f>
        <v>PROP</v>
      </c>
      <c r="JB24" s="495" t="str">
        <f>IF(A24=FALSE,"",IF(LISTES!$A$17=1,Cotations!BJ24,Cotations!$BK$4))</f>
        <v>2016EURAnker Verzekeringen n.v.-Death illness</v>
      </c>
      <c r="JC24" s="291" t="str">
        <f t="shared" si="292"/>
        <v>Anker Verzekeringen n.v.</v>
      </c>
      <c r="JD24" s="291">
        <f t="shared" si="293"/>
        <v>0</v>
      </c>
      <c r="JE24" s="456">
        <f t="shared" si="294"/>
        <v>1.7282758620689655E-3</v>
      </c>
      <c r="JF24" s="496">
        <f>IF(A24=FALSE,"",IF(JA24="POEA",Cotations!BM24,IF(JA24="FIXE",Cotations!$BM$4,Cotations!$BO$4*Y24)))</f>
        <v>252000</v>
      </c>
      <c r="JG24" s="300">
        <f t="shared" si="295"/>
        <v>435.5255172413793</v>
      </c>
      <c r="JH24" s="522">
        <f>IF(A24=FALSE,"",IF(Cotations!$BL$4="monthly",JG24/12*L24,JG24/365*M24))</f>
        <v>435.5255172413793</v>
      </c>
      <c r="JI24" s="489">
        <f>IF(A24=FALSE,"",Cotations!$BP$4)</f>
        <v>0</v>
      </c>
      <c r="JJ24" s="300">
        <f t="shared" si="296"/>
        <v>0</v>
      </c>
      <c r="JK24" s="300">
        <f t="shared" si="297"/>
        <v>435.5255172413793</v>
      </c>
      <c r="JL24" s="294">
        <f t="shared" si="298"/>
        <v>452.94653793103447</v>
      </c>
      <c r="JM24" s="494" t="str">
        <f>IF(A24=FALSE,"",Cotations!$BQ$4)</f>
        <v>N/A</v>
      </c>
      <c r="JN24" s="522">
        <f>IF(A24=FALSE,"",Cotations!$BR$4)</f>
        <v>0</v>
      </c>
      <c r="JO24" s="489">
        <f>IF(A24=FALSE,"",Cotations!$BS$4)</f>
        <v>0</v>
      </c>
      <c r="JP24" s="494">
        <f>IF(A24=FALSE,"",IF(JM24="N/A",0,IF(INDEX(LISTES!$F$105:$F$109,MATCH(JM24,LISTES!$C$105:$C$109,0))="FIX",IF(INDEX(LISTES!$E$105:$E$109,MATCH(JM24,LISTES!$C$105:$C$109,0))=12,JN24/12*L24,JN24/365*M24),JO24*JL24)))</f>
        <v>0</v>
      </c>
      <c r="JQ24" s="294">
        <f t="shared" si="299"/>
        <v>452.94653793103447</v>
      </c>
      <c r="JR24" s="494">
        <f>IF(A24=FALSE,"",JQ24*Cotations!$BT$4)</f>
        <v>452.94653793103447</v>
      </c>
      <c r="JS24" s="494">
        <f>IF(A24=FALSE,"",JQ24*Cotations!$BU$4)</f>
        <v>0</v>
      </c>
      <c r="JT24" s="294" t="str">
        <f t="shared" si="300"/>
        <v>EUR</v>
      </c>
      <c r="JU24" s="919">
        <f>IF(A24=FALSE,"",((JG24*TAXE)-(JG24*TAXE*JI24))+IF(JM24="N/A",0,IF(INDEX(LISTES!$F$105:$F$109,MATCH(JM24,LISTES!$C$105:$C$109,0))="FIX",JN24,JO24*JL24)))</f>
        <v>452.94653793103447</v>
      </c>
      <c r="KA24" s="492" t="str">
        <f>IF(A24=FALSE,"",Cotations!D24)</f>
        <v>PROP</v>
      </c>
      <c r="KB24" s="491" t="str">
        <f>IF(A24=FALSE,"",IF(LISTES!$A$17=1,Cotations!BJ24,Cotations!BK24))</f>
        <v>2016EURAnker Verzekeringen n.v.-Death illness</v>
      </c>
      <c r="KC24" s="285" t="str">
        <f t="shared" si="301"/>
        <v>Anker Verzekeringen n.v.</v>
      </c>
      <c r="KD24" s="300"/>
      <c r="KE24" s="461">
        <f t="shared" si="302"/>
        <v>1.7282758620689655E-3</v>
      </c>
      <c r="KF24" s="490">
        <f>IF(A24=FALSE,"",IF(KA24="POEA",Cotations!BM24,IF(KA24="FIXE",Cotations!BN24,IF(Cotations!BO24*Y24&lt;50000,Z24,Cotations!BO24*Y24))))</f>
        <v>252000</v>
      </c>
      <c r="KG24" s="300">
        <f t="shared" si="303"/>
        <v>435.5255172413793</v>
      </c>
      <c r="KH24" s="522">
        <f>IF(A24=FALSE,"",IF(Cotations!BL24="monthly",KG24/12*L24,KG24/365*M24))</f>
        <v>435.5255172413793</v>
      </c>
      <c r="KI24" s="489">
        <f>IF(A24=FALSE,"",IF(Cotations!BP24="","",Cotations!BP24))</f>
        <v>0</v>
      </c>
      <c r="KJ24" s="300">
        <f t="shared" si="304"/>
        <v>0</v>
      </c>
      <c r="KK24" s="300">
        <f t="shared" si="305"/>
        <v>435.5255172413793</v>
      </c>
      <c r="KL24" s="919">
        <f t="shared" si="306"/>
        <v>452.94653793103447</v>
      </c>
      <c r="KM24" s="517" t="str">
        <f>IF(A24=FALSE,"",Cotations!BQ24)</f>
        <v>N/A</v>
      </c>
      <c r="KN24" s="515">
        <f>IF(A24=FALSE,"",Cotations!BR24)</f>
        <v>0</v>
      </c>
      <c r="KO24" s="493">
        <f>IF(A24=FALSE,"",Cotations!BS24)</f>
        <v>0</v>
      </c>
      <c r="KP24" s="517">
        <f>IF(A24=FALSE,"",IF(KM24="N/A",0,IF(INDEX(LISTES!$F$105:$F$109,MATCH(KM24,LISTES!$C$105:$C$109,0))="FIX",IF(INDEX(LISTES!$E$105:$E$109,MATCH(KM24,LISTES!$C$105:$C$109,0))=12,KN24/12*L24,KN24/365*M24),KO24*KL24)))</f>
        <v>0</v>
      </c>
      <c r="KQ24" s="294">
        <f t="shared" si="307"/>
        <v>452.94653793103447</v>
      </c>
      <c r="KR24" s="494">
        <f>IF(A24=FALSE,"",KQ24*Cotations!BT24)</f>
        <v>452.94653793103447</v>
      </c>
      <c r="KS24" s="494">
        <f>IF(A24=FALSE,"",KQ24*Cotations!BU24)</f>
        <v>0</v>
      </c>
      <c r="KT24" s="338" t="str">
        <f t="shared" si="308"/>
        <v>EUR</v>
      </c>
      <c r="KU24" s="919">
        <f>IF(A24=FALSE,"",((KG24*TAXE)-(KG24*TAXE*KI24))+IF(KM24="N/A",0,IF(INDEX(LISTES!$F$105:$F$109,MATCH(KM24,LISTES!$C$105:$C$109,0))="FIX",KN24,KO24*KL24)))</f>
        <v>452.94653793103447</v>
      </c>
      <c r="KX24" s="422"/>
      <c r="KY24" s="422"/>
      <c r="LA24" s="497" t="str">
        <f>IF(A24=FALSE,"",Cotations!D24)</f>
        <v>PROP</v>
      </c>
      <c r="LB24" s="498" t="str">
        <f>IF(A24=FALSE,"",IF(LISTES!$A$17=1,Cotations!BV24,Cotations!$BW$4))</f>
        <v>2016EURAnker Verzekeringen n.v.-Permanent Disability Accident</v>
      </c>
      <c r="LC24" s="499" t="str">
        <f t="shared" si="309"/>
        <v>Anker Verzekeringen n.v.</v>
      </c>
      <c r="LD24" s="499">
        <f t="shared" si="310"/>
        <v>0</v>
      </c>
      <c r="LE24" s="500">
        <f t="shared" si="311"/>
        <v>8.5379310344827581E-4</v>
      </c>
      <c r="LF24" s="501">
        <f>IF(A24=FALSE,"",IF(LA24="POEA",Cotations!EJ24,IF(LA24="FIXE",Cotations!$BY$4,Cotations!$CA$4*Y24)))</f>
        <v>252000</v>
      </c>
      <c r="LG24" s="502">
        <f t="shared" si="312"/>
        <v>215.15586206896552</v>
      </c>
      <c r="LH24" s="520">
        <f>IF(A24=FALSE,"",IF(Cotations!$BX$4="monthly",LG24/12*L24,LG24/365*M24))</f>
        <v>215.15586206896552</v>
      </c>
      <c r="LI24" s="503">
        <f>IF(A24=FALSE,"",Cotations!$CB$4)</f>
        <v>0</v>
      </c>
      <c r="LJ24" s="502">
        <f t="shared" si="313"/>
        <v>0</v>
      </c>
      <c r="LK24" s="502">
        <f t="shared" si="314"/>
        <v>215.15586206896552</v>
      </c>
      <c r="LL24" s="504">
        <f t="shared" si="315"/>
        <v>223.76209655172414</v>
      </c>
      <c r="LM24" s="505" t="str">
        <f>IF(A24=FALSE,"",Cotations!$CC$4)</f>
        <v>N/A</v>
      </c>
      <c r="LN24" s="503">
        <f>IF(A24=FALSE,"",Cotations!$CD$4)</f>
        <v>0</v>
      </c>
      <c r="LO24" s="503">
        <f>IF(A24=FALSE,"",Cotations!$CE$4)</f>
        <v>0</v>
      </c>
      <c r="LP24" s="505">
        <f>IF(A24=FALSE,"",IF(LM24="N/A",0,IF(INDEX(LISTES!$F$105:$F$109,MATCH(LM24,LISTES!$C$105:$C$109,0))="FIX",IF(INDEX(LISTES!$E$105:$E$109,MATCH(LM24,LISTES!$C$105:$C$109,0))=12,LN24/12*L24,LN24/365*M24),LO24*LL24)))</f>
        <v>0</v>
      </c>
      <c r="LQ24" s="504">
        <f t="shared" si="316"/>
        <v>223.76209655172414</v>
      </c>
      <c r="LR24" s="505">
        <f>IF(A24=FALSE,"",LQ24*Cotations!$CF$4)</f>
        <v>223.76209655172414</v>
      </c>
      <c r="LS24" s="505">
        <f>IF(A24=FALSE,"",LQ24*Cotations!$CG$4)</f>
        <v>0</v>
      </c>
      <c r="LT24" s="506" t="str">
        <f t="shared" si="317"/>
        <v>EUR</v>
      </c>
      <c r="LU24" s="919">
        <f>IF(A24=FALSE,"",((LG24*TAXE)-(LG24*TAXE*LI24))+IF(LM24="N/A",0,IF(INDEX(LISTES!$F$105:$F$109,MATCH(LM24,LISTES!$C$105:$C$109,0))="FIX",LN24,LO24*LL24)))</f>
        <v>223.76209655172414</v>
      </c>
      <c r="MA24" s="492" t="str">
        <f>IF(A24=FALSE,"",Cotations!D24)</f>
        <v>PROP</v>
      </c>
      <c r="MB24" s="491" t="str">
        <f>IF(A24=FALSE,"",IF(LISTES!$A$17=1,Cotations!BV24,Cotations!BW24))</f>
        <v>2016EURAnker Verzekeringen n.v.-Permanent Disability Accident</v>
      </c>
      <c r="MC24" s="285" t="str">
        <f t="shared" si="318"/>
        <v>Anker Verzekeringen n.v.</v>
      </c>
      <c r="MD24" s="300"/>
      <c r="ME24" s="461">
        <f t="shared" si="319"/>
        <v>8.5379310344827581E-4</v>
      </c>
      <c r="MF24" s="490">
        <f>IF(A24=FALSE,"",IF(MA24="POEA",Cotations!BY24,IF(MA24="FIXE",Cotations!BZ24,IF(Cotations!CA24*Y24&lt;50000,Z24,Cotations!CA24*Y24))))</f>
        <v>252000</v>
      </c>
      <c r="MG24" s="300">
        <f t="shared" si="320"/>
        <v>215.15586206896552</v>
      </c>
      <c r="MH24" s="522">
        <f>IF(A24=FALSE,"",IF(Cotations!BX24="monthly",MG24/12*L24,MG24/365*M24))</f>
        <v>215.15586206896552</v>
      </c>
      <c r="MI24" s="489">
        <f>IF(A24=FALSE,"",IF(Cotations!CB24="","",Cotations!CB24))</f>
        <v>0</v>
      </c>
      <c r="MJ24" s="300">
        <f t="shared" si="321"/>
        <v>0</v>
      </c>
      <c r="MK24" s="300">
        <f t="shared" si="322"/>
        <v>215.15586206896552</v>
      </c>
      <c r="ML24" s="919">
        <f t="shared" si="323"/>
        <v>223.76209655172414</v>
      </c>
      <c r="MM24" s="517" t="str">
        <f>IF(A24=FALSE,"",Cotations!CC24)</f>
        <v>N/A</v>
      </c>
      <c r="MN24" s="515">
        <f>IF(A24=FALSE,"",Cotations!CD24)</f>
        <v>0</v>
      </c>
      <c r="MO24" s="493">
        <f>IF(A24=FALSE,"",Cotations!CE24)</f>
        <v>0</v>
      </c>
      <c r="MP24" s="517">
        <f>IF(A24=FALSE,"",IF(MM24="N/A",0,IF(INDEX(LISTES!$F$105:$F$109,MATCH(MM24,LISTES!$C$105:$C$109,0))="FIX",IF(INDEX(LISTES!$E$105:$E$109,MATCH(MM24,LISTES!$C$105:$C$109,0))=12,MN24/12*L24,MN24/365*M24),MO24*ML24)))</f>
        <v>0</v>
      </c>
      <c r="MQ24" s="294">
        <f t="shared" si="324"/>
        <v>223.76209655172414</v>
      </c>
      <c r="MR24" s="494">
        <f>IF(A24=FALSE,"",MQ24*Cotations!CF24)</f>
        <v>223.76209655172414</v>
      </c>
      <c r="MS24" s="494">
        <f>IF(A24=FALSE,"",MQ24*Cotations!CG24)</f>
        <v>0</v>
      </c>
      <c r="MT24" s="338" t="str">
        <f t="shared" si="325"/>
        <v>EUR</v>
      </c>
      <c r="MU24" s="919">
        <f>IF(A24=FALSE,"",((MG24*TAXE)-(MG24*TAXE*MI24))+IF(MM24="N/A",0,IF(INDEX(LISTES!$F$105:$F$109,MATCH(MM24,LISTES!$C$105:$C$109,0))="FIX",MN24,MO24*ML24)))</f>
        <v>223.76209655172414</v>
      </c>
      <c r="NA24" s="497" t="str">
        <f>IF(A24=FALSE,"",Cotations!D24)</f>
        <v>PROP</v>
      </c>
      <c r="NB24" s="498" t="str">
        <f>IF(A24=FALSE,"",IF(LISTES!$A$17=1,Cotations!CH24,Cotations!$CI$4))</f>
        <v>2016EURAnker Verzekeringen n.v.-Permanent Disability illness</v>
      </c>
      <c r="NC24" s="499" t="str">
        <f t="shared" si="326"/>
        <v>Anker Verzekeringen n.v.</v>
      </c>
      <c r="ND24" s="499">
        <f t="shared" si="327"/>
        <v>0</v>
      </c>
      <c r="NE24" s="500">
        <f t="shared" si="328"/>
        <v>2.0537931034482759E-3</v>
      </c>
      <c r="NF24" s="501">
        <f>IF(A24=FALSE,"",IF(NA24="POEA",Cotations!CK24,IF(NA24="FIXE",Cotations!$CK$4,Cotations!$CM$4*Y24)))</f>
        <v>252000</v>
      </c>
      <c r="NG24" s="502">
        <f t="shared" si="329"/>
        <v>517.55586206896555</v>
      </c>
      <c r="NH24" s="520">
        <f>IF(A24=FALSE,"",IF(Cotations!$CJ$4="monthly",NG24/12*L24,NG24/365*M24))</f>
        <v>517.55586206896555</v>
      </c>
      <c r="NI24" s="503">
        <f>IF(A24=FALSE,"",Cotations!$CN$4)</f>
        <v>0</v>
      </c>
      <c r="NJ24" s="502">
        <f t="shared" si="330"/>
        <v>0</v>
      </c>
      <c r="NK24" s="502">
        <f t="shared" si="331"/>
        <v>517.55586206896555</v>
      </c>
      <c r="NL24" s="504">
        <f t="shared" si="332"/>
        <v>538.25809655172418</v>
      </c>
      <c r="NM24" s="505" t="str">
        <f>IF(A24=FALSE,"",Cotations!$CO$4)</f>
        <v>N/A</v>
      </c>
      <c r="NN24" s="520">
        <f>IF(A24=FALSE,"",Cotations!$CP$4)</f>
        <v>0</v>
      </c>
      <c r="NO24" s="503">
        <f>IF(A24=FALSE,"",Cotations!$CQ$4)</f>
        <v>0</v>
      </c>
      <c r="NP24" s="505">
        <f>IF(A24=FALSE,"",IF(NM24="N/A",0,IF(INDEX(LISTES!$F$105:$F$109,MATCH(NM24,LISTES!$C$105:$C$109,0))="FIX",IF(INDEX(LISTES!$E$105:$E$109,MATCH(NM24,LISTES!$C$105:$C$109,0))=12,NN24/12*L24,NN24/365*M24),NO24*NL24)))</f>
        <v>0</v>
      </c>
      <c r="NQ24" s="504">
        <f t="shared" si="333"/>
        <v>538.25809655172418</v>
      </c>
      <c r="NR24" s="505">
        <f>IF(A24=FALSE,"",NQ24*Cotations!$CR$4)</f>
        <v>538.25809655172418</v>
      </c>
      <c r="NS24" s="505">
        <f>IF(A24=FALSE,"",NQ24*Cotations!$CS$4)</f>
        <v>0</v>
      </c>
      <c r="NT24" s="506" t="str">
        <f t="shared" si="334"/>
        <v>EUR</v>
      </c>
      <c r="NU24" s="919">
        <f>IF(A24=FALSE,"",((NG24*TAXE)-(NG24*TAXE*NI24))+IF(NM24="N/A",0,IF(INDEX(LISTES!$F$105:$F$109,MATCH(NM24,LISTES!$C$105:$C$109,0))="FIX",NN24,NO24*NL24)))</f>
        <v>538.25809655172418</v>
      </c>
      <c r="OA24" s="492" t="str">
        <f>IF(A24=FALSE,"",Cotations!D24)</f>
        <v>PROP</v>
      </c>
      <c r="OB24" s="491" t="str">
        <f>IF(A24=FALSE,"",IF(LISTES!$A$17=1,Cotations!CH24,Cotations!CI24))</f>
        <v>2016EURAnker Verzekeringen n.v.-Permanent Disability illness</v>
      </c>
      <c r="OC24" s="285" t="str">
        <f t="shared" si="335"/>
        <v>Anker Verzekeringen n.v.</v>
      </c>
      <c r="OD24" s="300"/>
      <c r="OE24" s="461">
        <f t="shared" si="336"/>
        <v>2.0537931034482759E-3</v>
      </c>
      <c r="OF24" s="490">
        <f>IF(A24=FALSE,"",IF(OA24="POEA",Cotations!CK24,IF(OA24="FIXE",Cotations!CL24,IF(Cotations!CM24*Y24&lt;50000,Z24,Cotations!CM24*Y24))))</f>
        <v>252000</v>
      </c>
      <c r="OG24" s="300">
        <f t="shared" si="337"/>
        <v>517.55586206896555</v>
      </c>
      <c r="OH24" s="522">
        <f>IF(A24=FALSE,"",IF(Cotations!CJ24="monthly",OG24/12*L24,OG24/365*M24))</f>
        <v>517.55586206896555</v>
      </c>
      <c r="OI24" s="489">
        <f>IF(A24=FALSE,"",IF(Cotations!CN24="","",Cotations!CN24))</f>
        <v>0</v>
      </c>
      <c r="OJ24" s="300">
        <f t="shared" si="338"/>
        <v>0</v>
      </c>
      <c r="OK24" s="300">
        <f t="shared" si="339"/>
        <v>517.55586206896555</v>
      </c>
      <c r="OL24" s="919">
        <f t="shared" si="340"/>
        <v>538.25809655172418</v>
      </c>
      <c r="OM24" s="517" t="str">
        <f>IF(A24=FALSE,"",Cotations!CO24)</f>
        <v>N/A</v>
      </c>
      <c r="ON24" s="515">
        <f>IF(A24=FALSE,"",Cotations!CP24)</f>
        <v>0</v>
      </c>
      <c r="OO24" s="493">
        <f>IF(A24=FALSE,"",Cotations!CQ24)</f>
        <v>0</v>
      </c>
      <c r="OP24" s="517">
        <f>IF(A24=FALSE,"",IF(OM24="N/A",0,IF(INDEX(LISTES!$F$105:$F$109,MATCH(OM24,LISTES!$C$105:$C$109,0))="FIX",IF(INDEX(LISTES!$E$105:$E$109,MATCH(OM24,LISTES!$C$105:$C$109,0))=12,ON24/12*L24,ON24/365*M24),OO24*OL24)))</f>
        <v>0</v>
      </c>
      <c r="OQ24" s="294">
        <f t="shared" si="341"/>
        <v>538.25809655172418</v>
      </c>
      <c r="OR24" s="494">
        <f>IF(A24=FALSE,"",OQ24*Cotations!CR24)</f>
        <v>538.25809655172418</v>
      </c>
      <c r="OS24" s="494">
        <f>IF(A24=FALSE,"",OQ24*Cotations!CS24)</f>
        <v>0</v>
      </c>
      <c r="OT24" s="338" t="str">
        <f t="shared" si="342"/>
        <v>EUR</v>
      </c>
      <c r="OU24" s="919">
        <f>IF(A24=FALSE,"",((OG24*TAXE)-(OG24*TAXE*OI24))+IF(OM24="N/A",0,IF(INDEX(LISTES!$F$105:$F$109,MATCH(OM24,LISTES!$C$105:$C$109,0))="FIX",ON24,OO24*OL24)))</f>
        <v>538.25809655172418</v>
      </c>
      <c r="PA24" s="497" t="str">
        <f t="shared" si="343"/>
        <v>PROP</v>
      </c>
      <c r="PB24" s="498" t="str">
        <f>IF(A24=FALSE,"",IF(LISTES!$A$17=1,Cotations!CT24,Cotations!$CU$4))</f>
        <v>2016EURAnker Verzekeringen n.v.-Temporary Disability Accident (100%/7/365D)</v>
      </c>
      <c r="PC24" s="499" t="str">
        <f t="shared" si="344"/>
        <v>Anker Verzekeringen n.v.</v>
      </c>
      <c r="PD24" s="499">
        <f t="shared" si="345"/>
        <v>0</v>
      </c>
      <c r="PE24" s="500">
        <f t="shared" si="346"/>
        <v>8.1144827586206898E-3</v>
      </c>
      <c r="PF24" s="501">
        <f>IF(A24=FALSE,"",Cotations!$CY$4*Y24)</f>
        <v>84000</v>
      </c>
      <c r="PG24" s="502">
        <f t="shared" si="347"/>
        <v>681.61655172413793</v>
      </c>
      <c r="PH24" s="520">
        <f>IF(A24=FALSE,"",IF(Cotations!$CV$4="monthly",PG24/12*L24,PG24/365*M24))</f>
        <v>681.61655172413793</v>
      </c>
      <c r="PI24" s="503">
        <f>IF(A24=FALSE,"",Cotations!$CZ$4)</f>
        <v>0</v>
      </c>
      <c r="PJ24" s="502">
        <f t="shared" si="348"/>
        <v>0</v>
      </c>
      <c r="PK24" s="502">
        <f t="shared" si="349"/>
        <v>681.61655172413793</v>
      </c>
      <c r="PL24" s="504">
        <f t="shared" si="350"/>
        <v>708.88121379310348</v>
      </c>
      <c r="PM24" s="505" t="str">
        <f>IF(A24=FALSE,"",Cotations!$DA$4)</f>
        <v>N/A</v>
      </c>
      <c r="PN24" s="520">
        <f>IF(A24=FALSE,"",Cotations!$DB$4)</f>
        <v>0</v>
      </c>
      <c r="PO24" s="503">
        <f>IF(A24=FALSE,"",Cotations!$DC$4)</f>
        <v>0.1</v>
      </c>
      <c r="PP24" s="505">
        <f>IF(A24=FALSE,"",IF(PM24="N/A",0,IF(INDEX(LISTES!$F$105:$F$109,MATCH(PM24,LISTES!$C$105:$C$109,0))="FIX",IF(INDEX(LISTES!$E$105:$E$109,MATCH(PM24,LISTES!$C$105:$C$109,0))=12,PN24/12*L24,PN24/365*M24),PO24*PL24)))</f>
        <v>0</v>
      </c>
      <c r="PQ24" s="504">
        <f t="shared" si="351"/>
        <v>708.88121379310348</v>
      </c>
      <c r="PR24" s="505">
        <f>IF(A24=FALSE,"",PQ24*Cotations!$DD$4)</f>
        <v>708.88121379310348</v>
      </c>
      <c r="PS24" s="505">
        <f>IF(A24=FALSE,"",PQ24*Cotations!$DE$4)</f>
        <v>0</v>
      </c>
      <c r="PT24" s="506" t="str">
        <f t="shared" si="352"/>
        <v>EUR</v>
      </c>
      <c r="PU24" s="919">
        <f>IF(A24=FALSE,"",((PG24*TAXE)-(PG24*TAXE*PI24))+IF(PM24="N/A",0,IF(INDEX(LISTES!$F$105:$F$109,MATCH(PM24,LISTES!$C$105:$C$109,0))="FIX",PN24,PO24*PL24)))</f>
        <v>708.88121379310348</v>
      </c>
      <c r="QA24" s="492" t="str">
        <f t="shared" si="353"/>
        <v>PROP</v>
      </c>
      <c r="QB24" s="491" t="str">
        <f>IF(A24=FALSE,"",IF(LISTES!$A$17=1,Cotations!CT24,Cotations!CU24))</f>
        <v>2016EURAnker Verzekeringen n.v.-Temporary Disability Accident (100%/7/365D)</v>
      </c>
      <c r="QC24" s="285" t="str">
        <f t="shared" si="354"/>
        <v>Anker Verzekeringen n.v.</v>
      </c>
      <c r="QD24" s="300"/>
      <c r="QE24" s="461">
        <f t="shared" si="355"/>
        <v>8.1144827586206898E-3</v>
      </c>
      <c r="QF24" s="490">
        <f>IF(A24=FALSE,"",Cotations!CY24*AA24)</f>
        <v>84000</v>
      </c>
      <c r="QG24" s="300">
        <f t="shared" si="356"/>
        <v>681.61655172413793</v>
      </c>
      <c r="QH24" s="522">
        <f>IF(A24=FALSE,"",IF(Cotations!CV24="monthly",QG24/12*L24,QG24/365*M24))</f>
        <v>681.61655172413793</v>
      </c>
      <c r="QI24" s="489">
        <f>IF(A24=FALSE,"",IF(Cotations!CZ24="","",Cotations!CZ24))</f>
        <v>0</v>
      </c>
      <c r="QJ24" s="300">
        <f t="shared" si="357"/>
        <v>0</v>
      </c>
      <c r="QK24" s="300">
        <f t="shared" si="358"/>
        <v>681.61655172413793</v>
      </c>
      <c r="QL24" s="919">
        <f t="shared" si="359"/>
        <v>708.88121379310348</v>
      </c>
      <c r="QM24" s="517" t="str">
        <f>IF(A24=FALSE,"",Cotations!DA24)</f>
        <v>N/A</v>
      </c>
      <c r="QN24" s="515">
        <f>IF(A24=FALSE,"",Cotations!DB24)</f>
        <v>40</v>
      </c>
      <c r="QO24" s="493">
        <f>IF(A24=FALSE,"",Cotations!DC24)</f>
        <v>0.1</v>
      </c>
      <c r="QP24" s="517">
        <f>IF(A24=FALSE,"",IF(QM24="N/A",0,IF(INDEX(LISTES!$F$105:$F$109,MATCH(QM24,LISTES!$C$105:$C$109,0))="FIX",IF(INDEX(LISTES!$E$105:$E$109,MATCH(QM24,LISTES!$C$105:$C$109,0))=12,QN24/12*L24,QN24/365*M24),QO24*QL24)))</f>
        <v>0</v>
      </c>
      <c r="QQ24" s="294">
        <f t="shared" si="360"/>
        <v>708.88121379310348</v>
      </c>
      <c r="QR24" s="494">
        <f>IF(A24=FALSE,"",QQ24*Cotations!DD24)</f>
        <v>708.88121379310348</v>
      </c>
      <c r="QS24" s="494">
        <f>IF(A24=FALSE,"",QQ24*Cotations!DE24)</f>
        <v>0</v>
      </c>
      <c r="QT24" s="338" t="str">
        <f t="shared" si="361"/>
        <v>EUR</v>
      </c>
      <c r="QU24" s="919">
        <f>IF(A24=FALSE,"",((QG24*TAXE)-(QG24*TAXE*QI24))+IF(QM24="N/A",0,IF(INDEX(LISTES!$F$105:$F$109,MATCH(QM24,LISTES!$C$105:$C$109,0))="FIX",QN24,QO24*QL24)))</f>
        <v>708.88121379310348</v>
      </c>
      <c r="RA24" s="497" t="str">
        <f t="shared" si="362"/>
        <v>PROP</v>
      </c>
      <c r="RB24" s="498" t="str">
        <f>IF(A24=FALSE,"",IF(LISTES!$A$17=1,Cotations!DF24,Cotations!$DG$4))</f>
        <v>2016EURAnker Verzekeringen n.v.-Temporary Disability illness (100%/7/365D)</v>
      </c>
      <c r="RC24" s="499" t="str">
        <f t="shared" si="363"/>
        <v>Anker Verzekeringen n.v.</v>
      </c>
      <c r="RD24" s="499">
        <f t="shared" si="364"/>
        <v>0</v>
      </c>
      <c r="RE24" s="500">
        <f t="shared" si="365"/>
        <v>1.6216551724137933E-2</v>
      </c>
      <c r="RF24" s="501">
        <f>IF(A24=FALSE,"",Cotations!$DK$4*Y24)</f>
        <v>84000</v>
      </c>
      <c r="RG24" s="502">
        <f t="shared" si="366"/>
        <v>1362.1903448275864</v>
      </c>
      <c r="RH24" s="520">
        <f>IF(A24=FALSE,"",IF(Cotations!$DH$4="monthly",RG24/12*L24,RG24/365*M24))</f>
        <v>1362.1903448275864</v>
      </c>
      <c r="RI24" s="503">
        <f>IF(A24=FALSE,"",Cotations!$DL$4)</f>
        <v>0</v>
      </c>
      <c r="RJ24" s="502">
        <f t="shared" si="367"/>
        <v>0</v>
      </c>
      <c r="RK24" s="502">
        <f t="shared" si="368"/>
        <v>1362.1903448275864</v>
      </c>
      <c r="RL24" s="504">
        <f t="shared" si="369"/>
        <v>1416.6779586206899</v>
      </c>
      <c r="RM24" s="505" t="str">
        <f>IF(A24=FALSE,"",Cotations!$DM$4)</f>
        <v>N/A</v>
      </c>
      <c r="RN24" s="520">
        <f>IF(A24=FALSE,"",Cotations!$DN$4)</f>
        <v>0</v>
      </c>
      <c r="RO24" s="503">
        <f>IF(A24=FALSE,"",Cotations!$DO$4)</f>
        <v>0.1</v>
      </c>
      <c r="RP24" s="505">
        <f>IF(A24=FALSE,"",IF(RM24="N/A",0,IF(INDEX(LISTES!$F$105:$F$109,MATCH(RM24,LISTES!$C$105:$C$109,0))="FIX",IF(INDEX(LISTES!$E$105:$E$109,MATCH(RM24,LISTES!$C$105:$C$109,0))=12,RN24/12*L24,RN24/365*M24),RO24*RL24)))</f>
        <v>0</v>
      </c>
      <c r="RQ24" s="504">
        <f t="shared" si="370"/>
        <v>1416.6779586206899</v>
      </c>
      <c r="RR24" s="505">
        <f>IF(A24=FALSE,"",RQ24*Cotations!$DP$4)</f>
        <v>1416.6779586206899</v>
      </c>
      <c r="RS24" s="505">
        <f>IF(A24=FALSE,"",RQ24*Cotations!$DQ$4)</f>
        <v>0</v>
      </c>
      <c r="RT24" s="506" t="str">
        <f t="shared" si="371"/>
        <v>EUR</v>
      </c>
      <c r="RU24" s="919">
        <f>IF(A24=FALSE,"",((RG24*TAXE)-(RG24*TAXE*RI24))+IF(RM24="N/A",0,IF(INDEX(LISTES!$F$105:$F$109,MATCH(RM24,LISTES!$C$105:$C$109,0))="FIX",RN24,RO24*RL24)))</f>
        <v>1416.6779586206899</v>
      </c>
      <c r="SA24" s="492" t="str">
        <f t="shared" si="372"/>
        <v>PROP</v>
      </c>
      <c r="SB24" s="491" t="str">
        <f>IF(A24=FALSE,"",IF(LISTES!$A$17=1,Cotations!DF24,Cotations!DG24))</f>
        <v>2016EURAnker Verzekeringen n.v.-Temporary Disability illness (100%/7/365D)</v>
      </c>
      <c r="SC24" s="285" t="str">
        <f t="shared" si="373"/>
        <v>Anker Verzekeringen n.v.</v>
      </c>
      <c r="SD24" s="300"/>
      <c r="SE24" s="461">
        <f t="shared" si="374"/>
        <v>1.6216551724137933E-2</v>
      </c>
      <c r="SF24" s="490">
        <f>IF(A24=FALSE,"",Cotations!DK24*AA24)</f>
        <v>84000</v>
      </c>
      <c r="SG24" s="300">
        <f t="shared" si="375"/>
        <v>1362.1903448275864</v>
      </c>
      <c r="SH24" s="522">
        <f>IF(A24=FALSE,"",IF(Cotations!DH24="monthly",SG24/12*L24,SG24/365*M24))</f>
        <v>1362.1903448275864</v>
      </c>
      <c r="SI24" s="489">
        <f>IF(A24=FALSE,"",IF(Cotations!DL24="","",Cotations!DL24))</f>
        <v>0</v>
      </c>
      <c r="SJ24" s="300">
        <f t="shared" si="376"/>
        <v>0</v>
      </c>
      <c r="SK24" s="300">
        <f t="shared" si="377"/>
        <v>1362.1903448275864</v>
      </c>
      <c r="SL24" s="919">
        <f t="shared" si="378"/>
        <v>1416.6779586206899</v>
      </c>
      <c r="SM24" s="285" t="str">
        <f>IF(A24=FALSE,"",Cotations!DM24)</f>
        <v>N/A</v>
      </c>
      <c r="SN24" s="515">
        <f>IF(A24=FALSE,"",Cotations!DN24)</f>
        <v>40</v>
      </c>
      <c r="SO24" s="493">
        <f>IF(A24=FALSE,"",Cotations!DO24)</f>
        <v>0.1</v>
      </c>
      <c r="SP24" s="517">
        <f>IF(A24=FALSE,"",IF(SM24="N/A",0,IF(INDEX(LISTES!$F$105:$F$109,MATCH(SM24,LISTES!$C$105:$C$109,0))="FIX",IF(INDEX(LISTES!$E$105:$E$109,MATCH(SM24,LISTES!$C$105:$C$109,0))=12,SN24/12*L24,SN24/365*M24),SO24*SL24)))</f>
        <v>0</v>
      </c>
      <c r="SQ24" s="294">
        <f t="shared" si="379"/>
        <v>1416.6779586206899</v>
      </c>
      <c r="SR24" s="494">
        <f>IF(A24=FALSE,"",SQ24*Cotations!DP24)</f>
        <v>1416.6779586206899</v>
      </c>
      <c r="SS24" s="494">
        <f>IF(A24=FALSE,"",SQ24*Cotations!DQ24)</f>
        <v>0</v>
      </c>
      <c r="ST24" s="338" t="str">
        <f t="shared" si="380"/>
        <v>EUR</v>
      </c>
      <c r="SU24" s="919">
        <f>IF(A24=FALSE,"",((SG24*TAXE)-(SG24*TAXE*SI24))+IF(SM24="N/A",0,IF(INDEX(LISTES!$F$105:$F$109,MATCH(SM24,LISTES!$C$105:$C$109,0))="FIX",SN24,SO24*SL24)))</f>
        <v>1416.6779586206899</v>
      </c>
      <c r="SY24" s="716"/>
      <c r="TA24" s="492" t="str">
        <f>IF(A24=FALSE,"",Cotations!D24)</f>
        <v>PROP</v>
      </c>
      <c r="TB24" s="491" t="str">
        <f>IF(A24=FALSE,"",IF(LISTES!$A$17=1,Cotations!DR24,Cotations!DS24))</f>
        <v>N/A</v>
      </c>
      <c r="TC24" s="285" t="str">
        <f t="shared" si="381"/>
        <v>N/A</v>
      </c>
      <c r="TD24" s="300">
        <f>IF(A24=FALSE,"",Detail!CQ24)</f>
        <v>0</v>
      </c>
      <c r="TE24" s="461" t="str">
        <f t="shared" si="382"/>
        <v/>
      </c>
      <c r="TF24" s="490">
        <f>IF(A24=FALSE,"",IF(TA24="FIXE",Cotations!DU24,Cotations!DV24*Y24))</f>
        <v>168000</v>
      </c>
      <c r="TG24" s="300">
        <f t="shared" si="383"/>
        <v>0</v>
      </c>
      <c r="TH24" s="522">
        <f>IF(A24=FALSE,"",IF(Cotations!DT24="monthly",TG24/12*L24,TG24/365*M24))</f>
        <v>0</v>
      </c>
      <c r="TI24" s="489">
        <f>IF(A24=FALSE,"",IF(Cotations!DW24="","",Cotations!DW24))</f>
        <v>0</v>
      </c>
      <c r="TJ24" s="300">
        <f t="shared" si="384"/>
        <v>0</v>
      </c>
      <c r="TK24" s="300">
        <f t="shared" si="385"/>
        <v>0</v>
      </c>
      <c r="TL24" s="919">
        <f t="shared" si="386"/>
        <v>0</v>
      </c>
      <c r="TM24" s="517" t="str">
        <f>IF(A24=FALSE,"",Cotations!DX24)</f>
        <v>N/A</v>
      </c>
      <c r="TN24" s="517">
        <f>IF(A24=FALSE,"",Cotations!DY24)</f>
        <v>0</v>
      </c>
      <c r="TO24" s="493">
        <f>IF(A24=FALSE,"",Cotations!DZ24)</f>
        <v>0</v>
      </c>
      <c r="TP24" s="517">
        <f>IF(A24=FALSE,"",IF(TM24="N/A",0,IF(INDEX(LISTES!$F$105:$F$109,MATCH(TM24,LISTES!$C$105:$C$109,0))="FIX",IF(INDEX(LISTES!$E$105:$E$109,MATCH(TM24,LISTES!$C$105:$C$109,0))=12,TN24/12*L24,TN24/365*M24),TO24*TL24)))</f>
        <v>0</v>
      </c>
      <c r="TQ24" s="294">
        <f t="shared" si="387"/>
        <v>0</v>
      </c>
      <c r="TR24" s="494">
        <f>IF(A24=FALSE,"",TQ24*Cotations!EA24)</f>
        <v>0</v>
      </c>
      <c r="TS24" s="494">
        <f>IF(A24=FALSE,"",TQ24*Cotations!EB24)</f>
        <v>0</v>
      </c>
      <c r="TT24" s="338">
        <f t="shared" si="388"/>
        <v>0</v>
      </c>
      <c r="TU24" s="919">
        <f>IF(A24=FALSE,"",((TG24*(1+TAXE)-(TG24*(1+TAXE)*TI24))+IF(TM24="N/A",0,IF(INDEX(LISTES!$F$105:$F$109,MATCH(TM24,LISTES!$C$105:$C$109,0))="FIX",TN24,TO24*TL24))))</f>
        <v>0</v>
      </c>
      <c r="UA24" s="492" t="str">
        <f>IF(A24=FALSE,"",Cotations!D24)</f>
        <v>PROP</v>
      </c>
      <c r="UB24" s="491" t="str">
        <f>IF(A24=FALSE,"",IF(LISTES!$A$17=1,Cotations!EC24,Cotations!ED24))</f>
        <v>N/A</v>
      </c>
      <c r="UC24" s="285" t="str">
        <f t="shared" si="389"/>
        <v>N/A</v>
      </c>
      <c r="UD24" s="300">
        <f>IF(A24=FALSE,"",Detail!CY24)</f>
        <v>0</v>
      </c>
      <c r="UE24" s="461" t="str">
        <f t="shared" si="390"/>
        <v/>
      </c>
      <c r="UF24" s="490">
        <f>IF(A24=FALSE,"",IF(UA24="FIXE",Cotations!EF24,Cotations!EG24*Y24))</f>
        <v>168000</v>
      </c>
      <c r="UG24" s="300">
        <f t="shared" si="391"/>
        <v>0</v>
      </c>
      <c r="UH24" s="522">
        <f>IF(A24=FALSE,"",IF(Cotations!EE24="monthly",UG24/12*L24,UG24/365*M24))</f>
        <v>0</v>
      </c>
      <c r="UI24" s="489">
        <f>IF(A24=FALSE,"",IF(Cotations!EH24="","",Cotations!EH24))</f>
        <v>0</v>
      </c>
      <c r="UJ24" s="300">
        <f t="shared" si="392"/>
        <v>0</v>
      </c>
      <c r="UK24" s="300">
        <f t="shared" si="393"/>
        <v>0</v>
      </c>
      <c r="UL24" s="919">
        <f t="shared" si="394"/>
        <v>0</v>
      </c>
      <c r="UM24" s="517" t="str">
        <f>IF(A24=FALSE,"",Cotations!EI24)</f>
        <v>N/A</v>
      </c>
      <c r="UN24" s="517">
        <f>IF(A24=FALSE,"",Cotations!EJ24)</f>
        <v>0</v>
      </c>
      <c r="UO24" s="493">
        <f>IF(A24=FALSE,"",Cotations!EK24)</f>
        <v>0</v>
      </c>
      <c r="UP24" s="517">
        <f>IF(A24=FALSE,"",IF(UM24="N/A",0,IF(INDEX(LISTES!$F$105:$F$109,MATCH(UM24,LISTES!$C$105:$C$109,0))="FIX",IF(INDEX(LISTES!$E$105:$E$109,MATCH(UM24,LISTES!$C$105:$C$109,0))=12,UN24/12*L24,UN24/365*M24),UO24*UL24)))</f>
        <v>0</v>
      </c>
      <c r="UQ24" s="294">
        <f t="shared" si="395"/>
        <v>0</v>
      </c>
      <c r="UR24" s="494">
        <f>IF(A24=FALSE,"",UQ24*Cotations!EL24)</f>
        <v>0</v>
      </c>
      <c r="US24" s="494">
        <f>IF(A24=FALSE,"",UQ24*Cotations!EM24)</f>
        <v>0</v>
      </c>
      <c r="UT24" s="338">
        <f t="shared" si="396"/>
        <v>0</v>
      </c>
      <c r="UU24" s="919">
        <f>IF(A24=FALSE,"",((UG24*(1+TAXE)-(UG24*(1+TAXE)*UI24))+IF(UM24="N/A",0,IF(INDEX(LISTES!$F$105:$F$109,MATCH(UM24,LISTES!$C$105:$C$109,0))="FIX",UN24,UO24*UL24))))</f>
        <v>0</v>
      </c>
      <c r="VA24" s="492" t="str">
        <f>IF(A24=FALSE,"",Cotations!D24)</f>
        <v>PROP</v>
      </c>
      <c r="VB24" s="519" t="str">
        <f>IF(A24=FALSE,"",IF(LISTES!$A$17=1,Cotations!EN24,Cotations!EO24))</f>
        <v>N/A</v>
      </c>
      <c r="VC24" s="291" t="str">
        <f t="shared" si="397"/>
        <v>N/A</v>
      </c>
      <c r="VD24" s="291">
        <f t="shared" si="398"/>
        <v>0</v>
      </c>
      <c r="VE24" s="291"/>
      <c r="VF24" s="463"/>
      <c r="VG24" s="463" t="str">
        <f t="shared" si="399"/>
        <v/>
      </c>
      <c r="VH24" s="522" t="e">
        <f>IF(A24=FALSE,"",IF(Cotations!$AQ$4="monthly",VG24/12*L24,VG24/365*M24))</f>
        <v>#VALUE!</v>
      </c>
      <c r="VI24" s="489">
        <f>IF(A24=FALSE,"",Cotations!$AR$4)</f>
        <v>0</v>
      </c>
      <c r="VJ24" s="300" t="e">
        <f t="shared" si="400"/>
        <v>#VALUE!</v>
      </c>
      <c r="VK24" s="300" t="e">
        <f t="shared" si="401"/>
        <v>#VALUE!</v>
      </c>
      <c r="VL24" s="294" t="e">
        <f t="shared" si="402"/>
        <v>#VALUE!</v>
      </c>
      <c r="VM24" s="494" t="str">
        <f>IF(A24=FALSE,"",Cotations!$AS$4)</f>
        <v>N/A</v>
      </c>
      <c r="VN24" s="494">
        <f>IF(A24=FALSE,"",Cotations!$AT$4)</f>
        <v>0</v>
      </c>
      <c r="VO24" s="489">
        <f>IF(A24=FALSE,"",Cotations!$AU$4)</f>
        <v>0</v>
      </c>
      <c r="VP24" s="494">
        <f>IF(A24=FALSE,"",IF(VM24="N/A",0,IF(INDEX(LISTES!$F$105:$F$109,MATCH(VM24,LISTES!$C$105:$C$109,0))="FIX",IF(INDEX(LISTES!$E$105:$E$109,MATCH(VM24,LISTES!$C$105:$C$109,0))=12,VN24/12*L24,VN24/365*M24),VO24*VL24)))</f>
        <v>0</v>
      </c>
      <c r="VQ24" s="294" t="e">
        <f t="shared" si="403"/>
        <v>#VALUE!</v>
      </c>
      <c r="VR24" s="494" t="e">
        <f>IF(A24=FALSE,"",VQ24*Cotations!$AV$4)</f>
        <v>#VALUE!</v>
      </c>
      <c r="VS24" s="494" t="e">
        <f>IF(A24=FALSE,"",VQ24*Cotations!$AW$4)</f>
        <v>#VALUE!</v>
      </c>
      <c r="VT24" s="465">
        <f t="shared" si="404"/>
        <v>0</v>
      </c>
      <c r="VU24" s="919" t="e">
        <f>IF(A24=FALSE,"",((VG24*TAXE)-(VG24*TAXE*VI24))+IF(VM24="N/A",0,IF(INDEX(LISTES!$F$105:$F$109,MATCH(VM24,LISTES!$C$105:$C$109,0))="FIX",VN24,VO24*VL24)))</f>
        <v>#VALUE!</v>
      </c>
      <c r="WA24" s="492" t="str">
        <f>IF(A24=FALSE,"",Cotations!D24)</f>
        <v>PROP</v>
      </c>
      <c r="WB24" s="519" t="str">
        <f>IF(A24=FALSE,"",IF(LISTES!$A$17=1,Cotations!EW24,Cotations!EX24))</f>
        <v>N/A</v>
      </c>
      <c r="WC24" s="291" t="str">
        <f t="shared" si="405"/>
        <v>N/A</v>
      </c>
      <c r="WD24" s="291">
        <f t="shared" si="406"/>
        <v>0</v>
      </c>
      <c r="WE24" s="291"/>
      <c r="WF24" s="463"/>
      <c r="WG24" s="463" t="str">
        <f t="shared" si="407"/>
        <v/>
      </c>
      <c r="WH24" s="522" t="e">
        <f>IF(A24=FALSE,"",IF(Cotations!$AQ$4="monthly",WG24/12*L24,WG24/365*M24))</f>
        <v>#VALUE!</v>
      </c>
      <c r="WI24" s="489">
        <f>IF(A24=FALSE,"",Cotations!$AR$4)</f>
        <v>0</v>
      </c>
      <c r="WJ24" s="300" t="e">
        <f t="shared" si="408"/>
        <v>#VALUE!</v>
      </c>
      <c r="WK24" s="300" t="e">
        <f t="shared" si="409"/>
        <v>#VALUE!</v>
      </c>
      <c r="WL24" s="294" t="e">
        <f t="shared" si="410"/>
        <v>#VALUE!</v>
      </c>
      <c r="WM24" s="494" t="str">
        <f>IF(A24=FALSE,"",Cotations!$AS$4)</f>
        <v>N/A</v>
      </c>
      <c r="WN24" s="494">
        <f>IF(A24=FALSE,"",Cotations!$AT$4)</f>
        <v>0</v>
      </c>
      <c r="WO24" s="489">
        <f>IF(A24=FALSE,"",Cotations!$AU$4)</f>
        <v>0</v>
      </c>
      <c r="WP24" s="494">
        <f>IF(A24=FALSE,"",IF(WM24="N/A",0,IF(INDEX(LISTES!$F$105:$F$109,MATCH(WM24,LISTES!$C$105:$C$109,0))="FIX",IF(INDEX(LISTES!$E$105:$E$109,MATCH(WM24,LISTES!$C$105:$C$109,0))=12,WN24/12*L24,WN24/365*M24),WO24*WL24)))</f>
        <v>0</v>
      </c>
      <c r="WQ24" s="294" t="e">
        <f t="shared" si="411"/>
        <v>#VALUE!</v>
      </c>
      <c r="WR24" s="494" t="e">
        <f>IF(A24=FALSE,"",WQ24*Cotations!$AV$4)</f>
        <v>#VALUE!</v>
      </c>
      <c r="WS24" s="494" t="e">
        <f>IF(A24=FALSE,"",WQ24*Cotations!$AW$4)</f>
        <v>#VALUE!</v>
      </c>
      <c r="WT24" s="465">
        <f t="shared" si="412"/>
        <v>0</v>
      </c>
      <c r="WU24" s="919" t="e">
        <f>IF(A24=FALSE,"",((WG24*TAXE)-(WG24*TAXE*WI24))+IF(WM24="N/A",0,IF(INDEX(LISTES!$F$105:$F$109,MATCH(WM24,LISTES!$C$105:$C$109,0))="FIX",WN24,WO24*WL24)))</f>
        <v>#VALUE!</v>
      </c>
    </row>
    <row r="25" spans="1:619" s="1398" customFormat="1">
      <c r="A25" s="1400" t="b">
        <f t="shared" si="221"/>
        <v>0</v>
      </c>
      <c r="B25" s="1400" t="b">
        <f>IF(NAMES!$B$9=TRUE,TRUE,FALSE)</f>
        <v>1</v>
      </c>
      <c r="C25" s="1400" t="b">
        <f t="shared" si="413"/>
        <v>0</v>
      </c>
      <c r="D25" s="1400" t="b">
        <f t="shared" si="414"/>
        <v>0</v>
      </c>
      <c r="E25" s="1400" t="b">
        <f>IF(Cotations!C25="","",Cotations!C25)</f>
        <v>0</v>
      </c>
      <c r="F25" s="1400" t="str">
        <f>IF(Cotations!D25="","",Cotations!D25)</f>
        <v>PROP</v>
      </c>
      <c r="G25" s="1400" t="str">
        <f>IF(Cotations!E25="","",Cotations!E25)</f>
        <v>2016-2017!</v>
      </c>
      <c r="H25" s="1400" t="str">
        <f>IF(Cotations!F25="","",Cotations!F25)</f>
        <v>SINGLE</v>
      </c>
      <c r="I25" s="1400" t="str">
        <f>IF(Cotations!G25="","",Cotations!G25)</f>
        <v/>
      </c>
      <c r="J25" s="1400" t="str">
        <f>IF(Cotations!H25="","",Cotations!H25)</f>
        <v/>
      </c>
      <c r="K25" s="1400" t="str">
        <f>IF(Cotations!I25="","",Cotations!I25)</f>
        <v/>
      </c>
      <c r="L25" s="1400" t="str">
        <f>IF(A25=FALSE,"",IF(Cotations!N25="","",Cotations!N25))</f>
        <v/>
      </c>
      <c r="M25" s="1400" t="str">
        <f>IF(Cotations!P25="","",Cotations!P25)</f>
        <v/>
      </c>
      <c r="N25" s="1355" t="str">
        <f>IF(NAMES!$B$10=TRUE,Cotations!J25,Cotations!L25)</f>
        <v/>
      </c>
      <c r="O25" s="1355" t="str">
        <f>IF(NAMES!$B$10=TRUE,Cotations!K25,Cotations!M25)</f>
        <v/>
      </c>
      <c r="P25" s="1355" t="str">
        <f t="shared" si="415"/>
        <v/>
      </c>
      <c r="Q25" s="1355" t="str">
        <f>IF(A25=FALSE,"",IF(Crewlist!Y25="","",Crewlist!Y25))</f>
        <v/>
      </c>
      <c r="R25" s="758" t="str">
        <f>IF(Cotations!U25="","",Cotations!U25)</f>
        <v/>
      </c>
      <c r="S25" s="1355" t="str">
        <f t="shared" si="416"/>
        <v/>
      </c>
      <c r="T25" s="919" t="str">
        <f>IF(A25=FALSE,"",VLOOKUP($U$15:$U$120,Currency!$A$2:$D$10,4,0)*Crewlist!N25)</f>
        <v/>
      </c>
      <c r="U25" s="1355" t="str">
        <f>IF(A25=FALSE,"",IF(IT25=0,Crewlist!M25&amp;"/"&amp;EX25,Crewlist!M25&amp;"/"&amp;IT25))</f>
        <v/>
      </c>
      <c r="V25" s="919" t="str">
        <f>IF(A25=FALSE,"",VLOOKUP($U$15:$U$120,Currency!$A$2:$D$10,4,0)*Detail!Q25)</f>
        <v/>
      </c>
      <c r="W25" s="1355" t="str">
        <f>IF(A25=FALSE,"",IF(IT25=0,Detail!R25&amp;"/"&amp;EX25,Detail!R25&amp;"/"&amp;IT25))</f>
        <v/>
      </c>
      <c r="X25" s="919" t="str">
        <f>IF(A25=FALSE,"",IF(LISTES!$C$17="Crewlist",Calcul!T25,Calcul!V25))</f>
        <v/>
      </c>
      <c r="Y25" s="758" t="str">
        <f t="shared" si="417"/>
        <v/>
      </c>
      <c r="Z25" s="758" t="str">
        <f>IF(A25=FALSE,"",IF(X25=0,0,IF((Cotations!BC25*12*X25)&lt;50000,50000,(12*X25))))</f>
        <v/>
      </c>
      <c r="AA25" s="758" t="str">
        <f t="shared" si="418"/>
        <v/>
      </c>
      <c r="AB25" s="758" t="str">
        <f>IF(A25=FALSE,"",IF(Crewlist!O25=0,"",Crewlist!O25))</f>
        <v/>
      </c>
      <c r="AC25" s="758" t="str">
        <f>IF(I25="","",VLOOKUP($AB$15:$AB$120,Currency!$A$15:$B$34,2,0))</f>
        <v/>
      </c>
      <c r="AD25" s="758" t="str">
        <f t="shared" si="419"/>
        <v/>
      </c>
      <c r="AE25" s="758" t="str">
        <f t="shared" si="420"/>
        <v/>
      </c>
      <c r="AF25" s="758" t="str">
        <f t="shared" si="421"/>
        <v/>
      </c>
      <c r="AG25" s="758" t="str">
        <f t="shared" si="422"/>
        <v/>
      </c>
      <c r="AH25" s="1355" t="str">
        <f t="shared" si="222"/>
        <v/>
      </c>
      <c r="AI25" s="919" t="str">
        <f t="shared" si="423"/>
        <v/>
      </c>
      <c r="AJ25" s="1382" t="str">
        <f t="shared" si="424"/>
        <v/>
      </c>
      <c r="AK25" s="1382" t="str">
        <f t="shared" si="425"/>
        <v/>
      </c>
      <c r="AL25" s="238" t="str">
        <f t="shared" si="223"/>
        <v/>
      </c>
      <c r="AM25" s="238" t="str">
        <f t="shared" si="224"/>
        <v/>
      </c>
      <c r="AN25" s="1374" t="str">
        <f t="shared" si="225"/>
        <v/>
      </c>
      <c r="AO25" s="238" t="str">
        <f t="shared" si="226"/>
        <v/>
      </c>
      <c r="AP25" s="342" t="str">
        <f>IF(A25=FALSE,"",INDEX(Rates!$Z$5:$Z$367,MATCH(EB25,colchoice,0)))</f>
        <v/>
      </c>
      <c r="AQ25" s="238" t="str">
        <f t="shared" si="227"/>
        <v/>
      </c>
      <c r="AR25" s="238" t="str">
        <f t="shared" si="426"/>
        <v/>
      </c>
      <c r="AS25" s="238" t="str">
        <f t="shared" si="427"/>
        <v/>
      </c>
      <c r="AT25" s="238" t="str">
        <f t="shared" si="428"/>
        <v/>
      </c>
      <c r="AU25" s="238" t="str">
        <f t="shared" si="228"/>
        <v/>
      </c>
      <c r="AV25" s="238" t="str">
        <f t="shared" si="429"/>
        <v/>
      </c>
      <c r="AW25" s="238" t="str">
        <f t="shared" si="229"/>
        <v/>
      </c>
      <c r="AX25" s="238" t="str">
        <f t="shared" si="230"/>
        <v/>
      </c>
      <c r="AY25" s="238" t="str">
        <f t="shared" si="231"/>
        <v/>
      </c>
      <c r="AZ25" s="238" t="str">
        <f t="shared" si="232"/>
        <v/>
      </c>
      <c r="BA25" s="238" t="str">
        <f t="shared" si="233"/>
        <v/>
      </c>
      <c r="BB25" s="552" t="str">
        <f t="shared" si="234"/>
        <v/>
      </c>
      <c r="BC25" s="347" t="str">
        <f t="shared" si="235"/>
        <v/>
      </c>
      <c r="BD25" s="239" t="str">
        <f t="shared" si="430"/>
        <v/>
      </c>
      <c r="BE25" s="239" t="str">
        <f>IF(A25=FALSE,"",IF(ALLTHESAME=TRUE,IF(DF25&lt;&gt;$BC$7,0,INDEX(DD25:DZ25,1,MATCH(Structure!$D$12,$DD$14:$DZ$14,0))),IF(EC25&lt;&gt;$BC$7,0,INDEX(EA25:EZ25,1,MATCH(Structure!$D$12,$EA$14:$EZ$14,0)))))</f>
        <v/>
      </c>
      <c r="BF25" s="239" t="str">
        <f>IF(A25=FALSE,"",IF(ALLTHESAME=TRUE,IF(FC25&lt;&gt;$BC$7,0,INDEX(FA25:FZ25,1,MATCH(Structure!$D$12,$FA$14:$FZ$14,0))),IF(GC25&lt;&gt;$BC$7,0,INDEX(GA25:GZ25,1,MATCH(Structure!$D$12,$GA$14:$GZ$14,0)))))</f>
        <v/>
      </c>
      <c r="BG25" s="239" t="str">
        <f>IF(A25=FALSE,"",IF(ALLTHESAME=TRUE,IF(VC25&lt;&gt;$BC$7,0,INDEX(VA25:VZ25,1,MATCH(Structure!$D$12,$VA$14:$VZ$14,0))),IF(VC25&lt;&gt;$BC$7,0,INDEX(VA25:VZ25,1,MATCH(Structure!$D$12,$VA$14:$VZ$14,0)))))</f>
        <v/>
      </c>
      <c r="BH25" s="239" t="str">
        <f>IF(A25=FALSE,"",IF(ALLTHESAME=TRUE,IF(WC25&lt;&gt;$BC$7,0,INDEX(WA25:WY25,1,MATCH(Structure!$D$12,$WA$14:$WZ$14,0))),IF(WC25&lt;&gt;$BC$7,0,INDEX(WA25:WZ25,1,MATCH(Structure!$D$12,$WA$14:$WZ$14,0)))))</f>
        <v/>
      </c>
      <c r="BI25" s="239" t="str">
        <f>IF(A25=FALSE,"",IF(ALLTHESAME=TRUE,IF(HC25&lt;&gt;$BC$7,0,INDEX(HA25:HZ25,1,MATCH(Structure!$D$12,$HA$14:$HZ$14,0)))+TK25,IF(IC25&lt;&gt;$BC$7,0,INDEX(IA25:IZ25,1,MATCH(Structure!$D$12,$IA$14:$IZ$14,0)))+TK25))</f>
        <v/>
      </c>
      <c r="BJ25" s="239" t="str">
        <f>IF(A25=FALSE,"",IF(ALLTHESAME=TRUE,IF(JC25&lt;&gt;$BC$7,0,INDEX(JA25:JZ25,1,MATCH(Structure!$D$12,$JA$14:$JZ$14,0))),IF(KC25&lt;&gt;$BC$7,0,INDEX(KA25:KZ25,1,MATCH(Structure!$D$12,$KA$14:$KZ$14,0)))))</f>
        <v/>
      </c>
      <c r="BK25" s="239" t="str">
        <f>IF(A25=FALSE,"",IF(ALLTHESAME=TRUE,IF(LC25&lt;&gt;$BC$7,0,INDEX(LA25:LZ25,1,MATCH(Structure!$D$12,$LA$14:$LZ$14,0)))+UK25,IF(MC25&lt;&gt;$BC$7,0,INDEX(MA25:MZ25,1,MATCH(Structure!$D$12,$MA$14:$MZ$14,0)))+UK25))</f>
        <v/>
      </c>
      <c r="BL25" s="239" t="str">
        <f>IF(A25=FALSE,"",IF(ALLTHESAME=TRUE,IF(NC25&lt;&gt;$BC$7,0,INDEX(NA25:NZ25,1,MATCH(Structure!$D$12,$NA$14:$NZ$14,0))),IF(OC25&lt;&gt;$BC$7,0,INDEX(OA25:OZ25,1,MATCH(Structure!$D$12,$OA$14:$OZ$14,0)))))</f>
        <v/>
      </c>
      <c r="BM25" s="239" t="str">
        <f>IF(A25=FALSE,"",IF(ALLTHESAME=TRUE,IF(PC25&lt;&gt;$BC$7,0,INDEX(PA25:PZ25,1,MATCH(Structure!$D$12,$PA$14:$PZ$14,0))),IF(QC25&lt;&gt;$BC$7,0,INDEX(QA25:QZ25,1,MATCH(Structure!$D$12,$QA$14:$QZ$14,0)))))</f>
        <v/>
      </c>
      <c r="BN25" s="341" t="str">
        <f>IF(A25=FALSE,"",IF(ALLTHESAME=TRUE,IF(RC25&lt;&gt;$BC$7,0,INDEX(RA25:RZ25,1,MATCH(Structure!$D$12,$RA$14:$RZ$14,0))),IF(SC25&lt;&gt;$BC$7,0,INDEX(SA25:TA25,1,MATCH(Structure!$D$12,$SA$14:$TA$14,0)))))</f>
        <v/>
      </c>
      <c r="BO25" s="507" t="str">
        <f t="shared" si="236"/>
        <v/>
      </c>
      <c r="BP25" s="239" t="str">
        <f t="shared" si="237"/>
        <v/>
      </c>
      <c r="BQ25" s="239" t="str">
        <f>IF(A25=FALSE,"",IF(ALLTHESAME=TRUE,IF(DF25&lt;&gt;$BO$7,0,INDEX(DD25:DZ25,1,MATCH(Structure!$D$12,$DD$14:$DZ$14,0))),IF(EC25&lt;&gt;$BO$7,0,INDEX(EA25:EZ25,1,MATCH(Structure!$D$12,$EA$14:$EZ$14,0)))))</f>
        <v/>
      </c>
      <c r="BR25" s="239" t="str">
        <f>IF(A25=FALSE,"",IF(ALLTHESAME=TRUE,IF(FC25&lt;&gt;$BO$7,0,INDEX(FA25:FZ25,1,MATCH(Structure!$D$12,$FA$14:$FZ$14,0))),IF(GC25&lt;&gt;$BO$7,0,INDEX(GA25:GZ25,1,MATCH(Structure!$D$12,$GA$14:$GZ$14,0)))))</f>
        <v/>
      </c>
      <c r="BS25" s="239" t="str">
        <f>IF(A25=FALSE,"",IF(ALLTHESAME=TRUE,IF(HC25&lt;&gt;$BO$7,0,INDEX(HA25:HZ25,1,MATCH(Structure!$D$12,$HA$14:$HZ$14,0))),IF(IC25&lt;&gt;$BO$7,0,INDEX(IA25:IZ25,1,MATCH(Structure!$D$12,$IA$14:$IZ$14,0)))))</f>
        <v/>
      </c>
      <c r="BT25" s="239" t="str">
        <f>IF(A25=FALSE,"",IF(ALLTHESAME=TRUE,IF(JC25&lt;&gt;$BO$7,0,INDEX(JA25:JZ25,1,MATCH(Structure!$D$12,$JA$14:$JZ$14,0))),IF(KC25&lt;&gt;$BO$7,0,INDEX(KA25:KZ25,1,MATCH(Structure!$D$12,$KA$14:$KZ$14,0)))))</f>
        <v/>
      </c>
      <c r="BU25" s="239" t="str">
        <f>IF(A25=FALSE,"",IF(ALLTHESAME=TRUE,IF(LC25&lt;&gt;$BO$7,0,INDEX(LA25:LZ25,1,MATCH(Structure!$D$12,$LA$14:$LZ$14,0))),IF(MC25&lt;&gt;$BO$7,0,INDEX(MA25:MZ25,1,MATCH(Structure!$D$12,$MA$14:$MZ$14,0)))))</f>
        <v/>
      </c>
      <c r="BV25" s="239" t="str">
        <f>IF(A25=FALSE,"",IF(ALLTHESAME=TRUE,IF(NC25&lt;&gt;$BO$7,0,INDEX(NA25:NZ25,1,MATCH(Structure!$D$12,$NA$14:$NZ$14,0))),IF(OC25&lt;&gt;$BO$7,0,INDEX(OA25:OZ25,1,MATCH(Structure!$D$12,$OA$14:$OZ$14,0)))))</f>
        <v/>
      </c>
      <c r="BW25" s="239" t="str">
        <f>IF(A25=FALSE,"",IF(ALLTHESAME=TRUE,IF(PC25&lt;&gt;$BO$7,0,INDEX(PA25:PZ25,1,MATCH(Structure!$D$12,$PA$14:$PZ$14,0))),IF(QC25&lt;&gt;$BO$7,0,INDEX(QA25:QZ25,1,MATCH(Structure!$D$12,$QA$14:$QZ$14,0)))))</f>
        <v/>
      </c>
      <c r="BX25" s="341" t="str">
        <f>IF(A25=FALSE,"",IF(ALLTHESAME=TRUE,IF(RC25&lt;&gt;$BO$7,0,INDEX(RA25:RZ25,1,MATCH(Structure!$D$12,$RA$14:$RZ$14,0))),IF(SC25&lt;&gt;$BO$7,0,INDEX(SA25:TA25,1,MATCH(Structure!$D$12,$SA$14:$TA$14,0)))))</f>
        <v/>
      </c>
      <c r="BY25" s="347" t="str">
        <f t="shared" si="238"/>
        <v/>
      </c>
      <c r="BZ25" s="507" t="str">
        <f t="shared" si="239"/>
        <v/>
      </c>
      <c r="CA25" s="239" t="str">
        <f t="shared" si="240"/>
        <v/>
      </c>
      <c r="CB25" s="239" t="str">
        <f>IF(A25=FALSE,"",IF(ALLTHESAME=TRUE,INDEX(DD25:DZ25,MATCH(DF25,DF25:DF130,0),MATCH(Structure!$D$17,$DD$14:$DZ$14,0)),INDEX(EA25:EZ25,MATCH(EC25,EC25:EC130,0),MATCH(Structure!$D$17,$EA$14:$EZ$14,0))))</f>
        <v/>
      </c>
      <c r="CC25" s="239" t="str">
        <f>IF(A25=FALSE,"",IF(ALLTHESAME=TRUE,INDEX(FA25:FZ25,MATCH(FC25,FC25:FC130,0),MATCH(Structure!$D$17,$FA$14:$FZ$14,0)),INDEX(GA25:GZ25,MATCH(GC25,GC25:GC130,0),MATCH(Structure!$D$17,$GA$14:$GZ$14,0))))</f>
        <v/>
      </c>
      <c r="CD25" s="239" t="str">
        <f>IF(A25=FALSE,"",IF(ALLTHESAME=TRUE,INDEX(HA25:HZ25,MATCH(HC25,HC25:HC130,0),MATCH(Structure!$D$17,$HA$14:$HZ$14,0)),INDEX(IA25:IZ25,MATCH(IC25,IC25:IC130,0),MATCH(Structure!$D$17,$IA$14:$IZ$14,0))))</f>
        <v/>
      </c>
      <c r="CE25" s="239" t="str">
        <f>IF(A25=FALSE,"",IF(ALLTHESAME=TRUE,INDEX(JA25:JZ25,MATCH(JC25,JC25:JC130,0),MATCH(Structure!$D$17,$JA$14:$JZ$14,0)),INDEX(KA25:KZ25,MATCH(KC25,KC25:KC130,0),MATCH(Structure!$D$17,$KA$14:$KZ$14,0))))</f>
        <v/>
      </c>
      <c r="CF25" s="239" t="str">
        <f>IF(A25=FALSE,"",IF(ALLTHESAME=TRUE,INDEX(LA25:LZ25,MATCH(LC25,LC25:LC130,0),MATCH(Structure!$D$17,$LA$14:$LZ$14,0)),INDEX(MA25:MZ25,MATCH(MC25,MC25:MC130,0),MATCH(Structure!$D$17,$MA$14:$MZ$14,0))))</f>
        <v/>
      </c>
      <c r="CG25" s="239" t="str">
        <f>IF(A25=FALSE,"",IF(ALLTHESAME=TRUE,INDEX(NA25:NZ25,MATCH(NC25,NC25:NC130,0),MATCH(Structure!$D$17,$NA$14:$NZ$14,0)),INDEX(OA25:OZ25,MATCH(OC25,OC25:OC130,0),MATCH(Structure!$D$17,$OA$14:$OZ$14,0))))</f>
        <v/>
      </c>
      <c r="CH25" s="239" t="str">
        <f>IF(A25=FALSE,"",IF(ALLTHESAME=TRUE,INDEX(PA25:PZ25,MATCH(PC25,PC25:PC130,0),MATCH(Structure!$D$17,$PA$14:$PZ$14,0)),INDEX(QA25:QZ25,MATCH(QC25,QC25:QC130,0),MATCH(Structure!$D$17,$QA$14:$QZ$14,0))))</f>
        <v/>
      </c>
      <c r="CI25" s="341" t="str">
        <f>IF(A25=FALSE,"",IF(ALLTHESAME=TRUE,INDEX(RA25:RZ25,MATCH(RC25,RC25:RC130,0),MATCH(Structure!$D$17,$RA$14:$RZ$14,0)),INDEX(SA25:TC25,MATCH(SC25,SC25:SC130,0),MATCH(Structure!$D$17,$SA$14:$TC$14,0))))</f>
        <v/>
      </c>
      <c r="CJ25" s="347"/>
      <c r="CK25" s="239" t="str">
        <f t="shared" si="241"/>
        <v/>
      </c>
      <c r="CL25" s="239" t="str">
        <f>IF(A25=FALSE,"",IF(ALLTHESAME=TRUE,INDEX(DD25:DZ25,MATCH(DF25,DF25:DF130,0),MATCH(Structure!$D$22,$DD$14:$DZ$14,0)),INDEX(EA25:EZ25,MATCH(EC25,EC25:EC130,0),MATCH(Structure!$D$22,$EA$14:$EZ$14,0))))</f>
        <v/>
      </c>
      <c r="CM25" s="239" t="str">
        <f>IF(A25=FALSE,"",IF(ALLTHESAME=TRUE,INDEX(FA25:FZ25,MATCH(FC25,FC25:FC130,0),MATCH(Structure!$D$22,$FA$14:$FZ$14,0)),INDEX(GA25:GZ25,MATCH(GC25,GC25:GC130,0),MATCH(Structure!$D$22,$GA$14:$GZ$14,0))))</f>
        <v/>
      </c>
      <c r="CN25" s="239" t="str">
        <f>IF(A25=FALSE,"",IF(ALLTHESAME=TRUE,INDEX(HA25:HZ25,MATCH(HC25,HC25:HC130,0),MATCH(Structure!$D$22,$HA$14:$HZ$14,0)),INDEX(IA25:IZ25,MATCH(IC25,IC25:IC130,0),MATCH(Structure!$D$22,$IA$14:$IZ$14,0))))</f>
        <v/>
      </c>
      <c r="CO25" s="239" t="str">
        <f>IF(A25=FALSE,"",IF(ALLTHESAME=TRUE,INDEX(JA25:JZ25,MATCH(JC25,JC25:JC130,0),MATCH(Structure!$D$22,$JA$14:$JZ$14,0)),INDEX(KA25:KZ25,MATCH(KC25,KC25:KC130,0),MATCH(Structure!$D$22,$KA$14:$KZ$14,0))))</f>
        <v/>
      </c>
      <c r="CP25" s="239" t="str">
        <f>IF(A25=FALSE,"",IF(ALLTHESAME=TRUE,INDEX(LA25:LZ25,MATCH(LC25,LC25:LC130,0),MATCH(Structure!$D$22,$LA$14:$LZ$14,0)),INDEX(MA25:MZ25,MATCH(MC25,MC25:MC130,0),MATCH(Structure!$D$22,$MA$14:$MZ$14,0))))</f>
        <v/>
      </c>
      <c r="CQ25" s="239" t="str">
        <f>IF(A25=FALSE,"",IF(ALLTHESAME=TRUE,INDEX(NA25:NZ25,MATCH(NC25,NC25:NC130,0),MATCH(Structure!$D$22,$NA$14:$NZ$14,0)),INDEX(OA25:OZ25,MATCH(OC25,OC25:OC130,0),MATCH(Structure!$D$22,$OA$14:$OZ$14,0))))</f>
        <v/>
      </c>
      <c r="CR25" s="239" t="str">
        <f>IF(A25=FALSE,"",IF(ALLTHESAME=TRUE,INDEX(PA25:PZ25,MATCH(PC25,PC25:PC130,0),MATCH(Structure!$D$22,$PA$14:$PZ$14,0)),INDEX(QA25:QZ25,MATCH(QC25,QC25:QC130,0),MATCH(Structure!$D$22,$QA$14:$QZ$14,0))))</f>
        <v/>
      </c>
      <c r="CS25" s="341" t="str">
        <f>IF(A25=FALSE,"",IF(ALLTHESAME=TRUE,INDEX(RA25:RZ25,MATCH(RC25,RC25:RC130,0),MATCH(Structure!$D$22,$RA$14:$RZ$14,0)),INDEX(SA25:TC25,MATCH(SC25,SC25:SC130,0),MATCH(Structure!$D$22,$SA$14:$TC$14,0))))</f>
        <v/>
      </c>
      <c r="CT25" s="347"/>
      <c r="CU25" s="239" t="str">
        <f t="shared" si="242"/>
        <v/>
      </c>
      <c r="CV25" s="239" t="str">
        <f>IF(A25=FALSE,"",IF(ALLTHESAME=TRUE,INDEX(DD25:DZ25,MATCH(DF25,DF25:DF130,0),MATCH(Structure!$D$8,$DD$14:$DZ$14,0)),INDEX(EA25:EZ25,MATCH(EC25,EC25:EC130,0),MATCH(Structure!$D$8,$EA$14:$EZ$14,0))))</f>
        <v/>
      </c>
      <c r="CW25" s="239" t="str">
        <f>IF(A25=FALSE,"",IF(ALLTHESAME=TRUE,INDEX(FA25:FZ25,MATCH(FC25,FC25:FC130,0),MATCH(Structure!$D$8,$FA$14:$FZ$14,0)),INDEX(GA25:GZ25,MATCH(GC25,GC25:GC130,0),MATCH(Structure!$D$8,$GA$14:$GZ$14,0))))</f>
        <v/>
      </c>
      <c r="CX25" s="239" t="str">
        <f>IF(A25=FALSE,"",IF(ALLTHESAME=TRUE,INDEX(HA25:HZ25,MATCH(HC25,HC25:HC130,0),MATCH(Structure!$D$8,$HA$14:$HZ$14,0)),INDEX(IA25:IZ25,MATCH(IC25,IC25:IC130,0),MATCH(Structure!$D$8,$IA$14:$IZ$14,0))))</f>
        <v/>
      </c>
      <c r="CY25" s="239" t="str">
        <f>IF(A25=FALSE,"",IF(ALLTHESAME=TRUE,INDEX(JA25:JZ25,MATCH(JC25,JC25:JC130,0),MATCH(Structure!$D$8,$JA$14:$JZ$14,0)),INDEX(KA25:KZ25,MATCH(KC25,KC25:KC130,0),MATCH(Structure!$D$8,$KA$14:$KZ$14,0))))</f>
        <v/>
      </c>
      <c r="CZ25" s="239" t="str">
        <f>IF(A25=FALSE,"",IF(ALLTHESAME=TRUE,INDEX(LA25:LZ25,MATCH(LC25,LC25:LC130,0),MATCH(Structure!$D$8,$LA$14:$LZ$14,0)),INDEX(MA25:MZ25,MATCH(MC25,MC25:MC130,0),MATCH(Structure!$D$8,$MA$14:$MZ$14,0))))</f>
        <v/>
      </c>
      <c r="DA25" s="239" t="str">
        <f>IF(A25=FALSE,"",IF(ALLTHESAME=TRUE,INDEX(NA25:NZ25,MATCH(NC25,NC25:NC130,0),MATCH(Structure!$D$8,$NA$14:$NZ$14,0)),INDEX(OA25:OZ25,MATCH(OC25,OC25:OC130,0),MATCH(Structure!$D$8,$OA$14:$OZ$14,0))))</f>
        <v/>
      </c>
      <c r="DB25" s="239" t="str">
        <f>IF(A25=FALSE,"",IF(ALLTHESAME=TRUE,INDEX(PA25:PZ25,MATCH(PC25,PC25:PC130,0),MATCH(Structure!$D$8,$PA$14:$PZ$14,0)),INDEX(QA25:QZ25,MATCH(QC25,QC25:QC130,0),MATCH(Structure!$D$8,$QA$14:$QZ$14,0))))</f>
        <v/>
      </c>
      <c r="DC25" s="341" t="str">
        <f>IF(A25=FALSE,"",IF(ALLTHESAME=TRUE,INDEX(RA25:RZ25,MATCH(RC25,RC25:RC130,0),MATCH(Structure!$D$8,$RA$14:$RZ$14,0)),INDEX(SA25:TC25,MATCH(SC25,SC25:SC130,0),MATCH(Structure!$D$8,$SA$14:$TC$14,0))))</f>
        <v/>
      </c>
      <c r="DD25" s="966" t="str">
        <f>IF(A25=FALSE,"",Cotations!D25)</f>
        <v/>
      </c>
      <c r="DE25" s="966" t="str">
        <f>IF(A25=FALSE,"",IF(LISTES!$A$17=1,Cotations!AF25,Cotations!$AG$4))</f>
        <v/>
      </c>
      <c r="DF25" s="291" t="str">
        <f t="shared" si="431"/>
        <v/>
      </c>
      <c r="DG25" s="291" t="str">
        <f t="shared" si="243"/>
        <v/>
      </c>
      <c r="DH25" s="291"/>
      <c r="DI25" s="463"/>
      <c r="DJ25" s="463" t="str">
        <f t="shared" si="244"/>
        <v/>
      </c>
      <c r="DK25" s="300" t="str">
        <f>IF(A25=FALSE,"",IF(Cotations!$AH$4="monthly",DJ25/12*L25,DJ25/365*M25))</f>
        <v/>
      </c>
      <c r="DL25" s="453" t="str">
        <f>IF(A25=FALSE,"",Cotations!$AI$4)</f>
        <v/>
      </c>
      <c r="DM25" s="300" t="str">
        <f t="shared" si="245"/>
        <v/>
      </c>
      <c r="DN25" s="300" t="str">
        <f t="shared" si="246"/>
        <v/>
      </c>
      <c r="DO25" s="294" t="str">
        <f t="shared" si="247"/>
        <v/>
      </c>
      <c r="DP25" s="294" t="str">
        <f>IF(A25=FALSE,"",Cotations!$AJ$4)</f>
        <v/>
      </c>
      <c r="DQ25" s="294" t="str">
        <f>IF(A25=FALSE,"",Cotations!$AK$4)</f>
        <v/>
      </c>
      <c r="DR25" s="453" t="str">
        <f>IF(A25=FALSE,"",Cotations!$AL$4)</f>
        <v/>
      </c>
      <c r="DS25" s="294" t="str">
        <f>IF(A25=FALSE,"",IF(DP25="N/A",0,IF(INDEX(LISTES!$F$105:$F$109,MATCH(DP25,LISTES!$C$105:$C$109,0))="FIX",IF(INDEX(LISTES!$E$105:$E$109,MATCH(DP25,LISTES!$C$105:$C$109,0))=12,DQ25/12*L25,DQ25/365*M25),DR25*DO25)))</f>
        <v/>
      </c>
      <c r="DT25" s="294" t="str">
        <f t="shared" si="248"/>
        <v/>
      </c>
      <c r="DU25" s="294" t="str">
        <f>IF(A25=FALSE,"",DT25*Cotations!$AM$4)</f>
        <v/>
      </c>
      <c r="DV25" s="294" t="str">
        <f>IF(A25=FALSE,"",DT25*Cotations!$AN$4)</f>
        <v/>
      </c>
      <c r="DW25" s="465" t="str">
        <f t="shared" si="249"/>
        <v/>
      </c>
      <c r="DX25" s="919" t="str">
        <f>IF(A25=FALSE,"",((DJ25*TAXE)-(DJ25*TAXE*DL25))+IF(DP25="N/A",0,IF(INDEX(LISTES!$F$105:$F$109,MATCH(DP25,LISTES!$C$105:$C$109,0))="FIX",DQ25,DR25*DO25)))</f>
        <v/>
      </c>
      <c r="DY25" s="466"/>
      <c r="DZ25" s="466"/>
      <c r="EA25" s="966" t="str">
        <f>IF(A25=FALSE,"",Cotations!D25)</f>
        <v/>
      </c>
      <c r="EB25" s="294" t="str">
        <f>IF(A25=FALSE,"",IF(LISTES!$A$17=1,Cotations!AF25,Cotations!AG25))</f>
        <v/>
      </c>
      <c r="EC25" s="284" t="str">
        <f t="shared" si="250"/>
        <v/>
      </c>
      <c r="ED25" s="284" t="str">
        <f t="shared" si="251"/>
        <v/>
      </c>
      <c r="EE25" s="284"/>
      <c r="EF25" s="284"/>
      <c r="EG25" s="284" t="str">
        <f t="shared" si="252"/>
        <v/>
      </c>
      <c r="EH25" s="1365" t="str">
        <f t="shared" si="253"/>
        <v/>
      </c>
      <c r="EI25" s="1365" t="str">
        <f t="shared" si="254"/>
        <v/>
      </c>
      <c r="EJ25" s="284" t="str">
        <f>IF(A25=FALSE,"",IF(Cotations!AH25="monthly",EG25/12*L25,EG25/365*M25))</f>
        <v/>
      </c>
      <c r="EK25" s="1365" t="str">
        <f>IF(A25=FALSE,"",IF(Cotations!AH25="monthly",EI25/12*L25,EI25/365*M25))</f>
        <v/>
      </c>
      <c r="EL25" s="665" t="str">
        <f>IF(A25=FALSE,"",IF(Cotations!AI25="","",Cotations!AI25))</f>
        <v/>
      </c>
      <c r="EM25" s="284" t="str">
        <f t="shared" si="255"/>
        <v/>
      </c>
      <c r="EN25" s="284" t="str">
        <f t="shared" si="256"/>
        <v/>
      </c>
      <c r="EO25" s="1365" t="str">
        <f t="shared" si="432"/>
        <v/>
      </c>
      <c r="EP25" s="284" t="str">
        <f t="shared" si="257"/>
        <v/>
      </c>
      <c r="EQ25" s="284" t="str">
        <f>IF(A25=FALSE,"",Cotations!AJ25)</f>
        <v/>
      </c>
      <c r="ER25" s="284" t="str">
        <f>IF(A25=FALSE,"",IF(Cotations!AK25="","",Cotations!AK25))</f>
        <v/>
      </c>
      <c r="ES25" s="665" t="str">
        <f>IF(A25=FALSE,"",Cotations!AL25)</f>
        <v/>
      </c>
      <c r="ET25" s="284" t="str">
        <f>IF(A25=FALSE,"",IF(EQ25="N/A",0,IF(INDEX(LISTES!$F$105:$F$109,MATCH(EQ25,LISTES!$C$105:$C$109,0))="FIX",IF(INDEX(LISTES!$E$105:$E$109,MATCH(EQ25,LISTES!$C$105:$C$109,0))=12,ER25/12*L25,ER25/365*M25),ES25*EP25)))</f>
        <v/>
      </c>
      <c r="EU25" s="294" t="str">
        <f t="shared" si="258"/>
        <v/>
      </c>
      <c r="EV25" s="294" t="str">
        <f>IF(A25=FALSE,"",EU25*Cotations!AM25)</f>
        <v/>
      </c>
      <c r="EW25" s="294" t="str">
        <f>IF(A25=FALSE,"",EU25*Cotations!AN25)</f>
        <v/>
      </c>
      <c r="EX25" s="334" t="str">
        <f t="shared" si="259"/>
        <v/>
      </c>
      <c r="EY25" s="919" t="str">
        <f>IF(A25=FALSE,"",((EG25*TAXE)-(EG25*TAXE*EL25)+EH25)+IF(EQ25="N/A",0,IF(INDEX(LISTES!$F$105:$F$109,MATCH(EQ25,LISTES!$C$105:$C$109,0))="FIX",ER25,ES25*EP25)))</f>
        <v/>
      </c>
      <c r="FA25" s="966" t="str">
        <f>IF(A25=FALSE,"",Cotations!D25)</f>
        <v/>
      </c>
      <c r="FB25" s="479" t="str">
        <f>IF(A25=FALSE,"",IF(LISTES!$A$17=1,Cotations!AO25,Cotations!$AP$4))</f>
        <v/>
      </c>
      <c r="FC25" s="291" t="str">
        <f t="shared" si="260"/>
        <v/>
      </c>
      <c r="FD25" s="291" t="str">
        <f t="shared" si="261"/>
        <v/>
      </c>
      <c r="FE25" s="291"/>
      <c r="FF25" s="463"/>
      <c r="FG25" s="463" t="str">
        <f t="shared" si="262"/>
        <v/>
      </c>
      <c r="FH25" s="300" t="str">
        <f>IF(A25=FALSE,"",IF(Cotations!$AQ$4="monthly",FG25/12*L25,FG25/365*M25))</f>
        <v/>
      </c>
      <c r="FI25" s="453" t="str">
        <f>IF(A25=FALSE,"",Cotations!$AR$4)</f>
        <v/>
      </c>
      <c r="FJ25" s="300" t="str">
        <f t="shared" si="263"/>
        <v/>
      </c>
      <c r="FK25" s="300" t="str">
        <f t="shared" si="264"/>
        <v/>
      </c>
      <c r="FL25" s="294" t="str">
        <f t="shared" si="265"/>
        <v/>
      </c>
      <c r="FM25" s="294" t="str">
        <f>IF(A25=FALSE,"",Cotations!$AS$4)</f>
        <v/>
      </c>
      <c r="FN25" s="294" t="str">
        <f>IF(A25=FALSE,"",Cotations!$AT$4)</f>
        <v/>
      </c>
      <c r="FO25" s="453" t="str">
        <f>IF(A25=FALSE,"",Cotations!$AU$4)</f>
        <v/>
      </c>
      <c r="FP25" s="294" t="str">
        <f>IF(A25=FALSE,"",IF(FM25="N/A",0,IF(INDEX(LISTES!$F$105:$F$109,MATCH(FM25,LISTES!$C$105:$C$109,0))="FIX",IF(INDEX(LISTES!$E$105:$E$109,MATCH(FM25,LISTES!$C$105:$C$109,0))=12,FN25/12*L25,FN25/365*M25),FO25*FL25)))</f>
        <v/>
      </c>
      <c r="FQ25" s="294" t="str">
        <f t="shared" si="266"/>
        <v/>
      </c>
      <c r="FR25" s="294" t="str">
        <f>IF(A25=FALSE,"",FQ25*Cotations!$AV$4)</f>
        <v/>
      </c>
      <c r="FS25" s="294" t="str">
        <f>IF(A25=FALSE,"",FQ25*Cotations!$AW$4)</f>
        <v/>
      </c>
      <c r="FT25" s="465" t="str">
        <f t="shared" si="267"/>
        <v/>
      </c>
      <c r="FU25" s="919" t="str">
        <f>IF(A25=FALSE,"",((FG25*TAXE)-(FG25*TAXE*FI25))+IF(FM25="N/A",0,IF(INDEX(LISTES!$F$105:$F$109,MATCH(FM25,LISTES!$C$105:$C$109,0))="FIX",FN25,FO25*FL25)))</f>
        <v/>
      </c>
      <c r="FV25" s="478"/>
      <c r="FW25" s="478"/>
      <c r="FX25" s="478"/>
      <c r="FY25" s="478"/>
      <c r="FZ25" s="478"/>
      <c r="GA25" s="966" t="str">
        <f>IF(A25=FALSE,"",Cotations!D25)</f>
        <v/>
      </c>
      <c r="GB25" s="294" t="str">
        <f>IF(A25=FALSE,"",IF(LISTES!$A$17=1,Cotations!AO25,Cotations!AP25))</f>
        <v/>
      </c>
      <c r="GC25" s="284" t="str">
        <f t="shared" si="268"/>
        <v/>
      </c>
      <c r="GD25" s="284" t="str">
        <f>IF(A25=FALSE,"",IF(Detail!AM25="","",Detail!AM25))</f>
        <v/>
      </c>
      <c r="GE25" s="284"/>
      <c r="GF25" s="284"/>
      <c r="GG25" s="284" t="str">
        <f t="shared" si="269"/>
        <v/>
      </c>
      <c r="GH25" s="284" t="str">
        <f>IF(A25=FALSE,"",IF(Cotations!AQ25="monthly",GG25/12*L25,GG25/365*M25))</f>
        <v/>
      </c>
      <c r="GI25" s="665" t="str">
        <f>IF(A25=FALSE,"",IF(Cotations!AR25="","",Cotations!AR25))</f>
        <v/>
      </c>
      <c r="GJ25" s="284" t="str">
        <f t="shared" si="270"/>
        <v/>
      </c>
      <c r="GK25" s="284" t="str">
        <f t="shared" si="271"/>
        <v/>
      </c>
      <c r="GL25" s="284" t="str">
        <f t="shared" si="272"/>
        <v/>
      </c>
      <c r="GM25" s="284" t="str">
        <f>IF(A25=FALSE,"",Cotations!AS25)</f>
        <v/>
      </c>
      <c r="GN25" s="284" t="str">
        <f>IF(A25=FALSE,"",Cotations!AT25)</f>
        <v/>
      </c>
      <c r="GO25" s="665" t="str">
        <f>IF(A25=FALSE,"",Cotations!AU25)</f>
        <v/>
      </c>
      <c r="GP25" s="284" t="str">
        <f>IF(A25=FALSE,"",IF(GM25="N/A",0,IF(INDEX(LISTES!$F$105:$F$109,MATCH(GM25,LISTES!$C$105:$C$109,0))="FIX",IF(INDEX(LISTES!$E$105:$E$109,MATCH(GM25,LISTES!$C$105:$C$109,0))=12,GN25/12*L25,GN25/365*M25),GO25*GL25)))</f>
        <v/>
      </c>
      <c r="GQ25" s="294" t="str">
        <f t="shared" si="273"/>
        <v/>
      </c>
      <c r="GR25" s="294" t="str">
        <f>IF(A25=FALSE,"",GQ25*Cotations!AV25)</f>
        <v/>
      </c>
      <c r="GS25" s="294" t="str">
        <f>IF(A25=FALSE,"",GQ25*Cotations!AW25)</f>
        <v/>
      </c>
      <c r="GT25" s="334" t="str">
        <f t="shared" si="274"/>
        <v/>
      </c>
      <c r="GU25" s="919" t="str">
        <f>IF(A25=FALSE,"",((GG25*TAXE)-(GG25*TAXE*GI25))+IF(GM25="N/A",0,IF(INDEX(LISTES!$F$105:$F$109,MATCH(GM25,LISTES!$C$105:$C$109,0))="FIX",GN25,GO25*GL25)))</f>
        <v/>
      </c>
      <c r="GV25" s="478"/>
      <c r="GW25" s="466"/>
      <c r="GX25" s="466"/>
      <c r="GY25" s="466"/>
      <c r="GZ25" s="466"/>
      <c r="HA25" s="966" t="str">
        <f>IF(A25=FALSE,"",Cotations!D25)</f>
        <v/>
      </c>
      <c r="HB25" s="978" t="str">
        <f>IF(A25=FALSE,"",IF(LISTES!$A$17=1,Cotations!AX25,Cotations!$AY$4))</f>
        <v/>
      </c>
      <c r="HC25" s="291" t="str">
        <f t="shared" si="275"/>
        <v/>
      </c>
      <c r="HD25" s="291" t="str">
        <f t="shared" si="276"/>
        <v/>
      </c>
      <c r="HE25" s="456" t="str">
        <f t="shared" si="277"/>
        <v/>
      </c>
      <c r="HF25" s="980" t="str">
        <f>IF(A25=FALSE,"",IF(HA25="POEA",Cotations!BA25,IF(HA25="FIXE",Cotations!$BA$4,Cotations!$BC$4*Y25)))</f>
        <v/>
      </c>
      <c r="HG25" s="300" t="str">
        <f t="shared" si="278"/>
        <v/>
      </c>
      <c r="HH25" s="300" t="str">
        <f>IF(A25=FALSE,"",IF(Cotations!$AZ$4="monthly",HG25/12*L25,HG25/365*M25))</f>
        <v/>
      </c>
      <c r="HI25" s="453" t="str">
        <f>IF(A25=FALSE,"",Cotations!$BD$4)</f>
        <v/>
      </c>
      <c r="HJ25" s="300" t="str">
        <f t="shared" si="279"/>
        <v/>
      </c>
      <c r="HK25" s="300" t="str">
        <f t="shared" si="280"/>
        <v/>
      </c>
      <c r="HL25" s="294" t="str">
        <f t="shared" si="281"/>
        <v/>
      </c>
      <c r="HM25" s="294" t="str">
        <f>IF(A25=FALSE,"",Cotations!$BE$4)</f>
        <v/>
      </c>
      <c r="HN25" s="300" t="str">
        <f>IF(A25=FALSE,"",Cotations!$BF$4)</f>
        <v/>
      </c>
      <c r="HO25" s="453" t="str">
        <f>IF(A25=FALSE,"",Cotations!$BG$4)</f>
        <v/>
      </c>
      <c r="HP25" s="294" t="str">
        <f>IF(A25=FALSE,"",IF(HM25="N/A",0,IF(INDEX(LISTES!$F$105:$F$109,MATCH(HM25,LISTES!$C$105:$C$109,0))="FIX",IF(INDEX(LISTES!$E$105:$E$109,MATCH(HM25,LISTES!$C$105:$C$109,0))=12,HN25/12*L25,HN25/365*M25),HO25*HL25)))</f>
        <v/>
      </c>
      <c r="HQ25" s="294" t="str">
        <f t="shared" si="282"/>
        <v/>
      </c>
      <c r="HR25" s="294" t="str">
        <f>IF(A25=FALSE,"",HQ25*Cotations!$BH$4)</f>
        <v/>
      </c>
      <c r="HS25" s="294" t="str">
        <f>IF(A25=FALSE,"",HQ25*Cotations!$BI$4)</f>
        <v/>
      </c>
      <c r="HT25" s="294" t="str">
        <f t="shared" si="283"/>
        <v/>
      </c>
      <c r="HU25" s="919" t="str">
        <f>IF(A25=FALSE,"",((HG25*TAXE)-(HG25*TAXE*HI25))+IF(HM25="N/A",0,IF(INDEX(LISTES!$F$105:$F$109,MATCH(HM25,LISTES!$C$105:$C$109,0))="FIX",HN25,HO25*HL25)))</f>
        <v/>
      </c>
      <c r="IA25" s="966" t="str">
        <f>IF(A25=FALSE,"",Cotations!D25)</f>
        <v/>
      </c>
      <c r="IB25" s="981" t="str">
        <f>IF(A25=FALSE,"",IF(LISTES!$A$17=1,Cotations!AX25,Cotations!AY25))</f>
        <v/>
      </c>
      <c r="IC25" s="919" t="str">
        <f t="shared" si="284"/>
        <v/>
      </c>
      <c r="ID25" s="300" t="str">
        <f>IF(A25=FALSE,"",IF(LISTES!$A$17=3,Detail!AU25,lig1_Formula_PREVOY))</f>
        <v/>
      </c>
      <c r="IE25" s="461" t="str">
        <f t="shared" si="285"/>
        <v/>
      </c>
      <c r="IF25" s="983" t="str">
        <f>IF(A25=FALSE,"",IF(IA25="POEA",Cotations!BA25,IF(HA25="FIXE",Cotations!BB25,IF(Cotations!BC25*Y25&lt;50000,Z25,Cotations!BC25*Y25))))</f>
        <v/>
      </c>
      <c r="IG25" s="300" t="str">
        <f t="shared" si="286"/>
        <v/>
      </c>
      <c r="IH25" s="300" t="str">
        <f>IF(A25=FALSE,"",IF(Cotations!AZ25="monthly",IG25/12*L25,IG25/365*M25))</f>
        <v/>
      </c>
      <c r="II25" s="453" t="str">
        <f>IF(A25=FALSE,"",IF(Cotations!BD25="","",Cotations!BD25))</f>
        <v/>
      </c>
      <c r="IJ25" s="300" t="str">
        <f t="shared" si="287"/>
        <v/>
      </c>
      <c r="IK25" s="300" t="str">
        <f t="shared" si="288"/>
        <v/>
      </c>
      <c r="IL25" s="919" t="str">
        <f t="shared" si="289"/>
        <v/>
      </c>
      <c r="IM25" s="919" t="str">
        <f>IF(A25=FALSE,"",Cotations!BE25)</f>
        <v/>
      </c>
      <c r="IN25" s="919" t="str">
        <f>IF(A25=FALSE,"",Cotations!BF25)</f>
        <v/>
      </c>
      <c r="IO25" s="665" t="str">
        <f>IF(A25=FALSE,"",Cotations!BG25)</f>
        <v/>
      </c>
      <c r="IP25" s="919" t="str">
        <f>IF(A25=FALSE,"",IF(IM25="N/A",0,IF(INDEX(LISTES!$F$105:$F$109,MATCH(IM25,LISTES!$C$105:$C$109,0))="FIX",IF(INDEX(LISTES!$E$105:$E$109,MATCH(IM25,LISTES!$C$105:$C$109,0))=12,IN25/12*L25,IN25/365*M25),IO25*IL25)))</f>
        <v/>
      </c>
      <c r="IQ25" s="294" t="str">
        <f t="shared" si="290"/>
        <v/>
      </c>
      <c r="IR25" s="294" t="str">
        <f>IF(A25=FALSE,"",IQ25*Cotations!BH25)</f>
        <v/>
      </c>
      <c r="IS25" s="294" t="str">
        <f>IF(A25=FALSE,"",IQ25*Cotations!BI25)</f>
        <v/>
      </c>
      <c r="IT25" s="338" t="str">
        <f t="shared" si="291"/>
        <v/>
      </c>
      <c r="IU25" s="919" t="str">
        <f>IF(A25=FALSE,"",((IG25*TAXE)-(IG25*TAXE*II25))+IF(IM25="N/A",0,IF(INDEX(LISTES!$F$105:$F$109,MATCH(IM25,LISTES!$C$105:$C$109,0))="FIX",IN25,IO25*IL25)))</f>
        <v/>
      </c>
      <c r="JA25" s="966" t="str">
        <f>IF(A25=FALSE,"",Cotations!D25)</f>
        <v/>
      </c>
      <c r="JB25" s="978" t="str">
        <f>IF(A25=FALSE,"",IF(LISTES!$A$17=1,Cotations!BJ25,Cotations!$BK$4))</f>
        <v/>
      </c>
      <c r="JC25" s="291" t="str">
        <f t="shared" si="292"/>
        <v/>
      </c>
      <c r="JD25" s="291" t="str">
        <f t="shared" si="293"/>
        <v/>
      </c>
      <c r="JE25" s="456" t="str">
        <f t="shared" si="294"/>
        <v/>
      </c>
      <c r="JF25" s="980" t="str">
        <f>IF(A25=FALSE,"",IF(JA25="POEA",Cotations!BM25,IF(JA25="FIXE",Cotations!$BM$4,Cotations!$BO$4*Y25)))</f>
        <v/>
      </c>
      <c r="JG25" s="300" t="str">
        <f t="shared" si="295"/>
        <v/>
      </c>
      <c r="JH25" s="300" t="str">
        <f>IF(A25=FALSE,"",IF(Cotations!$BL$4="monthly",JG25/12*L25,JG25/365*M25))</f>
        <v/>
      </c>
      <c r="JI25" s="453" t="str">
        <f>IF(A25=FALSE,"",Cotations!$BP$4)</f>
        <v/>
      </c>
      <c r="JJ25" s="300" t="str">
        <f t="shared" si="296"/>
        <v/>
      </c>
      <c r="JK25" s="300" t="str">
        <f t="shared" si="297"/>
        <v/>
      </c>
      <c r="JL25" s="294" t="str">
        <f t="shared" si="298"/>
        <v/>
      </c>
      <c r="JM25" s="294" t="str">
        <f>IF(A25=FALSE,"",Cotations!$BQ$4)</f>
        <v/>
      </c>
      <c r="JN25" s="300" t="str">
        <f>IF(A25=FALSE,"",Cotations!$BR$4)</f>
        <v/>
      </c>
      <c r="JO25" s="453" t="str">
        <f>IF(A25=FALSE,"",Cotations!$BS$4)</f>
        <v/>
      </c>
      <c r="JP25" s="294" t="str">
        <f>IF(A25=FALSE,"",IF(JM25="N/A",0,IF(INDEX(LISTES!$F$105:$F$109,MATCH(JM25,LISTES!$C$105:$C$109,0))="FIX",IF(INDEX(LISTES!$E$105:$E$109,MATCH(JM25,LISTES!$C$105:$C$109,0))=12,JN25/12*L25,JN25/365*M25),JO25*JL25)))</f>
        <v/>
      </c>
      <c r="JQ25" s="294" t="str">
        <f t="shared" si="299"/>
        <v/>
      </c>
      <c r="JR25" s="294" t="str">
        <f>IF(A25=FALSE,"",JQ25*Cotations!$BT$4)</f>
        <v/>
      </c>
      <c r="JS25" s="294" t="str">
        <f>IF(A25=FALSE,"",JQ25*Cotations!$BU$4)</f>
        <v/>
      </c>
      <c r="JT25" s="294" t="str">
        <f t="shared" si="300"/>
        <v/>
      </c>
      <c r="JU25" s="919" t="str">
        <f>IF(A25=FALSE,"",((JG25*TAXE)-(JG25*TAXE*JI25))+IF(JM25="N/A",0,IF(INDEX(LISTES!$F$105:$F$109,MATCH(JM25,LISTES!$C$105:$C$109,0))="FIX",JN25,JO25*JL25)))</f>
        <v/>
      </c>
      <c r="KA25" s="966" t="str">
        <f>IF(A25=FALSE,"",Cotations!D25)</f>
        <v/>
      </c>
      <c r="KB25" s="981" t="str">
        <f>IF(A25=FALSE,"",IF(LISTES!$A$17=1,Cotations!BJ25,Cotations!BK25))</f>
        <v/>
      </c>
      <c r="KC25" s="919" t="str">
        <f t="shared" si="301"/>
        <v/>
      </c>
      <c r="KD25" s="300"/>
      <c r="KE25" s="461" t="str">
        <f t="shared" si="302"/>
        <v/>
      </c>
      <c r="KF25" s="983" t="str">
        <f>IF(A25=FALSE,"",IF(KA25="POEA",Cotations!BM25,IF(KA25="FIXE",Cotations!BN25,IF(Cotations!BO25*Y25&lt;50000,Z25,Cotations!BO25*Y25))))</f>
        <v/>
      </c>
      <c r="KG25" s="300" t="str">
        <f t="shared" si="303"/>
        <v/>
      </c>
      <c r="KH25" s="300" t="str">
        <f>IF(A25=FALSE,"",IF(Cotations!BL25="monthly",KG25/12*L25,KG25/365*M25))</f>
        <v/>
      </c>
      <c r="KI25" s="453" t="str">
        <f>IF(A25=FALSE,"",IF(Cotations!BP25="","",Cotations!BP25))</f>
        <v/>
      </c>
      <c r="KJ25" s="300" t="str">
        <f t="shared" si="304"/>
        <v/>
      </c>
      <c r="KK25" s="300" t="str">
        <f t="shared" si="305"/>
        <v/>
      </c>
      <c r="KL25" s="919" t="str">
        <f t="shared" si="306"/>
        <v/>
      </c>
      <c r="KM25" s="919" t="str">
        <f>IF(A25=FALSE,"",Cotations!BQ25)</f>
        <v/>
      </c>
      <c r="KN25" s="284" t="str">
        <f>IF(A25=FALSE,"",Cotations!BR25)</f>
        <v/>
      </c>
      <c r="KO25" s="665" t="str">
        <f>IF(A25=FALSE,"",Cotations!BS25)</f>
        <v/>
      </c>
      <c r="KP25" s="919" t="str">
        <f>IF(A25=FALSE,"",IF(KM25="N/A",0,IF(INDEX(LISTES!$F$105:$F$109,MATCH(KM25,LISTES!$C$105:$C$109,0))="FIX",IF(INDEX(LISTES!$E$105:$E$109,MATCH(KM25,LISTES!$C$105:$C$109,0))=12,KN25/12*L25,KN25/365*M25),KO25*KL25)))</f>
        <v/>
      </c>
      <c r="KQ25" s="294" t="str">
        <f t="shared" si="307"/>
        <v/>
      </c>
      <c r="KR25" s="294" t="str">
        <f>IF(A25=FALSE,"",KQ25*Cotations!BT25)</f>
        <v/>
      </c>
      <c r="KS25" s="294" t="str">
        <f>IF(A25=FALSE,"",KQ25*Cotations!BU25)</f>
        <v/>
      </c>
      <c r="KT25" s="338" t="str">
        <f t="shared" si="308"/>
        <v/>
      </c>
      <c r="KU25" s="919" t="str">
        <f>IF(A25=FALSE,"",((KG25*TAXE)-(KG25*TAXE*KI25))+IF(KM25="N/A",0,IF(INDEX(LISTES!$F$105:$F$109,MATCH(KM25,LISTES!$C$105:$C$109,0))="FIX",KN25,KO25*KL25)))</f>
        <v/>
      </c>
      <c r="LA25" s="984" t="str">
        <f>IF(A25=FALSE,"",Cotations!D25)</f>
        <v/>
      </c>
      <c r="LB25" s="985" t="str">
        <f>IF(A25=FALSE,"",IF(LISTES!$A$17=1,Cotations!BV25,Cotations!$BW$4))</f>
        <v/>
      </c>
      <c r="LC25" s="499" t="str">
        <f t="shared" si="309"/>
        <v/>
      </c>
      <c r="LD25" s="499" t="str">
        <f t="shared" si="310"/>
        <v/>
      </c>
      <c r="LE25" s="500" t="str">
        <f t="shared" si="311"/>
        <v/>
      </c>
      <c r="LF25" s="988" t="str">
        <f>IF(A25=FALSE,"",IF(LA25="POEA",Cotations!EJ25,IF(LA25="FIXE",Cotations!$BY$4,Cotations!$CA$4*Y25)))</f>
        <v/>
      </c>
      <c r="LG25" s="502" t="str">
        <f t="shared" si="312"/>
        <v/>
      </c>
      <c r="LH25" s="502" t="str">
        <f>IF(A25=FALSE,"",IF(Cotations!$BX$4="monthly",LG25/12*L25,LG25/365*M25))</f>
        <v/>
      </c>
      <c r="LI25" s="1417" t="str">
        <f>IF(A25=FALSE,"",Cotations!$CB$4)</f>
        <v/>
      </c>
      <c r="LJ25" s="502" t="str">
        <f t="shared" si="313"/>
        <v/>
      </c>
      <c r="LK25" s="502" t="str">
        <f t="shared" si="314"/>
        <v/>
      </c>
      <c r="LL25" s="504" t="str">
        <f t="shared" si="315"/>
        <v/>
      </c>
      <c r="LM25" s="504" t="str">
        <f>IF(A25=FALSE,"",Cotations!$CC$4)</f>
        <v/>
      </c>
      <c r="LN25" s="1417" t="str">
        <f>IF(A25=FALSE,"",Cotations!$CD$4)</f>
        <v/>
      </c>
      <c r="LO25" s="1417" t="str">
        <f>IF(A25=FALSE,"",Cotations!$CE$4)</f>
        <v/>
      </c>
      <c r="LP25" s="504" t="str">
        <f>IF(A25=FALSE,"",IF(LM25="N/A",0,IF(INDEX(LISTES!$F$105:$F$109,MATCH(LM25,LISTES!$C$105:$C$109,0))="FIX",IF(INDEX(LISTES!$E$105:$E$109,MATCH(LM25,LISTES!$C$105:$C$109,0))=12,LN25/12*L25,LN25/365*M25),LO25*LL25)))</f>
        <v/>
      </c>
      <c r="LQ25" s="504" t="str">
        <f t="shared" si="316"/>
        <v/>
      </c>
      <c r="LR25" s="504" t="str">
        <f>IF(A25=FALSE,"",LQ25*Cotations!$CF$4)</f>
        <v/>
      </c>
      <c r="LS25" s="504" t="str">
        <f>IF(A25=FALSE,"",LQ25*Cotations!$CG$4)</f>
        <v/>
      </c>
      <c r="LT25" s="506" t="str">
        <f t="shared" si="317"/>
        <v/>
      </c>
      <c r="LU25" s="919" t="str">
        <f>IF(A25=FALSE,"",((LG25*TAXE)-(LG25*TAXE*LI25))+IF(LM25="N/A",0,IF(INDEX(LISTES!$F$105:$F$109,MATCH(LM25,LISTES!$C$105:$C$109,0))="FIX",LN25,LO25*LL25)))</f>
        <v/>
      </c>
      <c r="MA25" s="966" t="str">
        <f>IF(A25=FALSE,"",Cotations!D25)</f>
        <v/>
      </c>
      <c r="MB25" s="981" t="str">
        <f>IF(A25=FALSE,"",IF(LISTES!$A$17=1,Cotations!BV25,Cotations!BW25))</f>
        <v/>
      </c>
      <c r="MC25" s="919" t="str">
        <f t="shared" si="318"/>
        <v/>
      </c>
      <c r="MD25" s="300"/>
      <c r="ME25" s="461" t="str">
        <f t="shared" si="319"/>
        <v/>
      </c>
      <c r="MF25" s="983" t="str">
        <f>IF(A25=FALSE,"",IF(MA25="POEA",Cotations!BY25,IF(MA25="FIXE",Cotations!BZ25,IF(Cotations!CA25*Y25&lt;50000,Z25,Cotations!CA25*Y25))))</f>
        <v/>
      </c>
      <c r="MG25" s="300" t="str">
        <f t="shared" si="320"/>
        <v/>
      </c>
      <c r="MH25" s="300" t="str">
        <f>IF(A25=FALSE,"",IF(Cotations!BX25="monthly",MG25/12*L25,MG25/365*M25))</f>
        <v/>
      </c>
      <c r="MI25" s="453" t="str">
        <f>IF(A25=FALSE,"",IF(Cotations!CB25="","",Cotations!CB25))</f>
        <v/>
      </c>
      <c r="MJ25" s="300" t="str">
        <f t="shared" si="321"/>
        <v/>
      </c>
      <c r="MK25" s="300" t="str">
        <f t="shared" si="322"/>
        <v/>
      </c>
      <c r="ML25" s="919" t="str">
        <f t="shared" si="323"/>
        <v/>
      </c>
      <c r="MM25" s="919" t="str">
        <f>IF(A25=FALSE,"",Cotations!CC25)</f>
        <v/>
      </c>
      <c r="MN25" s="284" t="str">
        <f>IF(A25=FALSE,"",Cotations!CD25)</f>
        <v/>
      </c>
      <c r="MO25" s="665" t="str">
        <f>IF(A25=FALSE,"",Cotations!CE25)</f>
        <v/>
      </c>
      <c r="MP25" s="919" t="str">
        <f>IF(A25=FALSE,"",IF(MM25="N/A",0,IF(INDEX(LISTES!$F$105:$F$109,MATCH(MM25,LISTES!$C$105:$C$109,0))="FIX",IF(INDEX(LISTES!$E$105:$E$109,MATCH(MM25,LISTES!$C$105:$C$109,0))=12,MN25/12*L25,MN25/365*M25),MO25*ML25)))</f>
        <v/>
      </c>
      <c r="MQ25" s="294" t="str">
        <f t="shared" si="324"/>
        <v/>
      </c>
      <c r="MR25" s="294" t="str">
        <f>IF(A25=FALSE,"",MQ25*Cotations!CF25)</f>
        <v/>
      </c>
      <c r="MS25" s="294" t="str">
        <f>IF(A25=FALSE,"",MQ25*Cotations!CG25)</f>
        <v/>
      </c>
      <c r="MT25" s="338" t="str">
        <f t="shared" si="325"/>
        <v/>
      </c>
      <c r="MU25" s="919" t="str">
        <f>IF(A25=FALSE,"",((MG25*TAXE)-(MG25*TAXE*MI25))+IF(MM25="N/A",0,IF(INDEX(LISTES!$F$105:$F$109,MATCH(MM25,LISTES!$C$105:$C$109,0))="FIX",MN25,MO25*ML25)))</f>
        <v/>
      </c>
      <c r="NA25" s="984" t="str">
        <f>IF(A25=FALSE,"",Cotations!D25)</f>
        <v/>
      </c>
      <c r="NB25" s="985" t="str">
        <f>IF(A25=FALSE,"",IF(LISTES!$A$17=1,Cotations!CH25,Cotations!$CI$4))</f>
        <v/>
      </c>
      <c r="NC25" s="499" t="str">
        <f t="shared" si="326"/>
        <v/>
      </c>
      <c r="ND25" s="499" t="str">
        <f t="shared" si="327"/>
        <v/>
      </c>
      <c r="NE25" s="500" t="str">
        <f t="shared" si="328"/>
        <v/>
      </c>
      <c r="NF25" s="988" t="str">
        <f>IF(A25=FALSE,"",IF(NA25="POEA",Cotations!CK25,IF(NA25="FIXE",Cotations!$CK$4,Cotations!$CM$4*Y25)))</f>
        <v/>
      </c>
      <c r="NG25" s="502" t="str">
        <f t="shared" si="329"/>
        <v/>
      </c>
      <c r="NH25" s="502" t="str">
        <f>IF(A25=FALSE,"",IF(Cotations!$CJ$4="monthly",NG25/12*L25,NG25/365*M25))</f>
        <v/>
      </c>
      <c r="NI25" s="1417" t="str">
        <f>IF(A25=FALSE,"",Cotations!$CN$4)</f>
        <v/>
      </c>
      <c r="NJ25" s="502" t="str">
        <f t="shared" si="330"/>
        <v/>
      </c>
      <c r="NK25" s="502" t="str">
        <f t="shared" si="331"/>
        <v/>
      </c>
      <c r="NL25" s="504" t="str">
        <f t="shared" si="332"/>
        <v/>
      </c>
      <c r="NM25" s="504" t="str">
        <f>IF(A25=FALSE,"",Cotations!$CO$4)</f>
        <v/>
      </c>
      <c r="NN25" s="502" t="str">
        <f>IF(A25=FALSE,"",Cotations!$CP$4)</f>
        <v/>
      </c>
      <c r="NO25" s="1417" t="str">
        <f>IF(A25=FALSE,"",Cotations!$CQ$4)</f>
        <v/>
      </c>
      <c r="NP25" s="504" t="str">
        <f>IF(A25=FALSE,"",IF(NM25="N/A",0,IF(INDEX(LISTES!$F$105:$F$109,MATCH(NM25,LISTES!$C$105:$C$109,0))="FIX",IF(INDEX(LISTES!$E$105:$E$109,MATCH(NM25,LISTES!$C$105:$C$109,0))=12,NN25/12*L25,NN25/365*M25),NO25*NL25)))</f>
        <v/>
      </c>
      <c r="NQ25" s="504" t="str">
        <f t="shared" si="333"/>
        <v/>
      </c>
      <c r="NR25" s="504" t="str">
        <f>IF(A25=FALSE,"",NQ25*Cotations!$CR$4)</f>
        <v/>
      </c>
      <c r="NS25" s="504" t="str">
        <f>IF(A25=FALSE,"",NQ25*Cotations!$CS$4)</f>
        <v/>
      </c>
      <c r="NT25" s="506" t="str">
        <f t="shared" si="334"/>
        <v/>
      </c>
      <c r="NU25" s="919" t="str">
        <f>IF(A25=FALSE,"",((NG25*TAXE)-(NG25*TAXE*NI25))+IF(NM25="N/A",0,IF(INDEX(LISTES!$F$105:$F$109,MATCH(NM25,LISTES!$C$105:$C$109,0))="FIX",NN25,NO25*NL25)))</f>
        <v/>
      </c>
      <c r="OA25" s="966" t="str">
        <f>IF(A25=FALSE,"",Cotations!D25)</f>
        <v/>
      </c>
      <c r="OB25" s="981" t="str">
        <f>IF(A25=FALSE,"",IF(LISTES!$A$17=1,Cotations!CH25,Cotations!CI25))</f>
        <v/>
      </c>
      <c r="OC25" s="919" t="str">
        <f t="shared" si="335"/>
        <v/>
      </c>
      <c r="OD25" s="300"/>
      <c r="OE25" s="461" t="str">
        <f t="shared" si="336"/>
        <v/>
      </c>
      <c r="OF25" s="983" t="str">
        <f>IF(A25=FALSE,"",IF(OA25="POEA",Cotations!CK25,IF(OA25="FIXE",Cotations!CL25,IF(Cotations!CM25*Y25&lt;50000,Z25,Cotations!CM25*Y25))))</f>
        <v/>
      </c>
      <c r="OG25" s="300" t="str">
        <f t="shared" si="337"/>
        <v/>
      </c>
      <c r="OH25" s="300" t="str">
        <f>IF(A25=FALSE,"",IF(Cotations!CJ25="monthly",OG25/12*L25,OG25/365*M25))</f>
        <v/>
      </c>
      <c r="OI25" s="453" t="str">
        <f>IF(A25=FALSE,"",IF(Cotations!CN25="","",Cotations!CN25))</f>
        <v/>
      </c>
      <c r="OJ25" s="300" t="str">
        <f t="shared" si="338"/>
        <v/>
      </c>
      <c r="OK25" s="300" t="str">
        <f t="shared" si="339"/>
        <v/>
      </c>
      <c r="OL25" s="919" t="str">
        <f t="shared" si="340"/>
        <v/>
      </c>
      <c r="OM25" s="919" t="str">
        <f>IF(A25=FALSE,"",Cotations!CO25)</f>
        <v/>
      </c>
      <c r="ON25" s="284" t="str">
        <f>IF(A25=FALSE,"",Cotations!CP25)</f>
        <v/>
      </c>
      <c r="OO25" s="665" t="str">
        <f>IF(A25=FALSE,"",Cotations!CQ25)</f>
        <v/>
      </c>
      <c r="OP25" s="919" t="str">
        <f>IF(A25=FALSE,"",IF(OM25="N/A",0,IF(INDEX(LISTES!$F$105:$F$109,MATCH(OM25,LISTES!$C$105:$C$109,0))="FIX",IF(INDEX(LISTES!$E$105:$E$109,MATCH(OM25,LISTES!$C$105:$C$109,0))=12,ON25/12*L25,ON25/365*M25),OO25*OL25)))</f>
        <v/>
      </c>
      <c r="OQ25" s="294" t="str">
        <f t="shared" si="341"/>
        <v/>
      </c>
      <c r="OR25" s="294" t="str">
        <f>IF(A25=FALSE,"",OQ25*Cotations!CR25)</f>
        <v/>
      </c>
      <c r="OS25" s="294" t="str">
        <f>IF(A25=FALSE,"",OQ25*Cotations!CS25)</f>
        <v/>
      </c>
      <c r="OT25" s="338" t="str">
        <f t="shared" si="342"/>
        <v/>
      </c>
      <c r="OU25" s="919" t="str">
        <f>IF(A25=FALSE,"",((OG25*TAXE)-(OG25*TAXE*OI25))+IF(OM25="N/A",0,IF(INDEX(LISTES!$F$105:$F$109,MATCH(OM25,LISTES!$C$105:$C$109,0))="FIX",ON25,OO25*OL25)))</f>
        <v/>
      </c>
      <c r="PA25" s="984" t="str">
        <f t="shared" si="343"/>
        <v/>
      </c>
      <c r="PB25" s="985" t="str">
        <f>IF(A25=FALSE,"",IF(LISTES!$A$17=1,Cotations!CT25,Cotations!$CU$4))</f>
        <v/>
      </c>
      <c r="PC25" s="499" t="str">
        <f t="shared" si="344"/>
        <v/>
      </c>
      <c r="PD25" s="499" t="str">
        <f t="shared" si="345"/>
        <v/>
      </c>
      <c r="PE25" s="500" t="str">
        <f t="shared" si="346"/>
        <v/>
      </c>
      <c r="PF25" s="988" t="str">
        <f>IF(A25=FALSE,"",Cotations!$CY$4*Y25)</f>
        <v/>
      </c>
      <c r="PG25" s="502" t="str">
        <f t="shared" si="347"/>
        <v/>
      </c>
      <c r="PH25" s="502" t="str">
        <f>IF(A25=FALSE,"",IF(Cotations!$CV$4="monthly",PG25/12*L25,PG25/365*M25))</f>
        <v/>
      </c>
      <c r="PI25" s="1417" t="str">
        <f>IF(A25=FALSE,"",Cotations!$CZ$4)</f>
        <v/>
      </c>
      <c r="PJ25" s="502" t="str">
        <f t="shared" si="348"/>
        <v/>
      </c>
      <c r="PK25" s="502" t="str">
        <f t="shared" si="349"/>
        <v/>
      </c>
      <c r="PL25" s="504" t="str">
        <f t="shared" si="350"/>
        <v/>
      </c>
      <c r="PM25" s="504" t="str">
        <f>IF(A25=FALSE,"",Cotations!$DA$4)</f>
        <v/>
      </c>
      <c r="PN25" s="502" t="str">
        <f>IF(A25=FALSE,"",Cotations!$DB$4)</f>
        <v/>
      </c>
      <c r="PO25" s="1417" t="str">
        <f>IF(A25=FALSE,"",Cotations!$DC$4)</f>
        <v/>
      </c>
      <c r="PP25" s="504" t="str">
        <f>IF(A25=FALSE,"",IF(PM25="N/A",0,IF(INDEX(LISTES!$F$105:$F$109,MATCH(PM25,LISTES!$C$105:$C$109,0))="FIX",IF(INDEX(LISTES!$E$105:$E$109,MATCH(PM25,LISTES!$C$105:$C$109,0))=12,PN25/12*L25,PN25/365*M25),PO25*PL25)))</f>
        <v/>
      </c>
      <c r="PQ25" s="504" t="str">
        <f t="shared" si="351"/>
        <v/>
      </c>
      <c r="PR25" s="504" t="str">
        <f>IF(A25=FALSE,"",PQ25*Cotations!$DD$4)</f>
        <v/>
      </c>
      <c r="PS25" s="504" t="str">
        <f>IF(A25=FALSE,"",PQ25*Cotations!$DE$4)</f>
        <v/>
      </c>
      <c r="PT25" s="506" t="str">
        <f t="shared" si="352"/>
        <v/>
      </c>
      <c r="PU25" s="919" t="str">
        <f>IF(A25=FALSE,"",((PG25*TAXE)-(PG25*TAXE*PI25))+IF(PM25="N/A",0,IF(INDEX(LISTES!$F$105:$F$109,MATCH(PM25,LISTES!$C$105:$C$109,0))="FIX",PN25,PO25*PL25)))</f>
        <v/>
      </c>
      <c r="QA25" s="966" t="str">
        <f t="shared" si="353"/>
        <v/>
      </c>
      <c r="QB25" s="981" t="str">
        <f>IF(A25=FALSE,"",IF(LISTES!$A$17=1,Cotations!CT25,Cotations!CU25))</f>
        <v/>
      </c>
      <c r="QC25" s="919" t="str">
        <f t="shared" si="354"/>
        <v/>
      </c>
      <c r="QD25" s="300"/>
      <c r="QE25" s="461" t="str">
        <f t="shared" si="355"/>
        <v/>
      </c>
      <c r="QF25" s="983" t="str">
        <f>IF(A25=FALSE,"",Cotations!CY25*AA25)</f>
        <v/>
      </c>
      <c r="QG25" s="300" t="str">
        <f t="shared" si="356"/>
        <v/>
      </c>
      <c r="QH25" s="300" t="str">
        <f>IF(A25=FALSE,"",IF(Cotations!CV25="monthly",QG25/12*L25,QG25/365*M25))</f>
        <v/>
      </c>
      <c r="QI25" s="453" t="str">
        <f>IF(A25=FALSE,"",IF(Cotations!CZ25="","",Cotations!CZ25))</f>
        <v/>
      </c>
      <c r="QJ25" s="300" t="str">
        <f t="shared" si="357"/>
        <v/>
      </c>
      <c r="QK25" s="300" t="str">
        <f t="shared" si="358"/>
        <v/>
      </c>
      <c r="QL25" s="919" t="str">
        <f t="shared" si="359"/>
        <v/>
      </c>
      <c r="QM25" s="919" t="str">
        <f>IF(A25=FALSE,"",Cotations!DA25)</f>
        <v/>
      </c>
      <c r="QN25" s="284" t="str">
        <f>IF(A25=FALSE,"",Cotations!DB25)</f>
        <v/>
      </c>
      <c r="QO25" s="665" t="str">
        <f>IF(A25=FALSE,"",Cotations!DC25)</f>
        <v/>
      </c>
      <c r="QP25" s="919" t="str">
        <f>IF(A25=FALSE,"",IF(QM25="N/A",0,IF(INDEX(LISTES!$F$105:$F$109,MATCH(QM25,LISTES!$C$105:$C$109,0))="FIX",IF(INDEX(LISTES!$E$105:$E$109,MATCH(QM25,LISTES!$C$105:$C$109,0))=12,QN25/12*L25,QN25/365*M25),QO25*QL25)))</f>
        <v/>
      </c>
      <c r="QQ25" s="294" t="str">
        <f t="shared" si="360"/>
        <v/>
      </c>
      <c r="QR25" s="294" t="str">
        <f>IF(A25=FALSE,"",QQ25*Cotations!DD25)</f>
        <v/>
      </c>
      <c r="QS25" s="294" t="str">
        <f>IF(A25=FALSE,"",QQ25*Cotations!DE25)</f>
        <v/>
      </c>
      <c r="QT25" s="338" t="str">
        <f t="shared" si="361"/>
        <v/>
      </c>
      <c r="QU25" s="919" t="str">
        <f>IF(A25=FALSE,"",((QG25*TAXE)-(QG25*TAXE*QI25))+IF(QM25="N/A",0,IF(INDEX(LISTES!$F$105:$F$109,MATCH(QM25,LISTES!$C$105:$C$109,0))="FIX",QN25,QO25*QL25)))</f>
        <v/>
      </c>
      <c r="RA25" s="984" t="str">
        <f t="shared" si="362"/>
        <v/>
      </c>
      <c r="RB25" s="985" t="str">
        <f>IF(A25=FALSE,"",IF(LISTES!$A$17=1,Cotations!DF25,Cotations!$DG$4))</f>
        <v/>
      </c>
      <c r="RC25" s="499" t="str">
        <f t="shared" si="363"/>
        <v/>
      </c>
      <c r="RD25" s="499" t="str">
        <f t="shared" si="364"/>
        <v/>
      </c>
      <c r="RE25" s="500" t="str">
        <f t="shared" si="365"/>
        <v/>
      </c>
      <c r="RF25" s="988" t="str">
        <f>IF(A25=FALSE,"",Cotations!$DK$4*Y25)</f>
        <v/>
      </c>
      <c r="RG25" s="502" t="str">
        <f t="shared" si="366"/>
        <v/>
      </c>
      <c r="RH25" s="502" t="str">
        <f>IF(A25=FALSE,"",IF(Cotations!$DH$4="monthly",RG25/12*L25,RG25/365*M25))</f>
        <v/>
      </c>
      <c r="RI25" s="1417" t="str">
        <f>IF(A25=FALSE,"",Cotations!$DL$4)</f>
        <v/>
      </c>
      <c r="RJ25" s="502" t="str">
        <f t="shared" si="367"/>
        <v/>
      </c>
      <c r="RK25" s="502" t="str">
        <f t="shared" si="368"/>
        <v/>
      </c>
      <c r="RL25" s="504" t="str">
        <f t="shared" si="369"/>
        <v/>
      </c>
      <c r="RM25" s="504" t="str">
        <f>IF(A25=FALSE,"",Cotations!$DM$4)</f>
        <v/>
      </c>
      <c r="RN25" s="502" t="str">
        <f>IF(A25=FALSE,"",Cotations!$DN$4)</f>
        <v/>
      </c>
      <c r="RO25" s="1417" t="str">
        <f>IF(A25=FALSE,"",Cotations!$DO$4)</f>
        <v/>
      </c>
      <c r="RP25" s="504" t="str">
        <f>IF(A25=FALSE,"",IF(RM25="N/A",0,IF(INDEX(LISTES!$F$105:$F$109,MATCH(RM25,LISTES!$C$105:$C$109,0))="FIX",IF(INDEX(LISTES!$E$105:$E$109,MATCH(RM25,LISTES!$C$105:$C$109,0))=12,RN25/12*L25,RN25/365*M25),RO25*RL25)))</f>
        <v/>
      </c>
      <c r="RQ25" s="504" t="str">
        <f t="shared" si="370"/>
        <v/>
      </c>
      <c r="RR25" s="504" t="str">
        <f>IF(A25=FALSE,"",RQ25*Cotations!$DP$4)</f>
        <v/>
      </c>
      <c r="RS25" s="504" t="str">
        <f>IF(A25=FALSE,"",RQ25*Cotations!$DQ$4)</f>
        <v/>
      </c>
      <c r="RT25" s="506" t="str">
        <f t="shared" si="371"/>
        <v/>
      </c>
      <c r="RU25" s="919" t="str">
        <f>IF(A25=FALSE,"",((RG25*TAXE)-(RG25*TAXE*RI25))+IF(RM25="N/A",0,IF(INDEX(LISTES!$F$105:$F$109,MATCH(RM25,LISTES!$C$105:$C$109,0))="FIX",RN25,RO25*RL25)))</f>
        <v/>
      </c>
      <c r="SA25" s="966" t="str">
        <f t="shared" si="372"/>
        <v/>
      </c>
      <c r="SB25" s="981" t="str">
        <f>IF(A25=FALSE,"",IF(LISTES!$A$17=1,Cotations!DF25,Cotations!DG25))</f>
        <v/>
      </c>
      <c r="SC25" s="919" t="str">
        <f t="shared" si="373"/>
        <v/>
      </c>
      <c r="SD25" s="300"/>
      <c r="SE25" s="461" t="str">
        <f t="shared" si="374"/>
        <v/>
      </c>
      <c r="SF25" s="983" t="str">
        <f>IF(A25=FALSE,"",Cotations!DK25*AA25)</f>
        <v/>
      </c>
      <c r="SG25" s="300" t="str">
        <f t="shared" si="375"/>
        <v/>
      </c>
      <c r="SH25" s="300" t="str">
        <f>IF(A25=FALSE,"",IF(Cotations!DH25="monthly",SG25/12*L25,SG25/365*M25))</f>
        <v/>
      </c>
      <c r="SI25" s="453" t="str">
        <f>IF(A25=FALSE,"",IF(Cotations!DL25="","",Cotations!DL25))</f>
        <v/>
      </c>
      <c r="SJ25" s="300" t="str">
        <f t="shared" si="376"/>
        <v/>
      </c>
      <c r="SK25" s="300" t="str">
        <f t="shared" si="377"/>
        <v/>
      </c>
      <c r="SL25" s="919" t="str">
        <f t="shared" si="378"/>
        <v/>
      </c>
      <c r="SM25" s="919" t="str">
        <f>IF(A25=FALSE,"",Cotations!DM25)</f>
        <v/>
      </c>
      <c r="SN25" s="284" t="str">
        <f>IF(A25=FALSE,"",Cotations!DN25)</f>
        <v/>
      </c>
      <c r="SO25" s="665" t="str">
        <f>IF(A25=FALSE,"",Cotations!DO25)</f>
        <v/>
      </c>
      <c r="SP25" s="919" t="str">
        <f>IF(A25=FALSE,"",IF(SM25="N/A",0,IF(INDEX(LISTES!$F$105:$F$109,MATCH(SM25,LISTES!$C$105:$C$109,0))="FIX",IF(INDEX(LISTES!$E$105:$E$109,MATCH(SM25,LISTES!$C$105:$C$109,0))=12,SN25/12*L25,SN25/365*M25),SO25*SL25)))</f>
        <v/>
      </c>
      <c r="SQ25" s="294" t="str">
        <f t="shared" si="379"/>
        <v/>
      </c>
      <c r="SR25" s="294" t="str">
        <f>IF(A25=FALSE,"",SQ25*Cotations!DP25)</f>
        <v/>
      </c>
      <c r="SS25" s="294" t="str">
        <f>IF(A25=FALSE,"",SQ25*Cotations!DQ25)</f>
        <v/>
      </c>
      <c r="ST25" s="338" t="str">
        <f t="shared" si="380"/>
        <v/>
      </c>
      <c r="SU25" s="919" t="str">
        <f>IF(A25=FALSE,"",((SG25*TAXE)-(SG25*TAXE*SI25))+IF(SM25="N/A",0,IF(INDEX(LISTES!$F$105:$F$109,MATCH(SM25,LISTES!$C$105:$C$109,0))="FIX",SN25,SO25*SL25)))</f>
        <v/>
      </c>
      <c r="TA25" s="966" t="str">
        <f>IF(A25=FALSE,"",Cotations!D25)</f>
        <v/>
      </c>
      <c r="TB25" s="981" t="str">
        <f>IF(A25=FALSE,"",IF(LISTES!$A$17=1,Cotations!DR25,Cotations!DS25))</f>
        <v/>
      </c>
      <c r="TC25" s="919" t="str">
        <f t="shared" si="381"/>
        <v/>
      </c>
      <c r="TD25" s="300" t="str">
        <f>IF(A25=FALSE,"",Detail!CQ25)</f>
        <v/>
      </c>
      <c r="TE25" s="461" t="str">
        <f t="shared" si="382"/>
        <v/>
      </c>
      <c r="TF25" s="983" t="str">
        <f>IF(A25=FALSE,"",IF(TA25="FIXE",Cotations!DU25,Cotations!DV25*Y25))</f>
        <v/>
      </c>
      <c r="TG25" s="300" t="str">
        <f t="shared" si="383"/>
        <v/>
      </c>
      <c r="TH25" s="300" t="str">
        <f>IF(A25=FALSE,"",IF(Cotations!DT25="monthly",TG25/12*L25,TG25/365*M25))</f>
        <v/>
      </c>
      <c r="TI25" s="453" t="str">
        <f>IF(A25=FALSE,"",IF(Cotations!DW25="","",Cotations!DW25))</f>
        <v/>
      </c>
      <c r="TJ25" s="300" t="str">
        <f t="shared" si="384"/>
        <v/>
      </c>
      <c r="TK25" s="300" t="str">
        <f t="shared" si="385"/>
        <v/>
      </c>
      <c r="TL25" s="919" t="str">
        <f t="shared" si="386"/>
        <v/>
      </c>
      <c r="TM25" s="919" t="str">
        <f>IF(A25=FALSE,"",Cotations!DX25)</f>
        <v/>
      </c>
      <c r="TN25" s="919" t="str">
        <f>IF(A25=FALSE,"",Cotations!DY25)</f>
        <v/>
      </c>
      <c r="TO25" s="665" t="str">
        <f>IF(A25=FALSE,"",Cotations!DZ25)</f>
        <v/>
      </c>
      <c r="TP25" s="919" t="str">
        <f>IF(A25=FALSE,"",IF(TM25="N/A",0,IF(INDEX(LISTES!$F$105:$F$109,MATCH(TM25,LISTES!$C$105:$C$109,0))="FIX",IF(INDEX(LISTES!$E$105:$E$109,MATCH(TM25,LISTES!$C$105:$C$109,0))=12,TN25/12*L25,TN25/365*M25),TO25*TL25)))</f>
        <v/>
      </c>
      <c r="TQ25" s="294" t="str">
        <f t="shared" si="387"/>
        <v/>
      </c>
      <c r="TR25" s="294" t="str">
        <f>IF(A25=FALSE,"",TQ25*Cotations!EA25)</f>
        <v/>
      </c>
      <c r="TS25" s="294" t="str">
        <f>IF(A25=FALSE,"",TQ25*Cotations!EB25)</f>
        <v/>
      </c>
      <c r="TT25" s="338" t="str">
        <f t="shared" si="388"/>
        <v/>
      </c>
      <c r="TU25" s="919" t="str">
        <f>IF(A25=FALSE,"",((TG25*(1+TAXE)-(TG25*(1+TAXE)*TI25))+IF(TM25="N/A",0,IF(INDEX(LISTES!$F$105:$F$109,MATCH(TM25,LISTES!$C$105:$C$109,0))="FIX",TN25,TO25*TL25))))</f>
        <v/>
      </c>
      <c r="UA25" s="966" t="str">
        <f>IF(A25=FALSE,"",Cotations!D25)</f>
        <v/>
      </c>
      <c r="UB25" s="981" t="str">
        <f>IF(A25=FALSE,"",IF(LISTES!$A$17=1,Cotations!EC25,Cotations!ED25))</f>
        <v/>
      </c>
      <c r="UC25" s="919" t="str">
        <f t="shared" si="389"/>
        <v/>
      </c>
      <c r="UD25" s="300" t="str">
        <f>IF(A25=FALSE,"",Detail!CY25)</f>
        <v/>
      </c>
      <c r="UE25" s="461" t="str">
        <f t="shared" si="390"/>
        <v/>
      </c>
      <c r="UF25" s="983" t="str">
        <f>IF(A25=FALSE,"",IF(UA25="FIXE",Cotations!EF25,Cotations!EG25*Y25))</f>
        <v/>
      </c>
      <c r="UG25" s="300" t="str">
        <f t="shared" si="391"/>
        <v/>
      </c>
      <c r="UH25" s="300" t="str">
        <f>IF(A25=FALSE,"",IF(Cotations!EE25="monthly",UG25/12*L25,UG25/365*M25))</f>
        <v/>
      </c>
      <c r="UI25" s="453" t="str">
        <f>IF(A25=FALSE,"",IF(Cotations!EH25="","",Cotations!EH25))</f>
        <v/>
      </c>
      <c r="UJ25" s="300" t="str">
        <f t="shared" si="392"/>
        <v/>
      </c>
      <c r="UK25" s="300" t="str">
        <f t="shared" si="393"/>
        <v/>
      </c>
      <c r="UL25" s="919" t="str">
        <f t="shared" si="394"/>
        <v/>
      </c>
      <c r="UM25" s="919" t="str">
        <f>IF(A25=FALSE,"",Cotations!EI25)</f>
        <v/>
      </c>
      <c r="UN25" s="919" t="str">
        <f>IF(A25=FALSE,"",Cotations!EJ25)</f>
        <v/>
      </c>
      <c r="UO25" s="665" t="str">
        <f>IF(A25=FALSE,"",Cotations!EK25)</f>
        <v/>
      </c>
      <c r="UP25" s="919" t="str">
        <f>IF(A25=FALSE,"",IF(UM25="N/A",0,IF(INDEX(LISTES!$F$105:$F$109,MATCH(UM25,LISTES!$C$105:$C$109,0))="FIX",IF(INDEX(LISTES!$E$105:$E$109,MATCH(UM25,LISTES!$C$105:$C$109,0))=12,UN25/12*L25,UN25/365*M25),UO25*UL25)))</f>
        <v/>
      </c>
      <c r="UQ25" s="294" t="str">
        <f t="shared" si="395"/>
        <v/>
      </c>
      <c r="UR25" s="294" t="str">
        <f>IF(A25=FALSE,"",UQ25*Cotations!EL25)</f>
        <v/>
      </c>
      <c r="US25" s="294" t="str">
        <f>IF(A25=FALSE,"",UQ25*Cotations!EM25)</f>
        <v/>
      </c>
      <c r="UT25" s="338" t="str">
        <f t="shared" si="396"/>
        <v/>
      </c>
      <c r="UU25" s="919" t="str">
        <f>IF(A25=FALSE,"",((UG25*(1+TAXE)-(UG25*(1+TAXE)*UI25))+IF(UM25="N/A",0,IF(INDEX(LISTES!$F$105:$F$109,MATCH(UM25,LISTES!$C$105:$C$109,0))="FIX",UN25,UO25*UL25))))</f>
        <v/>
      </c>
      <c r="VA25" s="966" t="str">
        <f>IF(A25=FALSE,"",Cotations!D25)</f>
        <v/>
      </c>
      <c r="VB25" s="479" t="str">
        <f>IF(A25=FALSE,"",IF(LISTES!$A$17=1,Cotations!EN25,Cotations!EO25))</f>
        <v/>
      </c>
      <c r="VC25" s="291" t="str">
        <f t="shared" si="397"/>
        <v/>
      </c>
      <c r="VD25" s="291" t="str">
        <f t="shared" si="398"/>
        <v/>
      </c>
      <c r="VE25" s="291"/>
      <c r="VF25" s="463"/>
      <c r="VG25" s="463" t="str">
        <f t="shared" si="399"/>
        <v/>
      </c>
      <c r="VH25" s="300" t="str">
        <f>IF(A25=FALSE,"",IF(Cotations!$AQ$4="monthly",VG25/12*L25,VG25/365*M25))</f>
        <v/>
      </c>
      <c r="VI25" s="453" t="str">
        <f>IF(A25=FALSE,"",Cotations!$AR$4)</f>
        <v/>
      </c>
      <c r="VJ25" s="300" t="str">
        <f t="shared" si="400"/>
        <v/>
      </c>
      <c r="VK25" s="300" t="str">
        <f t="shared" si="401"/>
        <v/>
      </c>
      <c r="VL25" s="294" t="str">
        <f t="shared" si="402"/>
        <v/>
      </c>
      <c r="VM25" s="294" t="str">
        <f>IF(A25=FALSE,"",Cotations!$AS$4)</f>
        <v/>
      </c>
      <c r="VN25" s="294" t="str">
        <f>IF(A25=FALSE,"",Cotations!$AT$4)</f>
        <v/>
      </c>
      <c r="VO25" s="453" t="str">
        <f>IF(A25=FALSE,"",Cotations!$AU$4)</f>
        <v/>
      </c>
      <c r="VP25" s="294" t="str">
        <f>IF(A25=FALSE,"",IF(VM25="N/A",0,IF(INDEX(LISTES!$F$105:$F$109,MATCH(VM25,LISTES!$C$105:$C$109,0))="FIX",IF(INDEX(LISTES!$E$105:$E$109,MATCH(VM25,LISTES!$C$105:$C$109,0))=12,VN25/12*L25,VN25/365*M25),VO25*VL25)))</f>
        <v/>
      </c>
      <c r="VQ25" s="294" t="str">
        <f t="shared" si="403"/>
        <v/>
      </c>
      <c r="VR25" s="294" t="str">
        <f>IF(A25=FALSE,"",VQ25*Cotations!$AV$4)</f>
        <v/>
      </c>
      <c r="VS25" s="294" t="str">
        <f>IF(A25=FALSE,"",VQ25*Cotations!$AW$4)</f>
        <v/>
      </c>
      <c r="VT25" s="465" t="str">
        <f t="shared" si="404"/>
        <v/>
      </c>
      <c r="VU25" s="919" t="str">
        <f>IF(A25=FALSE,"",((VG25*TAXE)-(VG25*TAXE*VI25))+IF(VM25="N/A",0,IF(INDEX(LISTES!$F$105:$F$109,MATCH(VM25,LISTES!$C$105:$C$109,0))="FIX",VN25,VO25*VL25)))</f>
        <v/>
      </c>
      <c r="WA25" s="966" t="str">
        <f>IF(A25=FALSE,"",Cotations!D25)</f>
        <v/>
      </c>
      <c r="WB25" s="479" t="str">
        <f>IF(A25=FALSE,"",IF(LISTES!$A$17=1,Cotations!EW25,Cotations!EX25))</f>
        <v/>
      </c>
      <c r="WC25" s="291" t="str">
        <f t="shared" si="405"/>
        <v/>
      </c>
      <c r="WD25" s="291" t="str">
        <f t="shared" si="406"/>
        <v/>
      </c>
      <c r="WE25" s="291"/>
      <c r="WF25" s="463"/>
      <c r="WG25" s="463" t="str">
        <f t="shared" si="407"/>
        <v/>
      </c>
      <c r="WH25" s="300" t="str">
        <f>IF(A25=FALSE,"",IF(Cotations!$AQ$4="monthly",WG25/12*L25,WG25/365*M25))</f>
        <v/>
      </c>
      <c r="WI25" s="453" t="str">
        <f>IF(A25=FALSE,"",Cotations!$AR$4)</f>
        <v/>
      </c>
      <c r="WJ25" s="300" t="str">
        <f t="shared" si="408"/>
        <v/>
      </c>
      <c r="WK25" s="300" t="str">
        <f t="shared" si="409"/>
        <v/>
      </c>
      <c r="WL25" s="294" t="str">
        <f t="shared" si="410"/>
        <v/>
      </c>
      <c r="WM25" s="294" t="str">
        <f>IF(A25=FALSE,"",Cotations!$AS$4)</f>
        <v/>
      </c>
      <c r="WN25" s="294" t="str">
        <f>IF(A25=FALSE,"",Cotations!$AT$4)</f>
        <v/>
      </c>
      <c r="WO25" s="453" t="str">
        <f>IF(A25=FALSE,"",Cotations!$AU$4)</f>
        <v/>
      </c>
      <c r="WP25" s="294" t="str">
        <f>IF(A25=FALSE,"",IF(WM25="N/A",0,IF(INDEX(LISTES!$F$105:$F$109,MATCH(WM25,LISTES!$C$105:$C$109,0))="FIX",IF(INDEX(LISTES!$E$105:$E$109,MATCH(WM25,LISTES!$C$105:$C$109,0))=12,WN25/12*L25,WN25/365*M25),WO25*WL25)))</f>
        <v/>
      </c>
      <c r="WQ25" s="294" t="str">
        <f t="shared" si="411"/>
        <v/>
      </c>
      <c r="WR25" s="294" t="str">
        <f>IF(A25=FALSE,"",WQ25*Cotations!$AV$4)</f>
        <v/>
      </c>
      <c r="WS25" s="294" t="str">
        <f>IF(A25=FALSE,"",WQ25*Cotations!$AW$4)</f>
        <v/>
      </c>
      <c r="WT25" s="465" t="str">
        <f t="shared" si="412"/>
        <v/>
      </c>
      <c r="WU25" s="919" t="str">
        <f>IF(A25=FALSE,"",((WG25*TAXE)-(WG25*TAXE*WI25))+IF(WM25="N/A",0,IF(INDEX(LISTES!$F$105:$F$109,MATCH(WM25,LISTES!$C$105:$C$109,0))="FIX",WN25,WO25*WL25)))</f>
        <v/>
      </c>
    </row>
    <row r="26" spans="1:619" s="1398" customFormat="1">
      <c r="A26" s="1400" t="b">
        <f t="shared" si="221"/>
        <v>0</v>
      </c>
      <c r="B26" s="1400" t="b">
        <f>IF(NAMES!$B$9=TRUE,TRUE,FALSE)</f>
        <v>1</v>
      </c>
      <c r="C26" s="1400" t="b">
        <f t="shared" si="413"/>
        <v>0</v>
      </c>
      <c r="D26" s="1400" t="b">
        <f t="shared" si="414"/>
        <v>0</v>
      </c>
      <c r="E26" s="1400" t="b">
        <f>IF(Cotations!C26="","",Cotations!C26)</f>
        <v>0</v>
      </c>
      <c r="F26" s="1400" t="str">
        <f>IF(Cotations!D26="","",Cotations!D26)</f>
        <v>PROP</v>
      </c>
      <c r="G26" s="1400" t="str">
        <f>IF(Cotations!E26="","",Cotations!E26)</f>
        <v>2016-2017!</v>
      </c>
      <c r="H26" s="1400" t="str">
        <f>IF(Cotations!F26="","",Cotations!F26)</f>
        <v>SINGLE</v>
      </c>
      <c r="I26" s="1400" t="str">
        <f>IF(Cotations!G26="","",Cotations!G26)</f>
        <v/>
      </c>
      <c r="J26" s="1400" t="str">
        <f>IF(Cotations!H26="","",Cotations!H26)</f>
        <v/>
      </c>
      <c r="K26" s="1400" t="str">
        <f>IF(Cotations!I26="","",Cotations!I26)</f>
        <v/>
      </c>
      <c r="L26" s="1400" t="str">
        <f>IF(A26=FALSE,"",IF(Cotations!N26="","",Cotations!N26))</f>
        <v/>
      </c>
      <c r="M26" s="1400" t="str">
        <f>IF(Cotations!P26="","",Cotations!P26)</f>
        <v/>
      </c>
      <c r="N26" s="1355" t="str">
        <f>IF(NAMES!$B$10=TRUE,Cotations!J26,Cotations!L26)</f>
        <v/>
      </c>
      <c r="O26" s="1355" t="str">
        <f>IF(NAMES!$B$10=TRUE,Cotations!K26,Cotations!M26)</f>
        <v/>
      </c>
      <c r="P26" s="1355" t="str">
        <f t="shared" si="415"/>
        <v/>
      </c>
      <c r="Q26" s="1355" t="str">
        <f>IF(A26=FALSE,"",IF(Crewlist!Y26="","",Crewlist!Y26))</f>
        <v/>
      </c>
      <c r="R26" s="758" t="str">
        <f>IF(Cotations!U26="","",Cotations!U26)</f>
        <v/>
      </c>
      <c r="S26" s="1355" t="str">
        <f t="shared" si="416"/>
        <v/>
      </c>
      <c r="T26" s="919" t="str">
        <f>IF(A26=FALSE,"",VLOOKUP($U$15:$U$120,Currency!$A$2:$D$10,4,0)*Crewlist!N26)</f>
        <v/>
      </c>
      <c r="U26" s="1355" t="str">
        <f>IF(A26=FALSE,"",IF(IT26=0,Crewlist!M26&amp;"/"&amp;EX26,Crewlist!M26&amp;"/"&amp;IT26))</f>
        <v/>
      </c>
      <c r="V26" s="919" t="str">
        <f>IF(A26=FALSE,"",VLOOKUP($U$15:$U$120,Currency!$A$2:$D$10,4,0)*Detail!Q26)</f>
        <v/>
      </c>
      <c r="W26" s="1355" t="str">
        <f>IF(A26=FALSE,"",IF(IT26=0,Detail!R26&amp;"/"&amp;EX26,Detail!R26&amp;"/"&amp;IT26))</f>
        <v/>
      </c>
      <c r="X26" s="919" t="str">
        <f>IF(A26=FALSE,"",IF(LISTES!$C$17="Crewlist",Calcul!T26,Calcul!V26))</f>
        <v/>
      </c>
      <c r="Y26" s="758" t="str">
        <f t="shared" si="417"/>
        <v/>
      </c>
      <c r="Z26" s="758" t="str">
        <f>IF(A26=FALSE,"",IF(X26=0,0,IF((Cotations!BC26*12*X26)&lt;50000,50000,(12*X26))))</f>
        <v/>
      </c>
      <c r="AA26" s="758" t="str">
        <f t="shared" si="418"/>
        <v/>
      </c>
      <c r="AB26" s="758" t="str">
        <f>IF(A26=FALSE,"",IF(Crewlist!O26=0,"",Crewlist!O26))</f>
        <v/>
      </c>
      <c r="AC26" s="758" t="str">
        <f>IF(I26="","",VLOOKUP($AB$15:$AB$120,Currency!$A$15:$B$34,2,0))</f>
        <v/>
      </c>
      <c r="AD26" s="758" t="str">
        <f t="shared" si="419"/>
        <v/>
      </c>
      <c r="AE26" s="758" t="str">
        <f t="shared" si="420"/>
        <v/>
      </c>
      <c r="AF26" s="758" t="str">
        <f t="shared" si="421"/>
        <v/>
      </c>
      <c r="AG26" s="758" t="str">
        <f t="shared" si="422"/>
        <v/>
      </c>
      <c r="AH26" s="1355" t="str">
        <f t="shared" si="222"/>
        <v/>
      </c>
      <c r="AI26" s="919" t="str">
        <f t="shared" si="423"/>
        <v/>
      </c>
      <c r="AJ26" s="1382" t="str">
        <f t="shared" si="424"/>
        <v/>
      </c>
      <c r="AK26" s="1382" t="str">
        <f t="shared" si="425"/>
        <v/>
      </c>
      <c r="AL26" s="238" t="str">
        <f t="shared" si="223"/>
        <v/>
      </c>
      <c r="AM26" s="238" t="str">
        <f t="shared" si="224"/>
        <v/>
      </c>
      <c r="AN26" s="1374" t="str">
        <f t="shared" si="225"/>
        <v/>
      </c>
      <c r="AO26" s="238" t="str">
        <f t="shared" si="226"/>
        <v/>
      </c>
      <c r="AP26" s="342" t="str">
        <f>IF(A26=FALSE,"",INDEX(Rates!$Z$5:$Z$367,MATCH(EB26,colchoice,0)))</f>
        <v/>
      </c>
      <c r="AQ26" s="238" t="str">
        <f t="shared" si="227"/>
        <v/>
      </c>
      <c r="AR26" s="238" t="str">
        <f t="shared" si="426"/>
        <v/>
      </c>
      <c r="AS26" s="238" t="str">
        <f t="shared" si="427"/>
        <v/>
      </c>
      <c r="AT26" s="238" t="str">
        <f t="shared" si="428"/>
        <v/>
      </c>
      <c r="AU26" s="238" t="str">
        <f t="shared" si="228"/>
        <v/>
      </c>
      <c r="AV26" s="238" t="str">
        <f t="shared" si="429"/>
        <v/>
      </c>
      <c r="AW26" s="238" t="str">
        <f t="shared" si="229"/>
        <v/>
      </c>
      <c r="AX26" s="238" t="str">
        <f t="shared" si="230"/>
        <v/>
      </c>
      <c r="AY26" s="238" t="str">
        <f t="shared" si="231"/>
        <v/>
      </c>
      <c r="AZ26" s="238" t="str">
        <f t="shared" si="232"/>
        <v/>
      </c>
      <c r="BA26" s="238" t="str">
        <f t="shared" si="233"/>
        <v/>
      </c>
      <c r="BB26" s="552" t="str">
        <f t="shared" si="234"/>
        <v/>
      </c>
      <c r="BC26" s="347" t="str">
        <f t="shared" si="235"/>
        <v/>
      </c>
      <c r="BD26" s="239" t="str">
        <f t="shared" si="430"/>
        <v/>
      </c>
      <c r="BE26" s="239" t="str">
        <f>IF(A26=FALSE,"",IF(ALLTHESAME=TRUE,IF(DF26&lt;&gt;$BC$7,0,INDEX(DD26:DZ26,1,MATCH(Structure!$D$12,$DD$14:$DZ$14,0))),IF(EC26&lt;&gt;$BC$7,0,INDEX(EA26:EZ26,1,MATCH(Structure!$D$12,$EA$14:$EZ$14,0)))))</f>
        <v/>
      </c>
      <c r="BF26" s="239" t="str">
        <f>IF(A26=FALSE,"",IF(ALLTHESAME=TRUE,IF(FC26&lt;&gt;$BC$7,0,INDEX(FA26:FZ26,1,MATCH(Structure!$D$12,$FA$14:$FZ$14,0))),IF(GC26&lt;&gt;$BC$7,0,INDEX(GA26:GZ26,1,MATCH(Structure!$D$12,$GA$14:$GZ$14,0)))))</f>
        <v/>
      </c>
      <c r="BG26" s="239" t="str">
        <f>IF(A26=FALSE,"",IF(ALLTHESAME=TRUE,IF(VC26&lt;&gt;$BC$7,0,INDEX(VA26:VZ26,1,MATCH(Structure!$D$12,$VA$14:$VZ$14,0))),IF(VC26&lt;&gt;$BC$7,0,INDEX(VA26:VZ26,1,MATCH(Structure!$D$12,$VA$14:$VZ$14,0)))))</f>
        <v/>
      </c>
      <c r="BH26" s="239" t="str">
        <f>IF(A26=FALSE,"",IF(ALLTHESAME=TRUE,IF(WC26&lt;&gt;$BC$7,0,INDEX(WA26:WY26,1,MATCH(Structure!$D$12,$WA$14:$WZ$14,0))),IF(WC26&lt;&gt;$BC$7,0,INDEX(WA26:WZ26,1,MATCH(Structure!$D$12,$WA$14:$WZ$14,0)))))</f>
        <v/>
      </c>
      <c r="BI26" s="239" t="str">
        <f>IF(A26=FALSE,"",IF(ALLTHESAME=TRUE,IF(HC26&lt;&gt;$BC$7,0,INDEX(HA26:HZ26,1,MATCH(Structure!$D$12,$HA$14:$HZ$14,0)))+TK26,IF(IC26&lt;&gt;$BC$7,0,INDEX(IA26:IZ26,1,MATCH(Structure!$D$12,$IA$14:$IZ$14,0)))+TK26))</f>
        <v/>
      </c>
      <c r="BJ26" s="239" t="str">
        <f>IF(A26=FALSE,"",IF(ALLTHESAME=TRUE,IF(JC26&lt;&gt;$BC$7,0,INDEX(JA26:JZ26,1,MATCH(Structure!$D$12,$JA$14:$JZ$14,0))),IF(KC26&lt;&gt;$BC$7,0,INDEX(KA26:KZ26,1,MATCH(Structure!$D$12,$KA$14:$KZ$14,0)))))</f>
        <v/>
      </c>
      <c r="BK26" s="239" t="str">
        <f>IF(A26=FALSE,"",IF(ALLTHESAME=TRUE,IF(LC26&lt;&gt;$BC$7,0,INDEX(LA26:LZ26,1,MATCH(Structure!$D$12,$LA$14:$LZ$14,0)))+UK26,IF(MC26&lt;&gt;$BC$7,0,INDEX(MA26:MZ26,1,MATCH(Structure!$D$12,$MA$14:$MZ$14,0)))+UK26))</f>
        <v/>
      </c>
      <c r="BL26" s="239" t="str">
        <f>IF(A26=FALSE,"",IF(ALLTHESAME=TRUE,IF(NC26&lt;&gt;$BC$7,0,INDEX(NA26:NZ26,1,MATCH(Structure!$D$12,$NA$14:$NZ$14,0))),IF(OC26&lt;&gt;$BC$7,0,INDEX(OA26:OZ26,1,MATCH(Structure!$D$12,$OA$14:$OZ$14,0)))))</f>
        <v/>
      </c>
      <c r="BM26" s="239" t="str">
        <f>IF(A26=FALSE,"",IF(ALLTHESAME=TRUE,IF(PC26&lt;&gt;$BC$7,0,INDEX(PA26:PZ26,1,MATCH(Structure!$D$12,$PA$14:$PZ$14,0))),IF(QC26&lt;&gt;$BC$7,0,INDEX(QA26:QZ26,1,MATCH(Structure!$D$12,$QA$14:$QZ$14,0)))))</f>
        <v/>
      </c>
      <c r="BN26" s="341" t="str">
        <f>IF(A26=FALSE,"",IF(ALLTHESAME=TRUE,IF(RC26&lt;&gt;$BC$7,0,INDEX(RA26:RZ26,1,MATCH(Structure!$D$12,$RA$14:$RZ$14,0))),IF(SC26&lt;&gt;$BC$7,0,INDEX(SA26:TA26,1,MATCH(Structure!$D$12,$SA$14:$TA$14,0)))))</f>
        <v/>
      </c>
      <c r="BO26" s="507" t="str">
        <f t="shared" si="236"/>
        <v/>
      </c>
      <c r="BP26" s="239" t="str">
        <f t="shared" si="237"/>
        <v/>
      </c>
      <c r="BQ26" s="239" t="str">
        <f>IF(A26=FALSE,"",IF(ALLTHESAME=TRUE,IF(DF26&lt;&gt;$BO$7,0,INDEX(DD26:DZ26,1,MATCH(Structure!$D$12,$DD$14:$DZ$14,0))),IF(EC26&lt;&gt;$BO$7,0,INDEX(EA26:EZ26,1,MATCH(Structure!$D$12,$EA$14:$EZ$14,0)))))</f>
        <v/>
      </c>
      <c r="BR26" s="239" t="str">
        <f>IF(A26=FALSE,"",IF(ALLTHESAME=TRUE,IF(FC26&lt;&gt;$BO$7,0,INDEX(FA26:FZ26,1,MATCH(Structure!$D$12,$FA$14:$FZ$14,0))),IF(GC26&lt;&gt;$BO$7,0,INDEX(GA26:GZ26,1,MATCH(Structure!$D$12,$GA$14:$GZ$14,0)))))</f>
        <v/>
      </c>
      <c r="BS26" s="239" t="str">
        <f>IF(A26=FALSE,"",IF(ALLTHESAME=TRUE,IF(HC26&lt;&gt;$BO$7,0,INDEX(HA26:HZ26,1,MATCH(Structure!$D$12,$HA$14:$HZ$14,0))),IF(IC26&lt;&gt;$BO$7,0,INDEX(IA26:IZ26,1,MATCH(Structure!$D$12,$IA$14:$IZ$14,0)))))</f>
        <v/>
      </c>
      <c r="BT26" s="239" t="str">
        <f>IF(A26=FALSE,"",IF(ALLTHESAME=TRUE,IF(JC26&lt;&gt;$BO$7,0,INDEX(JA26:JZ26,1,MATCH(Structure!$D$12,$JA$14:$JZ$14,0))),IF(KC26&lt;&gt;$BO$7,0,INDEX(KA26:KZ26,1,MATCH(Structure!$D$12,$KA$14:$KZ$14,0)))))</f>
        <v/>
      </c>
      <c r="BU26" s="239" t="str">
        <f>IF(A26=FALSE,"",IF(ALLTHESAME=TRUE,IF(LC26&lt;&gt;$BO$7,0,INDEX(LA26:LZ26,1,MATCH(Structure!$D$12,$LA$14:$LZ$14,0))),IF(MC26&lt;&gt;$BO$7,0,INDEX(MA26:MZ26,1,MATCH(Structure!$D$12,$MA$14:$MZ$14,0)))))</f>
        <v/>
      </c>
      <c r="BV26" s="239" t="str">
        <f>IF(A26=FALSE,"",IF(ALLTHESAME=TRUE,IF(NC26&lt;&gt;$BO$7,0,INDEX(NA26:NZ26,1,MATCH(Structure!$D$12,$NA$14:$NZ$14,0))),IF(OC26&lt;&gt;$BO$7,0,INDEX(OA26:OZ26,1,MATCH(Structure!$D$12,$OA$14:$OZ$14,0)))))</f>
        <v/>
      </c>
      <c r="BW26" s="239" t="str">
        <f>IF(A26=FALSE,"",IF(ALLTHESAME=TRUE,IF(PC26&lt;&gt;$BO$7,0,INDEX(PA26:PZ26,1,MATCH(Structure!$D$12,$PA$14:$PZ$14,0))),IF(QC26&lt;&gt;$BO$7,0,INDEX(QA26:QZ26,1,MATCH(Structure!$D$12,$QA$14:$QZ$14,0)))))</f>
        <v/>
      </c>
      <c r="BX26" s="341" t="str">
        <f>IF(A26=FALSE,"",IF(ALLTHESAME=TRUE,IF(RC26&lt;&gt;$BO$7,0,INDEX(RA26:RZ26,1,MATCH(Structure!$D$12,$RA$14:$RZ$14,0))),IF(SC26&lt;&gt;$BO$7,0,INDEX(SA26:TA26,1,MATCH(Structure!$D$12,$SA$14:$TA$14,0)))))</f>
        <v/>
      </c>
      <c r="BY26" s="347" t="str">
        <f t="shared" si="238"/>
        <v/>
      </c>
      <c r="BZ26" s="507" t="str">
        <f t="shared" si="239"/>
        <v/>
      </c>
      <c r="CA26" s="239" t="str">
        <f t="shared" si="240"/>
        <v/>
      </c>
      <c r="CB26" s="239" t="str">
        <f>IF(A26=FALSE,"",IF(ALLTHESAME=TRUE,INDEX(DD26:DZ26,MATCH(DF26,DF26:DF131,0),MATCH(Structure!$D$17,$DD$14:$DZ$14,0)),INDEX(EA26:EZ26,MATCH(EC26,EC26:EC131,0),MATCH(Structure!$D$17,$EA$14:$EZ$14,0))))</f>
        <v/>
      </c>
      <c r="CC26" s="239" t="str">
        <f>IF(A26=FALSE,"",IF(ALLTHESAME=TRUE,INDEX(FA26:FZ26,MATCH(FC26,FC26:FC131,0),MATCH(Structure!$D$17,$FA$14:$FZ$14,0)),INDEX(GA26:GZ26,MATCH(GC26,GC26:GC131,0),MATCH(Structure!$D$17,$GA$14:$GZ$14,0))))</f>
        <v/>
      </c>
      <c r="CD26" s="239" t="str">
        <f>IF(A26=FALSE,"",IF(ALLTHESAME=TRUE,INDEX(HA26:HZ26,MATCH(HC26,HC26:HC131,0),MATCH(Structure!$D$17,$HA$14:$HZ$14,0)),INDEX(IA26:IZ26,MATCH(IC26,IC26:IC131,0),MATCH(Structure!$D$17,$IA$14:$IZ$14,0))))</f>
        <v/>
      </c>
      <c r="CE26" s="239" t="str">
        <f>IF(A26=FALSE,"",IF(ALLTHESAME=TRUE,INDEX(JA26:JZ26,MATCH(JC26,JC26:JC131,0),MATCH(Structure!$D$17,$JA$14:$JZ$14,0)),INDEX(KA26:KZ26,MATCH(KC26,KC26:KC131,0),MATCH(Structure!$D$17,$KA$14:$KZ$14,0))))</f>
        <v/>
      </c>
      <c r="CF26" s="239" t="str">
        <f>IF(A26=FALSE,"",IF(ALLTHESAME=TRUE,INDEX(LA26:LZ26,MATCH(LC26,LC26:LC131,0),MATCH(Structure!$D$17,$LA$14:$LZ$14,0)),INDEX(MA26:MZ26,MATCH(MC26,MC26:MC131,0),MATCH(Structure!$D$17,$MA$14:$MZ$14,0))))</f>
        <v/>
      </c>
      <c r="CG26" s="239" t="str">
        <f>IF(A26=FALSE,"",IF(ALLTHESAME=TRUE,INDEX(NA26:NZ26,MATCH(NC26,NC26:NC131,0),MATCH(Structure!$D$17,$NA$14:$NZ$14,0)),INDEX(OA26:OZ26,MATCH(OC26,OC26:OC131,0),MATCH(Structure!$D$17,$OA$14:$OZ$14,0))))</f>
        <v/>
      </c>
      <c r="CH26" s="239" t="str">
        <f>IF(A26=FALSE,"",IF(ALLTHESAME=TRUE,INDEX(PA26:PZ26,MATCH(PC26,PC26:PC131,0),MATCH(Structure!$D$17,$PA$14:$PZ$14,0)),INDEX(QA26:QZ26,MATCH(QC26,QC26:QC131,0),MATCH(Structure!$D$17,$QA$14:$QZ$14,0))))</f>
        <v/>
      </c>
      <c r="CI26" s="341" t="str">
        <f>IF(A26=FALSE,"",IF(ALLTHESAME=TRUE,INDEX(RA26:RZ26,MATCH(RC26,RC26:RC131,0),MATCH(Structure!$D$17,$RA$14:$RZ$14,0)),INDEX(SA26:TC26,MATCH(SC26,SC26:SC131,0),MATCH(Structure!$D$17,$SA$14:$TC$14,0))))</f>
        <v/>
      </c>
      <c r="CJ26" s="347"/>
      <c r="CK26" s="239" t="str">
        <f t="shared" si="241"/>
        <v/>
      </c>
      <c r="CL26" s="239" t="str">
        <f>IF(A26=FALSE,"",IF(ALLTHESAME=TRUE,INDEX(DD26:DZ26,MATCH(DF26,DF26:DF131,0),MATCH(Structure!$D$22,$DD$14:$DZ$14,0)),INDEX(EA26:EZ26,MATCH(EC26,EC26:EC131,0),MATCH(Structure!$D$22,$EA$14:$EZ$14,0))))</f>
        <v/>
      </c>
      <c r="CM26" s="239" t="str">
        <f>IF(A26=FALSE,"",IF(ALLTHESAME=TRUE,INDEX(FA26:FZ26,MATCH(FC26,FC26:FC131,0),MATCH(Structure!$D$22,$FA$14:$FZ$14,0)),INDEX(GA26:GZ26,MATCH(GC26,GC26:GC131,0),MATCH(Structure!$D$22,$GA$14:$GZ$14,0))))</f>
        <v/>
      </c>
      <c r="CN26" s="239" t="str">
        <f>IF(A26=FALSE,"",IF(ALLTHESAME=TRUE,INDEX(HA26:HZ26,MATCH(HC26,HC26:HC131,0),MATCH(Structure!$D$22,$HA$14:$HZ$14,0)),INDEX(IA26:IZ26,MATCH(IC26,IC26:IC131,0),MATCH(Structure!$D$22,$IA$14:$IZ$14,0))))</f>
        <v/>
      </c>
      <c r="CO26" s="239" t="str">
        <f>IF(A26=FALSE,"",IF(ALLTHESAME=TRUE,INDEX(JA26:JZ26,MATCH(JC26,JC26:JC131,0),MATCH(Structure!$D$22,$JA$14:$JZ$14,0)),INDEX(KA26:KZ26,MATCH(KC26,KC26:KC131,0),MATCH(Structure!$D$22,$KA$14:$KZ$14,0))))</f>
        <v/>
      </c>
      <c r="CP26" s="239" t="str">
        <f>IF(A26=FALSE,"",IF(ALLTHESAME=TRUE,INDEX(LA26:LZ26,MATCH(LC26,LC26:LC131,0),MATCH(Structure!$D$22,$LA$14:$LZ$14,0)),INDEX(MA26:MZ26,MATCH(MC26,MC26:MC131,0),MATCH(Structure!$D$22,$MA$14:$MZ$14,0))))</f>
        <v/>
      </c>
      <c r="CQ26" s="239" t="str">
        <f>IF(A26=FALSE,"",IF(ALLTHESAME=TRUE,INDEX(NA26:NZ26,MATCH(NC26,NC26:NC131,0),MATCH(Structure!$D$22,$NA$14:$NZ$14,0)),INDEX(OA26:OZ26,MATCH(OC26,OC26:OC131,0),MATCH(Structure!$D$22,$OA$14:$OZ$14,0))))</f>
        <v/>
      </c>
      <c r="CR26" s="239" t="str">
        <f>IF(A26=FALSE,"",IF(ALLTHESAME=TRUE,INDEX(PA26:PZ26,MATCH(PC26,PC26:PC131,0),MATCH(Structure!$D$22,$PA$14:$PZ$14,0)),INDEX(QA26:QZ26,MATCH(QC26,QC26:QC131,0),MATCH(Structure!$D$22,$QA$14:$QZ$14,0))))</f>
        <v/>
      </c>
      <c r="CS26" s="341" t="str">
        <f>IF(A26=FALSE,"",IF(ALLTHESAME=TRUE,INDEX(RA26:RZ26,MATCH(RC26,RC26:RC131,0),MATCH(Structure!$D$22,$RA$14:$RZ$14,0)),INDEX(SA26:TC26,MATCH(SC26,SC26:SC131,0),MATCH(Structure!$D$22,$SA$14:$TC$14,0))))</f>
        <v/>
      </c>
      <c r="CT26" s="347"/>
      <c r="CU26" s="239" t="str">
        <f t="shared" si="242"/>
        <v/>
      </c>
      <c r="CV26" s="239" t="str">
        <f>IF(A26=FALSE,"",IF(ALLTHESAME=TRUE,INDEX(DD26:DZ26,MATCH(DF26,DF26:DF131,0),MATCH(Structure!$D$8,$DD$14:$DZ$14,0)),INDEX(EA26:EZ26,MATCH(EC26,EC26:EC131,0),MATCH(Structure!$D$8,$EA$14:$EZ$14,0))))</f>
        <v/>
      </c>
      <c r="CW26" s="239" t="str">
        <f>IF(A26=FALSE,"",IF(ALLTHESAME=TRUE,INDEX(FA26:FZ26,MATCH(FC26,FC26:FC131,0),MATCH(Structure!$D$8,$FA$14:$FZ$14,0)),INDEX(GA26:GZ26,MATCH(GC26,GC26:GC131,0),MATCH(Structure!$D$8,$GA$14:$GZ$14,0))))</f>
        <v/>
      </c>
      <c r="CX26" s="239" t="str">
        <f>IF(A26=FALSE,"",IF(ALLTHESAME=TRUE,INDEX(HA26:HZ26,MATCH(HC26,HC26:HC131,0),MATCH(Structure!$D$8,$HA$14:$HZ$14,0)),INDEX(IA26:IZ26,MATCH(IC26,IC26:IC131,0),MATCH(Structure!$D$8,$IA$14:$IZ$14,0))))</f>
        <v/>
      </c>
      <c r="CY26" s="239" t="str">
        <f>IF(A26=FALSE,"",IF(ALLTHESAME=TRUE,INDEX(JA26:JZ26,MATCH(JC26,JC26:JC131,0),MATCH(Structure!$D$8,$JA$14:$JZ$14,0)),INDEX(KA26:KZ26,MATCH(KC26,KC26:KC131,0),MATCH(Structure!$D$8,$KA$14:$KZ$14,0))))</f>
        <v/>
      </c>
      <c r="CZ26" s="239" t="str">
        <f>IF(A26=FALSE,"",IF(ALLTHESAME=TRUE,INDEX(LA26:LZ26,MATCH(LC26,LC26:LC131,0),MATCH(Structure!$D$8,$LA$14:$LZ$14,0)),INDEX(MA26:MZ26,MATCH(MC26,MC26:MC131,0),MATCH(Structure!$D$8,$MA$14:$MZ$14,0))))</f>
        <v/>
      </c>
      <c r="DA26" s="239" t="str">
        <f>IF(A26=FALSE,"",IF(ALLTHESAME=TRUE,INDEX(NA26:NZ26,MATCH(NC26,NC26:NC131,0),MATCH(Structure!$D$8,$NA$14:$NZ$14,0)),INDEX(OA26:OZ26,MATCH(OC26,OC26:OC131,0),MATCH(Structure!$D$8,$OA$14:$OZ$14,0))))</f>
        <v/>
      </c>
      <c r="DB26" s="239" t="str">
        <f>IF(A26=FALSE,"",IF(ALLTHESAME=TRUE,INDEX(PA26:PZ26,MATCH(PC26,PC26:PC131,0),MATCH(Structure!$D$8,$PA$14:$PZ$14,0)),INDEX(QA26:QZ26,MATCH(QC26,QC26:QC131,0),MATCH(Structure!$D$8,$QA$14:$QZ$14,0))))</f>
        <v/>
      </c>
      <c r="DC26" s="341" t="str">
        <f>IF(A26=FALSE,"",IF(ALLTHESAME=TRUE,INDEX(RA26:RZ26,MATCH(RC26,RC26:RC131,0),MATCH(Structure!$D$8,$RA$14:$RZ$14,0)),INDEX(SA26:TC26,MATCH(SC26,SC26:SC131,0),MATCH(Structure!$D$8,$SA$14:$TC$14,0))))</f>
        <v/>
      </c>
      <c r="DD26" s="966" t="str">
        <f>IF(A26=FALSE,"",Cotations!D26)</f>
        <v/>
      </c>
      <c r="DE26" s="966" t="str">
        <f>IF(A26=FALSE,"",IF(LISTES!$A$17=1,Cotations!AF26,Cotations!$AG$4))</f>
        <v/>
      </c>
      <c r="DF26" s="291" t="str">
        <f t="shared" si="431"/>
        <v/>
      </c>
      <c r="DG26" s="291" t="str">
        <f t="shared" si="243"/>
        <v/>
      </c>
      <c r="DH26" s="291"/>
      <c r="DI26" s="463"/>
      <c r="DJ26" s="463" t="str">
        <f t="shared" si="244"/>
        <v/>
      </c>
      <c r="DK26" s="300" t="str">
        <f>IF(A26=FALSE,"",IF(Cotations!$AH$4="monthly",DJ26/12*L26,DJ26/365*M26))</f>
        <v/>
      </c>
      <c r="DL26" s="453" t="str">
        <f>IF(A26=FALSE,"",Cotations!$AI$4)</f>
        <v/>
      </c>
      <c r="DM26" s="300" t="str">
        <f t="shared" si="245"/>
        <v/>
      </c>
      <c r="DN26" s="300" t="str">
        <f t="shared" si="246"/>
        <v/>
      </c>
      <c r="DO26" s="294" t="str">
        <f t="shared" si="247"/>
        <v/>
      </c>
      <c r="DP26" s="294" t="str">
        <f>IF(A26=FALSE,"",Cotations!$AJ$4)</f>
        <v/>
      </c>
      <c r="DQ26" s="294" t="str">
        <f>IF(A26=FALSE,"",Cotations!$AK$4)</f>
        <v/>
      </c>
      <c r="DR26" s="453" t="str">
        <f>IF(A26=FALSE,"",Cotations!$AL$4)</f>
        <v/>
      </c>
      <c r="DS26" s="294" t="str">
        <f>IF(A26=FALSE,"",IF(DP26="N/A",0,IF(INDEX(LISTES!$F$105:$F$109,MATCH(DP26,LISTES!$C$105:$C$109,0))="FIX",IF(INDEX(LISTES!$E$105:$E$109,MATCH(DP26,LISTES!$C$105:$C$109,0))=12,DQ26/12*L26,DQ26/365*M26),DR26*DO26)))</f>
        <v/>
      </c>
      <c r="DT26" s="294" t="str">
        <f t="shared" si="248"/>
        <v/>
      </c>
      <c r="DU26" s="294" t="str">
        <f>IF(A26=FALSE,"",DT26*Cotations!$AM$4)</f>
        <v/>
      </c>
      <c r="DV26" s="294" t="str">
        <f>IF(A26=FALSE,"",DT26*Cotations!$AN$4)</f>
        <v/>
      </c>
      <c r="DW26" s="465" t="str">
        <f t="shared" si="249"/>
        <v/>
      </c>
      <c r="DX26" s="919" t="str">
        <f>IF(A26=FALSE,"",((DJ26*TAXE)-(DJ26*TAXE*DL26))+IF(DP26="N/A",0,IF(INDEX(LISTES!$F$105:$F$109,MATCH(DP26,LISTES!$C$105:$C$109,0))="FIX",DQ26,DR26*DO26)))</f>
        <v/>
      </c>
      <c r="DY26" s="466"/>
      <c r="DZ26" s="466"/>
      <c r="EA26" s="966" t="str">
        <f>IF(A26=FALSE,"",Cotations!D26)</f>
        <v/>
      </c>
      <c r="EB26" s="294" t="str">
        <f>IF(A26=FALSE,"",IF(LISTES!$A$17=1,Cotations!AF26,Cotations!AG26))</f>
        <v/>
      </c>
      <c r="EC26" s="284" t="str">
        <f t="shared" si="250"/>
        <v/>
      </c>
      <c r="ED26" s="284" t="str">
        <f t="shared" si="251"/>
        <v/>
      </c>
      <c r="EE26" s="284"/>
      <c r="EF26" s="284"/>
      <c r="EG26" s="284" t="str">
        <f t="shared" si="252"/>
        <v/>
      </c>
      <c r="EH26" s="1365" t="str">
        <f t="shared" si="253"/>
        <v/>
      </c>
      <c r="EI26" s="1365" t="str">
        <f t="shared" si="254"/>
        <v/>
      </c>
      <c r="EJ26" s="284" t="str">
        <f>IF(A26=FALSE,"",IF(Cotations!AH26="monthly",EG26/12*L26,EG26/365*M26))</f>
        <v/>
      </c>
      <c r="EK26" s="1365" t="str">
        <f>IF(A26=FALSE,"",IF(Cotations!AH26="monthly",EI26/12*L26,EI26/365*M26))</f>
        <v/>
      </c>
      <c r="EL26" s="665" t="str">
        <f>IF(A26=FALSE,"",IF(Cotations!AI26="","",Cotations!AI26))</f>
        <v/>
      </c>
      <c r="EM26" s="284" t="str">
        <f t="shared" si="255"/>
        <v/>
      </c>
      <c r="EN26" s="284" t="str">
        <f t="shared" si="256"/>
        <v/>
      </c>
      <c r="EO26" s="1365" t="str">
        <f t="shared" si="432"/>
        <v/>
      </c>
      <c r="EP26" s="284" t="str">
        <f t="shared" si="257"/>
        <v/>
      </c>
      <c r="EQ26" s="284" t="str">
        <f>IF(A26=FALSE,"",Cotations!AJ26)</f>
        <v/>
      </c>
      <c r="ER26" s="284" t="str">
        <f>IF(A26=FALSE,"",IF(Cotations!AK26="","",Cotations!AK26))</f>
        <v/>
      </c>
      <c r="ES26" s="665" t="str">
        <f>IF(A26=FALSE,"",Cotations!AL26)</f>
        <v/>
      </c>
      <c r="ET26" s="284" t="str">
        <f>IF(A26=FALSE,"",IF(EQ26="N/A",0,IF(INDEX(LISTES!$F$105:$F$109,MATCH(EQ26,LISTES!$C$105:$C$109,0))="FIX",IF(INDEX(LISTES!$E$105:$E$109,MATCH(EQ26,LISTES!$C$105:$C$109,0))=12,ER26/12*L26,ER26/365*M26),ES26*EP26)))</f>
        <v/>
      </c>
      <c r="EU26" s="294" t="str">
        <f t="shared" si="258"/>
        <v/>
      </c>
      <c r="EV26" s="294" t="str">
        <f>IF(A26=FALSE,"",EU26*Cotations!AM26)</f>
        <v/>
      </c>
      <c r="EW26" s="294" t="str">
        <f>IF(A26=FALSE,"",EU26*Cotations!AN26)</f>
        <v/>
      </c>
      <c r="EX26" s="334" t="str">
        <f t="shared" si="259"/>
        <v/>
      </c>
      <c r="EY26" s="919" t="str">
        <f>IF(A26=FALSE,"",((EG26*TAXE)-(EG26*TAXE*EL26)+EH26)+IF(EQ26="N/A",0,IF(INDEX(LISTES!$F$105:$F$109,MATCH(EQ26,LISTES!$C$105:$C$109,0))="FIX",ER26,ES26*EP26)))</f>
        <v/>
      </c>
      <c r="FA26" s="966" t="str">
        <f>IF(A26=FALSE,"",Cotations!D26)</f>
        <v/>
      </c>
      <c r="FB26" s="479" t="str">
        <f>IF(A26=FALSE,"",IF(LISTES!$A$17=1,Cotations!AO26,Cotations!$AP$4))</f>
        <v/>
      </c>
      <c r="FC26" s="291" t="str">
        <f t="shared" si="260"/>
        <v/>
      </c>
      <c r="FD26" s="291" t="str">
        <f t="shared" si="261"/>
        <v/>
      </c>
      <c r="FE26" s="291"/>
      <c r="FF26" s="463"/>
      <c r="FG26" s="463" t="str">
        <f t="shared" si="262"/>
        <v/>
      </c>
      <c r="FH26" s="300" t="str">
        <f>IF(A26=FALSE,"",IF(Cotations!$AQ$4="monthly",FG26/12*L26,FG26/365*M26))</f>
        <v/>
      </c>
      <c r="FI26" s="453" t="str">
        <f>IF(A26=FALSE,"",Cotations!$AR$4)</f>
        <v/>
      </c>
      <c r="FJ26" s="300" t="str">
        <f t="shared" si="263"/>
        <v/>
      </c>
      <c r="FK26" s="300" t="str">
        <f t="shared" si="264"/>
        <v/>
      </c>
      <c r="FL26" s="294" t="str">
        <f t="shared" si="265"/>
        <v/>
      </c>
      <c r="FM26" s="294" t="str">
        <f>IF(A26=FALSE,"",Cotations!$AS$4)</f>
        <v/>
      </c>
      <c r="FN26" s="294" t="str">
        <f>IF(A26=FALSE,"",Cotations!$AT$4)</f>
        <v/>
      </c>
      <c r="FO26" s="453" t="str">
        <f>IF(A26=FALSE,"",Cotations!$AU$4)</f>
        <v/>
      </c>
      <c r="FP26" s="294" t="str">
        <f>IF(A26=FALSE,"",IF(FM26="N/A",0,IF(INDEX(LISTES!$F$105:$F$109,MATCH(FM26,LISTES!$C$105:$C$109,0))="FIX",IF(INDEX(LISTES!$E$105:$E$109,MATCH(FM26,LISTES!$C$105:$C$109,0))=12,FN26/12*L26,FN26/365*M26),FO26*FL26)))</f>
        <v/>
      </c>
      <c r="FQ26" s="294" t="str">
        <f t="shared" si="266"/>
        <v/>
      </c>
      <c r="FR26" s="294" t="str">
        <f>IF(A26=FALSE,"",FQ26*Cotations!$AV$4)</f>
        <v/>
      </c>
      <c r="FS26" s="294" t="str">
        <f>IF(A26=FALSE,"",FQ26*Cotations!$AW$4)</f>
        <v/>
      </c>
      <c r="FT26" s="465" t="str">
        <f t="shared" si="267"/>
        <v/>
      </c>
      <c r="FU26" s="919" t="str">
        <f>IF(A26=FALSE,"",((FG26*TAXE)-(FG26*TAXE*FI26))+IF(FM26="N/A",0,IF(INDEX(LISTES!$F$105:$F$109,MATCH(FM26,LISTES!$C$105:$C$109,0))="FIX",FN26,FO26*FL26)))</f>
        <v/>
      </c>
      <c r="FV26" s="478"/>
      <c r="FW26" s="478"/>
      <c r="FX26" s="478"/>
      <c r="FY26" s="478"/>
      <c r="FZ26" s="478"/>
      <c r="GA26" s="966" t="str">
        <f>IF(A26=FALSE,"",Cotations!D26)</f>
        <v/>
      </c>
      <c r="GB26" s="294" t="str">
        <f>IF(A26=FALSE,"",IF(LISTES!$A$17=1,Cotations!AO26,Cotations!AP26))</f>
        <v/>
      </c>
      <c r="GC26" s="284" t="str">
        <f t="shared" si="268"/>
        <v/>
      </c>
      <c r="GD26" s="284" t="str">
        <f>IF(A26=FALSE,"",IF(Detail!AM26="","",Detail!AM26))</f>
        <v/>
      </c>
      <c r="GE26" s="284"/>
      <c r="GF26" s="284"/>
      <c r="GG26" s="284" t="str">
        <f t="shared" si="269"/>
        <v/>
      </c>
      <c r="GH26" s="284" t="str">
        <f>IF(A26=FALSE,"",IF(Cotations!AQ26="monthly",GG26/12*L26,GG26/365*M26))</f>
        <v/>
      </c>
      <c r="GI26" s="665" t="str">
        <f>IF(A26=FALSE,"",IF(Cotations!AR26="","",Cotations!AR26))</f>
        <v/>
      </c>
      <c r="GJ26" s="284" t="str">
        <f t="shared" si="270"/>
        <v/>
      </c>
      <c r="GK26" s="284" t="str">
        <f t="shared" si="271"/>
        <v/>
      </c>
      <c r="GL26" s="284" t="str">
        <f t="shared" si="272"/>
        <v/>
      </c>
      <c r="GM26" s="284" t="str">
        <f>IF(A26=FALSE,"",Cotations!AS26)</f>
        <v/>
      </c>
      <c r="GN26" s="284" t="str">
        <f>IF(A26=FALSE,"",Cotations!AT26)</f>
        <v/>
      </c>
      <c r="GO26" s="665" t="str">
        <f>IF(A26=FALSE,"",Cotations!AU26)</f>
        <v/>
      </c>
      <c r="GP26" s="284" t="str">
        <f>IF(A26=FALSE,"",IF(GM26="N/A",0,IF(INDEX(LISTES!$F$105:$F$109,MATCH(GM26,LISTES!$C$105:$C$109,0))="FIX",IF(INDEX(LISTES!$E$105:$E$109,MATCH(GM26,LISTES!$C$105:$C$109,0))=12,GN26/12*L26,GN26/365*M26),GO26*GL26)))</f>
        <v/>
      </c>
      <c r="GQ26" s="294" t="str">
        <f t="shared" si="273"/>
        <v/>
      </c>
      <c r="GR26" s="294" t="str">
        <f>IF(A26=FALSE,"",GQ26*Cotations!AV26)</f>
        <v/>
      </c>
      <c r="GS26" s="294" t="str">
        <f>IF(A26=FALSE,"",GQ26*Cotations!AW26)</f>
        <v/>
      </c>
      <c r="GT26" s="334" t="str">
        <f t="shared" si="274"/>
        <v/>
      </c>
      <c r="GU26" s="919" t="str">
        <f>IF(A26=FALSE,"",((GG26*TAXE)-(GG26*TAXE*GI26))+IF(GM26="N/A",0,IF(INDEX(LISTES!$F$105:$F$109,MATCH(GM26,LISTES!$C$105:$C$109,0))="FIX",GN26,GO26*GL26)))</f>
        <v/>
      </c>
      <c r="GV26" s="478"/>
      <c r="GW26" s="466"/>
      <c r="GX26" s="466"/>
      <c r="GY26" s="466"/>
      <c r="GZ26" s="466"/>
      <c r="HA26" s="966" t="str">
        <f>IF(A26=FALSE,"",Cotations!D26)</f>
        <v/>
      </c>
      <c r="HB26" s="978" t="str">
        <f>IF(A26=FALSE,"",IF(LISTES!$A$17=1,Cotations!AX26,Cotations!$AY$4))</f>
        <v/>
      </c>
      <c r="HC26" s="291" t="str">
        <f t="shared" si="275"/>
        <v/>
      </c>
      <c r="HD26" s="291" t="str">
        <f t="shared" si="276"/>
        <v/>
      </c>
      <c r="HE26" s="456" t="str">
        <f t="shared" si="277"/>
        <v/>
      </c>
      <c r="HF26" s="980" t="str">
        <f>IF(A26=FALSE,"",IF(HA26="POEA",Cotations!BA26,IF(HA26="FIXE",Cotations!$BA$4,Cotations!$BC$4*Y26)))</f>
        <v/>
      </c>
      <c r="HG26" s="300" t="str">
        <f t="shared" si="278"/>
        <v/>
      </c>
      <c r="HH26" s="300" t="str">
        <f>IF(A26=FALSE,"",IF(Cotations!$AZ$4="monthly",HG26/12*L26,HG26/365*M26))</f>
        <v/>
      </c>
      <c r="HI26" s="453" t="str">
        <f>IF(A26=FALSE,"",Cotations!$BD$4)</f>
        <v/>
      </c>
      <c r="HJ26" s="300" t="str">
        <f t="shared" si="279"/>
        <v/>
      </c>
      <c r="HK26" s="300" t="str">
        <f t="shared" si="280"/>
        <v/>
      </c>
      <c r="HL26" s="294" t="str">
        <f t="shared" si="281"/>
        <v/>
      </c>
      <c r="HM26" s="294" t="str">
        <f>IF(A26=FALSE,"",Cotations!$BE$4)</f>
        <v/>
      </c>
      <c r="HN26" s="300" t="str">
        <f>IF(A26=FALSE,"",Cotations!$BF$4)</f>
        <v/>
      </c>
      <c r="HO26" s="453" t="str">
        <f>IF(A26=FALSE,"",Cotations!$BG$4)</f>
        <v/>
      </c>
      <c r="HP26" s="294" t="str">
        <f>IF(A26=FALSE,"",IF(HM26="N/A",0,IF(INDEX(LISTES!$F$105:$F$109,MATCH(HM26,LISTES!$C$105:$C$109,0))="FIX",IF(INDEX(LISTES!$E$105:$E$109,MATCH(HM26,LISTES!$C$105:$C$109,0))=12,HN26/12*L26,HN26/365*M26),HO26*HL26)))</f>
        <v/>
      </c>
      <c r="HQ26" s="294" t="str">
        <f t="shared" si="282"/>
        <v/>
      </c>
      <c r="HR26" s="294" t="str">
        <f>IF(A26=FALSE,"",HQ26*Cotations!$BH$4)</f>
        <v/>
      </c>
      <c r="HS26" s="294" t="str">
        <f>IF(A26=FALSE,"",HQ26*Cotations!$BI$4)</f>
        <v/>
      </c>
      <c r="HT26" s="294" t="str">
        <f t="shared" si="283"/>
        <v/>
      </c>
      <c r="HU26" s="919" t="str">
        <f>IF(A26=FALSE,"",((HG26*TAXE)-(HG26*TAXE*HI26))+IF(HM26="N/A",0,IF(INDEX(LISTES!$F$105:$F$109,MATCH(HM26,LISTES!$C$105:$C$109,0))="FIX",HN26,HO26*HL26)))</f>
        <v/>
      </c>
      <c r="IA26" s="966" t="str">
        <f>IF(A26=FALSE,"",Cotations!D26)</f>
        <v/>
      </c>
      <c r="IB26" s="981" t="str">
        <f>IF(A26=FALSE,"",IF(LISTES!$A$17=1,Cotations!AX26,Cotations!AY26))</f>
        <v/>
      </c>
      <c r="IC26" s="919" t="str">
        <f t="shared" si="284"/>
        <v/>
      </c>
      <c r="ID26" s="300" t="str">
        <f>IF(A26=FALSE,"",IF(LISTES!$A$17=3,Detail!AU26,lig1_Formula_PREVOY))</f>
        <v/>
      </c>
      <c r="IE26" s="461" t="str">
        <f t="shared" si="285"/>
        <v/>
      </c>
      <c r="IF26" s="983" t="str">
        <f>IF(A26=FALSE,"",IF(IA26="POEA",Cotations!BA26,IF(HA26="FIXE",Cotations!BB26,IF(Cotations!BC26*Y26&lt;50000,Z26,Cotations!BC26*Y26))))</f>
        <v/>
      </c>
      <c r="IG26" s="300" t="str">
        <f t="shared" si="286"/>
        <v/>
      </c>
      <c r="IH26" s="300" t="str">
        <f>IF(A26=FALSE,"",IF(Cotations!AZ26="monthly",IG26/12*L26,IG26/365*M26))</f>
        <v/>
      </c>
      <c r="II26" s="453" t="str">
        <f>IF(A26=FALSE,"",IF(Cotations!BD26="","",Cotations!BD26))</f>
        <v/>
      </c>
      <c r="IJ26" s="300" t="str">
        <f t="shared" si="287"/>
        <v/>
      </c>
      <c r="IK26" s="300" t="str">
        <f t="shared" si="288"/>
        <v/>
      </c>
      <c r="IL26" s="919" t="str">
        <f t="shared" si="289"/>
        <v/>
      </c>
      <c r="IM26" s="919" t="str">
        <f>IF(A26=FALSE,"",Cotations!BE26)</f>
        <v/>
      </c>
      <c r="IN26" s="919" t="str">
        <f>IF(A26=FALSE,"",Cotations!BF26)</f>
        <v/>
      </c>
      <c r="IO26" s="665" t="str">
        <f>IF(A26=FALSE,"",Cotations!BG26)</f>
        <v/>
      </c>
      <c r="IP26" s="919" t="str">
        <f>IF(A26=FALSE,"",IF(IM26="N/A",0,IF(INDEX(LISTES!$F$105:$F$109,MATCH(IM26,LISTES!$C$105:$C$109,0))="FIX",IF(INDEX(LISTES!$E$105:$E$109,MATCH(IM26,LISTES!$C$105:$C$109,0))=12,IN26/12*L26,IN26/365*M26),IO26*IL26)))</f>
        <v/>
      </c>
      <c r="IQ26" s="294" t="str">
        <f t="shared" si="290"/>
        <v/>
      </c>
      <c r="IR26" s="294" t="str">
        <f>IF(A26=FALSE,"",IQ26*Cotations!BH26)</f>
        <v/>
      </c>
      <c r="IS26" s="294" t="str">
        <f>IF(A26=FALSE,"",IQ26*Cotations!BI26)</f>
        <v/>
      </c>
      <c r="IT26" s="338" t="str">
        <f t="shared" si="291"/>
        <v/>
      </c>
      <c r="IU26" s="919" t="str">
        <f>IF(A26=FALSE,"",((IG26*TAXE)-(IG26*TAXE*II26))+IF(IM26="N/A",0,IF(INDEX(LISTES!$F$105:$F$109,MATCH(IM26,LISTES!$C$105:$C$109,0))="FIX",IN26,IO26*IL26)))</f>
        <v/>
      </c>
      <c r="JA26" s="966" t="str">
        <f>IF(A26=FALSE,"",Cotations!D26)</f>
        <v/>
      </c>
      <c r="JB26" s="978" t="str">
        <f>IF(A26=FALSE,"",IF(LISTES!$A$17=1,Cotations!BJ26,Cotations!$BK$4))</f>
        <v/>
      </c>
      <c r="JC26" s="291" t="str">
        <f t="shared" si="292"/>
        <v/>
      </c>
      <c r="JD26" s="291" t="str">
        <f t="shared" si="293"/>
        <v/>
      </c>
      <c r="JE26" s="456" t="str">
        <f t="shared" si="294"/>
        <v/>
      </c>
      <c r="JF26" s="980" t="str">
        <f>IF(A26=FALSE,"",IF(JA26="POEA",Cotations!BM26,IF(JA26="FIXE",Cotations!$BM$4,Cotations!$BO$4*Y26)))</f>
        <v/>
      </c>
      <c r="JG26" s="300" t="str">
        <f t="shared" si="295"/>
        <v/>
      </c>
      <c r="JH26" s="300" t="str">
        <f>IF(A26=FALSE,"",IF(Cotations!$BL$4="monthly",JG26/12*L26,JG26/365*M26))</f>
        <v/>
      </c>
      <c r="JI26" s="453" t="str">
        <f>IF(A26=FALSE,"",Cotations!$BP$4)</f>
        <v/>
      </c>
      <c r="JJ26" s="300" t="str">
        <f t="shared" si="296"/>
        <v/>
      </c>
      <c r="JK26" s="300" t="str">
        <f t="shared" si="297"/>
        <v/>
      </c>
      <c r="JL26" s="294" t="str">
        <f t="shared" si="298"/>
        <v/>
      </c>
      <c r="JM26" s="294" t="str">
        <f>IF(A26=FALSE,"",Cotations!$BQ$4)</f>
        <v/>
      </c>
      <c r="JN26" s="300" t="str">
        <f>IF(A26=FALSE,"",Cotations!$BR$4)</f>
        <v/>
      </c>
      <c r="JO26" s="453" t="str">
        <f>IF(A26=FALSE,"",Cotations!$BS$4)</f>
        <v/>
      </c>
      <c r="JP26" s="294" t="str">
        <f>IF(A26=FALSE,"",IF(JM26="N/A",0,IF(INDEX(LISTES!$F$105:$F$109,MATCH(JM26,LISTES!$C$105:$C$109,0))="FIX",IF(INDEX(LISTES!$E$105:$E$109,MATCH(JM26,LISTES!$C$105:$C$109,0))=12,JN26/12*L26,JN26/365*M26),JO26*JL26)))</f>
        <v/>
      </c>
      <c r="JQ26" s="294" t="str">
        <f t="shared" si="299"/>
        <v/>
      </c>
      <c r="JR26" s="294" t="str">
        <f>IF(A26=FALSE,"",JQ26*Cotations!$BT$4)</f>
        <v/>
      </c>
      <c r="JS26" s="294" t="str">
        <f>IF(A26=FALSE,"",JQ26*Cotations!$BU$4)</f>
        <v/>
      </c>
      <c r="JT26" s="294" t="str">
        <f t="shared" si="300"/>
        <v/>
      </c>
      <c r="JU26" s="919" t="str">
        <f>IF(A26=FALSE,"",((JG26*TAXE)-(JG26*TAXE*JI26))+IF(JM26="N/A",0,IF(INDEX(LISTES!$F$105:$F$109,MATCH(JM26,LISTES!$C$105:$C$109,0))="FIX",JN26,JO26*JL26)))</f>
        <v/>
      </c>
      <c r="KA26" s="966" t="str">
        <f>IF(A26=FALSE,"",Cotations!D26)</f>
        <v/>
      </c>
      <c r="KB26" s="981" t="str">
        <f>IF(A26=FALSE,"",IF(LISTES!$A$17=1,Cotations!BJ26,Cotations!BK26))</f>
        <v/>
      </c>
      <c r="KC26" s="919" t="str">
        <f t="shared" si="301"/>
        <v/>
      </c>
      <c r="KD26" s="300"/>
      <c r="KE26" s="461" t="str">
        <f t="shared" si="302"/>
        <v/>
      </c>
      <c r="KF26" s="983" t="str">
        <f>IF(A26=FALSE,"",IF(KA26="POEA",Cotations!BM26,IF(KA26="FIXE",Cotations!BN26,IF(Cotations!BO26*Y26&lt;50000,Z26,Cotations!BO26*Y26))))</f>
        <v/>
      </c>
      <c r="KG26" s="300" t="str">
        <f t="shared" si="303"/>
        <v/>
      </c>
      <c r="KH26" s="300" t="str">
        <f>IF(A26=FALSE,"",IF(Cotations!BL26="monthly",KG26/12*L26,KG26/365*M26))</f>
        <v/>
      </c>
      <c r="KI26" s="453" t="str">
        <f>IF(A26=FALSE,"",IF(Cotations!BP26="","",Cotations!BP26))</f>
        <v/>
      </c>
      <c r="KJ26" s="300" t="str">
        <f t="shared" si="304"/>
        <v/>
      </c>
      <c r="KK26" s="300" t="str">
        <f t="shared" si="305"/>
        <v/>
      </c>
      <c r="KL26" s="919" t="str">
        <f t="shared" si="306"/>
        <v/>
      </c>
      <c r="KM26" s="919" t="str">
        <f>IF(A26=FALSE,"",Cotations!BQ26)</f>
        <v/>
      </c>
      <c r="KN26" s="284" t="str">
        <f>IF(A26=FALSE,"",Cotations!BR26)</f>
        <v/>
      </c>
      <c r="KO26" s="665" t="str">
        <f>IF(A26=FALSE,"",Cotations!BS26)</f>
        <v/>
      </c>
      <c r="KP26" s="919" t="str">
        <f>IF(A26=FALSE,"",IF(KM26="N/A",0,IF(INDEX(LISTES!$F$105:$F$109,MATCH(KM26,LISTES!$C$105:$C$109,0))="FIX",IF(INDEX(LISTES!$E$105:$E$109,MATCH(KM26,LISTES!$C$105:$C$109,0))=12,KN26/12*L26,KN26/365*M26),KO26*KL26)))</f>
        <v/>
      </c>
      <c r="KQ26" s="294" t="str">
        <f t="shared" si="307"/>
        <v/>
      </c>
      <c r="KR26" s="294" t="str">
        <f>IF(A26=FALSE,"",KQ26*Cotations!BT26)</f>
        <v/>
      </c>
      <c r="KS26" s="294" t="str">
        <f>IF(A26=FALSE,"",KQ26*Cotations!BU26)</f>
        <v/>
      </c>
      <c r="KT26" s="338" t="str">
        <f t="shared" si="308"/>
        <v/>
      </c>
      <c r="KU26" s="919" t="str">
        <f>IF(A26=FALSE,"",((KG26*TAXE)-(KG26*TAXE*KI26))+IF(KM26="N/A",0,IF(INDEX(LISTES!$F$105:$F$109,MATCH(KM26,LISTES!$C$105:$C$109,0))="FIX",KN26,KO26*KL26)))</f>
        <v/>
      </c>
      <c r="LA26" s="984" t="str">
        <f>IF(A26=FALSE,"",Cotations!D26)</f>
        <v/>
      </c>
      <c r="LB26" s="985" t="str">
        <f>IF(A26=FALSE,"",IF(LISTES!$A$17=1,Cotations!BV26,Cotations!$BW$4))</f>
        <v/>
      </c>
      <c r="LC26" s="499" t="str">
        <f t="shared" si="309"/>
        <v/>
      </c>
      <c r="LD26" s="499" t="str">
        <f t="shared" si="310"/>
        <v/>
      </c>
      <c r="LE26" s="500" t="str">
        <f t="shared" si="311"/>
        <v/>
      </c>
      <c r="LF26" s="988" t="str">
        <f>IF(A26=FALSE,"",IF(LA26="POEA",Cotations!EJ26,IF(LA26="FIXE",Cotations!$BY$4,Cotations!$CA$4*Y26)))</f>
        <v/>
      </c>
      <c r="LG26" s="502" t="str">
        <f t="shared" si="312"/>
        <v/>
      </c>
      <c r="LH26" s="502" t="str">
        <f>IF(A26=FALSE,"",IF(Cotations!$BX$4="monthly",LG26/12*L26,LG26/365*M26))</f>
        <v/>
      </c>
      <c r="LI26" s="1417" t="str">
        <f>IF(A26=FALSE,"",Cotations!$CB$4)</f>
        <v/>
      </c>
      <c r="LJ26" s="502" t="str">
        <f t="shared" si="313"/>
        <v/>
      </c>
      <c r="LK26" s="502" t="str">
        <f t="shared" si="314"/>
        <v/>
      </c>
      <c r="LL26" s="504" t="str">
        <f t="shared" si="315"/>
        <v/>
      </c>
      <c r="LM26" s="504" t="str">
        <f>IF(A26=FALSE,"",Cotations!$CC$4)</f>
        <v/>
      </c>
      <c r="LN26" s="1417" t="str">
        <f>IF(A26=FALSE,"",Cotations!$CD$4)</f>
        <v/>
      </c>
      <c r="LO26" s="1417" t="str">
        <f>IF(A26=FALSE,"",Cotations!$CE$4)</f>
        <v/>
      </c>
      <c r="LP26" s="504" t="str">
        <f>IF(A26=FALSE,"",IF(LM26="N/A",0,IF(INDEX(LISTES!$F$105:$F$109,MATCH(LM26,LISTES!$C$105:$C$109,0))="FIX",IF(INDEX(LISTES!$E$105:$E$109,MATCH(LM26,LISTES!$C$105:$C$109,0))=12,LN26/12*L26,LN26/365*M26),LO26*LL26)))</f>
        <v/>
      </c>
      <c r="LQ26" s="504" t="str">
        <f t="shared" si="316"/>
        <v/>
      </c>
      <c r="LR26" s="504" t="str">
        <f>IF(A26=FALSE,"",LQ26*Cotations!$CF$4)</f>
        <v/>
      </c>
      <c r="LS26" s="504" t="str">
        <f>IF(A26=FALSE,"",LQ26*Cotations!$CG$4)</f>
        <v/>
      </c>
      <c r="LT26" s="506" t="str">
        <f t="shared" si="317"/>
        <v/>
      </c>
      <c r="LU26" s="919" t="str">
        <f>IF(A26=FALSE,"",((LG26*TAXE)-(LG26*TAXE*LI26))+IF(LM26="N/A",0,IF(INDEX(LISTES!$F$105:$F$109,MATCH(LM26,LISTES!$C$105:$C$109,0))="FIX",LN26,LO26*LL26)))</f>
        <v/>
      </c>
      <c r="MA26" s="966" t="str">
        <f>IF(A26=FALSE,"",Cotations!D26)</f>
        <v/>
      </c>
      <c r="MB26" s="981" t="str">
        <f>IF(A26=FALSE,"",IF(LISTES!$A$17=1,Cotations!BV26,Cotations!BW26))</f>
        <v/>
      </c>
      <c r="MC26" s="919" t="str">
        <f t="shared" si="318"/>
        <v/>
      </c>
      <c r="MD26" s="300"/>
      <c r="ME26" s="461" t="str">
        <f t="shared" si="319"/>
        <v/>
      </c>
      <c r="MF26" s="983" t="str">
        <f>IF(A26=FALSE,"",IF(MA26="POEA",Cotations!BY26,IF(MA26="FIXE",Cotations!BZ26,IF(Cotations!CA26*Y26&lt;50000,Z26,Cotations!CA26*Y26))))</f>
        <v/>
      </c>
      <c r="MG26" s="300" t="str">
        <f t="shared" si="320"/>
        <v/>
      </c>
      <c r="MH26" s="300" t="str">
        <f>IF(A26=FALSE,"",IF(Cotations!BX26="monthly",MG26/12*L26,MG26/365*M26))</f>
        <v/>
      </c>
      <c r="MI26" s="453" t="str">
        <f>IF(A26=FALSE,"",IF(Cotations!CB26="","",Cotations!CB26))</f>
        <v/>
      </c>
      <c r="MJ26" s="300" t="str">
        <f t="shared" si="321"/>
        <v/>
      </c>
      <c r="MK26" s="300" t="str">
        <f t="shared" si="322"/>
        <v/>
      </c>
      <c r="ML26" s="919" t="str">
        <f t="shared" si="323"/>
        <v/>
      </c>
      <c r="MM26" s="919" t="str">
        <f>IF(A26=FALSE,"",Cotations!CC26)</f>
        <v/>
      </c>
      <c r="MN26" s="284" t="str">
        <f>IF(A26=FALSE,"",Cotations!CD26)</f>
        <v/>
      </c>
      <c r="MO26" s="665" t="str">
        <f>IF(A26=FALSE,"",Cotations!CE26)</f>
        <v/>
      </c>
      <c r="MP26" s="919" t="str">
        <f>IF(A26=FALSE,"",IF(MM26="N/A",0,IF(INDEX(LISTES!$F$105:$F$109,MATCH(MM26,LISTES!$C$105:$C$109,0))="FIX",IF(INDEX(LISTES!$E$105:$E$109,MATCH(MM26,LISTES!$C$105:$C$109,0))=12,MN26/12*L26,MN26/365*M26),MO26*ML26)))</f>
        <v/>
      </c>
      <c r="MQ26" s="294" t="str">
        <f t="shared" si="324"/>
        <v/>
      </c>
      <c r="MR26" s="294" t="str">
        <f>IF(A26=FALSE,"",MQ26*Cotations!CF26)</f>
        <v/>
      </c>
      <c r="MS26" s="294" t="str">
        <f>IF(A26=FALSE,"",MQ26*Cotations!CG26)</f>
        <v/>
      </c>
      <c r="MT26" s="338" t="str">
        <f t="shared" si="325"/>
        <v/>
      </c>
      <c r="MU26" s="919" t="str">
        <f>IF(A26=FALSE,"",((MG26*TAXE)-(MG26*TAXE*MI26))+IF(MM26="N/A",0,IF(INDEX(LISTES!$F$105:$F$109,MATCH(MM26,LISTES!$C$105:$C$109,0))="FIX",MN26,MO26*ML26)))</f>
        <v/>
      </c>
      <c r="NA26" s="984" t="str">
        <f>IF(A26=FALSE,"",Cotations!D26)</f>
        <v/>
      </c>
      <c r="NB26" s="985" t="str">
        <f>IF(A26=FALSE,"",IF(LISTES!$A$17=1,Cotations!CH26,Cotations!$CI$4))</f>
        <v/>
      </c>
      <c r="NC26" s="499" t="str">
        <f t="shared" si="326"/>
        <v/>
      </c>
      <c r="ND26" s="499" t="str">
        <f t="shared" si="327"/>
        <v/>
      </c>
      <c r="NE26" s="500" t="str">
        <f t="shared" si="328"/>
        <v/>
      </c>
      <c r="NF26" s="988" t="str">
        <f>IF(A26=FALSE,"",IF(NA26="POEA",Cotations!CK26,IF(NA26="FIXE",Cotations!$CK$4,Cotations!$CM$4*Y26)))</f>
        <v/>
      </c>
      <c r="NG26" s="502" t="str">
        <f t="shared" si="329"/>
        <v/>
      </c>
      <c r="NH26" s="502" t="str">
        <f>IF(A26=FALSE,"",IF(Cotations!$CJ$4="monthly",NG26/12*L26,NG26/365*M26))</f>
        <v/>
      </c>
      <c r="NI26" s="1417" t="str">
        <f>IF(A26=FALSE,"",Cotations!$CN$4)</f>
        <v/>
      </c>
      <c r="NJ26" s="502" t="str">
        <f t="shared" si="330"/>
        <v/>
      </c>
      <c r="NK26" s="502" t="str">
        <f t="shared" si="331"/>
        <v/>
      </c>
      <c r="NL26" s="504" t="str">
        <f t="shared" si="332"/>
        <v/>
      </c>
      <c r="NM26" s="504" t="str">
        <f>IF(A26=FALSE,"",Cotations!$CO$4)</f>
        <v/>
      </c>
      <c r="NN26" s="502" t="str">
        <f>IF(A26=FALSE,"",Cotations!$CP$4)</f>
        <v/>
      </c>
      <c r="NO26" s="1417" t="str">
        <f>IF(A26=FALSE,"",Cotations!$CQ$4)</f>
        <v/>
      </c>
      <c r="NP26" s="504" t="str">
        <f>IF(A26=FALSE,"",IF(NM26="N/A",0,IF(INDEX(LISTES!$F$105:$F$109,MATCH(NM26,LISTES!$C$105:$C$109,0))="FIX",IF(INDEX(LISTES!$E$105:$E$109,MATCH(NM26,LISTES!$C$105:$C$109,0))=12,NN26/12*L26,NN26/365*M26),NO26*NL26)))</f>
        <v/>
      </c>
      <c r="NQ26" s="504" t="str">
        <f t="shared" si="333"/>
        <v/>
      </c>
      <c r="NR26" s="504" t="str">
        <f>IF(A26=FALSE,"",NQ26*Cotations!$CR$4)</f>
        <v/>
      </c>
      <c r="NS26" s="504" t="str">
        <f>IF(A26=FALSE,"",NQ26*Cotations!$CS$4)</f>
        <v/>
      </c>
      <c r="NT26" s="506" t="str">
        <f t="shared" si="334"/>
        <v/>
      </c>
      <c r="NU26" s="919" t="str">
        <f>IF(A26=FALSE,"",((NG26*TAXE)-(NG26*TAXE*NI26))+IF(NM26="N/A",0,IF(INDEX(LISTES!$F$105:$F$109,MATCH(NM26,LISTES!$C$105:$C$109,0))="FIX",NN26,NO26*NL26)))</f>
        <v/>
      </c>
      <c r="OA26" s="966" t="str">
        <f>IF(A26=FALSE,"",Cotations!D26)</f>
        <v/>
      </c>
      <c r="OB26" s="981" t="str">
        <f>IF(A26=FALSE,"",IF(LISTES!$A$17=1,Cotations!CH26,Cotations!CI26))</f>
        <v/>
      </c>
      <c r="OC26" s="919" t="str">
        <f t="shared" si="335"/>
        <v/>
      </c>
      <c r="OD26" s="300"/>
      <c r="OE26" s="461" t="str">
        <f t="shared" si="336"/>
        <v/>
      </c>
      <c r="OF26" s="983" t="str">
        <f>IF(A26=FALSE,"",IF(OA26="POEA",Cotations!CK26,IF(OA26="FIXE",Cotations!CL26,IF(Cotations!CM26*Y26&lt;50000,Z26,Cotations!CM26*Y26))))</f>
        <v/>
      </c>
      <c r="OG26" s="300" t="str">
        <f t="shared" si="337"/>
        <v/>
      </c>
      <c r="OH26" s="300" t="str">
        <f>IF(A26=FALSE,"",IF(Cotations!CJ26="monthly",OG26/12*L26,OG26/365*M26))</f>
        <v/>
      </c>
      <c r="OI26" s="453" t="str">
        <f>IF(A26=FALSE,"",IF(Cotations!CN26="","",Cotations!CN26))</f>
        <v/>
      </c>
      <c r="OJ26" s="300" t="str">
        <f t="shared" si="338"/>
        <v/>
      </c>
      <c r="OK26" s="300" t="str">
        <f t="shared" si="339"/>
        <v/>
      </c>
      <c r="OL26" s="919" t="str">
        <f t="shared" si="340"/>
        <v/>
      </c>
      <c r="OM26" s="919" t="str">
        <f>IF(A26=FALSE,"",Cotations!CO26)</f>
        <v/>
      </c>
      <c r="ON26" s="284" t="str">
        <f>IF(A26=FALSE,"",Cotations!CP26)</f>
        <v/>
      </c>
      <c r="OO26" s="665" t="str">
        <f>IF(A26=FALSE,"",Cotations!CQ26)</f>
        <v/>
      </c>
      <c r="OP26" s="919" t="str">
        <f>IF(A26=FALSE,"",IF(OM26="N/A",0,IF(INDEX(LISTES!$F$105:$F$109,MATCH(OM26,LISTES!$C$105:$C$109,0))="FIX",IF(INDEX(LISTES!$E$105:$E$109,MATCH(OM26,LISTES!$C$105:$C$109,0))=12,ON26/12*L26,ON26/365*M26),OO26*OL26)))</f>
        <v/>
      </c>
      <c r="OQ26" s="294" t="str">
        <f t="shared" si="341"/>
        <v/>
      </c>
      <c r="OR26" s="294" t="str">
        <f>IF(A26=FALSE,"",OQ26*Cotations!CR26)</f>
        <v/>
      </c>
      <c r="OS26" s="294" t="str">
        <f>IF(A26=FALSE,"",OQ26*Cotations!CS26)</f>
        <v/>
      </c>
      <c r="OT26" s="338" t="str">
        <f t="shared" si="342"/>
        <v/>
      </c>
      <c r="OU26" s="919" t="str">
        <f>IF(A26=FALSE,"",((OG26*TAXE)-(OG26*TAXE*OI26))+IF(OM26="N/A",0,IF(INDEX(LISTES!$F$105:$F$109,MATCH(OM26,LISTES!$C$105:$C$109,0))="FIX",ON26,OO26*OL26)))</f>
        <v/>
      </c>
      <c r="PA26" s="984" t="str">
        <f t="shared" si="343"/>
        <v/>
      </c>
      <c r="PB26" s="985" t="str">
        <f>IF(A26=FALSE,"",IF(LISTES!$A$17=1,Cotations!CT26,Cotations!$CU$4))</f>
        <v/>
      </c>
      <c r="PC26" s="499" t="str">
        <f t="shared" si="344"/>
        <v/>
      </c>
      <c r="PD26" s="499" t="str">
        <f t="shared" si="345"/>
        <v/>
      </c>
      <c r="PE26" s="500" t="str">
        <f t="shared" si="346"/>
        <v/>
      </c>
      <c r="PF26" s="988" t="str">
        <f>IF(A26=FALSE,"",Cotations!$CY$4*Y26)</f>
        <v/>
      </c>
      <c r="PG26" s="502" t="str">
        <f t="shared" si="347"/>
        <v/>
      </c>
      <c r="PH26" s="502" t="str">
        <f>IF(A26=FALSE,"",IF(Cotations!$CV$4="monthly",PG26/12*L26,PG26/365*M26))</f>
        <v/>
      </c>
      <c r="PI26" s="1417" t="str">
        <f>IF(A26=FALSE,"",Cotations!$CZ$4)</f>
        <v/>
      </c>
      <c r="PJ26" s="502" t="str">
        <f t="shared" si="348"/>
        <v/>
      </c>
      <c r="PK26" s="502" t="str">
        <f t="shared" si="349"/>
        <v/>
      </c>
      <c r="PL26" s="504" t="str">
        <f t="shared" si="350"/>
        <v/>
      </c>
      <c r="PM26" s="504" t="str">
        <f>IF(A26=FALSE,"",Cotations!$DA$4)</f>
        <v/>
      </c>
      <c r="PN26" s="502" t="str">
        <f>IF(A26=FALSE,"",Cotations!$DB$4)</f>
        <v/>
      </c>
      <c r="PO26" s="1417" t="str">
        <f>IF(A26=FALSE,"",Cotations!$DC$4)</f>
        <v/>
      </c>
      <c r="PP26" s="504" t="str">
        <f>IF(A26=FALSE,"",IF(PM26="N/A",0,IF(INDEX(LISTES!$F$105:$F$109,MATCH(PM26,LISTES!$C$105:$C$109,0))="FIX",IF(INDEX(LISTES!$E$105:$E$109,MATCH(PM26,LISTES!$C$105:$C$109,0))=12,PN26/12*L26,PN26/365*M26),PO26*PL26)))</f>
        <v/>
      </c>
      <c r="PQ26" s="504" t="str">
        <f t="shared" si="351"/>
        <v/>
      </c>
      <c r="PR26" s="504" t="str">
        <f>IF(A26=FALSE,"",PQ26*Cotations!$DD$4)</f>
        <v/>
      </c>
      <c r="PS26" s="504" t="str">
        <f>IF(A26=FALSE,"",PQ26*Cotations!$DE$4)</f>
        <v/>
      </c>
      <c r="PT26" s="506" t="str">
        <f t="shared" si="352"/>
        <v/>
      </c>
      <c r="PU26" s="919" t="str">
        <f>IF(A26=FALSE,"",((PG26*TAXE)-(PG26*TAXE*PI26))+IF(PM26="N/A",0,IF(INDEX(LISTES!$F$105:$F$109,MATCH(PM26,LISTES!$C$105:$C$109,0))="FIX",PN26,PO26*PL26)))</f>
        <v/>
      </c>
      <c r="QA26" s="966" t="str">
        <f t="shared" si="353"/>
        <v/>
      </c>
      <c r="QB26" s="981" t="str">
        <f>IF(A26=FALSE,"",IF(LISTES!$A$17=1,Cotations!CT26,Cotations!CU26))</f>
        <v/>
      </c>
      <c r="QC26" s="919" t="str">
        <f t="shared" si="354"/>
        <v/>
      </c>
      <c r="QD26" s="300"/>
      <c r="QE26" s="461" t="str">
        <f t="shared" si="355"/>
        <v/>
      </c>
      <c r="QF26" s="983" t="str">
        <f>IF(A26=FALSE,"",Cotations!CY26*AA26)</f>
        <v/>
      </c>
      <c r="QG26" s="300" t="str">
        <f t="shared" si="356"/>
        <v/>
      </c>
      <c r="QH26" s="300" t="str">
        <f>IF(A26=FALSE,"",IF(Cotations!CV26="monthly",QG26/12*L26,QG26/365*M26))</f>
        <v/>
      </c>
      <c r="QI26" s="453" t="str">
        <f>IF(A26=FALSE,"",IF(Cotations!CZ26="","",Cotations!CZ26))</f>
        <v/>
      </c>
      <c r="QJ26" s="300" t="str">
        <f t="shared" si="357"/>
        <v/>
      </c>
      <c r="QK26" s="300" t="str">
        <f t="shared" si="358"/>
        <v/>
      </c>
      <c r="QL26" s="919" t="str">
        <f t="shared" si="359"/>
        <v/>
      </c>
      <c r="QM26" s="919" t="str">
        <f>IF(A26=FALSE,"",Cotations!DA26)</f>
        <v/>
      </c>
      <c r="QN26" s="284" t="str">
        <f>IF(A26=FALSE,"",Cotations!DB26)</f>
        <v/>
      </c>
      <c r="QO26" s="665" t="str">
        <f>IF(A26=FALSE,"",Cotations!DC26)</f>
        <v/>
      </c>
      <c r="QP26" s="919" t="str">
        <f>IF(A26=FALSE,"",IF(QM26="N/A",0,IF(INDEX(LISTES!$F$105:$F$109,MATCH(QM26,LISTES!$C$105:$C$109,0))="FIX",IF(INDEX(LISTES!$E$105:$E$109,MATCH(QM26,LISTES!$C$105:$C$109,0))=12,QN26/12*L26,QN26/365*M26),QO26*QL26)))</f>
        <v/>
      </c>
      <c r="QQ26" s="294" t="str">
        <f t="shared" si="360"/>
        <v/>
      </c>
      <c r="QR26" s="294" t="str">
        <f>IF(A26=FALSE,"",QQ26*Cotations!DD26)</f>
        <v/>
      </c>
      <c r="QS26" s="294" t="str">
        <f>IF(A26=FALSE,"",QQ26*Cotations!DE26)</f>
        <v/>
      </c>
      <c r="QT26" s="338" t="str">
        <f t="shared" si="361"/>
        <v/>
      </c>
      <c r="QU26" s="919" t="str">
        <f>IF(A26=FALSE,"",((QG26*TAXE)-(QG26*TAXE*QI26))+IF(QM26="N/A",0,IF(INDEX(LISTES!$F$105:$F$109,MATCH(QM26,LISTES!$C$105:$C$109,0))="FIX",QN26,QO26*QL26)))</f>
        <v/>
      </c>
      <c r="RA26" s="984" t="str">
        <f t="shared" si="362"/>
        <v/>
      </c>
      <c r="RB26" s="985" t="str">
        <f>IF(A26=FALSE,"",IF(LISTES!$A$17=1,Cotations!DF26,Cotations!$DG$4))</f>
        <v/>
      </c>
      <c r="RC26" s="499" t="str">
        <f t="shared" si="363"/>
        <v/>
      </c>
      <c r="RD26" s="499" t="str">
        <f t="shared" si="364"/>
        <v/>
      </c>
      <c r="RE26" s="500" t="str">
        <f t="shared" si="365"/>
        <v/>
      </c>
      <c r="RF26" s="988" t="str">
        <f>IF(A26=FALSE,"",Cotations!$DK$4*Y26)</f>
        <v/>
      </c>
      <c r="RG26" s="502" t="str">
        <f t="shared" si="366"/>
        <v/>
      </c>
      <c r="RH26" s="502" t="str">
        <f>IF(A26=FALSE,"",IF(Cotations!$DH$4="monthly",RG26/12*L26,RG26/365*M26))</f>
        <v/>
      </c>
      <c r="RI26" s="1417" t="str">
        <f>IF(A26=FALSE,"",Cotations!$DL$4)</f>
        <v/>
      </c>
      <c r="RJ26" s="502" t="str">
        <f t="shared" si="367"/>
        <v/>
      </c>
      <c r="RK26" s="502" t="str">
        <f t="shared" si="368"/>
        <v/>
      </c>
      <c r="RL26" s="504" t="str">
        <f t="shared" si="369"/>
        <v/>
      </c>
      <c r="RM26" s="504" t="str">
        <f>IF(A26=FALSE,"",Cotations!$DM$4)</f>
        <v/>
      </c>
      <c r="RN26" s="502" t="str">
        <f>IF(A26=FALSE,"",Cotations!$DN$4)</f>
        <v/>
      </c>
      <c r="RO26" s="1417" t="str">
        <f>IF(A26=FALSE,"",Cotations!$DO$4)</f>
        <v/>
      </c>
      <c r="RP26" s="504" t="str">
        <f>IF(A26=FALSE,"",IF(RM26="N/A",0,IF(INDEX(LISTES!$F$105:$F$109,MATCH(RM26,LISTES!$C$105:$C$109,0))="FIX",IF(INDEX(LISTES!$E$105:$E$109,MATCH(RM26,LISTES!$C$105:$C$109,0))=12,RN26/12*L26,RN26/365*M26),RO26*RL26)))</f>
        <v/>
      </c>
      <c r="RQ26" s="504" t="str">
        <f t="shared" si="370"/>
        <v/>
      </c>
      <c r="RR26" s="504" t="str">
        <f>IF(A26=FALSE,"",RQ26*Cotations!$DP$4)</f>
        <v/>
      </c>
      <c r="RS26" s="504" t="str">
        <f>IF(A26=FALSE,"",RQ26*Cotations!$DQ$4)</f>
        <v/>
      </c>
      <c r="RT26" s="506" t="str">
        <f t="shared" si="371"/>
        <v/>
      </c>
      <c r="RU26" s="919" t="str">
        <f>IF(A26=FALSE,"",((RG26*TAXE)-(RG26*TAXE*RI26))+IF(RM26="N/A",0,IF(INDEX(LISTES!$F$105:$F$109,MATCH(RM26,LISTES!$C$105:$C$109,0))="FIX",RN26,RO26*RL26)))</f>
        <v/>
      </c>
      <c r="SA26" s="966" t="str">
        <f t="shared" si="372"/>
        <v/>
      </c>
      <c r="SB26" s="981" t="str">
        <f>IF(A26=FALSE,"",IF(LISTES!$A$17=1,Cotations!DF26,Cotations!DG26))</f>
        <v/>
      </c>
      <c r="SC26" s="919" t="str">
        <f t="shared" si="373"/>
        <v/>
      </c>
      <c r="SD26" s="300"/>
      <c r="SE26" s="461" t="str">
        <f t="shared" si="374"/>
        <v/>
      </c>
      <c r="SF26" s="983" t="str">
        <f>IF(A26=FALSE,"",Cotations!DK26*AA26)</f>
        <v/>
      </c>
      <c r="SG26" s="300" t="str">
        <f t="shared" si="375"/>
        <v/>
      </c>
      <c r="SH26" s="300" t="str">
        <f>IF(A26=FALSE,"",IF(Cotations!DH26="monthly",SG26/12*L26,SG26/365*M26))</f>
        <v/>
      </c>
      <c r="SI26" s="453" t="str">
        <f>IF(A26=FALSE,"",IF(Cotations!DL26="","",Cotations!DL26))</f>
        <v/>
      </c>
      <c r="SJ26" s="300" t="str">
        <f t="shared" si="376"/>
        <v/>
      </c>
      <c r="SK26" s="300" t="str">
        <f t="shared" si="377"/>
        <v/>
      </c>
      <c r="SL26" s="919" t="str">
        <f t="shared" si="378"/>
        <v/>
      </c>
      <c r="SM26" s="919" t="str">
        <f>IF(A26=FALSE,"",Cotations!DM26)</f>
        <v/>
      </c>
      <c r="SN26" s="284" t="str">
        <f>IF(A26=FALSE,"",Cotations!DN26)</f>
        <v/>
      </c>
      <c r="SO26" s="665" t="str">
        <f>IF(A26=FALSE,"",Cotations!DO26)</f>
        <v/>
      </c>
      <c r="SP26" s="919" t="str">
        <f>IF(A26=FALSE,"",IF(SM26="N/A",0,IF(INDEX(LISTES!$F$105:$F$109,MATCH(SM26,LISTES!$C$105:$C$109,0))="FIX",IF(INDEX(LISTES!$E$105:$E$109,MATCH(SM26,LISTES!$C$105:$C$109,0))=12,SN26/12*L26,SN26/365*M26),SO26*SL26)))</f>
        <v/>
      </c>
      <c r="SQ26" s="294" t="str">
        <f t="shared" si="379"/>
        <v/>
      </c>
      <c r="SR26" s="294" t="str">
        <f>IF(A26=FALSE,"",SQ26*Cotations!DP26)</f>
        <v/>
      </c>
      <c r="SS26" s="294" t="str">
        <f>IF(A26=FALSE,"",SQ26*Cotations!DQ26)</f>
        <v/>
      </c>
      <c r="ST26" s="338" t="str">
        <f t="shared" si="380"/>
        <v/>
      </c>
      <c r="SU26" s="919" t="str">
        <f>IF(A26=FALSE,"",((SG26*TAXE)-(SG26*TAXE*SI26))+IF(SM26="N/A",0,IF(INDEX(LISTES!$F$105:$F$109,MATCH(SM26,LISTES!$C$105:$C$109,0))="FIX",SN26,SO26*SL26)))</f>
        <v/>
      </c>
      <c r="TA26" s="966" t="str">
        <f>IF(A26=FALSE,"",Cotations!D26)</f>
        <v/>
      </c>
      <c r="TB26" s="981" t="str">
        <f>IF(A26=FALSE,"",IF(LISTES!$A$17=1,Cotations!DR26,Cotations!DS26))</f>
        <v/>
      </c>
      <c r="TC26" s="919" t="str">
        <f t="shared" si="381"/>
        <v/>
      </c>
      <c r="TD26" s="300" t="str">
        <f>IF(A26=FALSE,"",Detail!CQ26)</f>
        <v/>
      </c>
      <c r="TE26" s="461" t="str">
        <f t="shared" si="382"/>
        <v/>
      </c>
      <c r="TF26" s="983" t="str">
        <f>IF(A26=FALSE,"",IF(TA26="FIXE",Cotations!DU26,Cotations!DV26*Y26))</f>
        <v/>
      </c>
      <c r="TG26" s="300" t="str">
        <f t="shared" si="383"/>
        <v/>
      </c>
      <c r="TH26" s="300" t="str">
        <f>IF(A26=FALSE,"",IF(Cotations!DT26="monthly",TG26/12*L26,TG26/365*M26))</f>
        <v/>
      </c>
      <c r="TI26" s="453" t="str">
        <f>IF(A26=FALSE,"",IF(Cotations!DW26="","",Cotations!DW26))</f>
        <v/>
      </c>
      <c r="TJ26" s="300" t="str">
        <f t="shared" si="384"/>
        <v/>
      </c>
      <c r="TK26" s="300" t="str">
        <f t="shared" si="385"/>
        <v/>
      </c>
      <c r="TL26" s="919" t="str">
        <f t="shared" si="386"/>
        <v/>
      </c>
      <c r="TM26" s="919" t="str">
        <f>IF(A26=FALSE,"",Cotations!DX26)</f>
        <v/>
      </c>
      <c r="TN26" s="919" t="str">
        <f>IF(A26=FALSE,"",Cotations!DY26)</f>
        <v/>
      </c>
      <c r="TO26" s="665" t="str">
        <f>IF(A26=FALSE,"",Cotations!DZ26)</f>
        <v/>
      </c>
      <c r="TP26" s="919" t="str">
        <f>IF(A26=FALSE,"",IF(TM26="N/A",0,IF(INDEX(LISTES!$F$105:$F$109,MATCH(TM26,LISTES!$C$105:$C$109,0))="FIX",IF(INDEX(LISTES!$E$105:$E$109,MATCH(TM26,LISTES!$C$105:$C$109,0))=12,TN26/12*L26,TN26/365*M26),TO26*TL26)))</f>
        <v/>
      </c>
      <c r="TQ26" s="294" t="str">
        <f t="shared" si="387"/>
        <v/>
      </c>
      <c r="TR26" s="294" t="str">
        <f>IF(A26=FALSE,"",TQ26*Cotations!EA26)</f>
        <v/>
      </c>
      <c r="TS26" s="294" t="str">
        <f>IF(A26=FALSE,"",TQ26*Cotations!EB26)</f>
        <v/>
      </c>
      <c r="TT26" s="338" t="str">
        <f t="shared" si="388"/>
        <v/>
      </c>
      <c r="TU26" s="919" t="str">
        <f>IF(A26=FALSE,"",((TG26*(1+TAXE)-(TG26*(1+TAXE)*TI26))+IF(TM26="N/A",0,IF(INDEX(LISTES!$F$105:$F$109,MATCH(TM26,LISTES!$C$105:$C$109,0))="FIX",TN26,TO26*TL26))))</f>
        <v/>
      </c>
      <c r="UA26" s="966" t="str">
        <f>IF(A26=FALSE,"",Cotations!D26)</f>
        <v/>
      </c>
      <c r="UB26" s="981" t="str">
        <f>IF(A26=FALSE,"",IF(LISTES!$A$17=1,Cotations!EC26,Cotations!ED26))</f>
        <v/>
      </c>
      <c r="UC26" s="919" t="str">
        <f t="shared" si="389"/>
        <v/>
      </c>
      <c r="UD26" s="300" t="str">
        <f>IF(A26=FALSE,"",Detail!CY26)</f>
        <v/>
      </c>
      <c r="UE26" s="461" t="str">
        <f t="shared" si="390"/>
        <v/>
      </c>
      <c r="UF26" s="983" t="str">
        <f>IF(A26=FALSE,"",IF(UA26="FIXE",Cotations!EF26,Cotations!EG26*Y26))</f>
        <v/>
      </c>
      <c r="UG26" s="300" t="str">
        <f t="shared" si="391"/>
        <v/>
      </c>
      <c r="UH26" s="300" t="str">
        <f>IF(A26=FALSE,"",IF(Cotations!EE26="monthly",UG26/12*L26,UG26/365*M26))</f>
        <v/>
      </c>
      <c r="UI26" s="453" t="str">
        <f>IF(A26=FALSE,"",IF(Cotations!EH26="","",Cotations!EH26))</f>
        <v/>
      </c>
      <c r="UJ26" s="300" t="str">
        <f t="shared" si="392"/>
        <v/>
      </c>
      <c r="UK26" s="300" t="str">
        <f t="shared" si="393"/>
        <v/>
      </c>
      <c r="UL26" s="919" t="str">
        <f t="shared" si="394"/>
        <v/>
      </c>
      <c r="UM26" s="919" t="str">
        <f>IF(A26=FALSE,"",Cotations!EI26)</f>
        <v/>
      </c>
      <c r="UN26" s="919" t="str">
        <f>IF(A26=FALSE,"",Cotations!EJ26)</f>
        <v/>
      </c>
      <c r="UO26" s="665" t="str">
        <f>IF(A26=FALSE,"",Cotations!EK26)</f>
        <v/>
      </c>
      <c r="UP26" s="919" t="str">
        <f>IF(A26=FALSE,"",IF(UM26="N/A",0,IF(INDEX(LISTES!$F$105:$F$109,MATCH(UM26,LISTES!$C$105:$C$109,0))="FIX",IF(INDEX(LISTES!$E$105:$E$109,MATCH(UM26,LISTES!$C$105:$C$109,0))=12,UN26/12*L26,UN26/365*M26),UO26*UL26)))</f>
        <v/>
      </c>
      <c r="UQ26" s="294" t="str">
        <f t="shared" si="395"/>
        <v/>
      </c>
      <c r="UR26" s="294" t="str">
        <f>IF(A26=FALSE,"",UQ26*Cotations!EL26)</f>
        <v/>
      </c>
      <c r="US26" s="294" t="str">
        <f>IF(A26=FALSE,"",UQ26*Cotations!EM26)</f>
        <v/>
      </c>
      <c r="UT26" s="338" t="str">
        <f t="shared" si="396"/>
        <v/>
      </c>
      <c r="UU26" s="919" t="str">
        <f>IF(A26=FALSE,"",((UG26*(1+TAXE)-(UG26*(1+TAXE)*UI26))+IF(UM26="N/A",0,IF(INDEX(LISTES!$F$105:$F$109,MATCH(UM26,LISTES!$C$105:$C$109,0))="FIX",UN26,UO26*UL26))))</f>
        <v/>
      </c>
      <c r="VA26" s="966" t="str">
        <f>IF(A26=FALSE,"",Cotations!D26)</f>
        <v/>
      </c>
      <c r="VB26" s="479" t="str">
        <f>IF(A26=FALSE,"",IF(LISTES!$A$17=1,Cotations!EN26,Cotations!EO26))</f>
        <v/>
      </c>
      <c r="VC26" s="291" t="str">
        <f t="shared" si="397"/>
        <v/>
      </c>
      <c r="VD26" s="291" t="str">
        <f t="shared" si="398"/>
        <v/>
      </c>
      <c r="VE26" s="291"/>
      <c r="VF26" s="463"/>
      <c r="VG26" s="463" t="str">
        <f t="shared" si="399"/>
        <v/>
      </c>
      <c r="VH26" s="300" t="str">
        <f>IF(A26=FALSE,"",IF(Cotations!$AQ$4="monthly",VG26/12*L26,VG26/365*M26))</f>
        <v/>
      </c>
      <c r="VI26" s="453" t="str">
        <f>IF(A26=FALSE,"",Cotations!$AR$4)</f>
        <v/>
      </c>
      <c r="VJ26" s="300" t="str">
        <f t="shared" si="400"/>
        <v/>
      </c>
      <c r="VK26" s="300" t="str">
        <f t="shared" si="401"/>
        <v/>
      </c>
      <c r="VL26" s="294" t="str">
        <f t="shared" si="402"/>
        <v/>
      </c>
      <c r="VM26" s="294" t="str">
        <f>IF(A26=FALSE,"",Cotations!$AS$4)</f>
        <v/>
      </c>
      <c r="VN26" s="294" t="str">
        <f>IF(A26=FALSE,"",Cotations!$AT$4)</f>
        <v/>
      </c>
      <c r="VO26" s="453" t="str">
        <f>IF(A26=FALSE,"",Cotations!$AU$4)</f>
        <v/>
      </c>
      <c r="VP26" s="294" t="str">
        <f>IF(A26=FALSE,"",IF(VM26="N/A",0,IF(INDEX(LISTES!$F$105:$F$109,MATCH(VM26,LISTES!$C$105:$C$109,0))="FIX",IF(INDEX(LISTES!$E$105:$E$109,MATCH(VM26,LISTES!$C$105:$C$109,0))=12,VN26/12*L26,VN26/365*M26),VO26*VL26)))</f>
        <v/>
      </c>
      <c r="VQ26" s="294" t="str">
        <f t="shared" si="403"/>
        <v/>
      </c>
      <c r="VR26" s="294" t="str">
        <f>IF(A26=FALSE,"",VQ26*Cotations!$AV$4)</f>
        <v/>
      </c>
      <c r="VS26" s="294" t="str">
        <f>IF(A26=FALSE,"",VQ26*Cotations!$AW$4)</f>
        <v/>
      </c>
      <c r="VT26" s="465" t="str">
        <f t="shared" si="404"/>
        <v/>
      </c>
      <c r="VU26" s="919" t="str">
        <f>IF(A26=FALSE,"",((VG26*TAXE)-(VG26*TAXE*VI26))+IF(VM26="N/A",0,IF(INDEX(LISTES!$F$105:$F$109,MATCH(VM26,LISTES!$C$105:$C$109,0))="FIX",VN26,VO26*VL26)))</f>
        <v/>
      </c>
      <c r="WA26" s="966" t="str">
        <f>IF(A26=FALSE,"",Cotations!D26)</f>
        <v/>
      </c>
      <c r="WB26" s="479" t="str">
        <f>IF(A26=FALSE,"",IF(LISTES!$A$17=1,Cotations!EW26,Cotations!EX26))</f>
        <v/>
      </c>
      <c r="WC26" s="291" t="str">
        <f t="shared" si="405"/>
        <v/>
      </c>
      <c r="WD26" s="291" t="str">
        <f t="shared" si="406"/>
        <v/>
      </c>
      <c r="WE26" s="291"/>
      <c r="WF26" s="463"/>
      <c r="WG26" s="463" t="str">
        <f t="shared" si="407"/>
        <v/>
      </c>
      <c r="WH26" s="300" t="str">
        <f>IF(A26=FALSE,"",IF(Cotations!$AQ$4="monthly",WG26/12*L26,WG26/365*M26))</f>
        <v/>
      </c>
      <c r="WI26" s="453" t="str">
        <f>IF(A26=FALSE,"",Cotations!$AR$4)</f>
        <v/>
      </c>
      <c r="WJ26" s="300" t="str">
        <f t="shared" si="408"/>
        <v/>
      </c>
      <c r="WK26" s="300" t="str">
        <f t="shared" si="409"/>
        <v/>
      </c>
      <c r="WL26" s="294" t="str">
        <f t="shared" si="410"/>
        <v/>
      </c>
      <c r="WM26" s="294" t="str">
        <f>IF(A26=FALSE,"",Cotations!$AS$4)</f>
        <v/>
      </c>
      <c r="WN26" s="294" t="str">
        <f>IF(A26=FALSE,"",Cotations!$AT$4)</f>
        <v/>
      </c>
      <c r="WO26" s="453" t="str">
        <f>IF(A26=FALSE,"",Cotations!$AU$4)</f>
        <v/>
      </c>
      <c r="WP26" s="294" t="str">
        <f>IF(A26=FALSE,"",IF(WM26="N/A",0,IF(INDEX(LISTES!$F$105:$F$109,MATCH(WM26,LISTES!$C$105:$C$109,0))="FIX",IF(INDEX(LISTES!$E$105:$E$109,MATCH(WM26,LISTES!$C$105:$C$109,0))=12,WN26/12*L26,WN26/365*M26),WO26*WL26)))</f>
        <v/>
      </c>
      <c r="WQ26" s="294" t="str">
        <f t="shared" si="411"/>
        <v/>
      </c>
      <c r="WR26" s="294" t="str">
        <f>IF(A26=FALSE,"",WQ26*Cotations!$AV$4)</f>
        <v/>
      </c>
      <c r="WS26" s="294" t="str">
        <f>IF(A26=FALSE,"",WQ26*Cotations!$AW$4)</f>
        <v/>
      </c>
      <c r="WT26" s="465" t="str">
        <f t="shared" si="412"/>
        <v/>
      </c>
      <c r="WU26" s="919" t="str">
        <f>IF(A26=FALSE,"",((WG26*TAXE)-(WG26*TAXE*WI26))+IF(WM26="N/A",0,IF(INDEX(LISTES!$F$105:$F$109,MATCH(WM26,LISTES!$C$105:$C$109,0))="FIX",WN26,WO26*WL26)))</f>
        <v/>
      </c>
    </row>
    <row r="27" spans="1:619" s="1398" customFormat="1">
      <c r="A27" s="1400" t="b">
        <f t="shared" si="221"/>
        <v>0</v>
      </c>
      <c r="B27" s="1400" t="b">
        <f>IF(NAMES!$B$9=TRUE,TRUE,FALSE)</f>
        <v>1</v>
      </c>
      <c r="C27" s="1400" t="b">
        <f t="shared" si="413"/>
        <v>0</v>
      </c>
      <c r="D27" s="1400" t="b">
        <f t="shared" si="414"/>
        <v>0</v>
      </c>
      <c r="E27" s="1400" t="b">
        <f>IF(Cotations!C27="","",Cotations!C27)</f>
        <v>0</v>
      </c>
      <c r="F27" s="1400" t="str">
        <f>IF(Cotations!D27="","",Cotations!D27)</f>
        <v>PROP</v>
      </c>
      <c r="G27" s="1400" t="str">
        <f>IF(Cotations!E27="","",Cotations!E27)</f>
        <v>2016-2017!</v>
      </c>
      <c r="H27" s="1400" t="str">
        <f>IF(Cotations!F27="","",Cotations!F27)</f>
        <v>SINGLE</v>
      </c>
      <c r="I27" s="1400" t="str">
        <f>IF(Cotations!G27="","",Cotations!G27)</f>
        <v/>
      </c>
      <c r="J27" s="1400" t="str">
        <f>IF(Cotations!H27="","",Cotations!H27)</f>
        <v/>
      </c>
      <c r="K27" s="1400" t="str">
        <f>IF(Cotations!I27="","",Cotations!I27)</f>
        <v/>
      </c>
      <c r="L27" s="1400" t="str">
        <f>IF(A27=FALSE,"",IF(Cotations!N27="","",Cotations!N27))</f>
        <v/>
      </c>
      <c r="M27" s="1400" t="str">
        <f>IF(Cotations!P27="","",Cotations!P27)</f>
        <v/>
      </c>
      <c r="N27" s="1355" t="str">
        <f>IF(NAMES!$B$10=TRUE,Cotations!J27,Cotations!L27)</f>
        <v/>
      </c>
      <c r="O27" s="1355" t="str">
        <f>IF(NAMES!$B$10=TRUE,Cotations!K27,Cotations!M27)</f>
        <v/>
      </c>
      <c r="P27" s="1355" t="str">
        <f t="shared" si="415"/>
        <v/>
      </c>
      <c r="Q27" s="1355" t="str">
        <f>IF(A27=FALSE,"",IF(Crewlist!Y27="","",Crewlist!Y27))</f>
        <v/>
      </c>
      <c r="R27" s="758" t="str">
        <f>IF(Cotations!U27="","",Cotations!U27)</f>
        <v/>
      </c>
      <c r="S27" s="1355" t="str">
        <f t="shared" si="416"/>
        <v/>
      </c>
      <c r="T27" s="919" t="str">
        <f>IF(A27=FALSE,"",VLOOKUP($U$15:$U$120,Currency!$A$2:$D$10,4,0)*Crewlist!N27)</f>
        <v/>
      </c>
      <c r="U27" s="1355" t="str">
        <f>IF(A27=FALSE,"",IF(IT27=0,Crewlist!M27&amp;"/"&amp;EX27,Crewlist!M27&amp;"/"&amp;IT27))</f>
        <v/>
      </c>
      <c r="V27" s="919" t="str">
        <f>IF(A27=FALSE,"",VLOOKUP($U$15:$U$120,Currency!$A$2:$D$10,4,0)*Detail!Q27)</f>
        <v/>
      </c>
      <c r="W27" s="1355" t="str">
        <f>IF(A27=FALSE,"",IF(IT27=0,Detail!R27&amp;"/"&amp;EX27,Detail!R27&amp;"/"&amp;IT27))</f>
        <v/>
      </c>
      <c r="X27" s="919" t="str">
        <f>IF(A27=FALSE,"",IF(LISTES!$C$17="Crewlist",Calcul!T27,Calcul!V27))</f>
        <v/>
      </c>
      <c r="Y27" s="758" t="str">
        <f t="shared" si="417"/>
        <v/>
      </c>
      <c r="Z27" s="758" t="str">
        <f>IF(A27=FALSE,"",IF(X27=0,0,IF((Cotations!BC27*12*X27)&lt;50000,50000,(12*X27))))</f>
        <v/>
      </c>
      <c r="AA27" s="758" t="str">
        <f t="shared" si="418"/>
        <v/>
      </c>
      <c r="AB27" s="758" t="str">
        <f>IF(A27=FALSE,"",IF(Crewlist!O27=0,"",Crewlist!O27))</f>
        <v/>
      </c>
      <c r="AC27" s="758" t="str">
        <f>IF(I27="","",VLOOKUP($AB$15:$AB$120,Currency!$A$15:$B$34,2,0))</f>
        <v/>
      </c>
      <c r="AD27" s="758" t="str">
        <f t="shared" si="419"/>
        <v/>
      </c>
      <c r="AE27" s="758" t="str">
        <f t="shared" si="420"/>
        <v/>
      </c>
      <c r="AF27" s="758" t="str">
        <f t="shared" si="421"/>
        <v/>
      </c>
      <c r="AG27" s="758" t="str">
        <f t="shared" si="422"/>
        <v/>
      </c>
      <c r="AH27" s="1355" t="str">
        <f t="shared" si="222"/>
        <v/>
      </c>
      <c r="AI27" s="919" t="str">
        <f t="shared" si="423"/>
        <v/>
      </c>
      <c r="AJ27" s="1382" t="str">
        <f t="shared" si="424"/>
        <v/>
      </c>
      <c r="AK27" s="1382" t="str">
        <f t="shared" si="425"/>
        <v/>
      </c>
      <c r="AL27" s="238" t="str">
        <f t="shared" si="223"/>
        <v/>
      </c>
      <c r="AM27" s="238" t="str">
        <f t="shared" si="224"/>
        <v/>
      </c>
      <c r="AN27" s="1374" t="str">
        <f t="shared" si="225"/>
        <v/>
      </c>
      <c r="AO27" s="238" t="str">
        <f t="shared" si="226"/>
        <v/>
      </c>
      <c r="AP27" s="342" t="str">
        <f>IF(A27=FALSE,"",INDEX(Rates!$Z$5:$Z$367,MATCH(EB27,colchoice,0)))</f>
        <v/>
      </c>
      <c r="AQ27" s="238" t="str">
        <f t="shared" si="227"/>
        <v/>
      </c>
      <c r="AR27" s="238" t="str">
        <f t="shared" si="426"/>
        <v/>
      </c>
      <c r="AS27" s="238" t="str">
        <f t="shared" si="427"/>
        <v/>
      </c>
      <c r="AT27" s="238" t="str">
        <f t="shared" si="428"/>
        <v/>
      </c>
      <c r="AU27" s="238" t="str">
        <f t="shared" si="228"/>
        <v/>
      </c>
      <c r="AV27" s="238" t="str">
        <f t="shared" si="429"/>
        <v/>
      </c>
      <c r="AW27" s="238" t="str">
        <f t="shared" si="229"/>
        <v/>
      </c>
      <c r="AX27" s="238" t="str">
        <f t="shared" si="230"/>
        <v/>
      </c>
      <c r="AY27" s="238" t="str">
        <f t="shared" si="231"/>
        <v/>
      </c>
      <c r="AZ27" s="238" t="str">
        <f t="shared" si="232"/>
        <v/>
      </c>
      <c r="BA27" s="238" t="str">
        <f t="shared" si="233"/>
        <v/>
      </c>
      <c r="BB27" s="552" t="str">
        <f t="shared" si="234"/>
        <v/>
      </c>
      <c r="BC27" s="347" t="str">
        <f t="shared" si="235"/>
        <v/>
      </c>
      <c r="BD27" s="239" t="str">
        <f t="shared" si="430"/>
        <v/>
      </c>
      <c r="BE27" s="239" t="str">
        <f>IF(A27=FALSE,"",IF(ALLTHESAME=TRUE,IF(DF27&lt;&gt;$BC$7,0,INDEX(DD27:DZ27,1,MATCH(Structure!$D$12,$DD$14:$DZ$14,0))),IF(EC27&lt;&gt;$BC$7,0,INDEX(EA27:EZ27,1,MATCH(Structure!$D$12,$EA$14:$EZ$14,0)))))</f>
        <v/>
      </c>
      <c r="BF27" s="239" t="str">
        <f>IF(A27=FALSE,"",IF(ALLTHESAME=TRUE,IF(FC27&lt;&gt;$BC$7,0,INDEX(FA27:FZ27,1,MATCH(Structure!$D$12,$FA$14:$FZ$14,0))),IF(GC27&lt;&gt;$BC$7,0,INDEX(GA27:GZ27,1,MATCH(Structure!$D$12,$GA$14:$GZ$14,0)))))</f>
        <v/>
      </c>
      <c r="BG27" s="239" t="str">
        <f>IF(A27=FALSE,"",IF(ALLTHESAME=TRUE,IF(VC27&lt;&gt;$BC$7,0,INDEX(VA27:VZ27,1,MATCH(Structure!$D$12,$VA$14:$VZ$14,0))),IF(VC27&lt;&gt;$BC$7,0,INDEX(VA27:VZ27,1,MATCH(Structure!$D$12,$VA$14:$VZ$14,0)))))</f>
        <v/>
      </c>
      <c r="BH27" s="239" t="str">
        <f>IF(A27=FALSE,"",IF(ALLTHESAME=TRUE,IF(WC27&lt;&gt;$BC$7,0,INDEX(WA27:WY27,1,MATCH(Structure!$D$12,$WA$14:$WZ$14,0))),IF(WC27&lt;&gt;$BC$7,0,INDEX(WA27:WZ27,1,MATCH(Structure!$D$12,$WA$14:$WZ$14,0)))))</f>
        <v/>
      </c>
      <c r="BI27" s="239" t="str">
        <f>IF(A27=FALSE,"",IF(ALLTHESAME=TRUE,IF(HC27&lt;&gt;$BC$7,0,INDEX(HA27:HZ27,1,MATCH(Structure!$D$12,$HA$14:$HZ$14,0)))+TK27,IF(IC27&lt;&gt;$BC$7,0,INDEX(IA27:IZ27,1,MATCH(Structure!$D$12,$IA$14:$IZ$14,0)))+TK27))</f>
        <v/>
      </c>
      <c r="BJ27" s="239" t="str">
        <f>IF(A27=FALSE,"",IF(ALLTHESAME=TRUE,IF(JC27&lt;&gt;$BC$7,0,INDEX(JA27:JZ27,1,MATCH(Structure!$D$12,$JA$14:$JZ$14,0))),IF(KC27&lt;&gt;$BC$7,0,INDEX(KA27:KZ27,1,MATCH(Structure!$D$12,$KA$14:$KZ$14,0)))))</f>
        <v/>
      </c>
      <c r="BK27" s="239" t="str">
        <f>IF(A27=FALSE,"",IF(ALLTHESAME=TRUE,IF(LC27&lt;&gt;$BC$7,0,INDEX(LA27:LZ27,1,MATCH(Structure!$D$12,$LA$14:$LZ$14,0)))+UK27,IF(MC27&lt;&gt;$BC$7,0,INDEX(MA27:MZ27,1,MATCH(Structure!$D$12,$MA$14:$MZ$14,0)))+UK27))</f>
        <v/>
      </c>
      <c r="BL27" s="239" t="str">
        <f>IF(A27=FALSE,"",IF(ALLTHESAME=TRUE,IF(NC27&lt;&gt;$BC$7,0,INDEX(NA27:NZ27,1,MATCH(Structure!$D$12,$NA$14:$NZ$14,0))),IF(OC27&lt;&gt;$BC$7,0,INDEX(OA27:OZ27,1,MATCH(Structure!$D$12,$OA$14:$OZ$14,0)))))</f>
        <v/>
      </c>
      <c r="BM27" s="239" t="str">
        <f>IF(A27=FALSE,"",IF(ALLTHESAME=TRUE,IF(PC27&lt;&gt;$BC$7,0,INDEX(PA27:PZ27,1,MATCH(Structure!$D$12,$PA$14:$PZ$14,0))),IF(QC27&lt;&gt;$BC$7,0,INDEX(QA27:QZ27,1,MATCH(Structure!$D$12,$QA$14:$QZ$14,0)))))</f>
        <v/>
      </c>
      <c r="BN27" s="341" t="str">
        <f>IF(A27=FALSE,"",IF(ALLTHESAME=TRUE,IF(RC27&lt;&gt;$BC$7,0,INDEX(RA27:RZ27,1,MATCH(Structure!$D$12,$RA$14:$RZ$14,0))),IF(SC27&lt;&gt;$BC$7,0,INDEX(SA27:TA27,1,MATCH(Structure!$D$12,$SA$14:$TA$14,0)))))</f>
        <v/>
      </c>
      <c r="BO27" s="507" t="str">
        <f t="shared" si="236"/>
        <v/>
      </c>
      <c r="BP27" s="239" t="str">
        <f t="shared" si="237"/>
        <v/>
      </c>
      <c r="BQ27" s="239" t="str">
        <f>IF(A27=FALSE,"",IF(ALLTHESAME=TRUE,IF(DF27&lt;&gt;$BO$7,0,INDEX(DD27:DZ27,1,MATCH(Structure!$D$12,$DD$14:$DZ$14,0))),IF(EC27&lt;&gt;$BO$7,0,INDEX(EA27:EZ27,1,MATCH(Structure!$D$12,$EA$14:$EZ$14,0)))))</f>
        <v/>
      </c>
      <c r="BR27" s="239" t="str">
        <f>IF(A27=FALSE,"",IF(ALLTHESAME=TRUE,IF(FC27&lt;&gt;$BO$7,0,INDEX(FA27:FZ27,1,MATCH(Structure!$D$12,$FA$14:$FZ$14,0))),IF(GC27&lt;&gt;$BO$7,0,INDEX(GA27:GZ27,1,MATCH(Structure!$D$12,$GA$14:$GZ$14,0)))))</f>
        <v/>
      </c>
      <c r="BS27" s="239" t="str">
        <f>IF(A27=FALSE,"",IF(ALLTHESAME=TRUE,IF(HC27&lt;&gt;$BO$7,0,INDEX(HA27:HZ27,1,MATCH(Structure!$D$12,$HA$14:$HZ$14,0))),IF(IC27&lt;&gt;$BO$7,0,INDEX(IA27:IZ27,1,MATCH(Structure!$D$12,$IA$14:$IZ$14,0)))))</f>
        <v/>
      </c>
      <c r="BT27" s="239" t="str">
        <f>IF(A27=FALSE,"",IF(ALLTHESAME=TRUE,IF(JC27&lt;&gt;$BO$7,0,INDEX(JA27:JZ27,1,MATCH(Structure!$D$12,$JA$14:$JZ$14,0))),IF(KC27&lt;&gt;$BO$7,0,INDEX(KA27:KZ27,1,MATCH(Structure!$D$12,$KA$14:$KZ$14,0)))))</f>
        <v/>
      </c>
      <c r="BU27" s="239" t="str">
        <f>IF(A27=FALSE,"",IF(ALLTHESAME=TRUE,IF(LC27&lt;&gt;$BO$7,0,INDEX(LA27:LZ27,1,MATCH(Structure!$D$12,$LA$14:$LZ$14,0))),IF(MC27&lt;&gt;$BO$7,0,INDEX(MA27:MZ27,1,MATCH(Structure!$D$12,$MA$14:$MZ$14,0)))))</f>
        <v/>
      </c>
      <c r="BV27" s="239" t="str">
        <f>IF(A27=FALSE,"",IF(ALLTHESAME=TRUE,IF(NC27&lt;&gt;$BO$7,0,INDEX(NA27:NZ27,1,MATCH(Structure!$D$12,$NA$14:$NZ$14,0))),IF(OC27&lt;&gt;$BO$7,0,INDEX(OA27:OZ27,1,MATCH(Structure!$D$12,$OA$14:$OZ$14,0)))))</f>
        <v/>
      </c>
      <c r="BW27" s="239" t="str">
        <f>IF(A27=FALSE,"",IF(ALLTHESAME=TRUE,IF(PC27&lt;&gt;$BO$7,0,INDEX(PA27:PZ27,1,MATCH(Structure!$D$12,$PA$14:$PZ$14,0))),IF(QC27&lt;&gt;$BO$7,0,INDEX(QA27:QZ27,1,MATCH(Structure!$D$12,$QA$14:$QZ$14,0)))))</f>
        <v/>
      </c>
      <c r="BX27" s="341" t="str">
        <f>IF(A27=FALSE,"",IF(ALLTHESAME=TRUE,IF(RC27&lt;&gt;$BO$7,0,INDEX(RA27:RZ27,1,MATCH(Structure!$D$12,$RA$14:$RZ$14,0))),IF(SC27&lt;&gt;$BO$7,0,INDEX(SA27:TA27,1,MATCH(Structure!$D$12,$SA$14:$TA$14,0)))))</f>
        <v/>
      </c>
      <c r="BY27" s="347" t="str">
        <f t="shared" si="238"/>
        <v/>
      </c>
      <c r="BZ27" s="507" t="str">
        <f t="shared" si="239"/>
        <v/>
      </c>
      <c r="CA27" s="239" t="str">
        <f t="shared" si="240"/>
        <v/>
      </c>
      <c r="CB27" s="239" t="str">
        <f>IF(A27=FALSE,"",IF(ALLTHESAME=TRUE,INDEX(DD27:DZ27,MATCH(DF27,DF27:DF132,0),MATCH(Structure!$D$17,$DD$14:$DZ$14,0)),INDEX(EA27:EZ27,MATCH(EC27,EC27:EC132,0),MATCH(Structure!$D$17,$EA$14:$EZ$14,0))))</f>
        <v/>
      </c>
      <c r="CC27" s="239" t="str">
        <f>IF(A27=FALSE,"",IF(ALLTHESAME=TRUE,INDEX(FA27:FZ27,MATCH(FC27,FC27:FC132,0),MATCH(Structure!$D$17,$FA$14:$FZ$14,0)),INDEX(GA27:GZ27,MATCH(GC27,GC27:GC132,0),MATCH(Structure!$D$17,$GA$14:$GZ$14,0))))</f>
        <v/>
      </c>
      <c r="CD27" s="239" t="str">
        <f>IF(A27=FALSE,"",IF(ALLTHESAME=TRUE,INDEX(HA27:HZ27,MATCH(HC27,HC27:HC132,0),MATCH(Structure!$D$17,$HA$14:$HZ$14,0)),INDEX(IA27:IZ27,MATCH(IC27,IC27:IC132,0),MATCH(Structure!$D$17,$IA$14:$IZ$14,0))))</f>
        <v/>
      </c>
      <c r="CE27" s="239" t="str">
        <f>IF(A27=FALSE,"",IF(ALLTHESAME=TRUE,INDEX(JA27:JZ27,MATCH(JC27,JC27:JC132,0),MATCH(Structure!$D$17,$JA$14:$JZ$14,0)),INDEX(KA27:KZ27,MATCH(KC27,KC27:KC132,0),MATCH(Structure!$D$17,$KA$14:$KZ$14,0))))</f>
        <v/>
      </c>
      <c r="CF27" s="239" t="str">
        <f>IF(A27=FALSE,"",IF(ALLTHESAME=TRUE,INDEX(LA27:LZ27,MATCH(LC27,LC27:LC132,0),MATCH(Structure!$D$17,$LA$14:$LZ$14,0)),INDEX(MA27:MZ27,MATCH(MC27,MC27:MC132,0),MATCH(Structure!$D$17,$MA$14:$MZ$14,0))))</f>
        <v/>
      </c>
      <c r="CG27" s="239" t="str">
        <f>IF(A27=FALSE,"",IF(ALLTHESAME=TRUE,INDEX(NA27:NZ27,MATCH(NC27,NC27:NC132,0),MATCH(Structure!$D$17,$NA$14:$NZ$14,0)),INDEX(OA27:OZ27,MATCH(OC27,OC27:OC132,0),MATCH(Structure!$D$17,$OA$14:$OZ$14,0))))</f>
        <v/>
      </c>
      <c r="CH27" s="239" t="str">
        <f>IF(A27=FALSE,"",IF(ALLTHESAME=TRUE,INDEX(PA27:PZ27,MATCH(PC27,PC27:PC132,0),MATCH(Structure!$D$17,$PA$14:$PZ$14,0)),INDEX(QA27:QZ27,MATCH(QC27,QC27:QC132,0),MATCH(Structure!$D$17,$QA$14:$QZ$14,0))))</f>
        <v/>
      </c>
      <c r="CI27" s="341" t="str">
        <f>IF(A27=FALSE,"",IF(ALLTHESAME=TRUE,INDEX(RA27:RZ27,MATCH(RC27,RC27:RC132,0),MATCH(Structure!$D$17,$RA$14:$RZ$14,0)),INDEX(SA27:TC27,MATCH(SC27,SC27:SC132,0),MATCH(Structure!$D$17,$SA$14:$TC$14,0))))</f>
        <v/>
      </c>
      <c r="CJ27" s="347"/>
      <c r="CK27" s="239" t="str">
        <f t="shared" si="241"/>
        <v/>
      </c>
      <c r="CL27" s="239" t="str">
        <f>IF(A27=FALSE,"",IF(ALLTHESAME=TRUE,INDEX(DD27:DZ27,MATCH(DF27,DF27:DF132,0),MATCH(Structure!$D$22,$DD$14:$DZ$14,0)),INDEX(EA27:EZ27,MATCH(EC27,EC27:EC132,0),MATCH(Structure!$D$22,$EA$14:$EZ$14,0))))</f>
        <v/>
      </c>
      <c r="CM27" s="239" t="str">
        <f>IF(A27=FALSE,"",IF(ALLTHESAME=TRUE,INDEX(FA27:FZ27,MATCH(FC27,FC27:FC132,0),MATCH(Structure!$D$22,$FA$14:$FZ$14,0)),INDEX(GA27:GZ27,MATCH(GC27,GC27:GC132,0),MATCH(Structure!$D$22,$GA$14:$GZ$14,0))))</f>
        <v/>
      </c>
      <c r="CN27" s="239" t="str">
        <f>IF(A27=FALSE,"",IF(ALLTHESAME=TRUE,INDEX(HA27:HZ27,MATCH(HC27,HC27:HC132,0),MATCH(Structure!$D$22,$HA$14:$HZ$14,0)),INDEX(IA27:IZ27,MATCH(IC27,IC27:IC132,0),MATCH(Structure!$D$22,$IA$14:$IZ$14,0))))</f>
        <v/>
      </c>
      <c r="CO27" s="239" t="str">
        <f>IF(A27=FALSE,"",IF(ALLTHESAME=TRUE,INDEX(JA27:JZ27,MATCH(JC27,JC27:JC132,0),MATCH(Structure!$D$22,$JA$14:$JZ$14,0)),INDEX(KA27:KZ27,MATCH(KC27,KC27:KC132,0),MATCH(Structure!$D$22,$KA$14:$KZ$14,0))))</f>
        <v/>
      </c>
      <c r="CP27" s="239" t="str">
        <f>IF(A27=FALSE,"",IF(ALLTHESAME=TRUE,INDEX(LA27:LZ27,MATCH(LC27,LC27:LC132,0),MATCH(Structure!$D$22,$LA$14:$LZ$14,0)),INDEX(MA27:MZ27,MATCH(MC27,MC27:MC132,0),MATCH(Structure!$D$22,$MA$14:$MZ$14,0))))</f>
        <v/>
      </c>
      <c r="CQ27" s="239" t="str">
        <f>IF(A27=FALSE,"",IF(ALLTHESAME=TRUE,INDEX(NA27:NZ27,MATCH(NC27,NC27:NC132,0),MATCH(Structure!$D$22,$NA$14:$NZ$14,0)),INDEX(OA27:OZ27,MATCH(OC27,OC27:OC132,0),MATCH(Structure!$D$22,$OA$14:$OZ$14,0))))</f>
        <v/>
      </c>
      <c r="CR27" s="239" t="str">
        <f>IF(A27=FALSE,"",IF(ALLTHESAME=TRUE,INDEX(PA27:PZ27,MATCH(PC27,PC27:PC132,0),MATCH(Structure!$D$22,$PA$14:$PZ$14,0)),INDEX(QA27:QZ27,MATCH(QC27,QC27:QC132,0),MATCH(Structure!$D$22,$QA$14:$QZ$14,0))))</f>
        <v/>
      </c>
      <c r="CS27" s="341" t="str">
        <f>IF(A27=FALSE,"",IF(ALLTHESAME=TRUE,INDEX(RA27:RZ27,MATCH(RC27,RC27:RC132,0),MATCH(Structure!$D$22,$RA$14:$RZ$14,0)),INDEX(SA27:TC27,MATCH(SC27,SC27:SC132,0),MATCH(Structure!$D$22,$SA$14:$TC$14,0))))</f>
        <v/>
      </c>
      <c r="CT27" s="347"/>
      <c r="CU27" s="239" t="str">
        <f t="shared" si="242"/>
        <v/>
      </c>
      <c r="CV27" s="239" t="str">
        <f>IF(A27=FALSE,"",IF(ALLTHESAME=TRUE,INDEX(DD27:DZ27,MATCH(DF27,DF27:DF132,0),MATCH(Structure!$D$8,$DD$14:$DZ$14,0)),INDEX(EA27:EZ27,MATCH(EC27,EC27:EC132,0),MATCH(Structure!$D$8,$EA$14:$EZ$14,0))))</f>
        <v/>
      </c>
      <c r="CW27" s="239" t="str">
        <f>IF(A27=FALSE,"",IF(ALLTHESAME=TRUE,INDEX(FA27:FZ27,MATCH(FC27,FC27:FC132,0),MATCH(Structure!$D$8,$FA$14:$FZ$14,0)),INDEX(GA27:GZ27,MATCH(GC27,GC27:GC132,0),MATCH(Structure!$D$8,$GA$14:$GZ$14,0))))</f>
        <v/>
      </c>
      <c r="CX27" s="239" t="str">
        <f>IF(A27=FALSE,"",IF(ALLTHESAME=TRUE,INDEX(HA27:HZ27,MATCH(HC27,HC27:HC132,0),MATCH(Structure!$D$8,$HA$14:$HZ$14,0)),INDEX(IA27:IZ27,MATCH(IC27,IC27:IC132,0),MATCH(Structure!$D$8,$IA$14:$IZ$14,0))))</f>
        <v/>
      </c>
      <c r="CY27" s="239" t="str">
        <f>IF(A27=FALSE,"",IF(ALLTHESAME=TRUE,INDEX(JA27:JZ27,MATCH(JC27,JC27:JC132,0),MATCH(Structure!$D$8,$JA$14:$JZ$14,0)),INDEX(KA27:KZ27,MATCH(KC27,KC27:KC132,0),MATCH(Structure!$D$8,$KA$14:$KZ$14,0))))</f>
        <v/>
      </c>
      <c r="CZ27" s="239" t="str">
        <f>IF(A27=FALSE,"",IF(ALLTHESAME=TRUE,INDEX(LA27:LZ27,MATCH(LC27,LC27:LC132,0),MATCH(Structure!$D$8,$LA$14:$LZ$14,0)),INDEX(MA27:MZ27,MATCH(MC27,MC27:MC132,0),MATCH(Structure!$D$8,$MA$14:$MZ$14,0))))</f>
        <v/>
      </c>
      <c r="DA27" s="239" t="str">
        <f>IF(A27=FALSE,"",IF(ALLTHESAME=TRUE,INDEX(NA27:NZ27,MATCH(NC27,NC27:NC132,0),MATCH(Structure!$D$8,$NA$14:$NZ$14,0)),INDEX(OA27:OZ27,MATCH(OC27,OC27:OC132,0),MATCH(Structure!$D$8,$OA$14:$OZ$14,0))))</f>
        <v/>
      </c>
      <c r="DB27" s="239" t="str">
        <f>IF(A27=FALSE,"",IF(ALLTHESAME=TRUE,INDEX(PA27:PZ27,MATCH(PC27,PC27:PC132,0),MATCH(Structure!$D$8,$PA$14:$PZ$14,0)),INDEX(QA27:QZ27,MATCH(QC27,QC27:QC132,0),MATCH(Structure!$D$8,$QA$14:$QZ$14,0))))</f>
        <v/>
      </c>
      <c r="DC27" s="341" t="str">
        <f>IF(A27=FALSE,"",IF(ALLTHESAME=TRUE,INDEX(RA27:RZ27,MATCH(RC27,RC27:RC132,0),MATCH(Structure!$D$8,$RA$14:$RZ$14,0)),INDEX(SA27:TC27,MATCH(SC27,SC27:SC132,0),MATCH(Structure!$D$8,$SA$14:$TC$14,0))))</f>
        <v/>
      </c>
      <c r="DD27" s="966" t="str">
        <f>IF(A27=FALSE,"",Cotations!D27)</f>
        <v/>
      </c>
      <c r="DE27" s="966" t="str">
        <f>IF(A27=FALSE,"",IF(LISTES!$A$17=1,Cotations!AF27,Cotations!$AG$4))</f>
        <v/>
      </c>
      <c r="DF27" s="291" t="str">
        <f t="shared" si="431"/>
        <v/>
      </c>
      <c r="DG27" s="291" t="str">
        <f t="shared" si="243"/>
        <v/>
      </c>
      <c r="DH27" s="291"/>
      <c r="DI27" s="463"/>
      <c r="DJ27" s="463" t="str">
        <f t="shared" si="244"/>
        <v/>
      </c>
      <c r="DK27" s="300" t="str">
        <f>IF(A27=FALSE,"",IF(Cotations!$AH$4="monthly",DJ27/12*L27,DJ27/365*M27))</f>
        <v/>
      </c>
      <c r="DL27" s="453" t="str">
        <f>IF(A27=FALSE,"",Cotations!$AI$4)</f>
        <v/>
      </c>
      <c r="DM27" s="300" t="str">
        <f t="shared" si="245"/>
        <v/>
      </c>
      <c r="DN27" s="300" t="str">
        <f t="shared" si="246"/>
        <v/>
      </c>
      <c r="DO27" s="294" t="str">
        <f t="shared" si="247"/>
        <v/>
      </c>
      <c r="DP27" s="294" t="str">
        <f>IF(A27=FALSE,"",Cotations!$AJ$4)</f>
        <v/>
      </c>
      <c r="DQ27" s="294" t="str">
        <f>IF(A27=FALSE,"",Cotations!$AK$4)</f>
        <v/>
      </c>
      <c r="DR27" s="453" t="str">
        <f>IF(A27=FALSE,"",Cotations!$AL$4)</f>
        <v/>
      </c>
      <c r="DS27" s="294" t="str">
        <f>IF(A27=FALSE,"",IF(DP27="N/A",0,IF(INDEX(LISTES!$F$105:$F$109,MATCH(DP27,LISTES!$C$105:$C$109,0))="FIX",IF(INDEX(LISTES!$E$105:$E$109,MATCH(DP27,LISTES!$C$105:$C$109,0))=12,DQ27/12*L27,DQ27/365*M27),DR27*DO27)))</f>
        <v/>
      </c>
      <c r="DT27" s="294" t="str">
        <f t="shared" si="248"/>
        <v/>
      </c>
      <c r="DU27" s="294" t="str">
        <f>IF(A27=FALSE,"",DT27*Cotations!$AM$4)</f>
        <v/>
      </c>
      <c r="DV27" s="294" t="str">
        <f>IF(A27=FALSE,"",DT27*Cotations!$AN$4)</f>
        <v/>
      </c>
      <c r="DW27" s="465" t="str">
        <f t="shared" si="249"/>
        <v/>
      </c>
      <c r="DX27" s="919" t="str">
        <f>IF(A27=FALSE,"",((DJ27*TAXE)-(DJ27*TAXE*DL27))+IF(DP27="N/A",0,IF(INDEX(LISTES!$F$105:$F$109,MATCH(DP27,LISTES!$C$105:$C$109,0))="FIX",DQ27,DR27*DO27)))</f>
        <v/>
      </c>
      <c r="DY27" s="466"/>
      <c r="DZ27" s="466"/>
      <c r="EA27" s="966" t="str">
        <f>IF(A27=FALSE,"",Cotations!D27)</f>
        <v/>
      </c>
      <c r="EB27" s="294" t="str">
        <f>IF(A27=FALSE,"",IF(LISTES!$A$17=1,Cotations!AF27,Cotations!AG27))</f>
        <v/>
      </c>
      <c r="EC27" s="284" t="str">
        <f t="shared" si="250"/>
        <v/>
      </c>
      <c r="ED27" s="284" t="str">
        <f t="shared" si="251"/>
        <v/>
      </c>
      <c r="EE27" s="284"/>
      <c r="EF27" s="284"/>
      <c r="EG27" s="284" t="str">
        <f t="shared" si="252"/>
        <v/>
      </c>
      <c r="EH27" s="1365" t="str">
        <f t="shared" si="253"/>
        <v/>
      </c>
      <c r="EI27" s="1365" t="str">
        <f t="shared" si="254"/>
        <v/>
      </c>
      <c r="EJ27" s="284" t="str">
        <f>IF(A27=FALSE,"",IF(Cotations!AH27="monthly",EG27/12*L27,EG27/365*M27))</f>
        <v/>
      </c>
      <c r="EK27" s="1365" t="str">
        <f>IF(A27=FALSE,"",IF(Cotations!AH27="monthly",EI27/12*L27,EI27/365*M27))</f>
        <v/>
      </c>
      <c r="EL27" s="665" t="str">
        <f>IF(A27=FALSE,"",IF(Cotations!AI27="","",Cotations!AI27))</f>
        <v/>
      </c>
      <c r="EM27" s="284" t="str">
        <f t="shared" si="255"/>
        <v/>
      </c>
      <c r="EN27" s="284" t="str">
        <f t="shared" si="256"/>
        <v/>
      </c>
      <c r="EO27" s="1365" t="str">
        <f t="shared" si="432"/>
        <v/>
      </c>
      <c r="EP27" s="284" t="str">
        <f t="shared" si="257"/>
        <v/>
      </c>
      <c r="EQ27" s="284" t="str">
        <f>IF(A27=FALSE,"",Cotations!AJ27)</f>
        <v/>
      </c>
      <c r="ER27" s="284" t="str">
        <f>IF(A27=FALSE,"",IF(Cotations!AK27="","",Cotations!AK27))</f>
        <v/>
      </c>
      <c r="ES27" s="665" t="str">
        <f>IF(A27=FALSE,"",Cotations!AL27)</f>
        <v/>
      </c>
      <c r="ET27" s="284" t="str">
        <f>IF(A27=FALSE,"",IF(EQ27="N/A",0,IF(INDEX(LISTES!$F$105:$F$109,MATCH(EQ27,LISTES!$C$105:$C$109,0))="FIX",IF(INDEX(LISTES!$E$105:$E$109,MATCH(EQ27,LISTES!$C$105:$C$109,0))=12,ER27/12*L27,ER27/365*M27),ES27*EP27)))</f>
        <v/>
      </c>
      <c r="EU27" s="294" t="str">
        <f t="shared" si="258"/>
        <v/>
      </c>
      <c r="EV27" s="294" t="str">
        <f>IF(A27=FALSE,"",EU27*Cotations!AM27)</f>
        <v/>
      </c>
      <c r="EW27" s="294" t="str">
        <f>IF(A27=FALSE,"",EU27*Cotations!AN27)</f>
        <v/>
      </c>
      <c r="EX27" s="334" t="str">
        <f t="shared" si="259"/>
        <v/>
      </c>
      <c r="EY27" s="919" t="str">
        <f>IF(A27=FALSE,"",((EG27*TAXE)-(EG27*TAXE*EL27)+EH27)+IF(EQ27="N/A",0,IF(INDEX(LISTES!$F$105:$F$109,MATCH(EQ27,LISTES!$C$105:$C$109,0))="FIX",ER27,ES27*EP27)))</f>
        <v/>
      </c>
      <c r="FA27" s="966" t="str">
        <f>IF(A27=FALSE,"",Cotations!D27)</f>
        <v/>
      </c>
      <c r="FB27" s="479" t="str">
        <f>IF(A27=FALSE,"",IF(LISTES!$A$17=1,Cotations!AO27,Cotations!$AP$4))</f>
        <v/>
      </c>
      <c r="FC27" s="291" t="str">
        <f t="shared" si="260"/>
        <v/>
      </c>
      <c r="FD27" s="291" t="str">
        <f t="shared" si="261"/>
        <v/>
      </c>
      <c r="FE27" s="291"/>
      <c r="FF27" s="463"/>
      <c r="FG27" s="463" t="str">
        <f t="shared" si="262"/>
        <v/>
      </c>
      <c r="FH27" s="300" t="str">
        <f>IF(A27=FALSE,"",IF(Cotations!$AQ$4="monthly",FG27/12*L27,FG27/365*M27))</f>
        <v/>
      </c>
      <c r="FI27" s="453" t="str">
        <f>IF(A27=FALSE,"",Cotations!$AR$4)</f>
        <v/>
      </c>
      <c r="FJ27" s="300" t="str">
        <f t="shared" si="263"/>
        <v/>
      </c>
      <c r="FK27" s="300" t="str">
        <f t="shared" si="264"/>
        <v/>
      </c>
      <c r="FL27" s="294" t="str">
        <f t="shared" si="265"/>
        <v/>
      </c>
      <c r="FM27" s="294" t="str">
        <f>IF(A27=FALSE,"",Cotations!$AS$4)</f>
        <v/>
      </c>
      <c r="FN27" s="294" t="str">
        <f>IF(A27=FALSE,"",Cotations!$AT$4)</f>
        <v/>
      </c>
      <c r="FO27" s="453" t="str">
        <f>IF(A27=FALSE,"",Cotations!$AU$4)</f>
        <v/>
      </c>
      <c r="FP27" s="294" t="str">
        <f>IF(A27=FALSE,"",IF(FM27="N/A",0,IF(INDEX(LISTES!$F$105:$F$109,MATCH(FM27,LISTES!$C$105:$C$109,0))="FIX",IF(INDEX(LISTES!$E$105:$E$109,MATCH(FM27,LISTES!$C$105:$C$109,0))=12,FN27/12*L27,FN27/365*M27),FO27*FL27)))</f>
        <v/>
      </c>
      <c r="FQ27" s="294" t="str">
        <f t="shared" si="266"/>
        <v/>
      </c>
      <c r="FR27" s="294" t="str">
        <f>IF(A27=FALSE,"",FQ27*Cotations!$AV$4)</f>
        <v/>
      </c>
      <c r="FS27" s="294" t="str">
        <f>IF(A27=FALSE,"",FQ27*Cotations!$AW$4)</f>
        <v/>
      </c>
      <c r="FT27" s="465" t="str">
        <f t="shared" si="267"/>
        <v/>
      </c>
      <c r="FU27" s="919" t="str">
        <f>IF(A27=FALSE,"",((FG27*TAXE)-(FG27*TAXE*FI27))+IF(FM27="N/A",0,IF(INDEX(LISTES!$F$105:$F$109,MATCH(FM27,LISTES!$C$105:$C$109,0))="FIX",FN27,FO27*FL27)))</f>
        <v/>
      </c>
      <c r="FV27" s="478"/>
      <c r="FW27" s="478"/>
      <c r="FX27" s="478"/>
      <c r="FY27" s="478"/>
      <c r="FZ27" s="478"/>
      <c r="GA27" s="966" t="str">
        <f>IF(A27=FALSE,"",Cotations!D27)</f>
        <v/>
      </c>
      <c r="GB27" s="294" t="str">
        <f>IF(A27=FALSE,"",IF(LISTES!$A$17=1,Cotations!AO27,Cotations!AP27))</f>
        <v/>
      </c>
      <c r="GC27" s="284" t="str">
        <f t="shared" si="268"/>
        <v/>
      </c>
      <c r="GD27" s="284" t="str">
        <f>IF(A27=FALSE,"",IF(Detail!AM27="","",Detail!AM27))</f>
        <v/>
      </c>
      <c r="GE27" s="284"/>
      <c r="GF27" s="284"/>
      <c r="GG27" s="284" t="str">
        <f t="shared" si="269"/>
        <v/>
      </c>
      <c r="GH27" s="284" t="str">
        <f>IF(A27=FALSE,"",IF(Cotations!AQ27="monthly",GG27/12*L27,GG27/365*M27))</f>
        <v/>
      </c>
      <c r="GI27" s="665" t="str">
        <f>IF(A27=FALSE,"",IF(Cotations!AR27="","",Cotations!AR27))</f>
        <v/>
      </c>
      <c r="GJ27" s="284" t="str">
        <f t="shared" si="270"/>
        <v/>
      </c>
      <c r="GK27" s="284" t="str">
        <f t="shared" si="271"/>
        <v/>
      </c>
      <c r="GL27" s="284" t="str">
        <f t="shared" si="272"/>
        <v/>
      </c>
      <c r="GM27" s="284" t="str">
        <f>IF(A27=FALSE,"",Cotations!AS27)</f>
        <v/>
      </c>
      <c r="GN27" s="284" t="str">
        <f>IF(A27=FALSE,"",Cotations!AT27)</f>
        <v/>
      </c>
      <c r="GO27" s="665" t="str">
        <f>IF(A27=FALSE,"",Cotations!AU27)</f>
        <v/>
      </c>
      <c r="GP27" s="284" t="str">
        <f>IF(A27=FALSE,"",IF(GM27="N/A",0,IF(INDEX(LISTES!$F$105:$F$109,MATCH(GM27,LISTES!$C$105:$C$109,0))="FIX",IF(INDEX(LISTES!$E$105:$E$109,MATCH(GM27,LISTES!$C$105:$C$109,0))=12,GN27/12*L27,GN27/365*M27),GO27*GL27)))</f>
        <v/>
      </c>
      <c r="GQ27" s="294" t="str">
        <f t="shared" si="273"/>
        <v/>
      </c>
      <c r="GR27" s="294" t="str">
        <f>IF(A27=FALSE,"",GQ27*Cotations!AV27)</f>
        <v/>
      </c>
      <c r="GS27" s="294" t="str">
        <f>IF(A27=FALSE,"",GQ27*Cotations!AW27)</f>
        <v/>
      </c>
      <c r="GT27" s="334" t="str">
        <f t="shared" si="274"/>
        <v/>
      </c>
      <c r="GU27" s="919" t="str">
        <f>IF(A27=FALSE,"",((GG27*TAXE)-(GG27*TAXE*GI27))+IF(GM27="N/A",0,IF(INDEX(LISTES!$F$105:$F$109,MATCH(GM27,LISTES!$C$105:$C$109,0))="FIX",GN27,GO27*GL27)))</f>
        <v/>
      </c>
      <c r="GV27" s="478"/>
      <c r="GW27" s="466"/>
      <c r="GX27" s="466"/>
      <c r="GY27" s="466"/>
      <c r="GZ27" s="466"/>
      <c r="HA27" s="966" t="str">
        <f>IF(A27=FALSE,"",Cotations!D27)</f>
        <v/>
      </c>
      <c r="HB27" s="978" t="str">
        <f>IF(A27=FALSE,"",IF(LISTES!$A$17=1,Cotations!AX27,Cotations!$AY$4))</f>
        <v/>
      </c>
      <c r="HC27" s="291" t="str">
        <f t="shared" si="275"/>
        <v/>
      </c>
      <c r="HD27" s="291" t="str">
        <f t="shared" si="276"/>
        <v/>
      </c>
      <c r="HE27" s="456" t="str">
        <f t="shared" si="277"/>
        <v/>
      </c>
      <c r="HF27" s="980" t="str">
        <f>IF(A27=FALSE,"",IF(HA27="POEA",Cotations!BA27,IF(HA27="FIXE",Cotations!$BA$4,Cotations!$BC$4*Y27)))</f>
        <v/>
      </c>
      <c r="HG27" s="300" t="str">
        <f t="shared" si="278"/>
        <v/>
      </c>
      <c r="HH27" s="300" t="str">
        <f>IF(A27=FALSE,"",IF(Cotations!$AZ$4="monthly",HG27/12*L27,HG27/365*M27))</f>
        <v/>
      </c>
      <c r="HI27" s="453" t="str">
        <f>IF(A27=FALSE,"",Cotations!$BD$4)</f>
        <v/>
      </c>
      <c r="HJ27" s="300" t="str">
        <f t="shared" si="279"/>
        <v/>
      </c>
      <c r="HK27" s="300" t="str">
        <f t="shared" si="280"/>
        <v/>
      </c>
      <c r="HL27" s="294" t="str">
        <f t="shared" si="281"/>
        <v/>
      </c>
      <c r="HM27" s="294" t="str">
        <f>IF(A27=FALSE,"",Cotations!$BE$4)</f>
        <v/>
      </c>
      <c r="HN27" s="300" t="str">
        <f>IF(A27=FALSE,"",Cotations!$BF$4)</f>
        <v/>
      </c>
      <c r="HO27" s="453" t="str">
        <f>IF(A27=FALSE,"",Cotations!$BG$4)</f>
        <v/>
      </c>
      <c r="HP27" s="294" t="str">
        <f>IF(A27=FALSE,"",IF(HM27="N/A",0,IF(INDEX(LISTES!$F$105:$F$109,MATCH(HM27,LISTES!$C$105:$C$109,0))="FIX",IF(INDEX(LISTES!$E$105:$E$109,MATCH(HM27,LISTES!$C$105:$C$109,0))=12,HN27/12*L27,HN27/365*M27),HO27*HL27)))</f>
        <v/>
      </c>
      <c r="HQ27" s="294" t="str">
        <f t="shared" si="282"/>
        <v/>
      </c>
      <c r="HR27" s="294" t="str">
        <f>IF(A27=FALSE,"",HQ27*Cotations!$BH$4)</f>
        <v/>
      </c>
      <c r="HS27" s="294" t="str">
        <f>IF(A27=FALSE,"",HQ27*Cotations!$BI$4)</f>
        <v/>
      </c>
      <c r="HT27" s="294" t="str">
        <f t="shared" si="283"/>
        <v/>
      </c>
      <c r="HU27" s="919" t="str">
        <f>IF(A27=FALSE,"",((HG27*TAXE)-(HG27*TAXE*HI27))+IF(HM27="N/A",0,IF(INDEX(LISTES!$F$105:$F$109,MATCH(HM27,LISTES!$C$105:$C$109,0))="FIX",HN27,HO27*HL27)))</f>
        <v/>
      </c>
      <c r="IA27" s="966" t="str">
        <f>IF(A27=FALSE,"",Cotations!D27)</f>
        <v/>
      </c>
      <c r="IB27" s="981" t="str">
        <f>IF(A27=FALSE,"",IF(LISTES!$A$17=1,Cotations!AX27,Cotations!AY27))</f>
        <v/>
      </c>
      <c r="IC27" s="919" t="str">
        <f t="shared" si="284"/>
        <v/>
      </c>
      <c r="ID27" s="300" t="str">
        <f>IF(A27=FALSE,"",IF(LISTES!$A$17=3,Detail!AU27,lig1_Formula_PREVOY))</f>
        <v/>
      </c>
      <c r="IE27" s="461" t="str">
        <f t="shared" si="285"/>
        <v/>
      </c>
      <c r="IF27" s="983" t="str">
        <f>IF(A27=FALSE,"",IF(IA27="POEA",Cotations!BA27,IF(HA27="FIXE",Cotations!BB27,IF(Cotations!BC27*Y27&lt;50000,Z27,Cotations!BC27*Y27))))</f>
        <v/>
      </c>
      <c r="IG27" s="300" t="str">
        <f t="shared" si="286"/>
        <v/>
      </c>
      <c r="IH27" s="300" t="str">
        <f>IF(A27=FALSE,"",IF(Cotations!AZ27="monthly",IG27/12*L27,IG27/365*M27))</f>
        <v/>
      </c>
      <c r="II27" s="453" t="str">
        <f>IF(A27=FALSE,"",IF(Cotations!BD27="","",Cotations!BD27))</f>
        <v/>
      </c>
      <c r="IJ27" s="300" t="str">
        <f t="shared" si="287"/>
        <v/>
      </c>
      <c r="IK27" s="300" t="str">
        <f t="shared" si="288"/>
        <v/>
      </c>
      <c r="IL27" s="919" t="str">
        <f t="shared" si="289"/>
        <v/>
      </c>
      <c r="IM27" s="919" t="str">
        <f>IF(A27=FALSE,"",Cotations!BE27)</f>
        <v/>
      </c>
      <c r="IN27" s="919" t="str">
        <f>IF(A27=FALSE,"",Cotations!BF27)</f>
        <v/>
      </c>
      <c r="IO27" s="665" t="str">
        <f>IF(A27=FALSE,"",Cotations!BG27)</f>
        <v/>
      </c>
      <c r="IP27" s="919" t="str">
        <f>IF(A27=FALSE,"",IF(IM27="N/A",0,IF(INDEX(LISTES!$F$105:$F$109,MATCH(IM27,LISTES!$C$105:$C$109,0))="FIX",IF(INDEX(LISTES!$E$105:$E$109,MATCH(IM27,LISTES!$C$105:$C$109,0))=12,IN27/12*L27,IN27/365*M27),IO27*IL27)))</f>
        <v/>
      </c>
      <c r="IQ27" s="294" t="str">
        <f t="shared" si="290"/>
        <v/>
      </c>
      <c r="IR27" s="294" t="str">
        <f>IF(A27=FALSE,"",IQ27*Cotations!BH27)</f>
        <v/>
      </c>
      <c r="IS27" s="294" t="str">
        <f>IF(A27=FALSE,"",IQ27*Cotations!BI27)</f>
        <v/>
      </c>
      <c r="IT27" s="338" t="str">
        <f t="shared" si="291"/>
        <v/>
      </c>
      <c r="IU27" s="919" t="str">
        <f>IF(A27=FALSE,"",((IG27*TAXE)-(IG27*TAXE*II27))+IF(IM27="N/A",0,IF(INDEX(LISTES!$F$105:$F$109,MATCH(IM27,LISTES!$C$105:$C$109,0))="FIX",IN27,IO27*IL27)))</f>
        <v/>
      </c>
      <c r="JA27" s="966" t="str">
        <f>IF(A27=FALSE,"",Cotations!D27)</f>
        <v/>
      </c>
      <c r="JB27" s="978" t="str">
        <f>IF(A27=FALSE,"",IF(LISTES!$A$17=1,Cotations!BJ27,Cotations!$BK$4))</f>
        <v/>
      </c>
      <c r="JC27" s="291" t="str">
        <f t="shared" si="292"/>
        <v/>
      </c>
      <c r="JD27" s="291" t="str">
        <f t="shared" si="293"/>
        <v/>
      </c>
      <c r="JE27" s="456" t="str">
        <f t="shared" si="294"/>
        <v/>
      </c>
      <c r="JF27" s="980" t="str">
        <f>IF(A27=FALSE,"",IF(JA27="POEA",Cotations!BM27,IF(JA27="FIXE",Cotations!$BM$4,Cotations!$BO$4*Y27)))</f>
        <v/>
      </c>
      <c r="JG27" s="300" t="str">
        <f t="shared" si="295"/>
        <v/>
      </c>
      <c r="JH27" s="300" t="str">
        <f>IF(A27=FALSE,"",IF(Cotations!$BL$4="monthly",JG27/12*L27,JG27/365*M27))</f>
        <v/>
      </c>
      <c r="JI27" s="453" t="str">
        <f>IF(A27=FALSE,"",Cotations!$BP$4)</f>
        <v/>
      </c>
      <c r="JJ27" s="300" t="str">
        <f t="shared" si="296"/>
        <v/>
      </c>
      <c r="JK27" s="300" t="str">
        <f t="shared" si="297"/>
        <v/>
      </c>
      <c r="JL27" s="294" t="str">
        <f t="shared" si="298"/>
        <v/>
      </c>
      <c r="JM27" s="294" t="str">
        <f>IF(A27=FALSE,"",Cotations!$BQ$4)</f>
        <v/>
      </c>
      <c r="JN27" s="300" t="str">
        <f>IF(A27=FALSE,"",Cotations!$BR$4)</f>
        <v/>
      </c>
      <c r="JO27" s="453" t="str">
        <f>IF(A27=FALSE,"",Cotations!$BS$4)</f>
        <v/>
      </c>
      <c r="JP27" s="294" t="str">
        <f>IF(A27=FALSE,"",IF(JM27="N/A",0,IF(INDEX(LISTES!$F$105:$F$109,MATCH(JM27,LISTES!$C$105:$C$109,0))="FIX",IF(INDEX(LISTES!$E$105:$E$109,MATCH(JM27,LISTES!$C$105:$C$109,0))=12,JN27/12*L27,JN27/365*M27),JO27*JL27)))</f>
        <v/>
      </c>
      <c r="JQ27" s="294" t="str">
        <f t="shared" si="299"/>
        <v/>
      </c>
      <c r="JR27" s="294" t="str">
        <f>IF(A27=FALSE,"",JQ27*Cotations!$BT$4)</f>
        <v/>
      </c>
      <c r="JS27" s="294" t="str">
        <f>IF(A27=FALSE,"",JQ27*Cotations!$BU$4)</f>
        <v/>
      </c>
      <c r="JT27" s="294" t="str">
        <f t="shared" si="300"/>
        <v/>
      </c>
      <c r="JU27" s="919" t="str">
        <f>IF(A27=FALSE,"",((JG27*TAXE)-(JG27*TAXE*JI27))+IF(JM27="N/A",0,IF(INDEX(LISTES!$F$105:$F$109,MATCH(JM27,LISTES!$C$105:$C$109,0))="FIX",JN27,JO27*JL27)))</f>
        <v/>
      </c>
      <c r="KA27" s="966" t="str">
        <f>IF(A27=FALSE,"",Cotations!D27)</f>
        <v/>
      </c>
      <c r="KB27" s="981" t="str">
        <f>IF(A27=FALSE,"",IF(LISTES!$A$17=1,Cotations!BJ27,Cotations!BK27))</f>
        <v/>
      </c>
      <c r="KC27" s="919" t="str">
        <f t="shared" si="301"/>
        <v/>
      </c>
      <c r="KD27" s="300"/>
      <c r="KE27" s="461" t="str">
        <f t="shared" si="302"/>
        <v/>
      </c>
      <c r="KF27" s="983" t="str">
        <f>IF(A27=FALSE,"",IF(KA27="POEA",Cotations!BM27,IF(KA27="FIXE",Cotations!BN27,IF(Cotations!BO27*Y27&lt;50000,Z27,Cotations!BO27*Y27))))</f>
        <v/>
      </c>
      <c r="KG27" s="300" t="str">
        <f t="shared" si="303"/>
        <v/>
      </c>
      <c r="KH27" s="300" t="str">
        <f>IF(A27=FALSE,"",IF(Cotations!BL27="monthly",KG27/12*L27,KG27/365*M27))</f>
        <v/>
      </c>
      <c r="KI27" s="453" t="str">
        <f>IF(A27=FALSE,"",IF(Cotations!BP27="","",Cotations!BP27))</f>
        <v/>
      </c>
      <c r="KJ27" s="300" t="str">
        <f t="shared" si="304"/>
        <v/>
      </c>
      <c r="KK27" s="300" t="str">
        <f t="shared" si="305"/>
        <v/>
      </c>
      <c r="KL27" s="919" t="str">
        <f t="shared" si="306"/>
        <v/>
      </c>
      <c r="KM27" s="919" t="str">
        <f>IF(A27=FALSE,"",Cotations!BQ27)</f>
        <v/>
      </c>
      <c r="KN27" s="284" t="str">
        <f>IF(A27=FALSE,"",Cotations!BR27)</f>
        <v/>
      </c>
      <c r="KO27" s="665" t="str">
        <f>IF(A27=FALSE,"",Cotations!BS27)</f>
        <v/>
      </c>
      <c r="KP27" s="919" t="str">
        <f>IF(A27=FALSE,"",IF(KM27="N/A",0,IF(INDEX(LISTES!$F$105:$F$109,MATCH(KM27,LISTES!$C$105:$C$109,0))="FIX",IF(INDEX(LISTES!$E$105:$E$109,MATCH(KM27,LISTES!$C$105:$C$109,0))=12,KN27/12*L27,KN27/365*M27),KO27*KL27)))</f>
        <v/>
      </c>
      <c r="KQ27" s="294" t="str">
        <f t="shared" si="307"/>
        <v/>
      </c>
      <c r="KR27" s="294" t="str">
        <f>IF(A27=FALSE,"",KQ27*Cotations!BT27)</f>
        <v/>
      </c>
      <c r="KS27" s="294" t="str">
        <f>IF(A27=FALSE,"",KQ27*Cotations!BU27)</f>
        <v/>
      </c>
      <c r="KT27" s="338" t="str">
        <f t="shared" si="308"/>
        <v/>
      </c>
      <c r="KU27" s="919" t="str">
        <f>IF(A27=FALSE,"",((KG27*TAXE)-(KG27*TAXE*KI27))+IF(KM27="N/A",0,IF(INDEX(LISTES!$F$105:$F$109,MATCH(KM27,LISTES!$C$105:$C$109,0))="FIX",KN27,KO27*KL27)))</f>
        <v/>
      </c>
      <c r="LA27" s="984" t="str">
        <f>IF(A27=FALSE,"",Cotations!D27)</f>
        <v/>
      </c>
      <c r="LB27" s="985" t="str">
        <f>IF(A27=FALSE,"",IF(LISTES!$A$17=1,Cotations!BV27,Cotations!$BW$4))</f>
        <v/>
      </c>
      <c r="LC27" s="499" t="str">
        <f t="shared" si="309"/>
        <v/>
      </c>
      <c r="LD27" s="499" t="str">
        <f t="shared" si="310"/>
        <v/>
      </c>
      <c r="LE27" s="500" t="str">
        <f t="shared" si="311"/>
        <v/>
      </c>
      <c r="LF27" s="988" t="str">
        <f>IF(A27=FALSE,"",IF(LA27="POEA",Cotations!EJ27,IF(LA27="FIXE",Cotations!$BY$4,Cotations!$CA$4*Y27)))</f>
        <v/>
      </c>
      <c r="LG27" s="502" t="str">
        <f t="shared" si="312"/>
        <v/>
      </c>
      <c r="LH27" s="502" t="str">
        <f>IF(A27=FALSE,"",IF(Cotations!$BX$4="monthly",LG27/12*L27,LG27/365*M27))</f>
        <v/>
      </c>
      <c r="LI27" s="1417" t="str">
        <f>IF(A27=FALSE,"",Cotations!$CB$4)</f>
        <v/>
      </c>
      <c r="LJ27" s="502" t="str">
        <f t="shared" si="313"/>
        <v/>
      </c>
      <c r="LK27" s="502" t="str">
        <f t="shared" si="314"/>
        <v/>
      </c>
      <c r="LL27" s="504" t="str">
        <f t="shared" si="315"/>
        <v/>
      </c>
      <c r="LM27" s="504" t="str">
        <f>IF(A27=FALSE,"",Cotations!$CC$4)</f>
        <v/>
      </c>
      <c r="LN27" s="1417" t="str">
        <f>IF(A27=FALSE,"",Cotations!$CD$4)</f>
        <v/>
      </c>
      <c r="LO27" s="1417" t="str">
        <f>IF(A27=FALSE,"",Cotations!$CE$4)</f>
        <v/>
      </c>
      <c r="LP27" s="504" t="str">
        <f>IF(A27=FALSE,"",IF(LM27="N/A",0,IF(INDEX(LISTES!$F$105:$F$109,MATCH(LM27,LISTES!$C$105:$C$109,0))="FIX",IF(INDEX(LISTES!$E$105:$E$109,MATCH(LM27,LISTES!$C$105:$C$109,0))=12,LN27/12*L27,LN27/365*M27),LO27*LL27)))</f>
        <v/>
      </c>
      <c r="LQ27" s="504" t="str">
        <f t="shared" si="316"/>
        <v/>
      </c>
      <c r="LR27" s="504" t="str">
        <f>IF(A27=FALSE,"",LQ27*Cotations!$CF$4)</f>
        <v/>
      </c>
      <c r="LS27" s="504" t="str">
        <f>IF(A27=FALSE,"",LQ27*Cotations!$CG$4)</f>
        <v/>
      </c>
      <c r="LT27" s="506" t="str">
        <f t="shared" si="317"/>
        <v/>
      </c>
      <c r="LU27" s="919" t="str">
        <f>IF(A27=FALSE,"",((LG27*TAXE)-(LG27*TAXE*LI27))+IF(LM27="N/A",0,IF(INDEX(LISTES!$F$105:$F$109,MATCH(LM27,LISTES!$C$105:$C$109,0))="FIX",LN27,LO27*LL27)))</f>
        <v/>
      </c>
      <c r="MA27" s="966" t="str">
        <f>IF(A27=FALSE,"",Cotations!D27)</f>
        <v/>
      </c>
      <c r="MB27" s="981" t="str">
        <f>IF(A27=FALSE,"",IF(LISTES!$A$17=1,Cotations!BV27,Cotations!BW27))</f>
        <v/>
      </c>
      <c r="MC27" s="919" t="str">
        <f t="shared" si="318"/>
        <v/>
      </c>
      <c r="MD27" s="300"/>
      <c r="ME27" s="461" t="str">
        <f t="shared" si="319"/>
        <v/>
      </c>
      <c r="MF27" s="983" t="str">
        <f>IF(A27=FALSE,"",IF(MA27="POEA",Cotations!BY27,IF(MA27="FIXE",Cotations!BZ27,IF(Cotations!CA27*Y27&lt;50000,Z27,Cotations!CA27*Y27))))</f>
        <v/>
      </c>
      <c r="MG27" s="300" t="str">
        <f t="shared" si="320"/>
        <v/>
      </c>
      <c r="MH27" s="300" t="str">
        <f>IF(A27=FALSE,"",IF(Cotations!BX27="monthly",MG27/12*L27,MG27/365*M27))</f>
        <v/>
      </c>
      <c r="MI27" s="453" t="str">
        <f>IF(A27=FALSE,"",IF(Cotations!CB27="","",Cotations!CB27))</f>
        <v/>
      </c>
      <c r="MJ27" s="300" t="str">
        <f t="shared" si="321"/>
        <v/>
      </c>
      <c r="MK27" s="300" t="str">
        <f t="shared" si="322"/>
        <v/>
      </c>
      <c r="ML27" s="919" t="str">
        <f t="shared" si="323"/>
        <v/>
      </c>
      <c r="MM27" s="919" t="str">
        <f>IF(A27=FALSE,"",Cotations!CC27)</f>
        <v/>
      </c>
      <c r="MN27" s="284" t="str">
        <f>IF(A27=FALSE,"",Cotations!CD27)</f>
        <v/>
      </c>
      <c r="MO27" s="665" t="str">
        <f>IF(A27=FALSE,"",Cotations!CE27)</f>
        <v/>
      </c>
      <c r="MP27" s="919" t="str">
        <f>IF(A27=FALSE,"",IF(MM27="N/A",0,IF(INDEX(LISTES!$F$105:$F$109,MATCH(MM27,LISTES!$C$105:$C$109,0))="FIX",IF(INDEX(LISTES!$E$105:$E$109,MATCH(MM27,LISTES!$C$105:$C$109,0))=12,MN27/12*L27,MN27/365*M27),MO27*ML27)))</f>
        <v/>
      </c>
      <c r="MQ27" s="294" t="str">
        <f t="shared" si="324"/>
        <v/>
      </c>
      <c r="MR27" s="294" t="str">
        <f>IF(A27=FALSE,"",MQ27*Cotations!CF27)</f>
        <v/>
      </c>
      <c r="MS27" s="294" t="str">
        <f>IF(A27=FALSE,"",MQ27*Cotations!CG27)</f>
        <v/>
      </c>
      <c r="MT27" s="338" t="str">
        <f t="shared" si="325"/>
        <v/>
      </c>
      <c r="MU27" s="919" t="str">
        <f>IF(A27=FALSE,"",((MG27*TAXE)-(MG27*TAXE*MI27))+IF(MM27="N/A",0,IF(INDEX(LISTES!$F$105:$F$109,MATCH(MM27,LISTES!$C$105:$C$109,0))="FIX",MN27,MO27*ML27)))</f>
        <v/>
      </c>
      <c r="NA27" s="984" t="str">
        <f>IF(A27=FALSE,"",Cotations!D27)</f>
        <v/>
      </c>
      <c r="NB27" s="985" t="str">
        <f>IF(A27=FALSE,"",IF(LISTES!$A$17=1,Cotations!CH27,Cotations!$CI$4))</f>
        <v/>
      </c>
      <c r="NC27" s="499" t="str">
        <f t="shared" si="326"/>
        <v/>
      </c>
      <c r="ND27" s="499" t="str">
        <f t="shared" si="327"/>
        <v/>
      </c>
      <c r="NE27" s="500" t="str">
        <f t="shared" si="328"/>
        <v/>
      </c>
      <c r="NF27" s="988" t="str">
        <f>IF(A27=FALSE,"",IF(NA27="POEA",Cotations!CK27,IF(NA27="FIXE",Cotations!$CK$4,Cotations!$CM$4*Y27)))</f>
        <v/>
      </c>
      <c r="NG27" s="502" t="str">
        <f t="shared" si="329"/>
        <v/>
      </c>
      <c r="NH27" s="502" t="str">
        <f>IF(A27=FALSE,"",IF(Cotations!$CJ$4="monthly",NG27/12*L27,NG27/365*M27))</f>
        <v/>
      </c>
      <c r="NI27" s="1417" t="str">
        <f>IF(A27=FALSE,"",Cotations!$CN$4)</f>
        <v/>
      </c>
      <c r="NJ27" s="502" t="str">
        <f t="shared" si="330"/>
        <v/>
      </c>
      <c r="NK27" s="502" t="str">
        <f t="shared" si="331"/>
        <v/>
      </c>
      <c r="NL27" s="504" t="str">
        <f t="shared" si="332"/>
        <v/>
      </c>
      <c r="NM27" s="504" t="str">
        <f>IF(A27=FALSE,"",Cotations!$CO$4)</f>
        <v/>
      </c>
      <c r="NN27" s="502" t="str">
        <f>IF(A27=FALSE,"",Cotations!$CP$4)</f>
        <v/>
      </c>
      <c r="NO27" s="1417" t="str">
        <f>IF(A27=FALSE,"",Cotations!$CQ$4)</f>
        <v/>
      </c>
      <c r="NP27" s="504" t="str">
        <f>IF(A27=FALSE,"",IF(NM27="N/A",0,IF(INDEX(LISTES!$F$105:$F$109,MATCH(NM27,LISTES!$C$105:$C$109,0))="FIX",IF(INDEX(LISTES!$E$105:$E$109,MATCH(NM27,LISTES!$C$105:$C$109,0))=12,NN27/12*L27,NN27/365*M27),NO27*NL27)))</f>
        <v/>
      </c>
      <c r="NQ27" s="504" t="str">
        <f t="shared" si="333"/>
        <v/>
      </c>
      <c r="NR27" s="504" t="str">
        <f>IF(A27=FALSE,"",NQ27*Cotations!$CR$4)</f>
        <v/>
      </c>
      <c r="NS27" s="504" t="str">
        <f>IF(A27=FALSE,"",NQ27*Cotations!$CS$4)</f>
        <v/>
      </c>
      <c r="NT27" s="506" t="str">
        <f t="shared" si="334"/>
        <v/>
      </c>
      <c r="NU27" s="919" t="str">
        <f>IF(A27=FALSE,"",((NG27*TAXE)-(NG27*TAXE*NI27))+IF(NM27="N/A",0,IF(INDEX(LISTES!$F$105:$F$109,MATCH(NM27,LISTES!$C$105:$C$109,0))="FIX",NN27,NO27*NL27)))</f>
        <v/>
      </c>
      <c r="OA27" s="966" t="str">
        <f>IF(A27=FALSE,"",Cotations!D27)</f>
        <v/>
      </c>
      <c r="OB27" s="981" t="str">
        <f>IF(A27=FALSE,"",IF(LISTES!$A$17=1,Cotations!CH27,Cotations!CI27))</f>
        <v/>
      </c>
      <c r="OC27" s="919" t="str">
        <f t="shared" si="335"/>
        <v/>
      </c>
      <c r="OD27" s="300"/>
      <c r="OE27" s="461" t="str">
        <f t="shared" si="336"/>
        <v/>
      </c>
      <c r="OF27" s="983" t="str">
        <f>IF(A27=FALSE,"",IF(OA27="POEA",Cotations!CK27,IF(OA27="FIXE",Cotations!CL27,IF(Cotations!CM27*Y27&lt;50000,Z27,Cotations!CM27*Y27))))</f>
        <v/>
      </c>
      <c r="OG27" s="300" t="str">
        <f t="shared" si="337"/>
        <v/>
      </c>
      <c r="OH27" s="300" t="str">
        <f>IF(A27=FALSE,"",IF(Cotations!CJ27="monthly",OG27/12*L27,OG27/365*M27))</f>
        <v/>
      </c>
      <c r="OI27" s="453" t="str">
        <f>IF(A27=FALSE,"",IF(Cotations!CN27="","",Cotations!CN27))</f>
        <v/>
      </c>
      <c r="OJ27" s="300" t="str">
        <f t="shared" si="338"/>
        <v/>
      </c>
      <c r="OK27" s="300" t="str">
        <f t="shared" si="339"/>
        <v/>
      </c>
      <c r="OL27" s="919" t="str">
        <f t="shared" si="340"/>
        <v/>
      </c>
      <c r="OM27" s="919" t="str">
        <f>IF(A27=FALSE,"",Cotations!CO27)</f>
        <v/>
      </c>
      <c r="ON27" s="284" t="str">
        <f>IF(A27=FALSE,"",Cotations!CP27)</f>
        <v/>
      </c>
      <c r="OO27" s="665" t="str">
        <f>IF(A27=FALSE,"",Cotations!CQ27)</f>
        <v/>
      </c>
      <c r="OP27" s="919" t="str">
        <f>IF(A27=FALSE,"",IF(OM27="N/A",0,IF(INDEX(LISTES!$F$105:$F$109,MATCH(OM27,LISTES!$C$105:$C$109,0))="FIX",IF(INDEX(LISTES!$E$105:$E$109,MATCH(OM27,LISTES!$C$105:$C$109,0))=12,ON27/12*L27,ON27/365*M27),OO27*OL27)))</f>
        <v/>
      </c>
      <c r="OQ27" s="294" t="str">
        <f t="shared" si="341"/>
        <v/>
      </c>
      <c r="OR27" s="294" t="str">
        <f>IF(A27=FALSE,"",OQ27*Cotations!CR27)</f>
        <v/>
      </c>
      <c r="OS27" s="294" t="str">
        <f>IF(A27=FALSE,"",OQ27*Cotations!CS27)</f>
        <v/>
      </c>
      <c r="OT27" s="338" t="str">
        <f t="shared" si="342"/>
        <v/>
      </c>
      <c r="OU27" s="919" t="str">
        <f>IF(A27=FALSE,"",((OG27*TAXE)-(OG27*TAXE*OI27))+IF(OM27="N/A",0,IF(INDEX(LISTES!$F$105:$F$109,MATCH(OM27,LISTES!$C$105:$C$109,0))="FIX",ON27,OO27*OL27)))</f>
        <v/>
      </c>
      <c r="PA27" s="984" t="str">
        <f t="shared" si="343"/>
        <v/>
      </c>
      <c r="PB27" s="985" t="str">
        <f>IF(A27=FALSE,"",IF(LISTES!$A$17=1,Cotations!CT27,Cotations!$CU$4))</f>
        <v/>
      </c>
      <c r="PC27" s="499" t="str">
        <f t="shared" si="344"/>
        <v/>
      </c>
      <c r="PD27" s="499" t="str">
        <f t="shared" si="345"/>
        <v/>
      </c>
      <c r="PE27" s="500" t="str">
        <f t="shared" si="346"/>
        <v/>
      </c>
      <c r="PF27" s="988" t="str">
        <f>IF(A27=FALSE,"",Cotations!$CY$4*Y27)</f>
        <v/>
      </c>
      <c r="PG27" s="502" t="str">
        <f t="shared" si="347"/>
        <v/>
      </c>
      <c r="PH27" s="502" t="str">
        <f>IF(A27=FALSE,"",IF(Cotations!$CV$4="monthly",PG27/12*L27,PG27/365*M27))</f>
        <v/>
      </c>
      <c r="PI27" s="1417" t="str">
        <f>IF(A27=FALSE,"",Cotations!$CZ$4)</f>
        <v/>
      </c>
      <c r="PJ27" s="502" t="str">
        <f t="shared" si="348"/>
        <v/>
      </c>
      <c r="PK27" s="502" t="str">
        <f t="shared" si="349"/>
        <v/>
      </c>
      <c r="PL27" s="504" t="str">
        <f t="shared" si="350"/>
        <v/>
      </c>
      <c r="PM27" s="504" t="str">
        <f>IF(A27=FALSE,"",Cotations!$DA$4)</f>
        <v/>
      </c>
      <c r="PN27" s="502" t="str">
        <f>IF(A27=FALSE,"",Cotations!$DB$4)</f>
        <v/>
      </c>
      <c r="PO27" s="1417" t="str">
        <f>IF(A27=FALSE,"",Cotations!$DC$4)</f>
        <v/>
      </c>
      <c r="PP27" s="504" t="str">
        <f>IF(A27=FALSE,"",IF(PM27="N/A",0,IF(INDEX(LISTES!$F$105:$F$109,MATCH(PM27,LISTES!$C$105:$C$109,0))="FIX",IF(INDEX(LISTES!$E$105:$E$109,MATCH(PM27,LISTES!$C$105:$C$109,0))=12,PN27/12*L27,PN27/365*M27),PO27*PL27)))</f>
        <v/>
      </c>
      <c r="PQ27" s="504" t="str">
        <f t="shared" si="351"/>
        <v/>
      </c>
      <c r="PR27" s="504" t="str">
        <f>IF(A27=FALSE,"",PQ27*Cotations!$DD$4)</f>
        <v/>
      </c>
      <c r="PS27" s="504" t="str">
        <f>IF(A27=FALSE,"",PQ27*Cotations!$DE$4)</f>
        <v/>
      </c>
      <c r="PT27" s="506" t="str">
        <f t="shared" si="352"/>
        <v/>
      </c>
      <c r="PU27" s="919" t="str">
        <f>IF(A27=FALSE,"",((PG27*TAXE)-(PG27*TAXE*PI27))+IF(PM27="N/A",0,IF(INDEX(LISTES!$F$105:$F$109,MATCH(PM27,LISTES!$C$105:$C$109,0))="FIX",PN27,PO27*PL27)))</f>
        <v/>
      </c>
      <c r="QA27" s="966" t="str">
        <f t="shared" si="353"/>
        <v/>
      </c>
      <c r="QB27" s="981" t="str">
        <f>IF(A27=FALSE,"",IF(LISTES!$A$17=1,Cotations!CT27,Cotations!CU27))</f>
        <v/>
      </c>
      <c r="QC27" s="919" t="str">
        <f t="shared" si="354"/>
        <v/>
      </c>
      <c r="QD27" s="300"/>
      <c r="QE27" s="461" t="str">
        <f t="shared" si="355"/>
        <v/>
      </c>
      <c r="QF27" s="983" t="str">
        <f>IF(A27=FALSE,"",Cotations!CY27*AA27)</f>
        <v/>
      </c>
      <c r="QG27" s="300" t="str">
        <f t="shared" si="356"/>
        <v/>
      </c>
      <c r="QH27" s="300" t="str">
        <f>IF(A27=FALSE,"",IF(Cotations!CV27="monthly",QG27/12*L27,QG27/365*M27))</f>
        <v/>
      </c>
      <c r="QI27" s="453" t="str">
        <f>IF(A27=FALSE,"",IF(Cotations!CZ27="","",Cotations!CZ27))</f>
        <v/>
      </c>
      <c r="QJ27" s="300" t="str">
        <f t="shared" si="357"/>
        <v/>
      </c>
      <c r="QK27" s="300" t="str">
        <f t="shared" si="358"/>
        <v/>
      </c>
      <c r="QL27" s="919" t="str">
        <f t="shared" si="359"/>
        <v/>
      </c>
      <c r="QM27" s="919" t="str">
        <f>IF(A27=FALSE,"",Cotations!DA27)</f>
        <v/>
      </c>
      <c r="QN27" s="284" t="str">
        <f>IF(A27=FALSE,"",Cotations!DB27)</f>
        <v/>
      </c>
      <c r="QO27" s="665" t="str">
        <f>IF(A27=FALSE,"",Cotations!DC27)</f>
        <v/>
      </c>
      <c r="QP27" s="919" t="str">
        <f>IF(A27=FALSE,"",IF(QM27="N/A",0,IF(INDEX(LISTES!$F$105:$F$109,MATCH(QM27,LISTES!$C$105:$C$109,0))="FIX",IF(INDEX(LISTES!$E$105:$E$109,MATCH(QM27,LISTES!$C$105:$C$109,0))=12,QN27/12*L27,QN27/365*M27),QO27*QL27)))</f>
        <v/>
      </c>
      <c r="QQ27" s="294" t="str">
        <f t="shared" si="360"/>
        <v/>
      </c>
      <c r="QR27" s="294" t="str">
        <f>IF(A27=FALSE,"",QQ27*Cotations!DD27)</f>
        <v/>
      </c>
      <c r="QS27" s="294" t="str">
        <f>IF(A27=FALSE,"",QQ27*Cotations!DE27)</f>
        <v/>
      </c>
      <c r="QT27" s="338" t="str">
        <f t="shared" si="361"/>
        <v/>
      </c>
      <c r="QU27" s="919" t="str">
        <f>IF(A27=FALSE,"",((QG27*TAXE)-(QG27*TAXE*QI27))+IF(QM27="N/A",0,IF(INDEX(LISTES!$F$105:$F$109,MATCH(QM27,LISTES!$C$105:$C$109,0))="FIX",QN27,QO27*QL27)))</f>
        <v/>
      </c>
      <c r="RA27" s="984" t="str">
        <f t="shared" si="362"/>
        <v/>
      </c>
      <c r="RB27" s="985" t="str">
        <f>IF(A27=FALSE,"",IF(LISTES!$A$17=1,Cotations!DF27,Cotations!$DG$4))</f>
        <v/>
      </c>
      <c r="RC27" s="499" t="str">
        <f t="shared" si="363"/>
        <v/>
      </c>
      <c r="RD27" s="499" t="str">
        <f t="shared" si="364"/>
        <v/>
      </c>
      <c r="RE27" s="500" t="str">
        <f t="shared" si="365"/>
        <v/>
      </c>
      <c r="RF27" s="988" t="str">
        <f>IF(A27=FALSE,"",Cotations!$DK$4*Y27)</f>
        <v/>
      </c>
      <c r="RG27" s="502" t="str">
        <f t="shared" si="366"/>
        <v/>
      </c>
      <c r="RH27" s="502" t="str">
        <f>IF(A27=FALSE,"",IF(Cotations!$DH$4="monthly",RG27/12*L27,RG27/365*M27))</f>
        <v/>
      </c>
      <c r="RI27" s="1417" t="str">
        <f>IF(A27=FALSE,"",Cotations!$DL$4)</f>
        <v/>
      </c>
      <c r="RJ27" s="502" t="str">
        <f t="shared" si="367"/>
        <v/>
      </c>
      <c r="RK27" s="502" t="str">
        <f t="shared" si="368"/>
        <v/>
      </c>
      <c r="RL27" s="504" t="str">
        <f t="shared" si="369"/>
        <v/>
      </c>
      <c r="RM27" s="504" t="str">
        <f>IF(A27=FALSE,"",Cotations!$DM$4)</f>
        <v/>
      </c>
      <c r="RN27" s="502" t="str">
        <f>IF(A27=FALSE,"",Cotations!$DN$4)</f>
        <v/>
      </c>
      <c r="RO27" s="1417" t="str">
        <f>IF(A27=FALSE,"",Cotations!$DO$4)</f>
        <v/>
      </c>
      <c r="RP27" s="504" t="str">
        <f>IF(A27=FALSE,"",IF(RM27="N/A",0,IF(INDEX(LISTES!$F$105:$F$109,MATCH(RM27,LISTES!$C$105:$C$109,0))="FIX",IF(INDEX(LISTES!$E$105:$E$109,MATCH(RM27,LISTES!$C$105:$C$109,0))=12,RN27/12*L27,RN27/365*M27),RO27*RL27)))</f>
        <v/>
      </c>
      <c r="RQ27" s="504" t="str">
        <f t="shared" si="370"/>
        <v/>
      </c>
      <c r="RR27" s="504" t="str">
        <f>IF(A27=FALSE,"",RQ27*Cotations!$DP$4)</f>
        <v/>
      </c>
      <c r="RS27" s="504" t="str">
        <f>IF(A27=FALSE,"",RQ27*Cotations!$DQ$4)</f>
        <v/>
      </c>
      <c r="RT27" s="506" t="str">
        <f t="shared" si="371"/>
        <v/>
      </c>
      <c r="RU27" s="919" t="str">
        <f>IF(A27=FALSE,"",((RG27*TAXE)-(RG27*TAXE*RI27))+IF(RM27="N/A",0,IF(INDEX(LISTES!$F$105:$F$109,MATCH(RM27,LISTES!$C$105:$C$109,0))="FIX",RN27,RO27*RL27)))</f>
        <v/>
      </c>
      <c r="SA27" s="966" t="str">
        <f t="shared" si="372"/>
        <v/>
      </c>
      <c r="SB27" s="981" t="str">
        <f>IF(A27=FALSE,"",IF(LISTES!$A$17=1,Cotations!DF27,Cotations!DG27))</f>
        <v/>
      </c>
      <c r="SC27" s="919" t="str">
        <f t="shared" si="373"/>
        <v/>
      </c>
      <c r="SD27" s="300"/>
      <c r="SE27" s="461" t="str">
        <f t="shared" si="374"/>
        <v/>
      </c>
      <c r="SF27" s="983" t="str">
        <f>IF(A27=FALSE,"",Cotations!DK27*AA27)</f>
        <v/>
      </c>
      <c r="SG27" s="300" t="str">
        <f t="shared" si="375"/>
        <v/>
      </c>
      <c r="SH27" s="300" t="str">
        <f>IF(A27=FALSE,"",IF(Cotations!DH27="monthly",SG27/12*L27,SG27/365*M27))</f>
        <v/>
      </c>
      <c r="SI27" s="453" t="str">
        <f>IF(A27=FALSE,"",IF(Cotations!DL27="","",Cotations!DL27))</f>
        <v/>
      </c>
      <c r="SJ27" s="300" t="str">
        <f t="shared" si="376"/>
        <v/>
      </c>
      <c r="SK27" s="300" t="str">
        <f t="shared" si="377"/>
        <v/>
      </c>
      <c r="SL27" s="919" t="str">
        <f t="shared" si="378"/>
        <v/>
      </c>
      <c r="SM27" s="919" t="str">
        <f>IF(A27=FALSE,"",Cotations!DM27)</f>
        <v/>
      </c>
      <c r="SN27" s="284" t="str">
        <f>IF(A27=FALSE,"",Cotations!DN27)</f>
        <v/>
      </c>
      <c r="SO27" s="665" t="str">
        <f>IF(A27=FALSE,"",Cotations!DO27)</f>
        <v/>
      </c>
      <c r="SP27" s="919" t="str">
        <f>IF(A27=FALSE,"",IF(SM27="N/A",0,IF(INDEX(LISTES!$F$105:$F$109,MATCH(SM27,LISTES!$C$105:$C$109,0))="FIX",IF(INDEX(LISTES!$E$105:$E$109,MATCH(SM27,LISTES!$C$105:$C$109,0))=12,SN27/12*L27,SN27/365*M27),SO27*SL27)))</f>
        <v/>
      </c>
      <c r="SQ27" s="294" t="str">
        <f t="shared" si="379"/>
        <v/>
      </c>
      <c r="SR27" s="294" t="str">
        <f>IF(A27=FALSE,"",SQ27*Cotations!DP27)</f>
        <v/>
      </c>
      <c r="SS27" s="294" t="str">
        <f>IF(A27=FALSE,"",SQ27*Cotations!DQ27)</f>
        <v/>
      </c>
      <c r="ST27" s="338" t="str">
        <f t="shared" si="380"/>
        <v/>
      </c>
      <c r="SU27" s="919" t="str">
        <f>IF(A27=FALSE,"",((SG27*TAXE)-(SG27*TAXE*SI27))+IF(SM27="N/A",0,IF(INDEX(LISTES!$F$105:$F$109,MATCH(SM27,LISTES!$C$105:$C$109,0))="FIX",SN27,SO27*SL27)))</f>
        <v/>
      </c>
      <c r="TA27" s="966" t="str">
        <f>IF(A27=FALSE,"",Cotations!D27)</f>
        <v/>
      </c>
      <c r="TB27" s="981" t="str">
        <f>IF(A27=FALSE,"",IF(LISTES!$A$17=1,Cotations!DR27,Cotations!DS27))</f>
        <v/>
      </c>
      <c r="TC27" s="919" t="str">
        <f t="shared" si="381"/>
        <v/>
      </c>
      <c r="TD27" s="300" t="str">
        <f>IF(A27=FALSE,"",Detail!CQ27)</f>
        <v/>
      </c>
      <c r="TE27" s="461" t="str">
        <f t="shared" si="382"/>
        <v/>
      </c>
      <c r="TF27" s="983" t="str">
        <f>IF(A27=FALSE,"",IF(TA27="FIXE",Cotations!DU27,Cotations!DV27*Y27))</f>
        <v/>
      </c>
      <c r="TG27" s="300" t="str">
        <f t="shared" si="383"/>
        <v/>
      </c>
      <c r="TH27" s="300" t="str">
        <f>IF(A27=FALSE,"",IF(Cotations!DT27="monthly",TG27/12*L27,TG27/365*M27))</f>
        <v/>
      </c>
      <c r="TI27" s="453" t="str">
        <f>IF(A27=FALSE,"",IF(Cotations!DW27="","",Cotations!DW27))</f>
        <v/>
      </c>
      <c r="TJ27" s="300" t="str">
        <f t="shared" si="384"/>
        <v/>
      </c>
      <c r="TK27" s="300" t="str">
        <f t="shared" si="385"/>
        <v/>
      </c>
      <c r="TL27" s="919" t="str">
        <f t="shared" si="386"/>
        <v/>
      </c>
      <c r="TM27" s="919" t="str">
        <f>IF(A27=FALSE,"",Cotations!DX27)</f>
        <v/>
      </c>
      <c r="TN27" s="919" t="str">
        <f>IF(A27=FALSE,"",Cotations!DY27)</f>
        <v/>
      </c>
      <c r="TO27" s="665" t="str">
        <f>IF(A27=FALSE,"",Cotations!DZ27)</f>
        <v/>
      </c>
      <c r="TP27" s="919" t="str">
        <f>IF(A27=FALSE,"",IF(TM27="N/A",0,IF(INDEX(LISTES!$F$105:$F$109,MATCH(TM27,LISTES!$C$105:$C$109,0))="FIX",IF(INDEX(LISTES!$E$105:$E$109,MATCH(TM27,LISTES!$C$105:$C$109,0))=12,TN27/12*L27,TN27/365*M27),TO27*TL27)))</f>
        <v/>
      </c>
      <c r="TQ27" s="294" t="str">
        <f t="shared" si="387"/>
        <v/>
      </c>
      <c r="TR27" s="294" t="str">
        <f>IF(A27=FALSE,"",TQ27*Cotations!EA27)</f>
        <v/>
      </c>
      <c r="TS27" s="294" t="str">
        <f>IF(A27=FALSE,"",TQ27*Cotations!EB27)</f>
        <v/>
      </c>
      <c r="TT27" s="338" t="str">
        <f t="shared" si="388"/>
        <v/>
      </c>
      <c r="TU27" s="919" t="str">
        <f>IF(A27=FALSE,"",((TG27*(1+TAXE)-(TG27*(1+TAXE)*TI27))+IF(TM27="N/A",0,IF(INDEX(LISTES!$F$105:$F$109,MATCH(TM27,LISTES!$C$105:$C$109,0))="FIX",TN27,TO27*TL27))))</f>
        <v/>
      </c>
      <c r="UA27" s="966" t="str">
        <f>IF(A27=FALSE,"",Cotations!D27)</f>
        <v/>
      </c>
      <c r="UB27" s="981" t="str">
        <f>IF(A27=FALSE,"",IF(LISTES!$A$17=1,Cotations!EC27,Cotations!ED27))</f>
        <v/>
      </c>
      <c r="UC27" s="919" t="str">
        <f t="shared" si="389"/>
        <v/>
      </c>
      <c r="UD27" s="300" t="str">
        <f>IF(A27=FALSE,"",Detail!CY27)</f>
        <v/>
      </c>
      <c r="UE27" s="461" t="str">
        <f t="shared" si="390"/>
        <v/>
      </c>
      <c r="UF27" s="983" t="str">
        <f>IF(A27=FALSE,"",IF(UA27="FIXE",Cotations!EF27,Cotations!EG27*Y27))</f>
        <v/>
      </c>
      <c r="UG27" s="300" t="str">
        <f t="shared" si="391"/>
        <v/>
      </c>
      <c r="UH27" s="300" t="str">
        <f>IF(A27=FALSE,"",IF(Cotations!EE27="monthly",UG27/12*L27,UG27/365*M27))</f>
        <v/>
      </c>
      <c r="UI27" s="453" t="str">
        <f>IF(A27=FALSE,"",IF(Cotations!EH27="","",Cotations!EH27))</f>
        <v/>
      </c>
      <c r="UJ27" s="300" t="str">
        <f t="shared" si="392"/>
        <v/>
      </c>
      <c r="UK27" s="300" t="str">
        <f t="shared" si="393"/>
        <v/>
      </c>
      <c r="UL27" s="919" t="str">
        <f t="shared" si="394"/>
        <v/>
      </c>
      <c r="UM27" s="919" t="str">
        <f>IF(A27=FALSE,"",Cotations!EI27)</f>
        <v/>
      </c>
      <c r="UN27" s="919" t="str">
        <f>IF(A27=FALSE,"",Cotations!EJ27)</f>
        <v/>
      </c>
      <c r="UO27" s="665" t="str">
        <f>IF(A27=FALSE,"",Cotations!EK27)</f>
        <v/>
      </c>
      <c r="UP27" s="919" t="str">
        <f>IF(A27=FALSE,"",IF(UM27="N/A",0,IF(INDEX(LISTES!$F$105:$F$109,MATCH(UM27,LISTES!$C$105:$C$109,0))="FIX",IF(INDEX(LISTES!$E$105:$E$109,MATCH(UM27,LISTES!$C$105:$C$109,0))=12,UN27/12*L27,UN27/365*M27),UO27*UL27)))</f>
        <v/>
      </c>
      <c r="UQ27" s="294" t="str">
        <f t="shared" si="395"/>
        <v/>
      </c>
      <c r="UR27" s="294" t="str">
        <f>IF(A27=FALSE,"",UQ27*Cotations!EL27)</f>
        <v/>
      </c>
      <c r="US27" s="294" t="str">
        <f>IF(A27=FALSE,"",UQ27*Cotations!EM27)</f>
        <v/>
      </c>
      <c r="UT27" s="338" t="str">
        <f t="shared" si="396"/>
        <v/>
      </c>
      <c r="UU27" s="919" t="str">
        <f>IF(A27=FALSE,"",((UG27*(1+TAXE)-(UG27*(1+TAXE)*UI27))+IF(UM27="N/A",0,IF(INDEX(LISTES!$F$105:$F$109,MATCH(UM27,LISTES!$C$105:$C$109,0))="FIX",UN27,UO27*UL27))))</f>
        <v/>
      </c>
      <c r="VA27" s="966" t="str">
        <f>IF(A27=FALSE,"",Cotations!D27)</f>
        <v/>
      </c>
      <c r="VB27" s="479" t="str">
        <f>IF(A27=FALSE,"",IF(LISTES!$A$17=1,Cotations!EN27,Cotations!EO27))</f>
        <v/>
      </c>
      <c r="VC27" s="291" t="str">
        <f t="shared" si="397"/>
        <v/>
      </c>
      <c r="VD27" s="291" t="str">
        <f t="shared" si="398"/>
        <v/>
      </c>
      <c r="VE27" s="291"/>
      <c r="VF27" s="463"/>
      <c r="VG27" s="463" t="str">
        <f t="shared" si="399"/>
        <v/>
      </c>
      <c r="VH27" s="300" t="str">
        <f>IF(A27=FALSE,"",IF(Cotations!$AQ$4="monthly",VG27/12*L27,VG27/365*M27))</f>
        <v/>
      </c>
      <c r="VI27" s="453" t="str">
        <f>IF(A27=FALSE,"",Cotations!$AR$4)</f>
        <v/>
      </c>
      <c r="VJ27" s="300" t="str">
        <f t="shared" si="400"/>
        <v/>
      </c>
      <c r="VK27" s="300" t="str">
        <f t="shared" si="401"/>
        <v/>
      </c>
      <c r="VL27" s="294" t="str">
        <f t="shared" si="402"/>
        <v/>
      </c>
      <c r="VM27" s="294" t="str">
        <f>IF(A27=FALSE,"",Cotations!$AS$4)</f>
        <v/>
      </c>
      <c r="VN27" s="294" t="str">
        <f>IF(A27=FALSE,"",Cotations!$AT$4)</f>
        <v/>
      </c>
      <c r="VO27" s="453" t="str">
        <f>IF(A27=FALSE,"",Cotations!$AU$4)</f>
        <v/>
      </c>
      <c r="VP27" s="294" t="str">
        <f>IF(A27=FALSE,"",IF(VM27="N/A",0,IF(INDEX(LISTES!$F$105:$F$109,MATCH(VM27,LISTES!$C$105:$C$109,0))="FIX",IF(INDEX(LISTES!$E$105:$E$109,MATCH(VM27,LISTES!$C$105:$C$109,0))=12,VN27/12*L27,VN27/365*M27),VO27*VL27)))</f>
        <v/>
      </c>
      <c r="VQ27" s="294" t="str">
        <f t="shared" si="403"/>
        <v/>
      </c>
      <c r="VR27" s="294" t="str">
        <f>IF(A27=FALSE,"",VQ27*Cotations!$AV$4)</f>
        <v/>
      </c>
      <c r="VS27" s="294" t="str">
        <f>IF(A27=FALSE,"",VQ27*Cotations!$AW$4)</f>
        <v/>
      </c>
      <c r="VT27" s="465" t="str">
        <f t="shared" si="404"/>
        <v/>
      </c>
      <c r="VU27" s="919" t="str">
        <f>IF(A27=FALSE,"",((VG27*TAXE)-(VG27*TAXE*VI27))+IF(VM27="N/A",0,IF(INDEX(LISTES!$F$105:$F$109,MATCH(VM27,LISTES!$C$105:$C$109,0))="FIX",VN27,VO27*VL27)))</f>
        <v/>
      </c>
      <c r="WA27" s="966" t="str">
        <f>IF(A27=FALSE,"",Cotations!D27)</f>
        <v/>
      </c>
      <c r="WB27" s="479" t="str">
        <f>IF(A27=FALSE,"",IF(LISTES!$A$17=1,Cotations!EW27,Cotations!EX27))</f>
        <v/>
      </c>
      <c r="WC27" s="291" t="str">
        <f t="shared" si="405"/>
        <v/>
      </c>
      <c r="WD27" s="291" t="str">
        <f t="shared" si="406"/>
        <v/>
      </c>
      <c r="WE27" s="291"/>
      <c r="WF27" s="463"/>
      <c r="WG27" s="463" t="str">
        <f t="shared" si="407"/>
        <v/>
      </c>
      <c r="WH27" s="300" t="str">
        <f>IF(A27=FALSE,"",IF(Cotations!$AQ$4="monthly",WG27/12*L27,WG27/365*M27))</f>
        <v/>
      </c>
      <c r="WI27" s="453" t="str">
        <f>IF(A27=FALSE,"",Cotations!$AR$4)</f>
        <v/>
      </c>
      <c r="WJ27" s="300" t="str">
        <f t="shared" si="408"/>
        <v/>
      </c>
      <c r="WK27" s="300" t="str">
        <f t="shared" si="409"/>
        <v/>
      </c>
      <c r="WL27" s="294" t="str">
        <f t="shared" si="410"/>
        <v/>
      </c>
      <c r="WM27" s="294" t="str">
        <f>IF(A27=FALSE,"",Cotations!$AS$4)</f>
        <v/>
      </c>
      <c r="WN27" s="294" t="str">
        <f>IF(A27=FALSE,"",Cotations!$AT$4)</f>
        <v/>
      </c>
      <c r="WO27" s="453" t="str">
        <f>IF(A27=FALSE,"",Cotations!$AU$4)</f>
        <v/>
      </c>
      <c r="WP27" s="294" t="str">
        <f>IF(A27=FALSE,"",IF(WM27="N/A",0,IF(INDEX(LISTES!$F$105:$F$109,MATCH(WM27,LISTES!$C$105:$C$109,0))="FIX",IF(INDEX(LISTES!$E$105:$E$109,MATCH(WM27,LISTES!$C$105:$C$109,0))=12,WN27/12*L27,WN27/365*M27),WO27*WL27)))</f>
        <v/>
      </c>
      <c r="WQ27" s="294" t="str">
        <f t="shared" si="411"/>
        <v/>
      </c>
      <c r="WR27" s="294" t="str">
        <f>IF(A27=FALSE,"",WQ27*Cotations!$AV$4)</f>
        <v/>
      </c>
      <c r="WS27" s="294" t="str">
        <f>IF(A27=FALSE,"",WQ27*Cotations!$AW$4)</f>
        <v/>
      </c>
      <c r="WT27" s="465" t="str">
        <f t="shared" si="412"/>
        <v/>
      </c>
      <c r="WU27" s="919" t="str">
        <f>IF(A27=FALSE,"",((WG27*TAXE)-(WG27*TAXE*WI27))+IF(WM27="N/A",0,IF(INDEX(LISTES!$F$105:$F$109,MATCH(WM27,LISTES!$C$105:$C$109,0))="FIX",WN27,WO27*WL27)))</f>
        <v/>
      </c>
    </row>
    <row r="28" spans="1:619" s="1398" customFormat="1">
      <c r="A28" s="1400" t="b">
        <f t="shared" si="221"/>
        <v>0</v>
      </c>
      <c r="B28" s="1400" t="b">
        <f>IF(NAMES!$B$9=TRUE,TRUE,FALSE)</f>
        <v>1</v>
      </c>
      <c r="C28" s="1400" t="b">
        <f t="shared" si="413"/>
        <v>0</v>
      </c>
      <c r="D28" s="1400" t="b">
        <f t="shared" si="414"/>
        <v>0</v>
      </c>
      <c r="E28" s="1400" t="b">
        <f>IF(Cotations!C28="","",Cotations!C28)</f>
        <v>0</v>
      </c>
      <c r="F28" s="1400" t="str">
        <f>IF(Cotations!D28="","",Cotations!D28)</f>
        <v>PROP</v>
      </c>
      <c r="G28" s="1400" t="str">
        <f>IF(Cotations!E28="","",Cotations!E28)</f>
        <v>2016-2017!</v>
      </c>
      <c r="H28" s="1400" t="str">
        <f>IF(Cotations!F28="","",Cotations!F28)</f>
        <v>SINGLE</v>
      </c>
      <c r="I28" s="1400" t="str">
        <f>IF(Cotations!G28="","",Cotations!G28)</f>
        <v/>
      </c>
      <c r="J28" s="1400" t="str">
        <f>IF(Cotations!H28="","",Cotations!H28)</f>
        <v/>
      </c>
      <c r="K28" s="1400" t="str">
        <f>IF(Cotations!I28="","",Cotations!I28)</f>
        <v/>
      </c>
      <c r="L28" s="1400" t="str">
        <f>IF(A28=FALSE,"",IF(Cotations!N28="","",Cotations!N28))</f>
        <v/>
      </c>
      <c r="M28" s="1400" t="str">
        <f>IF(Cotations!P28="","",Cotations!P28)</f>
        <v/>
      </c>
      <c r="N28" s="1355" t="str">
        <f>IF(NAMES!$B$10=TRUE,Cotations!J28,Cotations!L28)</f>
        <v/>
      </c>
      <c r="O28" s="1355" t="str">
        <f>IF(NAMES!$B$10=TRUE,Cotations!K28,Cotations!M28)</f>
        <v/>
      </c>
      <c r="P28" s="1355" t="str">
        <f t="shared" si="415"/>
        <v/>
      </c>
      <c r="Q28" s="1355" t="str">
        <f>IF(A28=FALSE,"",IF(Crewlist!Y28="","",Crewlist!Y28))</f>
        <v/>
      </c>
      <c r="R28" s="758" t="str">
        <f>IF(Cotations!U28="","",Cotations!U28)</f>
        <v/>
      </c>
      <c r="S28" s="1355" t="str">
        <f t="shared" si="416"/>
        <v/>
      </c>
      <c r="T28" s="919" t="str">
        <f>IF(A28=FALSE,"",VLOOKUP($U$15:$U$120,Currency!$A$2:$D$10,4,0)*Crewlist!N28)</f>
        <v/>
      </c>
      <c r="U28" s="1355" t="str">
        <f>IF(A28=FALSE,"",IF(IT28=0,Crewlist!M28&amp;"/"&amp;EX28,Crewlist!M28&amp;"/"&amp;IT28))</f>
        <v/>
      </c>
      <c r="V28" s="919" t="str">
        <f>IF(A28=FALSE,"",VLOOKUP($U$15:$U$120,Currency!$A$2:$D$10,4,0)*Detail!Q28)</f>
        <v/>
      </c>
      <c r="W28" s="1355" t="str">
        <f>IF(A28=FALSE,"",IF(IT28=0,Detail!R28&amp;"/"&amp;EX28,Detail!R28&amp;"/"&amp;IT28))</f>
        <v/>
      </c>
      <c r="X28" s="919" t="str">
        <f>IF(A28=FALSE,"",IF(LISTES!$C$17="Crewlist",Calcul!T28,Calcul!V28))</f>
        <v/>
      </c>
      <c r="Y28" s="758" t="str">
        <f t="shared" si="417"/>
        <v/>
      </c>
      <c r="Z28" s="758" t="str">
        <f>IF(A28=FALSE,"",IF(X28=0,0,IF((Cotations!BC28*12*X28)&lt;50000,50000,(12*X28))))</f>
        <v/>
      </c>
      <c r="AA28" s="758" t="str">
        <f t="shared" si="418"/>
        <v/>
      </c>
      <c r="AB28" s="758" t="str">
        <f>IF(A28=FALSE,"",IF(Crewlist!O28=0,"",Crewlist!O28))</f>
        <v/>
      </c>
      <c r="AC28" s="758" t="str">
        <f>IF(I28="","",VLOOKUP($AB$15:$AB$120,Currency!$A$15:$B$34,2,0))</f>
        <v/>
      </c>
      <c r="AD28" s="758" t="str">
        <f t="shared" si="419"/>
        <v/>
      </c>
      <c r="AE28" s="758" t="str">
        <f t="shared" si="420"/>
        <v/>
      </c>
      <c r="AF28" s="758" t="str">
        <f t="shared" si="421"/>
        <v/>
      </c>
      <c r="AG28" s="758" t="str">
        <f t="shared" si="422"/>
        <v/>
      </c>
      <c r="AH28" s="1355" t="str">
        <f t="shared" si="222"/>
        <v/>
      </c>
      <c r="AI28" s="919" t="str">
        <f t="shared" si="423"/>
        <v/>
      </c>
      <c r="AJ28" s="1382" t="str">
        <f t="shared" si="424"/>
        <v/>
      </c>
      <c r="AK28" s="1382" t="str">
        <f t="shared" si="425"/>
        <v/>
      </c>
      <c r="AL28" s="238" t="str">
        <f t="shared" si="223"/>
        <v/>
      </c>
      <c r="AM28" s="238" t="str">
        <f t="shared" si="224"/>
        <v/>
      </c>
      <c r="AN28" s="1374" t="str">
        <f t="shared" si="225"/>
        <v/>
      </c>
      <c r="AO28" s="238" t="str">
        <f t="shared" si="226"/>
        <v/>
      </c>
      <c r="AP28" s="342" t="str">
        <f>IF(A28=FALSE,"",INDEX(Rates!$Z$5:$Z$367,MATCH(EB28,colchoice,0)))</f>
        <v/>
      </c>
      <c r="AQ28" s="238" t="str">
        <f t="shared" si="227"/>
        <v/>
      </c>
      <c r="AR28" s="238" t="str">
        <f t="shared" si="426"/>
        <v/>
      </c>
      <c r="AS28" s="238" t="str">
        <f t="shared" si="427"/>
        <v/>
      </c>
      <c r="AT28" s="238" t="str">
        <f t="shared" si="428"/>
        <v/>
      </c>
      <c r="AU28" s="238" t="str">
        <f t="shared" si="228"/>
        <v/>
      </c>
      <c r="AV28" s="238" t="str">
        <f t="shared" si="429"/>
        <v/>
      </c>
      <c r="AW28" s="238" t="str">
        <f t="shared" si="229"/>
        <v/>
      </c>
      <c r="AX28" s="238" t="str">
        <f t="shared" si="230"/>
        <v/>
      </c>
      <c r="AY28" s="238" t="str">
        <f t="shared" si="231"/>
        <v/>
      </c>
      <c r="AZ28" s="238" t="str">
        <f t="shared" si="232"/>
        <v/>
      </c>
      <c r="BA28" s="238" t="str">
        <f t="shared" si="233"/>
        <v/>
      </c>
      <c r="BB28" s="552" t="str">
        <f t="shared" si="234"/>
        <v/>
      </c>
      <c r="BC28" s="347" t="str">
        <f t="shared" si="235"/>
        <v/>
      </c>
      <c r="BD28" s="239" t="str">
        <f t="shared" si="430"/>
        <v/>
      </c>
      <c r="BE28" s="239" t="str">
        <f>IF(A28=FALSE,"",IF(ALLTHESAME=TRUE,IF(DF28&lt;&gt;$BC$7,0,INDEX(DD28:DZ28,1,MATCH(Structure!$D$12,$DD$14:$DZ$14,0))),IF(EC28&lt;&gt;$BC$7,0,INDEX(EA28:EZ28,1,MATCH(Structure!$D$12,$EA$14:$EZ$14,0)))))</f>
        <v/>
      </c>
      <c r="BF28" s="239" t="str">
        <f>IF(A28=FALSE,"",IF(ALLTHESAME=TRUE,IF(FC28&lt;&gt;$BC$7,0,INDEX(FA28:FZ28,1,MATCH(Structure!$D$12,$FA$14:$FZ$14,0))),IF(GC28&lt;&gt;$BC$7,0,INDEX(GA28:GZ28,1,MATCH(Structure!$D$12,$GA$14:$GZ$14,0)))))</f>
        <v/>
      </c>
      <c r="BG28" s="239" t="str">
        <f>IF(A28=FALSE,"",IF(ALLTHESAME=TRUE,IF(VC28&lt;&gt;$BC$7,0,INDEX(VA28:VZ28,1,MATCH(Structure!$D$12,$VA$14:$VZ$14,0))),IF(VC28&lt;&gt;$BC$7,0,INDEX(VA28:VZ28,1,MATCH(Structure!$D$12,$VA$14:$VZ$14,0)))))</f>
        <v/>
      </c>
      <c r="BH28" s="239" t="str">
        <f>IF(A28=FALSE,"",IF(ALLTHESAME=TRUE,IF(WC28&lt;&gt;$BC$7,0,INDEX(WA28:WY28,1,MATCH(Structure!$D$12,$WA$14:$WZ$14,0))),IF(WC28&lt;&gt;$BC$7,0,INDEX(WA28:WZ28,1,MATCH(Structure!$D$12,$WA$14:$WZ$14,0)))))</f>
        <v/>
      </c>
      <c r="BI28" s="239" t="str">
        <f>IF(A28=FALSE,"",IF(ALLTHESAME=TRUE,IF(HC28&lt;&gt;$BC$7,0,INDEX(HA28:HZ28,1,MATCH(Structure!$D$12,$HA$14:$HZ$14,0)))+TK28,IF(IC28&lt;&gt;$BC$7,0,INDEX(IA28:IZ28,1,MATCH(Structure!$D$12,$IA$14:$IZ$14,0)))+TK28))</f>
        <v/>
      </c>
      <c r="BJ28" s="239" t="str">
        <f>IF(A28=FALSE,"",IF(ALLTHESAME=TRUE,IF(JC28&lt;&gt;$BC$7,0,INDEX(JA28:JZ28,1,MATCH(Structure!$D$12,$JA$14:$JZ$14,0))),IF(KC28&lt;&gt;$BC$7,0,INDEX(KA28:KZ28,1,MATCH(Structure!$D$12,$KA$14:$KZ$14,0)))))</f>
        <v/>
      </c>
      <c r="BK28" s="239" t="str">
        <f>IF(A28=FALSE,"",IF(ALLTHESAME=TRUE,IF(LC28&lt;&gt;$BC$7,0,INDEX(LA28:LZ28,1,MATCH(Structure!$D$12,$LA$14:$LZ$14,0)))+UK28,IF(MC28&lt;&gt;$BC$7,0,INDEX(MA28:MZ28,1,MATCH(Structure!$D$12,$MA$14:$MZ$14,0)))+UK28))</f>
        <v/>
      </c>
      <c r="BL28" s="239" t="str">
        <f>IF(A28=FALSE,"",IF(ALLTHESAME=TRUE,IF(NC28&lt;&gt;$BC$7,0,INDEX(NA28:NZ28,1,MATCH(Structure!$D$12,$NA$14:$NZ$14,0))),IF(OC28&lt;&gt;$BC$7,0,INDEX(OA28:OZ28,1,MATCH(Structure!$D$12,$OA$14:$OZ$14,0)))))</f>
        <v/>
      </c>
      <c r="BM28" s="239" t="str">
        <f>IF(A28=FALSE,"",IF(ALLTHESAME=TRUE,IF(PC28&lt;&gt;$BC$7,0,INDEX(PA28:PZ28,1,MATCH(Structure!$D$12,$PA$14:$PZ$14,0))),IF(QC28&lt;&gt;$BC$7,0,INDEX(QA28:QZ28,1,MATCH(Structure!$D$12,$QA$14:$QZ$14,0)))))</f>
        <v/>
      </c>
      <c r="BN28" s="341" t="str">
        <f>IF(A28=FALSE,"",IF(ALLTHESAME=TRUE,IF(RC28&lt;&gt;$BC$7,0,INDEX(RA28:RZ28,1,MATCH(Structure!$D$12,$RA$14:$RZ$14,0))),IF(SC28&lt;&gt;$BC$7,0,INDEX(SA28:TA28,1,MATCH(Structure!$D$12,$SA$14:$TA$14,0)))))</f>
        <v/>
      </c>
      <c r="BO28" s="507" t="str">
        <f t="shared" si="236"/>
        <v/>
      </c>
      <c r="BP28" s="239" t="str">
        <f t="shared" si="237"/>
        <v/>
      </c>
      <c r="BQ28" s="239" t="str">
        <f>IF(A28=FALSE,"",IF(ALLTHESAME=TRUE,IF(DF28&lt;&gt;$BO$7,0,INDEX(DD28:DZ28,1,MATCH(Structure!$D$12,$DD$14:$DZ$14,0))),IF(EC28&lt;&gt;$BO$7,0,INDEX(EA28:EZ28,1,MATCH(Structure!$D$12,$EA$14:$EZ$14,0)))))</f>
        <v/>
      </c>
      <c r="BR28" s="239" t="str">
        <f>IF(A28=FALSE,"",IF(ALLTHESAME=TRUE,IF(FC28&lt;&gt;$BO$7,0,INDEX(FA28:FZ28,1,MATCH(Structure!$D$12,$FA$14:$FZ$14,0))),IF(GC28&lt;&gt;$BO$7,0,INDEX(GA28:GZ28,1,MATCH(Structure!$D$12,$GA$14:$GZ$14,0)))))</f>
        <v/>
      </c>
      <c r="BS28" s="239" t="str">
        <f>IF(A28=FALSE,"",IF(ALLTHESAME=TRUE,IF(HC28&lt;&gt;$BO$7,0,INDEX(HA28:HZ28,1,MATCH(Structure!$D$12,$HA$14:$HZ$14,0))),IF(IC28&lt;&gt;$BO$7,0,INDEX(IA28:IZ28,1,MATCH(Structure!$D$12,$IA$14:$IZ$14,0)))))</f>
        <v/>
      </c>
      <c r="BT28" s="239" t="str">
        <f>IF(A28=FALSE,"",IF(ALLTHESAME=TRUE,IF(JC28&lt;&gt;$BO$7,0,INDEX(JA28:JZ28,1,MATCH(Structure!$D$12,$JA$14:$JZ$14,0))),IF(KC28&lt;&gt;$BO$7,0,INDEX(KA28:KZ28,1,MATCH(Structure!$D$12,$KA$14:$KZ$14,0)))))</f>
        <v/>
      </c>
      <c r="BU28" s="239" t="str">
        <f>IF(A28=FALSE,"",IF(ALLTHESAME=TRUE,IF(LC28&lt;&gt;$BO$7,0,INDEX(LA28:LZ28,1,MATCH(Structure!$D$12,$LA$14:$LZ$14,0))),IF(MC28&lt;&gt;$BO$7,0,INDEX(MA28:MZ28,1,MATCH(Structure!$D$12,$MA$14:$MZ$14,0)))))</f>
        <v/>
      </c>
      <c r="BV28" s="239" t="str">
        <f>IF(A28=FALSE,"",IF(ALLTHESAME=TRUE,IF(NC28&lt;&gt;$BO$7,0,INDEX(NA28:NZ28,1,MATCH(Structure!$D$12,$NA$14:$NZ$14,0))),IF(OC28&lt;&gt;$BO$7,0,INDEX(OA28:OZ28,1,MATCH(Structure!$D$12,$OA$14:$OZ$14,0)))))</f>
        <v/>
      </c>
      <c r="BW28" s="239" t="str">
        <f>IF(A28=FALSE,"",IF(ALLTHESAME=TRUE,IF(PC28&lt;&gt;$BO$7,0,INDEX(PA28:PZ28,1,MATCH(Structure!$D$12,$PA$14:$PZ$14,0))),IF(QC28&lt;&gt;$BO$7,0,INDEX(QA28:QZ28,1,MATCH(Structure!$D$12,$QA$14:$QZ$14,0)))))</f>
        <v/>
      </c>
      <c r="BX28" s="341" t="str">
        <f>IF(A28=FALSE,"",IF(ALLTHESAME=TRUE,IF(RC28&lt;&gt;$BO$7,0,INDEX(RA28:RZ28,1,MATCH(Structure!$D$12,$RA$14:$RZ$14,0))),IF(SC28&lt;&gt;$BO$7,0,INDEX(SA28:TA28,1,MATCH(Structure!$D$12,$SA$14:$TA$14,0)))))</f>
        <v/>
      </c>
      <c r="BY28" s="347" t="str">
        <f t="shared" si="238"/>
        <v/>
      </c>
      <c r="BZ28" s="507" t="str">
        <f t="shared" si="239"/>
        <v/>
      </c>
      <c r="CA28" s="239" t="str">
        <f t="shared" si="240"/>
        <v/>
      </c>
      <c r="CB28" s="239" t="str">
        <f>IF(A28=FALSE,"",IF(ALLTHESAME=TRUE,INDEX(DD28:DZ28,MATCH(DF28,DF28:DF133,0),MATCH(Structure!$D$17,$DD$14:$DZ$14,0)),INDEX(EA28:EZ28,MATCH(EC28,EC28:EC133,0),MATCH(Structure!$D$17,$EA$14:$EZ$14,0))))</f>
        <v/>
      </c>
      <c r="CC28" s="239" t="str">
        <f>IF(A28=FALSE,"",IF(ALLTHESAME=TRUE,INDEX(FA28:FZ28,MATCH(FC28,FC28:FC133,0),MATCH(Structure!$D$17,$FA$14:$FZ$14,0)),INDEX(GA28:GZ28,MATCH(GC28,GC28:GC133,0),MATCH(Structure!$D$17,$GA$14:$GZ$14,0))))</f>
        <v/>
      </c>
      <c r="CD28" s="239" t="str">
        <f>IF(A28=FALSE,"",IF(ALLTHESAME=TRUE,INDEX(HA28:HZ28,MATCH(HC28,HC28:HC133,0),MATCH(Structure!$D$17,$HA$14:$HZ$14,0)),INDEX(IA28:IZ28,MATCH(IC28,IC28:IC133,0),MATCH(Structure!$D$17,$IA$14:$IZ$14,0))))</f>
        <v/>
      </c>
      <c r="CE28" s="239" t="str">
        <f>IF(A28=FALSE,"",IF(ALLTHESAME=TRUE,INDEX(JA28:JZ28,MATCH(JC28,JC28:JC133,0),MATCH(Structure!$D$17,$JA$14:$JZ$14,0)),INDEX(KA28:KZ28,MATCH(KC28,KC28:KC133,0),MATCH(Structure!$D$17,$KA$14:$KZ$14,0))))</f>
        <v/>
      </c>
      <c r="CF28" s="239" t="str">
        <f>IF(A28=FALSE,"",IF(ALLTHESAME=TRUE,INDEX(LA28:LZ28,MATCH(LC28,LC28:LC133,0),MATCH(Structure!$D$17,$LA$14:$LZ$14,0)),INDEX(MA28:MZ28,MATCH(MC28,MC28:MC133,0),MATCH(Structure!$D$17,$MA$14:$MZ$14,0))))</f>
        <v/>
      </c>
      <c r="CG28" s="239" t="str">
        <f>IF(A28=FALSE,"",IF(ALLTHESAME=TRUE,INDEX(NA28:NZ28,MATCH(NC28,NC28:NC133,0),MATCH(Structure!$D$17,$NA$14:$NZ$14,0)),INDEX(OA28:OZ28,MATCH(OC28,OC28:OC133,0),MATCH(Structure!$D$17,$OA$14:$OZ$14,0))))</f>
        <v/>
      </c>
      <c r="CH28" s="239" t="str">
        <f>IF(A28=FALSE,"",IF(ALLTHESAME=TRUE,INDEX(PA28:PZ28,MATCH(PC28,PC28:PC133,0),MATCH(Structure!$D$17,$PA$14:$PZ$14,0)),INDEX(QA28:QZ28,MATCH(QC28,QC28:QC133,0),MATCH(Structure!$D$17,$QA$14:$QZ$14,0))))</f>
        <v/>
      </c>
      <c r="CI28" s="341" t="str">
        <f>IF(A28=FALSE,"",IF(ALLTHESAME=TRUE,INDEX(RA28:RZ28,MATCH(RC28,RC28:RC133,0),MATCH(Structure!$D$17,$RA$14:$RZ$14,0)),INDEX(SA28:TC28,MATCH(SC28,SC28:SC133,0),MATCH(Structure!$D$17,$SA$14:$TC$14,0))))</f>
        <v/>
      </c>
      <c r="CJ28" s="347"/>
      <c r="CK28" s="239" t="str">
        <f t="shared" si="241"/>
        <v/>
      </c>
      <c r="CL28" s="239" t="str">
        <f>IF(A28=FALSE,"",IF(ALLTHESAME=TRUE,INDEX(DD28:DZ28,MATCH(DF28,DF28:DF133,0),MATCH(Structure!$D$22,$DD$14:$DZ$14,0)),INDEX(EA28:EZ28,MATCH(EC28,EC28:EC133,0),MATCH(Structure!$D$22,$EA$14:$EZ$14,0))))</f>
        <v/>
      </c>
      <c r="CM28" s="239" t="str">
        <f>IF(A28=FALSE,"",IF(ALLTHESAME=TRUE,INDEX(FA28:FZ28,MATCH(FC28,FC28:FC133,0),MATCH(Structure!$D$22,$FA$14:$FZ$14,0)),INDEX(GA28:GZ28,MATCH(GC28,GC28:GC133,0),MATCH(Structure!$D$22,$GA$14:$GZ$14,0))))</f>
        <v/>
      </c>
      <c r="CN28" s="239" t="str">
        <f>IF(A28=FALSE,"",IF(ALLTHESAME=TRUE,INDEX(HA28:HZ28,MATCH(HC28,HC28:HC133,0),MATCH(Structure!$D$22,$HA$14:$HZ$14,0)),INDEX(IA28:IZ28,MATCH(IC28,IC28:IC133,0),MATCH(Structure!$D$22,$IA$14:$IZ$14,0))))</f>
        <v/>
      </c>
      <c r="CO28" s="239" t="str">
        <f>IF(A28=FALSE,"",IF(ALLTHESAME=TRUE,INDEX(JA28:JZ28,MATCH(JC28,JC28:JC133,0),MATCH(Structure!$D$22,$JA$14:$JZ$14,0)),INDEX(KA28:KZ28,MATCH(KC28,KC28:KC133,0),MATCH(Structure!$D$22,$KA$14:$KZ$14,0))))</f>
        <v/>
      </c>
      <c r="CP28" s="239" t="str">
        <f>IF(A28=FALSE,"",IF(ALLTHESAME=TRUE,INDEX(LA28:LZ28,MATCH(LC28,LC28:LC133,0),MATCH(Structure!$D$22,$LA$14:$LZ$14,0)),INDEX(MA28:MZ28,MATCH(MC28,MC28:MC133,0),MATCH(Structure!$D$22,$MA$14:$MZ$14,0))))</f>
        <v/>
      </c>
      <c r="CQ28" s="239" t="str">
        <f>IF(A28=FALSE,"",IF(ALLTHESAME=TRUE,INDEX(NA28:NZ28,MATCH(NC28,NC28:NC133,0),MATCH(Structure!$D$22,$NA$14:$NZ$14,0)),INDEX(OA28:OZ28,MATCH(OC28,OC28:OC133,0),MATCH(Structure!$D$22,$OA$14:$OZ$14,0))))</f>
        <v/>
      </c>
      <c r="CR28" s="239" t="str">
        <f>IF(A28=FALSE,"",IF(ALLTHESAME=TRUE,INDEX(PA28:PZ28,MATCH(PC28,PC28:PC133,0),MATCH(Structure!$D$22,$PA$14:$PZ$14,0)),INDEX(QA28:QZ28,MATCH(QC28,QC28:QC133,0),MATCH(Structure!$D$22,$QA$14:$QZ$14,0))))</f>
        <v/>
      </c>
      <c r="CS28" s="341" t="str">
        <f>IF(A28=FALSE,"",IF(ALLTHESAME=TRUE,INDEX(RA28:RZ28,MATCH(RC28,RC28:RC133,0),MATCH(Structure!$D$22,$RA$14:$RZ$14,0)),INDEX(SA28:TC28,MATCH(SC28,SC28:SC133,0),MATCH(Structure!$D$22,$SA$14:$TC$14,0))))</f>
        <v/>
      </c>
      <c r="CT28" s="347"/>
      <c r="CU28" s="239" t="str">
        <f t="shared" si="242"/>
        <v/>
      </c>
      <c r="CV28" s="239" t="str">
        <f>IF(A28=FALSE,"",IF(ALLTHESAME=TRUE,INDEX(DD28:DZ28,MATCH(DF28,DF28:DF133,0),MATCH(Structure!$D$8,$DD$14:$DZ$14,0)),INDEX(EA28:EZ28,MATCH(EC28,EC28:EC133,0),MATCH(Structure!$D$8,$EA$14:$EZ$14,0))))</f>
        <v/>
      </c>
      <c r="CW28" s="239" t="str">
        <f>IF(A28=FALSE,"",IF(ALLTHESAME=TRUE,INDEX(FA28:FZ28,MATCH(FC28,FC28:FC133,0),MATCH(Structure!$D$8,$FA$14:$FZ$14,0)),INDEX(GA28:GZ28,MATCH(GC28,GC28:GC133,0),MATCH(Structure!$D$8,$GA$14:$GZ$14,0))))</f>
        <v/>
      </c>
      <c r="CX28" s="239" t="str">
        <f>IF(A28=FALSE,"",IF(ALLTHESAME=TRUE,INDEX(HA28:HZ28,MATCH(HC28,HC28:HC133,0),MATCH(Structure!$D$8,$HA$14:$HZ$14,0)),INDEX(IA28:IZ28,MATCH(IC28,IC28:IC133,0),MATCH(Structure!$D$8,$IA$14:$IZ$14,0))))</f>
        <v/>
      </c>
      <c r="CY28" s="239" t="str">
        <f>IF(A28=FALSE,"",IF(ALLTHESAME=TRUE,INDEX(JA28:JZ28,MATCH(JC28,JC28:JC133,0),MATCH(Structure!$D$8,$JA$14:$JZ$14,0)),INDEX(KA28:KZ28,MATCH(KC28,KC28:KC133,0),MATCH(Structure!$D$8,$KA$14:$KZ$14,0))))</f>
        <v/>
      </c>
      <c r="CZ28" s="239" t="str">
        <f>IF(A28=FALSE,"",IF(ALLTHESAME=TRUE,INDEX(LA28:LZ28,MATCH(LC28,LC28:LC133,0),MATCH(Structure!$D$8,$LA$14:$LZ$14,0)),INDEX(MA28:MZ28,MATCH(MC28,MC28:MC133,0),MATCH(Structure!$D$8,$MA$14:$MZ$14,0))))</f>
        <v/>
      </c>
      <c r="DA28" s="239" t="str">
        <f>IF(A28=FALSE,"",IF(ALLTHESAME=TRUE,INDEX(NA28:NZ28,MATCH(NC28,NC28:NC133,0),MATCH(Structure!$D$8,$NA$14:$NZ$14,0)),INDEX(OA28:OZ28,MATCH(OC28,OC28:OC133,0),MATCH(Structure!$D$8,$OA$14:$OZ$14,0))))</f>
        <v/>
      </c>
      <c r="DB28" s="239" t="str">
        <f>IF(A28=FALSE,"",IF(ALLTHESAME=TRUE,INDEX(PA28:PZ28,MATCH(PC28,PC28:PC133,0),MATCH(Structure!$D$8,$PA$14:$PZ$14,0)),INDEX(QA28:QZ28,MATCH(QC28,QC28:QC133,0),MATCH(Structure!$D$8,$QA$14:$QZ$14,0))))</f>
        <v/>
      </c>
      <c r="DC28" s="341" t="str">
        <f>IF(A28=FALSE,"",IF(ALLTHESAME=TRUE,INDEX(RA28:RZ28,MATCH(RC28,RC28:RC133,0),MATCH(Structure!$D$8,$RA$14:$RZ$14,0)),INDEX(SA28:TC28,MATCH(SC28,SC28:SC133,0),MATCH(Structure!$D$8,$SA$14:$TC$14,0))))</f>
        <v/>
      </c>
      <c r="DD28" s="966" t="str">
        <f>IF(A28=FALSE,"",Cotations!D28)</f>
        <v/>
      </c>
      <c r="DE28" s="966" t="str">
        <f>IF(A28=FALSE,"",IF(LISTES!$A$17=1,Cotations!AF28,Cotations!$AG$4))</f>
        <v/>
      </c>
      <c r="DF28" s="291" t="str">
        <f t="shared" si="431"/>
        <v/>
      </c>
      <c r="DG28" s="291" t="str">
        <f t="shared" si="243"/>
        <v/>
      </c>
      <c r="DH28" s="291"/>
      <c r="DI28" s="463"/>
      <c r="DJ28" s="463" t="str">
        <f t="shared" si="244"/>
        <v/>
      </c>
      <c r="DK28" s="300" t="str">
        <f>IF(A28=FALSE,"",IF(Cotations!$AH$4="monthly",DJ28/12*L28,DJ28/365*M28))</f>
        <v/>
      </c>
      <c r="DL28" s="453" t="str">
        <f>IF(A28=FALSE,"",Cotations!$AI$4)</f>
        <v/>
      </c>
      <c r="DM28" s="300" t="str">
        <f t="shared" si="245"/>
        <v/>
      </c>
      <c r="DN28" s="300" t="str">
        <f t="shared" si="246"/>
        <v/>
      </c>
      <c r="DO28" s="294" t="str">
        <f t="shared" si="247"/>
        <v/>
      </c>
      <c r="DP28" s="294" t="str">
        <f>IF(A28=FALSE,"",Cotations!$AJ$4)</f>
        <v/>
      </c>
      <c r="DQ28" s="294" t="str">
        <f>IF(A28=FALSE,"",Cotations!$AK$4)</f>
        <v/>
      </c>
      <c r="DR28" s="453" t="str">
        <f>IF(A28=FALSE,"",Cotations!$AL$4)</f>
        <v/>
      </c>
      <c r="DS28" s="294" t="str">
        <f>IF(A28=FALSE,"",IF(DP28="N/A",0,IF(INDEX(LISTES!$F$105:$F$109,MATCH(DP28,LISTES!$C$105:$C$109,0))="FIX",IF(INDEX(LISTES!$E$105:$E$109,MATCH(DP28,LISTES!$C$105:$C$109,0))=12,DQ28/12*L28,DQ28/365*M28),DR28*DO28)))</f>
        <v/>
      </c>
      <c r="DT28" s="294" t="str">
        <f t="shared" si="248"/>
        <v/>
      </c>
      <c r="DU28" s="294" t="str">
        <f>IF(A28=FALSE,"",DT28*Cotations!$AM$4)</f>
        <v/>
      </c>
      <c r="DV28" s="294" t="str">
        <f>IF(A28=FALSE,"",DT28*Cotations!$AN$4)</f>
        <v/>
      </c>
      <c r="DW28" s="465" t="str">
        <f t="shared" si="249"/>
        <v/>
      </c>
      <c r="DX28" s="919" t="str">
        <f>IF(A28=FALSE,"",((DJ28*TAXE)-(DJ28*TAXE*DL28))+IF(DP28="N/A",0,IF(INDEX(LISTES!$F$105:$F$109,MATCH(DP28,LISTES!$C$105:$C$109,0))="FIX",DQ28,DR28*DO28)))</f>
        <v/>
      </c>
      <c r="DY28" s="466"/>
      <c r="DZ28" s="466"/>
      <c r="EA28" s="966" t="str">
        <f>IF(A28=FALSE,"",Cotations!D28)</f>
        <v/>
      </c>
      <c r="EB28" s="294" t="str">
        <f>IF(A28=FALSE,"",IF(LISTES!$A$17=1,Cotations!AF28,Cotations!AG28))</f>
        <v/>
      </c>
      <c r="EC28" s="284" t="str">
        <f t="shared" si="250"/>
        <v/>
      </c>
      <c r="ED28" s="284" t="str">
        <f t="shared" si="251"/>
        <v/>
      </c>
      <c r="EE28" s="284"/>
      <c r="EF28" s="284"/>
      <c r="EG28" s="284" t="str">
        <f t="shared" si="252"/>
        <v/>
      </c>
      <c r="EH28" s="1365" t="str">
        <f t="shared" si="253"/>
        <v/>
      </c>
      <c r="EI28" s="1365" t="str">
        <f t="shared" si="254"/>
        <v/>
      </c>
      <c r="EJ28" s="284" t="str">
        <f>IF(A28=FALSE,"",IF(Cotations!AH28="monthly",EG28/12*L28,EG28/365*M28))</f>
        <v/>
      </c>
      <c r="EK28" s="1365" t="str">
        <f>IF(A28=FALSE,"",IF(Cotations!AH28="monthly",EI28/12*L28,EI28/365*M28))</f>
        <v/>
      </c>
      <c r="EL28" s="665" t="str">
        <f>IF(A28=FALSE,"",IF(Cotations!AI28="","",Cotations!AI28))</f>
        <v/>
      </c>
      <c r="EM28" s="284" t="str">
        <f t="shared" si="255"/>
        <v/>
      </c>
      <c r="EN28" s="284" t="str">
        <f t="shared" si="256"/>
        <v/>
      </c>
      <c r="EO28" s="1365" t="str">
        <f t="shared" si="432"/>
        <v/>
      </c>
      <c r="EP28" s="284" t="str">
        <f t="shared" si="257"/>
        <v/>
      </c>
      <c r="EQ28" s="284" t="str">
        <f>IF(A28=FALSE,"",Cotations!AJ28)</f>
        <v/>
      </c>
      <c r="ER28" s="284" t="str">
        <f>IF(A28=FALSE,"",IF(Cotations!AK28="","",Cotations!AK28))</f>
        <v/>
      </c>
      <c r="ES28" s="665" t="str">
        <f>IF(A28=FALSE,"",Cotations!AL28)</f>
        <v/>
      </c>
      <c r="ET28" s="284" t="str">
        <f>IF(A28=FALSE,"",IF(EQ28="N/A",0,IF(INDEX(LISTES!$F$105:$F$109,MATCH(EQ28,LISTES!$C$105:$C$109,0))="FIX",IF(INDEX(LISTES!$E$105:$E$109,MATCH(EQ28,LISTES!$C$105:$C$109,0))=12,ER28/12*L28,ER28/365*M28),ES28*EP28)))</f>
        <v/>
      </c>
      <c r="EU28" s="294" t="str">
        <f t="shared" si="258"/>
        <v/>
      </c>
      <c r="EV28" s="294" t="str">
        <f>IF(A28=FALSE,"",EU28*Cotations!AM28)</f>
        <v/>
      </c>
      <c r="EW28" s="294" t="str">
        <f>IF(A28=FALSE,"",EU28*Cotations!AN28)</f>
        <v/>
      </c>
      <c r="EX28" s="334" t="str">
        <f t="shared" si="259"/>
        <v/>
      </c>
      <c r="EY28" s="919" t="str">
        <f>IF(A28=FALSE,"",((EG28*TAXE)-(EG28*TAXE*EL28)+EH28)+IF(EQ28="N/A",0,IF(INDEX(LISTES!$F$105:$F$109,MATCH(EQ28,LISTES!$C$105:$C$109,0))="FIX",ER28,ES28*EP28)))</f>
        <v/>
      </c>
      <c r="FA28" s="966" t="str">
        <f>IF(A28=FALSE,"",Cotations!D28)</f>
        <v/>
      </c>
      <c r="FB28" s="479" t="str">
        <f>IF(A28=FALSE,"",IF(LISTES!$A$17=1,Cotations!AO28,Cotations!$AP$4))</f>
        <v/>
      </c>
      <c r="FC28" s="291" t="str">
        <f t="shared" si="260"/>
        <v/>
      </c>
      <c r="FD28" s="291" t="str">
        <f t="shared" si="261"/>
        <v/>
      </c>
      <c r="FE28" s="291"/>
      <c r="FF28" s="463"/>
      <c r="FG28" s="463" t="str">
        <f t="shared" si="262"/>
        <v/>
      </c>
      <c r="FH28" s="300" t="str">
        <f>IF(A28=FALSE,"",IF(Cotations!$AQ$4="monthly",FG28/12*L28,FG28/365*M28))</f>
        <v/>
      </c>
      <c r="FI28" s="453" t="str">
        <f>IF(A28=FALSE,"",Cotations!$AR$4)</f>
        <v/>
      </c>
      <c r="FJ28" s="300" t="str">
        <f t="shared" si="263"/>
        <v/>
      </c>
      <c r="FK28" s="300" t="str">
        <f t="shared" si="264"/>
        <v/>
      </c>
      <c r="FL28" s="294" t="str">
        <f t="shared" si="265"/>
        <v/>
      </c>
      <c r="FM28" s="294" t="str">
        <f>IF(A28=FALSE,"",Cotations!$AS$4)</f>
        <v/>
      </c>
      <c r="FN28" s="294" t="str">
        <f>IF(A28=FALSE,"",Cotations!$AT$4)</f>
        <v/>
      </c>
      <c r="FO28" s="453" t="str">
        <f>IF(A28=FALSE,"",Cotations!$AU$4)</f>
        <v/>
      </c>
      <c r="FP28" s="294" t="str">
        <f>IF(A28=FALSE,"",IF(FM28="N/A",0,IF(INDEX(LISTES!$F$105:$F$109,MATCH(FM28,LISTES!$C$105:$C$109,0))="FIX",IF(INDEX(LISTES!$E$105:$E$109,MATCH(FM28,LISTES!$C$105:$C$109,0))=12,FN28/12*L28,FN28/365*M28),FO28*FL28)))</f>
        <v/>
      </c>
      <c r="FQ28" s="294" t="str">
        <f t="shared" si="266"/>
        <v/>
      </c>
      <c r="FR28" s="294" t="str">
        <f>IF(A28=FALSE,"",FQ28*Cotations!$AV$4)</f>
        <v/>
      </c>
      <c r="FS28" s="294" t="str">
        <f>IF(A28=FALSE,"",FQ28*Cotations!$AW$4)</f>
        <v/>
      </c>
      <c r="FT28" s="465" t="str">
        <f t="shared" si="267"/>
        <v/>
      </c>
      <c r="FU28" s="919" t="str">
        <f>IF(A28=FALSE,"",((FG28*TAXE)-(FG28*TAXE*FI28))+IF(FM28="N/A",0,IF(INDEX(LISTES!$F$105:$F$109,MATCH(FM28,LISTES!$C$105:$C$109,0))="FIX",FN28,FO28*FL28)))</f>
        <v/>
      </c>
      <c r="FV28" s="478"/>
      <c r="FW28" s="478"/>
      <c r="FX28" s="478"/>
      <c r="FY28" s="478"/>
      <c r="FZ28" s="478"/>
      <c r="GA28" s="966" t="str">
        <f>IF(A28=FALSE,"",Cotations!D28)</f>
        <v/>
      </c>
      <c r="GB28" s="294" t="str">
        <f>IF(A28=FALSE,"",IF(LISTES!$A$17=1,Cotations!AO28,Cotations!AP28))</f>
        <v/>
      </c>
      <c r="GC28" s="284" t="str">
        <f t="shared" si="268"/>
        <v/>
      </c>
      <c r="GD28" s="284" t="str">
        <f>IF(A28=FALSE,"",IF(Detail!AM28="","",Detail!AM28))</f>
        <v/>
      </c>
      <c r="GE28" s="284"/>
      <c r="GF28" s="284"/>
      <c r="GG28" s="284" t="str">
        <f t="shared" si="269"/>
        <v/>
      </c>
      <c r="GH28" s="284" t="str">
        <f>IF(A28=FALSE,"",IF(Cotations!AQ28="monthly",GG28/12*L28,GG28/365*M28))</f>
        <v/>
      </c>
      <c r="GI28" s="665" t="str">
        <f>IF(A28=FALSE,"",IF(Cotations!AR28="","",Cotations!AR28))</f>
        <v/>
      </c>
      <c r="GJ28" s="284" t="str">
        <f t="shared" si="270"/>
        <v/>
      </c>
      <c r="GK28" s="284" t="str">
        <f t="shared" si="271"/>
        <v/>
      </c>
      <c r="GL28" s="284" t="str">
        <f t="shared" si="272"/>
        <v/>
      </c>
      <c r="GM28" s="284" t="str">
        <f>IF(A28=FALSE,"",Cotations!AS28)</f>
        <v/>
      </c>
      <c r="GN28" s="284" t="str">
        <f>IF(A28=FALSE,"",Cotations!AT28)</f>
        <v/>
      </c>
      <c r="GO28" s="665" t="str">
        <f>IF(A28=FALSE,"",Cotations!AU28)</f>
        <v/>
      </c>
      <c r="GP28" s="284" t="str">
        <f>IF(A28=FALSE,"",IF(GM28="N/A",0,IF(INDEX(LISTES!$F$105:$F$109,MATCH(GM28,LISTES!$C$105:$C$109,0))="FIX",IF(INDEX(LISTES!$E$105:$E$109,MATCH(GM28,LISTES!$C$105:$C$109,0))=12,GN28/12*L28,GN28/365*M28),GO28*GL28)))</f>
        <v/>
      </c>
      <c r="GQ28" s="294" t="str">
        <f t="shared" si="273"/>
        <v/>
      </c>
      <c r="GR28" s="294" t="str">
        <f>IF(A28=FALSE,"",GQ28*Cotations!AV28)</f>
        <v/>
      </c>
      <c r="GS28" s="294" t="str">
        <f>IF(A28=FALSE,"",GQ28*Cotations!AW28)</f>
        <v/>
      </c>
      <c r="GT28" s="334" t="str">
        <f t="shared" si="274"/>
        <v/>
      </c>
      <c r="GU28" s="919" t="str">
        <f>IF(A28=FALSE,"",((GG28*TAXE)-(GG28*TAXE*GI28))+IF(GM28="N/A",0,IF(INDEX(LISTES!$F$105:$F$109,MATCH(GM28,LISTES!$C$105:$C$109,0))="FIX",GN28,GO28*GL28)))</f>
        <v/>
      </c>
      <c r="GV28" s="478"/>
      <c r="GW28" s="466"/>
      <c r="GX28" s="466"/>
      <c r="GY28" s="466"/>
      <c r="GZ28" s="466"/>
      <c r="HA28" s="966" t="str">
        <f>IF(A28=FALSE,"",Cotations!D28)</f>
        <v/>
      </c>
      <c r="HB28" s="978" t="str">
        <f>IF(A28=FALSE,"",IF(LISTES!$A$17=1,Cotations!AX28,Cotations!$AY$4))</f>
        <v/>
      </c>
      <c r="HC28" s="291" t="str">
        <f t="shared" si="275"/>
        <v/>
      </c>
      <c r="HD28" s="291" t="str">
        <f t="shared" si="276"/>
        <v/>
      </c>
      <c r="HE28" s="456" t="str">
        <f t="shared" si="277"/>
        <v/>
      </c>
      <c r="HF28" s="980" t="str">
        <f>IF(A28=FALSE,"",IF(HA28="POEA",Cotations!BA28,IF(HA28="FIXE",Cotations!$BA$4,Cotations!$BC$4*Y28)))</f>
        <v/>
      </c>
      <c r="HG28" s="300" t="str">
        <f t="shared" si="278"/>
        <v/>
      </c>
      <c r="HH28" s="300" t="str">
        <f>IF(A28=FALSE,"",IF(Cotations!$AZ$4="monthly",HG28/12*L28,HG28/365*M28))</f>
        <v/>
      </c>
      <c r="HI28" s="453" t="str">
        <f>IF(A28=FALSE,"",Cotations!$BD$4)</f>
        <v/>
      </c>
      <c r="HJ28" s="300" t="str">
        <f t="shared" si="279"/>
        <v/>
      </c>
      <c r="HK28" s="300" t="str">
        <f t="shared" si="280"/>
        <v/>
      </c>
      <c r="HL28" s="294" t="str">
        <f t="shared" si="281"/>
        <v/>
      </c>
      <c r="HM28" s="294" t="str">
        <f>IF(A28=FALSE,"",Cotations!$BE$4)</f>
        <v/>
      </c>
      <c r="HN28" s="300" t="str">
        <f>IF(A28=FALSE,"",Cotations!$BF$4)</f>
        <v/>
      </c>
      <c r="HO28" s="453" t="str">
        <f>IF(A28=FALSE,"",Cotations!$BG$4)</f>
        <v/>
      </c>
      <c r="HP28" s="294" t="str">
        <f>IF(A28=FALSE,"",IF(HM28="N/A",0,IF(INDEX(LISTES!$F$105:$F$109,MATCH(HM28,LISTES!$C$105:$C$109,0))="FIX",IF(INDEX(LISTES!$E$105:$E$109,MATCH(HM28,LISTES!$C$105:$C$109,0))=12,HN28/12*L28,HN28/365*M28),HO28*HL28)))</f>
        <v/>
      </c>
      <c r="HQ28" s="294" t="str">
        <f t="shared" si="282"/>
        <v/>
      </c>
      <c r="HR28" s="294" t="str">
        <f>IF(A28=FALSE,"",HQ28*Cotations!$BH$4)</f>
        <v/>
      </c>
      <c r="HS28" s="294" t="str">
        <f>IF(A28=FALSE,"",HQ28*Cotations!$BI$4)</f>
        <v/>
      </c>
      <c r="HT28" s="294" t="str">
        <f t="shared" si="283"/>
        <v/>
      </c>
      <c r="HU28" s="919" t="str">
        <f>IF(A28=FALSE,"",((HG28*TAXE)-(HG28*TAXE*HI28))+IF(HM28="N/A",0,IF(INDEX(LISTES!$F$105:$F$109,MATCH(HM28,LISTES!$C$105:$C$109,0))="FIX",HN28,HO28*HL28)))</f>
        <v/>
      </c>
      <c r="IA28" s="966" t="str">
        <f>IF(A28=FALSE,"",Cotations!D28)</f>
        <v/>
      </c>
      <c r="IB28" s="981" t="str">
        <f>IF(A28=FALSE,"",IF(LISTES!$A$17=1,Cotations!AX28,Cotations!AY28))</f>
        <v/>
      </c>
      <c r="IC28" s="919" t="str">
        <f t="shared" si="284"/>
        <v/>
      </c>
      <c r="ID28" s="300" t="str">
        <f>IF(A28=FALSE,"",IF(LISTES!$A$17=3,Detail!AU28,lig1_Formula_PREVOY))</f>
        <v/>
      </c>
      <c r="IE28" s="461" t="str">
        <f t="shared" si="285"/>
        <v/>
      </c>
      <c r="IF28" s="983" t="str">
        <f>IF(A28=FALSE,"",IF(IA28="POEA",Cotations!BA28,IF(HA28="FIXE",Cotations!BB28,IF(Cotations!BC28*Y28&lt;50000,Z28,Cotations!BC28*Y28))))</f>
        <v/>
      </c>
      <c r="IG28" s="300" t="str">
        <f t="shared" si="286"/>
        <v/>
      </c>
      <c r="IH28" s="300" t="str">
        <f>IF(A28=FALSE,"",IF(Cotations!AZ28="monthly",IG28/12*L28,IG28/365*M28))</f>
        <v/>
      </c>
      <c r="II28" s="453" t="str">
        <f>IF(A28=FALSE,"",IF(Cotations!BD28="","",Cotations!BD28))</f>
        <v/>
      </c>
      <c r="IJ28" s="300" t="str">
        <f t="shared" si="287"/>
        <v/>
      </c>
      <c r="IK28" s="300" t="str">
        <f t="shared" si="288"/>
        <v/>
      </c>
      <c r="IL28" s="919" t="str">
        <f t="shared" si="289"/>
        <v/>
      </c>
      <c r="IM28" s="919" t="str">
        <f>IF(A28=FALSE,"",Cotations!BE28)</f>
        <v/>
      </c>
      <c r="IN28" s="919" t="str">
        <f>IF(A28=FALSE,"",Cotations!BF28)</f>
        <v/>
      </c>
      <c r="IO28" s="665" t="str">
        <f>IF(A28=FALSE,"",Cotations!BG28)</f>
        <v/>
      </c>
      <c r="IP28" s="919" t="str">
        <f>IF(A28=FALSE,"",IF(IM28="N/A",0,IF(INDEX(LISTES!$F$105:$F$109,MATCH(IM28,LISTES!$C$105:$C$109,0))="FIX",IF(INDEX(LISTES!$E$105:$E$109,MATCH(IM28,LISTES!$C$105:$C$109,0))=12,IN28/12*L28,IN28/365*M28),IO28*IL28)))</f>
        <v/>
      </c>
      <c r="IQ28" s="294" t="str">
        <f t="shared" si="290"/>
        <v/>
      </c>
      <c r="IR28" s="294" t="str">
        <f>IF(A28=FALSE,"",IQ28*Cotations!BH28)</f>
        <v/>
      </c>
      <c r="IS28" s="294" t="str">
        <f>IF(A28=FALSE,"",IQ28*Cotations!BI28)</f>
        <v/>
      </c>
      <c r="IT28" s="338" t="str">
        <f t="shared" si="291"/>
        <v/>
      </c>
      <c r="IU28" s="919" t="str">
        <f>IF(A28=FALSE,"",((IG28*TAXE)-(IG28*TAXE*II28))+IF(IM28="N/A",0,IF(INDEX(LISTES!$F$105:$F$109,MATCH(IM28,LISTES!$C$105:$C$109,0))="FIX",IN28,IO28*IL28)))</f>
        <v/>
      </c>
      <c r="JA28" s="966" t="str">
        <f>IF(A28=FALSE,"",Cotations!D28)</f>
        <v/>
      </c>
      <c r="JB28" s="978" t="str">
        <f>IF(A28=FALSE,"",IF(LISTES!$A$17=1,Cotations!BJ28,Cotations!$BK$4))</f>
        <v/>
      </c>
      <c r="JC28" s="291" t="str">
        <f t="shared" si="292"/>
        <v/>
      </c>
      <c r="JD28" s="291" t="str">
        <f t="shared" si="293"/>
        <v/>
      </c>
      <c r="JE28" s="456" t="str">
        <f t="shared" si="294"/>
        <v/>
      </c>
      <c r="JF28" s="980" t="str">
        <f>IF(A28=FALSE,"",IF(JA28="POEA",Cotations!BM28,IF(JA28="FIXE",Cotations!$BM$4,Cotations!$BO$4*Y28)))</f>
        <v/>
      </c>
      <c r="JG28" s="300" t="str">
        <f t="shared" si="295"/>
        <v/>
      </c>
      <c r="JH28" s="300" t="str">
        <f>IF(A28=FALSE,"",IF(Cotations!$BL$4="monthly",JG28/12*L28,JG28/365*M28))</f>
        <v/>
      </c>
      <c r="JI28" s="453" t="str">
        <f>IF(A28=FALSE,"",Cotations!$BP$4)</f>
        <v/>
      </c>
      <c r="JJ28" s="300" t="str">
        <f t="shared" si="296"/>
        <v/>
      </c>
      <c r="JK28" s="300" t="str">
        <f t="shared" si="297"/>
        <v/>
      </c>
      <c r="JL28" s="294" t="str">
        <f t="shared" si="298"/>
        <v/>
      </c>
      <c r="JM28" s="294" t="str">
        <f>IF(A28=FALSE,"",Cotations!$BQ$4)</f>
        <v/>
      </c>
      <c r="JN28" s="300" t="str">
        <f>IF(A28=FALSE,"",Cotations!$BR$4)</f>
        <v/>
      </c>
      <c r="JO28" s="453" t="str">
        <f>IF(A28=FALSE,"",Cotations!$BS$4)</f>
        <v/>
      </c>
      <c r="JP28" s="294" t="str">
        <f>IF(A28=FALSE,"",IF(JM28="N/A",0,IF(INDEX(LISTES!$F$105:$F$109,MATCH(JM28,LISTES!$C$105:$C$109,0))="FIX",IF(INDEX(LISTES!$E$105:$E$109,MATCH(JM28,LISTES!$C$105:$C$109,0))=12,JN28/12*L28,JN28/365*M28),JO28*JL28)))</f>
        <v/>
      </c>
      <c r="JQ28" s="294" t="str">
        <f t="shared" si="299"/>
        <v/>
      </c>
      <c r="JR28" s="294" t="str">
        <f>IF(A28=FALSE,"",JQ28*Cotations!$BT$4)</f>
        <v/>
      </c>
      <c r="JS28" s="294" t="str">
        <f>IF(A28=FALSE,"",JQ28*Cotations!$BU$4)</f>
        <v/>
      </c>
      <c r="JT28" s="294" t="str">
        <f t="shared" si="300"/>
        <v/>
      </c>
      <c r="JU28" s="919" t="str">
        <f>IF(A28=FALSE,"",((JG28*TAXE)-(JG28*TAXE*JI28))+IF(JM28="N/A",0,IF(INDEX(LISTES!$F$105:$F$109,MATCH(JM28,LISTES!$C$105:$C$109,0))="FIX",JN28,JO28*JL28)))</f>
        <v/>
      </c>
      <c r="KA28" s="966" t="str">
        <f>IF(A28=FALSE,"",Cotations!D28)</f>
        <v/>
      </c>
      <c r="KB28" s="981" t="str">
        <f>IF(A28=FALSE,"",IF(LISTES!$A$17=1,Cotations!BJ28,Cotations!BK28))</f>
        <v/>
      </c>
      <c r="KC28" s="919" t="str">
        <f t="shared" si="301"/>
        <v/>
      </c>
      <c r="KD28" s="300"/>
      <c r="KE28" s="461" t="str">
        <f t="shared" si="302"/>
        <v/>
      </c>
      <c r="KF28" s="983" t="str">
        <f>IF(A28=FALSE,"",IF(KA28="POEA",Cotations!BM28,IF(KA28="FIXE",Cotations!BN28,IF(Cotations!BO28*Y28&lt;50000,Z28,Cotations!BO28*Y28))))</f>
        <v/>
      </c>
      <c r="KG28" s="300" t="str">
        <f t="shared" si="303"/>
        <v/>
      </c>
      <c r="KH28" s="300" t="str">
        <f>IF(A28=FALSE,"",IF(Cotations!BL28="monthly",KG28/12*L28,KG28/365*M28))</f>
        <v/>
      </c>
      <c r="KI28" s="453" t="str">
        <f>IF(A28=FALSE,"",IF(Cotations!BP28="","",Cotations!BP28))</f>
        <v/>
      </c>
      <c r="KJ28" s="300" t="str">
        <f t="shared" si="304"/>
        <v/>
      </c>
      <c r="KK28" s="300" t="str">
        <f t="shared" si="305"/>
        <v/>
      </c>
      <c r="KL28" s="919" t="str">
        <f t="shared" si="306"/>
        <v/>
      </c>
      <c r="KM28" s="919" t="str">
        <f>IF(A28=FALSE,"",Cotations!BQ28)</f>
        <v/>
      </c>
      <c r="KN28" s="284" t="str">
        <f>IF(A28=FALSE,"",Cotations!BR28)</f>
        <v/>
      </c>
      <c r="KO28" s="665" t="str">
        <f>IF(A28=FALSE,"",Cotations!BS28)</f>
        <v/>
      </c>
      <c r="KP28" s="919" t="str">
        <f>IF(A28=FALSE,"",IF(KM28="N/A",0,IF(INDEX(LISTES!$F$105:$F$109,MATCH(KM28,LISTES!$C$105:$C$109,0))="FIX",IF(INDEX(LISTES!$E$105:$E$109,MATCH(KM28,LISTES!$C$105:$C$109,0))=12,KN28/12*L28,KN28/365*M28),KO28*KL28)))</f>
        <v/>
      </c>
      <c r="KQ28" s="294" t="str">
        <f t="shared" si="307"/>
        <v/>
      </c>
      <c r="KR28" s="294" t="str">
        <f>IF(A28=FALSE,"",KQ28*Cotations!BT28)</f>
        <v/>
      </c>
      <c r="KS28" s="294" t="str">
        <f>IF(A28=FALSE,"",KQ28*Cotations!BU28)</f>
        <v/>
      </c>
      <c r="KT28" s="338" t="str">
        <f t="shared" si="308"/>
        <v/>
      </c>
      <c r="KU28" s="919" t="str">
        <f>IF(A28=FALSE,"",((KG28*TAXE)-(KG28*TAXE*KI28))+IF(KM28="N/A",0,IF(INDEX(LISTES!$F$105:$F$109,MATCH(KM28,LISTES!$C$105:$C$109,0))="FIX",KN28,KO28*KL28)))</f>
        <v/>
      </c>
      <c r="LA28" s="984" t="str">
        <f>IF(A28=FALSE,"",Cotations!D28)</f>
        <v/>
      </c>
      <c r="LB28" s="985" t="str">
        <f>IF(A28=FALSE,"",IF(LISTES!$A$17=1,Cotations!BV28,Cotations!$BW$4))</f>
        <v/>
      </c>
      <c r="LC28" s="499" t="str">
        <f t="shared" si="309"/>
        <v/>
      </c>
      <c r="LD28" s="499" t="str">
        <f t="shared" si="310"/>
        <v/>
      </c>
      <c r="LE28" s="500" t="str">
        <f t="shared" si="311"/>
        <v/>
      </c>
      <c r="LF28" s="988" t="str">
        <f>IF(A28=FALSE,"",IF(LA28="POEA",Cotations!EJ28,IF(LA28="FIXE",Cotations!$BY$4,Cotations!$CA$4*Y28)))</f>
        <v/>
      </c>
      <c r="LG28" s="502" t="str">
        <f t="shared" si="312"/>
        <v/>
      </c>
      <c r="LH28" s="502" t="str">
        <f>IF(A28=FALSE,"",IF(Cotations!$BX$4="monthly",LG28/12*L28,LG28/365*M28))</f>
        <v/>
      </c>
      <c r="LI28" s="1417" t="str">
        <f>IF(A28=FALSE,"",Cotations!$CB$4)</f>
        <v/>
      </c>
      <c r="LJ28" s="502" t="str">
        <f t="shared" si="313"/>
        <v/>
      </c>
      <c r="LK28" s="502" t="str">
        <f t="shared" si="314"/>
        <v/>
      </c>
      <c r="LL28" s="504" t="str">
        <f t="shared" si="315"/>
        <v/>
      </c>
      <c r="LM28" s="504" t="str">
        <f>IF(A28=FALSE,"",Cotations!$CC$4)</f>
        <v/>
      </c>
      <c r="LN28" s="1417" t="str">
        <f>IF(A28=FALSE,"",Cotations!$CD$4)</f>
        <v/>
      </c>
      <c r="LO28" s="1417" t="str">
        <f>IF(A28=FALSE,"",Cotations!$CE$4)</f>
        <v/>
      </c>
      <c r="LP28" s="504" t="str">
        <f>IF(A28=FALSE,"",IF(LM28="N/A",0,IF(INDEX(LISTES!$F$105:$F$109,MATCH(LM28,LISTES!$C$105:$C$109,0))="FIX",IF(INDEX(LISTES!$E$105:$E$109,MATCH(LM28,LISTES!$C$105:$C$109,0))=12,LN28/12*L28,LN28/365*M28),LO28*LL28)))</f>
        <v/>
      </c>
      <c r="LQ28" s="504" t="str">
        <f t="shared" si="316"/>
        <v/>
      </c>
      <c r="LR28" s="504" t="str">
        <f>IF(A28=FALSE,"",LQ28*Cotations!$CF$4)</f>
        <v/>
      </c>
      <c r="LS28" s="504" t="str">
        <f>IF(A28=FALSE,"",LQ28*Cotations!$CG$4)</f>
        <v/>
      </c>
      <c r="LT28" s="506" t="str">
        <f t="shared" si="317"/>
        <v/>
      </c>
      <c r="LU28" s="919" t="str">
        <f>IF(A28=FALSE,"",((LG28*TAXE)-(LG28*TAXE*LI28))+IF(LM28="N/A",0,IF(INDEX(LISTES!$F$105:$F$109,MATCH(LM28,LISTES!$C$105:$C$109,0))="FIX",LN28,LO28*LL28)))</f>
        <v/>
      </c>
      <c r="MA28" s="966" t="str">
        <f>IF(A28=FALSE,"",Cotations!D28)</f>
        <v/>
      </c>
      <c r="MB28" s="981" t="str">
        <f>IF(A28=FALSE,"",IF(LISTES!$A$17=1,Cotations!BV28,Cotations!BW28))</f>
        <v/>
      </c>
      <c r="MC28" s="919" t="str">
        <f t="shared" si="318"/>
        <v/>
      </c>
      <c r="MD28" s="300"/>
      <c r="ME28" s="461" t="str">
        <f t="shared" si="319"/>
        <v/>
      </c>
      <c r="MF28" s="983" t="str">
        <f>IF(A28=FALSE,"",IF(MA28="POEA",Cotations!BY28,IF(MA28="FIXE",Cotations!BZ28,IF(Cotations!CA28*Y28&lt;50000,Z28,Cotations!CA28*Y28))))</f>
        <v/>
      </c>
      <c r="MG28" s="300" t="str">
        <f t="shared" si="320"/>
        <v/>
      </c>
      <c r="MH28" s="300" t="str">
        <f>IF(A28=FALSE,"",IF(Cotations!BX28="monthly",MG28/12*L28,MG28/365*M28))</f>
        <v/>
      </c>
      <c r="MI28" s="453" t="str">
        <f>IF(A28=FALSE,"",IF(Cotations!CB28="","",Cotations!CB28))</f>
        <v/>
      </c>
      <c r="MJ28" s="300" t="str">
        <f t="shared" si="321"/>
        <v/>
      </c>
      <c r="MK28" s="300" t="str">
        <f t="shared" si="322"/>
        <v/>
      </c>
      <c r="ML28" s="919" t="str">
        <f t="shared" si="323"/>
        <v/>
      </c>
      <c r="MM28" s="919" t="str">
        <f>IF(A28=FALSE,"",Cotations!CC28)</f>
        <v/>
      </c>
      <c r="MN28" s="284" t="str">
        <f>IF(A28=FALSE,"",Cotations!CD28)</f>
        <v/>
      </c>
      <c r="MO28" s="665" t="str">
        <f>IF(A28=FALSE,"",Cotations!CE28)</f>
        <v/>
      </c>
      <c r="MP28" s="919" t="str">
        <f>IF(A28=FALSE,"",IF(MM28="N/A",0,IF(INDEX(LISTES!$F$105:$F$109,MATCH(MM28,LISTES!$C$105:$C$109,0))="FIX",IF(INDEX(LISTES!$E$105:$E$109,MATCH(MM28,LISTES!$C$105:$C$109,0))=12,MN28/12*L28,MN28/365*M28),MO28*ML28)))</f>
        <v/>
      </c>
      <c r="MQ28" s="294" t="str">
        <f t="shared" si="324"/>
        <v/>
      </c>
      <c r="MR28" s="294" t="str">
        <f>IF(A28=FALSE,"",MQ28*Cotations!CF28)</f>
        <v/>
      </c>
      <c r="MS28" s="294" t="str">
        <f>IF(A28=FALSE,"",MQ28*Cotations!CG28)</f>
        <v/>
      </c>
      <c r="MT28" s="338" t="str">
        <f t="shared" si="325"/>
        <v/>
      </c>
      <c r="MU28" s="919" t="str">
        <f>IF(A28=FALSE,"",((MG28*TAXE)-(MG28*TAXE*MI28))+IF(MM28="N/A",0,IF(INDEX(LISTES!$F$105:$F$109,MATCH(MM28,LISTES!$C$105:$C$109,0))="FIX",MN28,MO28*ML28)))</f>
        <v/>
      </c>
      <c r="NA28" s="984" t="str">
        <f>IF(A28=FALSE,"",Cotations!D28)</f>
        <v/>
      </c>
      <c r="NB28" s="985" t="str">
        <f>IF(A28=FALSE,"",IF(LISTES!$A$17=1,Cotations!CH28,Cotations!$CI$4))</f>
        <v/>
      </c>
      <c r="NC28" s="499" t="str">
        <f t="shared" si="326"/>
        <v/>
      </c>
      <c r="ND28" s="499" t="str">
        <f t="shared" si="327"/>
        <v/>
      </c>
      <c r="NE28" s="500" t="str">
        <f t="shared" si="328"/>
        <v/>
      </c>
      <c r="NF28" s="988" t="str">
        <f>IF(A28=FALSE,"",IF(NA28="POEA",Cotations!CK28,IF(NA28="FIXE",Cotations!$CK$4,Cotations!$CM$4*Y28)))</f>
        <v/>
      </c>
      <c r="NG28" s="502" t="str">
        <f t="shared" si="329"/>
        <v/>
      </c>
      <c r="NH28" s="502" t="str">
        <f>IF(A28=FALSE,"",IF(Cotations!$CJ$4="monthly",NG28/12*L28,NG28/365*M28))</f>
        <v/>
      </c>
      <c r="NI28" s="1417" t="str">
        <f>IF(A28=FALSE,"",Cotations!$CN$4)</f>
        <v/>
      </c>
      <c r="NJ28" s="502" t="str">
        <f t="shared" si="330"/>
        <v/>
      </c>
      <c r="NK28" s="502" t="str">
        <f t="shared" si="331"/>
        <v/>
      </c>
      <c r="NL28" s="504" t="str">
        <f t="shared" si="332"/>
        <v/>
      </c>
      <c r="NM28" s="504" t="str">
        <f>IF(A28=FALSE,"",Cotations!$CO$4)</f>
        <v/>
      </c>
      <c r="NN28" s="502" t="str">
        <f>IF(A28=FALSE,"",Cotations!$CP$4)</f>
        <v/>
      </c>
      <c r="NO28" s="1417" t="str">
        <f>IF(A28=FALSE,"",Cotations!$CQ$4)</f>
        <v/>
      </c>
      <c r="NP28" s="504" t="str">
        <f>IF(A28=FALSE,"",IF(NM28="N/A",0,IF(INDEX(LISTES!$F$105:$F$109,MATCH(NM28,LISTES!$C$105:$C$109,0))="FIX",IF(INDEX(LISTES!$E$105:$E$109,MATCH(NM28,LISTES!$C$105:$C$109,0))=12,NN28/12*L28,NN28/365*M28),NO28*NL28)))</f>
        <v/>
      </c>
      <c r="NQ28" s="504" t="str">
        <f t="shared" si="333"/>
        <v/>
      </c>
      <c r="NR28" s="504" t="str">
        <f>IF(A28=FALSE,"",NQ28*Cotations!$CR$4)</f>
        <v/>
      </c>
      <c r="NS28" s="504" t="str">
        <f>IF(A28=FALSE,"",NQ28*Cotations!$CS$4)</f>
        <v/>
      </c>
      <c r="NT28" s="506" t="str">
        <f t="shared" si="334"/>
        <v/>
      </c>
      <c r="NU28" s="919" t="str">
        <f>IF(A28=FALSE,"",((NG28*TAXE)-(NG28*TAXE*NI28))+IF(NM28="N/A",0,IF(INDEX(LISTES!$F$105:$F$109,MATCH(NM28,LISTES!$C$105:$C$109,0))="FIX",NN28,NO28*NL28)))</f>
        <v/>
      </c>
      <c r="OA28" s="966" t="str">
        <f>IF(A28=FALSE,"",Cotations!D28)</f>
        <v/>
      </c>
      <c r="OB28" s="981" t="str">
        <f>IF(A28=FALSE,"",IF(LISTES!$A$17=1,Cotations!CH28,Cotations!CI28))</f>
        <v/>
      </c>
      <c r="OC28" s="919" t="str">
        <f t="shared" si="335"/>
        <v/>
      </c>
      <c r="OD28" s="300"/>
      <c r="OE28" s="461" t="str">
        <f t="shared" si="336"/>
        <v/>
      </c>
      <c r="OF28" s="983" t="str">
        <f>IF(A28=FALSE,"",IF(OA28="POEA",Cotations!CK28,IF(OA28="FIXE",Cotations!CL28,IF(Cotations!CM28*Y28&lt;50000,Z28,Cotations!CM28*Y28))))</f>
        <v/>
      </c>
      <c r="OG28" s="300" t="str">
        <f t="shared" si="337"/>
        <v/>
      </c>
      <c r="OH28" s="300" t="str">
        <f>IF(A28=FALSE,"",IF(Cotations!CJ28="monthly",OG28/12*L28,OG28/365*M28))</f>
        <v/>
      </c>
      <c r="OI28" s="453" t="str">
        <f>IF(A28=FALSE,"",IF(Cotations!CN28="","",Cotations!CN28))</f>
        <v/>
      </c>
      <c r="OJ28" s="300" t="str">
        <f t="shared" si="338"/>
        <v/>
      </c>
      <c r="OK28" s="300" t="str">
        <f t="shared" si="339"/>
        <v/>
      </c>
      <c r="OL28" s="919" t="str">
        <f t="shared" si="340"/>
        <v/>
      </c>
      <c r="OM28" s="919" t="str">
        <f>IF(A28=FALSE,"",Cotations!CO28)</f>
        <v/>
      </c>
      <c r="ON28" s="284" t="str">
        <f>IF(A28=FALSE,"",Cotations!CP28)</f>
        <v/>
      </c>
      <c r="OO28" s="665" t="str">
        <f>IF(A28=FALSE,"",Cotations!CQ28)</f>
        <v/>
      </c>
      <c r="OP28" s="919" t="str">
        <f>IF(A28=FALSE,"",IF(OM28="N/A",0,IF(INDEX(LISTES!$F$105:$F$109,MATCH(OM28,LISTES!$C$105:$C$109,0))="FIX",IF(INDEX(LISTES!$E$105:$E$109,MATCH(OM28,LISTES!$C$105:$C$109,0))=12,ON28/12*L28,ON28/365*M28),OO28*OL28)))</f>
        <v/>
      </c>
      <c r="OQ28" s="294" t="str">
        <f t="shared" si="341"/>
        <v/>
      </c>
      <c r="OR28" s="294" t="str">
        <f>IF(A28=FALSE,"",OQ28*Cotations!CR28)</f>
        <v/>
      </c>
      <c r="OS28" s="294" t="str">
        <f>IF(A28=FALSE,"",OQ28*Cotations!CS28)</f>
        <v/>
      </c>
      <c r="OT28" s="338" t="str">
        <f t="shared" si="342"/>
        <v/>
      </c>
      <c r="OU28" s="919" t="str">
        <f>IF(A28=FALSE,"",((OG28*TAXE)-(OG28*TAXE*OI28))+IF(OM28="N/A",0,IF(INDEX(LISTES!$F$105:$F$109,MATCH(OM28,LISTES!$C$105:$C$109,0))="FIX",ON28,OO28*OL28)))</f>
        <v/>
      </c>
      <c r="PA28" s="984" t="str">
        <f t="shared" si="343"/>
        <v/>
      </c>
      <c r="PB28" s="985" t="str">
        <f>IF(A28=FALSE,"",IF(LISTES!$A$17=1,Cotations!CT28,Cotations!$CU$4))</f>
        <v/>
      </c>
      <c r="PC28" s="499" t="str">
        <f t="shared" si="344"/>
        <v/>
      </c>
      <c r="PD28" s="499" t="str">
        <f t="shared" si="345"/>
        <v/>
      </c>
      <c r="PE28" s="500" t="str">
        <f t="shared" si="346"/>
        <v/>
      </c>
      <c r="PF28" s="988" t="str">
        <f>IF(A28=FALSE,"",Cotations!$CY$4*Y28)</f>
        <v/>
      </c>
      <c r="PG28" s="502" t="str">
        <f t="shared" si="347"/>
        <v/>
      </c>
      <c r="PH28" s="502" t="str">
        <f>IF(A28=FALSE,"",IF(Cotations!$CV$4="monthly",PG28/12*L28,PG28/365*M28))</f>
        <v/>
      </c>
      <c r="PI28" s="1417" t="str">
        <f>IF(A28=FALSE,"",Cotations!$CZ$4)</f>
        <v/>
      </c>
      <c r="PJ28" s="502" t="str">
        <f t="shared" si="348"/>
        <v/>
      </c>
      <c r="PK28" s="502" t="str">
        <f t="shared" si="349"/>
        <v/>
      </c>
      <c r="PL28" s="504" t="str">
        <f t="shared" si="350"/>
        <v/>
      </c>
      <c r="PM28" s="504" t="str">
        <f>IF(A28=FALSE,"",Cotations!$DA$4)</f>
        <v/>
      </c>
      <c r="PN28" s="502" t="str">
        <f>IF(A28=FALSE,"",Cotations!$DB$4)</f>
        <v/>
      </c>
      <c r="PO28" s="1417" t="str">
        <f>IF(A28=FALSE,"",Cotations!$DC$4)</f>
        <v/>
      </c>
      <c r="PP28" s="504" t="str">
        <f>IF(A28=FALSE,"",IF(PM28="N/A",0,IF(INDEX(LISTES!$F$105:$F$109,MATCH(PM28,LISTES!$C$105:$C$109,0))="FIX",IF(INDEX(LISTES!$E$105:$E$109,MATCH(PM28,LISTES!$C$105:$C$109,0))=12,PN28/12*L28,PN28/365*M28),PO28*PL28)))</f>
        <v/>
      </c>
      <c r="PQ28" s="504" t="str">
        <f t="shared" si="351"/>
        <v/>
      </c>
      <c r="PR28" s="504" t="str">
        <f>IF(A28=FALSE,"",PQ28*Cotations!$DD$4)</f>
        <v/>
      </c>
      <c r="PS28" s="504" t="str">
        <f>IF(A28=FALSE,"",PQ28*Cotations!$DE$4)</f>
        <v/>
      </c>
      <c r="PT28" s="506" t="str">
        <f t="shared" si="352"/>
        <v/>
      </c>
      <c r="PU28" s="919" t="str">
        <f>IF(A28=FALSE,"",((PG28*TAXE)-(PG28*TAXE*PI28))+IF(PM28="N/A",0,IF(INDEX(LISTES!$F$105:$F$109,MATCH(PM28,LISTES!$C$105:$C$109,0))="FIX",PN28,PO28*PL28)))</f>
        <v/>
      </c>
      <c r="QA28" s="966" t="str">
        <f t="shared" si="353"/>
        <v/>
      </c>
      <c r="QB28" s="981" t="str">
        <f>IF(A28=FALSE,"",IF(LISTES!$A$17=1,Cotations!CT28,Cotations!CU28))</f>
        <v/>
      </c>
      <c r="QC28" s="919" t="str">
        <f t="shared" si="354"/>
        <v/>
      </c>
      <c r="QD28" s="300"/>
      <c r="QE28" s="461" t="str">
        <f t="shared" si="355"/>
        <v/>
      </c>
      <c r="QF28" s="983" t="str">
        <f>IF(A28=FALSE,"",Cotations!CY28*AA28)</f>
        <v/>
      </c>
      <c r="QG28" s="300" t="str">
        <f t="shared" si="356"/>
        <v/>
      </c>
      <c r="QH28" s="300" t="str">
        <f>IF(A28=FALSE,"",IF(Cotations!CV28="monthly",QG28/12*L28,QG28/365*M28))</f>
        <v/>
      </c>
      <c r="QI28" s="453" t="str">
        <f>IF(A28=FALSE,"",IF(Cotations!CZ28="","",Cotations!CZ28))</f>
        <v/>
      </c>
      <c r="QJ28" s="300" t="str">
        <f t="shared" si="357"/>
        <v/>
      </c>
      <c r="QK28" s="300" t="str">
        <f t="shared" si="358"/>
        <v/>
      </c>
      <c r="QL28" s="919" t="str">
        <f t="shared" si="359"/>
        <v/>
      </c>
      <c r="QM28" s="919" t="str">
        <f>IF(A28=FALSE,"",Cotations!DA28)</f>
        <v/>
      </c>
      <c r="QN28" s="284" t="str">
        <f>IF(A28=FALSE,"",Cotations!DB28)</f>
        <v/>
      </c>
      <c r="QO28" s="665" t="str">
        <f>IF(A28=FALSE,"",Cotations!DC28)</f>
        <v/>
      </c>
      <c r="QP28" s="919" t="str">
        <f>IF(A28=FALSE,"",IF(QM28="N/A",0,IF(INDEX(LISTES!$F$105:$F$109,MATCH(QM28,LISTES!$C$105:$C$109,0))="FIX",IF(INDEX(LISTES!$E$105:$E$109,MATCH(QM28,LISTES!$C$105:$C$109,0))=12,QN28/12*L28,QN28/365*M28),QO28*QL28)))</f>
        <v/>
      </c>
      <c r="QQ28" s="294" t="str">
        <f t="shared" si="360"/>
        <v/>
      </c>
      <c r="QR28" s="294" t="str">
        <f>IF(A28=FALSE,"",QQ28*Cotations!DD28)</f>
        <v/>
      </c>
      <c r="QS28" s="294" t="str">
        <f>IF(A28=FALSE,"",QQ28*Cotations!DE28)</f>
        <v/>
      </c>
      <c r="QT28" s="338" t="str">
        <f t="shared" si="361"/>
        <v/>
      </c>
      <c r="QU28" s="919" t="str">
        <f>IF(A28=FALSE,"",((QG28*TAXE)-(QG28*TAXE*QI28))+IF(QM28="N/A",0,IF(INDEX(LISTES!$F$105:$F$109,MATCH(QM28,LISTES!$C$105:$C$109,0))="FIX",QN28,QO28*QL28)))</f>
        <v/>
      </c>
      <c r="RA28" s="984" t="str">
        <f t="shared" si="362"/>
        <v/>
      </c>
      <c r="RB28" s="985" t="str">
        <f>IF(A28=FALSE,"",IF(LISTES!$A$17=1,Cotations!DF28,Cotations!$DG$4))</f>
        <v/>
      </c>
      <c r="RC28" s="499" t="str">
        <f t="shared" si="363"/>
        <v/>
      </c>
      <c r="RD28" s="499" t="str">
        <f t="shared" si="364"/>
        <v/>
      </c>
      <c r="RE28" s="500" t="str">
        <f t="shared" si="365"/>
        <v/>
      </c>
      <c r="RF28" s="988" t="str">
        <f>IF(A28=FALSE,"",Cotations!$DK$4*Y28)</f>
        <v/>
      </c>
      <c r="RG28" s="502" t="str">
        <f t="shared" si="366"/>
        <v/>
      </c>
      <c r="RH28" s="502" t="str">
        <f>IF(A28=FALSE,"",IF(Cotations!$DH$4="monthly",RG28/12*L28,RG28/365*M28))</f>
        <v/>
      </c>
      <c r="RI28" s="1417" t="str">
        <f>IF(A28=FALSE,"",Cotations!$DL$4)</f>
        <v/>
      </c>
      <c r="RJ28" s="502" t="str">
        <f t="shared" si="367"/>
        <v/>
      </c>
      <c r="RK28" s="502" t="str">
        <f t="shared" si="368"/>
        <v/>
      </c>
      <c r="RL28" s="504" t="str">
        <f t="shared" si="369"/>
        <v/>
      </c>
      <c r="RM28" s="504" t="str">
        <f>IF(A28=FALSE,"",Cotations!$DM$4)</f>
        <v/>
      </c>
      <c r="RN28" s="502" t="str">
        <f>IF(A28=FALSE,"",Cotations!$DN$4)</f>
        <v/>
      </c>
      <c r="RO28" s="1417" t="str">
        <f>IF(A28=FALSE,"",Cotations!$DO$4)</f>
        <v/>
      </c>
      <c r="RP28" s="504" t="str">
        <f>IF(A28=FALSE,"",IF(RM28="N/A",0,IF(INDEX(LISTES!$F$105:$F$109,MATCH(RM28,LISTES!$C$105:$C$109,0))="FIX",IF(INDEX(LISTES!$E$105:$E$109,MATCH(RM28,LISTES!$C$105:$C$109,0))=12,RN28/12*L28,RN28/365*M28),RO28*RL28)))</f>
        <v/>
      </c>
      <c r="RQ28" s="504" t="str">
        <f t="shared" si="370"/>
        <v/>
      </c>
      <c r="RR28" s="504" t="str">
        <f>IF(A28=FALSE,"",RQ28*Cotations!$DP$4)</f>
        <v/>
      </c>
      <c r="RS28" s="504" t="str">
        <f>IF(A28=FALSE,"",RQ28*Cotations!$DQ$4)</f>
        <v/>
      </c>
      <c r="RT28" s="506" t="str">
        <f t="shared" si="371"/>
        <v/>
      </c>
      <c r="RU28" s="919" t="str">
        <f>IF(A28=FALSE,"",((RG28*TAXE)-(RG28*TAXE*RI28))+IF(RM28="N/A",0,IF(INDEX(LISTES!$F$105:$F$109,MATCH(RM28,LISTES!$C$105:$C$109,0))="FIX",RN28,RO28*RL28)))</f>
        <v/>
      </c>
      <c r="SA28" s="966" t="str">
        <f t="shared" si="372"/>
        <v/>
      </c>
      <c r="SB28" s="981" t="str">
        <f>IF(A28=FALSE,"",IF(LISTES!$A$17=1,Cotations!DF28,Cotations!DG28))</f>
        <v/>
      </c>
      <c r="SC28" s="919" t="str">
        <f t="shared" si="373"/>
        <v/>
      </c>
      <c r="SD28" s="300"/>
      <c r="SE28" s="461" t="str">
        <f t="shared" si="374"/>
        <v/>
      </c>
      <c r="SF28" s="983" t="str">
        <f>IF(A28=FALSE,"",Cotations!DK28*AA28)</f>
        <v/>
      </c>
      <c r="SG28" s="300" t="str">
        <f t="shared" si="375"/>
        <v/>
      </c>
      <c r="SH28" s="300" t="str">
        <f>IF(A28=FALSE,"",IF(Cotations!DH28="monthly",SG28/12*L28,SG28/365*M28))</f>
        <v/>
      </c>
      <c r="SI28" s="453" t="str">
        <f>IF(A28=FALSE,"",IF(Cotations!DL28="","",Cotations!DL28))</f>
        <v/>
      </c>
      <c r="SJ28" s="300" t="str">
        <f t="shared" si="376"/>
        <v/>
      </c>
      <c r="SK28" s="300" t="str">
        <f t="shared" si="377"/>
        <v/>
      </c>
      <c r="SL28" s="919" t="str">
        <f t="shared" si="378"/>
        <v/>
      </c>
      <c r="SM28" s="919" t="str">
        <f>IF(A28=FALSE,"",Cotations!DM28)</f>
        <v/>
      </c>
      <c r="SN28" s="284" t="str">
        <f>IF(A28=FALSE,"",Cotations!DN28)</f>
        <v/>
      </c>
      <c r="SO28" s="665" t="str">
        <f>IF(A28=FALSE,"",Cotations!DO28)</f>
        <v/>
      </c>
      <c r="SP28" s="919" t="str">
        <f>IF(A28=FALSE,"",IF(SM28="N/A",0,IF(INDEX(LISTES!$F$105:$F$109,MATCH(SM28,LISTES!$C$105:$C$109,0))="FIX",IF(INDEX(LISTES!$E$105:$E$109,MATCH(SM28,LISTES!$C$105:$C$109,0))=12,SN28/12*L28,SN28/365*M28),SO28*SL28)))</f>
        <v/>
      </c>
      <c r="SQ28" s="294" t="str">
        <f t="shared" si="379"/>
        <v/>
      </c>
      <c r="SR28" s="294" t="str">
        <f>IF(A28=FALSE,"",SQ28*Cotations!DP28)</f>
        <v/>
      </c>
      <c r="SS28" s="294" t="str">
        <f>IF(A28=FALSE,"",SQ28*Cotations!DQ28)</f>
        <v/>
      </c>
      <c r="ST28" s="338" t="str">
        <f t="shared" si="380"/>
        <v/>
      </c>
      <c r="SU28" s="919" t="str">
        <f>IF(A28=FALSE,"",((SG28*TAXE)-(SG28*TAXE*SI28))+IF(SM28="N/A",0,IF(INDEX(LISTES!$F$105:$F$109,MATCH(SM28,LISTES!$C$105:$C$109,0))="FIX",SN28,SO28*SL28)))</f>
        <v/>
      </c>
      <c r="TA28" s="966" t="str">
        <f>IF(A28=FALSE,"",Cotations!D28)</f>
        <v/>
      </c>
      <c r="TB28" s="981" t="str">
        <f>IF(A28=FALSE,"",IF(LISTES!$A$17=1,Cotations!DR28,Cotations!DS28))</f>
        <v/>
      </c>
      <c r="TC28" s="919" t="str">
        <f t="shared" si="381"/>
        <v/>
      </c>
      <c r="TD28" s="300" t="str">
        <f>IF(A28=FALSE,"",Detail!CQ28)</f>
        <v/>
      </c>
      <c r="TE28" s="461" t="str">
        <f t="shared" si="382"/>
        <v/>
      </c>
      <c r="TF28" s="983" t="str">
        <f>IF(A28=FALSE,"",IF(TA28="FIXE",Cotations!DU28,Cotations!DV28*Y28))</f>
        <v/>
      </c>
      <c r="TG28" s="300" t="str">
        <f t="shared" si="383"/>
        <v/>
      </c>
      <c r="TH28" s="300" t="str">
        <f>IF(A28=FALSE,"",IF(Cotations!DT28="monthly",TG28/12*L28,TG28/365*M28))</f>
        <v/>
      </c>
      <c r="TI28" s="453" t="str">
        <f>IF(A28=FALSE,"",IF(Cotations!DW28="","",Cotations!DW28))</f>
        <v/>
      </c>
      <c r="TJ28" s="300" t="str">
        <f t="shared" si="384"/>
        <v/>
      </c>
      <c r="TK28" s="300" t="str">
        <f t="shared" si="385"/>
        <v/>
      </c>
      <c r="TL28" s="919" t="str">
        <f t="shared" si="386"/>
        <v/>
      </c>
      <c r="TM28" s="919" t="str">
        <f>IF(A28=FALSE,"",Cotations!DX28)</f>
        <v/>
      </c>
      <c r="TN28" s="919" t="str">
        <f>IF(A28=FALSE,"",Cotations!DY28)</f>
        <v/>
      </c>
      <c r="TO28" s="665" t="str">
        <f>IF(A28=FALSE,"",Cotations!DZ28)</f>
        <v/>
      </c>
      <c r="TP28" s="919" t="str">
        <f>IF(A28=FALSE,"",IF(TM28="N/A",0,IF(INDEX(LISTES!$F$105:$F$109,MATCH(TM28,LISTES!$C$105:$C$109,0))="FIX",IF(INDEX(LISTES!$E$105:$E$109,MATCH(TM28,LISTES!$C$105:$C$109,0))=12,TN28/12*L28,TN28/365*M28),TO28*TL28)))</f>
        <v/>
      </c>
      <c r="TQ28" s="294" t="str">
        <f t="shared" si="387"/>
        <v/>
      </c>
      <c r="TR28" s="294" t="str">
        <f>IF(A28=FALSE,"",TQ28*Cotations!EA28)</f>
        <v/>
      </c>
      <c r="TS28" s="294" t="str">
        <f>IF(A28=FALSE,"",TQ28*Cotations!EB28)</f>
        <v/>
      </c>
      <c r="TT28" s="338" t="str">
        <f t="shared" si="388"/>
        <v/>
      </c>
      <c r="TU28" s="919" t="str">
        <f>IF(A28=FALSE,"",((TG28*(1+TAXE)-(TG28*(1+TAXE)*TI28))+IF(TM28="N/A",0,IF(INDEX(LISTES!$F$105:$F$109,MATCH(TM28,LISTES!$C$105:$C$109,0))="FIX",TN28,TO28*TL28))))</f>
        <v/>
      </c>
      <c r="UA28" s="966" t="str">
        <f>IF(A28=FALSE,"",Cotations!D28)</f>
        <v/>
      </c>
      <c r="UB28" s="981" t="str">
        <f>IF(A28=FALSE,"",IF(LISTES!$A$17=1,Cotations!EC28,Cotations!ED28))</f>
        <v/>
      </c>
      <c r="UC28" s="919" t="str">
        <f t="shared" si="389"/>
        <v/>
      </c>
      <c r="UD28" s="300" t="str">
        <f>IF(A28=FALSE,"",Detail!CY28)</f>
        <v/>
      </c>
      <c r="UE28" s="461" t="str">
        <f t="shared" si="390"/>
        <v/>
      </c>
      <c r="UF28" s="983" t="str">
        <f>IF(A28=FALSE,"",IF(UA28="FIXE",Cotations!EF28,Cotations!EG28*Y28))</f>
        <v/>
      </c>
      <c r="UG28" s="300" t="str">
        <f t="shared" si="391"/>
        <v/>
      </c>
      <c r="UH28" s="300" t="str">
        <f>IF(A28=FALSE,"",IF(Cotations!EE28="monthly",UG28/12*L28,UG28/365*M28))</f>
        <v/>
      </c>
      <c r="UI28" s="453" t="str">
        <f>IF(A28=FALSE,"",IF(Cotations!EH28="","",Cotations!EH28))</f>
        <v/>
      </c>
      <c r="UJ28" s="300" t="str">
        <f t="shared" si="392"/>
        <v/>
      </c>
      <c r="UK28" s="300" t="str">
        <f t="shared" si="393"/>
        <v/>
      </c>
      <c r="UL28" s="919" t="str">
        <f t="shared" si="394"/>
        <v/>
      </c>
      <c r="UM28" s="919" t="str">
        <f>IF(A28=FALSE,"",Cotations!EI28)</f>
        <v/>
      </c>
      <c r="UN28" s="919" t="str">
        <f>IF(A28=FALSE,"",Cotations!EJ28)</f>
        <v/>
      </c>
      <c r="UO28" s="665" t="str">
        <f>IF(A28=FALSE,"",Cotations!EK28)</f>
        <v/>
      </c>
      <c r="UP28" s="919" t="str">
        <f>IF(A28=FALSE,"",IF(UM28="N/A",0,IF(INDEX(LISTES!$F$105:$F$109,MATCH(UM28,LISTES!$C$105:$C$109,0))="FIX",IF(INDEX(LISTES!$E$105:$E$109,MATCH(UM28,LISTES!$C$105:$C$109,0))=12,UN28/12*L28,UN28/365*M28),UO28*UL28)))</f>
        <v/>
      </c>
      <c r="UQ28" s="294" t="str">
        <f t="shared" si="395"/>
        <v/>
      </c>
      <c r="UR28" s="294" t="str">
        <f>IF(A28=FALSE,"",UQ28*Cotations!EL28)</f>
        <v/>
      </c>
      <c r="US28" s="294" t="str">
        <f>IF(A28=FALSE,"",UQ28*Cotations!EM28)</f>
        <v/>
      </c>
      <c r="UT28" s="338" t="str">
        <f t="shared" si="396"/>
        <v/>
      </c>
      <c r="UU28" s="919" t="str">
        <f>IF(A28=FALSE,"",((UG28*(1+TAXE)-(UG28*(1+TAXE)*UI28))+IF(UM28="N/A",0,IF(INDEX(LISTES!$F$105:$F$109,MATCH(UM28,LISTES!$C$105:$C$109,0))="FIX",UN28,UO28*UL28))))</f>
        <v/>
      </c>
      <c r="VA28" s="966" t="str">
        <f>IF(A28=FALSE,"",Cotations!D28)</f>
        <v/>
      </c>
      <c r="VB28" s="479" t="str">
        <f>IF(A28=FALSE,"",IF(LISTES!$A$17=1,Cotations!EN28,Cotations!EO28))</f>
        <v/>
      </c>
      <c r="VC28" s="291" t="str">
        <f t="shared" si="397"/>
        <v/>
      </c>
      <c r="VD28" s="291" t="str">
        <f t="shared" si="398"/>
        <v/>
      </c>
      <c r="VE28" s="291"/>
      <c r="VF28" s="463"/>
      <c r="VG28" s="463" t="str">
        <f t="shared" si="399"/>
        <v/>
      </c>
      <c r="VH28" s="300" t="str">
        <f>IF(A28=FALSE,"",IF(Cotations!$AQ$4="monthly",VG28/12*L28,VG28/365*M28))</f>
        <v/>
      </c>
      <c r="VI28" s="453" t="str">
        <f>IF(A28=FALSE,"",Cotations!$AR$4)</f>
        <v/>
      </c>
      <c r="VJ28" s="300" t="str">
        <f t="shared" si="400"/>
        <v/>
      </c>
      <c r="VK28" s="300" t="str">
        <f t="shared" si="401"/>
        <v/>
      </c>
      <c r="VL28" s="294" t="str">
        <f t="shared" si="402"/>
        <v/>
      </c>
      <c r="VM28" s="294" t="str">
        <f>IF(A28=FALSE,"",Cotations!$AS$4)</f>
        <v/>
      </c>
      <c r="VN28" s="294" t="str">
        <f>IF(A28=FALSE,"",Cotations!$AT$4)</f>
        <v/>
      </c>
      <c r="VO28" s="453" t="str">
        <f>IF(A28=FALSE,"",Cotations!$AU$4)</f>
        <v/>
      </c>
      <c r="VP28" s="294" t="str">
        <f>IF(A28=FALSE,"",IF(VM28="N/A",0,IF(INDEX(LISTES!$F$105:$F$109,MATCH(VM28,LISTES!$C$105:$C$109,0))="FIX",IF(INDEX(LISTES!$E$105:$E$109,MATCH(VM28,LISTES!$C$105:$C$109,0))=12,VN28/12*L28,VN28/365*M28),VO28*VL28)))</f>
        <v/>
      </c>
      <c r="VQ28" s="294" t="str">
        <f t="shared" si="403"/>
        <v/>
      </c>
      <c r="VR28" s="294" t="str">
        <f>IF(A28=FALSE,"",VQ28*Cotations!$AV$4)</f>
        <v/>
      </c>
      <c r="VS28" s="294" t="str">
        <f>IF(A28=FALSE,"",VQ28*Cotations!$AW$4)</f>
        <v/>
      </c>
      <c r="VT28" s="465" t="str">
        <f t="shared" si="404"/>
        <v/>
      </c>
      <c r="VU28" s="919" t="str">
        <f>IF(A28=FALSE,"",((VG28*TAXE)-(VG28*TAXE*VI28))+IF(VM28="N/A",0,IF(INDEX(LISTES!$F$105:$F$109,MATCH(VM28,LISTES!$C$105:$C$109,0))="FIX",VN28,VO28*VL28)))</f>
        <v/>
      </c>
      <c r="WA28" s="966" t="str">
        <f>IF(A28=FALSE,"",Cotations!D28)</f>
        <v/>
      </c>
      <c r="WB28" s="479" t="str">
        <f>IF(A28=FALSE,"",IF(LISTES!$A$17=1,Cotations!EW28,Cotations!EX28))</f>
        <v/>
      </c>
      <c r="WC28" s="291" t="str">
        <f t="shared" si="405"/>
        <v/>
      </c>
      <c r="WD28" s="291" t="str">
        <f t="shared" si="406"/>
        <v/>
      </c>
      <c r="WE28" s="291"/>
      <c r="WF28" s="463"/>
      <c r="WG28" s="463" t="str">
        <f t="shared" si="407"/>
        <v/>
      </c>
      <c r="WH28" s="300" t="str">
        <f>IF(A28=FALSE,"",IF(Cotations!$AQ$4="monthly",WG28/12*L28,WG28/365*M28))</f>
        <v/>
      </c>
      <c r="WI28" s="453" t="str">
        <f>IF(A28=FALSE,"",Cotations!$AR$4)</f>
        <v/>
      </c>
      <c r="WJ28" s="300" t="str">
        <f t="shared" si="408"/>
        <v/>
      </c>
      <c r="WK28" s="300" t="str">
        <f t="shared" si="409"/>
        <v/>
      </c>
      <c r="WL28" s="294" t="str">
        <f t="shared" si="410"/>
        <v/>
      </c>
      <c r="WM28" s="294" t="str">
        <f>IF(A28=FALSE,"",Cotations!$AS$4)</f>
        <v/>
      </c>
      <c r="WN28" s="294" t="str">
        <f>IF(A28=FALSE,"",Cotations!$AT$4)</f>
        <v/>
      </c>
      <c r="WO28" s="453" t="str">
        <f>IF(A28=FALSE,"",Cotations!$AU$4)</f>
        <v/>
      </c>
      <c r="WP28" s="294" t="str">
        <f>IF(A28=FALSE,"",IF(WM28="N/A",0,IF(INDEX(LISTES!$F$105:$F$109,MATCH(WM28,LISTES!$C$105:$C$109,0))="FIX",IF(INDEX(LISTES!$E$105:$E$109,MATCH(WM28,LISTES!$C$105:$C$109,0))=12,WN28/12*L28,WN28/365*M28),WO28*WL28)))</f>
        <v/>
      </c>
      <c r="WQ28" s="294" t="str">
        <f t="shared" si="411"/>
        <v/>
      </c>
      <c r="WR28" s="294" t="str">
        <f>IF(A28=FALSE,"",WQ28*Cotations!$AV$4)</f>
        <v/>
      </c>
      <c r="WS28" s="294" t="str">
        <f>IF(A28=FALSE,"",WQ28*Cotations!$AW$4)</f>
        <v/>
      </c>
      <c r="WT28" s="465" t="str">
        <f t="shared" si="412"/>
        <v/>
      </c>
      <c r="WU28" s="919" t="str">
        <f>IF(A28=FALSE,"",((WG28*TAXE)-(WG28*TAXE*WI28))+IF(WM28="N/A",0,IF(INDEX(LISTES!$F$105:$F$109,MATCH(WM28,LISTES!$C$105:$C$109,0))="FIX",WN28,WO28*WL28)))</f>
        <v/>
      </c>
    </row>
    <row r="29" spans="1:619" s="1398" customFormat="1">
      <c r="A29" s="1400" t="b">
        <f t="shared" si="221"/>
        <v>0</v>
      </c>
      <c r="B29" s="1400" t="b">
        <f>IF(NAMES!$B$9=TRUE,TRUE,FALSE)</f>
        <v>1</v>
      </c>
      <c r="C29" s="1400" t="b">
        <f t="shared" si="413"/>
        <v>0</v>
      </c>
      <c r="D29" s="1400" t="b">
        <f t="shared" si="414"/>
        <v>0</v>
      </c>
      <c r="E29" s="1400" t="b">
        <f>IF(Cotations!C29="","",Cotations!C29)</f>
        <v>0</v>
      </c>
      <c r="F29" s="1400" t="str">
        <f>IF(Cotations!D29="","",Cotations!D29)</f>
        <v>PROP</v>
      </c>
      <c r="G29" s="1400" t="str">
        <f>IF(Cotations!E29="","",Cotations!E29)</f>
        <v>2016-2017!</v>
      </c>
      <c r="H29" s="1400" t="str">
        <f>IF(Cotations!F29="","",Cotations!F29)</f>
        <v>SINGLE</v>
      </c>
      <c r="I29" s="1400" t="str">
        <f>IF(Cotations!G29="","",Cotations!G29)</f>
        <v/>
      </c>
      <c r="J29" s="1400" t="str">
        <f>IF(Cotations!H29="","",Cotations!H29)</f>
        <v/>
      </c>
      <c r="K29" s="1400" t="str">
        <f>IF(Cotations!I29="","",Cotations!I29)</f>
        <v/>
      </c>
      <c r="L29" s="1400" t="str">
        <f>IF(A29=FALSE,"",IF(Cotations!N29="","",Cotations!N29))</f>
        <v/>
      </c>
      <c r="M29" s="1400" t="str">
        <f>IF(Cotations!P29="","",Cotations!P29)</f>
        <v/>
      </c>
      <c r="N29" s="1355" t="str">
        <f>IF(NAMES!$B$10=TRUE,Cotations!J29,Cotations!L29)</f>
        <v/>
      </c>
      <c r="O29" s="1355" t="str">
        <f>IF(NAMES!$B$10=TRUE,Cotations!K29,Cotations!M29)</f>
        <v/>
      </c>
      <c r="P29" s="1355" t="str">
        <f t="shared" si="415"/>
        <v/>
      </c>
      <c r="Q29" s="1355" t="str">
        <f>IF(A29=FALSE,"",IF(Crewlist!Y29="","",Crewlist!Y29))</f>
        <v/>
      </c>
      <c r="R29" s="758" t="str">
        <f>IF(Cotations!U29="","",Cotations!U29)</f>
        <v/>
      </c>
      <c r="S29" s="1355" t="str">
        <f t="shared" si="416"/>
        <v/>
      </c>
      <c r="T29" s="919" t="str">
        <f>IF(A29=FALSE,"",VLOOKUP($U$15:$U$120,Currency!$A$2:$D$10,4,0)*Crewlist!N29)</f>
        <v/>
      </c>
      <c r="U29" s="1355" t="str">
        <f>IF(A29=FALSE,"",IF(IT29=0,Crewlist!M29&amp;"/"&amp;EX29,Crewlist!M29&amp;"/"&amp;IT29))</f>
        <v/>
      </c>
      <c r="V29" s="919" t="str">
        <f>IF(A29=FALSE,"",VLOOKUP($U$15:$U$120,Currency!$A$2:$D$10,4,0)*Detail!Q29)</f>
        <v/>
      </c>
      <c r="W29" s="1355" t="str">
        <f>IF(A29=FALSE,"",IF(IT29=0,Detail!R29&amp;"/"&amp;EX29,Detail!R29&amp;"/"&amp;IT29))</f>
        <v/>
      </c>
      <c r="X29" s="919" t="str">
        <f>IF(A29=FALSE,"",IF(LISTES!$C$17="Crewlist",Calcul!T29,Calcul!V29))</f>
        <v/>
      </c>
      <c r="Y29" s="758" t="str">
        <f t="shared" si="417"/>
        <v/>
      </c>
      <c r="Z29" s="758" t="str">
        <f>IF(A29=FALSE,"",IF(X29=0,0,IF((Cotations!BC29*12*X29)&lt;50000,50000,(12*X29))))</f>
        <v/>
      </c>
      <c r="AA29" s="758" t="str">
        <f t="shared" si="418"/>
        <v/>
      </c>
      <c r="AB29" s="758" t="str">
        <f>IF(A29=FALSE,"",IF(Crewlist!O29=0,"",Crewlist!O29))</f>
        <v/>
      </c>
      <c r="AC29" s="758" t="str">
        <f>IF(I29="","",VLOOKUP($AB$15:$AB$120,Currency!$A$15:$B$34,2,0))</f>
        <v/>
      </c>
      <c r="AD29" s="758" t="str">
        <f t="shared" si="419"/>
        <v/>
      </c>
      <c r="AE29" s="758" t="str">
        <f t="shared" si="420"/>
        <v/>
      </c>
      <c r="AF29" s="758" t="str">
        <f t="shared" si="421"/>
        <v/>
      </c>
      <c r="AG29" s="758" t="str">
        <f t="shared" si="422"/>
        <v/>
      </c>
      <c r="AH29" s="1355" t="str">
        <f t="shared" si="222"/>
        <v/>
      </c>
      <c r="AI29" s="919" t="str">
        <f t="shared" si="423"/>
        <v/>
      </c>
      <c r="AJ29" s="1382" t="str">
        <f t="shared" si="424"/>
        <v/>
      </c>
      <c r="AK29" s="1382" t="str">
        <f t="shared" si="425"/>
        <v/>
      </c>
      <c r="AL29" s="238" t="str">
        <f t="shared" si="223"/>
        <v/>
      </c>
      <c r="AM29" s="238" t="str">
        <f t="shared" si="224"/>
        <v/>
      </c>
      <c r="AN29" s="1374" t="str">
        <f t="shared" si="225"/>
        <v/>
      </c>
      <c r="AO29" s="238" t="str">
        <f t="shared" si="226"/>
        <v/>
      </c>
      <c r="AP29" s="342" t="str">
        <f>IF(A29=FALSE,"",INDEX(Rates!$Z$5:$Z$367,MATCH(EB29,colchoice,0)))</f>
        <v/>
      </c>
      <c r="AQ29" s="238" t="str">
        <f t="shared" si="227"/>
        <v/>
      </c>
      <c r="AR29" s="238" t="str">
        <f t="shared" si="426"/>
        <v/>
      </c>
      <c r="AS29" s="238" t="str">
        <f t="shared" si="427"/>
        <v/>
      </c>
      <c r="AT29" s="238" t="str">
        <f t="shared" si="428"/>
        <v/>
      </c>
      <c r="AU29" s="238" t="str">
        <f t="shared" si="228"/>
        <v/>
      </c>
      <c r="AV29" s="238" t="str">
        <f t="shared" si="429"/>
        <v/>
      </c>
      <c r="AW29" s="238" t="str">
        <f t="shared" si="229"/>
        <v/>
      </c>
      <c r="AX29" s="238" t="str">
        <f t="shared" si="230"/>
        <v/>
      </c>
      <c r="AY29" s="238" t="str">
        <f t="shared" si="231"/>
        <v/>
      </c>
      <c r="AZ29" s="238" t="str">
        <f t="shared" si="232"/>
        <v/>
      </c>
      <c r="BA29" s="238" t="str">
        <f t="shared" si="233"/>
        <v/>
      </c>
      <c r="BB29" s="552" t="str">
        <f t="shared" si="234"/>
        <v/>
      </c>
      <c r="BC29" s="347" t="str">
        <f t="shared" si="235"/>
        <v/>
      </c>
      <c r="BD29" s="239" t="str">
        <f t="shared" si="430"/>
        <v/>
      </c>
      <c r="BE29" s="239" t="str">
        <f>IF(A29=FALSE,"",IF(ALLTHESAME=TRUE,IF(DF29&lt;&gt;$BC$7,0,INDEX(DD29:DZ29,1,MATCH(Structure!$D$12,$DD$14:$DZ$14,0))),IF(EC29&lt;&gt;$BC$7,0,INDEX(EA29:EZ29,1,MATCH(Structure!$D$12,$EA$14:$EZ$14,0)))))</f>
        <v/>
      </c>
      <c r="BF29" s="239" t="str">
        <f>IF(A29=FALSE,"",IF(ALLTHESAME=TRUE,IF(FC29&lt;&gt;$BC$7,0,INDEX(FA29:FZ29,1,MATCH(Structure!$D$12,$FA$14:$FZ$14,0))),IF(GC29&lt;&gt;$BC$7,0,INDEX(GA29:GZ29,1,MATCH(Structure!$D$12,$GA$14:$GZ$14,0)))))</f>
        <v/>
      </c>
      <c r="BG29" s="239" t="str">
        <f>IF(A29=FALSE,"",IF(ALLTHESAME=TRUE,IF(VC29&lt;&gt;$BC$7,0,INDEX(VA29:VZ29,1,MATCH(Structure!$D$12,$VA$14:$VZ$14,0))),IF(VC29&lt;&gt;$BC$7,0,INDEX(VA29:VZ29,1,MATCH(Structure!$D$12,$VA$14:$VZ$14,0)))))</f>
        <v/>
      </c>
      <c r="BH29" s="239" t="str">
        <f>IF(A29=FALSE,"",IF(ALLTHESAME=TRUE,IF(WC29&lt;&gt;$BC$7,0,INDEX(WA29:WY29,1,MATCH(Structure!$D$12,$WA$14:$WZ$14,0))),IF(WC29&lt;&gt;$BC$7,0,INDEX(WA29:WZ29,1,MATCH(Structure!$D$12,$WA$14:$WZ$14,0)))))</f>
        <v/>
      </c>
      <c r="BI29" s="239" t="str">
        <f>IF(A29=FALSE,"",IF(ALLTHESAME=TRUE,IF(HC29&lt;&gt;$BC$7,0,INDEX(HA29:HZ29,1,MATCH(Structure!$D$12,$HA$14:$HZ$14,0)))+TK29,IF(IC29&lt;&gt;$BC$7,0,INDEX(IA29:IZ29,1,MATCH(Structure!$D$12,$IA$14:$IZ$14,0)))+TK29))</f>
        <v/>
      </c>
      <c r="BJ29" s="239" t="str">
        <f>IF(A29=FALSE,"",IF(ALLTHESAME=TRUE,IF(JC29&lt;&gt;$BC$7,0,INDEX(JA29:JZ29,1,MATCH(Structure!$D$12,$JA$14:$JZ$14,0))),IF(KC29&lt;&gt;$BC$7,0,INDEX(KA29:KZ29,1,MATCH(Structure!$D$12,$KA$14:$KZ$14,0)))))</f>
        <v/>
      </c>
      <c r="BK29" s="239" t="str">
        <f>IF(A29=FALSE,"",IF(ALLTHESAME=TRUE,IF(LC29&lt;&gt;$BC$7,0,INDEX(LA29:LZ29,1,MATCH(Structure!$D$12,$LA$14:$LZ$14,0)))+UK29,IF(MC29&lt;&gt;$BC$7,0,INDEX(MA29:MZ29,1,MATCH(Structure!$D$12,$MA$14:$MZ$14,0)))+UK29))</f>
        <v/>
      </c>
      <c r="BL29" s="239" t="str">
        <f>IF(A29=FALSE,"",IF(ALLTHESAME=TRUE,IF(NC29&lt;&gt;$BC$7,0,INDEX(NA29:NZ29,1,MATCH(Structure!$D$12,$NA$14:$NZ$14,0))),IF(OC29&lt;&gt;$BC$7,0,INDEX(OA29:OZ29,1,MATCH(Structure!$D$12,$OA$14:$OZ$14,0)))))</f>
        <v/>
      </c>
      <c r="BM29" s="239" t="str">
        <f>IF(A29=FALSE,"",IF(ALLTHESAME=TRUE,IF(PC29&lt;&gt;$BC$7,0,INDEX(PA29:PZ29,1,MATCH(Structure!$D$12,$PA$14:$PZ$14,0))),IF(QC29&lt;&gt;$BC$7,0,INDEX(QA29:QZ29,1,MATCH(Structure!$D$12,$QA$14:$QZ$14,0)))))</f>
        <v/>
      </c>
      <c r="BN29" s="341" t="str">
        <f>IF(A29=FALSE,"",IF(ALLTHESAME=TRUE,IF(RC29&lt;&gt;$BC$7,0,INDEX(RA29:RZ29,1,MATCH(Structure!$D$12,$RA$14:$RZ$14,0))),IF(SC29&lt;&gt;$BC$7,0,INDEX(SA29:TA29,1,MATCH(Structure!$D$12,$SA$14:$TA$14,0)))))</f>
        <v/>
      </c>
      <c r="BO29" s="507" t="str">
        <f t="shared" si="236"/>
        <v/>
      </c>
      <c r="BP29" s="239" t="str">
        <f t="shared" si="237"/>
        <v/>
      </c>
      <c r="BQ29" s="239" t="str">
        <f>IF(A29=FALSE,"",IF(ALLTHESAME=TRUE,IF(DF29&lt;&gt;$BO$7,0,INDEX(DD29:DZ29,1,MATCH(Structure!$D$12,$DD$14:$DZ$14,0))),IF(EC29&lt;&gt;$BO$7,0,INDEX(EA29:EZ29,1,MATCH(Structure!$D$12,$EA$14:$EZ$14,0)))))</f>
        <v/>
      </c>
      <c r="BR29" s="239" t="str">
        <f>IF(A29=FALSE,"",IF(ALLTHESAME=TRUE,IF(FC29&lt;&gt;$BO$7,0,INDEX(FA29:FZ29,1,MATCH(Structure!$D$12,$FA$14:$FZ$14,0))),IF(GC29&lt;&gt;$BO$7,0,INDEX(GA29:GZ29,1,MATCH(Structure!$D$12,$GA$14:$GZ$14,0)))))</f>
        <v/>
      </c>
      <c r="BS29" s="239" t="str">
        <f>IF(A29=FALSE,"",IF(ALLTHESAME=TRUE,IF(HC29&lt;&gt;$BO$7,0,INDEX(HA29:HZ29,1,MATCH(Structure!$D$12,$HA$14:$HZ$14,0))),IF(IC29&lt;&gt;$BO$7,0,INDEX(IA29:IZ29,1,MATCH(Structure!$D$12,$IA$14:$IZ$14,0)))))</f>
        <v/>
      </c>
      <c r="BT29" s="239" t="str">
        <f>IF(A29=FALSE,"",IF(ALLTHESAME=TRUE,IF(JC29&lt;&gt;$BO$7,0,INDEX(JA29:JZ29,1,MATCH(Structure!$D$12,$JA$14:$JZ$14,0))),IF(KC29&lt;&gt;$BO$7,0,INDEX(KA29:KZ29,1,MATCH(Structure!$D$12,$KA$14:$KZ$14,0)))))</f>
        <v/>
      </c>
      <c r="BU29" s="239" t="str">
        <f>IF(A29=FALSE,"",IF(ALLTHESAME=TRUE,IF(LC29&lt;&gt;$BO$7,0,INDEX(LA29:LZ29,1,MATCH(Structure!$D$12,$LA$14:$LZ$14,0))),IF(MC29&lt;&gt;$BO$7,0,INDEX(MA29:MZ29,1,MATCH(Structure!$D$12,$MA$14:$MZ$14,0)))))</f>
        <v/>
      </c>
      <c r="BV29" s="239" t="str">
        <f>IF(A29=FALSE,"",IF(ALLTHESAME=TRUE,IF(NC29&lt;&gt;$BO$7,0,INDEX(NA29:NZ29,1,MATCH(Structure!$D$12,$NA$14:$NZ$14,0))),IF(OC29&lt;&gt;$BO$7,0,INDEX(OA29:OZ29,1,MATCH(Structure!$D$12,$OA$14:$OZ$14,0)))))</f>
        <v/>
      </c>
      <c r="BW29" s="239" t="str">
        <f>IF(A29=FALSE,"",IF(ALLTHESAME=TRUE,IF(PC29&lt;&gt;$BO$7,0,INDEX(PA29:PZ29,1,MATCH(Structure!$D$12,$PA$14:$PZ$14,0))),IF(QC29&lt;&gt;$BO$7,0,INDEX(QA29:QZ29,1,MATCH(Structure!$D$12,$QA$14:$QZ$14,0)))))</f>
        <v/>
      </c>
      <c r="BX29" s="341" t="str">
        <f>IF(A29=FALSE,"",IF(ALLTHESAME=TRUE,IF(RC29&lt;&gt;$BO$7,0,INDEX(RA29:RZ29,1,MATCH(Structure!$D$12,$RA$14:$RZ$14,0))),IF(SC29&lt;&gt;$BO$7,0,INDEX(SA29:TA29,1,MATCH(Structure!$D$12,$SA$14:$TA$14,0)))))</f>
        <v/>
      </c>
      <c r="BY29" s="347" t="str">
        <f t="shared" si="238"/>
        <v/>
      </c>
      <c r="BZ29" s="507" t="str">
        <f t="shared" si="239"/>
        <v/>
      </c>
      <c r="CA29" s="239" t="str">
        <f t="shared" si="240"/>
        <v/>
      </c>
      <c r="CB29" s="239" t="str">
        <f>IF(A29=FALSE,"",IF(ALLTHESAME=TRUE,INDEX(DD29:DZ29,MATCH(DF29,DF29:DF134,0),MATCH(Structure!$D$17,$DD$14:$DZ$14,0)),INDEX(EA29:EZ29,MATCH(EC29,EC29:EC134,0),MATCH(Structure!$D$17,$EA$14:$EZ$14,0))))</f>
        <v/>
      </c>
      <c r="CC29" s="239" t="str">
        <f>IF(A29=FALSE,"",IF(ALLTHESAME=TRUE,INDEX(FA29:FZ29,MATCH(FC29,FC29:FC134,0),MATCH(Structure!$D$17,$FA$14:$FZ$14,0)),INDEX(GA29:GZ29,MATCH(GC29,GC29:GC134,0),MATCH(Structure!$D$17,$GA$14:$GZ$14,0))))</f>
        <v/>
      </c>
      <c r="CD29" s="239" t="str">
        <f>IF(A29=FALSE,"",IF(ALLTHESAME=TRUE,INDEX(HA29:HZ29,MATCH(HC29,HC29:HC134,0),MATCH(Structure!$D$17,$HA$14:$HZ$14,0)),INDEX(IA29:IZ29,MATCH(IC29,IC29:IC134,0),MATCH(Structure!$D$17,$IA$14:$IZ$14,0))))</f>
        <v/>
      </c>
      <c r="CE29" s="239" t="str">
        <f>IF(A29=FALSE,"",IF(ALLTHESAME=TRUE,INDEX(JA29:JZ29,MATCH(JC29,JC29:JC134,0),MATCH(Structure!$D$17,$JA$14:$JZ$14,0)),INDEX(KA29:KZ29,MATCH(KC29,KC29:KC134,0),MATCH(Structure!$D$17,$KA$14:$KZ$14,0))))</f>
        <v/>
      </c>
      <c r="CF29" s="239" t="str">
        <f>IF(A29=FALSE,"",IF(ALLTHESAME=TRUE,INDEX(LA29:LZ29,MATCH(LC29,LC29:LC134,0),MATCH(Structure!$D$17,$LA$14:$LZ$14,0)),INDEX(MA29:MZ29,MATCH(MC29,MC29:MC134,0),MATCH(Structure!$D$17,$MA$14:$MZ$14,0))))</f>
        <v/>
      </c>
      <c r="CG29" s="239" t="str">
        <f>IF(A29=FALSE,"",IF(ALLTHESAME=TRUE,INDEX(NA29:NZ29,MATCH(NC29,NC29:NC134,0),MATCH(Structure!$D$17,$NA$14:$NZ$14,0)),INDEX(OA29:OZ29,MATCH(OC29,OC29:OC134,0),MATCH(Structure!$D$17,$OA$14:$OZ$14,0))))</f>
        <v/>
      </c>
      <c r="CH29" s="239" t="str">
        <f>IF(A29=FALSE,"",IF(ALLTHESAME=TRUE,INDEX(PA29:PZ29,MATCH(PC29,PC29:PC134,0),MATCH(Structure!$D$17,$PA$14:$PZ$14,0)),INDEX(QA29:QZ29,MATCH(QC29,QC29:QC134,0),MATCH(Structure!$D$17,$QA$14:$QZ$14,0))))</f>
        <v/>
      </c>
      <c r="CI29" s="341" t="str">
        <f>IF(A29=FALSE,"",IF(ALLTHESAME=TRUE,INDEX(RA29:RZ29,MATCH(RC29,RC29:RC134,0),MATCH(Structure!$D$17,$RA$14:$RZ$14,0)),INDEX(SA29:TC29,MATCH(SC29,SC29:SC134,0),MATCH(Structure!$D$17,$SA$14:$TC$14,0))))</f>
        <v/>
      </c>
      <c r="CJ29" s="347"/>
      <c r="CK29" s="239" t="str">
        <f t="shared" si="241"/>
        <v/>
      </c>
      <c r="CL29" s="239" t="str">
        <f>IF(A29=FALSE,"",IF(ALLTHESAME=TRUE,INDEX(DD29:DZ29,MATCH(DF29,DF29:DF134,0),MATCH(Structure!$D$22,$DD$14:$DZ$14,0)),INDEX(EA29:EZ29,MATCH(EC29,EC29:EC134,0),MATCH(Structure!$D$22,$EA$14:$EZ$14,0))))</f>
        <v/>
      </c>
      <c r="CM29" s="239" t="str">
        <f>IF(A29=FALSE,"",IF(ALLTHESAME=TRUE,INDEX(FA29:FZ29,MATCH(FC29,FC29:FC134,0),MATCH(Structure!$D$22,$FA$14:$FZ$14,0)),INDEX(GA29:GZ29,MATCH(GC29,GC29:GC134,0),MATCH(Structure!$D$22,$GA$14:$GZ$14,0))))</f>
        <v/>
      </c>
      <c r="CN29" s="239" t="str">
        <f>IF(A29=FALSE,"",IF(ALLTHESAME=TRUE,INDEX(HA29:HZ29,MATCH(HC29,HC29:HC134,0),MATCH(Structure!$D$22,$HA$14:$HZ$14,0)),INDEX(IA29:IZ29,MATCH(IC29,IC29:IC134,0),MATCH(Structure!$D$22,$IA$14:$IZ$14,0))))</f>
        <v/>
      </c>
      <c r="CO29" s="239" t="str">
        <f>IF(A29=FALSE,"",IF(ALLTHESAME=TRUE,INDEX(JA29:JZ29,MATCH(JC29,JC29:JC134,0),MATCH(Structure!$D$22,$JA$14:$JZ$14,0)),INDEX(KA29:KZ29,MATCH(KC29,KC29:KC134,0),MATCH(Structure!$D$22,$KA$14:$KZ$14,0))))</f>
        <v/>
      </c>
      <c r="CP29" s="239" t="str">
        <f>IF(A29=FALSE,"",IF(ALLTHESAME=TRUE,INDEX(LA29:LZ29,MATCH(LC29,LC29:LC134,0),MATCH(Structure!$D$22,$LA$14:$LZ$14,0)),INDEX(MA29:MZ29,MATCH(MC29,MC29:MC134,0),MATCH(Structure!$D$22,$MA$14:$MZ$14,0))))</f>
        <v/>
      </c>
      <c r="CQ29" s="239" t="str">
        <f>IF(A29=FALSE,"",IF(ALLTHESAME=TRUE,INDEX(NA29:NZ29,MATCH(NC29,NC29:NC134,0),MATCH(Structure!$D$22,$NA$14:$NZ$14,0)),INDEX(OA29:OZ29,MATCH(OC29,OC29:OC134,0),MATCH(Structure!$D$22,$OA$14:$OZ$14,0))))</f>
        <v/>
      </c>
      <c r="CR29" s="239" t="str">
        <f>IF(A29=FALSE,"",IF(ALLTHESAME=TRUE,INDEX(PA29:PZ29,MATCH(PC29,PC29:PC134,0),MATCH(Structure!$D$22,$PA$14:$PZ$14,0)),INDEX(QA29:QZ29,MATCH(QC29,QC29:QC134,0),MATCH(Structure!$D$22,$QA$14:$QZ$14,0))))</f>
        <v/>
      </c>
      <c r="CS29" s="341" t="str">
        <f>IF(A29=FALSE,"",IF(ALLTHESAME=TRUE,INDEX(RA29:RZ29,MATCH(RC29,RC29:RC134,0),MATCH(Structure!$D$22,$RA$14:$RZ$14,0)),INDEX(SA29:TC29,MATCH(SC29,SC29:SC134,0),MATCH(Structure!$D$22,$SA$14:$TC$14,0))))</f>
        <v/>
      </c>
      <c r="CT29" s="347"/>
      <c r="CU29" s="239" t="str">
        <f t="shared" si="242"/>
        <v/>
      </c>
      <c r="CV29" s="239" t="str">
        <f>IF(A29=FALSE,"",IF(ALLTHESAME=TRUE,INDEX(DD29:DZ29,MATCH(DF29,DF29:DF134,0),MATCH(Structure!$D$8,$DD$14:$DZ$14,0)),INDEX(EA29:EZ29,MATCH(EC29,EC29:EC134,0),MATCH(Structure!$D$8,$EA$14:$EZ$14,0))))</f>
        <v/>
      </c>
      <c r="CW29" s="239" t="str">
        <f>IF(A29=FALSE,"",IF(ALLTHESAME=TRUE,INDEX(FA29:FZ29,MATCH(FC29,FC29:FC134,0),MATCH(Structure!$D$8,$FA$14:$FZ$14,0)),INDEX(GA29:GZ29,MATCH(GC29,GC29:GC134,0),MATCH(Structure!$D$8,$GA$14:$GZ$14,0))))</f>
        <v/>
      </c>
      <c r="CX29" s="239" t="str">
        <f>IF(A29=FALSE,"",IF(ALLTHESAME=TRUE,INDEX(HA29:HZ29,MATCH(HC29,HC29:HC134,0),MATCH(Structure!$D$8,$HA$14:$HZ$14,0)),INDEX(IA29:IZ29,MATCH(IC29,IC29:IC134,0),MATCH(Structure!$D$8,$IA$14:$IZ$14,0))))</f>
        <v/>
      </c>
      <c r="CY29" s="239" t="str">
        <f>IF(A29=FALSE,"",IF(ALLTHESAME=TRUE,INDEX(JA29:JZ29,MATCH(JC29,JC29:JC134,0),MATCH(Structure!$D$8,$JA$14:$JZ$14,0)),INDEX(KA29:KZ29,MATCH(KC29,KC29:KC134,0),MATCH(Structure!$D$8,$KA$14:$KZ$14,0))))</f>
        <v/>
      </c>
      <c r="CZ29" s="239" t="str">
        <f>IF(A29=FALSE,"",IF(ALLTHESAME=TRUE,INDEX(LA29:LZ29,MATCH(LC29,LC29:LC134,0),MATCH(Structure!$D$8,$LA$14:$LZ$14,0)),INDEX(MA29:MZ29,MATCH(MC29,MC29:MC134,0),MATCH(Structure!$D$8,$MA$14:$MZ$14,0))))</f>
        <v/>
      </c>
      <c r="DA29" s="239" t="str">
        <f>IF(A29=FALSE,"",IF(ALLTHESAME=TRUE,INDEX(NA29:NZ29,MATCH(NC29,NC29:NC134,0),MATCH(Structure!$D$8,$NA$14:$NZ$14,0)),INDEX(OA29:OZ29,MATCH(OC29,OC29:OC134,0),MATCH(Structure!$D$8,$OA$14:$OZ$14,0))))</f>
        <v/>
      </c>
      <c r="DB29" s="239" t="str">
        <f>IF(A29=FALSE,"",IF(ALLTHESAME=TRUE,INDEX(PA29:PZ29,MATCH(PC29,PC29:PC134,0),MATCH(Structure!$D$8,$PA$14:$PZ$14,0)),INDEX(QA29:QZ29,MATCH(QC29,QC29:QC134,0),MATCH(Structure!$D$8,$QA$14:$QZ$14,0))))</f>
        <v/>
      </c>
      <c r="DC29" s="341" t="str">
        <f>IF(A29=FALSE,"",IF(ALLTHESAME=TRUE,INDEX(RA29:RZ29,MATCH(RC29,RC29:RC134,0),MATCH(Structure!$D$8,$RA$14:$RZ$14,0)),INDEX(SA29:TC29,MATCH(SC29,SC29:SC134,0),MATCH(Structure!$D$8,$SA$14:$TC$14,0))))</f>
        <v/>
      </c>
      <c r="DD29" s="966" t="str">
        <f>IF(A29=FALSE,"",Cotations!D29)</f>
        <v/>
      </c>
      <c r="DE29" s="966" t="str">
        <f>IF(A29=FALSE,"",IF(LISTES!$A$17=1,Cotations!AF29,Cotations!$AG$4))</f>
        <v/>
      </c>
      <c r="DF29" s="291" t="str">
        <f t="shared" si="431"/>
        <v/>
      </c>
      <c r="DG29" s="291" t="str">
        <f t="shared" si="243"/>
        <v/>
      </c>
      <c r="DH29" s="291"/>
      <c r="DI29" s="463"/>
      <c r="DJ29" s="463" t="str">
        <f t="shared" si="244"/>
        <v/>
      </c>
      <c r="DK29" s="300" t="str">
        <f>IF(A29=FALSE,"",IF(Cotations!$AH$4="monthly",DJ29/12*L29,DJ29/365*M29))</f>
        <v/>
      </c>
      <c r="DL29" s="453" t="str">
        <f>IF(A29=FALSE,"",Cotations!$AI$4)</f>
        <v/>
      </c>
      <c r="DM29" s="300" t="str">
        <f t="shared" si="245"/>
        <v/>
      </c>
      <c r="DN29" s="300" t="str">
        <f t="shared" si="246"/>
        <v/>
      </c>
      <c r="DO29" s="294" t="str">
        <f t="shared" si="247"/>
        <v/>
      </c>
      <c r="DP29" s="294" t="str">
        <f>IF(A29=FALSE,"",Cotations!$AJ$4)</f>
        <v/>
      </c>
      <c r="DQ29" s="294" t="str">
        <f>IF(A29=FALSE,"",Cotations!$AK$4)</f>
        <v/>
      </c>
      <c r="DR29" s="453" t="str">
        <f>IF(A29=FALSE,"",Cotations!$AL$4)</f>
        <v/>
      </c>
      <c r="DS29" s="294" t="str">
        <f>IF(A29=FALSE,"",IF(DP29="N/A",0,IF(INDEX(LISTES!$F$105:$F$109,MATCH(DP29,LISTES!$C$105:$C$109,0))="FIX",IF(INDEX(LISTES!$E$105:$E$109,MATCH(DP29,LISTES!$C$105:$C$109,0))=12,DQ29/12*L29,DQ29/365*M29),DR29*DO29)))</f>
        <v/>
      </c>
      <c r="DT29" s="294" t="str">
        <f t="shared" si="248"/>
        <v/>
      </c>
      <c r="DU29" s="294" t="str">
        <f>IF(A29=FALSE,"",DT29*Cotations!$AM$4)</f>
        <v/>
      </c>
      <c r="DV29" s="294" t="str">
        <f>IF(A29=FALSE,"",DT29*Cotations!$AN$4)</f>
        <v/>
      </c>
      <c r="DW29" s="465" t="str">
        <f t="shared" si="249"/>
        <v/>
      </c>
      <c r="DX29" s="919" t="str">
        <f>IF(A29=FALSE,"",((DJ29*TAXE)-(DJ29*TAXE*DL29))+IF(DP29="N/A",0,IF(INDEX(LISTES!$F$105:$F$109,MATCH(DP29,LISTES!$C$105:$C$109,0))="FIX",DQ29,DR29*DO29)))</f>
        <v/>
      </c>
      <c r="DY29" s="466"/>
      <c r="DZ29" s="466"/>
      <c r="EA29" s="966" t="str">
        <f>IF(A29=FALSE,"",Cotations!D29)</f>
        <v/>
      </c>
      <c r="EB29" s="294" t="str">
        <f>IF(A29=FALSE,"",IF(LISTES!$A$17=1,Cotations!AF29,Cotations!AG29))</f>
        <v/>
      </c>
      <c r="EC29" s="284" t="str">
        <f t="shared" si="250"/>
        <v/>
      </c>
      <c r="ED29" s="284" t="str">
        <f t="shared" si="251"/>
        <v/>
      </c>
      <c r="EE29" s="284"/>
      <c r="EF29" s="284"/>
      <c r="EG29" s="284" t="str">
        <f t="shared" si="252"/>
        <v/>
      </c>
      <c r="EH29" s="1365" t="str">
        <f t="shared" si="253"/>
        <v/>
      </c>
      <c r="EI29" s="1365" t="str">
        <f t="shared" si="254"/>
        <v/>
      </c>
      <c r="EJ29" s="284" t="str">
        <f>IF(A29=FALSE,"",IF(Cotations!AH29="monthly",EG29/12*L29,EG29/365*M29))</f>
        <v/>
      </c>
      <c r="EK29" s="1365" t="str">
        <f>IF(A29=FALSE,"",IF(Cotations!AH29="monthly",EI29/12*L29,EI29/365*M29))</f>
        <v/>
      </c>
      <c r="EL29" s="665" t="str">
        <f>IF(A29=FALSE,"",IF(Cotations!AI29="","",Cotations!AI29))</f>
        <v/>
      </c>
      <c r="EM29" s="284" t="str">
        <f t="shared" si="255"/>
        <v/>
      </c>
      <c r="EN29" s="284" t="str">
        <f t="shared" si="256"/>
        <v/>
      </c>
      <c r="EO29" s="1365" t="str">
        <f t="shared" si="432"/>
        <v/>
      </c>
      <c r="EP29" s="284" t="str">
        <f t="shared" si="257"/>
        <v/>
      </c>
      <c r="EQ29" s="284" t="str">
        <f>IF(A29=FALSE,"",Cotations!AJ29)</f>
        <v/>
      </c>
      <c r="ER29" s="284" t="str">
        <f>IF(A29=FALSE,"",IF(Cotations!AK29="","",Cotations!AK29))</f>
        <v/>
      </c>
      <c r="ES29" s="665" t="str">
        <f>IF(A29=FALSE,"",Cotations!AL29)</f>
        <v/>
      </c>
      <c r="ET29" s="284" t="str">
        <f>IF(A29=FALSE,"",IF(EQ29="N/A",0,IF(INDEX(LISTES!$F$105:$F$109,MATCH(EQ29,LISTES!$C$105:$C$109,0))="FIX",IF(INDEX(LISTES!$E$105:$E$109,MATCH(EQ29,LISTES!$C$105:$C$109,0))=12,ER29/12*L29,ER29/365*M29),ES29*EP29)))</f>
        <v/>
      </c>
      <c r="EU29" s="294" t="str">
        <f t="shared" si="258"/>
        <v/>
      </c>
      <c r="EV29" s="294" t="str">
        <f>IF(A29=FALSE,"",EU29*Cotations!AM29)</f>
        <v/>
      </c>
      <c r="EW29" s="294" t="str">
        <f>IF(A29=FALSE,"",EU29*Cotations!AN29)</f>
        <v/>
      </c>
      <c r="EX29" s="334" t="str">
        <f t="shared" si="259"/>
        <v/>
      </c>
      <c r="EY29" s="919" t="str">
        <f>IF(A29=FALSE,"",((EG29*TAXE)-(EG29*TAXE*EL29)+EH29)+IF(EQ29="N/A",0,IF(INDEX(LISTES!$F$105:$F$109,MATCH(EQ29,LISTES!$C$105:$C$109,0))="FIX",ER29,ES29*EP29)))</f>
        <v/>
      </c>
      <c r="FA29" s="966" t="str">
        <f>IF(A29=FALSE,"",Cotations!D29)</f>
        <v/>
      </c>
      <c r="FB29" s="479" t="str">
        <f>IF(A29=FALSE,"",IF(LISTES!$A$17=1,Cotations!AO29,Cotations!$AP$4))</f>
        <v/>
      </c>
      <c r="FC29" s="291" t="str">
        <f t="shared" si="260"/>
        <v/>
      </c>
      <c r="FD29" s="291" t="str">
        <f t="shared" si="261"/>
        <v/>
      </c>
      <c r="FE29" s="291"/>
      <c r="FF29" s="463"/>
      <c r="FG29" s="463" t="str">
        <f t="shared" si="262"/>
        <v/>
      </c>
      <c r="FH29" s="300" t="str">
        <f>IF(A29=FALSE,"",IF(Cotations!$AQ$4="monthly",FG29/12*L29,FG29/365*M29))</f>
        <v/>
      </c>
      <c r="FI29" s="453" t="str">
        <f>IF(A29=FALSE,"",Cotations!$AR$4)</f>
        <v/>
      </c>
      <c r="FJ29" s="300" t="str">
        <f t="shared" si="263"/>
        <v/>
      </c>
      <c r="FK29" s="300" t="str">
        <f t="shared" si="264"/>
        <v/>
      </c>
      <c r="FL29" s="294" t="str">
        <f t="shared" si="265"/>
        <v/>
      </c>
      <c r="FM29" s="294" t="str">
        <f>IF(A29=FALSE,"",Cotations!$AS$4)</f>
        <v/>
      </c>
      <c r="FN29" s="294" t="str">
        <f>IF(A29=FALSE,"",Cotations!$AT$4)</f>
        <v/>
      </c>
      <c r="FO29" s="453" t="str">
        <f>IF(A29=FALSE,"",Cotations!$AU$4)</f>
        <v/>
      </c>
      <c r="FP29" s="294" t="str">
        <f>IF(A29=FALSE,"",IF(FM29="N/A",0,IF(INDEX(LISTES!$F$105:$F$109,MATCH(FM29,LISTES!$C$105:$C$109,0))="FIX",IF(INDEX(LISTES!$E$105:$E$109,MATCH(FM29,LISTES!$C$105:$C$109,0))=12,FN29/12*L29,FN29/365*M29),FO29*FL29)))</f>
        <v/>
      </c>
      <c r="FQ29" s="294" t="str">
        <f t="shared" si="266"/>
        <v/>
      </c>
      <c r="FR29" s="294" t="str">
        <f>IF(A29=FALSE,"",FQ29*Cotations!$AV$4)</f>
        <v/>
      </c>
      <c r="FS29" s="294" t="str">
        <f>IF(A29=FALSE,"",FQ29*Cotations!$AW$4)</f>
        <v/>
      </c>
      <c r="FT29" s="465" t="str">
        <f t="shared" si="267"/>
        <v/>
      </c>
      <c r="FU29" s="919" t="str">
        <f>IF(A29=FALSE,"",((FG29*TAXE)-(FG29*TAXE*FI29))+IF(FM29="N/A",0,IF(INDEX(LISTES!$F$105:$F$109,MATCH(FM29,LISTES!$C$105:$C$109,0))="FIX",FN29,FO29*FL29)))</f>
        <v/>
      </c>
      <c r="FV29" s="478"/>
      <c r="FW29" s="478"/>
      <c r="FX29" s="478"/>
      <c r="FY29" s="478"/>
      <c r="FZ29" s="478"/>
      <c r="GA29" s="966" t="str">
        <f>IF(A29=FALSE,"",Cotations!D29)</f>
        <v/>
      </c>
      <c r="GB29" s="294" t="str">
        <f>IF(A29=FALSE,"",IF(LISTES!$A$17=1,Cotations!AO29,Cotations!AP29))</f>
        <v/>
      </c>
      <c r="GC29" s="284" t="str">
        <f t="shared" si="268"/>
        <v/>
      </c>
      <c r="GD29" s="284" t="str">
        <f>IF(A29=FALSE,"",IF(Detail!AM29="","",Detail!AM29))</f>
        <v/>
      </c>
      <c r="GE29" s="284"/>
      <c r="GF29" s="284"/>
      <c r="GG29" s="284" t="str">
        <f t="shared" si="269"/>
        <v/>
      </c>
      <c r="GH29" s="284" t="str">
        <f>IF(A29=FALSE,"",IF(Cotations!AQ29="monthly",GG29/12*L29,GG29/365*M29))</f>
        <v/>
      </c>
      <c r="GI29" s="665" t="str">
        <f>IF(A29=FALSE,"",IF(Cotations!AR29="","",Cotations!AR29))</f>
        <v/>
      </c>
      <c r="GJ29" s="284" t="str">
        <f t="shared" si="270"/>
        <v/>
      </c>
      <c r="GK29" s="284" t="str">
        <f t="shared" si="271"/>
        <v/>
      </c>
      <c r="GL29" s="284" t="str">
        <f t="shared" si="272"/>
        <v/>
      </c>
      <c r="GM29" s="284" t="str">
        <f>IF(A29=FALSE,"",Cotations!AS29)</f>
        <v/>
      </c>
      <c r="GN29" s="284" t="str">
        <f>IF(A29=FALSE,"",Cotations!AT29)</f>
        <v/>
      </c>
      <c r="GO29" s="665" t="str">
        <f>IF(A29=FALSE,"",Cotations!AU29)</f>
        <v/>
      </c>
      <c r="GP29" s="284" t="str">
        <f>IF(A29=FALSE,"",IF(GM29="N/A",0,IF(INDEX(LISTES!$F$105:$F$109,MATCH(GM29,LISTES!$C$105:$C$109,0))="FIX",IF(INDEX(LISTES!$E$105:$E$109,MATCH(GM29,LISTES!$C$105:$C$109,0))=12,GN29/12*L29,GN29/365*M29),GO29*GL29)))</f>
        <v/>
      </c>
      <c r="GQ29" s="294" t="str">
        <f t="shared" si="273"/>
        <v/>
      </c>
      <c r="GR29" s="294" t="str">
        <f>IF(A29=FALSE,"",GQ29*Cotations!AV29)</f>
        <v/>
      </c>
      <c r="GS29" s="294" t="str">
        <f>IF(A29=FALSE,"",GQ29*Cotations!AW29)</f>
        <v/>
      </c>
      <c r="GT29" s="334" t="str">
        <f t="shared" si="274"/>
        <v/>
      </c>
      <c r="GU29" s="919" t="str">
        <f>IF(A29=FALSE,"",((GG29*TAXE)-(GG29*TAXE*GI29))+IF(GM29="N/A",0,IF(INDEX(LISTES!$F$105:$F$109,MATCH(GM29,LISTES!$C$105:$C$109,0))="FIX",GN29,GO29*GL29)))</f>
        <v/>
      </c>
      <c r="GV29" s="478"/>
      <c r="GW29" s="466"/>
      <c r="GX29" s="466"/>
      <c r="GY29" s="466"/>
      <c r="GZ29" s="466"/>
      <c r="HA29" s="966" t="str">
        <f>IF(A29=FALSE,"",Cotations!D29)</f>
        <v/>
      </c>
      <c r="HB29" s="978" t="str">
        <f>IF(A29=FALSE,"",IF(LISTES!$A$17=1,Cotations!AX29,Cotations!$AY$4))</f>
        <v/>
      </c>
      <c r="HC29" s="291" t="str">
        <f t="shared" si="275"/>
        <v/>
      </c>
      <c r="HD29" s="291" t="str">
        <f t="shared" si="276"/>
        <v/>
      </c>
      <c r="HE29" s="456" t="str">
        <f t="shared" si="277"/>
        <v/>
      </c>
      <c r="HF29" s="980" t="str">
        <f>IF(A29=FALSE,"",IF(HA29="POEA",Cotations!BA29,IF(HA29="FIXE",Cotations!$BA$4,Cotations!$BC$4*Y29)))</f>
        <v/>
      </c>
      <c r="HG29" s="300" t="str">
        <f t="shared" si="278"/>
        <v/>
      </c>
      <c r="HH29" s="300" t="str">
        <f>IF(A29=FALSE,"",IF(Cotations!$AZ$4="monthly",HG29/12*L29,HG29/365*M29))</f>
        <v/>
      </c>
      <c r="HI29" s="453" t="str">
        <f>IF(A29=FALSE,"",Cotations!$BD$4)</f>
        <v/>
      </c>
      <c r="HJ29" s="300" t="str">
        <f t="shared" si="279"/>
        <v/>
      </c>
      <c r="HK29" s="300" t="str">
        <f t="shared" si="280"/>
        <v/>
      </c>
      <c r="HL29" s="294" t="str">
        <f t="shared" si="281"/>
        <v/>
      </c>
      <c r="HM29" s="294" t="str">
        <f>IF(A29=FALSE,"",Cotations!$BE$4)</f>
        <v/>
      </c>
      <c r="HN29" s="300" t="str">
        <f>IF(A29=FALSE,"",Cotations!$BF$4)</f>
        <v/>
      </c>
      <c r="HO29" s="453" t="str">
        <f>IF(A29=FALSE,"",Cotations!$BG$4)</f>
        <v/>
      </c>
      <c r="HP29" s="294" t="str">
        <f>IF(A29=FALSE,"",IF(HM29="N/A",0,IF(INDEX(LISTES!$F$105:$F$109,MATCH(HM29,LISTES!$C$105:$C$109,0))="FIX",IF(INDEX(LISTES!$E$105:$E$109,MATCH(HM29,LISTES!$C$105:$C$109,0))=12,HN29/12*L29,HN29/365*M29),HO29*HL29)))</f>
        <v/>
      </c>
      <c r="HQ29" s="294" t="str">
        <f t="shared" si="282"/>
        <v/>
      </c>
      <c r="HR29" s="294" t="str">
        <f>IF(A29=FALSE,"",HQ29*Cotations!$BH$4)</f>
        <v/>
      </c>
      <c r="HS29" s="294" t="str">
        <f>IF(A29=FALSE,"",HQ29*Cotations!$BI$4)</f>
        <v/>
      </c>
      <c r="HT29" s="294" t="str">
        <f t="shared" si="283"/>
        <v/>
      </c>
      <c r="HU29" s="919" t="str">
        <f>IF(A29=FALSE,"",((HG29*TAXE)-(HG29*TAXE*HI29))+IF(HM29="N/A",0,IF(INDEX(LISTES!$F$105:$F$109,MATCH(HM29,LISTES!$C$105:$C$109,0))="FIX",HN29,HO29*HL29)))</f>
        <v/>
      </c>
      <c r="IA29" s="966" t="str">
        <f>IF(A29=FALSE,"",Cotations!D29)</f>
        <v/>
      </c>
      <c r="IB29" s="981" t="str">
        <f>IF(A29=FALSE,"",IF(LISTES!$A$17=1,Cotations!AX29,Cotations!AY29))</f>
        <v/>
      </c>
      <c r="IC29" s="919" t="str">
        <f t="shared" si="284"/>
        <v/>
      </c>
      <c r="ID29" s="300" t="str">
        <f>IF(A29=FALSE,"",IF(LISTES!$A$17=3,Detail!AU29,lig1_Formula_PREVOY))</f>
        <v/>
      </c>
      <c r="IE29" s="461" t="str">
        <f t="shared" si="285"/>
        <v/>
      </c>
      <c r="IF29" s="983" t="str">
        <f>IF(A29=FALSE,"",IF(IA29="POEA",Cotations!BA29,IF(HA29="FIXE",Cotations!BB29,IF(Cotations!BC29*Y29&lt;50000,Z29,Cotations!BC29*Y29))))</f>
        <v/>
      </c>
      <c r="IG29" s="300" t="str">
        <f t="shared" si="286"/>
        <v/>
      </c>
      <c r="IH29" s="300" t="str">
        <f>IF(A29=FALSE,"",IF(Cotations!AZ29="monthly",IG29/12*L29,IG29/365*M29))</f>
        <v/>
      </c>
      <c r="II29" s="453" t="str">
        <f>IF(A29=FALSE,"",IF(Cotations!BD29="","",Cotations!BD29))</f>
        <v/>
      </c>
      <c r="IJ29" s="300" t="str">
        <f t="shared" si="287"/>
        <v/>
      </c>
      <c r="IK29" s="300" t="str">
        <f t="shared" si="288"/>
        <v/>
      </c>
      <c r="IL29" s="919" t="str">
        <f t="shared" si="289"/>
        <v/>
      </c>
      <c r="IM29" s="919" t="str">
        <f>IF(A29=FALSE,"",Cotations!BE29)</f>
        <v/>
      </c>
      <c r="IN29" s="919" t="str">
        <f>IF(A29=FALSE,"",Cotations!BF29)</f>
        <v/>
      </c>
      <c r="IO29" s="665" t="str">
        <f>IF(A29=FALSE,"",Cotations!BG29)</f>
        <v/>
      </c>
      <c r="IP29" s="919" t="str">
        <f>IF(A29=FALSE,"",IF(IM29="N/A",0,IF(INDEX(LISTES!$F$105:$F$109,MATCH(IM29,LISTES!$C$105:$C$109,0))="FIX",IF(INDEX(LISTES!$E$105:$E$109,MATCH(IM29,LISTES!$C$105:$C$109,0))=12,IN29/12*L29,IN29/365*M29),IO29*IL29)))</f>
        <v/>
      </c>
      <c r="IQ29" s="294" t="str">
        <f t="shared" si="290"/>
        <v/>
      </c>
      <c r="IR29" s="294" t="str">
        <f>IF(A29=FALSE,"",IQ29*Cotations!BH29)</f>
        <v/>
      </c>
      <c r="IS29" s="294" t="str">
        <f>IF(A29=FALSE,"",IQ29*Cotations!BI29)</f>
        <v/>
      </c>
      <c r="IT29" s="338" t="str">
        <f t="shared" si="291"/>
        <v/>
      </c>
      <c r="IU29" s="919" t="str">
        <f>IF(A29=FALSE,"",((IG29*TAXE)-(IG29*TAXE*II29))+IF(IM29="N/A",0,IF(INDEX(LISTES!$F$105:$F$109,MATCH(IM29,LISTES!$C$105:$C$109,0))="FIX",IN29,IO29*IL29)))</f>
        <v/>
      </c>
      <c r="JA29" s="966" t="str">
        <f>IF(A29=FALSE,"",Cotations!D29)</f>
        <v/>
      </c>
      <c r="JB29" s="978" t="str">
        <f>IF(A29=FALSE,"",IF(LISTES!$A$17=1,Cotations!BJ29,Cotations!$BK$4))</f>
        <v/>
      </c>
      <c r="JC29" s="291" t="str">
        <f t="shared" si="292"/>
        <v/>
      </c>
      <c r="JD29" s="291" t="str">
        <f t="shared" si="293"/>
        <v/>
      </c>
      <c r="JE29" s="456" t="str">
        <f t="shared" si="294"/>
        <v/>
      </c>
      <c r="JF29" s="980" t="str">
        <f>IF(A29=FALSE,"",IF(JA29="POEA",Cotations!BM29,IF(JA29="FIXE",Cotations!$BM$4,Cotations!$BO$4*Y29)))</f>
        <v/>
      </c>
      <c r="JG29" s="300" t="str">
        <f t="shared" si="295"/>
        <v/>
      </c>
      <c r="JH29" s="300" t="str">
        <f>IF(A29=FALSE,"",IF(Cotations!$BL$4="monthly",JG29/12*L29,JG29/365*M29))</f>
        <v/>
      </c>
      <c r="JI29" s="453" t="str">
        <f>IF(A29=FALSE,"",Cotations!$BP$4)</f>
        <v/>
      </c>
      <c r="JJ29" s="300" t="str">
        <f t="shared" si="296"/>
        <v/>
      </c>
      <c r="JK29" s="300" t="str">
        <f t="shared" si="297"/>
        <v/>
      </c>
      <c r="JL29" s="294" t="str">
        <f t="shared" si="298"/>
        <v/>
      </c>
      <c r="JM29" s="294" t="str">
        <f>IF(A29=FALSE,"",Cotations!$BQ$4)</f>
        <v/>
      </c>
      <c r="JN29" s="300" t="str">
        <f>IF(A29=FALSE,"",Cotations!$BR$4)</f>
        <v/>
      </c>
      <c r="JO29" s="453" t="str">
        <f>IF(A29=FALSE,"",Cotations!$BS$4)</f>
        <v/>
      </c>
      <c r="JP29" s="294" t="str">
        <f>IF(A29=FALSE,"",IF(JM29="N/A",0,IF(INDEX(LISTES!$F$105:$F$109,MATCH(JM29,LISTES!$C$105:$C$109,0))="FIX",IF(INDEX(LISTES!$E$105:$E$109,MATCH(JM29,LISTES!$C$105:$C$109,0))=12,JN29/12*L29,JN29/365*M29),JO29*JL29)))</f>
        <v/>
      </c>
      <c r="JQ29" s="294" t="str">
        <f t="shared" si="299"/>
        <v/>
      </c>
      <c r="JR29" s="294" t="str">
        <f>IF(A29=FALSE,"",JQ29*Cotations!$BT$4)</f>
        <v/>
      </c>
      <c r="JS29" s="294" t="str">
        <f>IF(A29=FALSE,"",JQ29*Cotations!$BU$4)</f>
        <v/>
      </c>
      <c r="JT29" s="294" t="str">
        <f t="shared" si="300"/>
        <v/>
      </c>
      <c r="JU29" s="919" t="str">
        <f>IF(A29=FALSE,"",((JG29*TAXE)-(JG29*TAXE*JI29))+IF(JM29="N/A",0,IF(INDEX(LISTES!$F$105:$F$109,MATCH(JM29,LISTES!$C$105:$C$109,0))="FIX",JN29,JO29*JL29)))</f>
        <v/>
      </c>
      <c r="KA29" s="966" t="str">
        <f>IF(A29=FALSE,"",Cotations!D29)</f>
        <v/>
      </c>
      <c r="KB29" s="981" t="str">
        <f>IF(A29=FALSE,"",IF(LISTES!$A$17=1,Cotations!BJ29,Cotations!BK29))</f>
        <v/>
      </c>
      <c r="KC29" s="919" t="str">
        <f t="shared" si="301"/>
        <v/>
      </c>
      <c r="KD29" s="300"/>
      <c r="KE29" s="461" t="str">
        <f t="shared" si="302"/>
        <v/>
      </c>
      <c r="KF29" s="983" t="str">
        <f>IF(A29=FALSE,"",IF(KA29="POEA",Cotations!BM29,IF(KA29="FIXE",Cotations!BN29,IF(Cotations!BO29*Y29&lt;50000,Z29,Cotations!BO29*Y29))))</f>
        <v/>
      </c>
      <c r="KG29" s="300" t="str">
        <f t="shared" si="303"/>
        <v/>
      </c>
      <c r="KH29" s="300" t="str">
        <f>IF(A29=FALSE,"",IF(Cotations!BL29="monthly",KG29/12*L29,KG29/365*M29))</f>
        <v/>
      </c>
      <c r="KI29" s="453" t="str">
        <f>IF(A29=FALSE,"",IF(Cotations!BP29="","",Cotations!BP29))</f>
        <v/>
      </c>
      <c r="KJ29" s="300" t="str">
        <f t="shared" si="304"/>
        <v/>
      </c>
      <c r="KK29" s="300" t="str">
        <f t="shared" si="305"/>
        <v/>
      </c>
      <c r="KL29" s="919" t="str">
        <f t="shared" si="306"/>
        <v/>
      </c>
      <c r="KM29" s="919" t="str">
        <f>IF(A29=FALSE,"",Cotations!BQ29)</f>
        <v/>
      </c>
      <c r="KN29" s="284" t="str">
        <f>IF(A29=FALSE,"",Cotations!BR29)</f>
        <v/>
      </c>
      <c r="KO29" s="665" t="str">
        <f>IF(A29=FALSE,"",Cotations!BS29)</f>
        <v/>
      </c>
      <c r="KP29" s="919" t="str">
        <f>IF(A29=FALSE,"",IF(KM29="N/A",0,IF(INDEX(LISTES!$F$105:$F$109,MATCH(KM29,LISTES!$C$105:$C$109,0))="FIX",IF(INDEX(LISTES!$E$105:$E$109,MATCH(KM29,LISTES!$C$105:$C$109,0))=12,KN29/12*L29,KN29/365*M29),KO29*KL29)))</f>
        <v/>
      </c>
      <c r="KQ29" s="294" t="str">
        <f t="shared" si="307"/>
        <v/>
      </c>
      <c r="KR29" s="294" t="str">
        <f>IF(A29=FALSE,"",KQ29*Cotations!BT29)</f>
        <v/>
      </c>
      <c r="KS29" s="294" t="str">
        <f>IF(A29=FALSE,"",KQ29*Cotations!BU29)</f>
        <v/>
      </c>
      <c r="KT29" s="338" t="str">
        <f t="shared" si="308"/>
        <v/>
      </c>
      <c r="KU29" s="919" t="str">
        <f>IF(A29=FALSE,"",((KG29*TAXE)-(KG29*TAXE*KI29))+IF(KM29="N/A",0,IF(INDEX(LISTES!$F$105:$F$109,MATCH(KM29,LISTES!$C$105:$C$109,0))="FIX",KN29,KO29*KL29)))</f>
        <v/>
      </c>
      <c r="LA29" s="984" t="str">
        <f>IF(A29=FALSE,"",Cotations!D29)</f>
        <v/>
      </c>
      <c r="LB29" s="985" t="str">
        <f>IF(A29=FALSE,"",IF(LISTES!$A$17=1,Cotations!BV29,Cotations!$BW$4))</f>
        <v/>
      </c>
      <c r="LC29" s="499" t="str">
        <f t="shared" si="309"/>
        <v/>
      </c>
      <c r="LD29" s="499" t="str">
        <f t="shared" si="310"/>
        <v/>
      </c>
      <c r="LE29" s="500" t="str">
        <f t="shared" si="311"/>
        <v/>
      </c>
      <c r="LF29" s="988" t="str">
        <f>IF(A29=FALSE,"",IF(LA29="POEA",Cotations!EJ29,IF(LA29="FIXE",Cotations!$BY$4,Cotations!$CA$4*Y29)))</f>
        <v/>
      </c>
      <c r="LG29" s="502" t="str">
        <f t="shared" si="312"/>
        <v/>
      </c>
      <c r="LH29" s="502" t="str">
        <f>IF(A29=FALSE,"",IF(Cotations!$BX$4="monthly",LG29/12*L29,LG29/365*M29))</f>
        <v/>
      </c>
      <c r="LI29" s="1417" t="str">
        <f>IF(A29=FALSE,"",Cotations!$CB$4)</f>
        <v/>
      </c>
      <c r="LJ29" s="502" t="str">
        <f t="shared" si="313"/>
        <v/>
      </c>
      <c r="LK29" s="502" t="str">
        <f t="shared" si="314"/>
        <v/>
      </c>
      <c r="LL29" s="504" t="str">
        <f t="shared" si="315"/>
        <v/>
      </c>
      <c r="LM29" s="504" t="str">
        <f>IF(A29=FALSE,"",Cotations!$CC$4)</f>
        <v/>
      </c>
      <c r="LN29" s="1417" t="str">
        <f>IF(A29=FALSE,"",Cotations!$CD$4)</f>
        <v/>
      </c>
      <c r="LO29" s="1417" t="str">
        <f>IF(A29=FALSE,"",Cotations!$CE$4)</f>
        <v/>
      </c>
      <c r="LP29" s="504" t="str">
        <f>IF(A29=FALSE,"",IF(LM29="N/A",0,IF(INDEX(LISTES!$F$105:$F$109,MATCH(LM29,LISTES!$C$105:$C$109,0))="FIX",IF(INDEX(LISTES!$E$105:$E$109,MATCH(LM29,LISTES!$C$105:$C$109,0))=12,LN29/12*L29,LN29/365*M29),LO29*LL29)))</f>
        <v/>
      </c>
      <c r="LQ29" s="504" t="str">
        <f t="shared" si="316"/>
        <v/>
      </c>
      <c r="LR29" s="504" t="str">
        <f>IF(A29=FALSE,"",LQ29*Cotations!$CF$4)</f>
        <v/>
      </c>
      <c r="LS29" s="504" t="str">
        <f>IF(A29=FALSE,"",LQ29*Cotations!$CG$4)</f>
        <v/>
      </c>
      <c r="LT29" s="506" t="str">
        <f t="shared" si="317"/>
        <v/>
      </c>
      <c r="LU29" s="919" t="str">
        <f>IF(A29=FALSE,"",((LG29*TAXE)-(LG29*TAXE*LI29))+IF(LM29="N/A",0,IF(INDEX(LISTES!$F$105:$F$109,MATCH(LM29,LISTES!$C$105:$C$109,0))="FIX",LN29,LO29*LL29)))</f>
        <v/>
      </c>
      <c r="MA29" s="966" t="str">
        <f>IF(A29=FALSE,"",Cotations!D29)</f>
        <v/>
      </c>
      <c r="MB29" s="981" t="str">
        <f>IF(A29=FALSE,"",IF(LISTES!$A$17=1,Cotations!BV29,Cotations!BW29))</f>
        <v/>
      </c>
      <c r="MC29" s="919" t="str">
        <f t="shared" si="318"/>
        <v/>
      </c>
      <c r="MD29" s="300"/>
      <c r="ME29" s="461" t="str">
        <f t="shared" si="319"/>
        <v/>
      </c>
      <c r="MF29" s="983" t="str">
        <f>IF(A29=FALSE,"",IF(MA29="POEA",Cotations!BY29,IF(MA29="FIXE",Cotations!BZ29,IF(Cotations!CA29*Y29&lt;50000,Z29,Cotations!CA29*Y29))))</f>
        <v/>
      </c>
      <c r="MG29" s="300" t="str">
        <f t="shared" si="320"/>
        <v/>
      </c>
      <c r="MH29" s="300" t="str">
        <f>IF(A29=FALSE,"",IF(Cotations!BX29="monthly",MG29/12*L29,MG29/365*M29))</f>
        <v/>
      </c>
      <c r="MI29" s="453" t="str">
        <f>IF(A29=FALSE,"",IF(Cotations!CB29="","",Cotations!CB29))</f>
        <v/>
      </c>
      <c r="MJ29" s="300" t="str">
        <f t="shared" si="321"/>
        <v/>
      </c>
      <c r="MK29" s="300" t="str">
        <f t="shared" si="322"/>
        <v/>
      </c>
      <c r="ML29" s="919" t="str">
        <f t="shared" si="323"/>
        <v/>
      </c>
      <c r="MM29" s="919" t="str">
        <f>IF(A29=FALSE,"",Cotations!CC29)</f>
        <v/>
      </c>
      <c r="MN29" s="284" t="str">
        <f>IF(A29=FALSE,"",Cotations!CD29)</f>
        <v/>
      </c>
      <c r="MO29" s="665" t="str">
        <f>IF(A29=FALSE,"",Cotations!CE29)</f>
        <v/>
      </c>
      <c r="MP29" s="919" t="str">
        <f>IF(A29=FALSE,"",IF(MM29="N/A",0,IF(INDEX(LISTES!$F$105:$F$109,MATCH(MM29,LISTES!$C$105:$C$109,0))="FIX",IF(INDEX(LISTES!$E$105:$E$109,MATCH(MM29,LISTES!$C$105:$C$109,0))=12,MN29/12*L29,MN29/365*M29),MO29*ML29)))</f>
        <v/>
      </c>
      <c r="MQ29" s="294" t="str">
        <f t="shared" si="324"/>
        <v/>
      </c>
      <c r="MR29" s="294" t="str">
        <f>IF(A29=FALSE,"",MQ29*Cotations!CF29)</f>
        <v/>
      </c>
      <c r="MS29" s="294" t="str">
        <f>IF(A29=FALSE,"",MQ29*Cotations!CG29)</f>
        <v/>
      </c>
      <c r="MT29" s="338" t="str">
        <f t="shared" si="325"/>
        <v/>
      </c>
      <c r="MU29" s="919" t="str">
        <f>IF(A29=FALSE,"",((MG29*TAXE)-(MG29*TAXE*MI29))+IF(MM29="N/A",0,IF(INDEX(LISTES!$F$105:$F$109,MATCH(MM29,LISTES!$C$105:$C$109,0))="FIX",MN29,MO29*ML29)))</f>
        <v/>
      </c>
      <c r="NA29" s="984" t="str">
        <f>IF(A29=FALSE,"",Cotations!D29)</f>
        <v/>
      </c>
      <c r="NB29" s="985" t="str">
        <f>IF(A29=FALSE,"",IF(LISTES!$A$17=1,Cotations!CH29,Cotations!$CI$4))</f>
        <v/>
      </c>
      <c r="NC29" s="499" t="str">
        <f t="shared" si="326"/>
        <v/>
      </c>
      <c r="ND29" s="499" t="str">
        <f t="shared" si="327"/>
        <v/>
      </c>
      <c r="NE29" s="500" t="str">
        <f t="shared" si="328"/>
        <v/>
      </c>
      <c r="NF29" s="988" t="str">
        <f>IF(A29=FALSE,"",IF(NA29="POEA",Cotations!CK29,IF(NA29="FIXE",Cotations!$CK$4,Cotations!$CM$4*Y29)))</f>
        <v/>
      </c>
      <c r="NG29" s="502" t="str">
        <f t="shared" si="329"/>
        <v/>
      </c>
      <c r="NH29" s="502" t="str">
        <f>IF(A29=FALSE,"",IF(Cotations!$CJ$4="monthly",NG29/12*L29,NG29/365*M29))</f>
        <v/>
      </c>
      <c r="NI29" s="1417" t="str">
        <f>IF(A29=FALSE,"",Cotations!$CN$4)</f>
        <v/>
      </c>
      <c r="NJ29" s="502" t="str">
        <f t="shared" si="330"/>
        <v/>
      </c>
      <c r="NK29" s="502" t="str">
        <f t="shared" si="331"/>
        <v/>
      </c>
      <c r="NL29" s="504" t="str">
        <f t="shared" si="332"/>
        <v/>
      </c>
      <c r="NM29" s="504" t="str">
        <f>IF(A29=FALSE,"",Cotations!$CO$4)</f>
        <v/>
      </c>
      <c r="NN29" s="502" t="str">
        <f>IF(A29=FALSE,"",Cotations!$CP$4)</f>
        <v/>
      </c>
      <c r="NO29" s="1417" t="str">
        <f>IF(A29=FALSE,"",Cotations!$CQ$4)</f>
        <v/>
      </c>
      <c r="NP29" s="504" t="str">
        <f>IF(A29=FALSE,"",IF(NM29="N/A",0,IF(INDEX(LISTES!$F$105:$F$109,MATCH(NM29,LISTES!$C$105:$C$109,0))="FIX",IF(INDEX(LISTES!$E$105:$E$109,MATCH(NM29,LISTES!$C$105:$C$109,0))=12,NN29/12*L29,NN29/365*M29),NO29*NL29)))</f>
        <v/>
      </c>
      <c r="NQ29" s="504" t="str">
        <f t="shared" si="333"/>
        <v/>
      </c>
      <c r="NR29" s="504" t="str">
        <f>IF(A29=FALSE,"",NQ29*Cotations!$CR$4)</f>
        <v/>
      </c>
      <c r="NS29" s="504" t="str">
        <f>IF(A29=FALSE,"",NQ29*Cotations!$CS$4)</f>
        <v/>
      </c>
      <c r="NT29" s="506" t="str">
        <f t="shared" si="334"/>
        <v/>
      </c>
      <c r="NU29" s="919" t="str">
        <f>IF(A29=FALSE,"",((NG29*TAXE)-(NG29*TAXE*NI29))+IF(NM29="N/A",0,IF(INDEX(LISTES!$F$105:$F$109,MATCH(NM29,LISTES!$C$105:$C$109,0))="FIX",NN29,NO29*NL29)))</f>
        <v/>
      </c>
      <c r="OA29" s="966" t="str">
        <f>IF(A29=FALSE,"",Cotations!D29)</f>
        <v/>
      </c>
      <c r="OB29" s="981" t="str">
        <f>IF(A29=FALSE,"",IF(LISTES!$A$17=1,Cotations!CH29,Cotations!CI29))</f>
        <v/>
      </c>
      <c r="OC29" s="919" t="str">
        <f t="shared" si="335"/>
        <v/>
      </c>
      <c r="OD29" s="300"/>
      <c r="OE29" s="461" t="str">
        <f t="shared" si="336"/>
        <v/>
      </c>
      <c r="OF29" s="983" t="str">
        <f>IF(A29=FALSE,"",IF(OA29="POEA",Cotations!CK29,IF(OA29="FIXE",Cotations!CL29,IF(Cotations!CM29*Y29&lt;50000,Z29,Cotations!CM29*Y29))))</f>
        <v/>
      </c>
      <c r="OG29" s="300" t="str">
        <f t="shared" si="337"/>
        <v/>
      </c>
      <c r="OH29" s="300" t="str">
        <f>IF(A29=FALSE,"",IF(Cotations!CJ29="monthly",OG29/12*L29,OG29/365*M29))</f>
        <v/>
      </c>
      <c r="OI29" s="453" t="str">
        <f>IF(A29=FALSE,"",IF(Cotations!CN29="","",Cotations!CN29))</f>
        <v/>
      </c>
      <c r="OJ29" s="300" t="str">
        <f t="shared" si="338"/>
        <v/>
      </c>
      <c r="OK29" s="300" t="str">
        <f t="shared" si="339"/>
        <v/>
      </c>
      <c r="OL29" s="919" t="str">
        <f t="shared" si="340"/>
        <v/>
      </c>
      <c r="OM29" s="919" t="str">
        <f>IF(A29=FALSE,"",Cotations!CO29)</f>
        <v/>
      </c>
      <c r="ON29" s="284" t="str">
        <f>IF(A29=FALSE,"",Cotations!CP29)</f>
        <v/>
      </c>
      <c r="OO29" s="665" t="str">
        <f>IF(A29=FALSE,"",Cotations!CQ29)</f>
        <v/>
      </c>
      <c r="OP29" s="919" t="str">
        <f>IF(A29=FALSE,"",IF(OM29="N/A",0,IF(INDEX(LISTES!$F$105:$F$109,MATCH(OM29,LISTES!$C$105:$C$109,0))="FIX",IF(INDEX(LISTES!$E$105:$E$109,MATCH(OM29,LISTES!$C$105:$C$109,0))=12,ON29/12*L29,ON29/365*M29),OO29*OL29)))</f>
        <v/>
      </c>
      <c r="OQ29" s="294" t="str">
        <f t="shared" si="341"/>
        <v/>
      </c>
      <c r="OR29" s="294" t="str">
        <f>IF(A29=FALSE,"",OQ29*Cotations!CR29)</f>
        <v/>
      </c>
      <c r="OS29" s="294" t="str">
        <f>IF(A29=FALSE,"",OQ29*Cotations!CS29)</f>
        <v/>
      </c>
      <c r="OT29" s="338" t="str">
        <f t="shared" si="342"/>
        <v/>
      </c>
      <c r="OU29" s="919" t="str">
        <f>IF(A29=FALSE,"",((OG29*TAXE)-(OG29*TAXE*OI29))+IF(OM29="N/A",0,IF(INDEX(LISTES!$F$105:$F$109,MATCH(OM29,LISTES!$C$105:$C$109,0))="FIX",ON29,OO29*OL29)))</f>
        <v/>
      </c>
      <c r="PA29" s="984" t="str">
        <f t="shared" si="343"/>
        <v/>
      </c>
      <c r="PB29" s="985" t="str">
        <f>IF(A29=FALSE,"",IF(LISTES!$A$17=1,Cotations!CT29,Cotations!$CU$4))</f>
        <v/>
      </c>
      <c r="PC29" s="499" t="str">
        <f t="shared" si="344"/>
        <v/>
      </c>
      <c r="PD29" s="499" t="str">
        <f t="shared" si="345"/>
        <v/>
      </c>
      <c r="PE29" s="500" t="str">
        <f t="shared" si="346"/>
        <v/>
      </c>
      <c r="PF29" s="988" t="str">
        <f>IF(A29=FALSE,"",Cotations!$CY$4*Y29)</f>
        <v/>
      </c>
      <c r="PG29" s="502" t="str">
        <f t="shared" si="347"/>
        <v/>
      </c>
      <c r="PH29" s="502" t="str">
        <f>IF(A29=FALSE,"",IF(Cotations!$CV$4="monthly",PG29/12*L29,PG29/365*M29))</f>
        <v/>
      </c>
      <c r="PI29" s="1417" t="str">
        <f>IF(A29=FALSE,"",Cotations!$CZ$4)</f>
        <v/>
      </c>
      <c r="PJ29" s="502" t="str">
        <f t="shared" si="348"/>
        <v/>
      </c>
      <c r="PK29" s="502" t="str">
        <f t="shared" si="349"/>
        <v/>
      </c>
      <c r="PL29" s="504" t="str">
        <f t="shared" si="350"/>
        <v/>
      </c>
      <c r="PM29" s="504" t="str">
        <f>IF(A29=FALSE,"",Cotations!$DA$4)</f>
        <v/>
      </c>
      <c r="PN29" s="502" t="str">
        <f>IF(A29=FALSE,"",Cotations!$DB$4)</f>
        <v/>
      </c>
      <c r="PO29" s="1417" t="str">
        <f>IF(A29=FALSE,"",Cotations!$DC$4)</f>
        <v/>
      </c>
      <c r="PP29" s="504" t="str">
        <f>IF(A29=FALSE,"",IF(PM29="N/A",0,IF(INDEX(LISTES!$F$105:$F$109,MATCH(PM29,LISTES!$C$105:$C$109,0))="FIX",IF(INDEX(LISTES!$E$105:$E$109,MATCH(PM29,LISTES!$C$105:$C$109,0))=12,PN29/12*L29,PN29/365*M29),PO29*PL29)))</f>
        <v/>
      </c>
      <c r="PQ29" s="504" t="str">
        <f t="shared" si="351"/>
        <v/>
      </c>
      <c r="PR29" s="504" t="str">
        <f>IF(A29=FALSE,"",PQ29*Cotations!$DD$4)</f>
        <v/>
      </c>
      <c r="PS29" s="504" t="str">
        <f>IF(A29=FALSE,"",PQ29*Cotations!$DE$4)</f>
        <v/>
      </c>
      <c r="PT29" s="506" t="str">
        <f t="shared" si="352"/>
        <v/>
      </c>
      <c r="PU29" s="919" t="str">
        <f>IF(A29=FALSE,"",((PG29*TAXE)-(PG29*TAXE*PI29))+IF(PM29="N/A",0,IF(INDEX(LISTES!$F$105:$F$109,MATCH(PM29,LISTES!$C$105:$C$109,0))="FIX",PN29,PO29*PL29)))</f>
        <v/>
      </c>
      <c r="QA29" s="966" t="str">
        <f t="shared" si="353"/>
        <v/>
      </c>
      <c r="QB29" s="981" t="str">
        <f>IF(A29=FALSE,"",IF(LISTES!$A$17=1,Cotations!CT29,Cotations!CU29))</f>
        <v/>
      </c>
      <c r="QC29" s="919" t="str">
        <f t="shared" si="354"/>
        <v/>
      </c>
      <c r="QD29" s="300"/>
      <c r="QE29" s="461" t="str">
        <f t="shared" si="355"/>
        <v/>
      </c>
      <c r="QF29" s="983" t="str">
        <f>IF(A29=FALSE,"",Cotations!CY29*AA29)</f>
        <v/>
      </c>
      <c r="QG29" s="300" t="str">
        <f t="shared" si="356"/>
        <v/>
      </c>
      <c r="QH29" s="300" t="str">
        <f>IF(A29=FALSE,"",IF(Cotations!CV29="monthly",QG29/12*L29,QG29/365*M29))</f>
        <v/>
      </c>
      <c r="QI29" s="453" t="str">
        <f>IF(A29=FALSE,"",IF(Cotations!CZ29="","",Cotations!CZ29))</f>
        <v/>
      </c>
      <c r="QJ29" s="300" t="str">
        <f t="shared" si="357"/>
        <v/>
      </c>
      <c r="QK29" s="300" t="str">
        <f t="shared" si="358"/>
        <v/>
      </c>
      <c r="QL29" s="919" t="str">
        <f t="shared" si="359"/>
        <v/>
      </c>
      <c r="QM29" s="919" t="str">
        <f>IF(A29=FALSE,"",Cotations!DA29)</f>
        <v/>
      </c>
      <c r="QN29" s="284" t="str">
        <f>IF(A29=FALSE,"",Cotations!DB29)</f>
        <v/>
      </c>
      <c r="QO29" s="665" t="str">
        <f>IF(A29=FALSE,"",Cotations!DC29)</f>
        <v/>
      </c>
      <c r="QP29" s="919" t="str">
        <f>IF(A29=FALSE,"",IF(QM29="N/A",0,IF(INDEX(LISTES!$F$105:$F$109,MATCH(QM29,LISTES!$C$105:$C$109,0))="FIX",IF(INDEX(LISTES!$E$105:$E$109,MATCH(QM29,LISTES!$C$105:$C$109,0))=12,QN29/12*L29,QN29/365*M29),QO29*QL29)))</f>
        <v/>
      </c>
      <c r="QQ29" s="294" t="str">
        <f t="shared" si="360"/>
        <v/>
      </c>
      <c r="QR29" s="294" t="str">
        <f>IF(A29=FALSE,"",QQ29*Cotations!DD29)</f>
        <v/>
      </c>
      <c r="QS29" s="294" t="str">
        <f>IF(A29=FALSE,"",QQ29*Cotations!DE29)</f>
        <v/>
      </c>
      <c r="QT29" s="338" t="str">
        <f t="shared" si="361"/>
        <v/>
      </c>
      <c r="QU29" s="919" t="str">
        <f>IF(A29=FALSE,"",((QG29*TAXE)-(QG29*TAXE*QI29))+IF(QM29="N/A",0,IF(INDEX(LISTES!$F$105:$F$109,MATCH(QM29,LISTES!$C$105:$C$109,0))="FIX",QN29,QO29*QL29)))</f>
        <v/>
      </c>
      <c r="RA29" s="984" t="str">
        <f t="shared" si="362"/>
        <v/>
      </c>
      <c r="RB29" s="985" t="str">
        <f>IF(A29=FALSE,"",IF(LISTES!$A$17=1,Cotations!DF29,Cotations!$DG$4))</f>
        <v/>
      </c>
      <c r="RC29" s="499" t="str">
        <f t="shared" si="363"/>
        <v/>
      </c>
      <c r="RD29" s="499" t="str">
        <f t="shared" si="364"/>
        <v/>
      </c>
      <c r="RE29" s="500" t="str">
        <f t="shared" si="365"/>
        <v/>
      </c>
      <c r="RF29" s="988" t="str">
        <f>IF(A29=FALSE,"",Cotations!$DK$4*Y29)</f>
        <v/>
      </c>
      <c r="RG29" s="502" t="str">
        <f t="shared" si="366"/>
        <v/>
      </c>
      <c r="RH29" s="502" t="str">
        <f>IF(A29=FALSE,"",IF(Cotations!$DH$4="monthly",RG29/12*L29,RG29/365*M29))</f>
        <v/>
      </c>
      <c r="RI29" s="1417" t="str">
        <f>IF(A29=FALSE,"",Cotations!$DL$4)</f>
        <v/>
      </c>
      <c r="RJ29" s="502" t="str">
        <f t="shared" si="367"/>
        <v/>
      </c>
      <c r="RK29" s="502" t="str">
        <f t="shared" si="368"/>
        <v/>
      </c>
      <c r="RL29" s="504" t="str">
        <f t="shared" si="369"/>
        <v/>
      </c>
      <c r="RM29" s="504" t="str">
        <f>IF(A29=FALSE,"",Cotations!$DM$4)</f>
        <v/>
      </c>
      <c r="RN29" s="502" t="str">
        <f>IF(A29=FALSE,"",Cotations!$DN$4)</f>
        <v/>
      </c>
      <c r="RO29" s="1417" t="str">
        <f>IF(A29=FALSE,"",Cotations!$DO$4)</f>
        <v/>
      </c>
      <c r="RP29" s="504" t="str">
        <f>IF(A29=FALSE,"",IF(RM29="N/A",0,IF(INDEX(LISTES!$F$105:$F$109,MATCH(RM29,LISTES!$C$105:$C$109,0))="FIX",IF(INDEX(LISTES!$E$105:$E$109,MATCH(RM29,LISTES!$C$105:$C$109,0))=12,RN29/12*L29,RN29/365*M29),RO29*RL29)))</f>
        <v/>
      </c>
      <c r="RQ29" s="504" t="str">
        <f t="shared" si="370"/>
        <v/>
      </c>
      <c r="RR29" s="504" t="str">
        <f>IF(A29=FALSE,"",RQ29*Cotations!$DP$4)</f>
        <v/>
      </c>
      <c r="RS29" s="504" t="str">
        <f>IF(A29=FALSE,"",RQ29*Cotations!$DQ$4)</f>
        <v/>
      </c>
      <c r="RT29" s="506" t="str">
        <f t="shared" si="371"/>
        <v/>
      </c>
      <c r="RU29" s="919" t="str">
        <f>IF(A29=FALSE,"",((RG29*TAXE)-(RG29*TAXE*RI29))+IF(RM29="N/A",0,IF(INDEX(LISTES!$F$105:$F$109,MATCH(RM29,LISTES!$C$105:$C$109,0))="FIX",RN29,RO29*RL29)))</f>
        <v/>
      </c>
      <c r="SA29" s="966" t="str">
        <f t="shared" si="372"/>
        <v/>
      </c>
      <c r="SB29" s="981" t="str">
        <f>IF(A29=FALSE,"",IF(LISTES!$A$17=1,Cotations!DF29,Cotations!DG29))</f>
        <v/>
      </c>
      <c r="SC29" s="919" t="str">
        <f t="shared" si="373"/>
        <v/>
      </c>
      <c r="SD29" s="300"/>
      <c r="SE29" s="461" t="str">
        <f t="shared" si="374"/>
        <v/>
      </c>
      <c r="SF29" s="983" t="str">
        <f>IF(A29=FALSE,"",Cotations!DK29*AA29)</f>
        <v/>
      </c>
      <c r="SG29" s="300" t="str">
        <f t="shared" si="375"/>
        <v/>
      </c>
      <c r="SH29" s="300" t="str">
        <f>IF(A29=FALSE,"",IF(Cotations!DH29="monthly",SG29/12*L29,SG29/365*M29))</f>
        <v/>
      </c>
      <c r="SI29" s="453" t="str">
        <f>IF(A29=FALSE,"",IF(Cotations!DL29="","",Cotations!DL29))</f>
        <v/>
      </c>
      <c r="SJ29" s="300" t="str">
        <f t="shared" si="376"/>
        <v/>
      </c>
      <c r="SK29" s="300" t="str">
        <f t="shared" si="377"/>
        <v/>
      </c>
      <c r="SL29" s="919" t="str">
        <f t="shared" si="378"/>
        <v/>
      </c>
      <c r="SM29" s="919" t="str">
        <f>IF(A29=FALSE,"",Cotations!DM29)</f>
        <v/>
      </c>
      <c r="SN29" s="284" t="str">
        <f>IF(A29=FALSE,"",Cotations!DN29)</f>
        <v/>
      </c>
      <c r="SO29" s="665" t="str">
        <f>IF(A29=FALSE,"",Cotations!DO29)</f>
        <v/>
      </c>
      <c r="SP29" s="919" t="str">
        <f>IF(A29=FALSE,"",IF(SM29="N/A",0,IF(INDEX(LISTES!$F$105:$F$109,MATCH(SM29,LISTES!$C$105:$C$109,0))="FIX",IF(INDEX(LISTES!$E$105:$E$109,MATCH(SM29,LISTES!$C$105:$C$109,0))=12,SN29/12*L29,SN29/365*M29),SO29*SL29)))</f>
        <v/>
      </c>
      <c r="SQ29" s="294" t="str">
        <f t="shared" si="379"/>
        <v/>
      </c>
      <c r="SR29" s="294" t="str">
        <f>IF(A29=FALSE,"",SQ29*Cotations!DP29)</f>
        <v/>
      </c>
      <c r="SS29" s="294" t="str">
        <f>IF(A29=FALSE,"",SQ29*Cotations!DQ29)</f>
        <v/>
      </c>
      <c r="ST29" s="338" t="str">
        <f t="shared" si="380"/>
        <v/>
      </c>
      <c r="SU29" s="919" t="str">
        <f>IF(A29=FALSE,"",((SG29*TAXE)-(SG29*TAXE*SI29))+IF(SM29="N/A",0,IF(INDEX(LISTES!$F$105:$F$109,MATCH(SM29,LISTES!$C$105:$C$109,0))="FIX",SN29,SO29*SL29)))</f>
        <v/>
      </c>
      <c r="TA29" s="966" t="str">
        <f>IF(A29=FALSE,"",Cotations!D29)</f>
        <v/>
      </c>
      <c r="TB29" s="981" t="str">
        <f>IF(A29=FALSE,"",IF(LISTES!$A$17=1,Cotations!DR29,Cotations!DS29))</f>
        <v/>
      </c>
      <c r="TC29" s="919" t="str">
        <f t="shared" si="381"/>
        <v/>
      </c>
      <c r="TD29" s="300" t="str">
        <f>IF(A29=FALSE,"",Detail!CQ29)</f>
        <v/>
      </c>
      <c r="TE29" s="461" t="str">
        <f t="shared" si="382"/>
        <v/>
      </c>
      <c r="TF29" s="983" t="str">
        <f>IF(A29=FALSE,"",IF(TA29="FIXE",Cotations!DU29,Cotations!DV29*Y29))</f>
        <v/>
      </c>
      <c r="TG29" s="300" t="str">
        <f t="shared" si="383"/>
        <v/>
      </c>
      <c r="TH29" s="300" t="str">
        <f>IF(A29=FALSE,"",IF(Cotations!DT29="monthly",TG29/12*L29,TG29/365*M29))</f>
        <v/>
      </c>
      <c r="TI29" s="453" t="str">
        <f>IF(A29=FALSE,"",IF(Cotations!DW29="","",Cotations!DW29))</f>
        <v/>
      </c>
      <c r="TJ29" s="300" t="str">
        <f t="shared" si="384"/>
        <v/>
      </c>
      <c r="TK29" s="300" t="str">
        <f t="shared" si="385"/>
        <v/>
      </c>
      <c r="TL29" s="919" t="str">
        <f t="shared" si="386"/>
        <v/>
      </c>
      <c r="TM29" s="919" t="str">
        <f>IF(A29=FALSE,"",Cotations!DX29)</f>
        <v/>
      </c>
      <c r="TN29" s="919" t="str">
        <f>IF(A29=FALSE,"",Cotations!DY29)</f>
        <v/>
      </c>
      <c r="TO29" s="665" t="str">
        <f>IF(A29=FALSE,"",Cotations!DZ29)</f>
        <v/>
      </c>
      <c r="TP29" s="919" t="str">
        <f>IF(A29=FALSE,"",IF(TM29="N/A",0,IF(INDEX(LISTES!$F$105:$F$109,MATCH(TM29,LISTES!$C$105:$C$109,0))="FIX",IF(INDEX(LISTES!$E$105:$E$109,MATCH(TM29,LISTES!$C$105:$C$109,0))=12,TN29/12*L29,TN29/365*M29),TO29*TL29)))</f>
        <v/>
      </c>
      <c r="TQ29" s="294" t="str">
        <f t="shared" si="387"/>
        <v/>
      </c>
      <c r="TR29" s="294" t="str">
        <f>IF(A29=FALSE,"",TQ29*Cotations!EA29)</f>
        <v/>
      </c>
      <c r="TS29" s="294" t="str">
        <f>IF(A29=FALSE,"",TQ29*Cotations!EB29)</f>
        <v/>
      </c>
      <c r="TT29" s="338" t="str">
        <f t="shared" si="388"/>
        <v/>
      </c>
      <c r="TU29" s="919" t="str">
        <f>IF(A29=FALSE,"",((TG29*(1+TAXE)-(TG29*(1+TAXE)*TI29))+IF(TM29="N/A",0,IF(INDEX(LISTES!$F$105:$F$109,MATCH(TM29,LISTES!$C$105:$C$109,0))="FIX",TN29,TO29*TL29))))</f>
        <v/>
      </c>
      <c r="UA29" s="966" t="str">
        <f>IF(A29=FALSE,"",Cotations!D29)</f>
        <v/>
      </c>
      <c r="UB29" s="981" t="str">
        <f>IF(A29=FALSE,"",IF(LISTES!$A$17=1,Cotations!EC29,Cotations!ED29))</f>
        <v/>
      </c>
      <c r="UC29" s="919" t="str">
        <f t="shared" si="389"/>
        <v/>
      </c>
      <c r="UD29" s="300" t="str">
        <f>IF(A29=FALSE,"",Detail!CY29)</f>
        <v/>
      </c>
      <c r="UE29" s="461" t="str">
        <f t="shared" si="390"/>
        <v/>
      </c>
      <c r="UF29" s="983" t="str">
        <f>IF(A29=FALSE,"",IF(UA29="FIXE",Cotations!EF29,Cotations!EG29*Y29))</f>
        <v/>
      </c>
      <c r="UG29" s="300" t="str">
        <f t="shared" si="391"/>
        <v/>
      </c>
      <c r="UH29" s="300" t="str">
        <f>IF(A29=FALSE,"",IF(Cotations!EE29="monthly",UG29/12*L29,UG29/365*M29))</f>
        <v/>
      </c>
      <c r="UI29" s="453" t="str">
        <f>IF(A29=FALSE,"",IF(Cotations!EH29="","",Cotations!EH29))</f>
        <v/>
      </c>
      <c r="UJ29" s="300" t="str">
        <f t="shared" si="392"/>
        <v/>
      </c>
      <c r="UK29" s="300" t="str">
        <f t="shared" si="393"/>
        <v/>
      </c>
      <c r="UL29" s="919" t="str">
        <f t="shared" si="394"/>
        <v/>
      </c>
      <c r="UM29" s="919" t="str">
        <f>IF(A29=FALSE,"",Cotations!EI29)</f>
        <v/>
      </c>
      <c r="UN29" s="919" t="str">
        <f>IF(A29=FALSE,"",Cotations!EJ29)</f>
        <v/>
      </c>
      <c r="UO29" s="665" t="str">
        <f>IF(A29=FALSE,"",Cotations!EK29)</f>
        <v/>
      </c>
      <c r="UP29" s="919" t="str">
        <f>IF(A29=FALSE,"",IF(UM29="N/A",0,IF(INDEX(LISTES!$F$105:$F$109,MATCH(UM29,LISTES!$C$105:$C$109,0))="FIX",IF(INDEX(LISTES!$E$105:$E$109,MATCH(UM29,LISTES!$C$105:$C$109,0))=12,UN29/12*L29,UN29/365*M29),UO29*UL29)))</f>
        <v/>
      </c>
      <c r="UQ29" s="294" t="str">
        <f t="shared" si="395"/>
        <v/>
      </c>
      <c r="UR29" s="294" t="str">
        <f>IF(A29=FALSE,"",UQ29*Cotations!EL29)</f>
        <v/>
      </c>
      <c r="US29" s="294" t="str">
        <f>IF(A29=FALSE,"",UQ29*Cotations!EM29)</f>
        <v/>
      </c>
      <c r="UT29" s="338" t="str">
        <f t="shared" si="396"/>
        <v/>
      </c>
      <c r="UU29" s="919" t="str">
        <f>IF(A29=FALSE,"",((UG29*(1+TAXE)-(UG29*(1+TAXE)*UI29))+IF(UM29="N/A",0,IF(INDEX(LISTES!$F$105:$F$109,MATCH(UM29,LISTES!$C$105:$C$109,0))="FIX",UN29,UO29*UL29))))</f>
        <v/>
      </c>
      <c r="VA29" s="966" t="str">
        <f>IF(A29=FALSE,"",Cotations!D29)</f>
        <v/>
      </c>
      <c r="VB29" s="479" t="str">
        <f>IF(A29=FALSE,"",IF(LISTES!$A$17=1,Cotations!EN29,Cotations!EO29))</f>
        <v/>
      </c>
      <c r="VC29" s="291" t="str">
        <f t="shared" si="397"/>
        <v/>
      </c>
      <c r="VD29" s="291" t="str">
        <f t="shared" si="398"/>
        <v/>
      </c>
      <c r="VE29" s="291"/>
      <c r="VF29" s="463"/>
      <c r="VG29" s="463" t="str">
        <f t="shared" si="399"/>
        <v/>
      </c>
      <c r="VH29" s="300" t="str">
        <f>IF(A29=FALSE,"",IF(Cotations!$AQ$4="monthly",VG29/12*L29,VG29/365*M29))</f>
        <v/>
      </c>
      <c r="VI29" s="453" t="str">
        <f>IF(A29=FALSE,"",Cotations!$AR$4)</f>
        <v/>
      </c>
      <c r="VJ29" s="300" t="str">
        <f t="shared" si="400"/>
        <v/>
      </c>
      <c r="VK29" s="300" t="str">
        <f t="shared" si="401"/>
        <v/>
      </c>
      <c r="VL29" s="294" t="str">
        <f t="shared" si="402"/>
        <v/>
      </c>
      <c r="VM29" s="294" t="str">
        <f>IF(A29=FALSE,"",Cotations!$AS$4)</f>
        <v/>
      </c>
      <c r="VN29" s="294" t="str">
        <f>IF(A29=FALSE,"",Cotations!$AT$4)</f>
        <v/>
      </c>
      <c r="VO29" s="453" t="str">
        <f>IF(A29=FALSE,"",Cotations!$AU$4)</f>
        <v/>
      </c>
      <c r="VP29" s="294" t="str">
        <f>IF(A29=FALSE,"",IF(VM29="N/A",0,IF(INDEX(LISTES!$F$105:$F$109,MATCH(VM29,LISTES!$C$105:$C$109,0))="FIX",IF(INDEX(LISTES!$E$105:$E$109,MATCH(VM29,LISTES!$C$105:$C$109,0))=12,VN29/12*L29,VN29/365*M29),VO29*VL29)))</f>
        <v/>
      </c>
      <c r="VQ29" s="294" t="str">
        <f t="shared" si="403"/>
        <v/>
      </c>
      <c r="VR29" s="294" t="str">
        <f>IF(A29=FALSE,"",VQ29*Cotations!$AV$4)</f>
        <v/>
      </c>
      <c r="VS29" s="294" t="str">
        <f>IF(A29=FALSE,"",VQ29*Cotations!$AW$4)</f>
        <v/>
      </c>
      <c r="VT29" s="465" t="str">
        <f t="shared" si="404"/>
        <v/>
      </c>
      <c r="VU29" s="919" t="str">
        <f>IF(A29=FALSE,"",((VG29*TAXE)-(VG29*TAXE*VI29))+IF(VM29="N/A",0,IF(INDEX(LISTES!$F$105:$F$109,MATCH(VM29,LISTES!$C$105:$C$109,0))="FIX",VN29,VO29*VL29)))</f>
        <v/>
      </c>
      <c r="WA29" s="966" t="str">
        <f>IF(A29=FALSE,"",Cotations!D29)</f>
        <v/>
      </c>
      <c r="WB29" s="479" t="str">
        <f>IF(A29=FALSE,"",IF(LISTES!$A$17=1,Cotations!EW29,Cotations!EX29))</f>
        <v/>
      </c>
      <c r="WC29" s="291" t="str">
        <f t="shared" si="405"/>
        <v/>
      </c>
      <c r="WD29" s="291" t="str">
        <f t="shared" si="406"/>
        <v/>
      </c>
      <c r="WE29" s="291"/>
      <c r="WF29" s="463"/>
      <c r="WG29" s="463" t="str">
        <f t="shared" si="407"/>
        <v/>
      </c>
      <c r="WH29" s="300" t="str">
        <f>IF(A29=FALSE,"",IF(Cotations!$AQ$4="monthly",WG29/12*L29,WG29/365*M29))</f>
        <v/>
      </c>
      <c r="WI29" s="453" t="str">
        <f>IF(A29=FALSE,"",Cotations!$AR$4)</f>
        <v/>
      </c>
      <c r="WJ29" s="300" t="str">
        <f t="shared" si="408"/>
        <v/>
      </c>
      <c r="WK29" s="300" t="str">
        <f t="shared" si="409"/>
        <v/>
      </c>
      <c r="WL29" s="294" t="str">
        <f t="shared" si="410"/>
        <v/>
      </c>
      <c r="WM29" s="294" t="str">
        <f>IF(A29=FALSE,"",Cotations!$AS$4)</f>
        <v/>
      </c>
      <c r="WN29" s="294" t="str">
        <f>IF(A29=FALSE,"",Cotations!$AT$4)</f>
        <v/>
      </c>
      <c r="WO29" s="453" t="str">
        <f>IF(A29=FALSE,"",Cotations!$AU$4)</f>
        <v/>
      </c>
      <c r="WP29" s="294" t="str">
        <f>IF(A29=FALSE,"",IF(WM29="N/A",0,IF(INDEX(LISTES!$F$105:$F$109,MATCH(WM29,LISTES!$C$105:$C$109,0))="FIX",IF(INDEX(LISTES!$E$105:$E$109,MATCH(WM29,LISTES!$C$105:$C$109,0))=12,WN29/12*L29,WN29/365*M29),WO29*WL29)))</f>
        <v/>
      </c>
      <c r="WQ29" s="294" t="str">
        <f t="shared" si="411"/>
        <v/>
      </c>
      <c r="WR29" s="294" t="str">
        <f>IF(A29=FALSE,"",WQ29*Cotations!$AV$4)</f>
        <v/>
      </c>
      <c r="WS29" s="294" t="str">
        <f>IF(A29=FALSE,"",WQ29*Cotations!$AW$4)</f>
        <v/>
      </c>
      <c r="WT29" s="465" t="str">
        <f t="shared" si="412"/>
        <v/>
      </c>
      <c r="WU29" s="919" t="str">
        <f>IF(A29=FALSE,"",((WG29*TAXE)-(WG29*TAXE*WI29))+IF(WM29="N/A",0,IF(INDEX(LISTES!$F$105:$F$109,MATCH(WM29,LISTES!$C$105:$C$109,0))="FIX",WN29,WO29*WL29)))</f>
        <v/>
      </c>
    </row>
    <row r="30" spans="1:619">
      <c r="A30" s="942" t="b">
        <f t="shared" si="221"/>
        <v>0</v>
      </c>
      <c r="B30" s="942" t="b">
        <f>IF(NAMES!$B$9=TRUE,TRUE,FALSE)</f>
        <v>1</v>
      </c>
      <c r="C30" s="942" t="b">
        <f t="shared" si="413"/>
        <v>0</v>
      </c>
      <c r="D30" s="942" t="b">
        <f t="shared" si="414"/>
        <v>0</v>
      </c>
      <c r="E30" s="274" t="b">
        <f>IF(Cotations!C30="","",Cotations!C30)</f>
        <v>0</v>
      </c>
      <c r="F30" s="274" t="str">
        <f>IF(Cotations!D30="","",Cotations!D30)</f>
        <v>PROP</v>
      </c>
      <c r="G30" s="274" t="str">
        <f>IF(Cotations!E30="","",Cotations!E30)</f>
        <v>2016-2017!</v>
      </c>
      <c r="H30" s="274" t="str">
        <f>IF(Cotations!F30="","",Cotations!F30)</f>
        <v>SINGLE</v>
      </c>
      <c r="I30" s="274" t="str">
        <f>IF(Cotations!G30="","",Cotations!G30)</f>
        <v/>
      </c>
      <c r="J30" s="274" t="str">
        <f>IF(Cotations!H30="","",Cotations!H30)</f>
        <v/>
      </c>
      <c r="K30" s="274" t="str">
        <f>IF(Cotations!I30="","",Cotations!I30)</f>
        <v/>
      </c>
      <c r="L30" s="274" t="str">
        <f>IF(A30=FALSE,"",IF(Cotations!N30="","",Cotations!N30))</f>
        <v/>
      </c>
      <c r="M30" s="274" t="str">
        <f>IF(Cotations!P30="","",Cotations!P30)</f>
        <v/>
      </c>
      <c r="N30" s="724" t="str">
        <f>IF(NAMES!$B$10=TRUE,Cotations!J30,Cotations!L30)</f>
        <v/>
      </c>
      <c r="O30" s="724" t="str">
        <f>IF(NAMES!$B$10=TRUE,Cotations!K30,Cotations!M30)</f>
        <v/>
      </c>
      <c r="P30" s="943" t="str">
        <f t="shared" si="415"/>
        <v/>
      </c>
      <c r="Q30" s="724" t="str">
        <f>IF(A30=FALSE,"",IF(Crewlist!Y30="","",Crewlist!Y30))</f>
        <v/>
      </c>
      <c r="R30" s="78" t="str">
        <f>IF(Cotations!U30="","",Cotations!U30)</f>
        <v/>
      </c>
      <c r="S30" s="943" t="str">
        <f t="shared" si="416"/>
        <v/>
      </c>
      <c r="T30" s="919" t="str">
        <f>IF(A30=FALSE,"",VLOOKUP($U$15:$U$120,Currency!$A$2:$D$10,4,0)*Crewlist!N30)</f>
        <v/>
      </c>
      <c r="U30" s="1355" t="str">
        <f>IF(A30=FALSE,"",IF(IT30=0,Crewlist!M30&amp;"/"&amp;EX30,Crewlist!M30&amp;"/"&amp;IT30))</f>
        <v/>
      </c>
      <c r="V30" s="919" t="str">
        <f>IF(A30=FALSE,"",VLOOKUP($U$15:$U$120,Currency!$A$2:$D$10,4,0)*Detail!Q30)</f>
        <v/>
      </c>
      <c r="W30" s="1355" t="str">
        <f>IF(A30=FALSE,"",IF(IT30=0,Detail!R30&amp;"/"&amp;EX30,Detail!R30&amp;"/"&amp;IT30))</f>
        <v/>
      </c>
      <c r="X30" s="919" t="str">
        <f>IF(A30=FALSE,"",IF(LISTES!$C$17="Crewlist",Calcul!T30,Calcul!V30))</f>
        <v/>
      </c>
      <c r="Y30" s="758" t="str">
        <f t="shared" si="417"/>
        <v/>
      </c>
      <c r="Z30" s="758" t="str">
        <f>IF(A30=FALSE,"",IF(X30=0,0,IF((Cotations!BC30*12*X30)&lt;50000,50000,(12*X30))))</f>
        <v/>
      </c>
      <c r="AA30" s="758" t="str">
        <f t="shared" si="418"/>
        <v/>
      </c>
      <c r="AB30" s="758" t="str">
        <f>IF(A30=FALSE,"",IF(Crewlist!O30=0,"",Crewlist!O30))</f>
        <v/>
      </c>
      <c r="AC30" s="758" t="str">
        <f>IF(I30="","",VLOOKUP($AB$15:$AB$120,Currency!$A$15:$B$34,2,0))</f>
        <v/>
      </c>
      <c r="AD30" s="758" t="str">
        <f t="shared" si="419"/>
        <v/>
      </c>
      <c r="AE30" s="758" t="str">
        <f t="shared" si="420"/>
        <v/>
      </c>
      <c r="AF30" s="758" t="str">
        <f t="shared" si="421"/>
        <v/>
      </c>
      <c r="AG30" s="758" t="str">
        <f t="shared" si="422"/>
        <v/>
      </c>
      <c r="AH30" s="1355" t="str">
        <f t="shared" si="222"/>
        <v/>
      </c>
      <c r="AI30" s="919" t="str">
        <f t="shared" si="423"/>
        <v/>
      </c>
      <c r="AJ30" s="1382" t="str">
        <f t="shared" si="424"/>
        <v/>
      </c>
      <c r="AK30" s="1382" t="str">
        <f t="shared" si="425"/>
        <v/>
      </c>
      <c r="AL30" s="238" t="str">
        <f t="shared" si="223"/>
        <v/>
      </c>
      <c r="AM30" s="238" t="str">
        <f t="shared" si="224"/>
        <v/>
      </c>
      <c r="AN30" s="1374" t="str">
        <f t="shared" si="225"/>
        <v/>
      </c>
      <c r="AO30" s="238" t="str">
        <f t="shared" si="226"/>
        <v/>
      </c>
      <c r="AP30" s="342" t="str">
        <f>IF(A30=FALSE,"",INDEX(Rates!$Z$5:$Z$367,MATCH(EB30,colchoice,0)))</f>
        <v/>
      </c>
      <c r="AQ30" s="238" t="str">
        <f t="shared" si="227"/>
        <v/>
      </c>
      <c r="AR30" s="238" t="str">
        <f t="shared" si="426"/>
        <v/>
      </c>
      <c r="AS30" s="238" t="str">
        <f t="shared" si="427"/>
        <v/>
      </c>
      <c r="AT30" s="238" t="str">
        <f t="shared" si="428"/>
        <v/>
      </c>
      <c r="AU30" s="238" t="str">
        <f t="shared" si="228"/>
        <v/>
      </c>
      <c r="AV30" s="238" t="str">
        <f t="shared" si="429"/>
        <v/>
      </c>
      <c r="AW30" s="238" t="str">
        <f t="shared" si="229"/>
        <v/>
      </c>
      <c r="AX30" s="238" t="str">
        <f t="shared" si="230"/>
        <v/>
      </c>
      <c r="AY30" s="238" t="str">
        <f t="shared" si="231"/>
        <v/>
      </c>
      <c r="AZ30" s="238" t="str">
        <f t="shared" si="232"/>
        <v/>
      </c>
      <c r="BA30" s="238" t="str">
        <f t="shared" si="233"/>
        <v/>
      </c>
      <c r="BB30" s="552" t="str">
        <f t="shared" si="234"/>
        <v/>
      </c>
      <c r="BC30" s="347" t="str">
        <f t="shared" si="235"/>
        <v/>
      </c>
      <c r="BD30" s="239" t="str">
        <f t="shared" si="430"/>
        <v/>
      </c>
      <c r="BE30" s="239" t="str">
        <f>IF(A30=FALSE,"",IF(ALLTHESAME=TRUE,IF(DF30&lt;&gt;$BC$7,0,INDEX(DD30:DZ30,1,MATCH(Structure!$D$12,$DD$14:$DZ$14,0))),IF(EC30&lt;&gt;$BC$7,0,INDEX(EA30:EZ30,1,MATCH(Structure!$D$12,$EA$14:$EZ$14,0)))))</f>
        <v/>
      </c>
      <c r="BF30" s="239" t="str">
        <f>IF(A30=FALSE,"",IF(ALLTHESAME=TRUE,IF(FC30&lt;&gt;$BC$7,0,INDEX(FA30:FZ30,1,MATCH(Structure!$D$12,$FA$14:$FZ$14,0))),IF(GC30&lt;&gt;$BC$7,0,INDEX(GA30:GZ30,1,MATCH(Structure!$D$12,$GA$14:$GZ$14,0)))))</f>
        <v/>
      </c>
      <c r="BG30" s="239" t="str">
        <f>IF(A30=FALSE,"",IF(ALLTHESAME=TRUE,IF(VC30&lt;&gt;$BC$7,0,INDEX(VA30:VZ30,1,MATCH(Structure!$D$12,$VA$14:$VZ$14,0))),IF(VC30&lt;&gt;$BC$7,0,INDEX(VA30:VZ30,1,MATCH(Structure!$D$12,$VA$14:$VZ$14,0)))))</f>
        <v/>
      </c>
      <c r="BH30" s="239" t="str">
        <f>IF(A30=FALSE,"",IF(ALLTHESAME=TRUE,IF(WC30&lt;&gt;$BC$7,0,INDEX(WA30:WY30,1,MATCH(Structure!$D$12,$WA$14:$WZ$14,0))),IF(WC30&lt;&gt;$BC$7,0,INDEX(WA30:WZ30,1,MATCH(Structure!$D$12,$WA$14:$WZ$14,0)))))</f>
        <v/>
      </c>
      <c r="BI30" s="763" t="str">
        <f>IF(A30=FALSE,"",IF(ALLTHESAME=TRUE,IF(HC30&lt;&gt;$BC$7,0,INDEX(HA30:HZ30,1,MATCH(Structure!$D$12,$HA$14:$HZ$14,0)))+TK30,IF(IC30&lt;&gt;$BC$7,0,INDEX(IA30:IZ30,1,MATCH(Structure!$D$12,$IA$14:$IZ$14,0)))+TK30))</f>
        <v/>
      </c>
      <c r="BJ30" s="239" t="str">
        <f>IF(A30=FALSE,"",IF(ALLTHESAME=TRUE,IF(JC30&lt;&gt;$BC$7,0,INDEX(JA30:JZ30,1,MATCH(Structure!$D$12,$JA$14:$JZ$14,0))),IF(KC30&lt;&gt;$BC$7,0,INDEX(KA30:KZ30,1,MATCH(Structure!$D$12,$KA$14:$KZ$14,0)))))</f>
        <v/>
      </c>
      <c r="BK30" s="763" t="str">
        <f>IF(A30=FALSE,"",IF(ALLTHESAME=TRUE,IF(LC30&lt;&gt;$BC$7,0,INDEX(LA30:LZ30,1,MATCH(Structure!$D$12,$LA$14:$LZ$14,0)))+UK30,IF(MC30&lt;&gt;$BC$7,0,INDEX(MA30:MZ30,1,MATCH(Structure!$D$12,$MA$14:$MZ$14,0)))+UK30))</f>
        <v/>
      </c>
      <c r="BL30" s="239" t="str">
        <f>IF(A30=FALSE,"",IF(ALLTHESAME=TRUE,IF(NC30&lt;&gt;$BC$7,0,INDEX(NA30:NZ30,1,MATCH(Structure!$D$12,$NA$14:$NZ$14,0))),IF(OC30&lt;&gt;$BC$7,0,INDEX(OA30:OZ30,1,MATCH(Structure!$D$12,$OA$14:$OZ$14,0)))))</f>
        <v/>
      </c>
      <c r="BM30" s="239" t="str">
        <f>IF(A30=FALSE,"",IF(ALLTHESAME=TRUE,IF(PC30&lt;&gt;$BC$7,0,INDEX(PA30:PZ30,1,MATCH(Structure!$D$12,$PA$14:$PZ$14,0))),IF(QC30&lt;&gt;$BC$7,0,INDEX(QA30:QZ30,1,MATCH(Structure!$D$12,$QA$14:$QZ$14,0)))))</f>
        <v/>
      </c>
      <c r="BN30" s="341" t="str">
        <f>IF(A30=FALSE,"",IF(ALLTHESAME=TRUE,IF(RC30&lt;&gt;$BC$7,0,INDEX(RA30:RZ30,1,MATCH(Structure!$D$12,$RA$14:$RZ$14,0))),IF(SC30&lt;&gt;$BC$7,0,INDEX(SA30:TA30,1,MATCH(Structure!$D$12,$SA$14:$TA$14,0)))))</f>
        <v/>
      </c>
      <c r="BO30" s="507" t="str">
        <f t="shared" si="236"/>
        <v/>
      </c>
      <c r="BP30" s="239" t="str">
        <f t="shared" si="237"/>
        <v/>
      </c>
      <c r="BQ30" s="239" t="str">
        <f>IF(A30=FALSE,"",IF(ALLTHESAME=TRUE,IF(DF30&lt;&gt;$BO$7,0,INDEX(DD30:DZ30,1,MATCH(Structure!$D$12,$DD$14:$DZ$14,0))),IF(EC30&lt;&gt;$BO$7,0,INDEX(EA30:EZ30,1,MATCH(Structure!$D$12,$EA$14:$EZ$14,0)))))</f>
        <v/>
      </c>
      <c r="BR30" s="239" t="str">
        <f>IF(A30=FALSE,"",IF(ALLTHESAME=TRUE,IF(FC30&lt;&gt;$BO$7,0,INDEX(FA30:FZ30,1,MATCH(Structure!$D$12,$FA$14:$FZ$14,0))),IF(GC30&lt;&gt;$BO$7,0,INDEX(GA30:GZ30,1,MATCH(Structure!$D$12,$GA$14:$GZ$14,0)))))</f>
        <v/>
      </c>
      <c r="BS30" s="239" t="str">
        <f>IF(A30=FALSE,"",IF(ALLTHESAME=TRUE,IF(HC30&lt;&gt;$BO$7,0,INDEX(HA30:HZ30,1,MATCH(Structure!$D$12,$HA$14:$HZ$14,0))),IF(IC30&lt;&gt;$BO$7,0,INDEX(IA30:IZ30,1,MATCH(Structure!$D$12,$IA$14:$IZ$14,0)))))</f>
        <v/>
      </c>
      <c r="BT30" s="239" t="str">
        <f>IF(A30=FALSE,"",IF(ALLTHESAME=TRUE,IF(JC30&lt;&gt;$BO$7,0,INDEX(JA30:JZ30,1,MATCH(Structure!$D$12,$JA$14:$JZ$14,0))),IF(KC30&lt;&gt;$BO$7,0,INDEX(KA30:KZ30,1,MATCH(Structure!$D$12,$KA$14:$KZ$14,0)))))</f>
        <v/>
      </c>
      <c r="BU30" s="239" t="str">
        <f>IF(A30=FALSE,"",IF(ALLTHESAME=TRUE,IF(LC30&lt;&gt;$BO$7,0,INDEX(LA30:LZ30,1,MATCH(Structure!$D$12,$LA$14:$LZ$14,0))),IF(MC30&lt;&gt;$BO$7,0,INDEX(MA30:MZ30,1,MATCH(Structure!$D$12,$MA$14:$MZ$14,0)))))</f>
        <v/>
      </c>
      <c r="BV30" s="239" t="str">
        <f>IF(A30=FALSE,"",IF(ALLTHESAME=TRUE,IF(NC30&lt;&gt;$BO$7,0,INDEX(NA30:NZ30,1,MATCH(Structure!$D$12,$NA$14:$NZ$14,0))),IF(OC30&lt;&gt;$BO$7,0,INDEX(OA30:OZ30,1,MATCH(Structure!$D$12,$OA$14:$OZ$14,0)))))</f>
        <v/>
      </c>
      <c r="BW30" s="239" t="str">
        <f>IF(A30=FALSE,"",IF(ALLTHESAME=TRUE,IF(PC30&lt;&gt;$BO$7,0,INDEX(PA30:PZ30,1,MATCH(Structure!$D$12,$PA$14:$PZ$14,0))),IF(QC30&lt;&gt;$BO$7,0,INDEX(QA30:QZ30,1,MATCH(Structure!$D$12,$QA$14:$QZ$14,0)))))</f>
        <v/>
      </c>
      <c r="BX30" s="341" t="str">
        <f>IF(A30=FALSE,"",IF(ALLTHESAME=TRUE,IF(RC30&lt;&gt;$BO$7,0,INDEX(RA30:RZ30,1,MATCH(Structure!$D$12,$RA$14:$RZ$14,0))),IF(SC30&lt;&gt;$BO$7,0,INDEX(SA30:TA30,1,MATCH(Structure!$D$12,$SA$14:$TA$14,0)))))</f>
        <v/>
      </c>
      <c r="BY30" s="347" t="str">
        <f t="shared" si="238"/>
        <v/>
      </c>
      <c r="BZ30" s="507" t="str">
        <f t="shared" si="239"/>
        <v/>
      </c>
      <c r="CA30" s="239" t="str">
        <f t="shared" si="240"/>
        <v/>
      </c>
      <c r="CB30" s="239" t="str">
        <f>IF(A30=FALSE,"",IF(ALLTHESAME=TRUE,INDEX(DD30:DZ30,MATCH(DF30,DF30:DF135,0),MATCH(Structure!$D$17,$DD$14:$DZ$14,0)),INDEX(EA30:EZ30,MATCH(EC30,EC30:EC135,0),MATCH(Structure!$D$17,$EA$14:$EZ$14,0))))</f>
        <v/>
      </c>
      <c r="CC30" s="239" t="str">
        <f>IF(A30=FALSE,"",IF(ALLTHESAME=TRUE,INDEX(FA30:FZ30,MATCH(FC30,FC30:FC135,0),MATCH(Structure!$D$17,$FA$14:$FZ$14,0)),INDEX(GA30:GZ30,MATCH(GC30,GC30:GC135,0),MATCH(Structure!$D$17,$GA$14:$GZ$14,0))))</f>
        <v/>
      </c>
      <c r="CD30" s="239" t="str">
        <f>IF(A30=FALSE,"",IF(ALLTHESAME=TRUE,INDEX(HA30:HZ30,MATCH(HC30,HC30:HC135,0),MATCH(Structure!$D$17,$HA$14:$HZ$14,0)),INDEX(IA30:IZ30,MATCH(IC30,IC30:IC135,0),MATCH(Structure!$D$17,$IA$14:$IZ$14,0))))</f>
        <v/>
      </c>
      <c r="CE30" s="239" t="str">
        <f>IF(A30=FALSE,"",IF(ALLTHESAME=TRUE,INDEX(JA30:JZ30,MATCH(JC30,JC30:JC135,0),MATCH(Structure!$D$17,$JA$14:$JZ$14,0)),INDEX(KA30:KZ30,MATCH(KC30,KC30:KC135,0),MATCH(Structure!$D$17,$KA$14:$KZ$14,0))))</f>
        <v/>
      </c>
      <c r="CF30" s="239" t="str">
        <f>IF(A30=FALSE,"",IF(ALLTHESAME=TRUE,INDEX(LA30:LZ30,MATCH(LC30,LC30:LC135,0),MATCH(Structure!$D$17,$LA$14:$LZ$14,0)),INDEX(MA30:MZ30,MATCH(MC30,MC30:MC135,0),MATCH(Structure!$D$17,$MA$14:$MZ$14,0))))</f>
        <v/>
      </c>
      <c r="CG30" s="239" t="str">
        <f>IF(A30=FALSE,"",IF(ALLTHESAME=TRUE,INDEX(NA30:NZ30,MATCH(NC30,NC30:NC135,0),MATCH(Structure!$D$17,$NA$14:$NZ$14,0)),INDEX(OA30:OZ30,MATCH(OC30,OC30:OC135,0),MATCH(Structure!$D$17,$OA$14:$OZ$14,0))))</f>
        <v/>
      </c>
      <c r="CH30" s="239" t="str">
        <f>IF(A30=FALSE,"",IF(ALLTHESAME=TRUE,INDEX(PA30:PZ30,MATCH(PC30,PC30:PC135,0),MATCH(Structure!$D$17,$PA$14:$PZ$14,0)),INDEX(QA30:QZ30,MATCH(QC30,QC30:QC135,0),MATCH(Structure!$D$17,$QA$14:$QZ$14,0))))</f>
        <v/>
      </c>
      <c r="CI30" s="341" t="str">
        <f>IF(A30=FALSE,"",IF(ALLTHESAME=TRUE,INDEX(RA30:RZ30,MATCH(RC30,RC30:RC135,0),MATCH(Structure!$D$17,$RA$14:$RZ$14,0)),INDEX(SA30:TC30,MATCH(SC30,SC30:SC135,0),MATCH(Structure!$D$17,$SA$14:$TC$14,0))))</f>
        <v/>
      </c>
      <c r="CJ30" s="347"/>
      <c r="CK30" s="239" t="str">
        <f t="shared" si="241"/>
        <v/>
      </c>
      <c r="CL30" s="239" t="str">
        <f>IF(A30=FALSE,"",IF(ALLTHESAME=TRUE,INDEX(DD30:DZ30,MATCH(DF30,DF30:DF135,0),MATCH(Structure!$D$22,$DD$14:$DZ$14,0)),INDEX(EA30:EZ30,MATCH(EC30,EC30:EC135,0),MATCH(Structure!$D$22,$EA$14:$EZ$14,0))))</f>
        <v/>
      </c>
      <c r="CM30" s="239" t="str">
        <f>IF(A30=FALSE,"",IF(ALLTHESAME=TRUE,INDEX(FA30:FZ30,MATCH(FC30,FC30:FC135,0),MATCH(Structure!$D$22,$FA$14:$FZ$14,0)),INDEX(GA30:GZ30,MATCH(GC30,GC30:GC135,0),MATCH(Structure!$D$22,$GA$14:$GZ$14,0))))</f>
        <v/>
      </c>
      <c r="CN30" s="239" t="str">
        <f>IF(A30=FALSE,"",IF(ALLTHESAME=TRUE,INDEX(HA30:HZ30,MATCH(HC30,HC30:HC135,0),MATCH(Structure!$D$22,$HA$14:$HZ$14,0)),INDEX(IA30:IZ30,MATCH(IC30,IC30:IC135,0),MATCH(Structure!$D$22,$IA$14:$IZ$14,0))))</f>
        <v/>
      </c>
      <c r="CO30" s="239" t="str">
        <f>IF(A30=FALSE,"",IF(ALLTHESAME=TRUE,INDEX(JA30:JZ30,MATCH(JC30,JC30:JC135,0),MATCH(Structure!$D$22,$JA$14:$JZ$14,0)),INDEX(KA30:KZ30,MATCH(KC30,KC30:KC135,0),MATCH(Structure!$D$22,$KA$14:$KZ$14,0))))</f>
        <v/>
      </c>
      <c r="CP30" s="239" t="str">
        <f>IF(A30=FALSE,"",IF(ALLTHESAME=TRUE,INDEX(LA30:LZ30,MATCH(LC30,LC30:LC135,0),MATCH(Structure!$D$22,$LA$14:$LZ$14,0)),INDEX(MA30:MZ30,MATCH(MC30,MC30:MC135,0),MATCH(Structure!$D$22,$MA$14:$MZ$14,0))))</f>
        <v/>
      </c>
      <c r="CQ30" s="239" t="str">
        <f>IF(A30=FALSE,"",IF(ALLTHESAME=TRUE,INDEX(NA30:NZ30,MATCH(NC30,NC30:NC135,0),MATCH(Structure!$D$22,$NA$14:$NZ$14,0)),INDEX(OA30:OZ30,MATCH(OC30,OC30:OC135,0),MATCH(Structure!$D$22,$OA$14:$OZ$14,0))))</f>
        <v/>
      </c>
      <c r="CR30" s="239" t="str">
        <f>IF(A30=FALSE,"",IF(ALLTHESAME=TRUE,INDEX(PA30:PZ30,MATCH(PC30,PC30:PC135,0),MATCH(Structure!$D$22,$PA$14:$PZ$14,0)),INDEX(QA30:QZ30,MATCH(QC30,QC30:QC135,0),MATCH(Structure!$D$22,$QA$14:$QZ$14,0))))</f>
        <v/>
      </c>
      <c r="CS30" s="341" t="str">
        <f>IF(A30=FALSE,"",IF(ALLTHESAME=TRUE,INDEX(RA30:RZ30,MATCH(RC30,RC30:RC135,0),MATCH(Structure!$D$22,$RA$14:$RZ$14,0)),INDEX(SA30:TC30,MATCH(SC30,SC30:SC135,0),MATCH(Structure!$D$22,$SA$14:$TC$14,0))))</f>
        <v/>
      </c>
      <c r="CT30" s="347"/>
      <c r="CU30" s="239" t="str">
        <f t="shared" si="242"/>
        <v/>
      </c>
      <c r="CV30" s="239" t="str">
        <f>IF(A30=FALSE,"",IF(ALLTHESAME=TRUE,INDEX(DD30:DZ30,MATCH(DF30,DF30:DF135,0),MATCH(Structure!$D$8,$DD$14:$DZ$14,0)),INDEX(EA30:EZ30,MATCH(EC30,EC30:EC135,0),MATCH(Structure!$D$8,$EA$14:$EZ$14,0))))</f>
        <v/>
      </c>
      <c r="CW30" s="239" t="str">
        <f>IF(A30=FALSE,"",IF(ALLTHESAME=TRUE,INDEX(FA30:FZ30,MATCH(FC30,FC30:FC135,0),MATCH(Structure!$D$8,$FA$14:$FZ$14,0)),INDEX(GA30:GZ30,MATCH(GC30,GC30:GC135,0),MATCH(Structure!$D$8,$GA$14:$GZ$14,0))))</f>
        <v/>
      </c>
      <c r="CX30" s="239" t="str">
        <f>IF(A30=FALSE,"",IF(ALLTHESAME=TRUE,INDEX(HA30:HZ30,MATCH(HC30,HC30:HC135,0),MATCH(Structure!$D$8,$HA$14:$HZ$14,0)),INDEX(IA30:IZ30,MATCH(IC30,IC30:IC135,0),MATCH(Structure!$D$8,$IA$14:$IZ$14,0))))</f>
        <v/>
      </c>
      <c r="CY30" s="239" t="str">
        <f>IF(A30=FALSE,"",IF(ALLTHESAME=TRUE,INDEX(JA30:JZ30,MATCH(JC30,JC30:JC135,0),MATCH(Structure!$D$8,$JA$14:$JZ$14,0)),INDEX(KA30:KZ30,MATCH(KC30,KC30:KC135,0),MATCH(Structure!$D$8,$KA$14:$KZ$14,0))))</f>
        <v/>
      </c>
      <c r="CZ30" s="239" t="str">
        <f>IF(A30=FALSE,"",IF(ALLTHESAME=TRUE,INDEX(LA30:LZ30,MATCH(LC30,LC30:LC135,0),MATCH(Structure!$D$8,$LA$14:$LZ$14,0)),INDEX(MA30:MZ30,MATCH(MC30,MC30:MC135,0),MATCH(Structure!$D$8,$MA$14:$MZ$14,0))))</f>
        <v/>
      </c>
      <c r="DA30" s="239" t="str">
        <f>IF(A30=FALSE,"",IF(ALLTHESAME=TRUE,INDEX(NA30:NZ30,MATCH(NC30,NC30:NC135,0),MATCH(Structure!$D$8,$NA$14:$NZ$14,0)),INDEX(OA30:OZ30,MATCH(OC30,OC30:OC135,0),MATCH(Structure!$D$8,$OA$14:$OZ$14,0))))</f>
        <v/>
      </c>
      <c r="DB30" s="239" t="str">
        <f>IF(A30=FALSE,"",IF(ALLTHESAME=TRUE,INDEX(PA30:PZ30,MATCH(PC30,PC30:PC135,0),MATCH(Structure!$D$8,$PA$14:$PZ$14,0)),INDEX(QA30:QZ30,MATCH(QC30,QC30:QC135,0),MATCH(Structure!$D$8,$QA$14:$QZ$14,0))))</f>
        <v/>
      </c>
      <c r="DC30" s="341" t="str">
        <f>IF(A30=FALSE,"",IF(ALLTHESAME=TRUE,INDEX(RA30:RZ30,MATCH(RC30,RC30:RC135,0),MATCH(Structure!$D$8,$RA$14:$RZ$14,0)),INDEX(SA30:TC30,MATCH(SC30,SC30:SC135,0),MATCH(Structure!$D$8,$SA$14:$TC$14,0))))</f>
        <v/>
      </c>
      <c r="DD30" s="492" t="str">
        <f>IF(A30=FALSE,"",Cotations!D30)</f>
        <v/>
      </c>
      <c r="DE30" s="492" t="str">
        <f>IF(A30=FALSE,"",IF(LISTES!$A$17=1,Cotations!AF30,Cotations!$AG$4))</f>
        <v/>
      </c>
      <c r="DF30" s="291" t="str">
        <f t="shared" si="431"/>
        <v/>
      </c>
      <c r="DG30" s="291" t="str">
        <f t="shared" si="243"/>
        <v/>
      </c>
      <c r="DH30" s="291"/>
      <c r="DI30" s="463"/>
      <c r="DJ30" s="463" t="str">
        <f t="shared" si="244"/>
        <v/>
      </c>
      <c r="DK30" s="522" t="str">
        <f>IF(A30=FALSE,"",IF(Cotations!$AH$4="monthly",DJ30/12*L30,DJ30/365*M30))</f>
        <v/>
      </c>
      <c r="DL30" s="489" t="str">
        <f>IF(A30=FALSE,"",Cotations!$AI$4)</f>
        <v/>
      </c>
      <c r="DM30" s="300" t="str">
        <f t="shared" si="245"/>
        <v/>
      </c>
      <c r="DN30" s="300" t="str">
        <f t="shared" si="246"/>
        <v/>
      </c>
      <c r="DO30" s="294" t="str">
        <f t="shared" si="247"/>
        <v/>
      </c>
      <c r="DP30" s="494" t="str">
        <f>IF(A30=FALSE,"",Cotations!$AJ$4)</f>
        <v/>
      </c>
      <c r="DQ30" s="494" t="str">
        <f>IF(A30=FALSE,"",Cotations!$AK$4)</f>
        <v/>
      </c>
      <c r="DR30" s="489" t="str">
        <f>IF(A30=FALSE,"",Cotations!$AL$4)</f>
        <v/>
      </c>
      <c r="DS30" s="494" t="str">
        <f>IF(A30=FALSE,"",IF(DP30="N/A",0,IF(INDEX(LISTES!$F$105:$F$109,MATCH(DP30,LISTES!$C$105:$C$109,0))="FIX",IF(INDEX(LISTES!$E$105:$E$109,MATCH(DP30,LISTES!$C$105:$C$109,0))=12,DQ30/12*L30,DQ30/365*M30),DR30*DO30)))</f>
        <v/>
      </c>
      <c r="DT30" s="294" t="str">
        <f t="shared" si="248"/>
        <v/>
      </c>
      <c r="DU30" s="294" t="str">
        <f>IF(A30=FALSE,"",DT30*Cotations!$AM$4)</f>
        <v/>
      </c>
      <c r="DV30" s="294" t="str">
        <f>IF(A30=FALSE,"",DT30*Cotations!$AN$4)</f>
        <v/>
      </c>
      <c r="DW30" s="465" t="str">
        <f t="shared" si="249"/>
        <v/>
      </c>
      <c r="DX30" s="919" t="str">
        <f>IF(A30=FALSE,"",((DJ30*TAXE)-(DJ30*TAXE*DL30))+IF(DP30="N/A",0,IF(INDEX(LISTES!$F$105:$F$109,MATCH(DP30,LISTES!$C$105:$C$109,0))="FIX",DQ30,DR30*DO30)))</f>
        <v/>
      </c>
      <c r="DY30" s="466"/>
      <c r="DZ30" s="466"/>
      <c r="EA30" s="492" t="str">
        <f>IF(A30=FALSE,"",Cotations!D30)</f>
        <v/>
      </c>
      <c r="EB30" s="494" t="str">
        <f>IF(A30=FALSE,"",IF(LISTES!$A$17=1,Cotations!AF30,Cotations!AG30))</f>
        <v/>
      </c>
      <c r="EC30" s="284" t="str">
        <f t="shared" si="250"/>
        <v/>
      </c>
      <c r="ED30" s="284" t="str">
        <f t="shared" si="251"/>
        <v/>
      </c>
      <c r="EE30" s="284"/>
      <c r="EF30" s="284"/>
      <c r="EG30" s="284" t="str">
        <f t="shared" si="252"/>
        <v/>
      </c>
      <c r="EH30" s="1365" t="str">
        <f t="shared" si="253"/>
        <v/>
      </c>
      <c r="EI30" s="1365" t="str">
        <f t="shared" si="254"/>
        <v/>
      </c>
      <c r="EJ30" s="515" t="str">
        <f>IF(A30=FALSE,"",IF(Cotations!AH30="monthly",EG30/12*L30,EG30/365*M30))</f>
        <v/>
      </c>
      <c r="EK30" s="1364" t="str">
        <f>IF(A30=FALSE,"",IF(Cotations!AH30="monthly",EI30/12*L30,EI30/365*M30))</f>
        <v/>
      </c>
      <c r="EL30" s="493" t="str">
        <f>IF(A30=FALSE,"",IF(Cotations!AI30="","",Cotations!AI30))</f>
        <v/>
      </c>
      <c r="EM30" s="284" t="str">
        <f t="shared" si="255"/>
        <v/>
      </c>
      <c r="EN30" s="284" t="str">
        <f t="shared" si="256"/>
        <v/>
      </c>
      <c r="EO30" s="1365" t="str">
        <f t="shared" si="432"/>
        <v/>
      </c>
      <c r="EP30" s="284" t="str">
        <f t="shared" si="257"/>
        <v/>
      </c>
      <c r="EQ30" s="515" t="str">
        <f>IF(A30=FALSE,"",Cotations!AJ30)</f>
        <v/>
      </c>
      <c r="ER30" s="515" t="str">
        <f>IF(A30=FALSE,"",IF(Cotations!AK30="","",Cotations!AK30))</f>
        <v/>
      </c>
      <c r="ES30" s="493" t="str">
        <f>IF(A30=FALSE,"",Cotations!AL30)</f>
        <v/>
      </c>
      <c r="ET30" s="515" t="str">
        <f>IF(A30=FALSE,"",IF(EQ30="N/A",0,IF(INDEX(LISTES!$F$105:$F$109,MATCH(EQ30,LISTES!$C$105:$C$109,0))="FIX",IF(INDEX(LISTES!$E$105:$E$109,MATCH(EQ30,LISTES!$C$105:$C$109,0))=12,ER30/12*L30,ER30/365*M30),ES30*EP30)))</f>
        <v/>
      </c>
      <c r="EU30" s="294" t="str">
        <f t="shared" si="258"/>
        <v/>
      </c>
      <c r="EV30" s="494" t="str">
        <f>IF(A30=FALSE,"",EU30*Cotations!AM30)</f>
        <v/>
      </c>
      <c r="EW30" s="494" t="str">
        <f>IF(A30=FALSE,"",EU30*Cotations!AN30)</f>
        <v/>
      </c>
      <c r="EX30" s="334" t="str">
        <f t="shared" si="259"/>
        <v/>
      </c>
      <c r="EY30" s="919" t="str">
        <f>IF(A30=FALSE,"",((EG30*TAXE)-(EG30*TAXE*EL30)+EH30)+IF(EQ30="N/A",0,IF(INDEX(LISTES!$F$105:$F$109,MATCH(EQ30,LISTES!$C$105:$C$109,0))="FIX",ER30,ES30*EP30)))</f>
        <v/>
      </c>
      <c r="FA30" s="492" t="str">
        <f>IF(A30=FALSE,"",Cotations!D30)</f>
        <v/>
      </c>
      <c r="FB30" s="519" t="str">
        <f>IF(A30=FALSE,"",IF(LISTES!$A$17=1,Cotations!AO30,Cotations!$AP$4))</f>
        <v/>
      </c>
      <c r="FC30" s="291" t="str">
        <f t="shared" si="260"/>
        <v/>
      </c>
      <c r="FD30" s="291" t="str">
        <f t="shared" si="261"/>
        <v/>
      </c>
      <c r="FE30" s="291"/>
      <c r="FF30" s="463"/>
      <c r="FG30" s="463" t="str">
        <f t="shared" si="262"/>
        <v/>
      </c>
      <c r="FH30" s="522" t="str">
        <f>IF(A30=FALSE,"",IF(Cotations!$AQ$4="monthly",FG30/12*L30,FG30/365*M30))</f>
        <v/>
      </c>
      <c r="FI30" s="453" t="str">
        <f>IF(A30=FALSE,"",Cotations!$AR$4)</f>
        <v/>
      </c>
      <c r="FJ30" s="300" t="str">
        <f t="shared" si="263"/>
        <v/>
      </c>
      <c r="FK30" s="300" t="str">
        <f t="shared" si="264"/>
        <v/>
      </c>
      <c r="FL30" s="294" t="str">
        <f t="shared" si="265"/>
        <v/>
      </c>
      <c r="FM30" s="494" t="str">
        <f>IF(A30=FALSE,"",Cotations!$AS$4)</f>
        <v/>
      </c>
      <c r="FN30" s="494" t="str">
        <f>IF(A30=FALSE,"",Cotations!$AT$4)</f>
        <v/>
      </c>
      <c r="FO30" s="489" t="str">
        <f>IF(A30=FALSE,"",Cotations!$AU$4)</f>
        <v/>
      </c>
      <c r="FP30" s="494" t="str">
        <f>IF(A30=FALSE,"",IF(FM30="N/A",0,IF(INDEX(LISTES!$F$105:$F$109,MATCH(FM30,LISTES!$C$105:$C$109,0))="FIX",IF(INDEX(LISTES!$E$105:$E$109,MATCH(FM30,LISTES!$C$105:$C$109,0))=12,FN30/12*L30,FN30/365*M30),FO30*FL30)))</f>
        <v/>
      </c>
      <c r="FQ30" s="294" t="str">
        <f t="shared" si="266"/>
        <v/>
      </c>
      <c r="FR30" s="494" t="str">
        <f>IF(A30=FALSE,"",FQ30*Cotations!$AV$4)</f>
        <v/>
      </c>
      <c r="FS30" s="494" t="str">
        <f>IF(A30=FALSE,"",FQ30*Cotations!$AW$4)</f>
        <v/>
      </c>
      <c r="FT30" s="465" t="str">
        <f t="shared" si="267"/>
        <v/>
      </c>
      <c r="FU30" s="919" t="str">
        <f>IF(A30=FALSE,"",((FG30*TAXE)-(FG30*TAXE*FI30))+IF(FM30="N/A",0,IF(INDEX(LISTES!$F$105:$F$109,MATCH(FM30,LISTES!$C$105:$C$109,0))="FIX",FN30,FO30*FL30)))</f>
        <v/>
      </c>
      <c r="FV30" s="478"/>
      <c r="FW30" s="478"/>
      <c r="FX30" s="478"/>
      <c r="FY30" s="478"/>
      <c r="FZ30" s="478"/>
      <c r="GA30" s="492" t="str">
        <f>IF(A30=FALSE,"",Cotations!D30)</f>
        <v/>
      </c>
      <c r="GB30" s="494" t="str">
        <f>IF(A30=FALSE,"",IF(LISTES!$A$17=1,Cotations!AO30,Cotations!AP30))</f>
        <v/>
      </c>
      <c r="GC30" s="284" t="str">
        <f t="shared" si="268"/>
        <v/>
      </c>
      <c r="GD30" s="515" t="str">
        <f>IF(A30=FALSE,"",IF(Detail!AM30="","",Detail!AM30))</f>
        <v/>
      </c>
      <c r="GE30" s="284"/>
      <c r="GF30" s="284"/>
      <c r="GG30" s="284" t="str">
        <f t="shared" si="269"/>
        <v/>
      </c>
      <c r="GH30" s="515" t="str">
        <f>IF(A30=FALSE,"",IF(Cotations!AQ30="monthly",GG30/12*L30,GG30/365*M30))</f>
        <v/>
      </c>
      <c r="GI30" s="493" t="str">
        <f>IF(A30=FALSE,"",IF(Cotations!AR30="","",Cotations!AR30))</f>
        <v/>
      </c>
      <c r="GJ30" s="284" t="str">
        <f t="shared" si="270"/>
        <v/>
      </c>
      <c r="GK30" s="284" t="str">
        <f t="shared" si="271"/>
        <v/>
      </c>
      <c r="GL30" s="284" t="str">
        <f t="shared" si="272"/>
        <v/>
      </c>
      <c r="GM30" s="515" t="str">
        <f>IF(A30=FALSE,"",Cotations!AS30)</f>
        <v/>
      </c>
      <c r="GN30" s="515" t="str">
        <f>IF(A30=FALSE,"",Cotations!AT30)</f>
        <v/>
      </c>
      <c r="GO30" s="493" t="str">
        <f>IF(A30=FALSE,"",Cotations!AU30)</f>
        <v/>
      </c>
      <c r="GP30" s="515" t="str">
        <f>IF(A30=FALSE,"",IF(GM30="N/A",0,IF(INDEX(LISTES!$F$105:$F$109,MATCH(GM30,LISTES!$C$105:$C$109,0))="FIX",IF(INDEX(LISTES!$E$105:$E$109,MATCH(GM30,LISTES!$C$105:$C$109,0))=12,GN30/12*L30,GN30/365*M30),GO30*GL30)))</f>
        <v/>
      </c>
      <c r="GQ30" s="294" t="str">
        <f t="shared" si="273"/>
        <v/>
      </c>
      <c r="GR30" s="494" t="str">
        <f>IF(A30=FALSE,"",GQ30*Cotations!AV30)</f>
        <v/>
      </c>
      <c r="GS30" s="494" t="str">
        <f>IF(A30=FALSE,"",GQ30*Cotations!AW30)</f>
        <v/>
      </c>
      <c r="GT30" s="334" t="str">
        <f t="shared" si="274"/>
        <v/>
      </c>
      <c r="GU30" s="919" t="str">
        <f>IF(A30=FALSE,"",((GG30*TAXE)-(GG30*TAXE*GI30))+IF(GM30="N/A",0,IF(INDEX(LISTES!$F$105:$F$109,MATCH(GM30,LISTES!$C$105:$C$109,0))="FIX",GN30,GO30*GL30)))</f>
        <v/>
      </c>
      <c r="GV30" s="478"/>
      <c r="GW30" s="466"/>
      <c r="GX30" s="466"/>
      <c r="GY30" s="466"/>
      <c r="GZ30" s="466"/>
      <c r="HA30" s="492" t="str">
        <f>IF(A30=FALSE,"",Cotations!D30)</f>
        <v/>
      </c>
      <c r="HB30" s="495" t="str">
        <f>IF(A30=FALSE,"",IF(LISTES!$A$17=1,Cotations!AX30,Cotations!$AY$4))</f>
        <v/>
      </c>
      <c r="HC30" s="291" t="str">
        <f t="shared" si="275"/>
        <v/>
      </c>
      <c r="HD30" s="291" t="str">
        <f t="shared" si="276"/>
        <v/>
      </c>
      <c r="HE30" s="456" t="str">
        <f t="shared" si="277"/>
        <v/>
      </c>
      <c r="HF30" s="496" t="str">
        <f>IF(A30=FALSE,"",IF(HA30="POEA",Cotations!BA30,IF(HA30="FIXE",Cotations!$BA$4,Cotations!$BC$4*Y30)))</f>
        <v/>
      </c>
      <c r="HG30" s="300" t="str">
        <f t="shared" si="278"/>
        <v/>
      </c>
      <c r="HH30" s="522" t="str">
        <f>IF(A30=FALSE,"",IF(Cotations!$AZ$4="monthly",HG30/12*L30,HG30/365*M30))</f>
        <v/>
      </c>
      <c r="HI30" s="489" t="str">
        <f>IF(A30=FALSE,"",Cotations!$BD$4)</f>
        <v/>
      </c>
      <c r="HJ30" s="300" t="str">
        <f t="shared" si="279"/>
        <v/>
      </c>
      <c r="HK30" s="300" t="str">
        <f t="shared" si="280"/>
        <v/>
      </c>
      <c r="HL30" s="294" t="str">
        <f t="shared" si="281"/>
        <v/>
      </c>
      <c r="HM30" s="494" t="str">
        <f>IF(A30=FALSE,"",Cotations!$BE$4)</f>
        <v/>
      </c>
      <c r="HN30" s="522" t="str">
        <f>IF(A30=FALSE,"",Cotations!$BF$4)</f>
        <v/>
      </c>
      <c r="HO30" s="489" t="str">
        <f>IF(A30=FALSE,"",Cotations!$BG$4)</f>
        <v/>
      </c>
      <c r="HP30" s="494" t="str">
        <f>IF(A30=FALSE,"",IF(HM30="N/A",0,IF(INDEX(LISTES!$F$105:$F$109,MATCH(HM30,LISTES!$C$105:$C$109,0))="FIX",IF(INDEX(LISTES!$E$105:$E$109,MATCH(HM30,LISTES!$C$105:$C$109,0))=12,HN30/12*L30,HN30/365*M30),HO30*HL30)))</f>
        <v/>
      </c>
      <c r="HQ30" s="294" t="str">
        <f t="shared" si="282"/>
        <v/>
      </c>
      <c r="HR30" s="494" t="str">
        <f>IF(A30=FALSE,"",HQ30*Cotations!$BH$4)</f>
        <v/>
      </c>
      <c r="HS30" s="494" t="str">
        <f>IF(A30=FALSE,"",HQ30*Cotations!$BI$4)</f>
        <v/>
      </c>
      <c r="HT30" s="294" t="str">
        <f t="shared" si="283"/>
        <v/>
      </c>
      <c r="HU30" s="919" t="str">
        <f>IF(A30=FALSE,"",((HG30*TAXE)-(HG30*TAXE*HI30))+IF(HM30="N/A",0,IF(INDEX(LISTES!$F$105:$F$109,MATCH(HM30,LISTES!$C$105:$C$109,0))="FIX",HN30,HO30*HL30)))</f>
        <v/>
      </c>
      <c r="IA30" s="492" t="str">
        <f>IF(A30=FALSE,"",Cotations!D30)</f>
        <v/>
      </c>
      <c r="IB30" s="491" t="str">
        <f>IF(A30=FALSE,"",IF(LISTES!$A$17=1,Cotations!AX30,Cotations!AY30))</f>
        <v/>
      </c>
      <c r="IC30" s="285" t="str">
        <f t="shared" si="284"/>
        <v/>
      </c>
      <c r="ID30" s="300" t="str">
        <f>IF(A30=FALSE,"",IF(LISTES!$A$17=3,Detail!AU30,lig1_Formula_PREVOY))</f>
        <v/>
      </c>
      <c r="IE30" s="461" t="str">
        <f t="shared" si="285"/>
        <v/>
      </c>
      <c r="IF30" s="490" t="str">
        <f>IF(A30=FALSE,"",IF(IA30="POEA",Cotations!BA30,IF(HA30="FIXE",Cotations!BB30,IF(Cotations!BC30*Y30&lt;50000,Z30,Cotations!BC30*Y30))))</f>
        <v/>
      </c>
      <c r="IG30" s="300" t="str">
        <f t="shared" si="286"/>
        <v/>
      </c>
      <c r="IH30" s="522" t="str">
        <f>IF(A30=FALSE,"",IF(Cotations!AZ30="monthly",IG30/12*L30,IG30/365*M30))</f>
        <v/>
      </c>
      <c r="II30" s="489" t="str">
        <f>IF(A30=FALSE,"",IF(Cotations!BD30="","",Cotations!BD30))</f>
        <v/>
      </c>
      <c r="IJ30" s="300" t="str">
        <f t="shared" si="287"/>
        <v/>
      </c>
      <c r="IK30" s="300" t="str">
        <f t="shared" si="288"/>
        <v/>
      </c>
      <c r="IL30" s="919" t="str">
        <f t="shared" si="289"/>
        <v/>
      </c>
      <c r="IM30" s="517" t="str">
        <f>IF(A30=FALSE,"",Cotations!BE30)</f>
        <v/>
      </c>
      <c r="IN30" s="517" t="str">
        <f>IF(A30=FALSE,"",Cotations!BF30)</f>
        <v/>
      </c>
      <c r="IO30" s="493" t="str">
        <f>IF(A30=FALSE,"",Cotations!BG30)</f>
        <v/>
      </c>
      <c r="IP30" s="517" t="str">
        <f>IF(A30=FALSE,"",IF(IM30="N/A",0,IF(INDEX(LISTES!$F$105:$F$109,MATCH(IM30,LISTES!$C$105:$C$109,0))="FIX",IF(INDEX(LISTES!$E$105:$E$109,MATCH(IM30,LISTES!$C$105:$C$109,0))=12,IN30/12*L30,IN30/365*M30),IO30*IL30)))</f>
        <v/>
      </c>
      <c r="IQ30" s="294" t="str">
        <f t="shared" si="290"/>
        <v/>
      </c>
      <c r="IR30" s="494" t="str">
        <f>IF(A30=FALSE,"",IQ30*Cotations!BH30)</f>
        <v/>
      </c>
      <c r="IS30" s="494" t="str">
        <f>IF(A30=FALSE,"",IQ30*Cotations!BI30)</f>
        <v/>
      </c>
      <c r="IT30" s="338" t="str">
        <f t="shared" si="291"/>
        <v/>
      </c>
      <c r="IU30" s="919" t="str">
        <f>IF(A30=FALSE,"",((IG30*TAXE)-(IG30*TAXE*II30))+IF(IM30="N/A",0,IF(INDEX(LISTES!$F$105:$F$109,MATCH(IM30,LISTES!$C$105:$C$109,0))="FIX",IN30,IO30*IL30)))</f>
        <v/>
      </c>
      <c r="JA30" s="492" t="str">
        <f>IF(A30=FALSE,"",Cotations!D30)</f>
        <v/>
      </c>
      <c r="JB30" s="495" t="str">
        <f>IF(A30=FALSE,"",IF(LISTES!$A$17=1,Cotations!BJ30,Cotations!$BK$4))</f>
        <v/>
      </c>
      <c r="JC30" s="291" t="str">
        <f t="shared" si="292"/>
        <v/>
      </c>
      <c r="JD30" s="291" t="str">
        <f t="shared" si="293"/>
        <v/>
      </c>
      <c r="JE30" s="456" t="str">
        <f t="shared" si="294"/>
        <v/>
      </c>
      <c r="JF30" s="496" t="str">
        <f>IF(A30=FALSE,"",IF(JA30="POEA",Cotations!BM30,IF(JA30="FIXE",Cotations!$BM$4,Cotations!$BO$4*Y30)))</f>
        <v/>
      </c>
      <c r="JG30" s="300" t="str">
        <f t="shared" si="295"/>
        <v/>
      </c>
      <c r="JH30" s="522" t="str">
        <f>IF(A30=FALSE,"",IF(Cotations!$BL$4="monthly",JG30/12*L30,JG30/365*M30))</f>
        <v/>
      </c>
      <c r="JI30" s="489" t="str">
        <f>IF(A30=FALSE,"",Cotations!$BP$4)</f>
        <v/>
      </c>
      <c r="JJ30" s="300" t="str">
        <f t="shared" si="296"/>
        <v/>
      </c>
      <c r="JK30" s="300" t="str">
        <f t="shared" si="297"/>
        <v/>
      </c>
      <c r="JL30" s="294" t="str">
        <f t="shared" si="298"/>
        <v/>
      </c>
      <c r="JM30" s="494" t="str">
        <f>IF(A30=FALSE,"",Cotations!$BQ$4)</f>
        <v/>
      </c>
      <c r="JN30" s="522" t="str">
        <f>IF(A30=FALSE,"",Cotations!$BR$4)</f>
        <v/>
      </c>
      <c r="JO30" s="489" t="str">
        <f>IF(A30=FALSE,"",Cotations!$BS$4)</f>
        <v/>
      </c>
      <c r="JP30" s="494" t="str">
        <f>IF(A30=FALSE,"",IF(JM30="N/A",0,IF(INDEX(LISTES!$F$105:$F$109,MATCH(JM30,LISTES!$C$105:$C$109,0))="FIX",IF(INDEX(LISTES!$E$105:$E$109,MATCH(JM30,LISTES!$C$105:$C$109,0))=12,JN30/12*L30,JN30/365*M30),JO30*JL30)))</f>
        <v/>
      </c>
      <c r="JQ30" s="294" t="str">
        <f t="shared" si="299"/>
        <v/>
      </c>
      <c r="JR30" s="494" t="str">
        <f>IF(A30=FALSE,"",JQ30*Cotations!$BT$4)</f>
        <v/>
      </c>
      <c r="JS30" s="494" t="str">
        <f>IF(A30=FALSE,"",JQ30*Cotations!$BU$4)</f>
        <v/>
      </c>
      <c r="JT30" s="294" t="str">
        <f t="shared" si="300"/>
        <v/>
      </c>
      <c r="JU30" s="919" t="str">
        <f>IF(A30=FALSE,"",((JG30*TAXE)-(JG30*TAXE*JI30))+IF(JM30="N/A",0,IF(INDEX(LISTES!$F$105:$F$109,MATCH(JM30,LISTES!$C$105:$C$109,0))="FIX",JN30,JO30*JL30)))</f>
        <v/>
      </c>
      <c r="KA30" s="492" t="str">
        <f>IF(A30=FALSE,"",Cotations!D30)</f>
        <v/>
      </c>
      <c r="KB30" s="491" t="str">
        <f>IF(A30=FALSE,"",IF(LISTES!$A$17=1,Cotations!BJ30,Cotations!BK30))</f>
        <v/>
      </c>
      <c r="KC30" s="285" t="str">
        <f t="shared" si="301"/>
        <v/>
      </c>
      <c r="KD30" s="300"/>
      <c r="KE30" s="461" t="str">
        <f t="shared" si="302"/>
        <v/>
      </c>
      <c r="KF30" s="490" t="str">
        <f>IF(A30=FALSE,"",IF(KA30="POEA",Cotations!BM30,IF(KA30="FIXE",Cotations!BN30,IF(Cotations!BO30*Y30&lt;50000,Z30,Cotations!BO30*Y30))))</f>
        <v/>
      </c>
      <c r="KG30" s="300" t="str">
        <f t="shared" si="303"/>
        <v/>
      </c>
      <c r="KH30" s="522" t="str">
        <f>IF(A30=FALSE,"",IF(Cotations!BL30="monthly",KG30/12*L30,KG30/365*M30))</f>
        <v/>
      </c>
      <c r="KI30" s="489" t="str">
        <f>IF(A30=FALSE,"",IF(Cotations!BP30="","",Cotations!BP30))</f>
        <v/>
      </c>
      <c r="KJ30" s="300" t="str">
        <f t="shared" si="304"/>
        <v/>
      </c>
      <c r="KK30" s="300" t="str">
        <f t="shared" si="305"/>
        <v/>
      </c>
      <c r="KL30" s="919" t="str">
        <f t="shared" si="306"/>
        <v/>
      </c>
      <c r="KM30" s="517" t="str">
        <f>IF(A30=FALSE,"",Cotations!BQ30)</f>
        <v/>
      </c>
      <c r="KN30" s="515" t="str">
        <f>IF(A30=FALSE,"",Cotations!BR30)</f>
        <v/>
      </c>
      <c r="KO30" s="493" t="str">
        <f>IF(A30=FALSE,"",Cotations!BS30)</f>
        <v/>
      </c>
      <c r="KP30" s="517" t="str">
        <f>IF(A30=FALSE,"",IF(KM30="N/A",0,IF(INDEX(LISTES!$F$105:$F$109,MATCH(KM30,LISTES!$C$105:$C$109,0))="FIX",IF(INDEX(LISTES!$E$105:$E$109,MATCH(KM30,LISTES!$C$105:$C$109,0))=12,KN30/12*L30,KN30/365*M30),KO30*KL30)))</f>
        <v/>
      </c>
      <c r="KQ30" s="294" t="str">
        <f t="shared" si="307"/>
        <v/>
      </c>
      <c r="KR30" s="494" t="str">
        <f>IF(A30=FALSE,"",KQ30*Cotations!BT30)</f>
        <v/>
      </c>
      <c r="KS30" s="494" t="str">
        <f>IF(A30=FALSE,"",KQ30*Cotations!BU30)</f>
        <v/>
      </c>
      <c r="KT30" s="338" t="str">
        <f t="shared" si="308"/>
        <v/>
      </c>
      <c r="KU30" s="919" t="str">
        <f>IF(A30=FALSE,"",((KG30*TAXE)-(KG30*TAXE*KI30))+IF(KM30="N/A",0,IF(INDEX(LISTES!$F$105:$F$109,MATCH(KM30,LISTES!$C$105:$C$109,0))="FIX",KN30,KO30*KL30)))</f>
        <v/>
      </c>
      <c r="LA30" s="497" t="str">
        <f>IF(A30=FALSE,"",Cotations!D30)</f>
        <v/>
      </c>
      <c r="LB30" s="498" t="str">
        <f>IF(A30=FALSE,"",IF(LISTES!$A$17=1,Cotations!BV30,Cotations!$BW$4))</f>
        <v/>
      </c>
      <c r="LC30" s="499" t="str">
        <f t="shared" si="309"/>
        <v/>
      </c>
      <c r="LD30" s="499" t="str">
        <f t="shared" si="310"/>
        <v/>
      </c>
      <c r="LE30" s="500" t="str">
        <f t="shared" si="311"/>
        <v/>
      </c>
      <c r="LF30" s="501" t="str">
        <f>IF(A30=FALSE,"",IF(LA30="POEA",Cotations!EJ30,IF(LA30="FIXE",Cotations!$BY$4,Cotations!$CA$4*Y30)))</f>
        <v/>
      </c>
      <c r="LG30" s="502" t="str">
        <f t="shared" si="312"/>
        <v/>
      </c>
      <c r="LH30" s="520" t="str">
        <f>IF(A30=FALSE,"",IF(Cotations!$BX$4="monthly",LG30/12*L30,LG30/365*M30))</f>
        <v/>
      </c>
      <c r="LI30" s="503" t="str">
        <f>IF(A30=FALSE,"",Cotations!$CB$4)</f>
        <v/>
      </c>
      <c r="LJ30" s="502" t="str">
        <f t="shared" si="313"/>
        <v/>
      </c>
      <c r="LK30" s="502" t="str">
        <f t="shared" si="314"/>
        <v/>
      </c>
      <c r="LL30" s="504" t="str">
        <f t="shared" si="315"/>
        <v/>
      </c>
      <c r="LM30" s="505" t="str">
        <f>IF(A30=FALSE,"",Cotations!$CC$4)</f>
        <v/>
      </c>
      <c r="LN30" s="503" t="str">
        <f>IF(A30=FALSE,"",Cotations!$CD$4)</f>
        <v/>
      </c>
      <c r="LO30" s="503" t="str">
        <f>IF(A30=FALSE,"",Cotations!$CE$4)</f>
        <v/>
      </c>
      <c r="LP30" s="505" t="str">
        <f>IF(A30=FALSE,"",IF(LM30="N/A",0,IF(INDEX(LISTES!$F$105:$F$109,MATCH(LM30,LISTES!$C$105:$C$109,0))="FIX",IF(INDEX(LISTES!$E$105:$E$109,MATCH(LM30,LISTES!$C$105:$C$109,0))=12,LN30/12*L30,LN30/365*M30),LO30*LL30)))</f>
        <v/>
      </c>
      <c r="LQ30" s="504" t="str">
        <f t="shared" si="316"/>
        <v/>
      </c>
      <c r="LR30" s="505" t="str">
        <f>IF(A30=FALSE,"",LQ30*Cotations!$CF$4)</f>
        <v/>
      </c>
      <c r="LS30" s="505" t="str">
        <f>IF(A30=FALSE,"",LQ30*Cotations!$CG$4)</f>
        <v/>
      </c>
      <c r="LT30" s="506" t="str">
        <f t="shared" si="317"/>
        <v/>
      </c>
      <c r="LU30" s="919" t="str">
        <f>IF(A30=FALSE,"",((LG30*TAXE)-(LG30*TAXE*LI30))+IF(LM30="N/A",0,IF(INDEX(LISTES!$F$105:$F$109,MATCH(LM30,LISTES!$C$105:$C$109,0))="FIX",LN30,LO30*LL30)))</f>
        <v/>
      </c>
      <c r="MA30" s="492" t="str">
        <f>IF(A30=FALSE,"",Cotations!D30)</f>
        <v/>
      </c>
      <c r="MB30" s="491" t="str">
        <f>IF(A30=FALSE,"",IF(LISTES!$A$17=1,Cotations!BV30,Cotations!BW30))</f>
        <v/>
      </c>
      <c r="MC30" s="285" t="str">
        <f t="shared" si="318"/>
        <v/>
      </c>
      <c r="MD30" s="300"/>
      <c r="ME30" s="461" t="str">
        <f t="shared" si="319"/>
        <v/>
      </c>
      <c r="MF30" s="490" t="str">
        <f>IF(A30=FALSE,"",IF(MA30="POEA",Cotations!BY30,IF(MA30="FIXE",Cotations!BZ30,IF(Cotations!CA30*Y30&lt;50000,Z30,Cotations!CA30*Y30))))</f>
        <v/>
      </c>
      <c r="MG30" s="300" t="str">
        <f t="shared" si="320"/>
        <v/>
      </c>
      <c r="MH30" s="522" t="str">
        <f>IF(A30=FALSE,"",IF(Cotations!BX30="monthly",MG30/12*L30,MG30/365*M30))</f>
        <v/>
      </c>
      <c r="MI30" s="489" t="str">
        <f>IF(A30=FALSE,"",IF(Cotations!CB30="","",Cotations!CB30))</f>
        <v/>
      </c>
      <c r="MJ30" s="300" t="str">
        <f t="shared" si="321"/>
        <v/>
      </c>
      <c r="MK30" s="300" t="str">
        <f t="shared" si="322"/>
        <v/>
      </c>
      <c r="ML30" s="919" t="str">
        <f t="shared" si="323"/>
        <v/>
      </c>
      <c r="MM30" s="517" t="str">
        <f>IF(A30=FALSE,"",Cotations!CC30)</f>
        <v/>
      </c>
      <c r="MN30" s="515" t="str">
        <f>IF(A30=FALSE,"",Cotations!CD30)</f>
        <v/>
      </c>
      <c r="MO30" s="493" t="str">
        <f>IF(A30=FALSE,"",Cotations!CE30)</f>
        <v/>
      </c>
      <c r="MP30" s="517" t="str">
        <f>IF(A30=FALSE,"",IF(MM30="N/A",0,IF(INDEX(LISTES!$F$105:$F$109,MATCH(MM30,LISTES!$C$105:$C$109,0))="FIX",IF(INDEX(LISTES!$E$105:$E$109,MATCH(MM30,LISTES!$C$105:$C$109,0))=12,MN30/12*L30,MN30/365*M30),MO30*ML30)))</f>
        <v/>
      </c>
      <c r="MQ30" s="294" t="str">
        <f t="shared" si="324"/>
        <v/>
      </c>
      <c r="MR30" s="494" t="str">
        <f>IF(A30=FALSE,"",MQ30*Cotations!CF30)</f>
        <v/>
      </c>
      <c r="MS30" s="494" t="str">
        <f>IF(A30=FALSE,"",MQ30*Cotations!CG30)</f>
        <v/>
      </c>
      <c r="MT30" s="338" t="str">
        <f t="shared" si="325"/>
        <v/>
      </c>
      <c r="MU30" s="919" t="str">
        <f>IF(A30=FALSE,"",((MG30*TAXE)-(MG30*TAXE*MI30))+IF(MM30="N/A",0,IF(INDEX(LISTES!$F$105:$F$109,MATCH(MM30,LISTES!$C$105:$C$109,0))="FIX",MN30,MO30*ML30)))</f>
        <v/>
      </c>
      <c r="NA30" s="497" t="str">
        <f>IF(A30=FALSE,"",Cotations!D30)</f>
        <v/>
      </c>
      <c r="NB30" s="498" t="str">
        <f>IF(A30=FALSE,"",IF(LISTES!$A$17=1,Cotations!CH30,Cotations!$CI$4))</f>
        <v/>
      </c>
      <c r="NC30" s="499" t="str">
        <f t="shared" si="326"/>
        <v/>
      </c>
      <c r="ND30" s="499" t="str">
        <f t="shared" si="327"/>
        <v/>
      </c>
      <c r="NE30" s="500" t="str">
        <f t="shared" si="328"/>
        <v/>
      </c>
      <c r="NF30" s="501" t="str">
        <f>IF(A30=FALSE,"",IF(NA30="POEA",Cotations!CK30,IF(NA30="FIXE",Cotations!$CK$4,Cotations!$CM$4*Y30)))</f>
        <v/>
      </c>
      <c r="NG30" s="502" t="str">
        <f t="shared" si="329"/>
        <v/>
      </c>
      <c r="NH30" s="520" t="str">
        <f>IF(A30=FALSE,"",IF(Cotations!$CJ$4="monthly",NG30/12*L30,NG30/365*M30))</f>
        <v/>
      </c>
      <c r="NI30" s="503" t="str">
        <f>IF(A30=FALSE,"",Cotations!$CN$4)</f>
        <v/>
      </c>
      <c r="NJ30" s="502" t="str">
        <f t="shared" si="330"/>
        <v/>
      </c>
      <c r="NK30" s="502" t="str">
        <f t="shared" si="331"/>
        <v/>
      </c>
      <c r="NL30" s="504" t="str">
        <f t="shared" si="332"/>
        <v/>
      </c>
      <c r="NM30" s="505" t="str">
        <f>IF(A30=FALSE,"",Cotations!$CO$4)</f>
        <v/>
      </c>
      <c r="NN30" s="520" t="str">
        <f>IF(A30=FALSE,"",Cotations!$CP$4)</f>
        <v/>
      </c>
      <c r="NO30" s="503" t="str">
        <f>IF(A30=FALSE,"",Cotations!$CQ$4)</f>
        <v/>
      </c>
      <c r="NP30" s="505" t="str">
        <f>IF(A30=FALSE,"",IF(NM30="N/A",0,IF(INDEX(LISTES!$F$105:$F$109,MATCH(NM30,LISTES!$C$105:$C$109,0))="FIX",IF(INDEX(LISTES!$E$105:$E$109,MATCH(NM30,LISTES!$C$105:$C$109,0))=12,NN30/12*L30,NN30/365*M30),NO30*NL30)))</f>
        <v/>
      </c>
      <c r="NQ30" s="504" t="str">
        <f t="shared" si="333"/>
        <v/>
      </c>
      <c r="NR30" s="505" t="str">
        <f>IF(A30=FALSE,"",NQ30*Cotations!$CR$4)</f>
        <v/>
      </c>
      <c r="NS30" s="505" t="str">
        <f>IF(A30=FALSE,"",NQ30*Cotations!$CS$4)</f>
        <v/>
      </c>
      <c r="NT30" s="506" t="str">
        <f t="shared" si="334"/>
        <v/>
      </c>
      <c r="NU30" s="919" t="str">
        <f>IF(A30=FALSE,"",((NG30*TAXE)-(NG30*TAXE*NI30))+IF(NM30="N/A",0,IF(INDEX(LISTES!$F$105:$F$109,MATCH(NM30,LISTES!$C$105:$C$109,0))="FIX",NN30,NO30*NL30)))</f>
        <v/>
      </c>
      <c r="OA30" s="492" t="str">
        <f>IF(A30=FALSE,"",Cotations!D30)</f>
        <v/>
      </c>
      <c r="OB30" s="491" t="str">
        <f>IF(A30=FALSE,"",IF(LISTES!$A$17=1,Cotations!CH30,Cotations!CI30))</f>
        <v/>
      </c>
      <c r="OC30" s="285" t="str">
        <f t="shared" si="335"/>
        <v/>
      </c>
      <c r="OD30" s="300"/>
      <c r="OE30" s="461" t="str">
        <f t="shared" si="336"/>
        <v/>
      </c>
      <c r="OF30" s="490" t="str">
        <f>IF(A30=FALSE,"",IF(OA30="POEA",Cotations!CK30,IF(OA30="FIXE",Cotations!CL30,IF(Cotations!CM30*Y30&lt;50000,Z30,Cotations!CM30*Y30))))</f>
        <v/>
      </c>
      <c r="OG30" s="300" t="str">
        <f t="shared" si="337"/>
        <v/>
      </c>
      <c r="OH30" s="522" t="str">
        <f>IF(A30=FALSE,"",IF(Cotations!CJ30="monthly",OG30/12*L30,OG30/365*M30))</f>
        <v/>
      </c>
      <c r="OI30" s="489" t="str">
        <f>IF(A30=FALSE,"",IF(Cotations!CN30="","",Cotations!CN30))</f>
        <v/>
      </c>
      <c r="OJ30" s="300" t="str">
        <f t="shared" si="338"/>
        <v/>
      </c>
      <c r="OK30" s="300" t="str">
        <f t="shared" si="339"/>
        <v/>
      </c>
      <c r="OL30" s="919" t="str">
        <f t="shared" si="340"/>
        <v/>
      </c>
      <c r="OM30" s="517" t="str">
        <f>IF(A30=FALSE,"",Cotations!CO30)</f>
        <v/>
      </c>
      <c r="ON30" s="515" t="str">
        <f>IF(A30=FALSE,"",Cotations!CP30)</f>
        <v/>
      </c>
      <c r="OO30" s="493" t="str">
        <f>IF(A30=FALSE,"",Cotations!CQ30)</f>
        <v/>
      </c>
      <c r="OP30" s="517" t="str">
        <f>IF(A30=FALSE,"",IF(OM30="N/A",0,IF(INDEX(LISTES!$F$105:$F$109,MATCH(OM30,LISTES!$C$105:$C$109,0))="FIX",IF(INDEX(LISTES!$E$105:$E$109,MATCH(OM30,LISTES!$C$105:$C$109,0))=12,ON30/12*L30,ON30/365*M30),OO30*OL30)))</f>
        <v/>
      </c>
      <c r="OQ30" s="294" t="str">
        <f t="shared" si="341"/>
        <v/>
      </c>
      <c r="OR30" s="494" t="str">
        <f>IF(A30=FALSE,"",OQ30*Cotations!CR30)</f>
        <v/>
      </c>
      <c r="OS30" s="494" t="str">
        <f>IF(A30=FALSE,"",OQ30*Cotations!CS30)</f>
        <v/>
      </c>
      <c r="OT30" s="338" t="str">
        <f t="shared" si="342"/>
        <v/>
      </c>
      <c r="OU30" s="919" t="str">
        <f>IF(A30=FALSE,"",((OG30*TAXE)-(OG30*TAXE*OI30))+IF(OM30="N/A",0,IF(INDEX(LISTES!$F$105:$F$109,MATCH(OM30,LISTES!$C$105:$C$109,0))="FIX",ON30,OO30*OL30)))</f>
        <v/>
      </c>
      <c r="PA30" s="497" t="str">
        <f t="shared" si="343"/>
        <v/>
      </c>
      <c r="PB30" s="498" t="str">
        <f>IF(A30=FALSE,"",IF(LISTES!$A$17=1,Cotations!CT30,Cotations!$CU$4))</f>
        <v/>
      </c>
      <c r="PC30" s="499" t="str">
        <f t="shared" si="344"/>
        <v/>
      </c>
      <c r="PD30" s="499" t="str">
        <f t="shared" si="345"/>
        <v/>
      </c>
      <c r="PE30" s="500" t="str">
        <f t="shared" si="346"/>
        <v/>
      </c>
      <c r="PF30" s="501" t="str">
        <f>IF(A30=FALSE,"",Cotations!$CY$4*Y30)</f>
        <v/>
      </c>
      <c r="PG30" s="502" t="str">
        <f t="shared" si="347"/>
        <v/>
      </c>
      <c r="PH30" s="520" t="str">
        <f>IF(A30=FALSE,"",IF(Cotations!$CV$4="monthly",PG30/12*L30,PG30/365*M30))</f>
        <v/>
      </c>
      <c r="PI30" s="503" t="str">
        <f>IF(A30=FALSE,"",Cotations!$CZ$4)</f>
        <v/>
      </c>
      <c r="PJ30" s="502" t="str">
        <f t="shared" si="348"/>
        <v/>
      </c>
      <c r="PK30" s="502" t="str">
        <f t="shared" si="349"/>
        <v/>
      </c>
      <c r="PL30" s="504" t="str">
        <f t="shared" si="350"/>
        <v/>
      </c>
      <c r="PM30" s="505" t="str">
        <f>IF(A30=FALSE,"",Cotations!$DA$4)</f>
        <v/>
      </c>
      <c r="PN30" s="520" t="str">
        <f>IF(A30=FALSE,"",Cotations!$DB$4)</f>
        <v/>
      </c>
      <c r="PO30" s="503" t="str">
        <f>IF(A30=FALSE,"",Cotations!$DC$4)</f>
        <v/>
      </c>
      <c r="PP30" s="505" t="str">
        <f>IF(A30=FALSE,"",IF(PM30="N/A",0,IF(INDEX(LISTES!$F$105:$F$109,MATCH(PM30,LISTES!$C$105:$C$109,0))="FIX",IF(INDEX(LISTES!$E$105:$E$109,MATCH(PM30,LISTES!$C$105:$C$109,0))=12,PN30/12*L30,PN30/365*M30),PO30*PL30)))</f>
        <v/>
      </c>
      <c r="PQ30" s="504" t="str">
        <f t="shared" si="351"/>
        <v/>
      </c>
      <c r="PR30" s="505" t="str">
        <f>IF(A30=FALSE,"",PQ30*Cotations!$DD$4)</f>
        <v/>
      </c>
      <c r="PS30" s="505" t="str">
        <f>IF(A30=FALSE,"",PQ30*Cotations!$DE$4)</f>
        <v/>
      </c>
      <c r="PT30" s="506" t="str">
        <f t="shared" si="352"/>
        <v/>
      </c>
      <c r="PU30" s="919" t="str">
        <f>IF(A30=FALSE,"",((PG30*TAXE)-(PG30*TAXE*PI30))+IF(PM30="N/A",0,IF(INDEX(LISTES!$F$105:$F$109,MATCH(PM30,LISTES!$C$105:$C$109,0))="FIX",PN30,PO30*PL30)))</f>
        <v/>
      </c>
      <c r="QA30" s="492" t="str">
        <f t="shared" si="353"/>
        <v/>
      </c>
      <c r="QB30" s="491" t="str">
        <f>IF(A30=FALSE,"",IF(LISTES!$A$17=1,Cotations!CT30,Cotations!CU30))</f>
        <v/>
      </c>
      <c r="QC30" s="285" t="str">
        <f t="shared" si="354"/>
        <v/>
      </c>
      <c r="QD30" s="300"/>
      <c r="QE30" s="461" t="str">
        <f t="shared" si="355"/>
        <v/>
      </c>
      <c r="QF30" s="490" t="str">
        <f>IF(A30=FALSE,"",Cotations!CY30*AA30)</f>
        <v/>
      </c>
      <c r="QG30" s="300" t="str">
        <f t="shared" si="356"/>
        <v/>
      </c>
      <c r="QH30" s="522" t="str">
        <f>IF(A30=FALSE,"",IF(Cotations!CV30="monthly",QG30/12*L30,QG30/365*M30))</f>
        <v/>
      </c>
      <c r="QI30" s="489" t="str">
        <f>IF(A30=FALSE,"",IF(Cotations!CZ30="","",Cotations!CZ30))</f>
        <v/>
      </c>
      <c r="QJ30" s="300" t="str">
        <f t="shared" si="357"/>
        <v/>
      </c>
      <c r="QK30" s="300" t="str">
        <f t="shared" si="358"/>
        <v/>
      </c>
      <c r="QL30" s="919" t="str">
        <f t="shared" si="359"/>
        <v/>
      </c>
      <c r="QM30" s="517" t="str">
        <f>IF(A30=FALSE,"",Cotations!DA30)</f>
        <v/>
      </c>
      <c r="QN30" s="515" t="str">
        <f>IF(A30=FALSE,"",Cotations!DB30)</f>
        <v/>
      </c>
      <c r="QO30" s="493" t="str">
        <f>IF(A30=FALSE,"",Cotations!DC30)</f>
        <v/>
      </c>
      <c r="QP30" s="517" t="str">
        <f>IF(A30=FALSE,"",IF(QM30="N/A",0,IF(INDEX(LISTES!$F$105:$F$109,MATCH(QM30,LISTES!$C$105:$C$109,0))="FIX",IF(INDEX(LISTES!$E$105:$E$109,MATCH(QM30,LISTES!$C$105:$C$109,0))=12,QN30/12*L30,QN30/365*M30),QO30*QL30)))</f>
        <v/>
      </c>
      <c r="QQ30" s="294" t="str">
        <f t="shared" si="360"/>
        <v/>
      </c>
      <c r="QR30" s="494" t="str">
        <f>IF(A30=FALSE,"",QQ30*Cotations!DD30)</f>
        <v/>
      </c>
      <c r="QS30" s="494" t="str">
        <f>IF(A30=FALSE,"",QQ30*Cotations!DE30)</f>
        <v/>
      </c>
      <c r="QT30" s="338" t="str">
        <f t="shared" si="361"/>
        <v/>
      </c>
      <c r="QU30" s="919" t="str">
        <f>IF(A30=FALSE,"",((QG30*TAXE)-(QG30*TAXE*QI30))+IF(QM30="N/A",0,IF(INDEX(LISTES!$F$105:$F$109,MATCH(QM30,LISTES!$C$105:$C$109,0))="FIX",QN30,QO30*QL30)))</f>
        <v/>
      </c>
      <c r="RA30" s="497" t="str">
        <f t="shared" si="362"/>
        <v/>
      </c>
      <c r="RB30" s="498" t="str">
        <f>IF(A30=FALSE,"",IF(LISTES!$A$17=1,Cotations!DF30,Cotations!$DG$4))</f>
        <v/>
      </c>
      <c r="RC30" s="499" t="str">
        <f t="shared" si="363"/>
        <v/>
      </c>
      <c r="RD30" s="499" t="str">
        <f t="shared" si="364"/>
        <v/>
      </c>
      <c r="RE30" s="500" t="str">
        <f t="shared" si="365"/>
        <v/>
      </c>
      <c r="RF30" s="501" t="str">
        <f>IF(A30=FALSE,"",Cotations!$DK$4*Y30)</f>
        <v/>
      </c>
      <c r="RG30" s="502" t="str">
        <f t="shared" si="366"/>
        <v/>
      </c>
      <c r="RH30" s="520" t="str">
        <f>IF(A30=FALSE,"",IF(Cotations!$DH$4="monthly",RG30/12*L30,RG30/365*M30))</f>
        <v/>
      </c>
      <c r="RI30" s="503" t="str">
        <f>IF(A30=FALSE,"",Cotations!$DL$4)</f>
        <v/>
      </c>
      <c r="RJ30" s="502" t="str">
        <f t="shared" si="367"/>
        <v/>
      </c>
      <c r="RK30" s="502" t="str">
        <f t="shared" si="368"/>
        <v/>
      </c>
      <c r="RL30" s="504" t="str">
        <f t="shared" si="369"/>
        <v/>
      </c>
      <c r="RM30" s="505" t="str">
        <f>IF(A30=FALSE,"",Cotations!$DM$4)</f>
        <v/>
      </c>
      <c r="RN30" s="520" t="str">
        <f>IF(A30=FALSE,"",Cotations!$DN$4)</f>
        <v/>
      </c>
      <c r="RO30" s="503" t="str">
        <f>IF(A30=FALSE,"",Cotations!$DO$4)</f>
        <v/>
      </c>
      <c r="RP30" s="505" t="str">
        <f>IF(A30=FALSE,"",IF(RM30="N/A",0,IF(INDEX(LISTES!$F$105:$F$109,MATCH(RM30,LISTES!$C$105:$C$109,0))="FIX",IF(INDEX(LISTES!$E$105:$E$109,MATCH(RM30,LISTES!$C$105:$C$109,0))=12,RN30/12*L30,RN30/365*M30),RO30*RL30)))</f>
        <v/>
      </c>
      <c r="RQ30" s="504" t="str">
        <f t="shared" si="370"/>
        <v/>
      </c>
      <c r="RR30" s="505" t="str">
        <f>IF(A30=FALSE,"",RQ30*Cotations!$DP$4)</f>
        <v/>
      </c>
      <c r="RS30" s="505" t="str">
        <f>IF(A30=FALSE,"",RQ30*Cotations!$DQ$4)</f>
        <v/>
      </c>
      <c r="RT30" s="506" t="str">
        <f t="shared" si="371"/>
        <v/>
      </c>
      <c r="RU30" s="919" t="str">
        <f>IF(A30=FALSE,"",((RG30*TAXE)-(RG30*TAXE*RI30))+IF(RM30="N/A",0,IF(INDEX(LISTES!$F$105:$F$109,MATCH(RM30,LISTES!$C$105:$C$109,0))="FIX",RN30,RO30*RL30)))</f>
        <v/>
      </c>
      <c r="SA30" s="492" t="str">
        <f t="shared" si="372"/>
        <v/>
      </c>
      <c r="SB30" s="491" t="str">
        <f>IF(A30=FALSE,"",IF(LISTES!$A$17=1,Cotations!DF30,Cotations!DG30))</f>
        <v/>
      </c>
      <c r="SC30" s="285" t="str">
        <f t="shared" si="373"/>
        <v/>
      </c>
      <c r="SD30" s="300"/>
      <c r="SE30" s="461" t="str">
        <f t="shared" si="374"/>
        <v/>
      </c>
      <c r="SF30" s="490" t="str">
        <f>IF(A30=FALSE,"",Cotations!DK30*AA30)</f>
        <v/>
      </c>
      <c r="SG30" s="300" t="str">
        <f t="shared" si="375"/>
        <v/>
      </c>
      <c r="SH30" s="522" t="str">
        <f>IF(A30=FALSE,"",IF(Cotations!DH30="monthly",SG30/12*L30,SG30/365*M30))</f>
        <v/>
      </c>
      <c r="SI30" s="489" t="str">
        <f>IF(A30=FALSE,"",IF(Cotations!DL30="","",Cotations!DL30))</f>
        <v/>
      </c>
      <c r="SJ30" s="300" t="str">
        <f t="shared" si="376"/>
        <v/>
      </c>
      <c r="SK30" s="300" t="str">
        <f t="shared" si="377"/>
        <v/>
      </c>
      <c r="SL30" s="919" t="str">
        <f t="shared" si="378"/>
        <v/>
      </c>
      <c r="SM30" s="285" t="str">
        <f>IF(A30=FALSE,"",Cotations!DM30)</f>
        <v/>
      </c>
      <c r="SN30" s="515" t="str">
        <f>IF(A30=FALSE,"",Cotations!DN30)</f>
        <v/>
      </c>
      <c r="SO30" s="493" t="str">
        <f>IF(A30=FALSE,"",Cotations!DO30)</f>
        <v/>
      </c>
      <c r="SP30" s="517" t="str">
        <f>IF(A30=FALSE,"",IF(SM30="N/A",0,IF(INDEX(LISTES!$F$105:$F$109,MATCH(SM30,LISTES!$C$105:$C$109,0))="FIX",IF(INDEX(LISTES!$E$105:$E$109,MATCH(SM30,LISTES!$C$105:$C$109,0))=12,SN30/12*L30,SN30/365*M30),SO30*SL30)))</f>
        <v/>
      </c>
      <c r="SQ30" s="294" t="str">
        <f t="shared" si="379"/>
        <v/>
      </c>
      <c r="SR30" s="494" t="str">
        <f>IF(A30=FALSE,"",SQ30*Cotations!DP30)</f>
        <v/>
      </c>
      <c r="SS30" s="494" t="str">
        <f>IF(A30=FALSE,"",SQ30*Cotations!DQ30)</f>
        <v/>
      </c>
      <c r="ST30" s="338" t="str">
        <f t="shared" si="380"/>
        <v/>
      </c>
      <c r="SU30" s="919" t="str">
        <f>IF(A30=FALSE,"",((SG30*TAXE)-(SG30*TAXE*SI30))+IF(SM30="N/A",0,IF(INDEX(LISTES!$F$105:$F$109,MATCH(SM30,LISTES!$C$105:$C$109,0))="FIX",SN30,SO30*SL30)))</f>
        <v/>
      </c>
      <c r="TA30" s="492" t="str">
        <f>IF(A30=FALSE,"",Cotations!D30)</f>
        <v/>
      </c>
      <c r="TB30" s="491" t="str">
        <f>IF(A30=FALSE,"",IF(LISTES!$A$17=1,Cotations!DR30,Cotations!DS30))</f>
        <v/>
      </c>
      <c r="TC30" s="285" t="str">
        <f t="shared" si="381"/>
        <v/>
      </c>
      <c r="TD30" s="300" t="str">
        <f>IF(A30=FALSE,"",Detail!CQ30)</f>
        <v/>
      </c>
      <c r="TE30" s="461" t="str">
        <f t="shared" si="382"/>
        <v/>
      </c>
      <c r="TF30" s="490" t="str">
        <f>IF(A30=FALSE,"",IF(TA30="FIXE",Cotations!DU30,Cotations!DV30*Y30))</f>
        <v/>
      </c>
      <c r="TG30" s="300" t="str">
        <f t="shared" si="383"/>
        <v/>
      </c>
      <c r="TH30" s="522" t="str">
        <f>IF(A30=FALSE,"",IF(Cotations!DT30="monthly",TG30/12*L30,TG30/365*M30))</f>
        <v/>
      </c>
      <c r="TI30" s="489" t="str">
        <f>IF(A30=FALSE,"",IF(Cotations!DW30="","",Cotations!DW30))</f>
        <v/>
      </c>
      <c r="TJ30" s="300" t="str">
        <f t="shared" si="384"/>
        <v/>
      </c>
      <c r="TK30" s="300" t="str">
        <f t="shared" si="385"/>
        <v/>
      </c>
      <c r="TL30" s="919" t="str">
        <f t="shared" si="386"/>
        <v/>
      </c>
      <c r="TM30" s="517" t="str">
        <f>IF(A30=FALSE,"",Cotations!DX30)</f>
        <v/>
      </c>
      <c r="TN30" s="517" t="str">
        <f>IF(A30=FALSE,"",Cotations!DY30)</f>
        <v/>
      </c>
      <c r="TO30" s="493" t="str">
        <f>IF(A30=FALSE,"",Cotations!DZ30)</f>
        <v/>
      </c>
      <c r="TP30" s="517" t="str">
        <f>IF(A30=FALSE,"",IF(TM30="N/A",0,IF(INDEX(LISTES!$F$105:$F$109,MATCH(TM30,LISTES!$C$105:$C$109,0))="FIX",IF(INDEX(LISTES!$E$105:$E$109,MATCH(TM30,LISTES!$C$105:$C$109,0))=12,TN30/12*L30,TN30/365*M30),TO30*TL30)))</f>
        <v/>
      </c>
      <c r="TQ30" s="294" t="str">
        <f t="shared" si="387"/>
        <v/>
      </c>
      <c r="TR30" s="494" t="str">
        <f>IF(A30=FALSE,"",TQ30*Cotations!EA30)</f>
        <v/>
      </c>
      <c r="TS30" s="494" t="str">
        <f>IF(A30=FALSE,"",TQ30*Cotations!EB30)</f>
        <v/>
      </c>
      <c r="TT30" s="338" t="str">
        <f t="shared" si="388"/>
        <v/>
      </c>
      <c r="TU30" s="919" t="str">
        <f>IF(A30=FALSE,"",((TG30*(1+TAXE)-(TG30*(1+TAXE)*TI30))+IF(TM30="N/A",0,IF(INDEX(LISTES!$F$105:$F$109,MATCH(TM30,LISTES!$C$105:$C$109,0))="FIX",TN30,TO30*TL30))))</f>
        <v/>
      </c>
      <c r="UA30" s="492" t="str">
        <f>IF(A30=FALSE,"",Cotations!D30)</f>
        <v/>
      </c>
      <c r="UB30" s="491" t="str">
        <f>IF(A30=FALSE,"",IF(LISTES!$A$17=1,Cotations!EC30,Cotations!ED30))</f>
        <v/>
      </c>
      <c r="UC30" s="285" t="str">
        <f t="shared" si="389"/>
        <v/>
      </c>
      <c r="UD30" s="300" t="str">
        <f>IF(A30=FALSE,"",Detail!CY30)</f>
        <v/>
      </c>
      <c r="UE30" s="461" t="str">
        <f t="shared" si="390"/>
        <v/>
      </c>
      <c r="UF30" s="490" t="str">
        <f>IF(A30=FALSE,"",IF(UA30="FIXE",Cotations!EF30,Cotations!EG30*Y30))</f>
        <v/>
      </c>
      <c r="UG30" s="300" t="str">
        <f t="shared" si="391"/>
        <v/>
      </c>
      <c r="UH30" s="522" t="str">
        <f>IF(A30=FALSE,"",IF(Cotations!EE30="monthly",UG30/12*L30,UG30/365*M30))</f>
        <v/>
      </c>
      <c r="UI30" s="489" t="str">
        <f>IF(A30=FALSE,"",IF(Cotations!EH30="","",Cotations!EH30))</f>
        <v/>
      </c>
      <c r="UJ30" s="300" t="str">
        <f t="shared" si="392"/>
        <v/>
      </c>
      <c r="UK30" s="300" t="str">
        <f t="shared" si="393"/>
        <v/>
      </c>
      <c r="UL30" s="919" t="str">
        <f t="shared" si="394"/>
        <v/>
      </c>
      <c r="UM30" s="517" t="str">
        <f>IF(A30=FALSE,"",Cotations!EI30)</f>
        <v/>
      </c>
      <c r="UN30" s="517" t="str">
        <f>IF(A30=FALSE,"",Cotations!EJ30)</f>
        <v/>
      </c>
      <c r="UO30" s="493" t="str">
        <f>IF(A30=FALSE,"",Cotations!EK30)</f>
        <v/>
      </c>
      <c r="UP30" s="517" t="str">
        <f>IF(A30=FALSE,"",IF(UM30="N/A",0,IF(INDEX(LISTES!$F$105:$F$109,MATCH(UM30,LISTES!$C$105:$C$109,0))="FIX",IF(INDEX(LISTES!$E$105:$E$109,MATCH(UM30,LISTES!$C$105:$C$109,0))=12,UN30/12*L30,UN30/365*M30),UO30*UL30)))</f>
        <v/>
      </c>
      <c r="UQ30" s="294" t="str">
        <f t="shared" si="395"/>
        <v/>
      </c>
      <c r="UR30" s="494" t="str">
        <f>IF(A30=FALSE,"",UQ30*Cotations!EL30)</f>
        <v/>
      </c>
      <c r="US30" s="494" t="str">
        <f>IF(A30=FALSE,"",UQ30*Cotations!EM30)</f>
        <v/>
      </c>
      <c r="UT30" s="338" t="str">
        <f t="shared" si="396"/>
        <v/>
      </c>
      <c r="UU30" s="919" t="str">
        <f>IF(A30=FALSE,"",((UG30*(1+TAXE)-(UG30*(1+TAXE)*UI30))+IF(UM30="N/A",0,IF(INDEX(LISTES!$F$105:$F$109,MATCH(UM30,LISTES!$C$105:$C$109,0))="FIX",UN30,UO30*UL30))))</f>
        <v/>
      </c>
      <c r="VA30" s="492" t="str">
        <f>IF(A30=FALSE,"",Cotations!D30)</f>
        <v/>
      </c>
      <c r="VB30" s="519" t="str">
        <f>IF(A30=FALSE,"",IF(LISTES!$A$17=1,Cotations!EN30,Cotations!EO30))</f>
        <v/>
      </c>
      <c r="VC30" s="291" t="str">
        <f t="shared" si="397"/>
        <v/>
      </c>
      <c r="VD30" s="291" t="str">
        <f t="shared" si="398"/>
        <v/>
      </c>
      <c r="VE30" s="291"/>
      <c r="VF30" s="463"/>
      <c r="VG30" s="463" t="str">
        <f t="shared" si="399"/>
        <v/>
      </c>
      <c r="VH30" s="522" t="str">
        <f>IF(A30=FALSE,"",IF(Cotations!$AQ$4="monthly",VG30/12*L30,VG30/365*M30))</f>
        <v/>
      </c>
      <c r="VI30" s="489" t="str">
        <f>IF(A30=FALSE,"",Cotations!$AR$4)</f>
        <v/>
      </c>
      <c r="VJ30" s="300" t="str">
        <f t="shared" si="400"/>
        <v/>
      </c>
      <c r="VK30" s="300" t="str">
        <f t="shared" si="401"/>
        <v/>
      </c>
      <c r="VL30" s="294" t="str">
        <f t="shared" si="402"/>
        <v/>
      </c>
      <c r="VM30" s="494" t="str">
        <f>IF(A30=FALSE,"",Cotations!$AS$4)</f>
        <v/>
      </c>
      <c r="VN30" s="494" t="str">
        <f>IF(A30=FALSE,"",Cotations!$AT$4)</f>
        <v/>
      </c>
      <c r="VO30" s="489" t="str">
        <f>IF(A30=FALSE,"",Cotations!$AU$4)</f>
        <v/>
      </c>
      <c r="VP30" s="494" t="str">
        <f>IF(A30=FALSE,"",IF(VM30="N/A",0,IF(INDEX(LISTES!$F$105:$F$109,MATCH(VM30,LISTES!$C$105:$C$109,0))="FIX",IF(INDEX(LISTES!$E$105:$E$109,MATCH(VM30,LISTES!$C$105:$C$109,0))=12,VN30/12*L30,VN30/365*M30),VO30*VL30)))</f>
        <v/>
      </c>
      <c r="VQ30" s="294" t="str">
        <f t="shared" si="403"/>
        <v/>
      </c>
      <c r="VR30" s="494" t="str">
        <f>IF(A30=FALSE,"",VQ30*Cotations!$AV$4)</f>
        <v/>
      </c>
      <c r="VS30" s="494" t="str">
        <f>IF(A30=FALSE,"",VQ30*Cotations!$AW$4)</f>
        <v/>
      </c>
      <c r="VT30" s="465" t="str">
        <f t="shared" si="404"/>
        <v/>
      </c>
      <c r="VU30" s="919" t="str">
        <f>IF(A30=FALSE,"",((VG30*TAXE)-(VG30*TAXE*VI30))+IF(VM30="N/A",0,IF(INDEX(LISTES!$F$105:$F$109,MATCH(VM30,LISTES!$C$105:$C$109,0))="FIX",VN30,VO30*VL30)))</f>
        <v/>
      </c>
      <c r="WA30" s="492" t="str">
        <f>IF(A30=FALSE,"",Cotations!D30)</f>
        <v/>
      </c>
      <c r="WB30" s="519" t="str">
        <f>IF(A30=FALSE,"",IF(LISTES!$A$17=1,Cotations!EW30,Cotations!EX30))</f>
        <v/>
      </c>
      <c r="WC30" s="291" t="str">
        <f t="shared" si="405"/>
        <v/>
      </c>
      <c r="WD30" s="291" t="str">
        <f t="shared" si="406"/>
        <v/>
      </c>
      <c r="WE30" s="291"/>
      <c r="WF30" s="463"/>
      <c r="WG30" s="463" t="str">
        <f t="shared" si="407"/>
        <v/>
      </c>
      <c r="WH30" s="522" t="str">
        <f>IF(A30=FALSE,"",IF(Cotations!$AQ$4="monthly",WG30/12*L30,WG30/365*M30))</f>
        <v/>
      </c>
      <c r="WI30" s="489" t="str">
        <f>IF(A30=FALSE,"",Cotations!$AR$4)</f>
        <v/>
      </c>
      <c r="WJ30" s="300" t="str">
        <f t="shared" si="408"/>
        <v/>
      </c>
      <c r="WK30" s="300" t="str">
        <f t="shared" si="409"/>
        <v/>
      </c>
      <c r="WL30" s="294" t="str">
        <f t="shared" si="410"/>
        <v/>
      </c>
      <c r="WM30" s="494" t="str">
        <f>IF(A30=FALSE,"",Cotations!$AS$4)</f>
        <v/>
      </c>
      <c r="WN30" s="494" t="str">
        <f>IF(A30=FALSE,"",Cotations!$AT$4)</f>
        <v/>
      </c>
      <c r="WO30" s="489" t="str">
        <f>IF(A30=FALSE,"",Cotations!$AU$4)</f>
        <v/>
      </c>
      <c r="WP30" s="494" t="str">
        <f>IF(A30=FALSE,"",IF(WM30="N/A",0,IF(INDEX(LISTES!$F$105:$F$109,MATCH(WM30,LISTES!$C$105:$C$109,0))="FIX",IF(INDEX(LISTES!$E$105:$E$109,MATCH(WM30,LISTES!$C$105:$C$109,0))=12,WN30/12*L30,WN30/365*M30),WO30*WL30)))</f>
        <v/>
      </c>
      <c r="WQ30" s="294" t="str">
        <f t="shared" si="411"/>
        <v/>
      </c>
      <c r="WR30" s="494" t="str">
        <f>IF(A30=FALSE,"",WQ30*Cotations!$AV$4)</f>
        <v/>
      </c>
      <c r="WS30" s="494" t="str">
        <f>IF(A30=FALSE,"",WQ30*Cotations!$AW$4)</f>
        <v/>
      </c>
      <c r="WT30" s="465" t="str">
        <f t="shared" si="412"/>
        <v/>
      </c>
      <c r="WU30" s="919" t="str">
        <f>IF(A30=FALSE,"",((WG30*TAXE)-(WG30*TAXE*WI30))+IF(WM30="N/A",0,IF(INDEX(LISTES!$F$105:$F$109,MATCH(WM30,LISTES!$C$105:$C$109,0))="FIX",WN30,WO30*WL30)))</f>
        <v/>
      </c>
    </row>
    <row r="31" spans="1:619">
      <c r="A31" s="942" t="b">
        <f t="shared" si="221"/>
        <v>0</v>
      </c>
      <c r="B31" s="942" t="b">
        <f>IF(NAMES!$B$9=TRUE,TRUE,FALSE)</f>
        <v>1</v>
      </c>
      <c r="C31" s="942" t="b">
        <f t="shared" si="413"/>
        <v>0</v>
      </c>
      <c r="D31" s="942" t="b">
        <f t="shared" si="414"/>
        <v>0</v>
      </c>
      <c r="E31" s="274" t="b">
        <f>IF(Cotations!C31="","",Cotations!C31)</f>
        <v>0</v>
      </c>
      <c r="F31" s="274" t="str">
        <f>IF(Cotations!D31="","",Cotations!D31)</f>
        <v>PROP</v>
      </c>
      <c r="G31" s="274" t="str">
        <f>IF(Cotations!E31="","",Cotations!E31)</f>
        <v>2016-2017!</v>
      </c>
      <c r="H31" s="274" t="str">
        <f>IF(Cotations!F31="","",Cotations!F31)</f>
        <v>SINGLE</v>
      </c>
      <c r="I31" s="274" t="str">
        <f>IF(Cotations!G31="","",Cotations!G31)</f>
        <v/>
      </c>
      <c r="J31" s="274" t="str">
        <f>IF(Cotations!H31="","",Cotations!H31)</f>
        <v/>
      </c>
      <c r="K31" s="274" t="str">
        <f>IF(Cotations!I31="","",Cotations!I31)</f>
        <v/>
      </c>
      <c r="L31" s="274" t="str">
        <f>IF(A31=FALSE,"",IF(Cotations!N31="","",Cotations!N31))</f>
        <v/>
      </c>
      <c r="M31" s="274" t="str">
        <f>IF(Cotations!P31="","",Cotations!P31)</f>
        <v/>
      </c>
      <c r="N31" s="724" t="str">
        <f>IF(NAMES!$B$10=TRUE,Cotations!J31,Cotations!L31)</f>
        <v/>
      </c>
      <c r="O31" s="724" t="str">
        <f>IF(NAMES!$B$10=TRUE,Cotations!K31,Cotations!M31)</f>
        <v/>
      </c>
      <c r="P31" s="943" t="str">
        <f t="shared" si="415"/>
        <v/>
      </c>
      <c r="Q31" s="724" t="str">
        <f>IF(A31=FALSE,"",IF(Crewlist!Y31="","",Crewlist!Y31))</f>
        <v/>
      </c>
      <c r="R31" s="78" t="str">
        <f>IF(Cotations!U31="","",Cotations!U31)</f>
        <v/>
      </c>
      <c r="S31" s="943" t="str">
        <f t="shared" si="416"/>
        <v/>
      </c>
      <c r="T31" s="919" t="str">
        <f>IF(A31=FALSE,"",VLOOKUP($U$15:$U$120,Currency!$A$2:$D$10,4,0)*Crewlist!N31)</f>
        <v/>
      </c>
      <c r="U31" s="1355" t="str">
        <f>IF(A31=FALSE,"",IF(IT31=0,Crewlist!M31&amp;"/"&amp;EX31,Crewlist!M31&amp;"/"&amp;IT31))</f>
        <v/>
      </c>
      <c r="V31" s="919" t="str">
        <f>IF(A31=FALSE,"",VLOOKUP($U$15:$U$120,Currency!$A$2:$D$10,4,0)*Detail!Q31)</f>
        <v/>
      </c>
      <c r="W31" s="1355" t="str">
        <f>IF(A31=FALSE,"",IF(IT31=0,Detail!R31&amp;"/"&amp;EX31,Detail!R31&amp;"/"&amp;IT31))</f>
        <v/>
      </c>
      <c r="X31" s="919" t="str">
        <f>IF(A31=FALSE,"",IF(LISTES!$C$17="Crewlist",Calcul!T31,Calcul!V31))</f>
        <v/>
      </c>
      <c r="Y31" s="758" t="str">
        <f t="shared" si="417"/>
        <v/>
      </c>
      <c r="Z31" s="758" t="str">
        <f>IF(A31=FALSE,"",IF(X31=0,0,IF((Cotations!BC31*12*X31)&lt;50000,50000,(12*X31))))</f>
        <v/>
      </c>
      <c r="AA31" s="758" t="str">
        <f t="shared" si="418"/>
        <v/>
      </c>
      <c r="AB31" s="758" t="str">
        <f>IF(A31=FALSE,"",IF(Crewlist!O31=0,"",Crewlist!O31))</f>
        <v/>
      </c>
      <c r="AC31" s="758" t="str">
        <f>IF(I31="","",VLOOKUP($AB$15:$AB$120,Currency!$A$15:$B$34,2,0))</f>
        <v/>
      </c>
      <c r="AD31" s="758" t="str">
        <f t="shared" si="419"/>
        <v/>
      </c>
      <c r="AE31" s="758" t="str">
        <f t="shared" si="420"/>
        <v/>
      </c>
      <c r="AF31" s="758" t="str">
        <f t="shared" si="421"/>
        <v/>
      </c>
      <c r="AG31" s="758" t="str">
        <f t="shared" si="422"/>
        <v/>
      </c>
      <c r="AH31" s="1355" t="str">
        <f t="shared" si="222"/>
        <v/>
      </c>
      <c r="AI31" s="919" t="str">
        <f t="shared" si="423"/>
        <v/>
      </c>
      <c r="AJ31" s="1382" t="str">
        <f t="shared" si="424"/>
        <v/>
      </c>
      <c r="AK31" s="1382" t="str">
        <f t="shared" si="425"/>
        <v/>
      </c>
      <c r="AL31" s="238" t="str">
        <f t="shared" si="223"/>
        <v/>
      </c>
      <c r="AM31" s="238" t="str">
        <f t="shared" si="224"/>
        <v/>
      </c>
      <c r="AN31" s="1374" t="str">
        <f t="shared" si="225"/>
        <v/>
      </c>
      <c r="AO31" s="238" t="str">
        <f t="shared" si="226"/>
        <v/>
      </c>
      <c r="AP31" s="342" t="str">
        <f>IF(A31=FALSE,"",INDEX(Rates!$Z$5:$Z$367,MATCH(EB31,colchoice,0)))</f>
        <v/>
      </c>
      <c r="AQ31" s="238" t="str">
        <f t="shared" si="227"/>
        <v/>
      </c>
      <c r="AR31" s="238" t="str">
        <f t="shared" si="426"/>
        <v/>
      </c>
      <c r="AS31" s="238" t="str">
        <f t="shared" si="427"/>
        <v/>
      </c>
      <c r="AT31" s="238" t="str">
        <f t="shared" si="428"/>
        <v/>
      </c>
      <c r="AU31" s="238" t="str">
        <f t="shared" si="228"/>
        <v/>
      </c>
      <c r="AV31" s="238" t="str">
        <f t="shared" si="429"/>
        <v/>
      </c>
      <c r="AW31" s="238" t="str">
        <f t="shared" si="229"/>
        <v/>
      </c>
      <c r="AX31" s="238" t="str">
        <f t="shared" si="230"/>
        <v/>
      </c>
      <c r="AY31" s="238" t="str">
        <f t="shared" si="231"/>
        <v/>
      </c>
      <c r="AZ31" s="238" t="str">
        <f t="shared" si="232"/>
        <v/>
      </c>
      <c r="BA31" s="238" t="str">
        <f t="shared" si="233"/>
        <v/>
      </c>
      <c r="BB31" s="552" t="str">
        <f t="shared" si="234"/>
        <v/>
      </c>
      <c r="BC31" s="347" t="str">
        <f t="shared" si="235"/>
        <v/>
      </c>
      <c r="BD31" s="239" t="str">
        <f t="shared" si="430"/>
        <v/>
      </c>
      <c r="BE31" s="239" t="str">
        <f>IF(A31=FALSE,"",IF(ALLTHESAME=TRUE,IF(DF31&lt;&gt;$BC$7,0,INDEX(DD31:DZ31,1,MATCH(Structure!$D$12,$DD$14:$DZ$14,0))),IF(EC31&lt;&gt;$BC$7,0,INDEX(EA31:EZ31,1,MATCH(Structure!$D$12,$EA$14:$EZ$14,0)))))</f>
        <v/>
      </c>
      <c r="BF31" s="239" t="str">
        <f>IF(A31=FALSE,"",IF(ALLTHESAME=TRUE,IF(FC31&lt;&gt;$BC$7,0,INDEX(FA31:FZ31,1,MATCH(Structure!$D$12,$FA$14:$FZ$14,0))),IF(GC31&lt;&gt;$BC$7,0,INDEX(GA31:GZ31,1,MATCH(Structure!$D$12,$GA$14:$GZ$14,0)))))</f>
        <v/>
      </c>
      <c r="BG31" s="239" t="str">
        <f>IF(A31=FALSE,"",IF(ALLTHESAME=TRUE,IF(VC31&lt;&gt;$BC$7,0,INDEX(VA31:VZ31,1,MATCH(Structure!$D$12,$VA$14:$VZ$14,0))),IF(VC31&lt;&gt;$BC$7,0,INDEX(VA31:VZ31,1,MATCH(Structure!$D$12,$VA$14:$VZ$14,0)))))</f>
        <v/>
      </c>
      <c r="BH31" s="239" t="str">
        <f>IF(A31=FALSE,"",IF(ALLTHESAME=TRUE,IF(WC31&lt;&gt;$BC$7,0,INDEX(WA31:WY31,1,MATCH(Structure!$D$12,$WA$14:$WZ$14,0))),IF(WC31&lt;&gt;$BC$7,0,INDEX(WA31:WZ31,1,MATCH(Structure!$D$12,$WA$14:$WZ$14,0)))))</f>
        <v/>
      </c>
      <c r="BI31" s="763" t="str">
        <f>IF(A31=FALSE,"",IF(ALLTHESAME=TRUE,IF(HC31&lt;&gt;$BC$7,0,INDEX(HA31:HZ31,1,MATCH(Structure!$D$12,$HA$14:$HZ$14,0)))+TK31,IF(IC31&lt;&gt;$BC$7,0,INDEX(IA31:IZ31,1,MATCH(Structure!$D$12,$IA$14:$IZ$14,0)))+TK31))</f>
        <v/>
      </c>
      <c r="BJ31" s="239" t="str">
        <f>IF(A31=FALSE,"",IF(ALLTHESAME=TRUE,IF(JC31&lt;&gt;$BC$7,0,INDEX(JA31:JZ31,1,MATCH(Structure!$D$12,$JA$14:$JZ$14,0))),IF(KC31&lt;&gt;$BC$7,0,INDEX(KA31:KZ31,1,MATCH(Structure!$D$12,$KA$14:$KZ$14,0)))))</f>
        <v/>
      </c>
      <c r="BK31" s="763" t="str">
        <f>IF(A31=FALSE,"",IF(ALLTHESAME=TRUE,IF(LC31&lt;&gt;$BC$7,0,INDEX(LA31:LZ31,1,MATCH(Structure!$D$12,$LA$14:$LZ$14,0)))+UK31,IF(MC31&lt;&gt;$BC$7,0,INDEX(MA31:MZ31,1,MATCH(Structure!$D$12,$MA$14:$MZ$14,0)))+UK31))</f>
        <v/>
      </c>
      <c r="BL31" s="239" t="str">
        <f>IF(A31=FALSE,"",IF(ALLTHESAME=TRUE,IF(NC31&lt;&gt;$BC$7,0,INDEX(NA31:NZ31,1,MATCH(Structure!$D$12,$NA$14:$NZ$14,0))),IF(OC31&lt;&gt;$BC$7,0,INDEX(OA31:OZ31,1,MATCH(Structure!$D$12,$OA$14:$OZ$14,0)))))</f>
        <v/>
      </c>
      <c r="BM31" s="239" t="str">
        <f>IF(A31=FALSE,"",IF(ALLTHESAME=TRUE,IF(PC31&lt;&gt;$BC$7,0,INDEX(PA31:PZ31,1,MATCH(Structure!$D$12,$PA$14:$PZ$14,0))),IF(QC31&lt;&gt;$BC$7,0,INDEX(QA31:QZ31,1,MATCH(Structure!$D$12,$QA$14:$QZ$14,0)))))</f>
        <v/>
      </c>
      <c r="BN31" s="341" t="str">
        <f>IF(A31=FALSE,"",IF(ALLTHESAME=TRUE,IF(RC31&lt;&gt;$BC$7,0,INDEX(RA31:RZ31,1,MATCH(Structure!$D$12,$RA$14:$RZ$14,0))),IF(SC31&lt;&gt;$BC$7,0,INDEX(SA31:TA31,1,MATCH(Structure!$D$12,$SA$14:$TA$14,0)))))</f>
        <v/>
      </c>
      <c r="BO31" s="507" t="str">
        <f t="shared" si="236"/>
        <v/>
      </c>
      <c r="BP31" s="239" t="str">
        <f t="shared" si="237"/>
        <v/>
      </c>
      <c r="BQ31" s="239" t="str">
        <f>IF(A31=FALSE,"",IF(ALLTHESAME=TRUE,IF(DF31&lt;&gt;$BO$7,0,INDEX(DD31:DZ31,1,MATCH(Structure!$D$12,$DD$14:$DZ$14,0))),IF(EC31&lt;&gt;$BO$7,0,INDEX(EA31:EZ31,1,MATCH(Structure!$D$12,$EA$14:$EZ$14,0)))))</f>
        <v/>
      </c>
      <c r="BR31" s="239" t="str">
        <f>IF(A31=FALSE,"",IF(ALLTHESAME=TRUE,IF(FC31&lt;&gt;$BO$7,0,INDEX(FA31:FZ31,1,MATCH(Structure!$D$12,$FA$14:$FZ$14,0))),IF(GC31&lt;&gt;$BO$7,0,INDEX(GA31:GZ31,1,MATCH(Structure!$D$12,$GA$14:$GZ$14,0)))))</f>
        <v/>
      </c>
      <c r="BS31" s="239" t="str">
        <f>IF(A31=FALSE,"",IF(ALLTHESAME=TRUE,IF(HC31&lt;&gt;$BO$7,0,INDEX(HA31:HZ31,1,MATCH(Structure!$D$12,$HA$14:$HZ$14,0))),IF(IC31&lt;&gt;$BO$7,0,INDEX(IA31:IZ31,1,MATCH(Structure!$D$12,$IA$14:$IZ$14,0)))))</f>
        <v/>
      </c>
      <c r="BT31" s="239" t="str">
        <f>IF(A31=FALSE,"",IF(ALLTHESAME=TRUE,IF(JC31&lt;&gt;$BO$7,0,INDEX(JA31:JZ31,1,MATCH(Structure!$D$12,$JA$14:$JZ$14,0))),IF(KC31&lt;&gt;$BO$7,0,INDEX(KA31:KZ31,1,MATCH(Structure!$D$12,$KA$14:$KZ$14,0)))))</f>
        <v/>
      </c>
      <c r="BU31" s="239" t="str">
        <f>IF(A31=FALSE,"",IF(ALLTHESAME=TRUE,IF(LC31&lt;&gt;$BO$7,0,INDEX(LA31:LZ31,1,MATCH(Structure!$D$12,$LA$14:$LZ$14,0))),IF(MC31&lt;&gt;$BO$7,0,INDEX(MA31:MZ31,1,MATCH(Structure!$D$12,$MA$14:$MZ$14,0)))))</f>
        <v/>
      </c>
      <c r="BV31" s="239" t="str">
        <f>IF(A31=FALSE,"",IF(ALLTHESAME=TRUE,IF(NC31&lt;&gt;$BO$7,0,INDEX(NA31:NZ31,1,MATCH(Structure!$D$12,$NA$14:$NZ$14,0))),IF(OC31&lt;&gt;$BO$7,0,INDEX(OA31:OZ31,1,MATCH(Structure!$D$12,$OA$14:$OZ$14,0)))))</f>
        <v/>
      </c>
      <c r="BW31" s="239" t="str">
        <f>IF(A31=FALSE,"",IF(ALLTHESAME=TRUE,IF(PC31&lt;&gt;$BO$7,0,INDEX(PA31:PZ31,1,MATCH(Structure!$D$12,$PA$14:$PZ$14,0))),IF(QC31&lt;&gt;$BO$7,0,INDEX(QA31:QZ31,1,MATCH(Structure!$D$12,$QA$14:$QZ$14,0)))))</f>
        <v/>
      </c>
      <c r="BX31" s="341" t="str">
        <f>IF(A31=FALSE,"",IF(ALLTHESAME=TRUE,IF(RC31&lt;&gt;$BO$7,0,INDEX(RA31:RZ31,1,MATCH(Structure!$D$12,$RA$14:$RZ$14,0))),IF(SC31&lt;&gt;$BO$7,0,INDEX(SA31:TA31,1,MATCH(Structure!$D$12,$SA$14:$TA$14,0)))))</f>
        <v/>
      </c>
      <c r="BY31" s="347" t="str">
        <f t="shared" si="238"/>
        <v/>
      </c>
      <c r="BZ31" s="507" t="str">
        <f t="shared" si="239"/>
        <v/>
      </c>
      <c r="CA31" s="239" t="str">
        <f t="shared" si="240"/>
        <v/>
      </c>
      <c r="CB31" s="239" t="str">
        <f>IF(A31=FALSE,"",IF(ALLTHESAME=TRUE,INDEX(DD31:DZ31,MATCH(DF31,DF31:DF136,0),MATCH(Structure!$D$17,$DD$14:$DZ$14,0)),INDEX(EA31:EZ31,MATCH(EC31,EC31:EC136,0),MATCH(Structure!$D$17,$EA$14:$EZ$14,0))))</f>
        <v/>
      </c>
      <c r="CC31" s="239" t="str">
        <f>IF(A31=FALSE,"",IF(ALLTHESAME=TRUE,INDEX(FA31:FZ31,MATCH(FC31,FC31:FC136,0),MATCH(Structure!$D$17,$FA$14:$FZ$14,0)),INDEX(GA31:GZ31,MATCH(GC31,GC31:GC136,0),MATCH(Structure!$D$17,$GA$14:$GZ$14,0))))</f>
        <v/>
      </c>
      <c r="CD31" s="239" t="str">
        <f>IF(A31=FALSE,"",IF(ALLTHESAME=TRUE,INDEX(HA31:HZ31,MATCH(HC31,HC31:HC136,0),MATCH(Structure!$D$17,$HA$14:$HZ$14,0)),INDEX(IA31:IZ31,MATCH(IC31,IC31:IC136,0),MATCH(Structure!$D$17,$IA$14:$IZ$14,0))))</f>
        <v/>
      </c>
      <c r="CE31" s="239" t="str">
        <f>IF(A31=FALSE,"",IF(ALLTHESAME=TRUE,INDEX(JA31:JZ31,MATCH(JC31,JC31:JC136,0),MATCH(Structure!$D$17,$JA$14:$JZ$14,0)),INDEX(KA31:KZ31,MATCH(KC31,KC31:KC136,0),MATCH(Structure!$D$17,$KA$14:$KZ$14,0))))</f>
        <v/>
      </c>
      <c r="CF31" s="239" t="str">
        <f>IF(A31=FALSE,"",IF(ALLTHESAME=TRUE,INDEX(LA31:LZ31,MATCH(LC31,LC31:LC136,0),MATCH(Structure!$D$17,$LA$14:$LZ$14,0)),INDEX(MA31:MZ31,MATCH(MC31,MC31:MC136,0),MATCH(Structure!$D$17,$MA$14:$MZ$14,0))))</f>
        <v/>
      </c>
      <c r="CG31" s="239" t="str">
        <f>IF(A31=FALSE,"",IF(ALLTHESAME=TRUE,INDEX(NA31:NZ31,MATCH(NC31,NC31:NC136,0),MATCH(Structure!$D$17,$NA$14:$NZ$14,0)),INDEX(OA31:OZ31,MATCH(OC31,OC31:OC136,0),MATCH(Structure!$D$17,$OA$14:$OZ$14,0))))</f>
        <v/>
      </c>
      <c r="CH31" s="239" t="str">
        <f>IF(A31=FALSE,"",IF(ALLTHESAME=TRUE,INDEX(PA31:PZ31,MATCH(PC31,PC31:PC136,0),MATCH(Structure!$D$17,$PA$14:$PZ$14,0)),INDEX(QA31:QZ31,MATCH(QC31,QC31:QC136,0),MATCH(Structure!$D$17,$QA$14:$QZ$14,0))))</f>
        <v/>
      </c>
      <c r="CI31" s="341" t="str">
        <f>IF(A31=FALSE,"",IF(ALLTHESAME=TRUE,INDEX(RA31:RZ31,MATCH(RC31,RC31:RC136,0),MATCH(Structure!$D$17,$RA$14:$RZ$14,0)),INDEX(SA31:TC31,MATCH(SC31,SC31:SC136,0),MATCH(Structure!$D$17,$SA$14:$TC$14,0))))</f>
        <v/>
      </c>
      <c r="CJ31" s="347"/>
      <c r="CK31" s="239" t="str">
        <f t="shared" si="241"/>
        <v/>
      </c>
      <c r="CL31" s="239" t="str">
        <f>IF(A31=FALSE,"",IF(ALLTHESAME=TRUE,INDEX(DD31:DZ31,MATCH(DF31,DF31:DF136,0),MATCH(Structure!$D$22,$DD$14:$DZ$14,0)),INDEX(EA31:EZ31,MATCH(EC31,EC31:EC136,0),MATCH(Structure!$D$22,$EA$14:$EZ$14,0))))</f>
        <v/>
      </c>
      <c r="CM31" s="239" t="str">
        <f>IF(A31=FALSE,"",IF(ALLTHESAME=TRUE,INDEX(FA31:FZ31,MATCH(FC31,FC31:FC136,0),MATCH(Structure!$D$22,$FA$14:$FZ$14,0)),INDEX(GA31:GZ31,MATCH(GC31,GC31:GC136,0),MATCH(Structure!$D$22,$GA$14:$GZ$14,0))))</f>
        <v/>
      </c>
      <c r="CN31" s="239" t="str">
        <f>IF(A31=FALSE,"",IF(ALLTHESAME=TRUE,INDEX(HA31:HZ31,MATCH(HC31,HC31:HC136,0),MATCH(Structure!$D$22,$HA$14:$HZ$14,0)),INDEX(IA31:IZ31,MATCH(IC31,IC31:IC136,0),MATCH(Structure!$D$22,$IA$14:$IZ$14,0))))</f>
        <v/>
      </c>
      <c r="CO31" s="239" t="str">
        <f>IF(A31=FALSE,"",IF(ALLTHESAME=TRUE,INDEX(JA31:JZ31,MATCH(JC31,JC31:JC136,0),MATCH(Structure!$D$22,$JA$14:$JZ$14,0)),INDEX(KA31:KZ31,MATCH(KC31,KC31:KC136,0),MATCH(Structure!$D$22,$KA$14:$KZ$14,0))))</f>
        <v/>
      </c>
      <c r="CP31" s="239" t="str">
        <f>IF(A31=FALSE,"",IF(ALLTHESAME=TRUE,INDEX(LA31:LZ31,MATCH(LC31,LC31:LC136,0),MATCH(Structure!$D$22,$LA$14:$LZ$14,0)),INDEX(MA31:MZ31,MATCH(MC31,MC31:MC136,0),MATCH(Structure!$D$22,$MA$14:$MZ$14,0))))</f>
        <v/>
      </c>
      <c r="CQ31" s="239" t="str">
        <f>IF(A31=FALSE,"",IF(ALLTHESAME=TRUE,INDEX(NA31:NZ31,MATCH(NC31,NC31:NC136,0),MATCH(Structure!$D$22,$NA$14:$NZ$14,0)),INDEX(OA31:OZ31,MATCH(OC31,OC31:OC136,0),MATCH(Structure!$D$22,$OA$14:$OZ$14,0))))</f>
        <v/>
      </c>
      <c r="CR31" s="239" t="str">
        <f>IF(A31=FALSE,"",IF(ALLTHESAME=TRUE,INDEX(PA31:PZ31,MATCH(PC31,PC31:PC136,0),MATCH(Structure!$D$22,$PA$14:$PZ$14,0)),INDEX(QA31:QZ31,MATCH(QC31,QC31:QC136,0),MATCH(Structure!$D$22,$QA$14:$QZ$14,0))))</f>
        <v/>
      </c>
      <c r="CS31" s="341" t="str">
        <f>IF(A31=FALSE,"",IF(ALLTHESAME=TRUE,INDEX(RA31:RZ31,MATCH(RC31,RC31:RC136,0),MATCH(Structure!$D$22,$RA$14:$RZ$14,0)),INDEX(SA31:TC31,MATCH(SC31,SC31:SC136,0),MATCH(Structure!$D$22,$SA$14:$TC$14,0))))</f>
        <v/>
      </c>
      <c r="CT31" s="347"/>
      <c r="CU31" s="239" t="str">
        <f t="shared" si="242"/>
        <v/>
      </c>
      <c r="CV31" s="239" t="str">
        <f>IF(A31=FALSE,"",IF(ALLTHESAME=TRUE,INDEX(DD31:DZ31,MATCH(DF31,DF31:DF136,0),MATCH(Structure!$D$8,$DD$14:$DZ$14,0)),INDEX(EA31:EZ31,MATCH(EC31,EC31:EC136,0),MATCH(Structure!$D$8,$EA$14:$EZ$14,0))))</f>
        <v/>
      </c>
      <c r="CW31" s="239" t="str">
        <f>IF(A31=FALSE,"",IF(ALLTHESAME=TRUE,INDEX(FA31:FZ31,MATCH(FC31,FC31:FC136,0),MATCH(Structure!$D$8,$FA$14:$FZ$14,0)),INDEX(GA31:GZ31,MATCH(GC31,GC31:GC136,0),MATCH(Structure!$D$8,$GA$14:$GZ$14,0))))</f>
        <v/>
      </c>
      <c r="CX31" s="239" t="str">
        <f>IF(A31=FALSE,"",IF(ALLTHESAME=TRUE,INDEX(HA31:HZ31,MATCH(HC31,HC31:HC136,0),MATCH(Structure!$D$8,$HA$14:$HZ$14,0)),INDEX(IA31:IZ31,MATCH(IC31,IC31:IC136,0),MATCH(Structure!$D$8,$IA$14:$IZ$14,0))))</f>
        <v/>
      </c>
      <c r="CY31" s="239" t="str">
        <f>IF(A31=FALSE,"",IF(ALLTHESAME=TRUE,INDEX(JA31:JZ31,MATCH(JC31,JC31:JC136,0),MATCH(Structure!$D$8,$JA$14:$JZ$14,0)),INDEX(KA31:KZ31,MATCH(KC31,KC31:KC136,0),MATCH(Structure!$D$8,$KA$14:$KZ$14,0))))</f>
        <v/>
      </c>
      <c r="CZ31" s="239" t="str">
        <f>IF(A31=FALSE,"",IF(ALLTHESAME=TRUE,INDEX(LA31:LZ31,MATCH(LC31,LC31:LC136,0),MATCH(Structure!$D$8,$LA$14:$LZ$14,0)),INDEX(MA31:MZ31,MATCH(MC31,MC31:MC136,0),MATCH(Structure!$D$8,$MA$14:$MZ$14,0))))</f>
        <v/>
      </c>
      <c r="DA31" s="239" t="str">
        <f>IF(A31=FALSE,"",IF(ALLTHESAME=TRUE,INDEX(NA31:NZ31,MATCH(NC31,NC31:NC136,0),MATCH(Structure!$D$8,$NA$14:$NZ$14,0)),INDEX(OA31:OZ31,MATCH(OC31,OC31:OC136,0),MATCH(Structure!$D$8,$OA$14:$OZ$14,0))))</f>
        <v/>
      </c>
      <c r="DB31" s="239" t="str">
        <f>IF(A31=FALSE,"",IF(ALLTHESAME=TRUE,INDEX(PA31:PZ31,MATCH(PC31,PC31:PC136,0),MATCH(Structure!$D$8,$PA$14:$PZ$14,0)),INDEX(QA31:QZ31,MATCH(QC31,QC31:QC136,0),MATCH(Structure!$D$8,$QA$14:$QZ$14,0))))</f>
        <v/>
      </c>
      <c r="DC31" s="341" t="str">
        <f>IF(A31=FALSE,"",IF(ALLTHESAME=TRUE,INDEX(RA31:RZ31,MATCH(RC31,RC31:RC136,0),MATCH(Structure!$D$8,$RA$14:$RZ$14,0)),INDEX(SA31:TC31,MATCH(SC31,SC31:SC136,0),MATCH(Structure!$D$8,$SA$14:$TC$14,0))))</f>
        <v/>
      </c>
      <c r="DD31" s="492" t="str">
        <f>IF(A31=FALSE,"",Cotations!D31)</f>
        <v/>
      </c>
      <c r="DE31" s="492" t="str">
        <f>IF(A31=FALSE,"",IF(LISTES!$A$17=1,Cotations!AF31,Cotations!$AG$4))</f>
        <v/>
      </c>
      <c r="DF31" s="291" t="str">
        <f t="shared" si="431"/>
        <v/>
      </c>
      <c r="DG31" s="291" t="str">
        <f t="shared" si="243"/>
        <v/>
      </c>
      <c r="DH31" s="291"/>
      <c r="DI31" s="463"/>
      <c r="DJ31" s="463" t="str">
        <f t="shared" si="244"/>
        <v/>
      </c>
      <c r="DK31" s="522" t="str">
        <f>IF(A31=FALSE,"",IF(Cotations!$AH$4="monthly",DJ31/12*L31,DJ31/365*M31))</f>
        <v/>
      </c>
      <c r="DL31" s="489" t="str">
        <f>IF(A31=FALSE,"",Cotations!$AI$4)</f>
        <v/>
      </c>
      <c r="DM31" s="300" t="str">
        <f t="shared" si="245"/>
        <v/>
      </c>
      <c r="DN31" s="300" t="str">
        <f t="shared" si="246"/>
        <v/>
      </c>
      <c r="DO31" s="294" t="str">
        <f t="shared" si="247"/>
        <v/>
      </c>
      <c r="DP31" s="494" t="str">
        <f>IF(A31=FALSE,"",Cotations!$AJ$4)</f>
        <v/>
      </c>
      <c r="DQ31" s="494" t="str">
        <f>IF(A31=FALSE,"",Cotations!$AK$4)</f>
        <v/>
      </c>
      <c r="DR31" s="489" t="str">
        <f>IF(A31=FALSE,"",Cotations!$AL$4)</f>
        <v/>
      </c>
      <c r="DS31" s="494" t="str">
        <f>IF(A31=FALSE,"",IF(DP31="N/A",0,IF(INDEX(LISTES!$F$105:$F$109,MATCH(DP31,LISTES!$C$105:$C$109,0))="FIX",IF(INDEX(LISTES!$E$105:$E$109,MATCH(DP31,LISTES!$C$105:$C$109,0))=12,DQ31/12*L31,DQ31/365*M31),DR31*DO31)))</f>
        <v/>
      </c>
      <c r="DT31" s="294" t="str">
        <f t="shared" si="248"/>
        <v/>
      </c>
      <c r="DU31" s="294" t="str">
        <f>IF(A31=FALSE,"",DT31*Cotations!$AM$4)</f>
        <v/>
      </c>
      <c r="DV31" s="294" t="str">
        <f>IF(A31=FALSE,"",DT31*Cotations!$AN$4)</f>
        <v/>
      </c>
      <c r="DW31" s="465" t="str">
        <f t="shared" si="249"/>
        <v/>
      </c>
      <c r="DX31" s="919" t="str">
        <f>IF(A31=FALSE,"",((DJ31*TAXE)-(DJ31*TAXE*DL31))+IF(DP31="N/A",0,IF(INDEX(LISTES!$F$105:$F$109,MATCH(DP31,LISTES!$C$105:$C$109,0))="FIX",DQ31,DR31*DO31)))</f>
        <v/>
      </c>
      <c r="DY31" s="466"/>
      <c r="DZ31" s="466"/>
      <c r="EA31" s="492" t="str">
        <f>IF(A31=FALSE,"",Cotations!D31)</f>
        <v/>
      </c>
      <c r="EB31" s="494" t="str">
        <f>IF(A31=FALSE,"",IF(LISTES!$A$17=1,Cotations!AF31,Cotations!AG31))</f>
        <v/>
      </c>
      <c r="EC31" s="284" t="str">
        <f t="shared" si="250"/>
        <v/>
      </c>
      <c r="ED31" s="284" t="str">
        <f t="shared" si="251"/>
        <v/>
      </c>
      <c r="EE31" s="284"/>
      <c r="EF31" s="284"/>
      <c r="EG31" s="284" t="str">
        <f t="shared" si="252"/>
        <v/>
      </c>
      <c r="EH31" s="1365" t="str">
        <f t="shared" si="253"/>
        <v/>
      </c>
      <c r="EI31" s="1365" t="str">
        <f t="shared" si="254"/>
        <v/>
      </c>
      <c r="EJ31" s="515" t="str">
        <f>IF(A31=FALSE,"",IF(Cotations!AH31="monthly",EG31/12*L31,EG31/365*M31))</f>
        <v/>
      </c>
      <c r="EK31" s="1364" t="str">
        <f>IF(A31=FALSE,"",IF(Cotations!AH31="monthly",EI31/12*L31,EI31/365*M31))</f>
        <v/>
      </c>
      <c r="EL31" s="493" t="str">
        <f>IF(A31=FALSE,"",IF(Cotations!AI31="","",Cotations!AI31))</f>
        <v/>
      </c>
      <c r="EM31" s="284" t="str">
        <f t="shared" si="255"/>
        <v/>
      </c>
      <c r="EN31" s="284" t="str">
        <f t="shared" si="256"/>
        <v/>
      </c>
      <c r="EO31" s="1365" t="str">
        <f t="shared" si="432"/>
        <v/>
      </c>
      <c r="EP31" s="284" t="str">
        <f t="shared" si="257"/>
        <v/>
      </c>
      <c r="EQ31" s="515" t="str">
        <f>IF(A31=FALSE,"",Cotations!AJ31)</f>
        <v/>
      </c>
      <c r="ER31" s="515" t="str">
        <f>IF(A31=FALSE,"",IF(Cotations!AK31="","",Cotations!AK31))</f>
        <v/>
      </c>
      <c r="ES31" s="493" t="str">
        <f>IF(A31=FALSE,"",Cotations!AL31)</f>
        <v/>
      </c>
      <c r="ET31" s="515" t="str">
        <f>IF(A31=FALSE,"",IF(EQ31="N/A",0,IF(INDEX(LISTES!$F$105:$F$109,MATCH(EQ31,LISTES!$C$105:$C$109,0))="FIX",IF(INDEX(LISTES!$E$105:$E$109,MATCH(EQ31,LISTES!$C$105:$C$109,0))=12,ER31/12*L31,ER31/365*M31),ES31*EP31)))</f>
        <v/>
      </c>
      <c r="EU31" s="294" t="str">
        <f t="shared" si="258"/>
        <v/>
      </c>
      <c r="EV31" s="494" t="str">
        <f>IF(A31=FALSE,"",EU31*Cotations!AM31)</f>
        <v/>
      </c>
      <c r="EW31" s="494" t="str">
        <f>IF(A31=FALSE,"",EU31*Cotations!AN31)</f>
        <v/>
      </c>
      <c r="EX31" s="334" t="str">
        <f t="shared" si="259"/>
        <v/>
      </c>
      <c r="EY31" s="919" t="str">
        <f>IF(A31=FALSE,"",((EG31*TAXE)-(EG31*TAXE*EL31)+EH31)+IF(EQ31="N/A",0,IF(INDEX(LISTES!$F$105:$F$109,MATCH(EQ31,LISTES!$C$105:$C$109,0))="FIX",ER31,ES31*EP31)))</f>
        <v/>
      </c>
      <c r="FA31" s="492" t="str">
        <f>IF(A31=FALSE,"",Cotations!D31)</f>
        <v/>
      </c>
      <c r="FB31" s="519" t="str">
        <f>IF(A31=FALSE,"",IF(LISTES!$A$17=1,Cotations!AO31,Cotations!$AP$4))</f>
        <v/>
      </c>
      <c r="FC31" s="291" t="str">
        <f t="shared" si="260"/>
        <v/>
      </c>
      <c r="FD31" s="291" t="str">
        <f t="shared" si="261"/>
        <v/>
      </c>
      <c r="FE31" s="291"/>
      <c r="FF31" s="463"/>
      <c r="FG31" s="463" t="str">
        <f t="shared" si="262"/>
        <v/>
      </c>
      <c r="FH31" s="522" t="str">
        <f>IF(A31=FALSE,"",IF(Cotations!$AQ$4="monthly",FG31/12*L31,FG31/365*M31))</f>
        <v/>
      </c>
      <c r="FI31" s="453" t="str">
        <f>IF(A31=FALSE,"",Cotations!$AR$4)</f>
        <v/>
      </c>
      <c r="FJ31" s="300" t="str">
        <f t="shared" si="263"/>
        <v/>
      </c>
      <c r="FK31" s="300" t="str">
        <f t="shared" si="264"/>
        <v/>
      </c>
      <c r="FL31" s="294" t="str">
        <f t="shared" si="265"/>
        <v/>
      </c>
      <c r="FM31" s="494" t="str">
        <f>IF(A31=FALSE,"",Cotations!$AS$4)</f>
        <v/>
      </c>
      <c r="FN31" s="494" t="str">
        <f>IF(A31=FALSE,"",Cotations!$AT$4)</f>
        <v/>
      </c>
      <c r="FO31" s="489" t="str">
        <f>IF(A31=FALSE,"",Cotations!$AU$4)</f>
        <v/>
      </c>
      <c r="FP31" s="494" t="str">
        <f>IF(A31=FALSE,"",IF(FM31="N/A",0,IF(INDEX(LISTES!$F$105:$F$109,MATCH(FM31,LISTES!$C$105:$C$109,0))="FIX",IF(INDEX(LISTES!$E$105:$E$109,MATCH(FM31,LISTES!$C$105:$C$109,0))=12,FN31/12*L31,FN31/365*M31),FO31*FL31)))</f>
        <v/>
      </c>
      <c r="FQ31" s="294" t="str">
        <f t="shared" si="266"/>
        <v/>
      </c>
      <c r="FR31" s="494" t="str">
        <f>IF(A31=FALSE,"",FQ31*Cotations!$AV$4)</f>
        <v/>
      </c>
      <c r="FS31" s="494" t="str">
        <f>IF(A31=FALSE,"",FQ31*Cotations!$AW$4)</f>
        <v/>
      </c>
      <c r="FT31" s="465" t="str">
        <f t="shared" si="267"/>
        <v/>
      </c>
      <c r="FU31" s="919" t="str">
        <f>IF(A31=FALSE,"",((FG31*TAXE)-(FG31*TAXE*FI31))+IF(FM31="N/A",0,IF(INDEX(LISTES!$F$105:$F$109,MATCH(FM31,LISTES!$C$105:$C$109,0))="FIX",FN31,FO31*FL31)))</f>
        <v/>
      </c>
      <c r="FV31" s="478"/>
      <c r="FW31" s="478"/>
      <c r="FX31" s="478"/>
      <c r="FY31" s="478"/>
      <c r="FZ31" s="478"/>
      <c r="GA31" s="492" t="str">
        <f>IF(A31=FALSE,"",Cotations!D31)</f>
        <v/>
      </c>
      <c r="GB31" s="494" t="str">
        <f>IF(A31=FALSE,"",IF(LISTES!$A$17=1,Cotations!AO31,Cotations!AP31))</f>
        <v/>
      </c>
      <c r="GC31" s="284" t="str">
        <f t="shared" si="268"/>
        <v/>
      </c>
      <c r="GD31" s="515" t="str">
        <f>IF(A31=FALSE,"",IF(Detail!AM31="","",Detail!AM31))</f>
        <v/>
      </c>
      <c r="GE31" s="284"/>
      <c r="GF31" s="284"/>
      <c r="GG31" s="284" t="str">
        <f t="shared" si="269"/>
        <v/>
      </c>
      <c r="GH31" s="515" t="str">
        <f>IF(A31=FALSE,"",IF(Cotations!AQ31="monthly",GG31/12*L31,GG31/365*M31))</f>
        <v/>
      </c>
      <c r="GI31" s="493" t="str">
        <f>IF(A31=FALSE,"",IF(Cotations!AR31="","",Cotations!AR31))</f>
        <v/>
      </c>
      <c r="GJ31" s="284" t="str">
        <f t="shared" si="270"/>
        <v/>
      </c>
      <c r="GK31" s="284" t="str">
        <f t="shared" si="271"/>
        <v/>
      </c>
      <c r="GL31" s="284" t="str">
        <f t="shared" si="272"/>
        <v/>
      </c>
      <c r="GM31" s="515" t="str">
        <f>IF(A31=FALSE,"",Cotations!AS31)</f>
        <v/>
      </c>
      <c r="GN31" s="515" t="str">
        <f>IF(A31=FALSE,"",Cotations!AT31)</f>
        <v/>
      </c>
      <c r="GO31" s="493" t="str">
        <f>IF(A31=FALSE,"",Cotations!AU31)</f>
        <v/>
      </c>
      <c r="GP31" s="515" t="str">
        <f>IF(A31=FALSE,"",IF(GM31="N/A",0,IF(INDEX(LISTES!$F$105:$F$109,MATCH(GM31,LISTES!$C$105:$C$109,0))="FIX",IF(INDEX(LISTES!$E$105:$E$109,MATCH(GM31,LISTES!$C$105:$C$109,0))=12,GN31/12*L31,GN31/365*M31),GO31*GL31)))</f>
        <v/>
      </c>
      <c r="GQ31" s="294" t="str">
        <f t="shared" si="273"/>
        <v/>
      </c>
      <c r="GR31" s="494" t="str">
        <f>IF(A31=FALSE,"",GQ31*Cotations!AV31)</f>
        <v/>
      </c>
      <c r="GS31" s="494" t="str">
        <f>IF(A31=FALSE,"",GQ31*Cotations!AW31)</f>
        <v/>
      </c>
      <c r="GT31" s="334" t="str">
        <f t="shared" si="274"/>
        <v/>
      </c>
      <c r="GU31" s="919" t="str">
        <f>IF(A31=FALSE,"",((GG31*TAXE)-(GG31*TAXE*GI31))+IF(GM31="N/A",0,IF(INDEX(LISTES!$F$105:$F$109,MATCH(GM31,LISTES!$C$105:$C$109,0))="FIX",GN31,GO31*GL31)))</f>
        <v/>
      </c>
      <c r="GV31" s="478"/>
      <c r="GW31" s="466"/>
      <c r="GX31" s="466"/>
      <c r="GY31" s="466"/>
      <c r="GZ31" s="466"/>
      <c r="HA31" s="492" t="str">
        <f>IF(A31=FALSE,"",Cotations!D31)</f>
        <v/>
      </c>
      <c r="HB31" s="495" t="str">
        <f>IF(A31=FALSE,"",IF(LISTES!$A$17=1,Cotations!AX31,Cotations!$AY$4))</f>
        <v/>
      </c>
      <c r="HC31" s="291" t="str">
        <f t="shared" si="275"/>
        <v/>
      </c>
      <c r="HD31" s="291" t="str">
        <f t="shared" si="276"/>
        <v/>
      </c>
      <c r="HE31" s="456" t="str">
        <f t="shared" si="277"/>
        <v/>
      </c>
      <c r="HF31" s="496" t="str">
        <f>IF(A31=FALSE,"",IF(HA31="POEA",Cotations!BA31,IF(HA31="FIXE",Cotations!$BA$4,Cotations!$BC$4*Y31)))</f>
        <v/>
      </c>
      <c r="HG31" s="300" t="str">
        <f t="shared" si="278"/>
        <v/>
      </c>
      <c r="HH31" s="522" t="str">
        <f>IF(A31=FALSE,"",IF(Cotations!$AZ$4="monthly",HG31/12*L31,HG31/365*M31))</f>
        <v/>
      </c>
      <c r="HI31" s="489" t="str">
        <f>IF(A31=FALSE,"",Cotations!$BD$4)</f>
        <v/>
      </c>
      <c r="HJ31" s="300" t="str">
        <f t="shared" si="279"/>
        <v/>
      </c>
      <c r="HK31" s="300" t="str">
        <f t="shared" si="280"/>
        <v/>
      </c>
      <c r="HL31" s="294" t="str">
        <f t="shared" si="281"/>
        <v/>
      </c>
      <c r="HM31" s="494" t="str">
        <f>IF(A31=FALSE,"",Cotations!$BE$4)</f>
        <v/>
      </c>
      <c r="HN31" s="522" t="str">
        <f>IF(A31=FALSE,"",Cotations!$BF$4)</f>
        <v/>
      </c>
      <c r="HO31" s="489" t="str">
        <f>IF(A31=FALSE,"",Cotations!$BG$4)</f>
        <v/>
      </c>
      <c r="HP31" s="494" t="str">
        <f>IF(A31=FALSE,"",IF(HM31="N/A",0,IF(INDEX(LISTES!$F$105:$F$109,MATCH(HM31,LISTES!$C$105:$C$109,0))="FIX",IF(INDEX(LISTES!$E$105:$E$109,MATCH(HM31,LISTES!$C$105:$C$109,0))=12,HN31/12*L31,HN31/365*M31),HO31*HL31)))</f>
        <v/>
      </c>
      <c r="HQ31" s="294" t="str">
        <f t="shared" si="282"/>
        <v/>
      </c>
      <c r="HR31" s="494" t="str">
        <f>IF(A31=FALSE,"",HQ31*Cotations!$BH$4)</f>
        <v/>
      </c>
      <c r="HS31" s="494" t="str">
        <f>IF(A31=FALSE,"",HQ31*Cotations!$BI$4)</f>
        <v/>
      </c>
      <c r="HT31" s="294" t="str">
        <f t="shared" si="283"/>
        <v/>
      </c>
      <c r="HU31" s="919" t="str">
        <f>IF(A31=FALSE,"",((HG31*TAXE)-(HG31*TAXE*HI31))+IF(HM31="N/A",0,IF(INDEX(LISTES!$F$105:$F$109,MATCH(HM31,LISTES!$C$105:$C$109,0))="FIX",HN31,HO31*HL31)))</f>
        <v/>
      </c>
      <c r="IA31" s="492" t="str">
        <f>IF(A31=FALSE,"",Cotations!D31)</f>
        <v/>
      </c>
      <c r="IB31" s="491" t="str">
        <f>IF(A31=FALSE,"",IF(LISTES!$A$17=1,Cotations!AX31,Cotations!AY31))</f>
        <v/>
      </c>
      <c r="IC31" s="285" t="str">
        <f t="shared" si="284"/>
        <v/>
      </c>
      <c r="ID31" s="300" t="str">
        <f>IF(A31=FALSE,"",IF(LISTES!$A$17=3,Detail!AU31,lig1_Formula_PREVOY))</f>
        <v/>
      </c>
      <c r="IE31" s="461" t="str">
        <f t="shared" si="285"/>
        <v/>
      </c>
      <c r="IF31" s="490" t="str">
        <f>IF(A31=FALSE,"",IF(IA31="POEA",Cotations!BA31,IF(HA31="FIXE",Cotations!BB31,IF(Cotations!BC31*Y31&lt;50000,Z31,Cotations!BC31*Y31))))</f>
        <v/>
      </c>
      <c r="IG31" s="300" t="str">
        <f t="shared" si="286"/>
        <v/>
      </c>
      <c r="IH31" s="522" t="str">
        <f>IF(A31=FALSE,"",IF(Cotations!AZ31="monthly",IG31/12*L31,IG31/365*M31))</f>
        <v/>
      </c>
      <c r="II31" s="489" t="str">
        <f>IF(A31=FALSE,"",IF(Cotations!BD31="","",Cotations!BD31))</f>
        <v/>
      </c>
      <c r="IJ31" s="300" t="str">
        <f t="shared" si="287"/>
        <v/>
      </c>
      <c r="IK31" s="300" t="str">
        <f t="shared" si="288"/>
        <v/>
      </c>
      <c r="IL31" s="919" t="str">
        <f t="shared" si="289"/>
        <v/>
      </c>
      <c r="IM31" s="517" t="str">
        <f>IF(A31=FALSE,"",Cotations!BE31)</f>
        <v/>
      </c>
      <c r="IN31" s="517" t="str">
        <f>IF(A31=FALSE,"",Cotations!BF31)</f>
        <v/>
      </c>
      <c r="IO31" s="493" t="str">
        <f>IF(A31=FALSE,"",Cotations!BG31)</f>
        <v/>
      </c>
      <c r="IP31" s="517" t="str">
        <f>IF(A31=FALSE,"",IF(IM31="N/A",0,IF(INDEX(LISTES!$F$105:$F$109,MATCH(IM31,LISTES!$C$105:$C$109,0))="FIX",IF(INDEX(LISTES!$E$105:$E$109,MATCH(IM31,LISTES!$C$105:$C$109,0))=12,IN31/12*L31,IN31/365*M31),IO31*IL31)))</f>
        <v/>
      </c>
      <c r="IQ31" s="294" t="str">
        <f t="shared" si="290"/>
        <v/>
      </c>
      <c r="IR31" s="494" t="str">
        <f>IF(A31=FALSE,"",IQ31*Cotations!BH31)</f>
        <v/>
      </c>
      <c r="IS31" s="494" t="str">
        <f>IF(A31=FALSE,"",IQ31*Cotations!BI31)</f>
        <v/>
      </c>
      <c r="IT31" s="338" t="str">
        <f t="shared" si="291"/>
        <v/>
      </c>
      <c r="IU31" s="919" t="str">
        <f>IF(A31=FALSE,"",((IG31*TAXE)-(IG31*TAXE*II31))+IF(IM31="N/A",0,IF(INDEX(LISTES!$F$105:$F$109,MATCH(IM31,LISTES!$C$105:$C$109,0))="FIX",IN31,IO31*IL31)))</f>
        <v/>
      </c>
      <c r="JA31" s="492" t="str">
        <f>IF(A31=FALSE,"",Cotations!D31)</f>
        <v/>
      </c>
      <c r="JB31" s="495" t="str">
        <f>IF(A31=FALSE,"",IF(LISTES!$A$17=1,Cotations!BJ31,Cotations!$BK$4))</f>
        <v/>
      </c>
      <c r="JC31" s="291" t="str">
        <f t="shared" si="292"/>
        <v/>
      </c>
      <c r="JD31" s="291" t="str">
        <f t="shared" si="293"/>
        <v/>
      </c>
      <c r="JE31" s="456" t="str">
        <f t="shared" si="294"/>
        <v/>
      </c>
      <c r="JF31" s="496" t="str">
        <f>IF(A31=FALSE,"",IF(JA31="POEA",Cotations!BM31,IF(JA31="FIXE",Cotations!$BM$4,Cotations!$BO$4*Y31)))</f>
        <v/>
      </c>
      <c r="JG31" s="300" t="str">
        <f t="shared" si="295"/>
        <v/>
      </c>
      <c r="JH31" s="522" t="str">
        <f>IF(A31=FALSE,"",IF(Cotations!$BL$4="monthly",JG31/12*L31,JG31/365*M31))</f>
        <v/>
      </c>
      <c r="JI31" s="489" t="str">
        <f>IF(A31=FALSE,"",Cotations!$BP$4)</f>
        <v/>
      </c>
      <c r="JJ31" s="300" t="str">
        <f t="shared" si="296"/>
        <v/>
      </c>
      <c r="JK31" s="300" t="str">
        <f t="shared" si="297"/>
        <v/>
      </c>
      <c r="JL31" s="294" t="str">
        <f t="shared" si="298"/>
        <v/>
      </c>
      <c r="JM31" s="494" t="str">
        <f>IF(A31=FALSE,"",Cotations!$BQ$4)</f>
        <v/>
      </c>
      <c r="JN31" s="522" t="str">
        <f>IF(A31=FALSE,"",Cotations!$BR$4)</f>
        <v/>
      </c>
      <c r="JO31" s="489" t="str">
        <f>IF(A31=FALSE,"",Cotations!$BS$4)</f>
        <v/>
      </c>
      <c r="JP31" s="494" t="str">
        <f>IF(A31=FALSE,"",IF(JM31="N/A",0,IF(INDEX(LISTES!$F$105:$F$109,MATCH(JM31,LISTES!$C$105:$C$109,0))="FIX",IF(INDEX(LISTES!$E$105:$E$109,MATCH(JM31,LISTES!$C$105:$C$109,0))=12,JN31/12*L31,JN31/365*M31),JO31*JL31)))</f>
        <v/>
      </c>
      <c r="JQ31" s="294" t="str">
        <f t="shared" si="299"/>
        <v/>
      </c>
      <c r="JR31" s="494" t="str">
        <f>IF(A31=FALSE,"",JQ31*Cotations!$BT$4)</f>
        <v/>
      </c>
      <c r="JS31" s="494" t="str">
        <f>IF(A31=FALSE,"",JQ31*Cotations!$BU$4)</f>
        <v/>
      </c>
      <c r="JT31" s="294" t="str">
        <f t="shared" si="300"/>
        <v/>
      </c>
      <c r="JU31" s="919" t="str">
        <f>IF(A31=FALSE,"",((JG31*TAXE)-(JG31*TAXE*JI31))+IF(JM31="N/A",0,IF(INDEX(LISTES!$F$105:$F$109,MATCH(JM31,LISTES!$C$105:$C$109,0))="FIX",JN31,JO31*JL31)))</f>
        <v/>
      </c>
      <c r="KA31" s="492" t="str">
        <f>IF(A31=FALSE,"",Cotations!D31)</f>
        <v/>
      </c>
      <c r="KB31" s="491" t="str">
        <f>IF(A31=FALSE,"",IF(LISTES!$A$17=1,Cotations!BJ31,Cotations!BK31))</f>
        <v/>
      </c>
      <c r="KC31" s="285" t="str">
        <f t="shared" si="301"/>
        <v/>
      </c>
      <c r="KD31" s="300"/>
      <c r="KE31" s="461" t="str">
        <f t="shared" si="302"/>
        <v/>
      </c>
      <c r="KF31" s="490" t="str">
        <f>IF(A31=FALSE,"",IF(KA31="POEA",Cotations!BM31,IF(KA31="FIXE",Cotations!BN31,IF(Cotations!BO31*Y31&lt;50000,Z31,Cotations!BO31*Y31))))</f>
        <v/>
      </c>
      <c r="KG31" s="300" t="str">
        <f t="shared" si="303"/>
        <v/>
      </c>
      <c r="KH31" s="522" t="str">
        <f>IF(A31=FALSE,"",IF(Cotations!BL31="monthly",KG31/12*L31,KG31/365*M31))</f>
        <v/>
      </c>
      <c r="KI31" s="489" t="str">
        <f>IF(A31=FALSE,"",IF(Cotations!BP31="","",Cotations!BP31))</f>
        <v/>
      </c>
      <c r="KJ31" s="300" t="str">
        <f t="shared" si="304"/>
        <v/>
      </c>
      <c r="KK31" s="300" t="str">
        <f t="shared" si="305"/>
        <v/>
      </c>
      <c r="KL31" s="919" t="str">
        <f t="shared" si="306"/>
        <v/>
      </c>
      <c r="KM31" s="517" t="str">
        <f>IF(A31=FALSE,"",Cotations!BQ31)</f>
        <v/>
      </c>
      <c r="KN31" s="515" t="str">
        <f>IF(A31=FALSE,"",Cotations!BR31)</f>
        <v/>
      </c>
      <c r="KO31" s="493" t="str">
        <f>IF(A31=FALSE,"",Cotations!BS31)</f>
        <v/>
      </c>
      <c r="KP31" s="517" t="str">
        <f>IF(A31=FALSE,"",IF(KM31="N/A",0,IF(INDEX(LISTES!$F$105:$F$109,MATCH(KM31,LISTES!$C$105:$C$109,0))="FIX",IF(INDEX(LISTES!$E$105:$E$109,MATCH(KM31,LISTES!$C$105:$C$109,0))=12,KN31/12*L31,KN31/365*M31),KO31*KL31)))</f>
        <v/>
      </c>
      <c r="KQ31" s="294" t="str">
        <f t="shared" si="307"/>
        <v/>
      </c>
      <c r="KR31" s="494" t="str">
        <f>IF(A31=FALSE,"",KQ31*Cotations!BT31)</f>
        <v/>
      </c>
      <c r="KS31" s="494" t="str">
        <f>IF(A31=FALSE,"",KQ31*Cotations!BU31)</f>
        <v/>
      </c>
      <c r="KT31" s="338" t="str">
        <f t="shared" si="308"/>
        <v/>
      </c>
      <c r="KU31" s="919" t="str">
        <f>IF(A31=FALSE,"",((KG31*TAXE)-(KG31*TAXE*KI31))+IF(KM31="N/A",0,IF(INDEX(LISTES!$F$105:$F$109,MATCH(KM31,LISTES!$C$105:$C$109,0))="FIX",KN31,KO31*KL31)))</f>
        <v/>
      </c>
      <c r="LA31" s="497" t="str">
        <f>IF(A31=FALSE,"",Cotations!D31)</f>
        <v/>
      </c>
      <c r="LB31" s="498" t="str">
        <f>IF(A31=FALSE,"",IF(LISTES!$A$17=1,Cotations!BV31,Cotations!$BW$4))</f>
        <v/>
      </c>
      <c r="LC31" s="499" t="str">
        <f t="shared" si="309"/>
        <v/>
      </c>
      <c r="LD31" s="499" t="str">
        <f t="shared" si="310"/>
        <v/>
      </c>
      <c r="LE31" s="500" t="str">
        <f t="shared" si="311"/>
        <v/>
      </c>
      <c r="LF31" s="501" t="str">
        <f>IF(A31=FALSE,"",IF(LA31="POEA",Cotations!EJ31,IF(LA31="FIXE",Cotations!$BY$4,Cotations!$CA$4*Y31)))</f>
        <v/>
      </c>
      <c r="LG31" s="502" t="str">
        <f t="shared" si="312"/>
        <v/>
      </c>
      <c r="LH31" s="520" t="str">
        <f>IF(A31=FALSE,"",IF(Cotations!$BX$4="monthly",LG31/12*L31,LG31/365*M31))</f>
        <v/>
      </c>
      <c r="LI31" s="503" t="str">
        <f>IF(A31=FALSE,"",Cotations!$CB$4)</f>
        <v/>
      </c>
      <c r="LJ31" s="502" t="str">
        <f t="shared" si="313"/>
        <v/>
      </c>
      <c r="LK31" s="502" t="str">
        <f t="shared" si="314"/>
        <v/>
      </c>
      <c r="LL31" s="504" t="str">
        <f t="shared" si="315"/>
        <v/>
      </c>
      <c r="LM31" s="505" t="str">
        <f>IF(A31=FALSE,"",Cotations!$CC$4)</f>
        <v/>
      </c>
      <c r="LN31" s="503" t="str">
        <f>IF(A31=FALSE,"",Cotations!$CD$4)</f>
        <v/>
      </c>
      <c r="LO31" s="503" t="str">
        <f>IF(A31=FALSE,"",Cotations!$CE$4)</f>
        <v/>
      </c>
      <c r="LP31" s="505" t="str">
        <f>IF(A31=FALSE,"",IF(LM31="N/A",0,IF(INDEX(LISTES!$F$105:$F$109,MATCH(LM31,LISTES!$C$105:$C$109,0))="FIX",IF(INDEX(LISTES!$E$105:$E$109,MATCH(LM31,LISTES!$C$105:$C$109,0))=12,LN31/12*L31,LN31/365*M31),LO31*LL31)))</f>
        <v/>
      </c>
      <c r="LQ31" s="504" t="str">
        <f t="shared" si="316"/>
        <v/>
      </c>
      <c r="LR31" s="505" t="str">
        <f>IF(A31=FALSE,"",LQ31*Cotations!$CF$4)</f>
        <v/>
      </c>
      <c r="LS31" s="505" t="str">
        <f>IF(A31=FALSE,"",LQ31*Cotations!$CG$4)</f>
        <v/>
      </c>
      <c r="LT31" s="506" t="str">
        <f t="shared" si="317"/>
        <v/>
      </c>
      <c r="LU31" s="919" t="str">
        <f>IF(A31=FALSE,"",((LG31*TAXE)-(LG31*TAXE*LI31))+IF(LM31="N/A",0,IF(INDEX(LISTES!$F$105:$F$109,MATCH(LM31,LISTES!$C$105:$C$109,0))="FIX",LN31,LO31*LL31)))</f>
        <v/>
      </c>
      <c r="MA31" s="492" t="str">
        <f>IF(A31=FALSE,"",Cotations!D31)</f>
        <v/>
      </c>
      <c r="MB31" s="491" t="str">
        <f>IF(A31=FALSE,"",IF(LISTES!$A$17=1,Cotations!BV31,Cotations!BW31))</f>
        <v/>
      </c>
      <c r="MC31" s="285" t="str">
        <f t="shared" si="318"/>
        <v/>
      </c>
      <c r="MD31" s="300"/>
      <c r="ME31" s="461" t="str">
        <f t="shared" si="319"/>
        <v/>
      </c>
      <c r="MF31" s="490" t="str">
        <f>IF(A31=FALSE,"",IF(MA31="POEA",Cotations!BY31,IF(MA31="FIXE",Cotations!BZ31,IF(Cotations!CA31*Y31&lt;50000,Z31,Cotations!CA31*Y31))))</f>
        <v/>
      </c>
      <c r="MG31" s="300" t="str">
        <f t="shared" si="320"/>
        <v/>
      </c>
      <c r="MH31" s="522" t="str">
        <f>IF(A31=FALSE,"",IF(Cotations!BX31="monthly",MG31/12*L31,MG31/365*M31))</f>
        <v/>
      </c>
      <c r="MI31" s="489" t="str">
        <f>IF(A31=FALSE,"",IF(Cotations!CB31="","",Cotations!CB31))</f>
        <v/>
      </c>
      <c r="MJ31" s="300" t="str">
        <f t="shared" si="321"/>
        <v/>
      </c>
      <c r="MK31" s="300" t="str">
        <f t="shared" si="322"/>
        <v/>
      </c>
      <c r="ML31" s="919" t="str">
        <f t="shared" si="323"/>
        <v/>
      </c>
      <c r="MM31" s="517" t="str">
        <f>IF(A31=FALSE,"",Cotations!CC31)</f>
        <v/>
      </c>
      <c r="MN31" s="515" t="str">
        <f>IF(A31=FALSE,"",Cotations!CD31)</f>
        <v/>
      </c>
      <c r="MO31" s="493" t="str">
        <f>IF(A31=FALSE,"",Cotations!CE31)</f>
        <v/>
      </c>
      <c r="MP31" s="517" t="str">
        <f>IF(A31=FALSE,"",IF(MM31="N/A",0,IF(INDEX(LISTES!$F$105:$F$109,MATCH(MM31,LISTES!$C$105:$C$109,0))="FIX",IF(INDEX(LISTES!$E$105:$E$109,MATCH(MM31,LISTES!$C$105:$C$109,0))=12,MN31/12*L31,MN31/365*M31),MO31*ML31)))</f>
        <v/>
      </c>
      <c r="MQ31" s="294" t="str">
        <f t="shared" si="324"/>
        <v/>
      </c>
      <c r="MR31" s="494" t="str">
        <f>IF(A31=FALSE,"",MQ31*Cotations!CF31)</f>
        <v/>
      </c>
      <c r="MS31" s="494" t="str">
        <f>IF(A31=FALSE,"",MQ31*Cotations!CG31)</f>
        <v/>
      </c>
      <c r="MT31" s="338" t="str">
        <f t="shared" si="325"/>
        <v/>
      </c>
      <c r="MU31" s="919" t="str">
        <f>IF(A31=FALSE,"",((MG31*TAXE)-(MG31*TAXE*MI31))+IF(MM31="N/A",0,IF(INDEX(LISTES!$F$105:$F$109,MATCH(MM31,LISTES!$C$105:$C$109,0))="FIX",MN31,MO31*ML31)))</f>
        <v/>
      </c>
      <c r="NA31" s="497" t="str">
        <f>IF(A31=FALSE,"",Cotations!D31)</f>
        <v/>
      </c>
      <c r="NB31" s="498" t="str">
        <f>IF(A31=FALSE,"",IF(LISTES!$A$17=1,Cotations!CH31,Cotations!$CI$4))</f>
        <v/>
      </c>
      <c r="NC31" s="499" t="str">
        <f t="shared" si="326"/>
        <v/>
      </c>
      <c r="ND31" s="499" t="str">
        <f t="shared" si="327"/>
        <v/>
      </c>
      <c r="NE31" s="500" t="str">
        <f t="shared" si="328"/>
        <v/>
      </c>
      <c r="NF31" s="501" t="str">
        <f>IF(A31=FALSE,"",IF(NA31="POEA",Cotations!CK31,IF(NA31="FIXE",Cotations!$CK$4,Cotations!$CM$4*Y31)))</f>
        <v/>
      </c>
      <c r="NG31" s="502" t="str">
        <f t="shared" si="329"/>
        <v/>
      </c>
      <c r="NH31" s="520" t="str">
        <f>IF(A31=FALSE,"",IF(Cotations!$CJ$4="monthly",NG31/12*L31,NG31/365*M31))</f>
        <v/>
      </c>
      <c r="NI31" s="503" t="str">
        <f>IF(A31=FALSE,"",Cotations!$CN$4)</f>
        <v/>
      </c>
      <c r="NJ31" s="502" t="str">
        <f t="shared" si="330"/>
        <v/>
      </c>
      <c r="NK31" s="502" t="str">
        <f t="shared" si="331"/>
        <v/>
      </c>
      <c r="NL31" s="504" t="str">
        <f t="shared" si="332"/>
        <v/>
      </c>
      <c r="NM31" s="505" t="str">
        <f>IF(A31=FALSE,"",Cotations!$CO$4)</f>
        <v/>
      </c>
      <c r="NN31" s="520" t="str">
        <f>IF(A31=FALSE,"",Cotations!$CP$4)</f>
        <v/>
      </c>
      <c r="NO31" s="503" t="str">
        <f>IF(A31=FALSE,"",Cotations!$CQ$4)</f>
        <v/>
      </c>
      <c r="NP31" s="505" t="str">
        <f>IF(A31=FALSE,"",IF(NM31="N/A",0,IF(INDEX(LISTES!$F$105:$F$109,MATCH(NM31,LISTES!$C$105:$C$109,0))="FIX",IF(INDEX(LISTES!$E$105:$E$109,MATCH(NM31,LISTES!$C$105:$C$109,0))=12,NN31/12*L31,NN31/365*M31),NO31*NL31)))</f>
        <v/>
      </c>
      <c r="NQ31" s="504" t="str">
        <f t="shared" si="333"/>
        <v/>
      </c>
      <c r="NR31" s="505" t="str">
        <f>IF(A31=FALSE,"",NQ31*Cotations!$CR$4)</f>
        <v/>
      </c>
      <c r="NS31" s="505" t="str">
        <f>IF(A31=FALSE,"",NQ31*Cotations!$CS$4)</f>
        <v/>
      </c>
      <c r="NT31" s="506" t="str">
        <f t="shared" si="334"/>
        <v/>
      </c>
      <c r="NU31" s="919" t="str">
        <f>IF(A31=FALSE,"",((NG31*TAXE)-(NG31*TAXE*NI31))+IF(NM31="N/A",0,IF(INDEX(LISTES!$F$105:$F$109,MATCH(NM31,LISTES!$C$105:$C$109,0))="FIX",NN31,NO31*NL31)))</f>
        <v/>
      </c>
      <c r="OA31" s="492" t="str">
        <f>IF(A31=FALSE,"",Cotations!D31)</f>
        <v/>
      </c>
      <c r="OB31" s="491" t="str">
        <f>IF(A31=FALSE,"",IF(LISTES!$A$17=1,Cotations!CH31,Cotations!CI31))</f>
        <v/>
      </c>
      <c r="OC31" s="285" t="str">
        <f t="shared" si="335"/>
        <v/>
      </c>
      <c r="OD31" s="300"/>
      <c r="OE31" s="461" t="str">
        <f t="shared" si="336"/>
        <v/>
      </c>
      <c r="OF31" s="490" t="str">
        <f>IF(A31=FALSE,"",IF(OA31="POEA",Cotations!CK31,IF(OA31="FIXE",Cotations!CL31,IF(Cotations!CM31*Y31&lt;50000,Z31,Cotations!CM31*Y31))))</f>
        <v/>
      </c>
      <c r="OG31" s="300" t="str">
        <f t="shared" si="337"/>
        <v/>
      </c>
      <c r="OH31" s="522" t="str">
        <f>IF(A31=FALSE,"",IF(Cotations!CJ31="monthly",OG31/12*L31,OG31/365*M31))</f>
        <v/>
      </c>
      <c r="OI31" s="489" t="str">
        <f>IF(A31=FALSE,"",IF(Cotations!CN31="","",Cotations!CN31))</f>
        <v/>
      </c>
      <c r="OJ31" s="300" t="str">
        <f t="shared" si="338"/>
        <v/>
      </c>
      <c r="OK31" s="300" t="str">
        <f t="shared" si="339"/>
        <v/>
      </c>
      <c r="OL31" s="919" t="str">
        <f t="shared" si="340"/>
        <v/>
      </c>
      <c r="OM31" s="517" t="str">
        <f>IF(A31=FALSE,"",Cotations!CO31)</f>
        <v/>
      </c>
      <c r="ON31" s="515" t="str">
        <f>IF(A31=FALSE,"",Cotations!CP31)</f>
        <v/>
      </c>
      <c r="OO31" s="493" t="str">
        <f>IF(A31=FALSE,"",Cotations!CQ31)</f>
        <v/>
      </c>
      <c r="OP31" s="517" t="str">
        <f>IF(A31=FALSE,"",IF(OM31="N/A",0,IF(INDEX(LISTES!$F$105:$F$109,MATCH(OM31,LISTES!$C$105:$C$109,0))="FIX",IF(INDEX(LISTES!$E$105:$E$109,MATCH(OM31,LISTES!$C$105:$C$109,0))=12,ON31/12*L31,ON31/365*M31),OO31*OL31)))</f>
        <v/>
      </c>
      <c r="OQ31" s="294" t="str">
        <f t="shared" si="341"/>
        <v/>
      </c>
      <c r="OR31" s="494" t="str">
        <f>IF(A31=FALSE,"",OQ31*Cotations!CR31)</f>
        <v/>
      </c>
      <c r="OS31" s="494" t="str">
        <f>IF(A31=FALSE,"",OQ31*Cotations!CS31)</f>
        <v/>
      </c>
      <c r="OT31" s="338" t="str">
        <f t="shared" si="342"/>
        <v/>
      </c>
      <c r="OU31" s="919" t="str">
        <f>IF(A31=FALSE,"",((OG31*TAXE)-(OG31*TAXE*OI31))+IF(OM31="N/A",0,IF(INDEX(LISTES!$F$105:$F$109,MATCH(OM31,LISTES!$C$105:$C$109,0))="FIX",ON31,OO31*OL31)))</f>
        <v/>
      </c>
      <c r="PA31" s="497" t="str">
        <f t="shared" si="343"/>
        <v/>
      </c>
      <c r="PB31" s="498" t="str">
        <f>IF(A31=FALSE,"",IF(LISTES!$A$17=1,Cotations!CT31,Cotations!$CU$4))</f>
        <v/>
      </c>
      <c r="PC31" s="499" t="str">
        <f t="shared" si="344"/>
        <v/>
      </c>
      <c r="PD31" s="499" t="str">
        <f t="shared" si="345"/>
        <v/>
      </c>
      <c r="PE31" s="500" t="str">
        <f t="shared" si="346"/>
        <v/>
      </c>
      <c r="PF31" s="501" t="str">
        <f>IF(A31=FALSE,"",Cotations!$CY$4*Y31)</f>
        <v/>
      </c>
      <c r="PG31" s="502" t="str">
        <f t="shared" si="347"/>
        <v/>
      </c>
      <c r="PH31" s="520" t="str">
        <f>IF(A31=FALSE,"",IF(Cotations!$CV$4="monthly",PG31/12*L31,PG31/365*M31))</f>
        <v/>
      </c>
      <c r="PI31" s="503" t="str">
        <f>IF(A31=FALSE,"",Cotations!$CZ$4)</f>
        <v/>
      </c>
      <c r="PJ31" s="502" t="str">
        <f t="shared" si="348"/>
        <v/>
      </c>
      <c r="PK31" s="502" t="str">
        <f t="shared" si="349"/>
        <v/>
      </c>
      <c r="PL31" s="504" t="str">
        <f t="shared" si="350"/>
        <v/>
      </c>
      <c r="PM31" s="505" t="str">
        <f>IF(A31=FALSE,"",Cotations!$DA$4)</f>
        <v/>
      </c>
      <c r="PN31" s="520" t="str">
        <f>IF(A31=FALSE,"",Cotations!$DB$4)</f>
        <v/>
      </c>
      <c r="PO31" s="503" t="str">
        <f>IF(A31=FALSE,"",Cotations!$DC$4)</f>
        <v/>
      </c>
      <c r="PP31" s="505" t="str">
        <f>IF(A31=FALSE,"",IF(PM31="N/A",0,IF(INDEX(LISTES!$F$105:$F$109,MATCH(PM31,LISTES!$C$105:$C$109,0))="FIX",IF(INDEX(LISTES!$E$105:$E$109,MATCH(PM31,LISTES!$C$105:$C$109,0))=12,PN31/12*L31,PN31/365*M31),PO31*PL31)))</f>
        <v/>
      </c>
      <c r="PQ31" s="504" t="str">
        <f t="shared" si="351"/>
        <v/>
      </c>
      <c r="PR31" s="505" t="str">
        <f>IF(A31=FALSE,"",PQ31*Cotations!$DD$4)</f>
        <v/>
      </c>
      <c r="PS31" s="505" t="str">
        <f>IF(A31=FALSE,"",PQ31*Cotations!$DE$4)</f>
        <v/>
      </c>
      <c r="PT31" s="506" t="str">
        <f t="shared" si="352"/>
        <v/>
      </c>
      <c r="PU31" s="919" t="str">
        <f>IF(A31=FALSE,"",((PG31*TAXE)-(PG31*TAXE*PI31))+IF(PM31="N/A",0,IF(INDEX(LISTES!$F$105:$F$109,MATCH(PM31,LISTES!$C$105:$C$109,0))="FIX",PN31,PO31*PL31)))</f>
        <v/>
      </c>
      <c r="QA31" s="492" t="str">
        <f t="shared" si="353"/>
        <v/>
      </c>
      <c r="QB31" s="491" t="str">
        <f>IF(A31=FALSE,"",IF(LISTES!$A$17=1,Cotations!CT31,Cotations!CU31))</f>
        <v/>
      </c>
      <c r="QC31" s="285" t="str">
        <f t="shared" si="354"/>
        <v/>
      </c>
      <c r="QD31" s="300"/>
      <c r="QE31" s="461" t="str">
        <f t="shared" si="355"/>
        <v/>
      </c>
      <c r="QF31" s="490" t="str">
        <f>IF(A31=FALSE,"",Cotations!CY31*AA31)</f>
        <v/>
      </c>
      <c r="QG31" s="300" t="str">
        <f t="shared" si="356"/>
        <v/>
      </c>
      <c r="QH31" s="522" t="str">
        <f>IF(A31=FALSE,"",IF(Cotations!CV31="monthly",QG31/12*L31,QG31/365*M31))</f>
        <v/>
      </c>
      <c r="QI31" s="489" t="str">
        <f>IF(A31=FALSE,"",IF(Cotations!CZ31="","",Cotations!CZ31))</f>
        <v/>
      </c>
      <c r="QJ31" s="300" t="str">
        <f t="shared" si="357"/>
        <v/>
      </c>
      <c r="QK31" s="300" t="str">
        <f t="shared" si="358"/>
        <v/>
      </c>
      <c r="QL31" s="919" t="str">
        <f t="shared" si="359"/>
        <v/>
      </c>
      <c r="QM31" s="517" t="str">
        <f>IF(A31=FALSE,"",Cotations!DA31)</f>
        <v/>
      </c>
      <c r="QN31" s="515" t="str">
        <f>IF(A31=FALSE,"",Cotations!DB31)</f>
        <v/>
      </c>
      <c r="QO31" s="493" t="str">
        <f>IF(A31=FALSE,"",Cotations!DC31)</f>
        <v/>
      </c>
      <c r="QP31" s="517" t="str">
        <f>IF(A31=FALSE,"",IF(QM31="N/A",0,IF(INDEX(LISTES!$F$105:$F$109,MATCH(QM31,LISTES!$C$105:$C$109,0))="FIX",IF(INDEX(LISTES!$E$105:$E$109,MATCH(QM31,LISTES!$C$105:$C$109,0))=12,QN31/12*L31,QN31/365*M31),QO31*QL31)))</f>
        <v/>
      </c>
      <c r="QQ31" s="294" t="str">
        <f t="shared" si="360"/>
        <v/>
      </c>
      <c r="QR31" s="494" t="str">
        <f>IF(A31=FALSE,"",QQ31*Cotations!DD31)</f>
        <v/>
      </c>
      <c r="QS31" s="494" t="str">
        <f>IF(A31=FALSE,"",QQ31*Cotations!DE31)</f>
        <v/>
      </c>
      <c r="QT31" s="338" t="str">
        <f t="shared" si="361"/>
        <v/>
      </c>
      <c r="QU31" s="919" t="str">
        <f>IF(A31=FALSE,"",((QG31*TAXE)-(QG31*TAXE*QI31))+IF(QM31="N/A",0,IF(INDEX(LISTES!$F$105:$F$109,MATCH(QM31,LISTES!$C$105:$C$109,0))="FIX",QN31,QO31*QL31)))</f>
        <v/>
      </c>
      <c r="RA31" s="497" t="str">
        <f t="shared" si="362"/>
        <v/>
      </c>
      <c r="RB31" s="498" t="str">
        <f>IF(A31=FALSE,"",IF(LISTES!$A$17=1,Cotations!DF31,Cotations!$DG$4))</f>
        <v/>
      </c>
      <c r="RC31" s="499" t="str">
        <f t="shared" si="363"/>
        <v/>
      </c>
      <c r="RD31" s="499" t="str">
        <f t="shared" si="364"/>
        <v/>
      </c>
      <c r="RE31" s="500" t="str">
        <f t="shared" si="365"/>
        <v/>
      </c>
      <c r="RF31" s="501" t="str">
        <f>IF(A31=FALSE,"",Cotations!$DK$4*Y31)</f>
        <v/>
      </c>
      <c r="RG31" s="502" t="str">
        <f t="shared" si="366"/>
        <v/>
      </c>
      <c r="RH31" s="520" t="str">
        <f>IF(A31=FALSE,"",IF(Cotations!$DH$4="monthly",RG31/12*L31,RG31/365*M31))</f>
        <v/>
      </c>
      <c r="RI31" s="503" t="str">
        <f>IF(A31=FALSE,"",Cotations!$DL$4)</f>
        <v/>
      </c>
      <c r="RJ31" s="502" t="str">
        <f t="shared" si="367"/>
        <v/>
      </c>
      <c r="RK31" s="502" t="str">
        <f t="shared" si="368"/>
        <v/>
      </c>
      <c r="RL31" s="504" t="str">
        <f t="shared" si="369"/>
        <v/>
      </c>
      <c r="RM31" s="505" t="str">
        <f>IF(A31=FALSE,"",Cotations!$DM$4)</f>
        <v/>
      </c>
      <c r="RN31" s="520" t="str">
        <f>IF(A31=FALSE,"",Cotations!$DN$4)</f>
        <v/>
      </c>
      <c r="RO31" s="503" t="str">
        <f>IF(A31=FALSE,"",Cotations!$DO$4)</f>
        <v/>
      </c>
      <c r="RP31" s="505" t="str">
        <f>IF(A31=FALSE,"",IF(RM31="N/A",0,IF(INDEX(LISTES!$F$105:$F$109,MATCH(RM31,LISTES!$C$105:$C$109,0))="FIX",IF(INDEX(LISTES!$E$105:$E$109,MATCH(RM31,LISTES!$C$105:$C$109,0))=12,RN31/12*L31,RN31/365*M31),RO31*RL31)))</f>
        <v/>
      </c>
      <c r="RQ31" s="504" t="str">
        <f t="shared" si="370"/>
        <v/>
      </c>
      <c r="RR31" s="505" t="str">
        <f>IF(A31=FALSE,"",RQ31*Cotations!$DP$4)</f>
        <v/>
      </c>
      <c r="RS31" s="505" t="str">
        <f>IF(A31=FALSE,"",RQ31*Cotations!$DQ$4)</f>
        <v/>
      </c>
      <c r="RT31" s="506" t="str">
        <f t="shared" si="371"/>
        <v/>
      </c>
      <c r="RU31" s="919" t="str">
        <f>IF(A31=FALSE,"",((RG31*TAXE)-(RG31*TAXE*RI31))+IF(RM31="N/A",0,IF(INDEX(LISTES!$F$105:$F$109,MATCH(RM31,LISTES!$C$105:$C$109,0))="FIX",RN31,RO31*RL31)))</f>
        <v/>
      </c>
      <c r="SA31" s="492" t="str">
        <f t="shared" si="372"/>
        <v/>
      </c>
      <c r="SB31" s="491" t="str">
        <f>IF(A31=FALSE,"",IF(LISTES!$A$17=1,Cotations!DF31,Cotations!DG31))</f>
        <v/>
      </c>
      <c r="SC31" s="285" t="str">
        <f t="shared" si="373"/>
        <v/>
      </c>
      <c r="SD31" s="300"/>
      <c r="SE31" s="461" t="str">
        <f t="shared" si="374"/>
        <v/>
      </c>
      <c r="SF31" s="490" t="str">
        <f>IF(A31=FALSE,"",Cotations!DK31*AA31)</f>
        <v/>
      </c>
      <c r="SG31" s="300" t="str">
        <f t="shared" si="375"/>
        <v/>
      </c>
      <c r="SH31" s="522" t="str">
        <f>IF(A31=FALSE,"",IF(Cotations!DH31="monthly",SG31/12*L31,SG31/365*M31))</f>
        <v/>
      </c>
      <c r="SI31" s="489" t="str">
        <f>IF(A31=FALSE,"",IF(Cotations!DL31="","",Cotations!DL31))</f>
        <v/>
      </c>
      <c r="SJ31" s="300" t="str">
        <f t="shared" si="376"/>
        <v/>
      </c>
      <c r="SK31" s="300" t="str">
        <f t="shared" si="377"/>
        <v/>
      </c>
      <c r="SL31" s="919" t="str">
        <f t="shared" si="378"/>
        <v/>
      </c>
      <c r="SM31" s="285" t="str">
        <f>IF(A31=FALSE,"",Cotations!DM31)</f>
        <v/>
      </c>
      <c r="SN31" s="515" t="str">
        <f>IF(A31=FALSE,"",Cotations!DN31)</f>
        <v/>
      </c>
      <c r="SO31" s="493" t="str">
        <f>IF(A31=FALSE,"",Cotations!DO31)</f>
        <v/>
      </c>
      <c r="SP31" s="517" t="str">
        <f>IF(A31=FALSE,"",IF(SM31="N/A",0,IF(INDEX(LISTES!$F$105:$F$109,MATCH(SM31,LISTES!$C$105:$C$109,0))="FIX",IF(INDEX(LISTES!$E$105:$E$109,MATCH(SM31,LISTES!$C$105:$C$109,0))=12,SN31/12*L31,SN31/365*M31),SO31*SL31)))</f>
        <v/>
      </c>
      <c r="SQ31" s="294" t="str">
        <f t="shared" si="379"/>
        <v/>
      </c>
      <c r="SR31" s="494" t="str">
        <f>IF(A31=FALSE,"",SQ31*Cotations!DP31)</f>
        <v/>
      </c>
      <c r="SS31" s="494" t="str">
        <f>IF(A31=FALSE,"",SQ31*Cotations!DQ31)</f>
        <v/>
      </c>
      <c r="ST31" s="338" t="str">
        <f t="shared" si="380"/>
        <v/>
      </c>
      <c r="SU31" s="919" t="str">
        <f>IF(A31=FALSE,"",((SG31*TAXE)-(SG31*TAXE*SI31))+IF(SM31="N/A",0,IF(INDEX(LISTES!$F$105:$F$109,MATCH(SM31,LISTES!$C$105:$C$109,0))="FIX",SN31,SO31*SL31)))</f>
        <v/>
      </c>
      <c r="TA31" s="492" t="str">
        <f>IF(A31=FALSE,"",Cotations!D31)</f>
        <v/>
      </c>
      <c r="TB31" s="491" t="str">
        <f>IF(A31=FALSE,"",IF(LISTES!$A$17=1,Cotations!DR31,Cotations!DS31))</f>
        <v/>
      </c>
      <c r="TC31" s="285" t="str">
        <f t="shared" si="381"/>
        <v/>
      </c>
      <c r="TD31" s="300" t="str">
        <f>IF(A31=FALSE,"",Detail!CQ31)</f>
        <v/>
      </c>
      <c r="TE31" s="461" t="str">
        <f t="shared" si="382"/>
        <v/>
      </c>
      <c r="TF31" s="490" t="str">
        <f>IF(A31=FALSE,"",IF(TA31="FIXE",Cotations!DU31,Cotations!DV31*Y31))</f>
        <v/>
      </c>
      <c r="TG31" s="300" t="str">
        <f t="shared" si="383"/>
        <v/>
      </c>
      <c r="TH31" s="522" t="str">
        <f>IF(A31=FALSE,"",IF(Cotations!DT31="monthly",TG31/12*L31,TG31/365*M31))</f>
        <v/>
      </c>
      <c r="TI31" s="489" t="str">
        <f>IF(A31=FALSE,"",IF(Cotations!DW31="","",Cotations!DW31))</f>
        <v/>
      </c>
      <c r="TJ31" s="300" t="str">
        <f t="shared" si="384"/>
        <v/>
      </c>
      <c r="TK31" s="300" t="str">
        <f t="shared" si="385"/>
        <v/>
      </c>
      <c r="TL31" s="919" t="str">
        <f t="shared" si="386"/>
        <v/>
      </c>
      <c r="TM31" s="517" t="str">
        <f>IF(A31=FALSE,"",Cotations!DX31)</f>
        <v/>
      </c>
      <c r="TN31" s="517" t="str">
        <f>IF(A31=FALSE,"",Cotations!DY31)</f>
        <v/>
      </c>
      <c r="TO31" s="493" t="str">
        <f>IF(A31=FALSE,"",Cotations!DZ31)</f>
        <v/>
      </c>
      <c r="TP31" s="517" t="str">
        <f>IF(A31=FALSE,"",IF(TM31="N/A",0,IF(INDEX(LISTES!$F$105:$F$109,MATCH(TM31,LISTES!$C$105:$C$109,0))="FIX",IF(INDEX(LISTES!$E$105:$E$109,MATCH(TM31,LISTES!$C$105:$C$109,0))=12,TN31/12*L31,TN31/365*M31),TO31*TL31)))</f>
        <v/>
      </c>
      <c r="TQ31" s="294" t="str">
        <f t="shared" si="387"/>
        <v/>
      </c>
      <c r="TR31" s="494" t="str">
        <f>IF(A31=FALSE,"",TQ31*Cotations!EA31)</f>
        <v/>
      </c>
      <c r="TS31" s="494" t="str">
        <f>IF(A31=FALSE,"",TQ31*Cotations!EB31)</f>
        <v/>
      </c>
      <c r="TT31" s="338" t="str">
        <f t="shared" si="388"/>
        <v/>
      </c>
      <c r="TU31" s="919" t="str">
        <f>IF(A31=FALSE,"",((TG31*(1+TAXE)-(TG31*(1+TAXE)*TI31))+IF(TM31="N/A",0,IF(INDEX(LISTES!$F$105:$F$109,MATCH(TM31,LISTES!$C$105:$C$109,0))="FIX",TN31,TO31*TL31))))</f>
        <v/>
      </c>
      <c r="UA31" s="492" t="str">
        <f>IF(A31=FALSE,"",Cotations!D31)</f>
        <v/>
      </c>
      <c r="UB31" s="491" t="str">
        <f>IF(A31=FALSE,"",IF(LISTES!$A$17=1,Cotations!EC31,Cotations!ED31))</f>
        <v/>
      </c>
      <c r="UC31" s="285" t="str">
        <f t="shared" si="389"/>
        <v/>
      </c>
      <c r="UD31" s="300" t="str">
        <f>IF(A31=FALSE,"",Detail!CY31)</f>
        <v/>
      </c>
      <c r="UE31" s="461" t="str">
        <f t="shared" si="390"/>
        <v/>
      </c>
      <c r="UF31" s="490" t="str">
        <f>IF(A31=FALSE,"",IF(UA31="FIXE",Cotations!EF31,Cotations!EG31*Y31))</f>
        <v/>
      </c>
      <c r="UG31" s="300" t="str">
        <f t="shared" si="391"/>
        <v/>
      </c>
      <c r="UH31" s="522" t="str">
        <f>IF(A31=FALSE,"",IF(Cotations!EE31="monthly",UG31/12*L31,UG31/365*M31))</f>
        <v/>
      </c>
      <c r="UI31" s="489" t="str">
        <f>IF(A31=FALSE,"",IF(Cotations!EH31="","",Cotations!EH31))</f>
        <v/>
      </c>
      <c r="UJ31" s="300" t="str">
        <f t="shared" si="392"/>
        <v/>
      </c>
      <c r="UK31" s="300" t="str">
        <f t="shared" si="393"/>
        <v/>
      </c>
      <c r="UL31" s="919" t="str">
        <f t="shared" si="394"/>
        <v/>
      </c>
      <c r="UM31" s="517" t="str">
        <f>IF(A31=FALSE,"",Cotations!EI31)</f>
        <v/>
      </c>
      <c r="UN31" s="517" t="str">
        <f>IF(A31=FALSE,"",Cotations!EJ31)</f>
        <v/>
      </c>
      <c r="UO31" s="493" t="str">
        <f>IF(A31=FALSE,"",Cotations!EK31)</f>
        <v/>
      </c>
      <c r="UP31" s="517" t="str">
        <f>IF(A31=FALSE,"",IF(UM31="N/A",0,IF(INDEX(LISTES!$F$105:$F$109,MATCH(UM31,LISTES!$C$105:$C$109,0))="FIX",IF(INDEX(LISTES!$E$105:$E$109,MATCH(UM31,LISTES!$C$105:$C$109,0))=12,UN31/12*L31,UN31/365*M31),UO31*UL31)))</f>
        <v/>
      </c>
      <c r="UQ31" s="294" t="str">
        <f t="shared" si="395"/>
        <v/>
      </c>
      <c r="UR31" s="494" t="str">
        <f>IF(A31=FALSE,"",UQ31*Cotations!EL31)</f>
        <v/>
      </c>
      <c r="US31" s="494" t="str">
        <f>IF(A31=FALSE,"",UQ31*Cotations!EM31)</f>
        <v/>
      </c>
      <c r="UT31" s="338" t="str">
        <f t="shared" si="396"/>
        <v/>
      </c>
      <c r="UU31" s="919" t="str">
        <f>IF(A31=FALSE,"",((UG31*(1+TAXE)-(UG31*(1+TAXE)*UI31))+IF(UM31="N/A",0,IF(INDEX(LISTES!$F$105:$F$109,MATCH(UM31,LISTES!$C$105:$C$109,0))="FIX",UN31,UO31*UL31))))</f>
        <v/>
      </c>
      <c r="VA31" s="492" t="str">
        <f>IF(A31=FALSE,"",Cotations!D31)</f>
        <v/>
      </c>
      <c r="VB31" s="519" t="str">
        <f>IF(A31=FALSE,"",IF(LISTES!$A$17=1,Cotations!EN31,Cotations!EO31))</f>
        <v/>
      </c>
      <c r="VC31" s="291" t="str">
        <f t="shared" si="397"/>
        <v/>
      </c>
      <c r="VD31" s="291" t="str">
        <f t="shared" si="398"/>
        <v/>
      </c>
      <c r="VE31" s="291"/>
      <c r="VF31" s="463"/>
      <c r="VG31" s="463" t="str">
        <f t="shared" si="399"/>
        <v/>
      </c>
      <c r="VH31" s="522" t="str">
        <f>IF(A31=FALSE,"",IF(Cotations!$AQ$4="monthly",VG31/12*L31,VG31/365*M31))</f>
        <v/>
      </c>
      <c r="VI31" s="489" t="str">
        <f>IF(A31=FALSE,"",Cotations!$AR$4)</f>
        <v/>
      </c>
      <c r="VJ31" s="300" t="str">
        <f t="shared" si="400"/>
        <v/>
      </c>
      <c r="VK31" s="300" t="str">
        <f t="shared" si="401"/>
        <v/>
      </c>
      <c r="VL31" s="294" t="str">
        <f t="shared" si="402"/>
        <v/>
      </c>
      <c r="VM31" s="494" t="str">
        <f>IF(A31=FALSE,"",Cotations!$AS$4)</f>
        <v/>
      </c>
      <c r="VN31" s="494" t="str">
        <f>IF(A31=FALSE,"",Cotations!$AT$4)</f>
        <v/>
      </c>
      <c r="VO31" s="489" t="str">
        <f>IF(A31=FALSE,"",Cotations!$AU$4)</f>
        <v/>
      </c>
      <c r="VP31" s="494" t="str">
        <f>IF(A31=FALSE,"",IF(VM31="N/A",0,IF(INDEX(LISTES!$F$105:$F$109,MATCH(VM31,LISTES!$C$105:$C$109,0))="FIX",IF(INDEX(LISTES!$E$105:$E$109,MATCH(VM31,LISTES!$C$105:$C$109,0))=12,VN31/12*L31,VN31/365*M31),VO31*VL31)))</f>
        <v/>
      </c>
      <c r="VQ31" s="294" t="str">
        <f t="shared" si="403"/>
        <v/>
      </c>
      <c r="VR31" s="494" t="str">
        <f>IF(A31=FALSE,"",VQ31*Cotations!$AV$4)</f>
        <v/>
      </c>
      <c r="VS31" s="494" t="str">
        <f>IF(A31=FALSE,"",VQ31*Cotations!$AW$4)</f>
        <v/>
      </c>
      <c r="VT31" s="465" t="str">
        <f t="shared" si="404"/>
        <v/>
      </c>
      <c r="VU31" s="919" t="str">
        <f>IF(A31=FALSE,"",((VG31*TAXE)-(VG31*TAXE*VI31))+IF(VM31="N/A",0,IF(INDEX(LISTES!$F$105:$F$109,MATCH(VM31,LISTES!$C$105:$C$109,0))="FIX",VN31,VO31*VL31)))</f>
        <v/>
      </c>
      <c r="WA31" s="492" t="str">
        <f>IF(A31=FALSE,"",Cotations!D31)</f>
        <v/>
      </c>
      <c r="WB31" s="519" t="str">
        <f>IF(A31=FALSE,"",IF(LISTES!$A$17=1,Cotations!EW31,Cotations!EX31))</f>
        <v/>
      </c>
      <c r="WC31" s="291" t="str">
        <f t="shared" si="405"/>
        <v/>
      </c>
      <c r="WD31" s="291" t="str">
        <f t="shared" si="406"/>
        <v/>
      </c>
      <c r="WE31" s="291"/>
      <c r="WF31" s="463"/>
      <c r="WG31" s="463" t="str">
        <f t="shared" si="407"/>
        <v/>
      </c>
      <c r="WH31" s="522" t="str">
        <f>IF(A31=FALSE,"",IF(Cotations!$AQ$4="monthly",WG31/12*L31,WG31/365*M31))</f>
        <v/>
      </c>
      <c r="WI31" s="489" t="str">
        <f>IF(A31=FALSE,"",Cotations!$AR$4)</f>
        <v/>
      </c>
      <c r="WJ31" s="300" t="str">
        <f t="shared" si="408"/>
        <v/>
      </c>
      <c r="WK31" s="300" t="str">
        <f t="shared" si="409"/>
        <v/>
      </c>
      <c r="WL31" s="294" t="str">
        <f t="shared" si="410"/>
        <v/>
      </c>
      <c r="WM31" s="494" t="str">
        <f>IF(A31=FALSE,"",Cotations!$AS$4)</f>
        <v/>
      </c>
      <c r="WN31" s="494" t="str">
        <f>IF(A31=FALSE,"",Cotations!$AT$4)</f>
        <v/>
      </c>
      <c r="WO31" s="489" t="str">
        <f>IF(A31=FALSE,"",Cotations!$AU$4)</f>
        <v/>
      </c>
      <c r="WP31" s="494" t="str">
        <f>IF(A31=FALSE,"",IF(WM31="N/A",0,IF(INDEX(LISTES!$F$105:$F$109,MATCH(WM31,LISTES!$C$105:$C$109,0))="FIX",IF(INDEX(LISTES!$E$105:$E$109,MATCH(WM31,LISTES!$C$105:$C$109,0))=12,WN31/12*L31,WN31/365*M31),WO31*WL31)))</f>
        <v/>
      </c>
      <c r="WQ31" s="294" t="str">
        <f t="shared" si="411"/>
        <v/>
      </c>
      <c r="WR31" s="494" t="str">
        <f>IF(A31=FALSE,"",WQ31*Cotations!$AV$4)</f>
        <v/>
      </c>
      <c r="WS31" s="494" t="str">
        <f>IF(A31=FALSE,"",WQ31*Cotations!$AW$4)</f>
        <v/>
      </c>
      <c r="WT31" s="465" t="str">
        <f t="shared" si="412"/>
        <v/>
      </c>
      <c r="WU31" s="919" t="str">
        <f>IF(A31=FALSE,"",((WG31*TAXE)-(WG31*TAXE*WI31))+IF(WM31="N/A",0,IF(INDEX(LISTES!$F$105:$F$109,MATCH(WM31,LISTES!$C$105:$C$109,0))="FIX",WN31,WO31*WL31)))</f>
        <v/>
      </c>
    </row>
    <row r="32" spans="1:619">
      <c r="A32" s="942" t="b">
        <f t="shared" si="221"/>
        <v>0</v>
      </c>
      <c r="B32" s="942" t="b">
        <f>IF(NAMES!$B$9=TRUE,TRUE,FALSE)</f>
        <v>1</v>
      </c>
      <c r="C32" s="942" t="b">
        <f t="shared" si="413"/>
        <v>0</v>
      </c>
      <c r="D32" s="942" t="b">
        <f t="shared" si="414"/>
        <v>0</v>
      </c>
      <c r="E32" s="274" t="b">
        <f>IF(Cotations!C32="","",Cotations!C32)</f>
        <v>0</v>
      </c>
      <c r="F32" s="274" t="str">
        <f>IF(Cotations!D32="","",Cotations!D32)</f>
        <v>PROP</v>
      </c>
      <c r="G32" s="274" t="str">
        <f>IF(Cotations!E32="","",Cotations!E32)</f>
        <v>2016-2017!</v>
      </c>
      <c r="H32" s="274" t="str">
        <f>IF(Cotations!F32="","",Cotations!F32)</f>
        <v>SINGLE</v>
      </c>
      <c r="I32" s="274" t="str">
        <f>IF(Cotations!G32="","",Cotations!G32)</f>
        <v/>
      </c>
      <c r="J32" s="274" t="str">
        <f>IF(Cotations!H32="","",Cotations!H32)</f>
        <v/>
      </c>
      <c r="K32" s="274" t="str">
        <f>IF(Cotations!I32="","",Cotations!I32)</f>
        <v/>
      </c>
      <c r="L32" s="274" t="str">
        <f>IF(A32=FALSE,"",IF(Cotations!N32="","",Cotations!N32))</f>
        <v/>
      </c>
      <c r="M32" s="274" t="str">
        <f>IF(Cotations!P32="","",Cotations!P32)</f>
        <v/>
      </c>
      <c r="N32" s="724" t="str">
        <f>IF(NAMES!$B$10=TRUE,Cotations!J32,Cotations!L32)</f>
        <v/>
      </c>
      <c r="O32" s="724" t="str">
        <f>IF(NAMES!$B$10=TRUE,Cotations!K32,Cotations!M32)</f>
        <v/>
      </c>
      <c r="P32" s="943" t="str">
        <f t="shared" si="415"/>
        <v/>
      </c>
      <c r="Q32" s="724" t="str">
        <f>IF(A32=FALSE,"",IF(Crewlist!Y32="","",Crewlist!Y32))</f>
        <v/>
      </c>
      <c r="R32" s="78" t="str">
        <f>IF(Cotations!U32="","",Cotations!U32)</f>
        <v/>
      </c>
      <c r="S32" s="943" t="str">
        <f t="shared" si="416"/>
        <v/>
      </c>
      <c r="T32" s="919" t="str">
        <f>IF(A32=FALSE,"",VLOOKUP($U$15:$U$120,Currency!$A$2:$D$10,4,0)*Crewlist!N32)</f>
        <v/>
      </c>
      <c r="U32" s="1355" t="str">
        <f>IF(A32=FALSE,"",IF(IT32=0,Crewlist!M32&amp;"/"&amp;EX32,Crewlist!M32&amp;"/"&amp;IT32))</f>
        <v/>
      </c>
      <c r="V32" s="919" t="str">
        <f>IF(A32=FALSE,"",VLOOKUP($U$15:$U$120,Currency!$A$2:$D$10,4,0)*Detail!Q32)</f>
        <v/>
      </c>
      <c r="W32" s="1355" t="str">
        <f>IF(A32=FALSE,"",IF(IT32=0,Detail!R32&amp;"/"&amp;EX32,Detail!R32&amp;"/"&amp;IT32))</f>
        <v/>
      </c>
      <c r="X32" s="919" t="str">
        <f>IF(A32=FALSE,"",IF(LISTES!$C$17="Crewlist",Calcul!T32,Calcul!V32))</f>
        <v/>
      </c>
      <c r="Y32" s="758" t="str">
        <f t="shared" si="417"/>
        <v/>
      </c>
      <c r="Z32" s="758" t="str">
        <f>IF(A32=FALSE,"",IF(X32=0,0,IF((Cotations!BC32*12*X32)&lt;50000,50000,(12*X32))))</f>
        <v/>
      </c>
      <c r="AA32" s="758" t="str">
        <f t="shared" si="418"/>
        <v/>
      </c>
      <c r="AB32" s="758" t="str">
        <f>IF(A32=FALSE,"",IF(Crewlist!O32=0,"",Crewlist!O32))</f>
        <v/>
      </c>
      <c r="AC32" s="758" t="str">
        <f>IF(I32="","",VLOOKUP($AB$15:$AB$120,Currency!$A$15:$B$34,2,0))</f>
        <v/>
      </c>
      <c r="AD32" s="758" t="str">
        <f t="shared" si="419"/>
        <v/>
      </c>
      <c r="AE32" s="758" t="str">
        <f t="shared" si="420"/>
        <v/>
      </c>
      <c r="AF32" s="758" t="str">
        <f t="shared" si="421"/>
        <v/>
      </c>
      <c r="AG32" s="758" t="str">
        <f t="shared" si="422"/>
        <v/>
      </c>
      <c r="AH32" s="1355" t="str">
        <f t="shared" si="222"/>
        <v/>
      </c>
      <c r="AI32" s="919" t="str">
        <f t="shared" si="423"/>
        <v/>
      </c>
      <c r="AJ32" s="1382" t="str">
        <f t="shared" si="424"/>
        <v/>
      </c>
      <c r="AK32" s="1382" t="str">
        <f t="shared" si="425"/>
        <v/>
      </c>
      <c r="AL32" s="238" t="str">
        <f t="shared" si="223"/>
        <v/>
      </c>
      <c r="AM32" s="238" t="str">
        <f t="shared" si="224"/>
        <v/>
      </c>
      <c r="AN32" s="1374" t="str">
        <f t="shared" si="225"/>
        <v/>
      </c>
      <c r="AO32" s="238" t="str">
        <f t="shared" si="226"/>
        <v/>
      </c>
      <c r="AP32" s="342" t="str">
        <f>IF(A32=FALSE,"",INDEX(Rates!$Z$5:$Z$367,MATCH(EB32,colchoice,0)))</f>
        <v/>
      </c>
      <c r="AQ32" s="238" t="str">
        <f t="shared" si="227"/>
        <v/>
      </c>
      <c r="AR32" s="238" t="str">
        <f t="shared" si="426"/>
        <v/>
      </c>
      <c r="AS32" s="238" t="str">
        <f t="shared" si="427"/>
        <v/>
      </c>
      <c r="AT32" s="238" t="str">
        <f t="shared" si="428"/>
        <v/>
      </c>
      <c r="AU32" s="238" t="str">
        <f t="shared" si="228"/>
        <v/>
      </c>
      <c r="AV32" s="238" t="str">
        <f t="shared" si="429"/>
        <v/>
      </c>
      <c r="AW32" s="238" t="str">
        <f t="shared" si="229"/>
        <v/>
      </c>
      <c r="AX32" s="238" t="str">
        <f t="shared" si="230"/>
        <v/>
      </c>
      <c r="AY32" s="238" t="str">
        <f t="shared" si="231"/>
        <v/>
      </c>
      <c r="AZ32" s="238" t="str">
        <f t="shared" si="232"/>
        <v/>
      </c>
      <c r="BA32" s="238" t="str">
        <f t="shared" si="233"/>
        <v/>
      </c>
      <c r="BB32" s="552" t="str">
        <f t="shared" si="234"/>
        <v/>
      </c>
      <c r="BC32" s="347" t="str">
        <f t="shared" si="235"/>
        <v/>
      </c>
      <c r="BD32" s="239" t="str">
        <f t="shared" si="430"/>
        <v/>
      </c>
      <c r="BE32" s="239" t="str">
        <f>IF(A32=FALSE,"",IF(ALLTHESAME=TRUE,IF(DF32&lt;&gt;$BC$7,0,INDEX(DD32:DZ32,1,MATCH(Structure!$D$12,$DD$14:$DZ$14,0))),IF(EC32&lt;&gt;$BC$7,0,INDEX(EA32:EZ32,1,MATCH(Structure!$D$12,$EA$14:$EZ$14,0)))))</f>
        <v/>
      </c>
      <c r="BF32" s="239" t="str">
        <f>IF(A32=FALSE,"",IF(ALLTHESAME=TRUE,IF(FC32&lt;&gt;$BC$7,0,INDEX(FA32:FZ32,1,MATCH(Structure!$D$12,$FA$14:$FZ$14,0))),IF(GC32&lt;&gt;$BC$7,0,INDEX(GA32:GZ32,1,MATCH(Structure!$D$12,$GA$14:$GZ$14,0)))))</f>
        <v/>
      </c>
      <c r="BG32" s="239" t="str">
        <f>IF(A32=FALSE,"",IF(ALLTHESAME=TRUE,IF(VC32&lt;&gt;$BC$7,0,INDEX(VA32:VZ32,1,MATCH(Structure!$D$12,$VA$14:$VZ$14,0))),IF(VC32&lt;&gt;$BC$7,0,INDEX(VA32:VZ32,1,MATCH(Structure!$D$12,$VA$14:$VZ$14,0)))))</f>
        <v/>
      </c>
      <c r="BH32" s="239" t="str">
        <f>IF(A32=FALSE,"",IF(ALLTHESAME=TRUE,IF(WC32&lt;&gt;$BC$7,0,INDEX(WA32:WY32,1,MATCH(Structure!$D$12,$WA$14:$WZ$14,0))),IF(WC32&lt;&gt;$BC$7,0,INDEX(WA32:WZ32,1,MATCH(Structure!$D$12,$WA$14:$WZ$14,0)))))</f>
        <v/>
      </c>
      <c r="BI32" s="763" t="str">
        <f>IF(A32=FALSE,"",IF(ALLTHESAME=TRUE,IF(HC32&lt;&gt;$BC$7,0,INDEX(HA32:HZ32,1,MATCH(Structure!$D$12,$HA$14:$HZ$14,0)))+TK32,IF(IC32&lt;&gt;$BC$7,0,INDEX(IA32:IZ32,1,MATCH(Structure!$D$12,$IA$14:$IZ$14,0)))+TK32))</f>
        <v/>
      </c>
      <c r="BJ32" s="239" t="str">
        <f>IF(A32=FALSE,"",IF(ALLTHESAME=TRUE,IF(JC32&lt;&gt;$BC$7,0,INDEX(JA32:JZ32,1,MATCH(Structure!$D$12,$JA$14:$JZ$14,0))),IF(KC32&lt;&gt;$BC$7,0,INDEX(KA32:KZ32,1,MATCH(Structure!$D$12,$KA$14:$KZ$14,0)))))</f>
        <v/>
      </c>
      <c r="BK32" s="763" t="str">
        <f>IF(A32=FALSE,"",IF(ALLTHESAME=TRUE,IF(LC32&lt;&gt;$BC$7,0,INDEX(LA32:LZ32,1,MATCH(Structure!$D$12,$LA$14:$LZ$14,0)))+UK32,IF(MC32&lt;&gt;$BC$7,0,INDEX(MA32:MZ32,1,MATCH(Structure!$D$12,$MA$14:$MZ$14,0)))+UK32))</f>
        <v/>
      </c>
      <c r="BL32" s="239" t="str">
        <f>IF(A32=FALSE,"",IF(ALLTHESAME=TRUE,IF(NC32&lt;&gt;$BC$7,0,INDEX(NA32:NZ32,1,MATCH(Structure!$D$12,$NA$14:$NZ$14,0))),IF(OC32&lt;&gt;$BC$7,0,INDEX(OA32:OZ32,1,MATCH(Structure!$D$12,$OA$14:$OZ$14,0)))))</f>
        <v/>
      </c>
      <c r="BM32" s="239" t="str">
        <f>IF(A32=FALSE,"",IF(ALLTHESAME=TRUE,IF(PC32&lt;&gt;$BC$7,0,INDEX(PA32:PZ32,1,MATCH(Structure!$D$12,$PA$14:$PZ$14,0))),IF(QC32&lt;&gt;$BC$7,0,INDEX(QA32:QZ32,1,MATCH(Structure!$D$12,$QA$14:$QZ$14,0)))))</f>
        <v/>
      </c>
      <c r="BN32" s="341" t="str">
        <f>IF(A32=FALSE,"",IF(ALLTHESAME=TRUE,IF(RC32&lt;&gt;$BC$7,0,INDEX(RA32:RZ32,1,MATCH(Structure!$D$12,$RA$14:$RZ$14,0))),IF(SC32&lt;&gt;$BC$7,0,INDEX(SA32:TA32,1,MATCH(Structure!$D$12,$SA$14:$TA$14,0)))))</f>
        <v/>
      </c>
      <c r="BO32" s="507" t="str">
        <f t="shared" si="236"/>
        <v/>
      </c>
      <c r="BP32" s="239" t="str">
        <f t="shared" si="237"/>
        <v/>
      </c>
      <c r="BQ32" s="239" t="str">
        <f>IF(A32=FALSE,"",IF(ALLTHESAME=TRUE,IF(DF32&lt;&gt;$BO$7,0,INDEX(DD32:DZ32,1,MATCH(Structure!$D$12,$DD$14:$DZ$14,0))),IF(EC32&lt;&gt;$BO$7,0,INDEX(EA32:EZ32,1,MATCH(Structure!$D$12,$EA$14:$EZ$14,0)))))</f>
        <v/>
      </c>
      <c r="BR32" s="239" t="str">
        <f>IF(A32=FALSE,"",IF(ALLTHESAME=TRUE,IF(FC32&lt;&gt;$BO$7,0,INDEX(FA32:FZ32,1,MATCH(Structure!$D$12,$FA$14:$FZ$14,0))),IF(GC32&lt;&gt;$BO$7,0,INDEX(GA32:GZ32,1,MATCH(Structure!$D$12,$GA$14:$GZ$14,0)))))</f>
        <v/>
      </c>
      <c r="BS32" s="239" t="str">
        <f>IF(A32=FALSE,"",IF(ALLTHESAME=TRUE,IF(HC32&lt;&gt;$BO$7,0,INDEX(HA32:HZ32,1,MATCH(Structure!$D$12,$HA$14:$HZ$14,0))),IF(IC32&lt;&gt;$BO$7,0,INDEX(IA32:IZ32,1,MATCH(Structure!$D$12,$IA$14:$IZ$14,0)))))</f>
        <v/>
      </c>
      <c r="BT32" s="239" t="str">
        <f>IF(A32=FALSE,"",IF(ALLTHESAME=TRUE,IF(JC32&lt;&gt;$BO$7,0,INDEX(JA32:JZ32,1,MATCH(Structure!$D$12,$JA$14:$JZ$14,0))),IF(KC32&lt;&gt;$BO$7,0,INDEX(KA32:KZ32,1,MATCH(Structure!$D$12,$KA$14:$KZ$14,0)))))</f>
        <v/>
      </c>
      <c r="BU32" s="239" t="str">
        <f>IF(A32=FALSE,"",IF(ALLTHESAME=TRUE,IF(LC32&lt;&gt;$BO$7,0,INDEX(LA32:LZ32,1,MATCH(Structure!$D$12,$LA$14:$LZ$14,0))),IF(MC32&lt;&gt;$BO$7,0,INDEX(MA32:MZ32,1,MATCH(Structure!$D$12,$MA$14:$MZ$14,0)))))</f>
        <v/>
      </c>
      <c r="BV32" s="239" t="str">
        <f>IF(A32=FALSE,"",IF(ALLTHESAME=TRUE,IF(NC32&lt;&gt;$BO$7,0,INDEX(NA32:NZ32,1,MATCH(Structure!$D$12,$NA$14:$NZ$14,0))),IF(OC32&lt;&gt;$BO$7,0,INDEX(OA32:OZ32,1,MATCH(Structure!$D$12,$OA$14:$OZ$14,0)))))</f>
        <v/>
      </c>
      <c r="BW32" s="239" t="str">
        <f>IF(A32=FALSE,"",IF(ALLTHESAME=TRUE,IF(PC32&lt;&gt;$BO$7,0,INDEX(PA32:PZ32,1,MATCH(Structure!$D$12,$PA$14:$PZ$14,0))),IF(QC32&lt;&gt;$BO$7,0,INDEX(QA32:QZ32,1,MATCH(Structure!$D$12,$QA$14:$QZ$14,0)))))</f>
        <v/>
      </c>
      <c r="BX32" s="341" t="str">
        <f>IF(A32=FALSE,"",IF(ALLTHESAME=TRUE,IF(RC32&lt;&gt;$BO$7,0,INDEX(RA32:RZ32,1,MATCH(Structure!$D$12,$RA$14:$RZ$14,0))),IF(SC32&lt;&gt;$BO$7,0,INDEX(SA32:TA32,1,MATCH(Structure!$D$12,$SA$14:$TA$14,0)))))</f>
        <v/>
      </c>
      <c r="BY32" s="347" t="str">
        <f t="shared" si="238"/>
        <v/>
      </c>
      <c r="BZ32" s="507" t="str">
        <f t="shared" si="239"/>
        <v/>
      </c>
      <c r="CA32" s="239" t="str">
        <f t="shared" si="240"/>
        <v/>
      </c>
      <c r="CB32" s="239" t="str">
        <f>IF(A32=FALSE,"",IF(ALLTHESAME=TRUE,INDEX(DD32:DZ32,MATCH(DF32,DF32:DF137,0),MATCH(Structure!$D$17,$DD$14:$DZ$14,0)),INDEX(EA32:EZ32,MATCH(EC32,EC32:EC137,0),MATCH(Structure!$D$17,$EA$14:$EZ$14,0))))</f>
        <v/>
      </c>
      <c r="CC32" s="239" t="str">
        <f>IF(A32=FALSE,"",IF(ALLTHESAME=TRUE,INDEX(FA32:FZ32,MATCH(FC32,FC32:FC137,0),MATCH(Structure!$D$17,$FA$14:$FZ$14,0)),INDEX(GA32:GZ32,MATCH(GC32,GC32:GC137,0),MATCH(Structure!$D$17,$GA$14:$GZ$14,0))))</f>
        <v/>
      </c>
      <c r="CD32" s="239" t="str">
        <f>IF(A32=FALSE,"",IF(ALLTHESAME=TRUE,INDEX(HA32:HZ32,MATCH(HC32,HC32:HC137,0),MATCH(Structure!$D$17,$HA$14:$HZ$14,0)),INDEX(IA32:IZ32,MATCH(IC32,IC32:IC137,0),MATCH(Structure!$D$17,$IA$14:$IZ$14,0))))</f>
        <v/>
      </c>
      <c r="CE32" s="239" t="str">
        <f>IF(A32=FALSE,"",IF(ALLTHESAME=TRUE,INDEX(JA32:JZ32,MATCH(JC32,JC32:JC137,0),MATCH(Structure!$D$17,$JA$14:$JZ$14,0)),INDEX(KA32:KZ32,MATCH(KC32,KC32:KC137,0),MATCH(Structure!$D$17,$KA$14:$KZ$14,0))))</f>
        <v/>
      </c>
      <c r="CF32" s="239" t="str">
        <f>IF(A32=FALSE,"",IF(ALLTHESAME=TRUE,INDEX(LA32:LZ32,MATCH(LC32,LC32:LC137,0),MATCH(Structure!$D$17,$LA$14:$LZ$14,0)),INDEX(MA32:MZ32,MATCH(MC32,MC32:MC137,0),MATCH(Structure!$D$17,$MA$14:$MZ$14,0))))</f>
        <v/>
      </c>
      <c r="CG32" s="239" t="str">
        <f>IF(A32=FALSE,"",IF(ALLTHESAME=TRUE,INDEX(NA32:NZ32,MATCH(NC32,NC32:NC137,0),MATCH(Structure!$D$17,$NA$14:$NZ$14,0)),INDEX(OA32:OZ32,MATCH(OC32,OC32:OC137,0),MATCH(Structure!$D$17,$OA$14:$OZ$14,0))))</f>
        <v/>
      </c>
      <c r="CH32" s="239" t="str">
        <f>IF(A32=FALSE,"",IF(ALLTHESAME=TRUE,INDEX(PA32:PZ32,MATCH(PC32,PC32:PC137,0),MATCH(Structure!$D$17,$PA$14:$PZ$14,0)),INDEX(QA32:QZ32,MATCH(QC32,QC32:QC137,0),MATCH(Structure!$D$17,$QA$14:$QZ$14,0))))</f>
        <v/>
      </c>
      <c r="CI32" s="341" t="str">
        <f>IF(A32=FALSE,"",IF(ALLTHESAME=TRUE,INDEX(RA32:RZ32,MATCH(RC32,RC32:RC137,0),MATCH(Structure!$D$17,$RA$14:$RZ$14,0)),INDEX(SA32:TC32,MATCH(SC32,SC32:SC137,0),MATCH(Structure!$D$17,$SA$14:$TC$14,0))))</f>
        <v/>
      </c>
      <c r="CJ32" s="347"/>
      <c r="CK32" s="239" t="str">
        <f t="shared" si="241"/>
        <v/>
      </c>
      <c r="CL32" s="239" t="str">
        <f>IF(A32=FALSE,"",IF(ALLTHESAME=TRUE,INDEX(DD32:DZ32,MATCH(DF32,DF32:DF137,0),MATCH(Structure!$D$22,$DD$14:$DZ$14,0)),INDEX(EA32:EZ32,MATCH(EC32,EC32:EC137,0),MATCH(Structure!$D$22,$EA$14:$EZ$14,0))))</f>
        <v/>
      </c>
      <c r="CM32" s="239" t="str">
        <f>IF(A32=FALSE,"",IF(ALLTHESAME=TRUE,INDEX(FA32:FZ32,MATCH(FC32,FC32:FC137,0),MATCH(Structure!$D$22,$FA$14:$FZ$14,0)),INDEX(GA32:GZ32,MATCH(GC32,GC32:GC137,0),MATCH(Structure!$D$22,$GA$14:$GZ$14,0))))</f>
        <v/>
      </c>
      <c r="CN32" s="239" t="str">
        <f>IF(A32=FALSE,"",IF(ALLTHESAME=TRUE,INDEX(HA32:HZ32,MATCH(HC32,HC32:HC137,0),MATCH(Structure!$D$22,$HA$14:$HZ$14,0)),INDEX(IA32:IZ32,MATCH(IC32,IC32:IC137,0),MATCH(Structure!$D$22,$IA$14:$IZ$14,0))))</f>
        <v/>
      </c>
      <c r="CO32" s="239" t="str">
        <f>IF(A32=FALSE,"",IF(ALLTHESAME=TRUE,INDEX(JA32:JZ32,MATCH(JC32,JC32:JC137,0),MATCH(Structure!$D$22,$JA$14:$JZ$14,0)),INDEX(KA32:KZ32,MATCH(KC32,KC32:KC137,0),MATCH(Structure!$D$22,$KA$14:$KZ$14,0))))</f>
        <v/>
      </c>
      <c r="CP32" s="239" t="str">
        <f>IF(A32=FALSE,"",IF(ALLTHESAME=TRUE,INDEX(LA32:LZ32,MATCH(LC32,LC32:LC137,0),MATCH(Structure!$D$22,$LA$14:$LZ$14,0)),INDEX(MA32:MZ32,MATCH(MC32,MC32:MC137,0),MATCH(Structure!$D$22,$MA$14:$MZ$14,0))))</f>
        <v/>
      </c>
      <c r="CQ32" s="239" t="str">
        <f>IF(A32=FALSE,"",IF(ALLTHESAME=TRUE,INDEX(NA32:NZ32,MATCH(NC32,NC32:NC137,0),MATCH(Structure!$D$22,$NA$14:$NZ$14,0)),INDEX(OA32:OZ32,MATCH(OC32,OC32:OC137,0),MATCH(Structure!$D$22,$OA$14:$OZ$14,0))))</f>
        <v/>
      </c>
      <c r="CR32" s="239" t="str">
        <f>IF(A32=FALSE,"",IF(ALLTHESAME=TRUE,INDEX(PA32:PZ32,MATCH(PC32,PC32:PC137,0),MATCH(Structure!$D$22,$PA$14:$PZ$14,0)),INDEX(QA32:QZ32,MATCH(QC32,QC32:QC137,0),MATCH(Structure!$D$22,$QA$14:$QZ$14,0))))</f>
        <v/>
      </c>
      <c r="CS32" s="341" t="str">
        <f>IF(A32=FALSE,"",IF(ALLTHESAME=TRUE,INDEX(RA32:RZ32,MATCH(RC32,RC32:RC137,0),MATCH(Structure!$D$22,$RA$14:$RZ$14,0)),INDEX(SA32:TC32,MATCH(SC32,SC32:SC137,0),MATCH(Structure!$D$22,$SA$14:$TC$14,0))))</f>
        <v/>
      </c>
      <c r="CT32" s="347"/>
      <c r="CU32" s="239" t="str">
        <f t="shared" si="242"/>
        <v/>
      </c>
      <c r="CV32" s="239" t="str">
        <f>IF(A32=FALSE,"",IF(ALLTHESAME=TRUE,INDEX(DD32:DZ32,MATCH(DF32,DF32:DF137,0),MATCH(Structure!$D$8,$DD$14:$DZ$14,0)),INDEX(EA32:EZ32,MATCH(EC32,EC32:EC137,0),MATCH(Structure!$D$8,$EA$14:$EZ$14,0))))</f>
        <v/>
      </c>
      <c r="CW32" s="239" t="str">
        <f>IF(A32=FALSE,"",IF(ALLTHESAME=TRUE,INDEX(FA32:FZ32,MATCH(FC32,FC32:FC137,0),MATCH(Structure!$D$8,$FA$14:$FZ$14,0)),INDEX(GA32:GZ32,MATCH(GC32,GC32:GC137,0),MATCH(Structure!$D$8,$GA$14:$GZ$14,0))))</f>
        <v/>
      </c>
      <c r="CX32" s="239" t="str">
        <f>IF(A32=FALSE,"",IF(ALLTHESAME=TRUE,INDEX(HA32:HZ32,MATCH(HC32,HC32:HC137,0),MATCH(Structure!$D$8,$HA$14:$HZ$14,0)),INDEX(IA32:IZ32,MATCH(IC32,IC32:IC137,0),MATCH(Structure!$D$8,$IA$14:$IZ$14,0))))</f>
        <v/>
      </c>
      <c r="CY32" s="239" t="str">
        <f>IF(A32=FALSE,"",IF(ALLTHESAME=TRUE,INDEX(JA32:JZ32,MATCH(JC32,JC32:JC137,0),MATCH(Structure!$D$8,$JA$14:$JZ$14,0)),INDEX(KA32:KZ32,MATCH(KC32,KC32:KC137,0),MATCH(Structure!$D$8,$KA$14:$KZ$14,0))))</f>
        <v/>
      </c>
      <c r="CZ32" s="239" t="str">
        <f>IF(A32=FALSE,"",IF(ALLTHESAME=TRUE,INDEX(LA32:LZ32,MATCH(LC32,LC32:LC137,0),MATCH(Structure!$D$8,$LA$14:$LZ$14,0)),INDEX(MA32:MZ32,MATCH(MC32,MC32:MC137,0),MATCH(Structure!$D$8,$MA$14:$MZ$14,0))))</f>
        <v/>
      </c>
      <c r="DA32" s="239" t="str">
        <f>IF(A32=FALSE,"",IF(ALLTHESAME=TRUE,INDEX(NA32:NZ32,MATCH(NC32,NC32:NC137,0),MATCH(Structure!$D$8,$NA$14:$NZ$14,0)),INDEX(OA32:OZ32,MATCH(OC32,OC32:OC137,0),MATCH(Structure!$D$8,$OA$14:$OZ$14,0))))</f>
        <v/>
      </c>
      <c r="DB32" s="239" t="str">
        <f>IF(A32=FALSE,"",IF(ALLTHESAME=TRUE,INDEX(PA32:PZ32,MATCH(PC32,PC32:PC137,0),MATCH(Structure!$D$8,$PA$14:$PZ$14,0)),INDEX(QA32:QZ32,MATCH(QC32,QC32:QC137,0),MATCH(Structure!$D$8,$QA$14:$QZ$14,0))))</f>
        <v/>
      </c>
      <c r="DC32" s="341" t="str">
        <f>IF(A32=FALSE,"",IF(ALLTHESAME=TRUE,INDEX(RA32:RZ32,MATCH(RC32,RC32:RC137,0),MATCH(Structure!$D$8,$RA$14:$RZ$14,0)),INDEX(SA32:TC32,MATCH(SC32,SC32:SC137,0),MATCH(Structure!$D$8,$SA$14:$TC$14,0))))</f>
        <v/>
      </c>
      <c r="DD32" s="492" t="str">
        <f>IF(A32=FALSE,"",Cotations!D32)</f>
        <v/>
      </c>
      <c r="DE32" s="492" t="str">
        <f>IF(A32=FALSE,"",IF(LISTES!$A$17=1,Cotations!AF32,Cotations!$AG$4))</f>
        <v/>
      </c>
      <c r="DF32" s="291" t="str">
        <f t="shared" si="431"/>
        <v/>
      </c>
      <c r="DG32" s="291" t="str">
        <f t="shared" si="243"/>
        <v/>
      </c>
      <c r="DH32" s="291"/>
      <c r="DI32" s="463"/>
      <c r="DJ32" s="463" t="str">
        <f t="shared" si="244"/>
        <v/>
      </c>
      <c r="DK32" s="522" t="str">
        <f>IF(A32=FALSE,"",IF(Cotations!$AH$4="monthly",DJ32/12*L32,DJ32/365*M32))</f>
        <v/>
      </c>
      <c r="DL32" s="489" t="str">
        <f>IF(A32=FALSE,"",Cotations!$AI$4)</f>
        <v/>
      </c>
      <c r="DM32" s="300" t="str">
        <f t="shared" si="245"/>
        <v/>
      </c>
      <c r="DN32" s="300" t="str">
        <f t="shared" si="246"/>
        <v/>
      </c>
      <c r="DO32" s="294" t="str">
        <f t="shared" si="247"/>
        <v/>
      </c>
      <c r="DP32" s="494" t="str">
        <f>IF(A32=FALSE,"",Cotations!$AJ$4)</f>
        <v/>
      </c>
      <c r="DQ32" s="494" t="str">
        <f>IF(A32=FALSE,"",Cotations!$AK$4)</f>
        <v/>
      </c>
      <c r="DR32" s="489" t="str">
        <f>IF(A32=FALSE,"",Cotations!$AL$4)</f>
        <v/>
      </c>
      <c r="DS32" s="494" t="str">
        <f>IF(A32=FALSE,"",IF(DP32="N/A",0,IF(INDEX(LISTES!$F$105:$F$109,MATCH(DP32,LISTES!$C$105:$C$109,0))="FIX",IF(INDEX(LISTES!$E$105:$E$109,MATCH(DP32,LISTES!$C$105:$C$109,0))=12,DQ32/12*L32,DQ32/365*M32),DR32*DO32)))</f>
        <v/>
      </c>
      <c r="DT32" s="294" t="str">
        <f t="shared" si="248"/>
        <v/>
      </c>
      <c r="DU32" s="294" t="str">
        <f>IF(A32=FALSE,"",DT32*Cotations!$AM$4)</f>
        <v/>
      </c>
      <c r="DV32" s="294" t="str">
        <f>IF(A32=FALSE,"",DT32*Cotations!$AN$4)</f>
        <v/>
      </c>
      <c r="DW32" s="465" t="str">
        <f t="shared" si="249"/>
        <v/>
      </c>
      <c r="DX32" s="919" t="str">
        <f>IF(A32=FALSE,"",((DJ32*TAXE)-(DJ32*TAXE*DL32))+IF(DP32="N/A",0,IF(INDEX(LISTES!$F$105:$F$109,MATCH(DP32,LISTES!$C$105:$C$109,0))="FIX",DQ32,DR32*DO32)))</f>
        <v/>
      </c>
      <c r="DY32" s="466"/>
      <c r="DZ32" s="466"/>
      <c r="EA32" s="492" t="str">
        <f>IF(A32=FALSE,"",Cotations!D32)</f>
        <v/>
      </c>
      <c r="EB32" s="494" t="str">
        <f>IF(A32=FALSE,"",IF(LISTES!$A$17=1,Cotations!AF32,Cotations!AG32))</f>
        <v/>
      </c>
      <c r="EC32" s="284" t="str">
        <f t="shared" si="250"/>
        <v/>
      </c>
      <c r="ED32" s="284" t="str">
        <f t="shared" si="251"/>
        <v/>
      </c>
      <c r="EE32" s="284"/>
      <c r="EF32" s="284"/>
      <c r="EG32" s="284" t="str">
        <f t="shared" si="252"/>
        <v/>
      </c>
      <c r="EH32" s="1365" t="str">
        <f t="shared" si="253"/>
        <v/>
      </c>
      <c r="EI32" s="1365" t="str">
        <f t="shared" si="254"/>
        <v/>
      </c>
      <c r="EJ32" s="515" t="str">
        <f>IF(A32=FALSE,"",IF(Cotations!AH32="monthly",EG32/12*L32,EG32/365*M32))</f>
        <v/>
      </c>
      <c r="EK32" s="1364" t="str">
        <f>IF(A32=FALSE,"",IF(Cotations!AH32="monthly",EI32/12*L32,EI32/365*M32))</f>
        <v/>
      </c>
      <c r="EL32" s="493" t="str">
        <f>IF(A32=FALSE,"",IF(Cotations!AI32="","",Cotations!AI32))</f>
        <v/>
      </c>
      <c r="EM32" s="284" t="str">
        <f t="shared" si="255"/>
        <v/>
      </c>
      <c r="EN32" s="284" t="str">
        <f t="shared" si="256"/>
        <v/>
      </c>
      <c r="EO32" s="1365" t="str">
        <f t="shared" si="432"/>
        <v/>
      </c>
      <c r="EP32" s="284" t="str">
        <f t="shared" si="257"/>
        <v/>
      </c>
      <c r="EQ32" s="515" t="str">
        <f>IF(A32=FALSE,"",Cotations!AJ32)</f>
        <v/>
      </c>
      <c r="ER32" s="515" t="str">
        <f>IF(A32=FALSE,"",IF(Cotations!AK32="","",Cotations!AK32))</f>
        <v/>
      </c>
      <c r="ES32" s="493" t="str">
        <f>IF(A32=FALSE,"",Cotations!AL32)</f>
        <v/>
      </c>
      <c r="ET32" s="515" t="str">
        <f>IF(A32=FALSE,"",IF(EQ32="N/A",0,IF(INDEX(LISTES!$F$105:$F$109,MATCH(EQ32,LISTES!$C$105:$C$109,0))="FIX",IF(INDEX(LISTES!$E$105:$E$109,MATCH(EQ32,LISTES!$C$105:$C$109,0))=12,ER32/12*L32,ER32/365*M32),ES32*EP32)))</f>
        <v/>
      </c>
      <c r="EU32" s="294" t="str">
        <f t="shared" si="258"/>
        <v/>
      </c>
      <c r="EV32" s="494" t="str">
        <f>IF(A32=FALSE,"",EU32*Cotations!AM32)</f>
        <v/>
      </c>
      <c r="EW32" s="494" t="str">
        <f>IF(A32=FALSE,"",EU32*Cotations!AN32)</f>
        <v/>
      </c>
      <c r="EX32" s="334" t="str">
        <f t="shared" si="259"/>
        <v/>
      </c>
      <c r="EY32" s="919" t="str">
        <f>IF(A32=FALSE,"",((EG32*TAXE)-(EG32*TAXE*EL32)+EH32)+IF(EQ32="N/A",0,IF(INDEX(LISTES!$F$105:$F$109,MATCH(EQ32,LISTES!$C$105:$C$109,0))="FIX",ER32,ES32*EP32)))</f>
        <v/>
      </c>
      <c r="FA32" s="492" t="str">
        <f>IF(A32=FALSE,"",Cotations!D32)</f>
        <v/>
      </c>
      <c r="FB32" s="519" t="str">
        <f>IF(A32=FALSE,"",IF(LISTES!$A$17=1,Cotations!AO32,Cotations!$AP$4))</f>
        <v/>
      </c>
      <c r="FC32" s="291" t="str">
        <f t="shared" si="260"/>
        <v/>
      </c>
      <c r="FD32" s="291" t="str">
        <f t="shared" si="261"/>
        <v/>
      </c>
      <c r="FE32" s="291"/>
      <c r="FF32" s="463"/>
      <c r="FG32" s="463" t="str">
        <f t="shared" si="262"/>
        <v/>
      </c>
      <c r="FH32" s="522" t="str">
        <f>IF(A32=FALSE,"",IF(Cotations!$AQ$4="monthly",FG32/12*L32,FG32/365*M32))</f>
        <v/>
      </c>
      <c r="FI32" s="453" t="str">
        <f>IF(A32=FALSE,"",Cotations!$AR$4)</f>
        <v/>
      </c>
      <c r="FJ32" s="300" t="str">
        <f t="shared" si="263"/>
        <v/>
      </c>
      <c r="FK32" s="300" t="str">
        <f t="shared" si="264"/>
        <v/>
      </c>
      <c r="FL32" s="294" t="str">
        <f t="shared" si="265"/>
        <v/>
      </c>
      <c r="FM32" s="494" t="str">
        <f>IF(A32=FALSE,"",Cotations!$AS$4)</f>
        <v/>
      </c>
      <c r="FN32" s="494" t="str">
        <f>IF(A32=FALSE,"",Cotations!$AT$4)</f>
        <v/>
      </c>
      <c r="FO32" s="489" t="str">
        <f>IF(A32=FALSE,"",Cotations!$AU$4)</f>
        <v/>
      </c>
      <c r="FP32" s="494" t="str">
        <f>IF(A32=FALSE,"",IF(FM32="N/A",0,IF(INDEX(LISTES!$F$105:$F$109,MATCH(FM32,LISTES!$C$105:$C$109,0))="FIX",IF(INDEX(LISTES!$E$105:$E$109,MATCH(FM32,LISTES!$C$105:$C$109,0))=12,FN32/12*L32,FN32/365*M32),FO32*FL32)))</f>
        <v/>
      </c>
      <c r="FQ32" s="294" t="str">
        <f t="shared" si="266"/>
        <v/>
      </c>
      <c r="FR32" s="494" t="str">
        <f>IF(A32=FALSE,"",FQ32*Cotations!$AV$4)</f>
        <v/>
      </c>
      <c r="FS32" s="494" t="str">
        <f>IF(A32=FALSE,"",FQ32*Cotations!$AW$4)</f>
        <v/>
      </c>
      <c r="FT32" s="465" t="str">
        <f t="shared" si="267"/>
        <v/>
      </c>
      <c r="FU32" s="919" t="str">
        <f>IF(A32=FALSE,"",((FG32*TAXE)-(FG32*TAXE*FI32))+IF(FM32="N/A",0,IF(INDEX(LISTES!$F$105:$F$109,MATCH(FM32,LISTES!$C$105:$C$109,0))="FIX",FN32,FO32*FL32)))</f>
        <v/>
      </c>
      <c r="FV32" s="478"/>
      <c r="FW32" s="478"/>
      <c r="FX32" s="478"/>
      <c r="FY32" s="478"/>
      <c r="FZ32" s="478"/>
      <c r="GA32" s="492" t="str">
        <f>IF(A32=FALSE,"",Cotations!D32)</f>
        <v/>
      </c>
      <c r="GB32" s="494" t="str">
        <f>IF(A32=FALSE,"",IF(LISTES!$A$17=1,Cotations!AO32,Cotations!AP32))</f>
        <v/>
      </c>
      <c r="GC32" s="284" t="str">
        <f t="shared" si="268"/>
        <v/>
      </c>
      <c r="GD32" s="515" t="str">
        <f>IF(A32=FALSE,"",IF(Detail!AM32="","",Detail!AM32))</f>
        <v/>
      </c>
      <c r="GE32" s="284"/>
      <c r="GF32" s="284"/>
      <c r="GG32" s="284" t="str">
        <f t="shared" si="269"/>
        <v/>
      </c>
      <c r="GH32" s="515" t="str">
        <f>IF(A32=FALSE,"",IF(Cotations!AQ32="monthly",GG32/12*L32,GG32/365*M32))</f>
        <v/>
      </c>
      <c r="GI32" s="493" t="str">
        <f>IF(A32=FALSE,"",IF(Cotations!AR32="","",Cotations!AR32))</f>
        <v/>
      </c>
      <c r="GJ32" s="284" t="str">
        <f t="shared" si="270"/>
        <v/>
      </c>
      <c r="GK32" s="284" t="str">
        <f t="shared" si="271"/>
        <v/>
      </c>
      <c r="GL32" s="284" t="str">
        <f t="shared" si="272"/>
        <v/>
      </c>
      <c r="GM32" s="515" t="str">
        <f>IF(A32=FALSE,"",Cotations!AS32)</f>
        <v/>
      </c>
      <c r="GN32" s="515" t="str">
        <f>IF(A32=FALSE,"",Cotations!AT32)</f>
        <v/>
      </c>
      <c r="GO32" s="493" t="str">
        <f>IF(A32=FALSE,"",Cotations!AU32)</f>
        <v/>
      </c>
      <c r="GP32" s="515" t="str">
        <f>IF(A32=FALSE,"",IF(GM32="N/A",0,IF(INDEX(LISTES!$F$105:$F$109,MATCH(GM32,LISTES!$C$105:$C$109,0))="FIX",IF(INDEX(LISTES!$E$105:$E$109,MATCH(GM32,LISTES!$C$105:$C$109,0))=12,GN32/12*L32,GN32/365*M32),GO32*GL32)))</f>
        <v/>
      </c>
      <c r="GQ32" s="294" t="str">
        <f t="shared" si="273"/>
        <v/>
      </c>
      <c r="GR32" s="494" t="str">
        <f>IF(A32=FALSE,"",GQ32*Cotations!AV32)</f>
        <v/>
      </c>
      <c r="GS32" s="494" t="str">
        <f>IF(A32=FALSE,"",GQ32*Cotations!AW32)</f>
        <v/>
      </c>
      <c r="GT32" s="334" t="str">
        <f t="shared" si="274"/>
        <v/>
      </c>
      <c r="GU32" s="919" t="str">
        <f>IF(A32=FALSE,"",((GG32*TAXE)-(GG32*TAXE*GI32))+IF(GM32="N/A",0,IF(INDEX(LISTES!$F$105:$F$109,MATCH(GM32,LISTES!$C$105:$C$109,0))="FIX",GN32,GO32*GL32)))</f>
        <v/>
      </c>
      <c r="GV32" s="478"/>
      <c r="GW32" s="466"/>
      <c r="GX32" s="466"/>
      <c r="GY32" s="466"/>
      <c r="GZ32" s="466"/>
      <c r="HA32" s="492" t="str">
        <f>IF(A32=FALSE,"",Cotations!D32)</f>
        <v/>
      </c>
      <c r="HB32" s="495" t="str">
        <f>IF(A32=FALSE,"",IF(LISTES!$A$17=1,Cotations!AX32,Cotations!$AY$4))</f>
        <v/>
      </c>
      <c r="HC32" s="291" t="str">
        <f t="shared" si="275"/>
        <v/>
      </c>
      <c r="HD32" s="291" t="str">
        <f t="shared" si="276"/>
        <v/>
      </c>
      <c r="HE32" s="456" t="str">
        <f t="shared" si="277"/>
        <v/>
      </c>
      <c r="HF32" s="496" t="str">
        <f>IF(A32=FALSE,"",IF(HA32="POEA",Cotations!BA32,IF(HA32="FIXE",Cotations!$BA$4,Cotations!$BC$4*Y32)))</f>
        <v/>
      </c>
      <c r="HG32" s="300" t="str">
        <f t="shared" si="278"/>
        <v/>
      </c>
      <c r="HH32" s="522" t="str">
        <f>IF(A32=FALSE,"",IF(Cotations!$AZ$4="monthly",HG32/12*L32,HG32/365*M32))</f>
        <v/>
      </c>
      <c r="HI32" s="489" t="str">
        <f>IF(A32=FALSE,"",Cotations!$BD$4)</f>
        <v/>
      </c>
      <c r="HJ32" s="300" t="str">
        <f t="shared" si="279"/>
        <v/>
      </c>
      <c r="HK32" s="300" t="str">
        <f t="shared" si="280"/>
        <v/>
      </c>
      <c r="HL32" s="294" t="str">
        <f t="shared" si="281"/>
        <v/>
      </c>
      <c r="HM32" s="494" t="str">
        <f>IF(A32=FALSE,"",Cotations!$BE$4)</f>
        <v/>
      </c>
      <c r="HN32" s="522" t="str">
        <f>IF(A32=FALSE,"",Cotations!$BF$4)</f>
        <v/>
      </c>
      <c r="HO32" s="489" t="str">
        <f>IF(A32=FALSE,"",Cotations!$BG$4)</f>
        <v/>
      </c>
      <c r="HP32" s="494" t="str">
        <f>IF(A32=FALSE,"",IF(HM32="N/A",0,IF(INDEX(LISTES!$F$105:$F$109,MATCH(HM32,LISTES!$C$105:$C$109,0))="FIX",IF(INDEX(LISTES!$E$105:$E$109,MATCH(HM32,LISTES!$C$105:$C$109,0))=12,HN32/12*L32,HN32/365*M32),HO32*HL32)))</f>
        <v/>
      </c>
      <c r="HQ32" s="294" t="str">
        <f t="shared" si="282"/>
        <v/>
      </c>
      <c r="HR32" s="494" t="str">
        <f>IF(A32=FALSE,"",HQ32*Cotations!$BH$4)</f>
        <v/>
      </c>
      <c r="HS32" s="494" t="str">
        <f>IF(A32=FALSE,"",HQ32*Cotations!$BI$4)</f>
        <v/>
      </c>
      <c r="HT32" s="294" t="str">
        <f t="shared" si="283"/>
        <v/>
      </c>
      <c r="HU32" s="919" t="str">
        <f>IF(A32=FALSE,"",((HG32*TAXE)-(HG32*TAXE*HI32))+IF(HM32="N/A",0,IF(INDEX(LISTES!$F$105:$F$109,MATCH(HM32,LISTES!$C$105:$C$109,0))="FIX",HN32,HO32*HL32)))</f>
        <v/>
      </c>
      <c r="IA32" s="492" t="str">
        <f>IF(A32=FALSE,"",Cotations!D32)</f>
        <v/>
      </c>
      <c r="IB32" s="491" t="str">
        <f>IF(A32=FALSE,"",IF(LISTES!$A$17=1,Cotations!AX32,Cotations!AY32))</f>
        <v/>
      </c>
      <c r="IC32" s="285" t="str">
        <f t="shared" si="284"/>
        <v/>
      </c>
      <c r="ID32" s="300" t="str">
        <f>IF(A32=FALSE,"",IF(LISTES!$A$17=3,Detail!AU32,lig1_Formula_PREVOY))</f>
        <v/>
      </c>
      <c r="IE32" s="461" t="str">
        <f t="shared" si="285"/>
        <v/>
      </c>
      <c r="IF32" s="490" t="str">
        <f>IF(A32=FALSE,"",IF(IA32="POEA",Cotations!BA32,IF(HA32="FIXE",Cotations!BB32,IF(Cotations!BC32*Y32&lt;50000,Z32,Cotations!BC32*Y32))))</f>
        <v/>
      </c>
      <c r="IG32" s="300" t="str">
        <f t="shared" si="286"/>
        <v/>
      </c>
      <c r="IH32" s="522" t="str">
        <f>IF(A32=FALSE,"",IF(Cotations!AZ32="monthly",IG32/12*L32,IG32/365*M32))</f>
        <v/>
      </c>
      <c r="II32" s="489" t="str">
        <f>IF(A32=FALSE,"",IF(Cotations!BD32="","",Cotations!BD32))</f>
        <v/>
      </c>
      <c r="IJ32" s="300" t="str">
        <f t="shared" si="287"/>
        <v/>
      </c>
      <c r="IK32" s="300" t="str">
        <f t="shared" si="288"/>
        <v/>
      </c>
      <c r="IL32" s="919" t="str">
        <f t="shared" si="289"/>
        <v/>
      </c>
      <c r="IM32" s="517" t="str">
        <f>IF(A32=FALSE,"",Cotations!BE32)</f>
        <v/>
      </c>
      <c r="IN32" s="517" t="str">
        <f>IF(A32=FALSE,"",Cotations!BF32)</f>
        <v/>
      </c>
      <c r="IO32" s="493" t="str">
        <f>IF(A32=FALSE,"",Cotations!BG32)</f>
        <v/>
      </c>
      <c r="IP32" s="517" t="str">
        <f>IF(A32=FALSE,"",IF(IM32="N/A",0,IF(INDEX(LISTES!$F$105:$F$109,MATCH(IM32,LISTES!$C$105:$C$109,0))="FIX",IF(INDEX(LISTES!$E$105:$E$109,MATCH(IM32,LISTES!$C$105:$C$109,0))=12,IN32/12*L32,IN32/365*M32),IO32*IL32)))</f>
        <v/>
      </c>
      <c r="IQ32" s="294" t="str">
        <f t="shared" si="290"/>
        <v/>
      </c>
      <c r="IR32" s="494" t="str">
        <f>IF(A32=FALSE,"",IQ32*Cotations!BH32)</f>
        <v/>
      </c>
      <c r="IS32" s="494" t="str">
        <f>IF(A32=FALSE,"",IQ32*Cotations!BI32)</f>
        <v/>
      </c>
      <c r="IT32" s="338" t="str">
        <f t="shared" si="291"/>
        <v/>
      </c>
      <c r="IU32" s="919" t="str">
        <f>IF(A32=FALSE,"",((IG32*TAXE)-(IG32*TAXE*II32))+IF(IM32="N/A",0,IF(INDEX(LISTES!$F$105:$F$109,MATCH(IM32,LISTES!$C$105:$C$109,0))="FIX",IN32,IO32*IL32)))</f>
        <v/>
      </c>
      <c r="JA32" s="492" t="str">
        <f>IF(A32=FALSE,"",Cotations!D32)</f>
        <v/>
      </c>
      <c r="JB32" s="495" t="str">
        <f>IF(A32=FALSE,"",IF(LISTES!$A$17=1,Cotations!BJ32,Cotations!$BK$4))</f>
        <v/>
      </c>
      <c r="JC32" s="291" t="str">
        <f t="shared" si="292"/>
        <v/>
      </c>
      <c r="JD32" s="291" t="str">
        <f t="shared" si="293"/>
        <v/>
      </c>
      <c r="JE32" s="456" t="str">
        <f t="shared" si="294"/>
        <v/>
      </c>
      <c r="JF32" s="496" t="str">
        <f>IF(A32=FALSE,"",IF(JA32="POEA",Cotations!BM32,IF(JA32="FIXE",Cotations!$BM$4,Cotations!$BO$4*Y32)))</f>
        <v/>
      </c>
      <c r="JG32" s="300" t="str">
        <f t="shared" si="295"/>
        <v/>
      </c>
      <c r="JH32" s="522" t="str">
        <f>IF(A32=FALSE,"",IF(Cotations!$BL$4="monthly",JG32/12*L32,JG32/365*M32))</f>
        <v/>
      </c>
      <c r="JI32" s="489" t="str">
        <f>IF(A32=FALSE,"",Cotations!$BP$4)</f>
        <v/>
      </c>
      <c r="JJ32" s="300" t="str">
        <f t="shared" si="296"/>
        <v/>
      </c>
      <c r="JK32" s="300" t="str">
        <f t="shared" si="297"/>
        <v/>
      </c>
      <c r="JL32" s="294" t="str">
        <f t="shared" si="298"/>
        <v/>
      </c>
      <c r="JM32" s="494" t="str">
        <f>IF(A32=FALSE,"",Cotations!$BQ$4)</f>
        <v/>
      </c>
      <c r="JN32" s="522" t="str">
        <f>IF(A32=FALSE,"",Cotations!$BR$4)</f>
        <v/>
      </c>
      <c r="JO32" s="489" t="str">
        <f>IF(A32=FALSE,"",Cotations!$BS$4)</f>
        <v/>
      </c>
      <c r="JP32" s="494" t="str">
        <f>IF(A32=FALSE,"",IF(JM32="N/A",0,IF(INDEX(LISTES!$F$105:$F$109,MATCH(JM32,LISTES!$C$105:$C$109,0))="FIX",IF(INDEX(LISTES!$E$105:$E$109,MATCH(JM32,LISTES!$C$105:$C$109,0))=12,JN32/12*L32,JN32/365*M32),JO32*JL32)))</f>
        <v/>
      </c>
      <c r="JQ32" s="294" t="str">
        <f t="shared" si="299"/>
        <v/>
      </c>
      <c r="JR32" s="494" t="str">
        <f>IF(A32=FALSE,"",JQ32*Cotations!$BT$4)</f>
        <v/>
      </c>
      <c r="JS32" s="494" t="str">
        <f>IF(A32=FALSE,"",JQ32*Cotations!$BU$4)</f>
        <v/>
      </c>
      <c r="JT32" s="294" t="str">
        <f t="shared" si="300"/>
        <v/>
      </c>
      <c r="JU32" s="919" t="str">
        <f>IF(A32=FALSE,"",((JG32*TAXE)-(JG32*TAXE*JI32))+IF(JM32="N/A",0,IF(INDEX(LISTES!$F$105:$F$109,MATCH(JM32,LISTES!$C$105:$C$109,0))="FIX",JN32,JO32*JL32)))</f>
        <v/>
      </c>
      <c r="KA32" s="492" t="str">
        <f>IF(A32=FALSE,"",Cotations!D32)</f>
        <v/>
      </c>
      <c r="KB32" s="491" t="str">
        <f>IF(A32=FALSE,"",IF(LISTES!$A$17=1,Cotations!BJ32,Cotations!BK32))</f>
        <v/>
      </c>
      <c r="KC32" s="285" t="str">
        <f t="shared" si="301"/>
        <v/>
      </c>
      <c r="KD32" s="300"/>
      <c r="KE32" s="461" t="str">
        <f t="shared" si="302"/>
        <v/>
      </c>
      <c r="KF32" s="490" t="str">
        <f>IF(A32=FALSE,"",IF(KA32="POEA",Cotations!BM32,IF(KA32="FIXE",Cotations!BN32,IF(Cotations!BO32*Y32&lt;50000,Z32,Cotations!BO32*Y32))))</f>
        <v/>
      </c>
      <c r="KG32" s="300" t="str">
        <f t="shared" si="303"/>
        <v/>
      </c>
      <c r="KH32" s="522" t="str">
        <f>IF(A32=FALSE,"",IF(Cotations!BL32="monthly",KG32/12*L32,KG32/365*M32))</f>
        <v/>
      </c>
      <c r="KI32" s="489" t="str">
        <f>IF(A32=FALSE,"",IF(Cotations!BP32="","",Cotations!BP32))</f>
        <v/>
      </c>
      <c r="KJ32" s="300" t="str">
        <f t="shared" si="304"/>
        <v/>
      </c>
      <c r="KK32" s="300" t="str">
        <f t="shared" si="305"/>
        <v/>
      </c>
      <c r="KL32" s="919" t="str">
        <f t="shared" si="306"/>
        <v/>
      </c>
      <c r="KM32" s="517" t="str">
        <f>IF(A32=FALSE,"",Cotations!BQ32)</f>
        <v/>
      </c>
      <c r="KN32" s="515" t="str">
        <f>IF(A32=FALSE,"",Cotations!BR32)</f>
        <v/>
      </c>
      <c r="KO32" s="493" t="str">
        <f>IF(A32=FALSE,"",Cotations!BS32)</f>
        <v/>
      </c>
      <c r="KP32" s="517" t="str">
        <f>IF(A32=FALSE,"",IF(KM32="N/A",0,IF(INDEX(LISTES!$F$105:$F$109,MATCH(KM32,LISTES!$C$105:$C$109,0))="FIX",IF(INDEX(LISTES!$E$105:$E$109,MATCH(KM32,LISTES!$C$105:$C$109,0))=12,KN32/12*L32,KN32/365*M32),KO32*KL32)))</f>
        <v/>
      </c>
      <c r="KQ32" s="294" t="str">
        <f t="shared" si="307"/>
        <v/>
      </c>
      <c r="KR32" s="494" t="str">
        <f>IF(A32=FALSE,"",KQ32*Cotations!BT32)</f>
        <v/>
      </c>
      <c r="KS32" s="494" t="str">
        <f>IF(A32=FALSE,"",KQ32*Cotations!BU32)</f>
        <v/>
      </c>
      <c r="KT32" s="338" t="str">
        <f t="shared" si="308"/>
        <v/>
      </c>
      <c r="KU32" s="919" t="str">
        <f>IF(A32=FALSE,"",((KG32*TAXE)-(KG32*TAXE*KI32))+IF(KM32="N/A",0,IF(INDEX(LISTES!$F$105:$F$109,MATCH(KM32,LISTES!$C$105:$C$109,0))="FIX",KN32,KO32*KL32)))</f>
        <v/>
      </c>
      <c r="LA32" s="497" t="str">
        <f>IF(A32=FALSE,"",Cotations!D32)</f>
        <v/>
      </c>
      <c r="LB32" s="498" t="str">
        <f>IF(A32=FALSE,"",IF(LISTES!$A$17=1,Cotations!BV32,Cotations!$BW$4))</f>
        <v/>
      </c>
      <c r="LC32" s="499" t="str">
        <f t="shared" si="309"/>
        <v/>
      </c>
      <c r="LD32" s="499" t="str">
        <f t="shared" si="310"/>
        <v/>
      </c>
      <c r="LE32" s="500" t="str">
        <f t="shared" si="311"/>
        <v/>
      </c>
      <c r="LF32" s="501" t="str">
        <f>IF(A32=FALSE,"",IF(LA32="POEA",Cotations!EJ32,IF(LA32="FIXE",Cotations!$BY$4,Cotations!$CA$4*Y32)))</f>
        <v/>
      </c>
      <c r="LG32" s="502" t="str">
        <f t="shared" si="312"/>
        <v/>
      </c>
      <c r="LH32" s="520" t="str">
        <f>IF(A32=FALSE,"",IF(Cotations!$BX$4="monthly",LG32/12*L32,LG32/365*M32))</f>
        <v/>
      </c>
      <c r="LI32" s="503" t="str">
        <f>IF(A32=FALSE,"",Cotations!$CB$4)</f>
        <v/>
      </c>
      <c r="LJ32" s="502" t="str">
        <f t="shared" si="313"/>
        <v/>
      </c>
      <c r="LK32" s="502" t="str">
        <f t="shared" si="314"/>
        <v/>
      </c>
      <c r="LL32" s="504" t="str">
        <f t="shared" si="315"/>
        <v/>
      </c>
      <c r="LM32" s="505" t="str">
        <f>IF(A32=FALSE,"",Cotations!$CC$4)</f>
        <v/>
      </c>
      <c r="LN32" s="503" t="str">
        <f>IF(A32=FALSE,"",Cotations!$CD$4)</f>
        <v/>
      </c>
      <c r="LO32" s="503" t="str">
        <f>IF(A32=FALSE,"",Cotations!$CE$4)</f>
        <v/>
      </c>
      <c r="LP32" s="505" t="str">
        <f>IF(A32=FALSE,"",IF(LM32="N/A",0,IF(INDEX(LISTES!$F$105:$F$109,MATCH(LM32,LISTES!$C$105:$C$109,0))="FIX",IF(INDEX(LISTES!$E$105:$E$109,MATCH(LM32,LISTES!$C$105:$C$109,0))=12,LN32/12*L32,LN32/365*M32),LO32*LL32)))</f>
        <v/>
      </c>
      <c r="LQ32" s="504" t="str">
        <f t="shared" si="316"/>
        <v/>
      </c>
      <c r="LR32" s="505" t="str">
        <f>IF(A32=FALSE,"",LQ32*Cotations!$CF$4)</f>
        <v/>
      </c>
      <c r="LS32" s="505" t="str">
        <f>IF(A32=FALSE,"",LQ32*Cotations!$CG$4)</f>
        <v/>
      </c>
      <c r="LT32" s="506" t="str">
        <f t="shared" si="317"/>
        <v/>
      </c>
      <c r="LU32" s="919" t="str">
        <f>IF(A32=FALSE,"",((LG32*TAXE)-(LG32*TAXE*LI32))+IF(LM32="N/A",0,IF(INDEX(LISTES!$F$105:$F$109,MATCH(LM32,LISTES!$C$105:$C$109,0))="FIX",LN32,LO32*LL32)))</f>
        <v/>
      </c>
      <c r="MA32" s="492" t="str">
        <f>IF(A32=FALSE,"",Cotations!D32)</f>
        <v/>
      </c>
      <c r="MB32" s="491" t="str">
        <f>IF(A32=FALSE,"",IF(LISTES!$A$17=1,Cotations!BV32,Cotations!BW32))</f>
        <v/>
      </c>
      <c r="MC32" s="285" t="str">
        <f t="shared" si="318"/>
        <v/>
      </c>
      <c r="MD32" s="300"/>
      <c r="ME32" s="461" t="str">
        <f t="shared" si="319"/>
        <v/>
      </c>
      <c r="MF32" s="490" t="str">
        <f>IF(A32=FALSE,"",IF(MA32="POEA",Cotations!BY32,IF(MA32="FIXE",Cotations!BZ32,IF(Cotations!CA32*Y32&lt;50000,Z32,Cotations!CA32*Y32))))</f>
        <v/>
      </c>
      <c r="MG32" s="300" t="str">
        <f t="shared" si="320"/>
        <v/>
      </c>
      <c r="MH32" s="522" t="str">
        <f>IF(A32=FALSE,"",IF(Cotations!BX32="monthly",MG32/12*L32,MG32/365*M32))</f>
        <v/>
      </c>
      <c r="MI32" s="489" t="str">
        <f>IF(A32=FALSE,"",IF(Cotations!CB32="","",Cotations!CB32))</f>
        <v/>
      </c>
      <c r="MJ32" s="300" t="str">
        <f t="shared" si="321"/>
        <v/>
      </c>
      <c r="MK32" s="300" t="str">
        <f t="shared" si="322"/>
        <v/>
      </c>
      <c r="ML32" s="919" t="str">
        <f t="shared" si="323"/>
        <v/>
      </c>
      <c r="MM32" s="517" t="str">
        <f>IF(A32=FALSE,"",Cotations!CC32)</f>
        <v/>
      </c>
      <c r="MN32" s="515" t="str">
        <f>IF(A32=FALSE,"",Cotations!CD32)</f>
        <v/>
      </c>
      <c r="MO32" s="493" t="str">
        <f>IF(A32=FALSE,"",Cotations!CE32)</f>
        <v/>
      </c>
      <c r="MP32" s="517" t="str">
        <f>IF(A32=FALSE,"",IF(MM32="N/A",0,IF(INDEX(LISTES!$F$105:$F$109,MATCH(MM32,LISTES!$C$105:$C$109,0))="FIX",IF(INDEX(LISTES!$E$105:$E$109,MATCH(MM32,LISTES!$C$105:$C$109,0))=12,MN32/12*L32,MN32/365*M32),MO32*ML32)))</f>
        <v/>
      </c>
      <c r="MQ32" s="294" t="str">
        <f t="shared" si="324"/>
        <v/>
      </c>
      <c r="MR32" s="494" t="str">
        <f>IF(A32=FALSE,"",MQ32*Cotations!CF32)</f>
        <v/>
      </c>
      <c r="MS32" s="494" t="str">
        <f>IF(A32=FALSE,"",MQ32*Cotations!CG32)</f>
        <v/>
      </c>
      <c r="MT32" s="338" t="str">
        <f t="shared" si="325"/>
        <v/>
      </c>
      <c r="MU32" s="919" t="str">
        <f>IF(A32=FALSE,"",((MG32*TAXE)-(MG32*TAXE*MI32))+IF(MM32="N/A",0,IF(INDEX(LISTES!$F$105:$F$109,MATCH(MM32,LISTES!$C$105:$C$109,0))="FIX",MN32,MO32*ML32)))</f>
        <v/>
      </c>
      <c r="NA32" s="497" t="str">
        <f>IF(A32=FALSE,"",Cotations!D32)</f>
        <v/>
      </c>
      <c r="NB32" s="498" t="str">
        <f>IF(A32=FALSE,"",IF(LISTES!$A$17=1,Cotations!CH32,Cotations!$CI$4))</f>
        <v/>
      </c>
      <c r="NC32" s="499" t="str">
        <f t="shared" si="326"/>
        <v/>
      </c>
      <c r="ND32" s="499" t="str">
        <f t="shared" si="327"/>
        <v/>
      </c>
      <c r="NE32" s="500" t="str">
        <f t="shared" si="328"/>
        <v/>
      </c>
      <c r="NF32" s="501" t="str">
        <f>IF(A32=FALSE,"",IF(NA32="POEA",Cotations!CK32,IF(NA32="FIXE",Cotations!$CK$4,Cotations!$CM$4*Y32)))</f>
        <v/>
      </c>
      <c r="NG32" s="502" t="str">
        <f t="shared" si="329"/>
        <v/>
      </c>
      <c r="NH32" s="520" t="str">
        <f>IF(A32=FALSE,"",IF(Cotations!$CJ$4="monthly",NG32/12*L32,NG32/365*M32))</f>
        <v/>
      </c>
      <c r="NI32" s="503" t="str">
        <f>IF(A32=FALSE,"",Cotations!$CN$4)</f>
        <v/>
      </c>
      <c r="NJ32" s="502" t="str">
        <f t="shared" si="330"/>
        <v/>
      </c>
      <c r="NK32" s="502" t="str">
        <f t="shared" si="331"/>
        <v/>
      </c>
      <c r="NL32" s="504" t="str">
        <f t="shared" si="332"/>
        <v/>
      </c>
      <c r="NM32" s="505" t="str">
        <f>IF(A32=FALSE,"",Cotations!$CO$4)</f>
        <v/>
      </c>
      <c r="NN32" s="520" t="str">
        <f>IF(A32=FALSE,"",Cotations!$CP$4)</f>
        <v/>
      </c>
      <c r="NO32" s="503" t="str">
        <f>IF(A32=FALSE,"",Cotations!$CQ$4)</f>
        <v/>
      </c>
      <c r="NP32" s="505" t="str">
        <f>IF(A32=FALSE,"",IF(NM32="N/A",0,IF(INDEX(LISTES!$F$105:$F$109,MATCH(NM32,LISTES!$C$105:$C$109,0))="FIX",IF(INDEX(LISTES!$E$105:$E$109,MATCH(NM32,LISTES!$C$105:$C$109,0))=12,NN32/12*L32,NN32/365*M32),NO32*NL32)))</f>
        <v/>
      </c>
      <c r="NQ32" s="504" t="str">
        <f t="shared" si="333"/>
        <v/>
      </c>
      <c r="NR32" s="505" t="str">
        <f>IF(A32=FALSE,"",NQ32*Cotations!$CR$4)</f>
        <v/>
      </c>
      <c r="NS32" s="505" t="str">
        <f>IF(A32=FALSE,"",NQ32*Cotations!$CS$4)</f>
        <v/>
      </c>
      <c r="NT32" s="506" t="str">
        <f t="shared" si="334"/>
        <v/>
      </c>
      <c r="NU32" s="919" t="str">
        <f>IF(A32=FALSE,"",((NG32*TAXE)-(NG32*TAXE*NI32))+IF(NM32="N/A",0,IF(INDEX(LISTES!$F$105:$F$109,MATCH(NM32,LISTES!$C$105:$C$109,0))="FIX",NN32,NO32*NL32)))</f>
        <v/>
      </c>
      <c r="OA32" s="492" t="str">
        <f>IF(A32=FALSE,"",Cotations!D32)</f>
        <v/>
      </c>
      <c r="OB32" s="491" t="str">
        <f>IF(A32=FALSE,"",IF(LISTES!$A$17=1,Cotations!CH32,Cotations!CI32))</f>
        <v/>
      </c>
      <c r="OC32" s="285" t="str">
        <f t="shared" si="335"/>
        <v/>
      </c>
      <c r="OD32" s="300"/>
      <c r="OE32" s="461" t="str">
        <f t="shared" si="336"/>
        <v/>
      </c>
      <c r="OF32" s="490" t="str">
        <f>IF(A32=FALSE,"",IF(OA32="POEA",Cotations!CK32,IF(OA32="FIXE",Cotations!CL32,IF(Cotations!CM32*Y32&lt;50000,Z32,Cotations!CM32*Y32))))</f>
        <v/>
      </c>
      <c r="OG32" s="300" t="str">
        <f t="shared" si="337"/>
        <v/>
      </c>
      <c r="OH32" s="522" t="str">
        <f>IF(A32=FALSE,"",IF(Cotations!CJ32="monthly",OG32/12*L32,OG32/365*M32))</f>
        <v/>
      </c>
      <c r="OI32" s="489" t="str">
        <f>IF(A32=FALSE,"",IF(Cotations!CN32="","",Cotations!CN32))</f>
        <v/>
      </c>
      <c r="OJ32" s="300" t="str">
        <f t="shared" si="338"/>
        <v/>
      </c>
      <c r="OK32" s="300" t="str">
        <f t="shared" si="339"/>
        <v/>
      </c>
      <c r="OL32" s="919" t="str">
        <f t="shared" si="340"/>
        <v/>
      </c>
      <c r="OM32" s="517" t="str">
        <f>IF(A32=FALSE,"",Cotations!CO32)</f>
        <v/>
      </c>
      <c r="ON32" s="515" t="str">
        <f>IF(A32=FALSE,"",Cotations!CP32)</f>
        <v/>
      </c>
      <c r="OO32" s="493" t="str">
        <f>IF(A32=FALSE,"",Cotations!CQ32)</f>
        <v/>
      </c>
      <c r="OP32" s="517" t="str">
        <f>IF(A32=FALSE,"",IF(OM32="N/A",0,IF(INDEX(LISTES!$F$105:$F$109,MATCH(OM32,LISTES!$C$105:$C$109,0))="FIX",IF(INDEX(LISTES!$E$105:$E$109,MATCH(OM32,LISTES!$C$105:$C$109,0))=12,ON32/12*L32,ON32/365*M32),OO32*OL32)))</f>
        <v/>
      </c>
      <c r="OQ32" s="294" t="str">
        <f t="shared" si="341"/>
        <v/>
      </c>
      <c r="OR32" s="494" t="str">
        <f>IF(A32=FALSE,"",OQ32*Cotations!CR32)</f>
        <v/>
      </c>
      <c r="OS32" s="494" t="str">
        <f>IF(A32=FALSE,"",OQ32*Cotations!CS32)</f>
        <v/>
      </c>
      <c r="OT32" s="338" t="str">
        <f t="shared" si="342"/>
        <v/>
      </c>
      <c r="OU32" s="919" t="str">
        <f>IF(A32=FALSE,"",((OG32*TAXE)-(OG32*TAXE*OI32))+IF(OM32="N/A",0,IF(INDEX(LISTES!$F$105:$F$109,MATCH(OM32,LISTES!$C$105:$C$109,0))="FIX",ON32,OO32*OL32)))</f>
        <v/>
      </c>
      <c r="PA32" s="497" t="str">
        <f t="shared" si="343"/>
        <v/>
      </c>
      <c r="PB32" s="498" t="str">
        <f>IF(A32=FALSE,"",IF(LISTES!$A$17=1,Cotations!CT32,Cotations!$CU$4))</f>
        <v/>
      </c>
      <c r="PC32" s="499" t="str">
        <f t="shared" si="344"/>
        <v/>
      </c>
      <c r="PD32" s="499" t="str">
        <f t="shared" si="345"/>
        <v/>
      </c>
      <c r="PE32" s="500" t="str">
        <f t="shared" si="346"/>
        <v/>
      </c>
      <c r="PF32" s="501" t="str">
        <f>IF(A32=FALSE,"",Cotations!$CY$4*Y32)</f>
        <v/>
      </c>
      <c r="PG32" s="502" t="str">
        <f t="shared" si="347"/>
        <v/>
      </c>
      <c r="PH32" s="520" t="str">
        <f>IF(A32=FALSE,"",IF(Cotations!$CV$4="monthly",PG32/12*L32,PG32/365*M32))</f>
        <v/>
      </c>
      <c r="PI32" s="503" t="str">
        <f>IF(A32=FALSE,"",Cotations!$CZ$4)</f>
        <v/>
      </c>
      <c r="PJ32" s="502" t="str">
        <f t="shared" si="348"/>
        <v/>
      </c>
      <c r="PK32" s="502" t="str">
        <f t="shared" si="349"/>
        <v/>
      </c>
      <c r="PL32" s="504" t="str">
        <f t="shared" si="350"/>
        <v/>
      </c>
      <c r="PM32" s="505" t="str">
        <f>IF(A32=FALSE,"",Cotations!$DA$4)</f>
        <v/>
      </c>
      <c r="PN32" s="520" t="str">
        <f>IF(A32=FALSE,"",Cotations!$DB$4)</f>
        <v/>
      </c>
      <c r="PO32" s="503" t="str">
        <f>IF(A32=FALSE,"",Cotations!$DC$4)</f>
        <v/>
      </c>
      <c r="PP32" s="505" t="str">
        <f>IF(A32=FALSE,"",IF(PM32="N/A",0,IF(INDEX(LISTES!$F$105:$F$109,MATCH(PM32,LISTES!$C$105:$C$109,0))="FIX",IF(INDEX(LISTES!$E$105:$E$109,MATCH(PM32,LISTES!$C$105:$C$109,0))=12,PN32/12*L32,PN32/365*M32),PO32*PL32)))</f>
        <v/>
      </c>
      <c r="PQ32" s="504" t="str">
        <f t="shared" si="351"/>
        <v/>
      </c>
      <c r="PR32" s="505" t="str">
        <f>IF(A32=FALSE,"",PQ32*Cotations!$DD$4)</f>
        <v/>
      </c>
      <c r="PS32" s="505" t="str">
        <f>IF(A32=FALSE,"",PQ32*Cotations!$DE$4)</f>
        <v/>
      </c>
      <c r="PT32" s="506" t="str">
        <f t="shared" si="352"/>
        <v/>
      </c>
      <c r="PU32" s="919" t="str">
        <f>IF(A32=FALSE,"",((PG32*TAXE)-(PG32*TAXE*PI32))+IF(PM32="N/A",0,IF(INDEX(LISTES!$F$105:$F$109,MATCH(PM32,LISTES!$C$105:$C$109,0))="FIX",PN32,PO32*PL32)))</f>
        <v/>
      </c>
      <c r="QA32" s="492" t="str">
        <f t="shared" si="353"/>
        <v/>
      </c>
      <c r="QB32" s="491" t="str">
        <f>IF(A32=FALSE,"",IF(LISTES!$A$17=1,Cotations!CT32,Cotations!CU32))</f>
        <v/>
      </c>
      <c r="QC32" s="285" t="str">
        <f t="shared" si="354"/>
        <v/>
      </c>
      <c r="QD32" s="300"/>
      <c r="QE32" s="461" t="str">
        <f t="shared" si="355"/>
        <v/>
      </c>
      <c r="QF32" s="490" t="str">
        <f>IF(A32=FALSE,"",Cotations!CY32*AA32)</f>
        <v/>
      </c>
      <c r="QG32" s="300" t="str">
        <f t="shared" si="356"/>
        <v/>
      </c>
      <c r="QH32" s="522" t="str">
        <f>IF(A32=FALSE,"",IF(Cotations!CV32="monthly",QG32/12*L32,QG32/365*M32))</f>
        <v/>
      </c>
      <c r="QI32" s="489" t="str">
        <f>IF(A32=FALSE,"",IF(Cotations!CZ32="","",Cotations!CZ32))</f>
        <v/>
      </c>
      <c r="QJ32" s="300" t="str">
        <f t="shared" si="357"/>
        <v/>
      </c>
      <c r="QK32" s="300" t="str">
        <f t="shared" si="358"/>
        <v/>
      </c>
      <c r="QL32" s="919" t="str">
        <f t="shared" si="359"/>
        <v/>
      </c>
      <c r="QM32" s="517" t="str">
        <f>IF(A32=FALSE,"",Cotations!DA32)</f>
        <v/>
      </c>
      <c r="QN32" s="515" t="str">
        <f>IF(A32=FALSE,"",Cotations!DB32)</f>
        <v/>
      </c>
      <c r="QO32" s="493" t="str">
        <f>IF(A32=FALSE,"",Cotations!DC32)</f>
        <v/>
      </c>
      <c r="QP32" s="517" t="str">
        <f>IF(A32=FALSE,"",IF(QM32="N/A",0,IF(INDEX(LISTES!$F$105:$F$109,MATCH(QM32,LISTES!$C$105:$C$109,0))="FIX",IF(INDEX(LISTES!$E$105:$E$109,MATCH(QM32,LISTES!$C$105:$C$109,0))=12,QN32/12*L32,QN32/365*M32),QO32*QL32)))</f>
        <v/>
      </c>
      <c r="QQ32" s="294" t="str">
        <f t="shared" si="360"/>
        <v/>
      </c>
      <c r="QR32" s="494" t="str">
        <f>IF(A32=FALSE,"",QQ32*Cotations!DD32)</f>
        <v/>
      </c>
      <c r="QS32" s="494" t="str">
        <f>IF(A32=FALSE,"",QQ32*Cotations!DE32)</f>
        <v/>
      </c>
      <c r="QT32" s="338" t="str">
        <f t="shared" si="361"/>
        <v/>
      </c>
      <c r="QU32" s="919" t="str">
        <f>IF(A32=FALSE,"",((QG32*TAXE)-(QG32*TAXE*QI32))+IF(QM32="N/A",0,IF(INDEX(LISTES!$F$105:$F$109,MATCH(QM32,LISTES!$C$105:$C$109,0))="FIX",QN32,QO32*QL32)))</f>
        <v/>
      </c>
      <c r="RA32" s="497" t="str">
        <f t="shared" si="362"/>
        <v/>
      </c>
      <c r="RB32" s="498" t="str">
        <f>IF(A32=FALSE,"",IF(LISTES!$A$17=1,Cotations!DF32,Cotations!$DG$4))</f>
        <v/>
      </c>
      <c r="RC32" s="499" t="str">
        <f t="shared" si="363"/>
        <v/>
      </c>
      <c r="RD32" s="499" t="str">
        <f t="shared" si="364"/>
        <v/>
      </c>
      <c r="RE32" s="500" t="str">
        <f t="shared" si="365"/>
        <v/>
      </c>
      <c r="RF32" s="501" t="str">
        <f>IF(A32=FALSE,"",Cotations!$DK$4*Y32)</f>
        <v/>
      </c>
      <c r="RG32" s="502" t="str">
        <f t="shared" si="366"/>
        <v/>
      </c>
      <c r="RH32" s="520" t="str">
        <f>IF(A32=FALSE,"",IF(Cotations!$DH$4="monthly",RG32/12*L32,RG32/365*M32))</f>
        <v/>
      </c>
      <c r="RI32" s="503" t="str">
        <f>IF(A32=FALSE,"",Cotations!$DL$4)</f>
        <v/>
      </c>
      <c r="RJ32" s="502" t="str">
        <f t="shared" si="367"/>
        <v/>
      </c>
      <c r="RK32" s="502" t="str">
        <f t="shared" si="368"/>
        <v/>
      </c>
      <c r="RL32" s="504" t="str">
        <f t="shared" si="369"/>
        <v/>
      </c>
      <c r="RM32" s="505" t="str">
        <f>IF(A32=FALSE,"",Cotations!$DM$4)</f>
        <v/>
      </c>
      <c r="RN32" s="520" t="str">
        <f>IF(A32=FALSE,"",Cotations!$DN$4)</f>
        <v/>
      </c>
      <c r="RO32" s="503" t="str">
        <f>IF(A32=FALSE,"",Cotations!$DO$4)</f>
        <v/>
      </c>
      <c r="RP32" s="505" t="str">
        <f>IF(A32=FALSE,"",IF(RM32="N/A",0,IF(INDEX(LISTES!$F$105:$F$109,MATCH(RM32,LISTES!$C$105:$C$109,0))="FIX",IF(INDEX(LISTES!$E$105:$E$109,MATCH(RM32,LISTES!$C$105:$C$109,0))=12,RN32/12*L32,RN32/365*M32),RO32*RL32)))</f>
        <v/>
      </c>
      <c r="RQ32" s="504" t="str">
        <f t="shared" si="370"/>
        <v/>
      </c>
      <c r="RR32" s="505" t="str">
        <f>IF(A32=FALSE,"",RQ32*Cotations!$DP$4)</f>
        <v/>
      </c>
      <c r="RS32" s="505" t="str">
        <f>IF(A32=FALSE,"",RQ32*Cotations!$DQ$4)</f>
        <v/>
      </c>
      <c r="RT32" s="506" t="str">
        <f t="shared" si="371"/>
        <v/>
      </c>
      <c r="RU32" s="919" t="str">
        <f>IF(A32=FALSE,"",((RG32*TAXE)-(RG32*TAXE*RI32))+IF(RM32="N/A",0,IF(INDEX(LISTES!$F$105:$F$109,MATCH(RM32,LISTES!$C$105:$C$109,0))="FIX",RN32,RO32*RL32)))</f>
        <v/>
      </c>
      <c r="SA32" s="492" t="str">
        <f t="shared" si="372"/>
        <v/>
      </c>
      <c r="SB32" s="491" t="str">
        <f>IF(A32=FALSE,"",IF(LISTES!$A$17=1,Cotations!DF32,Cotations!DG32))</f>
        <v/>
      </c>
      <c r="SC32" s="285" t="str">
        <f t="shared" si="373"/>
        <v/>
      </c>
      <c r="SD32" s="300"/>
      <c r="SE32" s="461" t="str">
        <f t="shared" si="374"/>
        <v/>
      </c>
      <c r="SF32" s="490" t="str">
        <f>IF(A32=FALSE,"",Cotations!DK32*AA32)</f>
        <v/>
      </c>
      <c r="SG32" s="300" t="str">
        <f t="shared" si="375"/>
        <v/>
      </c>
      <c r="SH32" s="522" t="str">
        <f>IF(A32=FALSE,"",IF(Cotations!DH32="monthly",SG32/12*L32,SG32/365*M32))</f>
        <v/>
      </c>
      <c r="SI32" s="489" t="str">
        <f>IF(A32=FALSE,"",IF(Cotations!DL32="","",Cotations!DL32))</f>
        <v/>
      </c>
      <c r="SJ32" s="300" t="str">
        <f t="shared" si="376"/>
        <v/>
      </c>
      <c r="SK32" s="300" t="str">
        <f t="shared" si="377"/>
        <v/>
      </c>
      <c r="SL32" s="919" t="str">
        <f t="shared" si="378"/>
        <v/>
      </c>
      <c r="SM32" s="285" t="str">
        <f>IF(A32=FALSE,"",Cotations!DM32)</f>
        <v/>
      </c>
      <c r="SN32" s="515" t="str">
        <f>IF(A32=FALSE,"",Cotations!DN32)</f>
        <v/>
      </c>
      <c r="SO32" s="493" t="str">
        <f>IF(A32=FALSE,"",Cotations!DO32)</f>
        <v/>
      </c>
      <c r="SP32" s="517" t="str">
        <f>IF(A32=FALSE,"",IF(SM32="N/A",0,IF(INDEX(LISTES!$F$105:$F$109,MATCH(SM32,LISTES!$C$105:$C$109,0))="FIX",IF(INDEX(LISTES!$E$105:$E$109,MATCH(SM32,LISTES!$C$105:$C$109,0))=12,SN32/12*L32,SN32/365*M32),SO32*SL32)))</f>
        <v/>
      </c>
      <c r="SQ32" s="294" t="str">
        <f t="shared" si="379"/>
        <v/>
      </c>
      <c r="SR32" s="494" t="str">
        <f>IF(A32=FALSE,"",SQ32*Cotations!DP32)</f>
        <v/>
      </c>
      <c r="SS32" s="494" t="str">
        <f>IF(A32=FALSE,"",SQ32*Cotations!DQ32)</f>
        <v/>
      </c>
      <c r="ST32" s="338" t="str">
        <f t="shared" si="380"/>
        <v/>
      </c>
      <c r="SU32" s="919" t="str">
        <f>IF(A32=FALSE,"",((SG32*TAXE)-(SG32*TAXE*SI32))+IF(SM32="N/A",0,IF(INDEX(LISTES!$F$105:$F$109,MATCH(SM32,LISTES!$C$105:$C$109,0))="FIX",SN32,SO32*SL32)))</f>
        <v/>
      </c>
      <c r="TA32" s="492" t="str">
        <f>IF(A32=FALSE,"",Cotations!D32)</f>
        <v/>
      </c>
      <c r="TB32" s="491" t="str">
        <f>IF(A32=FALSE,"",IF(LISTES!$A$17=1,Cotations!DR32,Cotations!DS32))</f>
        <v/>
      </c>
      <c r="TC32" s="285" t="str">
        <f t="shared" si="381"/>
        <v/>
      </c>
      <c r="TD32" s="300" t="str">
        <f>IF(A32=FALSE,"",Detail!CQ32)</f>
        <v/>
      </c>
      <c r="TE32" s="461" t="str">
        <f t="shared" si="382"/>
        <v/>
      </c>
      <c r="TF32" s="490" t="str">
        <f>IF(A32=FALSE,"",IF(TA32="FIXE",Cotations!DU32,Cotations!DV32*Y32))</f>
        <v/>
      </c>
      <c r="TG32" s="300" t="str">
        <f t="shared" si="383"/>
        <v/>
      </c>
      <c r="TH32" s="522" t="str">
        <f>IF(A32=FALSE,"",IF(Cotations!DT32="monthly",TG32/12*L32,TG32/365*M32))</f>
        <v/>
      </c>
      <c r="TI32" s="489" t="str">
        <f>IF(A32=FALSE,"",IF(Cotations!DW32="","",Cotations!DW32))</f>
        <v/>
      </c>
      <c r="TJ32" s="300" t="str">
        <f t="shared" si="384"/>
        <v/>
      </c>
      <c r="TK32" s="300" t="str">
        <f t="shared" si="385"/>
        <v/>
      </c>
      <c r="TL32" s="919" t="str">
        <f t="shared" si="386"/>
        <v/>
      </c>
      <c r="TM32" s="517" t="str">
        <f>IF(A32=FALSE,"",Cotations!DX32)</f>
        <v/>
      </c>
      <c r="TN32" s="517" t="str">
        <f>IF(A32=FALSE,"",Cotations!DY32)</f>
        <v/>
      </c>
      <c r="TO32" s="493" t="str">
        <f>IF(A32=FALSE,"",Cotations!DZ32)</f>
        <v/>
      </c>
      <c r="TP32" s="517" t="str">
        <f>IF(A32=FALSE,"",IF(TM32="N/A",0,IF(INDEX(LISTES!$F$105:$F$109,MATCH(TM32,LISTES!$C$105:$C$109,0))="FIX",IF(INDEX(LISTES!$E$105:$E$109,MATCH(TM32,LISTES!$C$105:$C$109,0))=12,TN32/12*L32,TN32/365*M32),TO32*TL32)))</f>
        <v/>
      </c>
      <c r="TQ32" s="294" t="str">
        <f t="shared" si="387"/>
        <v/>
      </c>
      <c r="TR32" s="494" t="str">
        <f>IF(A32=FALSE,"",TQ32*Cotations!EA32)</f>
        <v/>
      </c>
      <c r="TS32" s="494" t="str">
        <f>IF(A32=FALSE,"",TQ32*Cotations!EB32)</f>
        <v/>
      </c>
      <c r="TT32" s="338" t="str">
        <f t="shared" si="388"/>
        <v/>
      </c>
      <c r="TU32" s="919" t="str">
        <f>IF(A32=FALSE,"",((TG32*(1+TAXE)-(TG32*(1+TAXE)*TI32))+IF(TM32="N/A",0,IF(INDEX(LISTES!$F$105:$F$109,MATCH(TM32,LISTES!$C$105:$C$109,0))="FIX",TN32,TO32*TL32))))</f>
        <v/>
      </c>
      <c r="UA32" s="492" t="str">
        <f>IF(A32=FALSE,"",Cotations!D32)</f>
        <v/>
      </c>
      <c r="UB32" s="491" t="str">
        <f>IF(A32=FALSE,"",IF(LISTES!$A$17=1,Cotations!EC32,Cotations!ED32))</f>
        <v/>
      </c>
      <c r="UC32" s="285" t="str">
        <f t="shared" si="389"/>
        <v/>
      </c>
      <c r="UD32" s="300" t="str">
        <f>IF(A32=FALSE,"",Detail!CY32)</f>
        <v/>
      </c>
      <c r="UE32" s="461" t="str">
        <f t="shared" si="390"/>
        <v/>
      </c>
      <c r="UF32" s="490" t="str">
        <f>IF(A32=FALSE,"",IF(UA32="FIXE",Cotations!EF32,Cotations!EG32*Y32))</f>
        <v/>
      </c>
      <c r="UG32" s="300" t="str">
        <f t="shared" si="391"/>
        <v/>
      </c>
      <c r="UH32" s="522" t="str">
        <f>IF(A32=FALSE,"",IF(Cotations!EE32="monthly",UG32/12*L32,UG32/365*M32))</f>
        <v/>
      </c>
      <c r="UI32" s="489" t="str">
        <f>IF(A32=FALSE,"",IF(Cotations!EH32="","",Cotations!EH32))</f>
        <v/>
      </c>
      <c r="UJ32" s="300" t="str">
        <f t="shared" si="392"/>
        <v/>
      </c>
      <c r="UK32" s="300" t="str">
        <f t="shared" si="393"/>
        <v/>
      </c>
      <c r="UL32" s="919" t="str">
        <f t="shared" si="394"/>
        <v/>
      </c>
      <c r="UM32" s="517" t="str">
        <f>IF(A32=FALSE,"",Cotations!EI32)</f>
        <v/>
      </c>
      <c r="UN32" s="517" t="str">
        <f>IF(A32=FALSE,"",Cotations!EJ32)</f>
        <v/>
      </c>
      <c r="UO32" s="493" t="str">
        <f>IF(A32=FALSE,"",Cotations!EK32)</f>
        <v/>
      </c>
      <c r="UP32" s="517" t="str">
        <f>IF(A32=FALSE,"",IF(UM32="N/A",0,IF(INDEX(LISTES!$F$105:$F$109,MATCH(UM32,LISTES!$C$105:$C$109,0))="FIX",IF(INDEX(LISTES!$E$105:$E$109,MATCH(UM32,LISTES!$C$105:$C$109,0))=12,UN32/12*L32,UN32/365*M32),UO32*UL32)))</f>
        <v/>
      </c>
      <c r="UQ32" s="294" t="str">
        <f t="shared" si="395"/>
        <v/>
      </c>
      <c r="UR32" s="494" t="str">
        <f>IF(A32=FALSE,"",UQ32*Cotations!EL32)</f>
        <v/>
      </c>
      <c r="US32" s="494" t="str">
        <f>IF(A32=FALSE,"",UQ32*Cotations!EM32)</f>
        <v/>
      </c>
      <c r="UT32" s="338" t="str">
        <f t="shared" si="396"/>
        <v/>
      </c>
      <c r="UU32" s="919" t="str">
        <f>IF(A32=FALSE,"",((UG32*(1+TAXE)-(UG32*(1+TAXE)*UI32))+IF(UM32="N/A",0,IF(INDEX(LISTES!$F$105:$F$109,MATCH(UM32,LISTES!$C$105:$C$109,0))="FIX",UN32,UO32*UL32))))</f>
        <v/>
      </c>
      <c r="VA32" s="492" t="str">
        <f>IF(A32=FALSE,"",Cotations!D32)</f>
        <v/>
      </c>
      <c r="VB32" s="519" t="str">
        <f>IF(A32=FALSE,"",IF(LISTES!$A$17=1,Cotations!EN32,Cotations!EO32))</f>
        <v/>
      </c>
      <c r="VC32" s="291" t="str">
        <f t="shared" si="397"/>
        <v/>
      </c>
      <c r="VD32" s="291" t="str">
        <f t="shared" si="398"/>
        <v/>
      </c>
      <c r="VE32" s="291"/>
      <c r="VF32" s="463"/>
      <c r="VG32" s="463" t="str">
        <f t="shared" si="399"/>
        <v/>
      </c>
      <c r="VH32" s="522" t="str">
        <f>IF(A32=FALSE,"",IF(Cotations!$AQ$4="monthly",VG32/12*L32,VG32/365*M32))</f>
        <v/>
      </c>
      <c r="VI32" s="489" t="str">
        <f>IF(A32=FALSE,"",Cotations!$AR$4)</f>
        <v/>
      </c>
      <c r="VJ32" s="300" t="str">
        <f t="shared" si="400"/>
        <v/>
      </c>
      <c r="VK32" s="300" t="str">
        <f t="shared" si="401"/>
        <v/>
      </c>
      <c r="VL32" s="294" t="str">
        <f t="shared" si="402"/>
        <v/>
      </c>
      <c r="VM32" s="494" t="str">
        <f>IF(A32=FALSE,"",Cotations!$AS$4)</f>
        <v/>
      </c>
      <c r="VN32" s="494" t="str">
        <f>IF(A32=FALSE,"",Cotations!$AT$4)</f>
        <v/>
      </c>
      <c r="VO32" s="489" t="str">
        <f>IF(A32=FALSE,"",Cotations!$AU$4)</f>
        <v/>
      </c>
      <c r="VP32" s="494" t="str">
        <f>IF(A32=FALSE,"",IF(VM32="N/A",0,IF(INDEX(LISTES!$F$105:$F$109,MATCH(VM32,LISTES!$C$105:$C$109,0))="FIX",IF(INDEX(LISTES!$E$105:$E$109,MATCH(VM32,LISTES!$C$105:$C$109,0))=12,VN32/12*L32,VN32/365*M32),VO32*VL32)))</f>
        <v/>
      </c>
      <c r="VQ32" s="294" t="str">
        <f t="shared" si="403"/>
        <v/>
      </c>
      <c r="VR32" s="494" t="str">
        <f>IF(A32=FALSE,"",VQ32*Cotations!$AV$4)</f>
        <v/>
      </c>
      <c r="VS32" s="494" t="str">
        <f>IF(A32=FALSE,"",VQ32*Cotations!$AW$4)</f>
        <v/>
      </c>
      <c r="VT32" s="465" t="str">
        <f t="shared" si="404"/>
        <v/>
      </c>
      <c r="VU32" s="919" t="str">
        <f>IF(A32=FALSE,"",((VG32*TAXE)-(VG32*TAXE*VI32))+IF(VM32="N/A",0,IF(INDEX(LISTES!$F$105:$F$109,MATCH(VM32,LISTES!$C$105:$C$109,0))="FIX",VN32,VO32*VL32)))</f>
        <v/>
      </c>
      <c r="WA32" s="492" t="str">
        <f>IF(A32=FALSE,"",Cotations!D32)</f>
        <v/>
      </c>
      <c r="WB32" s="519" t="str">
        <f>IF(A32=FALSE,"",IF(LISTES!$A$17=1,Cotations!EW32,Cotations!EX32))</f>
        <v/>
      </c>
      <c r="WC32" s="291" t="str">
        <f t="shared" si="405"/>
        <v/>
      </c>
      <c r="WD32" s="291" t="str">
        <f t="shared" si="406"/>
        <v/>
      </c>
      <c r="WE32" s="291"/>
      <c r="WF32" s="463"/>
      <c r="WG32" s="463" t="str">
        <f t="shared" si="407"/>
        <v/>
      </c>
      <c r="WH32" s="522" t="str">
        <f>IF(A32=FALSE,"",IF(Cotations!$AQ$4="monthly",WG32/12*L32,WG32/365*M32))</f>
        <v/>
      </c>
      <c r="WI32" s="489" t="str">
        <f>IF(A32=FALSE,"",Cotations!$AR$4)</f>
        <v/>
      </c>
      <c r="WJ32" s="300" t="str">
        <f t="shared" si="408"/>
        <v/>
      </c>
      <c r="WK32" s="300" t="str">
        <f t="shared" si="409"/>
        <v/>
      </c>
      <c r="WL32" s="294" t="str">
        <f t="shared" si="410"/>
        <v/>
      </c>
      <c r="WM32" s="494" t="str">
        <f>IF(A32=FALSE,"",Cotations!$AS$4)</f>
        <v/>
      </c>
      <c r="WN32" s="494" t="str">
        <f>IF(A32=FALSE,"",Cotations!$AT$4)</f>
        <v/>
      </c>
      <c r="WO32" s="489" t="str">
        <f>IF(A32=FALSE,"",Cotations!$AU$4)</f>
        <v/>
      </c>
      <c r="WP32" s="494" t="str">
        <f>IF(A32=FALSE,"",IF(WM32="N/A",0,IF(INDEX(LISTES!$F$105:$F$109,MATCH(WM32,LISTES!$C$105:$C$109,0))="FIX",IF(INDEX(LISTES!$E$105:$E$109,MATCH(WM32,LISTES!$C$105:$C$109,0))=12,WN32/12*L32,WN32/365*M32),WO32*WL32)))</f>
        <v/>
      </c>
      <c r="WQ32" s="294" t="str">
        <f t="shared" si="411"/>
        <v/>
      </c>
      <c r="WR32" s="494" t="str">
        <f>IF(A32=FALSE,"",WQ32*Cotations!$AV$4)</f>
        <v/>
      </c>
      <c r="WS32" s="494" t="str">
        <f>IF(A32=FALSE,"",WQ32*Cotations!$AW$4)</f>
        <v/>
      </c>
      <c r="WT32" s="465" t="str">
        <f t="shared" si="412"/>
        <v/>
      </c>
      <c r="WU32" s="919" t="str">
        <f>IF(A32=FALSE,"",((WG32*TAXE)-(WG32*TAXE*WI32))+IF(WM32="N/A",0,IF(INDEX(LISTES!$F$105:$F$109,MATCH(WM32,LISTES!$C$105:$C$109,0))="FIX",WN32,WO32*WL32)))</f>
        <v/>
      </c>
    </row>
    <row r="33" spans="1:619">
      <c r="A33" s="942" t="b">
        <f t="shared" si="221"/>
        <v>0</v>
      </c>
      <c r="B33" s="942" t="b">
        <f>IF(NAMES!$B$9=TRUE,TRUE,FALSE)</f>
        <v>1</v>
      </c>
      <c r="C33" s="942" t="b">
        <f t="shared" si="413"/>
        <v>0</v>
      </c>
      <c r="D33" s="942" t="b">
        <f t="shared" si="414"/>
        <v>0</v>
      </c>
      <c r="E33" s="274" t="b">
        <f>IF(Cotations!C33="","",Cotations!C33)</f>
        <v>0</v>
      </c>
      <c r="F33" s="274" t="str">
        <f>IF(Cotations!D33="","",Cotations!D33)</f>
        <v>PROP</v>
      </c>
      <c r="G33" s="274" t="str">
        <f>IF(Cotations!E33="","",Cotations!E33)</f>
        <v>2016-2017!</v>
      </c>
      <c r="H33" s="274" t="str">
        <f>IF(Cotations!F33="","",Cotations!F33)</f>
        <v>SINGLE</v>
      </c>
      <c r="I33" s="274" t="str">
        <f>IF(Cotations!G33="","",Cotations!G33)</f>
        <v/>
      </c>
      <c r="J33" s="274" t="str">
        <f>IF(Cotations!H33="","",Cotations!H33)</f>
        <v/>
      </c>
      <c r="K33" s="274" t="str">
        <f>IF(Cotations!I33="","",Cotations!I33)</f>
        <v/>
      </c>
      <c r="L33" s="274" t="str">
        <f>IF(A33=FALSE,"",IF(Cotations!N33="","",Cotations!N33))</f>
        <v/>
      </c>
      <c r="M33" s="274" t="str">
        <f>IF(Cotations!P33="","",Cotations!P33)</f>
        <v/>
      </c>
      <c r="N33" s="724" t="str">
        <f>IF(NAMES!$B$10=TRUE,Cotations!J33,Cotations!L33)</f>
        <v/>
      </c>
      <c r="O33" s="724" t="str">
        <f>IF(NAMES!$B$10=TRUE,Cotations!K33,Cotations!M33)</f>
        <v/>
      </c>
      <c r="P33" s="943" t="str">
        <f t="shared" si="415"/>
        <v/>
      </c>
      <c r="Q33" s="724" t="str">
        <f>IF(A33=FALSE,"",IF(Crewlist!Y33="","",Crewlist!Y33))</f>
        <v/>
      </c>
      <c r="R33" s="78" t="str">
        <f>IF(Cotations!U33="","",Cotations!U33)</f>
        <v/>
      </c>
      <c r="S33" s="943" t="str">
        <f t="shared" si="416"/>
        <v/>
      </c>
      <c r="T33" s="919" t="str">
        <f>IF(A33=FALSE,"",VLOOKUP($U$15:$U$120,Currency!$A$2:$D$10,4,0)*Crewlist!N33)</f>
        <v/>
      </c>
      <c r="U33" s="1355" t="str">
        <f>IF(A33=FALSE,"",IF(IT33=0,Crewlist!M33&amp;"/"&amp;EX33,Crewlist!M33&amp;"/"&amp;IT33))</f>
        <v/>
      </c>
      <c r="V33" s="919" t="str">
        <f>IF(A33=FALSE,"",VLOOKUP($U$15:$U$120,Currency!$A$2:$D$10,4,0)*Detail!Q33)</f>
        <v/>
      </c>
      <c r="W33" s="1355" t="str">
        <f>IF(A33=FALSE,"",IF(IT33=0,Detail!R33&amp;"/"&amp;EX33,Detail!R33&amp;"/"&amp;IT33))</f>
        <v/>
      </c>
      <c r="X33" s="919" t="str">
        <f>IF(A33=FALSE,"",IF(LISTES!$C$17="Crewlist",Calcul!T33,Calcul!V33))</f>
        <v/>
      </c>
      <c r="Y33" s="758" t="str">
        <f t="shared" si="417"/>
        <v/>
      </c>
      <c r="Z33" s="758" t="str">
        <f>IF(A33=FALSE,"",IF(X33=0,0,IF((Cotations!BC33*12*X33)&lt;50000,50000,(12*X33))))</f>
        <v/>
      </c>
      <c r="AA33" s="758" t="str">
        <f t="shared" si="418"/>
        <v/>
      </c>
      <c r="AB33" s="758" t="str">
        <f>IF(A33=FALSE,"",IF(Crewlist!O33=0,"",Crewlist!O33))</f>
        <v/>
      </c>
      <c r="AC33" s="758" t="str">
        <f>IF(I33="","",VLOOKUP($AB$15:$AB$120,Currency!$A$15:$B$34,2,0))</f>
        <v/>
      </c>
      <c r="AD33" s="758" t="str">
        <f t="shared" si="419"/>
        <v/>
      </c>
      <c r="AE33" s="758" t="str">
        <f t="shared" si="420"/>
        <v/>
      </c>
      <c r="AF33" s="758" t="str">
        <f t="shared" si="421"/>
        <v/>
      </c>
      <c r="AG33" s="758" t="str">
        <f t="shared" si="422"/>
        <v/>
      </c>
      <c r="AH33" s="1355" t="str">
        <f t="shared" si="222"/>
        <v/>
      </c>
      <c r="AI33" s="919" t="str">
        <f t="shared" si="423"/>
        <v/>
      </c>
      <c r="AJ33" s="1382" t="str">
        <f t="shared" si="424"/>
        <v/>
      </c>
      <c r="AK33" s="1382" t="str">
        <f t="shared" si="425"/>
        <v/>
      </c>
      <c r="AL33" s="238" t="str">
        <f t="shared" si="223"/>
        <v/>
      </c>
      <c r="AM33" s="238" t="str">
        <f t="shared" si="224"/>
        <v/>
      </c>
      <c r="AN33" s="1374" t="str">
        <f t="shared" si="225"/>
        <v/>
      </c>
      <c r="AO33" s="238" t="str">
        <f t="shared" si="226"/>
        <v/>
      </c>
      <c r="AP33" s="342" t="str">
        <f>IF(A33=FALSE,"",INDEX(Rates!$Z$5:$Z$367,MATCH(EB33,colchoice,0)))</f>
        <v/>
      </c>
      <c r="AQ33" s="238" t="str">
        <f t="shared" si="227"/>
        <v/>
      </c>
      <c r="AR33" s="238" t="str">
        <f t="shared" si="426"/>
        <v/>
      </c>
      <c r="AS33" s="238" t="str">
        <f t="shared" si="427"/>
        <v/>
      </c>
      <c r="AT33" s="238" t="str">
        <f t="shared" si="428"/>
        <v/>
      </c>
      <c r="AU33" s="238" t="str">
        <f t="shared" si="228"/>
        <v/>
      </c>
      <c r="AV33" s="238" t="str">
        <f t="shared" si="429"/>
        <v/>
      </c>
      <c r="AW33" s="238" t="str">
        <f t="shared" si="229"/>
        <v/>
      </c>
      <c r="AX33" s="238" t="str">
        <f t="shared" si="230"/>
        <v/>
      </c>
      <c r="AY33" s="238" t="str">
        <f t="shared" si="231"/>
        <v/>
      </c>
      <c r="AZ33" s="238" t="str">
        <f t="shared" si="232"/>
        <v/>
      </c>
      <c r="BA33" s="238" t="str">
        <f t="shared" si="233"/>
        <v/>
      </c>
      <c r="BB33" s="552" t="str">
        <f t="shared" si="234"/>
        <v/>
      </c>
      <c r="BC33" s="347" t="str">
        <f t="shared" si="235"/>
        <v/>
      </c>
      <c r="BD33" s="239" t="str">
        <f t="shared" si="430"/>
        <v/>
      </c>
      <c r="BE33" s="239" t="str">
        <f>IF(A33=FALSE,"",IF(ALLTHESAME=TRUE,IF(DF33&lt;&gt;$BC$7,0,INDEX(DD33:DZ33,1,MATCH(Structure!$D$12,$DD$14:$DZ$14,0))),IF(EC33&lt;&gt;$BC$7,0,INDEX(EA33:EZ33,1,MATCH(Structure!$D$12,$EA$14:$EZ$14,0)))))</f>
        <v/>
      </c>
      <c r="BF33" s="239" t="str">
        <f>IF(A33=FALSE,"",IF(ALLTHESAME=TRUE,IF(FC33&lt;&gt;$BC$7,0,INDEX(FA33:FZ33,1,MATCH(Structure!$D$12,$FA$14:$FZ$14,0))),IF(GC33&lt;&gt;$BC$7,0,INDEX(GA33:GZ33,1,MATCH(Structure!$D$12,$GA$14:$GZ$14,0)))))</f>
        <v/>
      </c>
      <c r="BG33" s="239" t="str">
        <f>IF(A33=FALSE,"",IF(ALLTHESAME=TRUE,IF(VC33&lt;&gt;$BC$7,0,INDEX(VA33:VZ33,1,MATCH(Structure!$D$12,$VA$14:$VZ$14,0))),IF(VC33&lt;&gt;$BC$7,0,INDEX(VA33:VZ33,1,MATCH(Structure!$D$12,$VA$14:$VZ$14,0)))))</f>
        <v/>
      </c>
      <c r="BH33" s="239" t="str">
        <f>IF(A33=FALSE,"",IF(ALLTHESAME=TRUE,IF(WC33&lt;&gt;$BC$7,0,INDEX(WA33:WY33,1,MATCH(Structure!$D$12,$WA$14:$WZ$14,0))),IF(WC33&lt;&gt;$BC$7,0,INDEX(WA33:WZ33,1,MATCH(Structure!$D$12,$WA$14:$WZ$14,0)))))</f>
        <v/>
      </c>
      <c r="BI33" s="763" t="str">
        <f>IF(A33=FALSE,"",IF(ALLTHESAME=TRUE,IF(HC33&lt;&gt;$BC$7,0,INDEX(HA33:HZ33,1,MATCH(Structure!$D$12,$HA$14:$HZ$14,0)))+TK33,IF(IC33&lt;&gt;$BC$7,0,INDEX(IA33:IZ33,1,MATCH(Structure!$D$12,$IA$14:$IZ$14,0)))+TK33))</f>
        <v/>
      </c>
      <c r="BJ33" s="239" t="str">
        <f>IF(A33=FALSE,"",IF(ALLTHESAME=TRUE,IF(JC33&lt;&gt;$BC$7,0,INDEX(JA33:JZ33,1,MATCH(Structure!$D$12,$JA$14:$JZ$14,0))),IF(KC33&lt;&gt;$BC$7,0,INDEX(KA33:KZ33,1,MATCH(Structure!$D$12,$KA$14:$KZ$14,0)))))</f>
        <v/>
      </c>
      <c r="BK33" s="763" t="str">
        <f>IF(A33=FALSE,"",IF(ALLTHESAME=TRUE,IF(LC33&lt;&gt;$BC$7,0,INDEX(LA33:LZ33,1,MATCH(Structure!$D$12,$LA$14:$LZ$14,0)))+UK33,IF(MC33&lt;&gt;$BC$7,0,INDEX(MA33:MZ33,1,MATCH(Structure!$D$12,$MA$14:$MZ$14,0)))+UK33))</f>
        <v/>
      </c>
      <c r="BL33" s="239" t="str">
        <f>IF(A33=FALSE,"",IF(ALLTHESAME=TRUE,IF(NC33&lt;&gt;$BC$7,0,INDEX(NA33:NZ33,1,MATCH(Structure!$D$12,$NA$14:$NZ$14,0))),IF(OC33&lt;&gt;$BC$7,0,INDEX(OA33:OZ33,1,MATCH(Structure!$D$12,$OA$14:$OZ$14,0)))))</f>
        <v/>
      </c>
      <c r="BM33" s="239" t="str">
        <f>IF(A33=FALSE,"",IF(ALLTHESAME=TRUE,IF(PC33&lt;&gt;$BC$7,0,INDEX(PA33:PZ33,1,MATCH(Structure!$D$12,$PA$14:$PZ$14,0))),IF(QC33&lt;&gt;$BC$7,0,INDEX(QA33:QZ33,1,MATCH(Structure!$D$12,$QA$14:$QZ$14,0)))))</f>
        <v/>
      </c>
      <c r="BN33" s="341" t="str">
        <f>IF(A33=FALSE,"",IF(ALLTHESAME=TRUE,IF(RC33&lt;&gt;$BC$7,0,INDEX(RA33:RZ33,1,MATCH(Structure!$D$12,$RA$14:$RZ$14,0))),IF(SC33&lt;&gt;$BC$7,0,INDEX(SA33:TA33,1,MATCH(Structure!$D$12,$SA$14:$TA$14,0)))))</f>
        <v/>
      </c>
      <c r="BO33" s="507" t="str">
        <f t="shared" si="236"/>
        <v/>
      </c>
      <c r="BP33" s="239" t="str">
        <f t="shared" si="237"/>
        <v/>
      </c>
      <c r="BQ33" s="239" t="str">
        <f>IF(A33=FALSE,"",IF(ALLTHESAME=TRUE,IF(DF33&lt;&gt;$BO$7,0,INDEX(DD33:DZ33,1,MATCH(Structure!$D$12,$DD$14:$DZ$14,0))),IF(EC33&lt;&gt;$BO$7,0,INDEX(EA33:EZ33,1,MATCH(Structure!$D$12,$EA$14:$EZ$14,0)))))</f>
        <v/>
      </c>
      <c r="BR33" s="239" t="str">
        <f>IF(A33=FALSE,"",IF(ALLTHESAME=TRUE,IF(FC33&lt;&gt;$BO$7,0,INDEX(FA33:FZ33,1,MATCH(Structure!$D$12,$FA$14:$FZ$14,0))),IF(GC33&lt;&gt;$BO$7,0,INDEX(GA33:GZ33,1,MATCH(Structure!$D$12,$GA$14:$GZ$14,0)))))</f>
        <v/>
      </c>
      <c r="BS33" s="239" t="str">
        <f>IF(A33=FALSE,"",IF(ALLTHESAME=TRUE,IF(HC33&lt;&gt;$BO$7,0,INDEX(HA33:HZ33,1,MATCH(Structure!$D$12,$HA$14:$HZ$14,0))),IF(IC33&lt;&gt;$BO$7,0,INDEX(IA33:IZ33,1,MATCH(Structure!$D$12,$IA$14:$IZ$14,0)))))</f>
        <v/>
      </c>
      <c r="BT33" s="239" t="str">
        <f>IF(A33=FALSE,"",IF(ALLTHESAME=TRUE,IF(JC33&lt;&gt;$BO$7,0,INDEX(JA33:JZ33,1,MATCH(Structure!$D$12,$JA$14:$JZ$14,0))),IF(KC33&lt;&gt;$BO$7,0,INDEX(KA33:KZ33,1,MATCH(Structure!$D$12,$KA$14:$KZ$14,0)))))</f>
        <v/>
      </c>
      <c r="BU33" s="239" t="str">
        <f>IF(A33=FALSE,"",IF(ALLTHESAME=TRUE,IF(LC33&lt;&gt;$BO$7,0,INDEX(LA33:LZ33,1,MATCH(Structure!$D$12,$LA$14:$LZ$14,0))),IF(MC33&lt;&gt;$BO$7,0,INDEX(MA33:MZ33,1,MATCH(Structure!$D$12,$MA$14:$MZ$14,0)))))</f>
        <v/>
      </c>
      <c r="BV33" s="239" t="str">
        <f>IF(A33=FALSE,"",IF(ALLTHESAME=TRUE,IF(NC33&lt;&gt;$BO$7,0,INDEX(NA33:NZ33,1,MATCH(Structure!$D$12,$NA$14:$NZ$14,0))),IF(OC33&lt;&gt;$BO$7,0,INDEX(OA33:OZ33,1,MATCH(Structure!$D$12,$OA$14:$OZ$14,0)))))</f>
        <v/>
      </c>
      <c r="BW33" s="239" t="str">
        <f>IF(A33=FALSE,"",IF(ALLTHESAME=TRUE,IF(PC33&lt;&gt;$BO$7,0,INDEX(PA33:PZ33,1,MATCH(Structure!$D$12,$PA$14:$PZ$14,0))),IF(QC33&lt;&gt;$BO$7,0,INDEX(QA33:QZ33,1,MATCH(Structure!$D$12,$QA$14:$QZ$14,0)))))</f>
        <v/>
      </c>
      <c r="BX33" s="341" t="str">
        <f>IF(A33=FALSE,"",IF(ALLTHESAME=TRUE,IF(RC33&lt;&gt;$BO$7,0,INDEX(RA33:RZ33,1,MATCH(Structure!$D$12,$RA$14:$RZ$14,0))),IF(SC33&lt;&gt;$BO$7,0,INDEX(SA33:TA33,1,MATCH(Structure!$D$12,$SA$14:$TA$14,0)))))</f>
        <v/>
      </c>
      <c r="BY33" s="347" t="str">
        <f t="shared" si="238"/>
        <v/>
      </c>
      <c r="BZ33" s="507" t="str">
        <f t="shared" si="239"/>
        <v/>
      </c>
      <c r="CA33" s="239" t="str">
        <f t="shared" si="240"/>
        <v/>
      </c>
      <c r="CB33" s="239" t="str">
        <f>IF(A33=FALSE,"",IF(ALLTHESAME=TRUE,INDEX(DD33:DZ33,MATCH(DF33,DF33:DF138,0),MATCH(Structure!$D$17,$DD$14:$DZ$14,0)),INDEX(EA33:EZ33,MATCH(EC33,EC33:EC138,0),MATCH(Structure!$D$17,$EA$14:$EZ$14,0))))</f>
        <v/>
      </c>
      <c r="CC33" s="239" t="str">
        <f>IF(A33=FALSE,"",IF(ALLTHESAME=TRUE,INDEX(FA33:FZ33,MATCH(FC33,FC33:FC138,0),MATCH(Structure!$D$17,$FA$14:$FZ$14,0)),INDEX(GA33:GZ33,MATCH(GC33,GC33:GC138,0),MATCH(Structure!$D$17,$GA$14:$GZ$14,0))))</f>
        <v/>
      </c>
      <c r="CD33" s="239" t="str">
        <f>IF(A33=FALSE,"",IF(ALLTHESAME=TRUE,INDEX(HA33:HZ33,MATCH(HC33,HC33:HC138,0),MATCH(Structure!$D$17,$HA$14:$HZ$14,0)),INDEX(IA33:IZ33,MATCH(IC33,IC33:IC138,0),MATCH(Structure!$D$17,$IA$14:$IZ$14,0))))</f>
        <v/>
      </c>
      <c r="CE33" s="239" t="str">
        <f>IF(A33=FALSE,"",IF(ALLTHESAME=TRUE,INDEX(JA33:JZ33,MATCH(JC33,JC33:JC138,0),MATCH(Structure!$D$17,$JA$14:$JZ$14,0)),INDEX(KA33:KZ33,MATCH(KC33,KC33:KC138,0),MATCH(Structure!$D$17,$KA$14:$KZ$14,0))))</f>
        <v/>
      </c>
      <c r="CF33" s="239" t="str">
        <f>IF(A33=FALSE,"",IF(ALLTHESAME=TRUE,INDEX(LA33:LZ33,MATCH(LC33,LC33:LC138,0),MATCH(Structure!$D$17,$LA$14:$LZ$14,0)),INDEX(MA33:MZ33,MATCH(MC33,MC33:MC138,0),MATCH(Structure!$D$17,$MA$14:$MZ$14,0))))</f>
        <v/>
      </c>
      <c r="CG33" s="239" t="str">
        <f>IF(A33=FALSE,"",IF(ALLTHESAME=TRUE,INDEX(NA33:NZ33,MATCH(NC33,NC33:NC138,0),MATCH(Structure!$D$17,$NA$14:$NZ$14,0)),INDEX(OA33:OZ33,MATCH(OC33,OC33:OC138,0),MATCH(Structure!$D$17,$OA$14:$OZ$14,0))))</f>
        <v/>
      </c>
      <c r="CH33" s="239" t="str">
        <f>IF(A33=FALSE,"",IF(ALLTHESAME=TRUE,INDEX(PA33:PZ33,MATCH(PC33,PC33:PC138,0),MATCH(Structure!$D$17,$PA$14:$PZ$14,0)),INDEX(QA33:QZ33,MATCH(QC33,QC33:QC138,0),MATCH(Structure!$D$17,$QA$14:$QZ$14,0))))</f>
        <v/>
      </c>
      <c r="CI33" s="341" t="str">
        <f>IF(A33=FALSE,"",IF(ALLTHESAME=TRUE,INDEX(RA33:RZ33,MATCH(RC33,RC33:RC138,0),MATCH(Structure!$D$17,$RA$14:$RZ$14,0)),INDEX(SA33:TC33,MATCH(SC33,SC33:SC138,0),MATCH(Structure!$D$17,$SA$14:$TC$14,0))))</f>
        <v/>
      </c>
      <c r="CJ33" s="347"/>
      <c r="CK33" s="239" t="str">
        <f t="shared" si="241"/>
        <v/>
      </c>
      <c r="CL33" s="239" t="str">
        <f>IF(A33=FALSE,"",IF(ALLTHESAME=TRUE,INDEX(DD33:DZ33,MATCH(DF33,DF33:DF138,0),MATCH(Structure!$D$22,$DD$14:$DZ$14,0)),INDEX(EA33:EZ33,MATCH(EC33,EC33:EC138,0),MATCH(Structure!$D$22,$EA$14:$EZ$14,0))))</f>
        <v/>
      </c>
      <c r="CM33" s="239" t="str">
        <f>IF(A33=FALSE,"",IF(ALLTHESAME=TRUE,INDEX(FA33:FZ33,MATCH(FC33,FC33:FC138,0),MATCH(Structure!$D$22,$FA$14:$FZ$14,0)),INDEX(GA33:GZ33,MATCH(GC33,GC33:GC138,0),MATCH(Structure!$D$22,$GA$14:$GZ$14,0))))</f>
        <v/>
      </c>
      <c r="CN33" s="239" t="str">
        <f>IF(A33=FALSE,"",IF(ALLTHESAME=TRUE,INDEX(HA33:HZ33,MATCH(HC33,HC33:HC138,0),MATCH(Structure!$D$22,$HA$14:$HZ$14,0)),INDEX(IA33:IZ33,MATCH(IC33,IC33:IC138,0),MATCH(Structure!$D$22,$IA$14:$IZ$14,0))))</f>
        <v/>
      </c>
      <c r="CO33" s="239" t="str">
        <f>IF(A33=FALSE,"",IF(ALLTHESAME=TRUE,INDEX(JA33:JZ33,MATCH(JC33,JC33:JC138,0),MATCH(Structure!$D$22,$JA$14:$JZ$14,0)),INDEX(KA33:KZ33,MATCH(KC33,KC33:KC138,0),MATCH(Structure!$D$22,$KA$14:$KZ$14,0))))</f>
        <v/>
      </c>
      <c r="CP33" s="239" t="str">
        <f>IF(A33=FALSE,"",IF(ALLTHESAME=TRUE,INDEX(LA33:LZ33,MATCH(LC33,LC33:LC138,0),MATCH(Structure!$D$22,$LA$14:$LZ$14,0)),INDEX(MA33:MZ33,MATCH(MC33,MC33:MC138,0),MATCH(Structure!$D$22,$MA$14:$MZ$14,0))))</f>
        <v/>
      </c>
      <c r="CQ33" s="239" t="str">
        <f>IF(A33=FALSE,"",IF(ALLTHESAME=TRUE,INDEX(NA33:NZ33,MATCH(NC33,NC33:NC138,0),MATCH(Structure!$D$22,$NA$14:$NZ$14,0)),INDEX(OA33:OZ33,MATCH(OC33,OC33:OC138,0),MATCH(Structure!$D$22,$OA$14:$OZ$14,0))))</f>
        <v/>
      </c>
      <c r="CR33" s="239" t="str">
        <f>IF(A33=FALSE,"",IF(ALLTHESAME=TRUE,INDEX(PA33:PZ33,MATCH(PC33,PC33:PC138,0),MATCH(Structure!$D$22,$PA$14:$PZ$14,0)),INDEX(QA33:QZ33,MATCH(QC33,QC33:QC138,0),MATCH(Structure!$D$22,$QA$14:$QZ$14,0))))</f>
        <v/>
      </c>
      <c r="CS33" s="341" t="str">
        <f>IF(A33=FALSE,"",IF(ALLTHESAME=TRUE,INDEX(RA33:RZ33,MATCH(RC33,RC33:RC138,0),MATCH(Structure!$D$22,$RA$14:$RZ$14,0)),INDEX(SA33:TC33,MATCH(SC33,SC33:SC138,0),MATCH(Structure!$D$22,$SA$14:$TC$14,0))))</f>
        <v/>
      </c>
      <c r="CT33" s="347"/>
      <c r="CU33" s="239" t="str">
        <f t="shared" si="242"/>
        <v/>
      </c>
      <c r="CV33" s="239" t="str">
        <f>IF(A33=FALSE,"",IF(ALLTHESAME=TRUE,INDEX(DD33:DZ33,MATCH(DF33,DF33:DF138,0),MATCH(Structure!$D$8,$DD$14:$DZ$14,0)),INDEX(EA33:EZ33,MATCH(EC33,EC33:EC138,0),MATCH(Structure!$D$8,$EA$14:$EZ$14,0))))</f>
        <v/>
      </c>
      <c r="CW33" s="239" t="str">
        <f>IF(A33=FALSE,"",IF(ALLTHESAME=TRUE,INDEX(FA33:FZ33,MATCH(FC33,FC33:FC138,0),MATCH(Structure!$D$8,$FA$14:$FZ$14,0)),INDEX(GA33:GZ33,MATCH(GC33,GC33:GC138,0),MATCH(Structure!$D$8,$GA$14:$GZ$14,0))))</f>
        <v/>
      </c>
      <c r="CX33" s="239" t="str">
        <f>IF(A33=FALSE,"",IF(ALLTHESAME=TRUE,INDEX(HA33:HZ33,MATCH(HC33,HC33:HC138,0),MATCH(Structure!$D$8,$HA$14:$HZ$14,0)),INDEX(IA33:IZ33,MATCH(IC33,IC33:IC138,0),MATCH(Structure!$D$8,$IA$14:$IZ$14,0))))</f>
        <v/>
      </c>
      <c r="CY33" s="239" t="str">
        <f>IF(A33=FALSE,"",IF(ALLTHESAME=TRUE,INDEX(JA33:JZ33,MATCH(JC33,JC33:JC138,0),MATCH(Structure!$D$8,$JA$14:$JZ$14,0)),INDEX(KA33:KZ33,MATCH(KC33,KC33:KC138,0),MATCH(Structure!$D$8,$KA$14:$KZ$14,0))))</f>
        <v/>
      </c>
      <c r="CZ33" s="239" t="str">
        <f>IF(A33=FALSE,"",IF(ALLTHESAME=TRUE,INDEX(LA33:LZ33,MATCH(LC33,LC33:LC138,0),MATCH(Structure!$D$8,$LA$14:$LZ$14,0)),INDEX(MA33:MZ33,MATCH(MC33,MC33:MC138,0),MATCH(Structure!$D$8,$MA$14:$MZ$14,0))))</f>
        <v/>
      </c>
      <c r="DA33" s="239" t="str">
        <f>IF(A33=FALSE,"",IF(ALLTHESAME=TRUE,INDEX(NA33:NZ33,MATCH(NC33,NC33:NC138,0),MATCH(Structure!$D$8,$NA$14:$NZ$14,0)),INDEX(OA33:OZ33,MATCH(OC33,OC33:OC138,0),MATCH(Structure!$D$8,$OA$14:$OZ$14,0))))</f>
        <v/>
      </c>
      <c r="DB33" s="239" t="str">
        <f>IF(A33=FALSE,"",IF(ALLTHESAME=TRUE,INDEX(PA33:PZ33,MATCH(PC33,PC33:PC138,0),MATCH(Structure!$D$8,$PA$14:$PZ$14,0)),INDEX(QA33:QZ33,MATCH(QC33,QC33:QC138,0),MATCH(Structure!$D$8,$QA$14:$QZ$14,0))))</f>
        <v/>
      </c>
      <c r="DC33" s="341" t="str">
        <f>IF(A33=FALSE,"",IF(ALLTHESAME=TRUE,INDEX(RA33:RZ33,MATCH(RC33,RC33:RC138,0),MATCH(Structure!$D$8,$RA$14:$RZ$14,0)),INDEX(SA33:TC33,MATCH(SC33,SC33:SC138,0),MATCH(Structure!$D$8,$SA$14:$TC$14,0))))</f>
        <v/>
      </c>
      <c r="DD33" s="492" t="str">
        <f>IF(A33=FALSE,"",Cotations!D33)</f>
        <v/>
      </c>
      <c r="DE33" s="492" t="str">
        <f>IF(A33=FALSE,"",IF(LISTES!$A$17=1,Cotations!AF33,Cotations!$AG$4))</f>
        <v/>
      </c>
      <c r="DF33" s="291" t="str">
        <f t="shared" si="431"/>
        <v/>
      </c>
      <c r="DG33" s="291" t="str">
        <f t="shared" si="243"/>
        <v/>
      </c>
      <c r="DH33" s="291"/>
      <c r="DI33" s="463"/>
      <c r="DJ33" s="463" t="str">
        <f t="shared" si="244"/>
        <v/>
      </c>
      <c r="DK33" s="522" t="str">
        <f>IF(A33=FALSE,"",IF(Cotations!$AH$4="monthly",DJ33/12*L33,DJ33/365*M33))</f>
        <v/>
      </c>
      <c r="DL33" s="489" t="str">
        <f>IF(A33=FALSE,"",Cotations!$AI$4)</f>
        <v/>
      </c>
      <c r="DM33" s="300" t="str">
        <f t="shared" si="245"/>
        <v/>
      </c>
      <c r="DN33" s="300" t="str">
        <f t="shared" si="246"/>
        <v/>
      </c>
      <c r="DO33" s="294" t="str">
        <f t="shared" si="247"/>
        <v/>
      </c>
      <c r="DP33" s="494" t="str">
        <f>IF(A33=FALSE,"",Cotations!$AJ$4)</f>
        <v/>
      </c>
      <c r="DQ33" s="494" t="str">
        <f>IF(A33=FALSE,"",Cotations!$AK$4)</f>
        <v/>
      </c>
      <c r="DR33" s="489" t="str">
        <f>IF(A33=FALSE,"",Cotations!$AL$4)</f>
        <v/>
      </c>
      <c r="DS33" s="494" t="str">
        <f>IF(A33=FALSE,"",IF(DP33="N/A",0,IF(INDEX(LISTES!$F$105:$F$109,MATCH(DP33,LISTES!$C$105:$C$109,0))="FIX",IF(INDEX(LISTES!$E$105:$E$109,MATCH(DP33,LISTES!$C$105:$C$109,0))=12,DQ33/12*L33,DQ33/365*M33),DR33*DO33)))</f>
        <v/>
      </c>
      <c r="DT33" s="294" t="str">
        <f t="shared" si="248"/>
        <v/>
      </c>
      <c r="DU33" s="294" t="str">
        <f>IF(A33=FALSE,"",DT33*Cotations!$AM$4)</f>
        <v/>
      </c>
      <c r="DV33" s="294" t="str">
        <f>IF(A33=FALSE,"",DT33*Cotations!$AN$4)</f>
        <v/>
      </c>
      <c r="DW33" s="465" t="str">
        <f t="shared" si="249"/>
        <v/>
      </c>
      <c r="DX33" s="919" t="str">
        <f>IF(A33=FALSE,"",((DJ33*TAXE)-(DJ33*TAXE*DL33))+IF(DP33="N/A",0,IF(INDEX(LISTES!$F$105:$F$109,MATCH(DP33,LISTES!$C$105:$C$109,0))="FIX",DQ33,DR33*DO33)))</f>
        <v/>
      </c>
      <c r="DY33" s="466"/>
      <c r="DZ33" s="466"/>
      <c r="EA33" s="492" t="str">
        <f>IF(A33=FALSE,"",Cotations!D33)</f>
        <v/>
      </c>
      <c r="EB33" s="494" t="str">
        <f>IF(A33=FALSE,"",IF(LISTES!$A$17=1,Cotations!AF33,Cotations!AG33))</f>
        <v/>
      </c>
      <c r="EC33" s="284" t="str">
        <f t="shared" si="250"/>
        <v/>
      </c>
      <c r="ED33" s="284" t="str">
        <f t="shared" si="251"/>
        <v/>
      </c>
      <c r="EE33" s="284"/>
      <c r="EF33" s="284"/>
      <c r="EG33" s="284" t="str">
        <f t="shared" si="252"/>
        <v/>
      </c>
      <c r="EH33" s="1365" t="str">
        <f t="shared" si="253"/>
        <v/>
      </c>
      <c r="EI33" s="1365" t="str">
        <f t="shared" si="254"/>
        <v/>
      </c>
      <c r="EJ33" s="515" t="str">
        <f>IF(A33=FALSE,"",IF(Cotations!AH33="monthly",EG33/12*L33,EG33/365*M33))</f>
        <v/>
      </c>
      <c r="EK33" s="1364" t="str">
        <f>IF(A33=FALSE,"",IF(Cotations!AH33="monthly",EI33/12*L33,EI33/365*M33))</f>
        <v/>
      </c>
      <c r="EL33" s="493" t="str">
        <f>IF(A33=FALSE,"",IF(Cotations!AI33="","",Cotations!AI33))</f>
        <v/>
      </c>
      <c r="EM33" s="284" t="str">
        <f t="shared" si="255"/>
        <v/>
      </c>
      <c r="EN33" s="284" t="str">
        <f t="shared" si="256"/>
        <v/>
      </c>
      <c r="EO33" s="1365" t="str">
        <f t="shared" si="432"/>
        <v/>
      </c>
      <c r="EP33" s="284" t="str">
        <f t="shared" si="257"/>
        <v/>
      </c>
      <c r="EQ33" s="515" t="str">
        <f>IF(A33=FALSE,"",Cotations!AJ33)</f>
        <v/>
      </c>
      <c r="ER33" s="515" t="str">
        <f>IF(A33=FALSE,"",IF(Cotations!AK33="","",Cotations!AK33))</f>
        <v/>
      </c>
      <c r="ES33" s="493" t="str">
        <f>IF(A33=FALSE,"",Cotations!AL33)</f>
        <v/>
      </c>
      <c r="ET33" s="515" t="str">
        <f>IF(A33=FALSE,"",IF(EQ33="N/A",0,IF(INDEX(LISTES!$F$105:$F$109,MATCH(EQ33,LISTES!$C$105:$C$109,0))="FIX",IF(INDEX(LISTES!$E$105:$E$109,MATCH(EQ33,LISTES!$C$105:$C$109,0))=12,ER33/12*L33,ER33/365*M33),ES33*EP33)))</f>
        <v/>
      </c>
      <c r="EU33" s="294" t="str">
        <f t="shared" si="258"/>
        <v/>
      </c>
      <c r="EV33" s="494" t="str">
        <f>IF(A33=FALSE,"",EU33*Cotations!AM33)</f>
        <v/>
      </c>
      <c r="EW33" s="494" t="str">
        <f>IF(A33=FALSE,"",EU33*Cotations!AN33)</f>
        <v/>
      </c>
      <c r="EX33" s="334" t="str">
        <f t="shared" si="259"/>
        <v/>
      </c>
      <c r="EY33" s="919" t="str">
        <f>IF(A33=FALSE,"",((EG33*TAXE)-(EG33*TAXE*EL33)+EH33)+IF(EQ33="N/A",0,IF(INDEX(LISTES!$F$105:$F$109,MATCH(EQ33,LISTES!$C$105:$C$109,0))="FIX",ER33,ES33*EP33)))</f>
        <v/>
      </c>
      <c r="FA33" s="492" t="str">
        <f>IF(A33=FALSE,"",Cotations!D33)</f>
        <v/>
      </c>
      <c r="FB33" s="519" t="str">
        <f>IF(A33=FALSE,"",IF(LISTES!$A$17=1,Cotations!AO33,Cotations!$AP$4))</f>
        <v/>
      </c>
      <c r="FC33" s="291" t="str">
        <f t="shared" si="260"/>
        <v/>
      </c>
      <c r="FD33" s="291" t="str">
        <f t="shared" si="261"/>
        <v/>
      </c>
      <c r="FE33" s="291"/>
      <c r="FF33" s="463"/>
      <c r="FG33" s="463" t="str">
        <f t="shared" si="262"/>
        <v/>
      </c>
      <c r="FH33" s="522" t="str">
        <f>IF(A33=FALSE,"",IF(Cotations!$AQ$4="monthly",FG33/12*L33,FG33/365*M33))</f>
        <v/>
      </c>
      <c r="FI33" s="453" t="str">
        <f>IF(A33=FALSE,"",Cotations!$AR$4)</f>
        <v/>
      </c>
      <c r="FJ33" s="300" t="str">
        <f t="shared" si="263"/>
        <v/>
      </c>
      <c r="FK33" s="300" t="str">
        <f t="shared" si="264"/>
        <v/>
      </c>
      <c r="FL33" s="294" t="str">
        <f t="shared" si="265"/>
        <v/>
      </c>
      <c r="FM33" s="494" t="str">
        <f>IF(A33=FALSE,"",Cotations!$AS$4)</f>
        <v/>
      </c>
      <c r="FN33" s="494" t="str">
        <f>IF(A33=FALSE,"",Cotations!$AT$4)</f>
        <v/>
      </c>
      <c r="FO33" s="489" t="str">
        <f>IF(A33=FALSE,"",Cotations!$AU$4)</f>
        <v/>
      </c>
      <c r="FP33" s="494" t="str">
        <f>IF(A33=FALSE,"",IF(FM33="N/A",0,IF(INDEX(LISTES!$F$105:$F$109,MATCH(FM33,LISTES!$C$105:$C$109,0))="FIX",IF(INDEX(LISTES!$E$105:$E$109,MATCH(FM33,LISTES!$C$105:$C$109,0))=12,FN33/12*L33,FN33/365*M33),FO33*FL33)))</f>
        <v/>
      </c>
      <c r="FQ33" s="294" t="str">
        <f t="shared" si="266"/>
        <v/>
      </c>
      <c r="FR33" s="494" t="str">
        <f>IF(A33=FALSE,"",FQ33*Cotations!$AV$4)</f>
        <v/>
      </c>
      <c r="FS33" s="494" t="str">
        <f>IF(A33=FALSE,"",FQ33*Cotations!$AW$4)</f>
        <v/>
      </c>
      <c r="FT33" s="465" t="str">
        <f t="shared" si="267"/>
        <v/>
      </c>
      <c r="FU33" s="919" t="str">
        <f>IF(A33=FALSE,"",((FG33*TAXE)-(FG33*TAXE*FI33))+IF(FM33="N/A",0,IF(INDEX(LISTES!$F$105:$F$109,MATCH(FM33,LISTES!$C$105:$C$109,0))="FIX",FN33,FO33*FL33)))</f>
        <v/>
      </c>
      <c r="FV33" s="478"/>
      <c r="FW33" s="478"/>
      <c r="FX33" s="478"/>
      <c r="FY33" s="478"/>
      <c r="FZ33" s="478"/>
      <c r="GA33" s="492" t="str">
        <f>IF(A33=FALSE,"",Cotations!D33)</f>
        <v/>
      </c>
      <c r="GB33" s="494" t="str">
        <f>IF(A33=FALSE,"",IF(LISTES!$A$17=1,Cotations!AO33,Cotations!AP33))</f>
        <v/>
      </c>
      <c r="GC33" s="284" t="str">
        <f t="shared" si="268"/>
        <v/>
      </c>
      <c r="GD33" s="515" t="str">
        <f>IF(A33=FALSE,"",IF(Detail!AM33="","",Detail!AM33))</f>
        <v/>
      </c>
      <c r="GE33" s="284"/>
      <c r="GF33" s="284"/>
      <c r="GG33" s="284" t="str">
        <f t="shared" si="269"/>
        <v/>
      </c>
      <c r="GH33" s="515" t="str">
        <f>IF(A33=FALSE,"",IF(Cotations!AQ33="monthly",GG33/12*L33,GG33/365*M33))</f>
        <v/>
      </c>
      <c r="GI33" s="493" t="str">
        <f>IF(A33=FALSE,"",IF(Cotations!AR33="","",Cotations!AR33))</f>
        <v/>
      </c>
      <c r="GJ33" s="284" t="str">
        <f t="shared" si="270"/>
        <v/>
      </c>
      <c r="GK33" s="284" t="str">
        <f t="shared" si="271"/>
        <v/>
      </c>
      <c r="GL33" s="284" t="str">
        <f t="shared" si="272"/>
        <v/>
      </c>
      <c r="GM33" s="515" t="str">
        <f>IF(A33=FALSE,"",Cotations!AS33)</f>
        <v/>
      </c>
      <c r="GN33" s="515" t="str">
        <f>IF(A33=FALSE,"",Cotations!AT33)</f>
        <v/>
      </c>
      <c r="GO33" s="493" t="str">
        <f>IF(A33=FALSE,"",Cotations!AU33)</f>
        <v/>
      </c>
      <c r="GP33" s="515" t="str">
        <f>IF(A33=FALSE,"",IF(GM33="N/A",0,IF(INDEX(LISTES!$F$105:$F$109,MATCH(GM33,LISTES!$C$105:$C$109,0))="FIX",IF(INDEX(LISTES!$E$105:$E$109,MATCH(GM33,LISTES!$C$105:$C$109,0))=12,GN33/12*L33,GN33/365*M33),GO33*GL33)))</f>
        <v/>
      </c>
      <c r="GQ33" s="294" t="str">
        <f t="shared" si="273"/>
        <v/>
      </c>
      <c r="GR33" s="494" t="str">
        <f>IF(A33=FALSE,"",GQ33*Cotations!AV33)</f>
        <v/>
      </c>
      <c r="GS33" s="494" t="str">
        <f>IF(A33=FALSE,"",GQ33*Cotations!AW33)</f>
        <v/>
      </c>
      <c r="GT33" s="334" t="str">
        <f t="shared" si="274"/>
        <v/>
      </c>
      <c r="GU33" s="919" t="str">
        <f>IF(A33=FALSE,"",((GG33*TAXE)-(GG33*TAXE*GI33))+IF(GM33="N/A",0,IF(INDEX(LISTES!$F$105:$F$109,MATCH(GM33,LISTES!$C$105:$C$109,0))="FIX",GN33,GO33*GL33)))</f>
        <v/>
      </c>
      <c r="GV33" s="478"/>
      <c r="GW33" s="466"/>
      <c r="GX33" s="466"/>
      <c r="GY33" s="466"/>
      <c r="GZ33" s="466"/>
      <c r="HA33" s="492" t="str">
        <f>IF(A33=FALSE,"",Cotations!D33)</f>
        <v/>
      </c>
      <c r="HB33" s="495" t="str">
        <f>IF(A33=FALSE,"",IF(LISTES!$A$17=1,Cotations!AX33,Cotations!$AY$4))</f>
        <v/>
      </c>
      <c r="HC33" s="291" t="str">
        <f t="shared" si="275"/>
        <v/>
      </c>
      <c r="HD33" s="291" t="str">
        <f t="shared" si="276"/>
        <v/>
      </c>
      <c r="HE33" s="456" t="str">
        <f t="shared" si="277"/>
        <v/>
      </c>
      <c r="HF33" s="496" t="str">
        <f>IF(A33=FALSE,"",IF(HA33="POEA",Cotations!BA33,IF(HA33="FIXE",Cotations!$BA$4,Cotations!$BC$4*Y33)))</f>
        <v/>
      </c>
      <c r="HG33" s="300" t="str">
        <f t="shared" si="278"/>
        <v/>
      </c>
      <c r="HH33" s="522" t="str">
        <f>IF(A33=FALSE,"",IF(Cotations!$AZ$4="monthly",HG33/12*L33,HG33/365*M33))</f>
        <v/>
      </c>
      <c r="HI33" s="489" t="str">
        <f>IF(A33=FALSE,"",Cotations!$BD$4)</f>
        <v/>
      </c>
      <c r="HJ33" s="300" t="str">
        <f t="shared" si="279"/>
        <v/>
      </c>
      <c r="HK33" s="300" t="str">
        <f t="shared" si="280"/>
        <v/>
      </c>
      <c r="HL33" s="294" t="str">
        <f t="shared" si="281"/>
        <v/>
      </c>
      <c r="HM33" s="494" t="str">
        <f>IF(A33=FALSE,"",Cotations!$BE$4)</f>
        <v/>
      </c>
      <c r="HN33" s="522" t="str">
        <f>IF(A33=FALSE,"",Cotations!$BF$4)</f>
        <v/>
      </c>
      <c r="HO33" s="489" t="str">
        <f>IF(A33=FALSE,"",Cotations!$BG$4)</f>
        <v/>
      </c>
      <c r="HP33" s="494" t="str">
        <f>IF(A33=FALSE,"",IF(HM33="N/A",0,IF(INDEX(LISTES!$F$105:$F$109,MATCH(HM33,LISTES!$C$105:$C$109,0))="FIX",IF(INDEX(LISTES!$E$105:$E$109,MATCH(HM33,LISTES!$C$105:$C$109,0))=12,HN33/12*L33,HN33/365*M33),HO33*HL33)))</f>
        <v/>
      </c>
      <c r="HQ33" s="294" t="str">
        <f t="shared" si="282"/>
        <v/>
      </c>
      <c r="HR33" s="494" t="str">
        <f>IF(A33=FALSE,"",HQ33*Cotations!$BH$4)</f>
        <v/>
      </c>
      <c r="HS33" s="494" t="str">
        <f>IF(A33=FALSE,"",HQ33*Cotations!$BI$4)</f>
        <v/>
      </c>
      <c r="HT33" s="294" t="str">
        <f t="shared" si="283"/>
        <v/>
      </c>
      <c r="HU33" s="919" t="str">
        <f>IF(A33=FALSE,"",((HG33*TAXE)-(HG33*TAXE*HI33))+IF(HM33="N/A",0,IF(INDEX(LISTES!$F$105:$F$109,MATCH(HM33,LISTES!$C$105:$C$109,0))="FIX",HN33,HO33*HL33)))</f>
        <v/>
      </c>
      <c r="IA33" s="492" t="str">
        <f>IF(A33=FALSE,"",Cotations!D33)</f>
        <v/>
      </c>
      <c r="IB33" s="491" t="str">
        <f>IF(A33=FALSE,"",IF(LISTES!$A$17=1,Cotations!AX33,Cotations!AY33))</f>
        <v/>
      </c>
      <c r="IC33" s="285" t="str">
        <f t="shared" si="284"/>
        <v/>
      </c>
      <c r="ID33" s="300" t="str">
        <f>IF(A33=FALSE,"",IF(LISTES!$A$17=3,Detail!AU33,lig1_Formula_PREVOY))</f>
        <v/>
      </c>
      <c r="IE33" s="461" t="str">
        <f t="shared" si="285"/>
        <v/>
      </c>
      <c r="IF33" s="490" t="str">
        <f>IF(A33=FALSE,"",IF(IA33="POEA",Cotations!BA33,IF(HA33="FIXE",Cotations!BB33,IF(Cotations!BC33*Y33&lt;50000,Z33,Cotations!BC33*Y33))))</f>
        <v/>
      </c>
      <c r="IG33" s="300" t="str">
        <f t="shared" si="286"/>
        <v/>
      </c>
      <c r="IH33" s="522" t="str">
        <f>IF(A33=FALSE,"",IF(Cotations!AZ33="monthly",IG33/12*L33,IG33/365*M33))</f>
        <v/>
      </c>
      <c r="II33" s="489" t="str">
        <f>IF(A33=FALSE,"",IF(Cotations!BD33="","",Cotations!BD33))</f>
        <v/>
      </c>
      <c r="IJ33" s="300" t="str">
        <f t="shared" si="287"/>
        <v/>
      </c>
      <c r="IK33" s="300" t="str">
        <f t="shared" si="288"/>
        <v/>
      </c>
      <c r="IL33" s="919" t="str">
        <f t="shared" si="289"/>
        <v/>
      </c>
      <c r="IM33" s="517" t="str">
        <f>IF(A33=FALSE,"",Cotations!BE33)</f>
        <v/>
      </c>
      <c r="IN33" s="517" t="str">
        <f>IF(A33=FALSE,"",Cotations!BF33)</f>
        <v/>
      </c>
      <c r="IO33" s="493" t="str">
        <f>IF(A33=FALSE,"",Cotations!BG33)</f>
        <v/>
      </c>
      <c r="IP33" s="517" t="str">
        <f>IF(A33=FALSE,"",IF(IM33="N/A",0,IF(INDEX(LISTES!$F$105:$F$109,MATCH(IM33,LISTES!$C$105:$C$109,0))="FIX",IF(INDEX(LISTES!$E$105:$E$109,MATCH(IM33,LISTES!$C$105:$C$109,0))=12,IN33/12*L33,IN33/365*M33),IO33*IL33)))</f>
        <v/>
      </c>
      <c r="IQ33" s="294" t="str">
        <f t="shared" si="290"/>
        <v/>
      </c>
      <c r="IR33" s="494" t="str">
        <f>IF(A33=FALSE,"",IQ33*Cotations!BH33)</f>
        <v/>
      </c>
      <c r="IS33" s="494" t="str">
        <f>IF(A33=FALSE,"",IQ33*Cotations!BI33)</f>
        <v/>
      </c>
      <c r="IT33" s="338" t="str">
        <f t="shared" si="291"/>
        <v/>
      </c>
      <c r="IU33" s="919" t="str">
        <f>IF(A33=FALSE,"",((IG33*TAXE)-(IG33*TAXE*II33))+IF(IM33="N/A",0,IF(INDEX(LISTES!$F$105:$F$109,MATCH(IM33,LISTES!$C$105:$C$109,0))="FIX",IN33,IO33*IL33)))</f>
        <v/>
      </c>
      <c r="JA33" s="492" t="str">
        <f>IF(A33=FALSE,"",Cotations!D33)</f>
        <v/>
      </c>
      <c r="JB33" s="495" t="str">
        <f>IF(A33=FALSE,"",IF(LISTES!$A$17=1,Cotations!BJ33,Cotations!$BK$4))</f>
        <v/>
      </c>
      <c r="JC33" s="291" t="str">
        <f t="shared" si="292"/>
        <v/>
      </c>
      <c r="JD33" s="291" t="str">
        <f t="shared" si="293"/>
        <v/>
      </c>
      <c r="JE33" s="456" t="str">
        <f t="shared" si="294"/>
        <v/>
      </c>
      <c r="JF33" s="496" t="str">
        <f>IF(A33=FALSE,"",IF(JA33="POEA",Cotations!BM33,IF(JA33="FIXE",Cotations!$BM$4,Cotations!$BO$4*Y33)))</f>
        <v/>
      </c>
      <c r="JG33" s="300" t="str">
        <f t="shared" si="295"/>
        <v/>
      </c>
      <c r="JH33" s="522" t="str">
        <f>IF(A33=FALSE,"",IF(Cotations!$BL$4="monthly",JG33/12*L33,JG33/365*M33))</f>
        <v/>
      </c>
      <c r="JI33" s="489" t="str">
        <f>IF(A33=FALSE,"",Cotations!$BP$4)</f>
        <v/>
      </c>
      <c r="JJ33" s="300" t="str">
        <f t="shared" si="296"/>
        <v/>
      </c>
      <c r="JK33" s="300" t="str">
        <f t="shared" si="297"/>
        <v/>
      </c>
      <c r="JL33" s="294" t="str">
        <f t="shared" si="298"/>
        <v/>
      </c>
      <c r="JM33" s="494" t="str">
        <f>IF(A33=FALSE,"",Cotations!$BQ$4)</f>
        <v/>
      </c>
      <c r="JN33" s="522" t="str">
        <f>IF(A33=FALSE,"",Cotations!$BR$4)</f>
        <v/>
      </c>
      <c r="JO33" s="489" t="str">
        <f>IF(A33=FALSE,"",Cotations!$BS$4)</f>
        <v/>
      </c>
      <c r="JP33" s="494" t="str">
        <f>IF(A33=FALSE,"",IF(JM33="N/A",0,IF(INDEX(LISTES!$F$105:$F$109,MATCH(JM33,LISTES!$C$105:$C$109,0))="FIX",IF(INDEX(LISTES!$E$105:$E$109,MATCH(JM33,LISTES!$C$105:$C$109,0))=12,JN33/12*L33,JN33/365*M33),JO33*JL33)))</f>
        <v/>
      </c>
      <c r="JQ33" s="294" t="str">
        <f t="shared" si="299"/>
        <v/>
      </c>
      <c r="JR33" s="494" t="str">
        <f>IF(A33=FALSE,"",JQ33*Cotations!$BT$4)</f>
        <v/>
      </c>
      <c r="JS33" s="494" t="str">
        <f>IF(A33=FALSE,"",JQ33*Cotations!$BU$4)</f>
        <v/>
      </c>
      <c r="JT33" s="294" t="str">
        <f t="shared" si="300"/>
        <v/>
      </c>
      <c r="JU33" s="919" t="str">
        <f>IF(A33=FALSE,"",((JG33*TAXE)-(JG33*TAXE*JI33))+IF(JM33="N/A",0,IF(INDEX(LISTES!$F$105:$F$109,MATCH(JM33,LISTES!$C$105:$C$109,0))="FIX",JN33,JO33*JL33)))</f>
        <v/>
      </c>
      <c r="KA33" s="492" t="str">
        <f>IF(A33=FALSE,"",Cotations!D33)</f>
        <v/>
      </c>
      <c r="KB33" s="491" t="str">
        <f>IF(A33=FALSE,"",IF(LISTES!$A$17=1,Cotations!BJ33,Cotations!BK33))</f>
        <v/>
      </c>
      <c r="KC33" s="285" t="str">
        <f t="shared" si="301"/>
        <v/>
      </c>
      <c r="KD33" s="300"/>
      <c r="KE33" s="461" t="str">
        <f t="shared" si="302"/>
        <v/>
      </c>
      <c r="KF33" s="490" t="str">
        <f>IF(A33=FALSE,"",IF(KA33="POEA",Cotations!BM33,IF(KA33="FIXE",Cotations!BN33,IF(Cotations!BO33*Y33&lt;50000,Z33,Cotations!BO33*Y33))))</f>
        <v/>
      </c>
      <c r="KG33" s="300" t="str">
        <f t="shared" si="303"/>
        <v/>
      </c>
      <c r="KH33" s="522" t="str">
        <f>IF(A33=FALSE,"",IF(Cotations!BL33="monthly",KG33/12*L33,KG33/365*M33))</f>
        <v/>
      </c>
      <c r="KI33" s="489" t="str">
        <f>IF(A33=FALSE,"",IF(Cotations!BP33="","",Cotations!BP33))</f>
        <v/>
      </c>
      <c r="KJ33" s="300" t="str">
        <f t="shared" si="304"/>
        <v/>
      </c>
      <c r="KK33" s="300" t="str">
        <f t="shared" si="305"/>
        <v/>
      </c>
      <c r="KL33" s="919" t="str">
        <f t="shared" si="306"/>
        <v/>
      </c>
      <c r="KM33" s="517" t="str">
        <f>IF(A33=FALSE,"",Cotations!BQ33)</f>
        <v/>
      </c>
      <c r="KN33" s="515" t="str">
        <f>IF(A33=FALSE,"",Cotations!BR33)</f>
        <v/>
      </c>
      <c r="KO33" s="493" t="str">
        <f>IF(A33=FALSE,"",Cotations!BS33)</f>
        <v/>
      </c>
      <c r="KP33" s="517" t="str">
        <f>IF(A33=FALSE,"",IF(KM33="N/A",0,IF(INDEX(LISTES!$F$105:$F$109,MATCH(KM33,LISTES!$C$105:$C$109,0))="FIX",IF(INDEX(LISTES!$E$105:$E$109,MATCH(KM33,LISTES!$C$105:$C$109,0))=12,KN33/12*L33,KN33/365*M33),KO33*KL33)))</f>
        <v/>
      </c>
      <c r="KQ33" s="294" t="str">
        <f t="shared" si="307"/>
        <v/>
      </c>
      <c r="KR33" s="494" t="str">
        <f>IF(A33=FALSE,"",KQ33*Cotations!BT33)</f>
        <v/>
      </c>
      <c r="KS33" s="494" t="str">
        <f>IF(A33=FALSE,"",KQ33*Cotations!BU33)</f>
        <v/>
      </c>
      <c r="KT33" s="338" t="str">
        <f t="shared" si="308"/>
        <v/>
      </c>
      <c r="KU33" s="919" t="str">
        <f>IF(A33=FALSE,"",((KG33*TAXE)-(KG33*TAXE*KI33))+IF(KM33="N/A",0,IF(INDEX(LISTES!$F$105:$F$109,MATCH(KM33,LISTES!$C$105:$C$109,0))="FIX",KN33,KO33*KL33)))</f>
        <v/>
      </c>
      <c r="LA33" s="497" t="str">
        <f>IF(A33=FALSE,"",Cotations!D33)</f>
        <v/>
      </c>
      <c r="LB33" s="498" t="str">
        <f>IF(A33=FALSE,"",IF(LISTES!$A$17=1,Cotations!BV33,Cotations!$BW$4))</f>
        <v/>
      </c>
      <c r="LC33" s="499" t="str">
        <f t="shared" si="309"/>
        <v/>
      </c>
      <c r="LD33" s="499" t="str">
        <f t="shared" si="310"/>
        <v/>
      </c>
      <c r="LE33" s="500" t="str">
        <f t="shared" si="311"/>
        <v/>
      </c>
      <c r="LF33" s="501" t="str">
        <f>IF(A33=FALSE,"",IF(LA33="POEA",Cotations!EJ33,IF(LA33="FIXE",Cotations!$BY$4,Cotations!$CA$4*Y33)))</f>
        <v/>
      </c>
      <c r="LG33" s="502" t="str">
        <f t="shared" si="312"/>
        <v/>
      </c>
      <c r="LH33" s="520" t="str">
        <f>IF(A33=FALSE,"",IF(Cotations!$BX$4="monthly",LG33/12*L33,LG33/365*M33))</f>
        <v/>
      </c>
      <c r="LI33" s="503" t="str">
        <f>IF(A33=FALSE,"",Cotations!$CB$4)</f>
        <v/>
      </c>
      <c r="LJ33" s="502" t="str">
        <f t="shared" si="313"/>
        <v/>
      </c>
      <c r="LK33" s="502" t="str">
        <f t="shared" si="314"/>
        <v/>
      </c>
      <c r="LL33" s="504" t="str">
        <f t="shared" si="315"/>
        <v/>
      </c>
      <c r="LM33" s="505" t="str">
        <f>IF(A33=FALSE,"",Cotations!$CC$4)</f>
        <v/>
      </c>
      <c r="LN33" s="503" t="str">
        <f>IF(A33=FALSE,"",Cotations!$CD$4)</f>
        <v/>
      </c>
      <c r="LO33" s="503" t="str">
        <f>IF(A33=FALSE,"",Cotations!$CE$4)</f>
        <v/>
      </c>
      <c r="LP33" s="505" t="str">
        <f>IF(A33=FALSE,"",IF(LM33="N/A",0,IF(INDEX(LISTES!$F$105:$F$109,MATCH(LM33,LISTES!$C$105:$C$109,0))="FIX",IF(INDEX(LISTES!$E$105:$E$109,MATCH(LM33,LISTES!$C$105:$C$109,0))=12,LN33/12*L33,LN33/365*M33),LO33*LL33)))</f>
        <v/>
      </c>
      <c r="LQ33" s="504" t="str">
        <f t="shared" si="316"/>
        <v/>
      </c>
      <c r="LR33" s="505" t="str">
        <f>IF(A33=FALSE,"",LQ33*Cotations!$CF$4)</f>
        <v/>
      </c>
      <c r="LS33" s="505" t="str">
        <f>IF(A33=FALSE,"",LQ33*Cotations!$CG$4)</f>
        <v/>
      </c>
      <c r="LT33" s="506" t="str">
        <f t="shared" si="317"/>
        <v/>
      </c>
      <c r="LU33" s="919" t="str">
        <f>IF(A33=FALSE,"",((LG33*TAXE)-(LG33*TAXE*LI33))+IF(LM33="N/A",0,IF(INDEX(LISTES!$F$105:$F$109,MATCH(LM33,LISTES!$C$105:$C$109,0))="FIX",LN33,LO33*LL33)))</f>
        <v/>
      </c>
      <c r="MA33" s="492" t="str">
        <f>IF(A33=FALSE,"",Cotations!D33)</f>
        <v/>
      </c>
      <c r="MB33" s="491" t="str">
        <f>IF(A33=FALSE,"",IF(LISTES!$A$17=1,Cotations!BV33,Cotations!BW33))</f>
        <v/>
      </c>
      <c r="MC33" s="285" t="str">
        <f t="shared" si="318"/>
        <v/>
      </c>
      <c r="MD33" s="300"/>
      <c r="ME33" s="461" t="str">
        <f t="shared" si="319"/>
        <v/>
      </c>
      <c r="MF33" s="490" t="str">
        <f>IF(A33=FALSE,"",IF(MA33="POEA",Cotations!BY33,IF(MA33="FIXE",Cotations!BZ33,IF(Cotations!CA33*Y33&lt;50000,Z33,Cotations!CA33*Y33))))</f>
        <v/>
      </c>
      <c r="MG33" s="300" t="str">
        <f t="shared" si="320"/>
        <v/>
      </c>
      <c r="MH33" s="522" t="str">
        <f>IF(A33=FALSE,"",IF(Cotations!BX33="monthly",MG33/12*L33,MG33/365*M33))</f>
        <v/>
      </c>
      <c r="MI33" s="489" t="str">
        <f>IF(A33=FALSE,"",IF(Cotations!CB33="","",Cotations!CB33))</f>
        <v/>
      </c>
      <c r="MJ33" s="300" t="str">
        <f t="shared" si="321"/>
        <v/>
      </c>
      <c r="MK33" s="300" t="str">
        <f t="shared" si="322"/>
        <v/>
      </c>
      <c r="ML33" s="919" t="str">
        <f t="shared" si="323"/>
        <v/>
      </c>
      <c r="MM33" s="517" t="str">
        <f>IF(A33=FALSE,"",Cotations!CC33)</f>
        <v/>
      </c>
      <c r="MN33" s="515" t="str">
        <f>IF(A33=FALSE,"",Cotations!CD33)</f>
        <v/>
      </c>
      <c r="MO33" s="493" t="str">
        <f>IF(A33=FALSE,"",Cotations!CE33)</f>
        <v/>
      </c>
      <c r="MP33" s="517" t="str">
        <f>IF(A33=FALSE,"",IF(MM33="N/A",0,IF(INDEX(LISTES!$F$105:$F$109,MATCH(MM33,LISTES!$C$105:$C$109,0))="FIX",IF(INDEX(LISTES!$E$105:$E$109,MATCH(MM33,LISTES!$C$105:$C$109,0))=12,MN33/12*L33,MN33/365*M33),MO33*ML33)))</f>
        <v/>
      </c>
      <c r="MQ33" s="294" t="str">
        <f t="shared" si="324"/>
        <v/>
      </c>
      <c r="MR33" s="494" t="str">
        <f>IF(A33=FALSE,"",MQ33*Cotations!CF33)</f>
        <v/>
      </c>
      <c r="MS33" s="494" t="str">
        <f>IF(A33=FALSE,"",MQ33*Cotations!CG33)</f>
        <v/>
      </c>
      <c r="MT33" s="338" t="str">
        <f t="shared" si="325"/>
        <v/>
      </c>
      <c r="MU33" s="919" t="str">
        <f>IF(A33=FALSE,"",((MG33*TAXE)-(MG33*TAXE*MI33))+IF(MM33="N/A",0,IF(INDEX(LISTES!$F$105:$F$109,MATCH(MM33,LISTES!$C$105:$C$109,0))="FIX",MN33,MO33*ML33)))</f>
        <v/>
      </c>
      <c r="NA33" s="497" t="str">
        <f>IF(A33=FALSE,"",Cotations!D33)</f>
        <v/>
      </c>
      <c r="NB33" s="498" t="str">
        <f>IF(A33=FALSE,"",IF(LISTES!$A$17=1,Cotations!CH33,Cotations!$CI$4))</f>
        <v/>
      </c>
      <c r="NC33" s="499" t="str">
        <f t="shared" si="326"/>
        <v/>
      </c>
      <c r="ND33" s="499" t="str">
        <f t="shared" si="327"/>
        <v/>
      </c>
      <c r="NE33" s="500" t="str">
        <f t="shared" si="328"/>
        <v/>
      </c>
      <c r="NF33" s="501" t="str">
        <f>IF(A33=FALSE,"",IF(NA33="POEA",Cotations!CK33,IF(NA33="FIXE",Cotations!$CK$4,Cotations!$CM$4*Y33)))</f>
        <v/>
      </c>
      <c r="NG33" s="502" t="str">
        <f t="shared" si="329"/>
        <v/>
      </c>
      <c r="NH33" s="520" t="str">
        <f>IF(A33=FALSE,"",IF(Cotations!$CJ$4="monthly",NG33/12*L33,NG33/365*M33))</f>
        <v/>
      </c>
      <c r="NI33" s="503" t="str">
        <f>IF(A33=FALSE,"",Cotations!$CN$4)</f>
        <v/>
      </c>
      <c r="NJ33" s="502" t="str">
        <f t="shared" si="330"/>
        <v/>
      </c>
      <c r="NK33" s="502" t="str">
        <f t="shared" si="331"/>
        <v/>
      </c>
      <c r="NL33" s="504" t="str">
        <f t="shared" si="332"/>
        <v/>
      </c>
      <c r="NM33" s="505" t="str">
        <f>IF(A33=FALSE,"",Cotations!$CO$4)</f>
        <v/>
      </c>
      <c r="NN33" s="520" t="str">
        <f>IF(A33=FALSE,"",Cotations!$CP$4)</f>
        <v/>
      </c>
      <c r="NO33" s="503" t="str">
        <f>IF(A33=FALSE,"",Cotations!$CQ$4)</f>
        <v/>
      </c>
      <c r="NP33" s="505" t="str">
        <f>IF(A33=FALSE,"",IF(NM33="N/A",0,IF(INDEX(LISTES!$F$105:$F$109,MATCH(NM33,LISTES!$C$105:$C$109,0))="FIX",IF(INDEX(LISTES!$E$105:$E$109,MATCH(NM33,LISTES!$C$105:$C$109,0))=12,NN33/12*L33,NN33/365*M33),NO33*NL33)))</f>
        <v/>
      </c>
      <c r="NQ33" s="504" t="str">
        <f t="shared" si="333"/>
        <v/>
      </c>
      <c r="NR33" s="505" t="str">
        <f>IF(A33=FALSE,"",NQ33*Cotations!$CR$4)</f>
        <v/>
      </c>
      <c r="NS33" s="505" t="str">
        <f>IF(A33=FALSE,"",NQ33*Cotations!$CS$4)</f>
        <v/>
      </c>
      <c r="NT33" s="506" t="str">
        <f t="shared" si="334"/>
        <v/>
      </c>
      <c r="NU33" s="919" t="str">
        <f>IF(A33=FALSE,"",((NG33*TAXE)-(NG33*TAXE*NI33))+IF(NM33="N/A",0,IF(INDEX(LISTES!$F$105:$F$109,MATCH(NM33,LISTES!$C$105:$C$109,0))="FIX",NN33,NO33*NL33)))</f>
        <v/>
      </c>
      <c r="OA33" s="492" t="str">
        <f>IF(A33=FALSE,"",Cotations!D33)</f>
        <v/>
      </c>
      <c r="OB33" s="491" t="str">
        <f>IF(A33=FALSE,"",IF(LISTES!$A$17=1,Cotations!CH33,Cotations!CI33))</f>
        <v/>
      </c>
      <c r="OC33" s="285" t="str">
        <f t="shared" si="335"/>
        <v/>
      </c>
      <c r="OD33" s="300"/>
      <c r="OE33" s="461" t="str">
        <f t="shared" si="336"/>
        <v/>
      </c>
      <c r="OF33" s="490" t="str">
        <f>IF(A33=FALSE,"",IF(OA33="POEA",Cotations!CK33,IF(OA33="FIXE",Cotations!CL33,IF(Cotations!CM33*Y33&lt;50000,Z33,Cotations!CM33*Y33))))</f>
        <v/>
      </c>
      <c r="OG33" s="300" t="str">
        <f t="shared" si="337"/>
        <v/>
      </c>
      <c r="OH33" s="522" t="str">
        <f>IF(A33=FALSE,"",IF(Cotations!CJ33="monthly",OG33/12*L33,OG33/365*M33))</f>
        <v/>
      </c>
      <c r="OI33" s="489" t="str">
        <f>IF(A33=FALSE,"",IF(Cotations!CN33="","",Cotations!CN33))</f>
        <v/>
      </c>
      <c r="OJ33" s="300" t="str">
        <f t="shared" si="338"/>
        <v/>
      </c>
      <c r="OK33" s="300" t="str">
        <f t="shared" si="339"/>
        <v/>
      </c>
      <c r="OL33" s="919" t="str">
        <f t="shared" si="340"/>
        <v/>
      </c>
      <c r="OM33" s="517" t="str">
        <f>IF(A33=FALSE,"",Cotations!CO33)</f>
        <v/>
      </c>
      <c r="ON33" s="515" t="str">
        <f>IF(A33=FALSE,"",Cotations!CP33)</f>
        <v/>
      </c>
      <c r="OO33" s="493" t="str">
        <f>IF(A33=FALSE,"",Cotations!CQ33)</f>
        <v/>
      </c>
      <c r="OP33" s="517" t="str">
        <f>IF(A33=FALSE,"",IF(OM33="N/A",0,IF(INDEX(LISTES!$F$105:$F$109,MATCH(OM33,LISTES!$C$105:$C$109,0))="FIX",IF(INDEX(LISTES!$E$105:$E$109,MATCH(OM33,LISTES!$C$105:$C$109,0))=12,ON33/12*L33,ON33/365*M33),OO33*OL33)))</f>
        <v/>
      </c>
      <c r="OQ33" s="294" t="str">
        <f t="shared" si="341"/>
        <v/>
      </c>
      <c r="OR33" s="494" t="str">
        <f>IF(A33=FALSE,"",OQ33*Cotations!CR33)</f>
        <v/>
      </c>
      <c r="OS33" s="494" t="str">
        <f>IF(A33=FALSE,"",OQ33*Cotations!CS33)</f>
        <v/>
      </c>
      <c r="OT33" s="338" t="str">
        <f t="shared" si="342"/>
        <v/>
      </c>
      <c r="OU33" s="919" t="str">
        <f>IF(A33=FALSE,"",((OG33*TAXE)-(OG33*TAXE*OI33))+IF(OM33="N/A",0,IF(INDEX(LISTES!$F$105:$F$109,MATCH(OM33,LISTES!$C$105:$C$109,0))="FIX",ON33,OO33*OL33)))</f>
        <v/>
      </c>
      <c r="PA33" s="497" t="str">
        <f t="shared" si="343"/>
        <v/>
      </c>
      <c r="PB33" s="498" t="str">
        <f>IF(A33=FALSE,"",IF(LISTES!$A$17=1,Cotations!CT33,Cotations!$CU$4))</f>
        <v/>
      </c>
      <c r="PC33" s="499" t="str">
        <f t="shared" si="344"/>
        <v/>
      </c>
      <c r="PD33" s="499" t="str">
        <f t="shared" si="345"/>
        <v/>
      </c>
      <c r="PE33" s="500" t="str">
        <f t="shared" si="346"/>
        <v/>
      </c>
      <c r="PF33" s="501" t="str">
        <f>IF(A33=FALSE,"",Cotations!$CY$4*Y33)</f>
        <v/>
      </c>
      <c r="PG33" s="502" t="str">
        <f t="shared" si="347"/>
        <v/>
      </c>
      <c r="PH33" s="520" t="str">
        <f>IF(A33=FALSE,"",IF(Cotations!$CV$4="monthly",PG33/12*L33,PG33/365*M33))</f>
        <v/>
      </c>
      <c r="PI33" s="503" t="str">
        <f>IF(A33=FALSE,"",Cotations!$CZ$4)</f>
        <v/>
      </c>
      <c r="PJ33" s="502" t="str">
        <f t="shared" si="348"/>
        <v/>
      </c>
      <c r="PK33" s="502" t="str">
        <f t="shared" si="349"/>
        <v/>
      </c>
      <c r="PL33" s="504" t="str">
        <f t="shared" si="350"/>
        <v/>
      </c>
      <c r="PM33" s="505" t="str">
        <f>IF(A33=FALSE,"",Cotations!$DA$4)</f>
        <v/>
      </c>
      <c r="PN33" s="520" t="str">
        <f>IF(A33=FALSE,"",Cotations!$DB$4)</f>
        <v/>
      </c>
      <c r="PO33" s="503" t="str">
        <f>IF(A33=FALSE,"",Cotations!$DC$4)</f>
        <v/>
      </c>
      <c r="PP33" s="505" t="str">
        <f>IF(A33=FALSE,"",IF(PM33="N/A",0,IF(INDEX(LISTES!$F$105:$F$109,MATCH(PM33,LISTES!$C$105:$C$109,0))="FIX",IF(INDEX(LISTES!$E$105:$E$109,MATCH(PM33,LISTES!$C$105:$C$109,0))=12,PN33/12*L33,PN33/365*M33),PO33*PL33)))</f>
        <v/>
      </c>
      <c r="PQ33" s="504" t="str">
        <f t="shared" si="351"/>
        <v/>
      </c>
      <c r="PR33" s="505" t="str">
        <f>IF(A33=FALSE,"",PQ33*Cotations!$DD$4)</f>
        <v/>
      </c>
      <c r="PS33" s="505" t="str">
        <f>IF(A33=FALSE,"",PQ33*Cotations!$DE$4)</f>
        <v/>
      </c>
      <c r="PT33" s="506" t="str">
        <f t="shared" si="352"/>
        <v/>
      </c>
      <c r="PU33" s="919" t="str">
        <f>IF(A33=FALSE,"",((PG33*TAXE)-(PG33*TAXE*PI33))+IF(PM33="N/A",0,IF(INDEX(LISTES!$F$105:$F$109,MATCH(PM33,LISTES!$C$105:$C$109,0))="FIX",PN33,PO33*PL33)))</f>
        <v/>
      </c>
      <c r="QA33" s="492" t="str">
        <f t="shared" si="353"/>
        <v/>
      </c>
      <c r="QB33" s="491" t="str">
        <f>IF(A33=FALSE,"",IF(LISTES!$A$17=1,Cotations!CT33,Cotations!CU33))</f>
        <v/>
      </c>
      <c r="QC33" s="285" t="str">
        <f t="shared" si="354"/>
        <v/>
      </c>
      <c r="QD33" s="300"/>
      <c r="QE33" s="461" t="str">
        <f t="shared" si="355"/>
        <v/>
      </c>
      <c r="QF33" s="490" t="str">
        <f>IF(A33=FALSE,"",Cotations!CY33*AA33)</f>
        <v/>
      </c>
      <c r="QG33" s="300" t="str">
        <f t="shared" si="356"/>
        <v/>
      </c>
      <c r="QH33" s="522" t="str">
        <f>IF(A33=FALSE,"",IF(Cotations!CV33="monthly",QG33/12*L33,QG33/365*M33))</f>
        <v/>
      </c>
      <c r="QI33" s="489" t="str">
        <f>IF(A33=FALSE,"",IF(Cotations!CZ33="","",Cotations!CZ33))</f>
        <v/>
      </c>
      <c r="QJ33" s="300" t="str">
        <f t="shared" si="357"/>
        <v/>
      </c>
      <c r="QK33" s="300" t="str">
        <f t="shared" si="358"/>
        <v/>
      </c>
      <c r="QL33" s="919" t="str">
        <f t="shared" si="359"/>
        <v/>
      </c>
      <c r="QM33" s="517" t="str">
        <f>IF(A33=FALSE,"",Cotations!DA33)</f>
        <v/>
      </c>
      <c r="QN33" s="515" t="str">
        <f>IF(A33=FALSE,"",Cotations!DB33)</f>
        <v/>
      </c>
      <c r="QO33" s="493" t="str">
        <f>IF(A33=FALSE,"",Cotations!DC33)</f>
        <v/>
      </c>
      <c r="QP33" s="517" t="str">
        <f>IF(A33=FALSE,"",IF(QM33="N/A",0,IF(INDEX(LISTES!$F$105:$F$109,MATCH(QM33,LISTES!$C$105:$C$109,0))="FIX",IF(INDEX(LISTES!$E$105:$E$109,MATCH(QM33,LISTES!$C$105:$C$109,0))=12,QN33/12*L33,QN33/365*M33),QO33*QL33)))</f>
        <v/>
      </c>
      <c r="QQ33" s="294" t="str">
        <f t="shared" si="360"/>
        <v/>
      </c>
      <c r="QR33" s="494" t="str">
        <f>IF(A33=FALSE,"",QQ33*Cotations!DD33)</f>
        <v/>
      </c>
      <c r="QS33" s="494" t="str">
        <f>IF(A33=FALSE,"",QQ33*Cotations!DE33)</f>
        <v/>
      </c>
      <c r="QT33" s="338" t="str">
        <f t="shared" si="361"/>
        <v/>
      </c>
      <c r="QU33" s="919" t="str">
        <f>IF(A33=FALSE,"",((QG33*TAXE)-(QG33*TAXE*QI33))+IF(QM33="N/A",0,IF(INDEX(LISTES!$F$105:$F$109,MATCH(QM33,LISTES!$C$105:$C$109,0))="FIX",QN33,QO33*QL33)))</f>
        <v/>
      </c>
      <c r="RA33" s="497" t="str">
        <f t="shared" si="362"/>
        <v/>
      </c>
      <c r="RB33" s="498" t="str">
        <f>IF(A33=FALSE,"",IF(LISTES!$A$17=1,Cotations!DF33,Cotations!$DG$4))</f>
        <v/>
      </c>
      <c r="RC33" s="499" t="str">
        <f t="shared" si="363"/>
        <v/>
      </c>
      <c r="RD33" s="499" t="str">
        <f t="shared" si="364"/>
        <v/>
      </c>
      <c r="RE33" s="500" t="str">
        <f t="shared" si="365"/>
        <v/>
      </c>
      <c r="RF33" s="501" t="str">
        <f>IF(A33=FALSE,"",Cotations!$DK$4*Y33)</f>
        <v/>
      </c>
      <c r="RG33" s="502" t="str">
        <f t="shared" si="366"/>
        <v/>
      </c>
      <c r="RH33" s="520" t="str">
        <f>IF(A33=FALSE,"",IF(Cotations!$DH$4="monthly",RG33/12*L33,RG33/365*M33))</f>
        <v/>
      </c>
      <c r="RI33" s="503" t="str">
        <f>IF(A33=FALSE,"",Cotations!$DL$4)</f>
        <v/>
      </c>
      <c r="RJ33" s="502" t="str">
        <f t="shared" si="367"/>
        <v/>
      </c>
      <c r="RK33" s="502" t="str">
        <f t="shared" si="368"/>
        <v/>
      </c>
      <c r="RL33" s="504" t="str">
        <f t="shared" si="369"/>
        <v/>
      </c>
      <c r="RM33" s="505" t="str">
        <f>IF(A33=FALSE,"",Cotations!$DM$4)</f>
        <v/>
      </c>
      <c r="RN33" s="520" t="str">
        <f>IF(A33=FALSE,"",Cotations!$DN$4)</f>
        <v/>
      </c>
      <c r="RO33" s="503" t="str">
        <f>IF(A33=FALSE,"",Cotations!$DO$4)</f>
        <v/>
      </c>
      <c r="RP33" s="505" t="str">
        <f>IF(A33=FALSE,"",IF(RM33="N/A",0,IF(INDEX(LISTES!$F$105:$F$109,MATCH(RM33,LISTES!$C$105:$C$109,0))="FIX",IF(INDEX(LISTES!$E$105:$E$109,MATCH(RM33,LISTES!$C$105:$C$109,0))=12,RN33/12*L33,RN33/365*M33),RO33*RL33)))</f>
        <v/>
      </c>
      <c r="RQ33" s="504" t="str">
        <f t="shared" si="370"/>
        <v/>
      </c>
      <c r="RR33" s="505" t="str">
        <f>IF(A33=FALSE,"",RQ33*Cotations!$DP$4)</f>
        <v/>
      </c>
      <c r="RS33" s="505" t="str">
        <f>IF(A33=FALSE,"",RQ33*Cotations!$DQ$4)</f>
        <v/>
      </c>
      <c r="RT33" s="506" t="str">
        <f t="shared" si="371"/>
        <v/>
      </c>
      <c r="RU33" s="919" t="str">
        <f>IF(A33=FALSE,"",((RG33*TAXE)-(RG33*TAXE*RI33))+IF(RM33="N/A",0,IF(INDEX(LISTES!$F$105:$F$109,MATCH(RM33,LISTES!$C$105:$C$109,0))="FIX",RN33,RO33*RL33)))</f>
        <v/>
      </c>
      <c r="SA33" s="492" t="str">
        <f t="shared" si="372"/>
        <v/>
      </c>
      <c r="SB33" s="491" t="str">
        <f>IF(A33=FALSE,"",IF(LISTES!$A$17=1,Cotations!DF33,Cotations!DG33))</f>
        <v/>
      </c>
      <c r="SC33" s="285" t="str">
        <f t="shared" si="373"/>
        <v/>
      </c>
      <c r="SD33" s="300"/>
      <c r="SE33" s="461" t="str">
        <f t="shared" si="374"/>
        <v/>
      </c>
      <c r="SF33" s="490" t="str">
        <f>IF(A33=FALSE,"",Cotations!DK33*AA33)</f>
        <v/>
      </c>
      <c r="SG33" s="300" t="str">
        <f t="shared" si="375"/>
        <v/>
      </c>
      <c r="SH33" s="522" t="str">
        <f>IF(A33=FALSE,"",IF(Cotations!DH33="monthly",SG33/12*L33,SG33/365*M33))</f>
        <v/>
      </c>
      <c r="SI33" s="489" t="str">
        <f>IF(A33=FALSE,"",IF(Cotations!DL33="","",Cotations!DL33))</f>
        <v/>
      </c>
      <c r="SJ33" s="300" t="str">
        <f t="shared" si="376"/>
        <v/>
      </c>
      <c r="SK33" s="300" t="str">
        <f t="shared" si="377"/>
        <v/>
      </c>
      <c r="SL33" s="919" t="str">
        <f t="shared" si="378"/>
        <v/>
      </c>
      <c r="SM33" s="285" t="str">
        <f>IF(A33=FALSE,"",Cotations!DM33)</f>
        <v/>
      </c>
      <c r="SN33" s="515" t="str">
        <f>IF(A33=FALSE,"",Cotations!DN33)</f>
        <v/>
      </c>
      <c r="SO33" s="493" t="str">
        <f>IF(A33=FALSE,"",Cotations!DO33)</f>
        <v/>
      </c>
      <c r="SP33" s="517" t="str">
        <f>IF(A33=FALSE,"",IF(SM33="N/A",0,IF(INDEX(LISTES!$F$105:$F$109,MATCH(SM33,LISTES!$C$105:$C$109,0))="FIX",IF(INDEX(LISTES!$E$105:$E$109,MATCH(SM33,LISTES!$C$105:$C$109,0))=12,SN33/12*L33,SN33/365*M33),SO33*SL33)))</f>
        <v/>
      </c>
      <c r="SQ33" s="294" t="str">
        <f t="shared" si="379"/>
        <v/>
      </c>
      <c r="SR33" s="494" t="str">
        <f>IF(A33=FALSE,"",SQ33*Cotations!DP33)</f>
        <v/>
      </c>
      <c r="SS33" s="494" t="str">
        <f>IF(A33=FALSE,"",SQ33*Cotations!DQ33)</f>
        <v/>
      </c>
      <c r="ST33" s="338" t="str">
        <f t="shared" si="380"/>
        <v/>
      </c>
      <c r="SU33" s="919" t="str">
        <f>IF(A33=FALSE,"",((SG33*TAXE)-(SG33*TAXE*SI33))+IF(SM33="N/A",0,IF(INDEX(LISTES!$F$105:$F$109,MATCH(SM33,LISTES!$C$105:$C$109,0))="FIX",SN33,SO33*SL33)))</f>
        <v/>
      </c>
      <c r="TA33" s="492" t="str">
        <f>IF(A33=FALSE,"",Cotations!D33)</f>
        <v/>
      </c>
      <c r="TB33" s="491" t="str">
        <f>IF(A33=FALSE,"",IF(LISTES!$A$17=1,Cotations!DR33,Cotations!DS33))</f>
        <v/>
      </c>
      <c r="TC33" s="285" t="str">
        <f t="shared" si="381"/>
        <v/>
      </c>
      <c r="TD33" s="300" t="str">
        <f>IF(A33=FALSE,"",Detail!CQ33)</f>
        <v/>
      </c>
      <c r="TE33" s="461" t="str">
        <f t="shared" si="382"/>
        <v/>
      </c>
      <c r="TF33" s="490" t="str">
        <f>IF(A33=FALSE,"",IF(TA33="FIXE",Cotations!DU33,Cotations!DV33*Y33))</f>
        <v/>
      </c>
      <c r="TG33" s="300" t="str">
        <f t="shared" si="383"/>
        <v/>
      </c>
      <c r="TH33" s="522" t="str">
        <f>IF(A33=FALSE,"",IF(Cotations!DT33="monthly",TG33/12*L33,TG33/365*M33))</f>
        <v/>
      </c>
      <c r="TI33" s="489" t="str">
        <f>IF(A33=FALSE,"",IF(Cotations!DW33="","",Cotations!DW33))</f>
        <v/>
      </c>
      <c r="TJ33" s="300" t="str">
        <f t="shared" si="384"/>
        <v/>
      </c>
      <c r="TK33" s="300" t="str">
        <f t="shared" si="385"/>
        <v/>
      </c>
      <c r="TL33" s="919" t="str">
        <f t="shared" si="386"/>
        <v/>
      </c>
      <c r="TM33" s="517" t="str">
        <f>IF(A33=FALSE,"",Cotations!DX33)</f>
        <v/>
      </c>
      <c r="TN33" s="517" t="str">
        <f>IF(A33=FALSE,"",Cotations!DY33)</f>
        <v/>
      </c>
      <c r="TO33" s="493" t="str">
        <f>IF(A33=FALSE,"",Cotations!DZ33)</f>
        <v/>
      </c>
      <c r="TP33" s="517" t="str">
        <f>IF(A33=FALSE,"",IF(TM33="N/A",0,IF(INDEX(LISTES!$F$105:$F$109,MATCH(TM33,LISTES!$C$105:$C$109,0))="FIX",IF(INDEX(LISTES!$E$105:$E$109,MATCH(TM33,LISTES!$C$105:$C$109,0))=12,TN33/12*L33,TN33/365*M33),TO33*TL33)))</f>
        <v/>
      </c>
      <c r="TQ33" s="294" t="str">
        <f t="shared" si="387"/>
        <v/>
      </c>
      <c r="TR33" s="494" t="str">
        <f>IF(A33=FALSE,"",TQ33*Cotations!EA33)</f>
        <v/>
      </c>
      <c r="TS33" s="494" t="str">
        <f>IF(A33=FALSE,"",TQ33*Cotations!EB33)</f>
        <v/>
      </c>
      <c r="TT33" s="338" t="str">
        <f t="shared" si="388"/>
        <v/>
      </c>
      <c r="TU33" s="919" t="str">
        <f>IF(A33=FALSE,"",((TG33*(1+TAXE)-(TG33*(1+TAXE)*TI33))+IF(TM33="N/A",0,IF(INDEX(LISTES!$F$105:$F$109,MATCH(TM33,LISTES!$C$105:$C$109,0))="FIX",TN33,TO33*TL33))))</f>
        <v/>
      </c>
      <c r="UA33" s="492" t="str">
        <f>IF(A33=FALSE,"",Cotations!D33)</f>
        <v/>
      </c>
      <c r="UB33" s="491" t="str">
        <f>IF(A33=FALSE,"",IF(LISTES!$A$17=1,Cotations!EC33,Cotations!ED33))</f>
        <v/>
      </c>
      <c r="UC33" s="285" t="str">
        <f t="shared" si="389"/>
        <v/>
      </c>
      <c r="UD33" s="300" t="str">
        <f>IF(A33=FALSE,"",Detail!CY33)</f>
        <v/>
      </c>
      <c r="UE33" s="461" t="str">
        <f t="shared" si="390"/>
        <v/>
      </c>
      <c r="UF33" s="490" t="str">
        <f>IF(A33=FALSE,"",IF(UA33="FIXE",Cotations!EF33,Cotations!EG33*Y33))</f>
        <v/>
      </c>
      <c r="UG33" s="300" t="str">
        <f t="shared" si="391"/>
        <v/>
      </c>
      <c r="UH33" s="522" t="str">
        <f>IF(A33=FALSE,"",IF(Cotations!EE33="monthly",UG33/12*L33,UG33/365*M33))</f>
        <v/>
      </c>
      <c r="UI33" s="489" t="str">
        <f>IF(A33=FALSE,"",IF(Cotations!EH33="","",Cotations!EH33))</f>
        <v/>
      </c>
      <c r="UJ33" s="300" t="str">
        <f t="shared" si="392"/>
        <v/>
      </c>
      <c r="UK33" s="300" t="str">
        <f t="shared" si="393"/>
        <v/>
      </c>
      <c r="UL33" s="919" t="str">
        <f t="shared" si="394"/>
        <v/>
      </c>
      <c r="UM33" s="517" t="str">
        <f>IF(A33=FALSE,"",Cotations!EI33)</f>
        <v/>
      </c>
      <c r="UN33" s="517" t="str">
        <f>IF(A33=FALSE,"",Cotations!EJ33)</f>
        <v/>
      </c>
      <c r="UO33" s="493" t="str">
        <f>IF(A33=FALSE,"",Cotations!EK33)</f>
        <v/>
      </c>
      <c r="UP33" s="517" t="str">
        <f>IF(A33=FALSE,"",IF(UM33="N/A",0,IF(INDEX(LISTES!$F$105:$F$109,MATCH(UM33,LISTES!$C$105:$C$109,0))="FIX",IF(INDEX(LISTES!$E$105:$E$109,MATCH(UM33,LISTES!$C$105:$C$109,0))=12,UN33/12*L33,UN33/365*M33),UO33*UL33)))</f>
        <v/>
      </c>
      <c r="UQ33" s="294" t="str">
        <f t="shared" si="395"/>
        <v/>
      </c>
      <c r="UR33" s="494" t="str">
        <f>IF(A33=FALSE,"",UQ33*Cotations!EL33)</f>
        <v/>
      </c>
      <c r="US33" s="494" t="str">
        <f>IF(A33=FALSE,"",UQ33*Cotations!EM33)</f>
        <v/>
      </c>
      <c r="UT33" s="338" t="str">
        <f t="shared" si="396"/>
        <v/>
      </c>
      <c r="UU33" s="919" t="str">
        <f>IF(A33=FALSE,"",((UG33*(1+TAXE)-(UG33*(1+TAXE)*UI33))+IF(UM33="N/A",0,IF(INDEX(LISTES!$F$105:$F$109,MATCH(UM33,LISTES!$C$105:$C$109,0))="FIX",UN33,UO33*UL33))))</f>
        <v/>
      </c>
      <c r="VA33" s="492" t="str">
        <f>IF(A33=FALSE,"",Cotations!D33)</f>
        <v/>
      </c>
      <c r="VB33" s="519" t="str">
        <f>IF(A33=FALSE,"",IF(LISTES!$A$17=1,Cotations!EN33,Cotations!EO33))</f>
        <v/>
      </c>
      <c r="VC33" s="291" t="str">
        <f t="shared" si="397"/>
        <v/>
      </c>
      <c r="VD33" s="291" t="str">
        <f t="shared" si="398"/>
        <v/>
      </c>
      <c r="VE33" s="291"/>
      <c r="VF33" s="463"/>
      <c r="VG33" s="463" t="str">
        <f t="shared" si="399"/>
        <v/>
      </c>
      <c r="VH33" s="522" t="str">
        <f>IF(A33=FALSE,"",IF(Cotations!$AQ$4="monthly",VG33/12*L33,VG33/365*M33))</f>
        <v/>
      </c>
      <c r="VI33" s="489" t="str">
        <f>IF(A33=FALSE,"",Cotations!$AR$4)</f>
        <v/>
      </c>
      <c r="VJ33" s="300" t="str">
        <f t="shared" si="400"/>
        <v/>
      </c>
      <c r="VK33" s="300" t="str">
        <f t="shared" si="401"/>
        <v/>
      </c>
      <c r="VL33" s="294" t="str">
        <f t="shared" si="402"/>
        <v/>
      </c>
      <c r="VM33" s="494" t="str">
        <f>IF(A33=FALSE,"",Cotations!$AS$4)</f>
        <v/>
      </c>
      <c r="VN33" s="494" t="str">
        <f>IF(A33=FALSE,"",Cotations!$AT$4)</f>
        <v/>
      </c>
      <c r="VO33" s="489" t="str">
        <f>IF(A33=FALSE,"",Cotations!$AU$4)</f>
        <v/>
      </c>
      <c r="VP33" s="494" t="str">
        <f>IF(A33=FALSE,"",IF(VM33="N/A",0,IF(INDEX(LISTES!$F$105:$F$109,MATCH(VM33,LISTES!$C$105:$C$109,0))="FIX",IF(INDEX(LISTES!$E$105:$E$109,MATCH(VM33,LISTES!$C$105:$C$109,0))=12,VN33/12*L33,VN33/365*M33),VO33*VL33)))</f>
        <v/>
      </c>
      <c r="VQ33" s="294" t="str">
        <f t="shared" si="403"/>
        <v/>
      </c>
      <c r="VR33" s="494" t="str">
        <f>IF(A33=FALSE,"",VQ33*Cotations!$AV$4)</f>
        <v/>
      </c>
      <c r="VS33" s="494" t="str">
        <f>IF(A33=FALSE,"",VQ33*Cotations!$AW$4)</f>
        <v/>
      </c>
      <c r="VT33" s="465" t="str">
        <f t="shared" si="404"/>
        <v/>
      </c>
      <c r="VU33" s="919" t="str">
        <f>IF(A33=FALSE,"",((VG33*TAXE)-(VG33*TAXE*VI33))+IF(VM33="N/A",0,IF(INDEX(LISTES!$F$105:$F$109,MATCH(VM33,LISTES!$C$105:$C$109,0))="FIX",VN33,VO33*VL33)))</f>
        <v/>
      </c>
      <c r="WA33" s="492" t="str">
        <f>IF(A33=FALSE,"",Cotations!D33)</f>
        <v/>
      </c>
      <c r="WB33" s="519" t="str">
        <f>IF(A33=FALSE,"",IF(LISTES!$A$17=1,Cotations!EW33,Cotations!EX33))</f>
        <v/>
      </c>
      <c r="WC33" s="291" t="str">
        <f t="shared" si="405"/>
        <v/>
      </c>
      <c r="WD33" s="291" t="str">
        <f t="shared" si="406"/>
        <v/>
      </c>
      <c r="WE33" s="291"/>
      <c r="WF33" s="463"/>
      <c r="WG33" s="463" t="str">
        <f t="shared" si="407"/>
        <v/>
      </c>
      <c r="WH33" s="522" t="str">
        <f>IF(A33=FALSE,"",IF(Cotations!$AQ$4="monthly",WG33/12*L33,WG33/365*M33))</f>
        <v/>
      </c>
      <c r="WI33" s="489" t="str">
        <f>IF(A33=FALSE,"",Cotations!$AR$4)</f>
        <v/>
      </c>
      <c r="WJ33" s="300" t="str">
        <f t="shared" si="408"/>
        <v/>
      </c>
      <c r="WK33" s="300" t="str">
        <f t="shared" si="409"/>
        <v/>
      </c>
      <c r="WL33" s="294" t="str">
        <f t="shared" si="410"/>
        <v/>
      </c>
      <c r="WM33" s="494" t="str">
        <f>IF(A33=FALSE,"",Cotations!$AS$4)</f>
        <v/>
      </c>
      <c r="WN33" s="494" t="str">
        <f>IF(A33=FALSE,"",Cotations!$AT$4)</f>
        <v/>
      </c>
      <c r="WO33" s="489" t="str">
        <f>IF(A33=FALSE,"",Cotations!$AU$4)</f>
        <v/>
      </c>
      <c r="WP33" s="494" t="str">
        <f>IF(A33=FALSE,"",IF(WM33="N/A",0,IF(INDEX(LISTES!$F$105:$F$109,MATCH(WM33,LISTES!$C$105:$C$109,0))="FIX",IF(INDEX(LISTES!$E$105:$E$109,MATCH(WM33,LISTES!$C$105:$C$109,0))=12,WN33/12*L33,WN33/365*M33),WO33*WL33)))</f>
        <v/>
      </c>
      <c r="WQ33" s="294" t="str">
        <f t="shared" si="411"/>
        <v/>
      </c>
      <c r="WR33" s="494" t="str">
        <f>IF(A33=FALSE,"",WQ33*Cotations!$AV$4)</f>
        <v/>
      </c>
      <c r="WS33" s="494" t="str">
        <f>IF(A33=FALSE,"",WQ33*Cotations!$AW$4)</f>
        <v/>
      </c>
      <c r="WT33" s="465" t="str">
        <f t="shared" si="412"/>
        <v/>
      </c>
      <c r="WU33" s="919" t="str">
        <f>IF(A33=FALSE,"",((WG33*TAXE)-(WG33*TAXE*WI33))+IF(WM33="N/A",0,IF(INDEX(LISTES!$F$105:$F$109,MATCH(WM33,LISTES!$C$105:$C$109,0))="FIX",WN33,WO33*WL33)))</f>
        <v/>
      </c>
    </row>
    <row r="34" spans="1:619">
      <c r="A34" s="942" t="b">
        <f t="shared" si="221"/>
        <v>0</v>
      </c>
      <c r="B34" s="942" t="b">
        <f>IF(NAMES!$B$9=TRUE,TRUE,FALSE)</f>
        <v>1</v>
      </c>
      <c r="C34" s="942" t="b">
        <f t="shared" si="413"/>
        <v>0</v>
      </c>
      <c r="D34" s="942" t="b">
        <f t="shared" si="414"/>
        <v>0</v>
      </c>
      <c r="E34" s="274" t="b">
        <f>IF(Cotations!C34="","",Cotations!C34)</f>
        <v>0</v>
      </c>
      <c r="F34" s="274" t="str">
        <f>IF(Cotations!D34="","",Cotations!D34)</f>
        <v>PROP</v>
      </c>
      <c r="G34" s="274" t="str">
        <f>IF(Cotations!E34="","",Cotations!E34)</f>
        <v>2016-2017!</v>
      </c>
      <c r="H34" s="274" t="str">
        <f>IF(Cotations!F34="","",Cotations!F34)</f>
        <v>SINGLE</v>
      </c>
      <c r="I34" s="274" t="str">
        <f>IF(Cotations!G34="","",Cotations!G34)</f>
        <v/>
      </c>
      <c r="J34" s="274" t="str">
        <f>IF(Cotations!H34="","",Cotations!H34)</f>
        <v/>
      </c>
      <c r="K34" s="274" t="str">
        <f>IF(Cotations!I34="","",Cotations!I34)</f>
        <v/>
      </c>
      <c r="L34" s="274" t="str">
        <f>IF(A34=FALSE,"",IF(Cotations!N34="","",Cotations!N34))</f>
        <v/>
      </c>
      <c r="M34" s="274" t="str">
        <f>IF(Cotations!P34="","",Cotations!P34)</f>
        <v/>
      </c>
      <c r="N34" s="724" t="str">
        <f>IF(NAMES!$B$10=TRUE,Cotations!J34,Cotations!L34)</f>
        <v/>
      </c>
      <c r="O34" s="724" t="str">
        <f>IF(NAMES!$B$10=TRUE,Cotations!K34,Cotations!M34)</f>
        <v/>
      </c>
      <c r="P34" s="943" t="str">
        <f t="shared" si="415"/>
        <v/>
      </c>
      <c r="Q34" s="724" t="str">
        <f>IF(A34=FALSE,"",IF(Crewlist!Y34="","",Crewlist!Y34))</f>
        <v/>
      </c>
      <c r="R34" s="78" t="str">
        <f>IF(Cotations!U34="","",Cotations!U34)</f>
        <v/>
      </c>
      <c r="S34" s="943" t="str">
        <f t="shared" si="416"/>
        <v/>
      </c>
      <c r="T34" s="919" t="str">
        <f>IF(A34=FALSE,"",VLOOKUP($U$15:$U$120,Currency!$A$2:$D$10,4,0)*Crewlist!N34)</f>
        <v/>
      </c>
      <c r="U34" s="1355" t="str">
        <f>IF(A34=FALSE,"",IF(IT34=0,Crewlist!M34&amp;"/"&amp;EX34,Crewlist!M34&amp;"/"&amp;IT34))</f>
        <v/>
      </c>
      <c r="V34" s="919" t="str">
        <f>IF(A34=FALSE,"",VLOOKUP($U$15:$U$120,Currency!$A$2:$D$10,4,0)*Detail!Q34)</f>
        <v/>
      </c>
      <c r="W34" s="1355" t="str">
        <f>IF(A34=FALSE,"",IF(IT34=0,Detail!R34&amp;"/"&amp;EX34,Detail!R34&amp;"/"&amp;IT34))</f>
        <v/>
      </c>
      <c r="X34" s="919" t="str">
        <f>IF(A34=FALSE,"",IF(LISTES!$C$17="Crewlist",Calcul!T34,Calcul!V34))</f>
        <v/>
      </c>
      <c r="Y34" s="758" t="str">
        <f t="shared" si="417"/>
        <v/>
      </c>
      <c r="Z34" s="758" t="str">
        <f>IF(A34=FALSE,"",IF(X34=0,0,IF((Cotations!BC34*12*X34)&lt;50000,50000,(12*X34))))</f>
        <v/>
      </c>
      <c r="AA34" s="758" t="str">
        <f t="shared" si="418"/>
        <v/>
      </c>
      <c r="AB34" s="758" t="str">
        <f>IF(A34=FALSE,"",IF(Crewlist!O34=0,"",Crewlist!O34))</f>
        <v/>
      </c>
      <c r="AC34" s="758" t="str">
        <f>IF(I34="","",VLOOKUP($AB$15:$AB$120,Currency!$A$15:$B$34,2,0))</f>
        <v/>
      </c>
      <c r="AD34" s="758" t="str">
        <f t="shared" si="419"/>
        <v/>
      </c>
      <c r="AE34" s="758" t="str">
        <f t="shared" si="420"/>
        <v/>
      </c>
      <c r="AF34" s="758" t="str">
        <f t="shared" si="421"/>
        <v/>
      </c>
      <c r="AG34" s="758" t="str">
        <f t="shared" si="422"/>
        <v/>
      </c>
      <c r="AH34" s="1355" t="str">
        <f t="shared" si="222"/>
        <v/>
      </c>
      <c r="AI34" s="919" t="str">
        <f t="shared" si="423"/>
        <v/>
      </c>
      <c r="AJ34" s="1382" t="str">
        <f t="shared" si="424"/>
        <v/>
      </c>
      <c r="AK34" s="1382" t="str">
        <f t="shared" si="425"/>
        <v/>
      </c>
      <c r="AL34" s="238" t="str">
        <f t="shared" si="223"/>
        <v/>
      </c>
      <c r="AM34" s="238" t="str">
        <f t="shared" si="224"/>
        <v/>
      </c>
      <c r="AN34" s="1374" t="str">
        <f t="shared" si="225"/>
        <v/>
      </c>
      <c r="AO34" s="238" t="str">
        <f t="shared" si="226"/>
        <v/>
      </c>
      <c r="AP34" s="342" t="str">
        <f>IF(A34=FALSE,"",INDEX(Rates!$Z$5:$Z$367,MATCH(EB34,colchoice,0)))</f>
        <v/>
      </c>
      <c r="AQ34" s="238" t="str">
        <f t="shared" si="227"/>
        <v/>
      </c>
      <c r="AR34" s="238" t="str">
        <f t="shared" si="426"/>
        <v/>
      </c>
      <c r="AS34" s="238" t="str">
        <f t="shared" si="427"/>
        <v/>
      </c>
      <c r="AT34" s="238" t="str">
        <f t="shared" si="428"/>
        <v/>
      </c>
      <c r="AU34" s="238" t="str">
        <f t="shared" si="228"/>
        <v/>
      </c>
      <c r="AV34" s="238" t="str">
        <f t="shared" si="429"/>
        <v/>
      </c>
      <c r="AW34" s="238" t="str">
        <f t="shared" si="229"/>
        <v/>
      </c>
      <c r="AX34" s="238" t="str">
        <f t="shared" si="230"/>
        <v/>
      </c>
      <c r="AY34" s="238" t="str">
        <f t="shared" si="231"/>
        <v/>
      </c>
      <c r="AZ34" s="238" t="str">
        <f t="shared" si="232"/>
        <v/>
      </c>
      <c r="BA34" s="238" t="str">
        <f t="shared" si="233"/>
        <v/>
      </c>
      <c r="BB34" s="552" t="str">
        <f t="shared" si="234"/>
        <v/>
      </c>
      <c r="BC34" s="347" t="str">
        <f t="shared" si="235"/>
        <v/>
      </c>
      <c r="BD34" s="239" t="str">
        <f t="shared" si="430"/>
        <v/>
      </c>
      <c r="BE34" s="239" t="str">
        <f>IF(A34=FALSE,"",IF(ALLTHESAME=TRUE,IF(DF34&lt;&gt;$BC$7,0,INDEX(DD34:DZ34,1,MATCH(Structure!$D$12,$DD$14:$DZ$14,0))),IF(EC34&lt;&gt;$BC$7,0,INDEX(EA34:EZ34,1,MATCH(Structure!$D$12,$EA$14:$EZ$14,0)))))</f>
        <v/>
      </c>
      <c r="BF34" s="239" t="str">
        <f>IF(A34=FALSE,"",IF(ALLTHESAME=TRUE,IF(FC34&lt;&gt;$BC$7,0,INDEX(FA34:FZ34,1,MATCH(Structure!$D$12,$FA$14:$FZ$14,0))),IF(GC34&lt;&gt;$BC$7,0,INDEX(GA34:GZ34,1,MATCH(Structure!$D$12,$GA$14:$GZ$14,0)))))</f>
        <v/>
      </c>
      <c r="BG34" s="239" t="str">
        <f>IF(A34=FALSE,"",IF(ALLTHESAME=TRUE,IF(VC34&lt;&gt;$BC$7,0,INDEX(VA34:VZ34,1,MATCH(Structure!$D$12,$VA$14:$VZ$14,0))),IF(VC34&lt;&gt;$BC$7,0,INDEX(VA34:VZ34,1,MATCH(Structure!$D$12,$VA$14:$VZ$14,0)))))</f>
        <v/>
      </c>
      <c r="BH34" s="239" t="str">
        <f>IF(A34=FALSE,"",IF(ALLTHESAME=TRUE,IF(WC34&lt;&gt;$BC$7,0,INDEX(WA34:WY34,1,MATCH(Structure!$D$12,$WA$14:$WZ$14,0))),IF(WC34&lt;&gt;$BC$7,0,INDEX(WA34:WZ34,1,MATCH(Structure!$D$12,$WA$14:$WZ$14,0)))))</f>
        <v/>
      </c>
      <c r="BI34" s="763" t="str">
        <f>IF(A34=FALSE,"",IF(ALLTHESAME=TRUE,IF(HC34&lt;&gt;$BC$7,0,INDEX(HA34:HZ34,1,MATCH(Structure!$D$12,$HA$14:$HZ$14,0)))+TK34,IF(IC34&lt;&gt;$BC$7,0,INDEX(IA34:IZ34,1,MATCH(Structure!$D$12,$IA$14:$IZ$14,0)))+TK34))</f>
        <v/>
      </c>
      <c r="BJ34" s="239" t="str">
        <f>IF(A34=FALSE,"",IF(ALLTHESAME=TRUE,IF(JC34&lt;&gt;$BC$7,0,INDEX(JA34:JZ34,1,MATCH(Structure!$D$12,$JA$14:$JZ$14,0))),IF(KC34&lt;&gt;$BC$7,0,INDEX(KA34:KZ34,1,MATCH(Structure!$D$12,$KA$14:$KZ$14,0)))))</f>
        <v/>
      </c>
      <c r="BK34" s="763" t="str">
        <f>IF(A34=FALSE,"",IF(ALLTHESAME=TRUE,IF(LC34&lt;&gt;$BC$7,0,INDEX(LA34:LZ34,1,MATCH(Structure!$D$12,$LA$14:$LZ$14,0)))+UK34,IF(MC34&lt;&gt;$BC$7,0,INDEX(MA34:MZ34,1,MATCH(Structure!$D$12,$MA$14:$MZ$14,0)))+UK34))</f>
        <v/>
      </c>
      <c r="BL34" s="239" t="str">
        <f>IF(A34=FALSE,"",IF(ALLTHESAME=TRUE,IF(NC34&lt;&gt;$BC$7,0,INDEX(NA34:NZ34,1,MATCH(Structure!$D$12,$NA$14:$NZ$14,0))),IF(OC34&lt;&gt;$BC$7,0,INDEX(OA34:OZ34,1,MATCH(Structure!$D$12,$OA$14:$OZ$14,0)))))</f>
        <v/>
      </c>
      <c r="BM34" s="239" t="str">
        <f>IF(A34=FALSE,"",IF(ALLTHESAME=TRUE,IF(PC34&lt;&gt;$BC$7,0,INDEX(PA34:PZ34,1,MATCH(Structure!$D$12,$PA$14:$PZ$14,0))),IF(QC34&lt;&gt;$BC$7,0,INDEX(QA34:QZ34,1,MATCH(Structure!$D$12,$QA$14:$QZ$14,0)))))</f>
        <v/>
      </c>
      <c r="BN34" s="341" t="str">
        <f>IF(A34=FALSE,"",IF(ALLTHESAME=TRUE,IF(RC34&lt;&gt;$BC$7,0,INDEX(RA34:RZ34,1,MATCH(Structure!$D$12,$RA$14:$RZ$14,0))),IF(SC34&lt;&gt;$BC$7,0,INDEX(SA34:TA34,1,MATCH(Structure!$D$12,$SA$14:$TA$14,0)))))</f>
        <v/>
      </c>
      <c r="BO34" s="507" t="str">
        <f t="shared" si="236"/>
        <v/>
      </c>
      <c r="BP34" s="239" t="str">
        <f t="shared" si="237"/>
        <v/>
      </c>
      <c r="BQ34" s="239" t="str">
        <f>IF(A34=FALSE,"",IF(ALLTHESAME=TRUE,IF(DF34&lt;&gt;$BO$7,0,INDEX(DD34:DZ34,1,MATCH(Structure!$D$12,$DD$14:$DZ$14,0))),IF(EC34&lt;&gt;$BO$7,0,INDEX(EA34:EZ34,1,MATCH(Structure!$D$12,$EA$14:$EZ$14,0)))))</f>
        <v/>
      </c>
      <c r="BR34" s="239" t="str">
        <f>IF(A34=FALSE,"",IF(ALLTHESAME=TRUE,IF(FC34&lt;&gt;$BO$7,0,INDEX(FA34:FZ34,1,MATCH(Structure!$D$12,$FA$14:$FZ$14,0))),IF(GC34&lt;&gt;$BO$7,0,INDEX(GA34:GZ34,1,MATCH(Structure!$D$12,$GA$14:$GZ$14,0)))))</f>
        <v/>
      </c>
      <c r="BS34" s="239" t="str">
        <f>IF(A34=FALSE,"",IF(ALLTHESAME=TRUE,IF(HC34&lt;&gt;$BO$7,0,INDEX(HA34:HZ34,1,MATCH(Structure!$D$12,$HA$14:$HZ$14,0))),IF(IC34&lt;&gt;$BO$7,0,INDEX(IA34:IZ34,1,MATCH(Structure!$D$12,$IA$14:$IZ$14,0)))))</f>
        <v/>
      </c>
      <c r="BT34" s="239" t="str">
        <f>IF(A34=FALSE,"",IF(ALLTHESAME=TRUE,IF(JC34&lt;&gt;$BO$7,0,INDEX(JA34:JZ34,1,MATCH(Structure!$D$12,$JA$14:$JZ$14,0))),IF(KC34&lt;&gt;$BO$7,0,INDEX(KA34:KZ34,1,MATCH(Structure!$D$12,$KA$14:$KZ$14,0)))))</f>
        <v/>
      </c>
      <c r="BU34" s="239" t="str">
        <f>IF(A34=FALSE,"",IF(ALLTHESAME=TRUE,IF(LC34&lt;&gt;$BO$7,0,INDEX(LA34:LZ34,1,MATCH(Structure!$D$12,$LA$14:$LZ$14,0))),IF(MC34&lt;&gt;$BO$7,0,INDEX(MA34:MZ34,1,MATCH(Structure!$D$12,$MA$14:$MZ$14,0)))))</f>
        <v/>
      </c>
      <c r="BV34" s="239" t="str">
        <f>IF(A34=FALSE,"",IF(ALLTHESAME=TRUE,IF(NC34&lt;&gt;$BO$7,0,INDEX(NA34:NZ34,1,MATCH(Structure!$D$12,$NA$14:$NZ$14,0))),IF(OC34&lt;&gt;$BO$7,0,INDEX(OA34:OZ34,1,MATCH(Structure!$D$12,$OA$14:$OZ$14,0)))))</f>
        <v/>
      </c>
      <c r="BW34" s="239" t="str">
        <f>IF(A34=FALSE,"",IF(ALLTHESAME=TRUE,IF(PC34&lt;&gt;$BO$7,0,INDEX(PA34:PZ34,1,MATCH(Structure!$D$12,$PA$14:$PZ$14,0))),IF(QC34&lt;&gt;$BO$7,0,INDEX(QA34:QZ34,1,MATCH(Structure!$D$12,$QA$14:$QZ$14,0)))))</f>
        <v/>
      </c>
      <c r="BX34" s="341" t="str">
        <f>IF(A34=FALSE,"",IF(ALLTHESAME=TRUE,IF(RC34&lt;&gt;$BO$7,0,INDEX(RA34:RZ34,1,MATCH(Structure!$D$12,$RA$14:$RZ$14,0))),IF(SC34&lt;&gt;$BO$7,0,INDEX(SA34:TA34,1,MATCH(Structure!$D$12,$SA$14:$TA$14,0)))))</f>
        <v/>
      </c>
      <c r="BY34" s="347" t="str">
        <f t="shared" si="238"/>
        <v/>
      </c>
      <c r="BZ34" s="507" t="str">
        <f t="shared" si="239"/>
        <v/>
      </c>
      <c r="CA34" s="239" t="str">
        <f t="shared" si="240"/>
        <v/>
      </c>
      <c r="CB34" s="239" t="str">
        <f>IF(A34=FALSE,"",IF(ALLTHESAME=TRUE,INDEX(DD34:DZ34,MATCH(DF34,DF34:DF139,0),MATCH(Structure!$D$17,$DD$14:$DZ$14,0)),INDEX(EA34:EZ34,MATCH(EC34,EC34:EC139,0),MATCH(Structure!$D$17,$EA$14:$EZ$14,0))))</f>
        <v/>
      </c>
      <c r="CC34" s="239" t="str">
        <f>IF(A34=FALSE,"",IF(ALLTHESAME=TRUE,INDEX(FA34:FZ34,MATCH(FC34,FC34:FC139,0),MATCH(Structure!$D$17,$FA$14:$FZ$14,0)),INDEX(GA34:GZ34,MATCH(GC34,GC34:GC139,0),MATCH(Structure!$D$17,$GA$14:$GZ$14,0))))</f>
        <v/>
      </c>
      <c r="CD34" s="239" t="str">
        <f>IF(A34=FALSE,"",IF(ALLTHESAME=TRUE,INDEX(HA34:HZ34,MATCH(HC34,HC34:HC139,0),MATCH(Structure!$D$17,$HA$14:$HZ$14,0)),INDEX(IA34:IZ34,MATCH(IC34,IC34:IC139,0),MATCH(Structure!$D$17,$IA$14:$IZ$14,0))))</f>
        <v/>
      </c>
      <c r="CE34" s="239" t="str">
        <f>IF(A34=FALSE,"",IF(ALLTHESAME=TRUE,INDEX(JA34:JZ34,MATCH(JC34,JC34:JC139,0),MATCH(Structure!$D$17,$JA$14:$JZ$14,0)),INDEX(KA34:KZ34,MATCH(KC34,KC34:KC139,0),MATCH(Structure!$D$17,$KA$14:$KZ$14,0))))</f>
        <v/>
      </c>
      <c r="CF34" s="239" t="str">
        <f>IF(A34=FALSE,"",IF(ALLTHESAME=TRUE,INDEX(LA34:LZ34,MATCH(LC34,LC34:LC139,0),MATCH(Structure!$D$17,$LA$14:$LZ$14,0)),INDEX(MA34:MZ34,MATCH(MC34,MC34:MC139,0),MATCH(Structure!$D$17,$MA$14:$MZ$14,0))))</f>
        <v/>
      </c>
      <c r="CG34" s="239" t="str">
        <f>IF(A34=FALSE,"",IF(ALLTHESAME=TRUE,INDEX(NA34:NZ34,MATCH(NC34,NC34:NC139,0),MATCH(Structure!$D$17,$NA$14:$NZ$14,0)),INDEX(OA34:OZ34,MATCH(OC34,OC34:OC139,0),MATCH(Structure!$D$17,$OA$14:$OZ$14,0))))</f>
        <v/>
      </c>
      <c r="CH34" s="239" t="str">
        <f>IF(A34=FALSE,"",IF(ALLTHESAME=TRUE,INDEX(PA34:PZ34,MATCH(PC34,PC34:PC139,0),MATCH(Structure!$D$17,$PA$14:$PZ$14,0)),INDEX(QA34:QZ34,MATCH(QC34,QC34:QC139,0),MATCH(Structure!$D$17,$QA$14:$QZ$14,0))))</f>
        <v/>
      </c>
      <c r="CI34" s="341" t="str">
        <f>IF(A34=FALSE,"",IF(ALLTHESAME=TRUE,INDEX(RA34:RZ34,MATCH(RC34,RC34:RC139,0),MATCH(Structure!$D$17,$RA$14:$RZ$14,0)),INDEX(SA34:TC34,MATCH(SC34,SC34:SC139,0),MATCH(Structure!$D$17,$SA$14:$TC$14,0))))</f>
        <v/>
      </c>
      <c r="CJ34" s="347"/>
      <c r="CK34" s="239" t="str">
        <f t="shared" si="241"/>
        <v/>
      </c>
      <c r="CL34" s="239" t="str">
        <f>IF(A34=FALSE,"",IF(ALLTHESAME=TRUE,INDEX(DD34:DZ34,MATCH(DF34,DF34:DF139,0),MATCH(Structure!$D$22,$DD$14:$DZ$14,0)),INDEX(EA34:EZ34,MATCH(EC34,EC34:EC139,0),MATCH(Structure!$D$22,$EA$14:$EZ$14,0))))</f>
        <v/>
      </c>
      <c r="CM34" s="239" t="str">
        <f>IF(A34=FALSE,"",IF(ALLTHESAME=TRUE,INDEX(FA34:FZ34,MATCH(FC34,FC34:FC139,0),MATCH(Structure!$D$22,$FA$14:$FZ$14,0)),INDEX(GA34:GZ34,MATCH(GC34,GC34:GC139,0),MATCH(Structure!$D$22,$GA$14:$GZ$14,0))))</f>
        <v/>
      </c>
      <c r="CN34" s="239" t="str">
        <f>IF(A34=FALSE,"",IF(ALLTHESAME=TRUE,INDEX(HA34:HZ34,MATCH(HC34,HC34:HC139,0),MATCH(Structure!$D$22,$HA$14:$HZ$14,0)),INDEX(IA34:IZ34,MATCH(IC34,IC34:IC139,0),MATCH(Structure!$D$22,$IA$14:$IZ$14,0))))</f>
        <v/>
      </c>
      <c r="CO34" s="239" t="str">
        <f>IF(A34=FALSE,"",IF(ALLTHESAME=TRUE,INDEX(JA34:JZ34,MATCH(JC34,JC34:JC139,0),MATCH(Structure!$D$22,$JA$14:$JZ$14,0)),INDEX(KA34:KZ34,MATCH(KC34,KC34:KC139,0),MATCH(Structure!$D$22,$KA$14:$KZ$14,0))))</f>
        <v/>
      </c>
      <c r="CP34" s="239" t="str">
        <f>IF(A34=FALSE,"",IF(ALLTHESAME=TRUE,INDEX(LA34:LZ34,MATCH(LC34,LC34:LC139,0),MATCH(Structure!$D$22,$LA$14:$LZ$14,0)),INDEX(MA34:MZ34,MATCH(MC34,MC34:MC139,0),MATCH(Structure!$D$22,$MA$14:$MZ$14,0))))</f>
        <v/>
      </c>
      <c r="CQ34" s="239" t="str">
        <f>IF(A34=FALSE,"",IF(ALLTHESAME=TRUE,INDEX(NA34:NZ34,MATCH(NC34,NC34:NC139,0),MATCH(Structure!$D$22,$NA$14:$NZ$14,0)),INDEX(OA34:OZ34,MATCH(OC34,OC34:OC139,0),MATCH(Structure!$D$22,$OA$14:$OZ$14,0))))</f>
        <v/>
      </c>
      <c r="CR34" s="239" t="str">
        <f>IF(A34=FALSE,"",IF(ALLTHESAME=TRUE,INDEX(PA34:PZ34,MATCH(PC34,PC34:PC139,0),MATCH(Structure!$D$22,$PA$14:$PZ$14,0)),INDEX(QA34:QZ34,MATCH(QC34,QC34:QC139,0),MATCH(Structure!$D$22,$QA$14:$QZ$14,0))))</f>
        <v/>
      </c>
      <c r="CS34" s="341" t="str">
        <f>IF(A34=FALSE,"",IF(ALLTHESAME=TRUE,INDEX(RA34:RZ34,MATCH(RC34,RC34:RC139,0),MATCH(Structure!$D$22,$RA$14:$RZ$14,0)),INDEX(SA34:TC34,MATCH(SC34,SC34:SC139,0),MATCH(Structure!$D$22,$SA$14:$TC$14,0))))</f>
        <v/>
      </c>
      <c r="CT34" s="347"/>
      <c r="CU34" s="239" t="str">
        <f t="shared" si="242"/>
        <v/>
      </c>
      <c r="CV34" s="239" t="str">
        <f>IF(A34=FALSE,"",IF(ALLTHESAME=TRUE,INDEX(DD34:DZ34,MATCH(DF34,DF34:DF139,0),MATCH(Structure!$D$8,$DD$14:$DZ$14,0)),INDEX(EA34:EZ34,MATCH(EC34,EC34:EC139,0),MATCH(Structure!$D$8,$EA$14:$EZ$14,0))))</f>
        <v/>
      </c>
      <c r="CW34" s="239" t="str">
        <f>IF(A34=FALSE,"",IF(ALLTHESAME=TRUE,INDEX(FA34:FZ34,MATCH(FC34,FC34:FC139,0),MATCH(Structure!$D$8,$FA$14:$FZ$14,0)),INDEX(GA34:GZ34,MATCH(GC34,GC34:GC139,0),MATCH(Structure!$D$8,$GA$14:$GZ$14,0))))</f>
        <v/>
      </c>
      <c r="CX34" s="239" t="str">
        <f>IF(A34=FALSE,"",IF(ALLTHESAME=TRUE,INDEX(HA34:HZ34,MATCH(HC34,HC34:HC139,0),MATCH(Structure!$D$8,$HA$14:$HZ$14,0)),INDEX(IA34:IZ34,MATCH(IC34,IC34:IC139,0),MATCH(Structure!$D$8,$IA$14:$IZ$14,0))))</f>
        <v/>
      </c>
      <c r="CY34" s="239" t="str">
        <f>IF(A34=FALSE,"",IF(ALLTHESAME=TRUE,INDEX(JA34:JZ34,MATCH(JC34,JC34:JC139,0),MATCH(Structure!$D$8,$JA$14:$JZ$14,0)),INDEX(KA34:KZ34,MATCH(KC34,KC34:KC139,0),MATCH(Structure!$D$8,$KA$14:$KZ$14,0))))</f>
        <v/>
      </c>
      <c r="CZ34" s="239" t="str">
        <f>IF(A34=FALSE,"",IF(ALLTHESAME=TRUE,INDEX(LA34:LZ34,MATCH(LC34,LC34:LC139,0),MATCH(Structure!$D$8,$LA$14:$LZ$14,0)),INDEX(MA34:MZ34,MATCH(MC34,MC34:MC139,0),MATCH(Structure!$D$8,$MA$14:$MZ$14,0))))</f>
        <v/>
      </c>
      <c r="DA34" s="239" t="str">
        <f>IF(A34=FALSE,"",IF(ALLTHESAME=TRUE,INDEX(NA34:NZ34,MATCH(NC34,NC34:NC139,0),MATCH(Structure!$D$8,$NA$14:$NZ$14,0)),INDEX(OA34:OZ34,MATCH(OC34,OC34:OC139,0),MATCH(Structure!$D$8,$OA$14:$OZ$14,0))))</f>
        <v/>
      </c>
      <c r="DB34" s="239" t="str">
        <f>IF(A34=FALSE,"",IF(ALLTHESAME=TRUE,INDEX(PA34:PZ34,MATCH(PC34,PC34:PC139,0),MATCH(Structure!$D$8,$PA$14:$PZ$14,0)),INDEX(QA34:QZ34,MATCH(QC34,QC34:QC139,0),MATCH(Structure!$D$8,$QA$14:$QZ$14,0))))</f>
        <v/>
      </c>
      <c r="DC34" s="341" t="str">
        <f>IF(A34=FALSE,"",IF(ALLTHESAME=TRUE,INDEX(RA34:RZ34,MATCH(RC34,RC34:RC139,0),MATCH(Structure!$D$8,$RA$14:$RZ$14,0)),INDEX(SA34:TC34,MATCH(SC34,SC34:SC139,0),MATCH(Structure!$D$8,$SA$14:$TC$14,0))))</f>
        <v/>
      </c>
      <c r="DD34" s="492" t="str">
        <f>IF(A34=FALSE,"",Cotations!D34)</f>
        <v/>
      </c>
      <c r="DE34" s="492" t="str">
        <f>IF(A34=FALSE,"",IF(LISTES!$A$17=1,Cotations!AF34,Cotations!$AG$4))</f>
        <v/>
      </c>
      <c r="DF34" s="291" t="str">
        <f t="shared" si="431"/>
        <v/>
      </c>
      <c r="DG34" s="291" t="str">
        <f t="shared" si="243"/>
        <v/>
      </c>
      <c r="DH34" s="291"/>
      <c r="DI34" s="463"/>
      <c r="DJ34" s="463" t="str">
        <f t="shared" si="244"/>
        <v/>
      </c>
      <c r="DK34" s="522" t="str">
        <f>IF(A34=FALSE,"",IF(Cotations!$AH$4="monthly",DJ34/12*L34,DJ34/365*M34))</f>
        <v/>
      </c>
      <c r="DL34" s="489" t="str">
        <f>IF(A34=FALSE,"",Cotations!$AI$4)</f>
        <v/>
      </c>
      <c r="DM34" s="300" t="str">
        <f t="shared" si="245"/>
        <v/>
      </c>
      <c r="DN34" s="300" t="str">
        <f t="shared" si="246"/>
        <v/>
      </c>
      <c r="DO34" s="294" t="str">
        <f t="shared" si="247"/>
        <v/>
      </c>
      <c r="DP34" s="494" t="str">
        <f>IF(A34=FALSE,"",Cotations!$AJ$4)</f>
        <v/>
      </c>
      <c r="DQ34" s="494" t="str">
        <f>IF(A34=FALSE,"",Cotations!$AK$4)</f>
        <v/>
      </c>
      <c r="DR34" s="489" t="str">
        <f>IF(A34=FALSE,"",Cotations!$AL$4)</f>
        <v/>
      </c>
      <c r="DS34" s="494" t="str">
        <f>IF(A34=FALSE,"",IF(DP34="N/A",0,IF(INDEX(LISTES!$F$105:$F$109,MATCH(DP34,LISTES!$C$105:$C$109,0))="FIX",IF(INDEX(LISTES!$E$105:$E$109,MATCH(DP34,LISTES!$C$105:$C$109,0))=12,DQ34/12*L34,DQ34/365*M34),DR34*DO34)))</f>
        <v/>
      </c>
      <c r="DT34" s="294" t="str">
        <f t="shared" si="248"/>
        <v/>
      </c>
      <c r="DU34" s="294" t="str">
        <f>IF(A34=FALSE,"",DT34*Cotations!$AM$4)</f>
        <v/>
      </c>
      <c r="DV34" s="294" t="str">
        <f>IF(A34=FALSE,"",DT34*Cotations!$AN$4)</f>
        <v/>
      </c>
      <c r="DW34" s="465" t="str">
        <f t="shared" si="249"/>
        <v/>
      </c>
      <c r="DX34" s="919" t="str">
        <f>IF(A34=FALSE,"",((DJ34*TAXE)-(DJ34*TAXE*DL34))+IF(DP34="N/A",0,IF(INDEX(LISTES!$F$105:$F$109,MATCH(DP34,LISTES!$C$105:$C$109,0))="FIX",DQ34,DR34*DO34)))</f>
        <v/>
      </c>
      <c r="DY34" s="466"/>
      <c r="DZ34" s="466"/>
      <c r="EA34" s="492" t="str">
        <f>IF(A34=FALSE,"",Cotations!D34)</f>
        <v/>
      </c>
      <c r="EB34" s="494" t="str">
        <f>IF(A34=FALSE,"",IF(LISTES!$A$17=1,Cotations!AF34,Cotations!AG34))</f>
        <v/>
      </c>
      <c r="EC34" s="284" t="str">
        <f t="shared" si="250"/>
        <v/>
      </c>
      <c r="ED34" s="284" t="str">
        <f t="shared" si="251"/>
        <v/>
      </c>
      <c r="EE34" s="284"/>
      <c r="EF34" s="284"/>
      <c r="EG34" s="284" t="str">
        <f t="shared" si="252"/>
        <v/>
      </c>
      <c r="EH34" s="1365" t="str">
        <f t="shared" si="253"/>
        <v/>
      </c>
      <c r="EI34" s="1365" t="str">
        <f t="shared" si="254"/>
        <v/>
      </c>
      <c r="EJ34" s="515" t="str">
        <f>IF(A34=FALSE,"",IF(Cotations!AH34="monthly",EG34/12*L34,EG34/365*M34))</f>
        <v/>
      </c>
      <c r="EK34" s="1364" t="str">
        <f>IF(A34=FALSE,"",IF(Cotations!AH34="monthly",EI34/12*L34,EI34/365*M34))</f>
        <v/>
      </c>
      <c r="EL34" s="493" t="str">
        <f>IF(A34=FALSE,"",IF(Cotations!AI34="","",Cotations!AI34))</f>
        <v/>
      </c>
      <c r="EM34" s="284" t="str">
        <f t="shared" si="255"/>
        <v/>
      </c>
      <c r="EN34" s="284" t="str">
        <f t="shared" si="256"/>
        <v/>
      </c>
      <c r="EO34" s="1365" t="str">
        <f t="shared" si="432"/>
        <v/>
      </c>
      <c r="EP34" s="284" t="str">
        <f t="shared" si="257"/>
        <v/>
      </c>
      <c r="EQ34" s="515" t="str">
        <f>IF(A34=FALSE,"",Cotations!AJ34)</f>
        <v/>
      </c>
      <c r="ER34" s="515" t="str">
        <f>IF(A34=FALSE,"",IF(Cotations!AK34="","",Cotations!AK34))</f>
        <v/>
      </c>
      <c r="ES34" s="493" t="str">
        <f>IF(A34=FALSE,"",Cotations!AL34)</f>
        <v/>
      </c>
      <c r="ET34" s="515" t="str">
        <f>IF(A34=FALSE,"",IF(EQ34="N/A",0,IF(INDEX(LISTES!$F$105:$F$109,MATCH(EQ34,LISTES!$C$105:$C$109,0))="FIX",IF(INDEX(LISTES!$E$105:$E$109,MATCH(EQ34,LISTES!$C$105:$C$109,0))=12,ER34/12*L34,ER34/365*M34),ES34*EP34)))</f>
        <v/>
      </c>
      <c r="EU34" s="294" t="str">
        <f t="shared" si="258"/>
        <v/>
      </c>
      <c r="EV34" s="494" t="str">
        <f>IF(A34=FALSE,"",EU34*Cotations!AM34)</f>
        <v/>
      </c>
      <c r="EW34" s="494" t="str">
        <f>IF(A34=FALSE,"",EU34*Cotations!AN34)</f>
        <v/>
      </c>
      <c r="EX34" s="334" t="str">
        <f t="shared" si="259"/>
        <v/>
      </c>
      <c r="EY34" s="919" t="str">
        <f>IF(A34=FALSE,"",((EG34*TAXE)-(EG34*TAXE*EL34)+EH34)+IF(EQ34="N/A",0,IF(INDEX(LISTES!$F$105:$F$109,MATCH(EQ34,LISTES!$C$105:$C$109,0))="FIX",ER34,ES34*EP34)))</f>
        <v/>
      </c>
      <c r="FA34" s="492" t="str">
        <f>IF(A34=FALSE,"",Cotations!D34)</f>
        <v/>
      </c>
      <c r="FB34" s="519" t="str">
        <f>IF(A34=FALSE,"",IF(LISTES!$A$17=1,Cotations!AO34,Cotations!$AP$4))</f>
        <v/>
      </c>
      <c r="FC34" s="291" t="str">
        <f t="shared" si="260"/>
        <v/>
      </c>
      <c r="FD34" s="291" t="str">
        <f t="shared" si="261"/>
        <v/>
      </c>
      <c r="FE34" s="291"/>
      <c r="FF34" s="463"/>
      <c r="FG34" s="463" t="str">
        <f t="shared" si="262"/>
        <v/>
      </c>
      <c r="FH34" s="522" t="str">
        <f>IF(A34=FALSE,"",IF(Cotations!$AQ$4="monthly",FG34/12*L34,FG34/365*M34))</f>
        <v/>
      </c>
      <c r="FI34" s="453" t="str">
        <f>IF(A34=FALSE,"",Cotations!$AR$4)</f>
        <v/>
      </c>
      <c r="FJ34" s="300" t="str">
        <f t="shared" si="263"/>
        <v/>
      </c>
      <c r="FK34" s="300" t="str">
        <f t="shared" si="264"/>
        <v/>
      </c>
      <c r="FL34" s="294" t="str">
        <f t="shared" si="265"/>
        <v/>
      </c>
      <c r="FM34" s="494" t="str">
        <f>IF(A34=FALSE,"",Cotations!$AS$4)</f>
        <v/>
      </c>
      <c r="FN34" s="494" t="str">
        <f>IF(A34=FALSE,"",Cotations!$AT$4)</f>
        <v/>
      </c>
      <c r="FO34" s="489" t="str">
        <f>IF(A34=FALSE,"",Cotations!$AU$4)</f>
        <v/>
      </c>
      <c r="FP34" s="494" t="str">
        <f>IF(A34=FALSE,"",IF(FM34="N/A",0,IF(INDEX(LISTES!$F$105:$F$109,MATCH(FM34,LISTES!$C$105:$C$109,0))="FIX",IF(INDEX(LISTES!$E$105:$E$109,MATCH(FM34,LISTES!$C$105:$C$109,0))=12,FN34/12*L34,FN34/365*M34),FO34*FL34)))</f>
        <v/>
      </c>
      <c r="FQ34" s="294" t="str">
        <f t="shared" si="266"/>
        <v/>
      </c>
      <c r="FR34" s="494" t="str">
        <f>IF(A34=FALSE,"",FQ34*Cotations!$AV$4)</f>
        <v/>
      </c>
      <c r="FS34" s="494" t="str">
        <f>IF(A34=FALSE,"",FQ34*Cotations!$AW$4)</f>
        <v/>
      </c>
      <c r="FT34" s="465" t="str">
        <f t="shared" si="267"/>
        <v/>
      </c>
      <c r="FU34" s="919" t="str">
        <f>IF(A34=FALSE,"",((FG34*TAXE)-(FG34*TAXE*FI34))+IF(FM34="N/A",0,IF(INDEX(LISTES!$F$105:$F$109,MATCH(FM34,LISTES!$C$105:$C$109,0))="FIX",FN34,FO34*FL34)))</f>
        <v/>
      </c>
      <c r="FV34" s="478"/>
      <c r="FW34" s="478"/>
      <c r="FX34" s="478"/>
      <c r="FY34" s="478"/>
      <c r="FZ34" s="478"/>
      <c r="GA34" s="492" t="str">
        <f>IF(A34=FALSE,"",Cotations!D34)</f>
        <v/>
      </c>
      <c r="GB34" s="494" t="str">
        <f>IF(A34=FALSE,"",IF(LISTES!$A$17=1,Cotations!AO34,Cotations!AP34))</f>
        <v/>
      </c>
      <c r="GC34" s="284" t="str">
        <f t="shared" si="268"/>
        <v/>
      </c>
      <c r="GD34" s="515" t="str">
        <f>IF(A34=FALSE,"",IF(Detail!AM34="","",Detail!AM34))</f>
        <v/>
      </c>
      <c r="GE34" s="284"/>
      <c r="GF34" s="284"/>
      <c r="GG34" s="284" t="str">
        <f t="shared" si="269"/>
        <v/>
      </c>
      <c r="GH34" s="515" t="str">
        <f>IF(A34=FALSE,"",IF(Cotations!AQ34="monthly",GG34/12*L34,GG34/365*M34))</f>
        <v/>
      </c>
      <c r="GI34" s="493" t="str">
        <f>IF(A34=FALSE,"",IF(Cotations!AR34="","",Cotations!AR34))</f>
        <v/>
      </c>
      <c r="GJ34" s="284" t="str">
        <f t="shared" si="270"/>
        <v/>
      </c>
      <c r="GK34" s="284" t="str">
        <f t="shared" si="271"/>
        <v/>
      </c>
      <c r="GL34" s="284" t="str">
        <f t="shared" si="272"/>
        <v/>
      </c>
      <c r="GM34" s="515" t="str">
        <f>IF(A34=FALSE,"",Cotations!AS34)</f>
        <v/>
      </c>
      <c r="GN34" s="515" t="str">
        <f>IF(A34=FALSE,"",Cotations!AT34)</f>
        <v/>
      </c>
      <c r="GO34" s="493" t="str">
        <f>IF(A34=FALSE,"",Cotations!AU34)</f>
        <v/>
      </c>
      <c r="GP34" s="515" t="str">
        <f>IF(A34=FALSE,"",IF(GM34="N/A",0,IF(INDEX(LISTES!$F$105:$F$109,MATCH(GM34,LISTES!$C$105:$C$109,0))="FIX",IF(INDEX(LISTES!$E$105:$E$109,MATCH(GM34,LISTES!$C$105:$C$109,0))=12,GN34/12*L34,GN34/365*M34),GO34*GL34)))</f>
        <v/>
      </c>
      <c r="GQ34" s="294" t="str">
        <f t="shared" si="273"/>
        <v/>
      </c>
      <c r="GR34" s="494" t="str">
        <f>IF(A34=FALSE,"",GQ34*Cotations!AV34)</f>
        <v/>
      </c>
      <c r="GS34" s="494" t="str">
        <f>IF(A34=FALSE,"",GQ34*Cotations!AW34)</f>
        <v/>
      </c>
      <c r="GT34" s="334" t="str">
        <f t="shared" si="274"/>
        <v/>
      </c>
      <c r="GU34" s="919" t="str">
        <f>IF(A34=FALSE,"",((GG34*TAXE)-(GG34*TAXE*GI34))+IF(GM34="N/A",0,IF(INDEX(LISTES!$F$105:$F$109,MATCH(GM34,LISTES!$C$105:$C$109,0))="FIX",GN34,GO34*GL34)))</f>
        <v/>
      </c>
      <c r="GV34" s="478"/>
      <c r="GW34" s="466"/>
      <c r="GX34" s="466"/>
      <c r="GY34" s="466"/>
      <c r="GZ34" s="466"/>
      <c r="HA34" s="492" t="str">
        <f>IF(A34=FALSE,"",Cotations!D34)</f>
        <v/>
      </c>
      <c r="HB34" s="495" t="str">
        <f>IF(A34=FALSE,"",IF(LISTES!$A$17=1,Cotations!AX34,Cotations!$AY$4))</f>
        <v/>
      </c>
      <c r="HC34" s="291" t="str">
        <f t="shared" si="275"/>
        <v/>
      </c>
      <c r="HD34" s="291" t="str">
        <f t="shared" si="276"/>
        <v/>
      </c>
      <c r="HE34" s="456" t="str">
        <f t="shared" si="277"/>
        <v/>
      </c>
      <c r="HF34" s="496" t="str">
        <f>IF(A34=FALSE,"",IF(HA34="POEA",Cotations!BA34,IF(HA34="FIXE",Cotations!$BA$4,Cotations!$BC$4*Y34)))</f>
        <v/>
      </c>
      <c r="HG34" s="300" t="str">
        <f t="shared" si="278"/>
        <v/>
      </c>
      <c r="HH34" s="522" t="str">
        <f>IF(A34=FALSE,"",IF(Cotations!$AZ$4="monthly",HG34/12*L34,HG34/365*M34))</f>
        <v/>
      </c>
      <c r="HI34" s="489" t="str">
        <f>IF(A34=FALSE,"",Cotations!$BD$4)</f>
        <v/>
      </c>
      <c r="HJ34" s="300" t="str">
        <f t="shared" si="279"/>
        <v/>
      </c>
      <c r="HK34" s="300" t="str">
        <f t="shared" si="280"/>
        <v/>
      </c>
      <c r="HL34" s="294" t="str">
        <f t="shared" si="281"/>
        <v/>
      </c>
      <c r="HM34" s="494" t="str">
        <f>IF(A34=FALSE,"",Cotations!$BE$4)</f>
        <v/>
      </c>
      <c r="HN34" s="522" t="str">
        <f>IF(A34=FALSE,"",Cotations!$BF$4)</f>
        <v/>
      </c>
      <c r="HO34" s="489" t="str">
        <f>IF(A34=FALSE,"",Cotations!$BG$4)</f>
        <v/>
      </c>
      <c r="HP34" s="494" t="str">
        <f>IF(A34=FALSE,"",IF(HM34="N/A",0,IF(INDEX(LISTES!$F$105:$F$109,MATCH(HM34,LISTES!$C$105:$C$109,0))="FIX",IF(INDEX(LISTES!$E$105:$E$109,MATCH(HM34,LISTES!$C$105:$C$109,0))=12,HN34/12*L34,HN34/365*M34),HO34*HL34)))</f>
        <v/>
      </c>
      <c r="HQ34" s="294" t="str">
        <f t="shared" si="282"/>
        <v/>
      </c>
      <c r="HR34" s="494" t="str">
        <f>IF(A34=FALSE,"",HQ34*Cotations!$BH$4)</f>
        <v/>
      </c>
      <c r="HS34" s="494" t="str">
        <f>IF(A34=FALSE,"",HQ34*Cotations!$BI$4)</f>
        <v/>
      </c>
      <c r="HT34" s="294" t="str">
        <f t="shared" si="283"/>
        <v/>
      </c>
      <c r="HU34" s="919" t="str">
        <f>IF(A34=FALSE,"",((HG34*TAXE)-(HG34*TAXE*HI34))+IF(HM34="N/A",0,IF(INDEX(LISTES!$F$105:$F$109,MATCH(HM34,LISTES!$C$105:$C$109,0))="FIX",HN34,HO34*HL34)))</f>
        <v/>
      </c>
      <c r="IA34" s="492" t="str">
        <f>IF(A34=FALSE,"",Cotations!D34)</f>
        <v/>
      </c>
      <c r="IB34" s="491" t="str">
        <f>IF(A34=FALSE,"",IF(LISTES!$A$17=1,Cotations!AX34,Cotations!AY34))</f>
        <v/>
      </c>
      <c r="IC34" s="285" t="str">
        <f t="shared" si="284"/>
        <v/>
      </c>
      <c r="ID34" s="300" t="str">
        <f>IF(A34=FALSE,"",IF(LISTES!$A$17=3,Detail!AU34,lig1_Formula_PREVOY))</f>
        <v/>
      </c>
      <c r="IE34" s="461" t="str">
        <f t="shared" si="285"/>
        <v/>
      </c>
      <c r="IF34" s="490" t="str">
        <f>IF(A34=FALSE,"",IF(IA34="POEA",Cotations!BA34,IF(HA34="FIXE",Cotations!BB34,IF(Cotations!BC34*Y34&lt;50000,Z34,Cotations!BC34*Y34))))</f>
        <v/>
      </c>
      <c r="IG34" s="300" t="str">
        <f t="shared" si="286"/>
        <v/>
      </c>
      <c r="IH34" s="522" t="str">
        <f>IF(A34=FALSE,"",IF(Cotations!AZ34="monthly",IG34/12*L34,IG34/365*M34))</f>
        <v/>
      </c>
      <c r="II34" s="489" t="str">
        <f>IF(A34=FALSE,"",IF(Cotations!BD34="","",Cotations!BD34))</f>
        <v/>
      </c>
      <c r="IJ34" s="300" t="str">
        <f t="shared" si="287"/>
        <v/>
      </c>
      <c r="IK34" s="300" t="str">
        <f t="shared" si="288"/>
        <v/>
      </c>
      <c r="IL34" s="919" t="str">
        <f t="shared" si="289"/>
        <v/>
      </c>
      <c r="IM34" s="517" t="str">
        <f>IF(A34=FALSE,"",Cotations!BE34)</f>
        <v/>
      </c>
      <c r="IN34" s="517" t="str">
        <f>IF(A34=FALSE,"",Cotations!BF34)</f>
        <v/>
      </c>
      <c r="IO34" s="493" t="str">
        <f>IF(A34=FALSE,"",Cotations!BG34)</f>
        <v/>
      </c>
      <c r="IP34" s="517" t="str">
        <f>IF(A34=FALSE,"",IF(IM34="N/A",0,IF(INDEX(LISTES!$F$105:$F$109,MATCH(IM34,LISTES!$C$105:$C$109,0))="FIX",IF(INDEX(LISTES!$E$105:$E$109,MATCH(IM34,LISTES!$C$105:$C$109,0))=12,IN34/12*L34,IN34/365*M34),IO34*IL34)))</f>
        <v/>
      </c>
      <c r="IQ34" s="294" t="str">
        <f t="shared" si="290"/>
        <v/>
      </c>
      <c r="IR34" s="494" t="str">
        <f>IF(A34=FALSE,"",IQ34*Cotations!BH34)</f>
        <v/>
      </c>
      <c r="IS34" s="494" t="str">
        <f>IF(A34=FALSE,"",IQ34*Cotations!BI34)</f>
        <v/>
      </c>
      <c r="IT34" s="338" t="str">
        <f t="shared" si="291"/>
        <v/>
      </c>
      <c r="IU34" s="919" t="str">
        <f>IF(A34=FALSE,"",((IG34*TAXE)-(IG34*TAXE*II34))+IF(IM34="N/A",0,IF(INDEX(LISTES!$F$105:$F$109,MATCH(IM34,LISTES!$C$105:$C$109,0))="FIX",IN34,IO34*IL34)))</f>
        <v/>
      </c>
      <c r="JA34" s="492" t="str">
        <f>IF(A34=FALSE,"",Cotations!D34)</f>
        <v/>
      </c>
      <c r="JB34" s="495" t="str">
        <f>IF(A34=FALSE,"",IF(LISTES!$A$17=1,Cotations!BJ34,Cotations!$BK$4))</f>
        <v/>
      </c>
      <c r="JC34" s="291" t="str">
        <f t="shared" si="292"/>
        <v/>
      </c>
      <c r="JD34" s="291" t="str">
        <f t="shared" si="293"/>
        <v/>
      </c>
      <c r="JE34" s="456" t="str">
        <f t="shared" si="294"/>
        <v/>
      </c>
      <c r="JF34" s="496" t="str">
        <f>IF(A34=FALSE,"",IF(JA34="POEA",Cotations!BM34,IF(JA34="FIXE",Cotations!$BM$4,Cotations!$BO$4*Y34)))</f>
        <v/>
      </c>
      <c r="JG34" s="300" t="str">
        <f t="shared" si="295"/>
        <v/>
      </c>
      <c r="JH34" s="522" t="str">
        <f>IF(A34=FALSE,"",IF(Cotations!$BL$4="monthly",JG34/12*L34,JG34/365*M34))</f>
        <v/>
      </c>
      <c r="JI34" s="489" t="str">
        <f>IF(A34=FALSE,"",Cotations!$BP$4)</f>
        <v/>
      </c>
      <c r="JJ34" s="300" t="str">
        <f t="shared" si="296"/>
        <v/>
      </c>
      <c r="JK34" s="300" t="str">
        <f t="shared" si="297"/>
        <v/>
      </c>
      <c r="JL34" s="294" t="str">
        <f t="shared" si="298"/>
        <v/>
      </c>
      <c r="JM34" s="494" t="str">
        <f>IF(A34=FALSE,"",Cotations!$BQ$4)</f>
        <v/>
      </c>
      <c r="JN34" s="522" t="str">
        <f>IF(A34=FALSE,"",Cotations!$BR$4)</f>
        <v/>
      </c>
      <c r="JO34" s="489" t="str">
        <f>IF(A34=FALSE,"",Cotations!$BS$4)</f>
        <v/>
      </c>
      <c r="JP34" s="494" t="str">
        <f>IF(A34=FALSE,"",IF(JM34="N/A",0,IF(INDEX(LISTES!$F$105:$F$109,MATCH(JM34,LISTES!$C$105:$C$109,0))="FIX",IF(INDEX(LISTES!$E$105:$E$109,MATCH(JM34,LISTES!$C$105:$C$109,0))=12,JN34/12*L34,JN34/365*M34),JO34*JL34)))</f>
        <v/>
      </c>
      <c r="JQ34" s="294" t="str">
        <f t="shared" si="299"/>
        <v/>
      </c>
      <c r="JR34" s="494" t="str">
        <f>IF(A34=FALSE,"",JQ34*Cotations!$BT$4)</f>
        <v/>
      </c>
      <c r="JS34" s="494" t="str">
        <f>IF(A34=FALSE,"",JQ34*Cotations!$BU$4)</f>
        <v/>
      </c>
      <c r="JT34" s="294" t="str">
        <f t="shared" si="300"/>
        <v/>
      </c>
      <c r="JU34" s="919" t="str">
        <f>IF(A34=FALSE,"",((JG34*TAXE)-(JG34*TAXE*JI34))+IF(JM34="N/A",0,IF(INDEX(LISTES!$F$105:$F$109,MATCH(JM34,LISTES!$C$105:$C$109,0))="FIX",JN34,JO34*JL34)))</f>
        <v/>
      </c>
      <c r="KA34" s="492" t="str">
        <f>IF(A34=FALSE,"",Cotations!D34)</f>
        <v/>
      </c>
      <c r="KB34" s="491" t="str">
        <f>IF(A34=FALSE,"",IF(LISTES!$A$17=1,Cotations!BJ34,Cotations!BK34))</f>
        <v/>
      </c>
      <c r="KC34" s="285" t="str">
        <f t="shared" si="301"/>
        <v/>
      </c>
      <c r="KD34" s="300"/>
      <c r="KE34" s="461" t="str">
        <f t="shared" si="302"/>
        <v/>
      </c>
      <c r="KF34" s="490" t="str">
        <f>IF(A34=FALSE,"",IF(KA34="POEA",Cotations!BM34,IF(KA34="FIXE",Cotations!BN34,IF(Cotations!BO34*Y34&lt;50000,Z34,Cotations!BO34*Y34))))</f>
        <v/>
      </c>
      <c r="KG34" s="300" t="str">
        <f t="shared" si="303"/>
        <v/>
      </c>
      <c r="KH34" s="522" t="str">
        <f>IF(A34=FALSE,"",IF(Cotations!BL34="monthly",KG34/12*L34,KG34/365*M34))</f>
        <v/>
      </c>
      <c r="KI34" s="489" t="str">
        <f>IF(A34=FALSE,"",IF(Cotations!BP34="","",Cotations!BP34))</f>
        <v/>
      </c>
      <c r="KJ34" s="300" t="str">
        <f t="shared" si="304"/>
        <v/>
      </c>
      <c r="KK34" s="300" t="str">
        <f t="shared" si="305"/>
        <v/>
      </c>
      <c r="KL34" s="919" t="str">
        <f t="shared" si="306"/>
        <v/>
      </c>
      <c r="KM34" s="517" t="str">
        <f>IF(A34=FALSE,"",Cotations!BQ34)</f>
        <v/>
      </c>
      <c r="KN34" s="515" t="str">
        <f>IF(A34=FALSE,"",Cotations!BR34)</f>
        <v/>
      </c>
      <c r="KO34" s="493" t="str">
        <f>IF(A34=FALSE,"",Cotations!BS34)</f>
        <v/>
      </c>
      <c r="KP34" s="517" t="str">
        <f>IF(A34=FALSE,"",IF(KM34="N/A",0,IF(INDEX(LISTES!$F$105:$F$109,MATCH(KM34,LISTES!$C$105:$C$109,0))="FIX",IF(INDEX(LISTES!$E$105:$E$109,MATCH(KM34,LISTES!$C$105:$C$109,0))=12,KN34/12*L34,KN34/365*M34),KO34*KL34)))</f>
        <v/>
      </c>
      <c r="KQ34" s="294" t="str">
        <f t="shared" si="307"/>
        <v/>
      </c>
      <c r="KR34" s="494" t="str">
        <f>IF(A34=FALSE,"",KQ34*Cotations!BT34)</f>
        <v/>
      </c>
      <c r="KS34" s="494" t="str">
        <f>IF(A34=FALSE,"",KQ34*Cotations!BU34)</f>
        <v/>
      </c>
      <c r="KT34" s="338" t="str">
        <f t="shared" si="308"/>
        <v/>
      </c>
      <c r="KU34" s="919" t="str">
        <f>IF(A34=FALSE,"",((KG34*TAXE)-(KG34*TAXE*KI34))+IF(KM34="N/A",0,IF(INDEX(LISTES!$F$105:$F$109,MATCH(KM34,LISTES!$C$105:$C$109,0))="FIX",KN34,KO34*KL34)))</f>
        <v/>
      </c>
      <c r="LA34" s="497" t="str">
        <f>IF(A34=FALSE,"",Cotations!D34)</f>
        <v/>
      </c>
      <c r="LB34" s="498" t="str">
        <f>IF(A34=FALSE,"",IF(LISTES!$A$17=1,Cotations!BV34,Cotations!$BW$4))</f>
        <v/>
      </c>
      <c r="LC34" s="499" t="str">
        <f t="shared" si="309"/>
        <v/>
      </c>
      <c r="LD34" s="499" t="str">
        <f t="shared" si="310"/>
        <v/>
      </c>
      <c r="LE34" s="500" t="str">
        <f t="shared" si="311"/>
        <v/>
      </c>
      <c r="LF34" s="501" t="str">
        <f>IF(A34=FALSE,"",IF(LA34="POEA",Cotations!EJ34,IF(LA34="FIXE",Cotations!$BY$4,Cotations!$CA$4*Y34)))</f>
        <v/>
      </c>
      <c r="LG34" s="502" t="str">
        <f t="shared" si="312"/>
        <v/>
      </c>
      <c r="LH34" s="520" t="str">
        <f>IF(A34=FALSE,"",IF(Cotations!$BX$4="monthly",LG34/12*L34,LG34/365*M34))</f>
        <v/>
      </c>
      <c r="LI34" s="503" t="str">
        <f>IF(A34=FALSE,"",Cotations!$CB$4)</f>
        <v/>
      </c>
      <c r="LJ34" s="502" t="str">
        <f t="shared" si="313"/>
        <v/>
      </c>
      <c r="LK34" s="502" t="str">
        <f t="shared" si="314"/>
        <v/>
      </c>
      <c r="LL34" s="504" t="str">
        <f t="shared" si="315"/>
        <v/>
      </c>
      <c r="LM34" s="505" t="str">
        <f>IF(A34=FALSE,"",Cotations!$CC$4)</f>
        <v/>
      </c>
      <c r="LN34" s="503" t="str">
        <f>IF(A34=FALSE,"",Cotations!$CD$4)</f>
        <v/>
      </c>
      <c r="LO34" s="503" t="str">
        <f>IF(A34=FALSE,"",Cotations!$CE$4)</f>
        <v/>
      </c>
      <c r="LP34" s="505" t="str">
        <f>IF(A34=FALSE,"",IF(LM34="N/A",0,IF(INDEX(LISTES!$F$105:$F$109,MATCH(LM34,LISTES!$C$105:$C$109,0))="FIX",IF(INDEX(LISTES!$E$105:$E$109,MATCH(LM34,LISTES!$C$105:$C$109,0))=12,LN34/12*L34,LN34/365*M34),LO34*LL34)))</f>
        <v/>
      </c>
      <c r="LQ34" s="504" t="str">
        <f t="shared" si="316"/>
        <v/>
      </c>
      <c r="LR34" s="505" t="str">
        <f>IF(A34=FALSE,"",LQ34*Cotations!$CF$4)</f>
        <v/>
      </c>
      <c r="LS34" s="505" t="str">
        <f>IF(A34=FALSE,"",LQ34*Cotations!$CG$4)</f>
        <v/>
      </c>
      <c r="LT34" s="506" t="str">
        <f t="shared" si="317"/>
        <v/>
      </c>
      <c r="LU34" s="919" t="str">
        <f>IF(A34=FALSE,"",((LG34*TAXE)-(LG34*TAXE*LI34))+IF(LM34="N/A",0,IF(INDEX(LISTES!$F$105:$F$109,MATCH(LM34,LISTES!$C$105:$C$109,0))="FIX",LN34,LO34*LL34)))</f>
        <v/>
      </c>
      <c r="MA34" s="492" t="str">
        <f>IF(A34=FALSE,"",Cotations!D34)</f>
        <v/>
      </c>
      <c r="MB34" s="491" t="str">
        <f>IF(A34=FALSE,"",IF(LISTES!$A$17=1,Cotations!BV34,Cotations!BW34))</f>
        <v/>
      </c>
      <c r="MC34" s="285" t="str">
        <f t="shared" si="318"/>
        <v/>
      </c>
      <c r="MD34" s="300"/>
      <c r="ME34" s="461" t="str">
        <f t="shared" si="319"/>
        <v/>
      </c>
      <c r="MF34" s="490" t="str">
        <f>IF(A34=FALSE,"",IF(MA34="POEA",Cotations!BY34,IF(MA34="FIXE",Cotations!BZ34,IF(Cotations!CA34*Y34&lt;50000,Z34,Cotations!CA34*Y34))))</f>
        <v/>
      </c>
      <c r="MG34" s="300" t="str">
        <f t="shared" si="320"/>
        <v/>
      </c>
      <c r="MH34" s="522" t="str">
        <f>IF(A34=FALSE,"",IF(Cotations!BX34="monthly",MG34/12*L34,MG34/365*M34))</f>
        <v/>
      </c>
      <c r="MI34" s="489" t="str">
        <f>IF(A34=FALSE,"",IF(Cotations!CB34="","",Cotations!CB34))</f>
        <v/>
      </c>
      <c r="MJ34" s="300" t="str">
        <f t="shared" si="321"/>
        <v/>
      </c>
      <c r="MK34" s="300" t="str">
        <f t="shared" si="322"/>
        <v/>
      </c>
      <c r="ML34" s="919" t="str">
        <f t="shared" si="323"/>
        <v/>
      </c>
      <c r="MM34" s="517" t="str">
        <f>IF(A34=FALSE,"",Cotations!CC34)</f>
        <v/>
      </c>
      <c r="MN34" s="515" t="str">
        <f>IF(A34=FALSE,"",Cotations!CD34)</f>
        <v/>
      </c>
      <c r="MO34" s="493" t="str">
        <f>IF(A34=FALSE,"",Cotations!CE34)</f>
        <v/>
      </c>
      <c r="MP34" s="517" t="str">
        <f>IF(A34=FALSE,"",IF(MM34="N/A",0,IF(INDEX(LISTES!$F$105:$F$109,MATCH(MM34,LISTES!$C$105:$C$109,0))="FIX",IF(INDEX(LISTES!$E$105:$E$109,MATCH(MM34,LISTES!$C$105:$C$109,0))=12,MN34/12*L34,MN34/365*M34),MO34*ML34)))</f>
        <v/>
      </c>
      <c r="MQ34" s="294" t="str">
        <f t="shared" si="324"/>
        <v/>
      </c>
      <c r="MR34" s="494" t="str">
        <f>IF(A34=FALSE,"",MQ34*Cotations!CF34)</f>
        <v/>
      </c>
      <c r="MS34" s="494" t="str">
        <f>IF(A34=FALSE,"",MQ34*Cotations!CG34)</f>
        <v/>
      </c>
      <c r="MT34" s="338" t="str">
        <f t="shared" si="325"/>
        <v/>
      </c>
      <c r="MU34" s="919" t="str">
        <f>IF(A34=FALSE,"",((MG34*TAXE)-(MG34*TAXE*MI34))+IF(MM34="N/A",0,IF(INDEX(LISTES!$F$105:$F$109,MATCH(MM34,LISTES!$C$105:$C$109,0))="FIX",MN34,MO34*ML34)))</f>
        <v/>
      </c>
      <c r="NA34" s="497" t="str">
        <f>IF(A34=FALSE,"",Cotations!D34)</f>
        <v/>
      </c>
      <c r="NB34" s="498" t="str">
        <f>IF(A34=FALSE,"",IF(LISTES!$A$17=1,Cotations!CH34,Cotations!$CI$4))</f>
        <v/>
      </c>
      <c r="NC34" s="499" t="str">
        <f t="shared" si="326"/>
        <v/>
      </c>
      <c r="ND34" s="499" t="str">
        <f t="shared" si="327"/>
        <v/>
      </c>
      <c r="NE34" s="500" t="str">
        <f t="shared" si="328"/>
        <v/>
      </c>
      <c r="NF34" s="501" t="str">
        <f>IF(A34=FALSE,"",IF(NA34="POEA",Cotations!CK34,IF(NA34="FIXE",Cotations!$CK$4,Cotations!$CM$4*Y34)))</f>
        <v/>
      </c>
      <c r="NG34" s="502" t="str">
        <f t="shared" si="329"/>
        <v/>
      </c>
      <c r="NH34" s="520" t="str">
        <f>IF(A34=FALSE,"",IF(Cotations!$CJ$4="monthly",NG34/12*L34,NG34/365*M34))</f>
        <v/>
      </c>
      <c r="NI34" s="503" t="str">
        <f>IF(A34=FALSE,"",Cotations!$CN$4)</f>
        <v/>
      </c>
      <c r="NJ34" s="502" t="str">
        <f t="shared" si="330"/>
        <v/>
      </c>
      <c r="NK34" s="502" t="str">
        <f t="shared" si="331"/>
        <v/>
      </c>
      <c r="NL34" s="504" t="str">
        <f t="shared" si="332"/>
        <v/>
      </c>
      <c r="NM34" s="505" t="str">
        <f>IF(A34=FALSE,"",Cotations!$CO$4)</f>
        <v/>
      </c>
      <c r="NN34" s="520" t="str">
        <f>IF(A34=FALSE,"",Cotations!$CP$4)</f>
        <v/>
      </c>
      <c r="NO34" s="503" t="str">
        <f>IF(A34=FALSE,"",Cotations!$CQ$4)</f>
        <v/>
      </c>
      <c r="NP34" s="505" t="str">
        <f>IF(A34=FALSE,"",IF(NM34="N/A",0,IF(INDEX(LISTES!$F$105:$F$109,MATCH(NM34,LISTES!$C$105:$C$109,0))="FIX",IF(INDEX(LISTES!$E$105:$E$109,MATCH(NM34,LISTES!$C$105:$C$109,0))=12,NN34/12*L34,NN34/365*M34),NO34*NL34)))</f>
        <v/>
      </c>
      <c r="NQ34" s="504" t="str">
        <f t="shared" si="333"/>
        <v/>
      </c>
      <c r="NR34" s="505" t="str">
        <f>IF(A34=FALSE,"",NQ34*Cotations!$CR$4)</f>
        <v/>
      </c>
      <c r="NS34" s="505" t="str">
        <f>IF(A34=FALSE,"",NQ34*Cotations!$CS$4)</f>
        <v/>
      </c>
      <c r="NT34" s="506" t="str">
        <f t="shared" si="334"/>
        <v/>
      </c>
      <c r="NU34" s="919" t="str">
        <f>IF(A34=FALSE,"",((NG34*TAXE)-(NG34*TAXE*NI34))+IF(NM34="N/A",0,IF(INDEX(LISTES!$F$105:$F$109,MATCH(NM34,LISTES!$C$105:$C$109,0))="FIX",NN34,NO34*NL34)))</f>
        <v/>
      </c>
      <c r="OA34" s="492" t="str">
        <f>IF(A34=FALSE,"",Cotations!D34)</f>
        <v/>
      </c>
      <c r="OB34" s="491" t="str">
        <f>IF(A34=FALSE,"",IF(LISTES!$A$17=1,Cotations!CH34,Cotations!CI34))</f>
        <v/>
      </c>
      <c r="OC34" s="285" t="str">
        <f t="shared" si="335"/>
        <v/>
      </c>
      <c r="OD34" s="300"/>
      <c r="OE34" s="461" t="str">
        <f t="shared" si="336"/>
        <v/>
      </c>
      <c r="OF34" s="490" t="str">
        <f>IF(A34=FALSE,"",IF(OA34="POEA",Cotations!CK34,IF(OA34="FIXE",Cotations!CL34,IF(Cotations!CM34*Y34&lt;50000,Z34,Cotations!CM34*Y34))))</f>
        <v/>
      </c>
      <c r="OG34" s="300" t="str">
        <f t="shared" si="337"/>
        <v/>
      </c>
      <c r="OH34" s="522" t="str">
        <f>IF(A34=FALSE,"",IF(Cotations!CJ34="monthly",OG34/12*L34,OG34/365*M34))</f>
        <v/>
      </c>
      <c r="OI34" s="489" t="str">
        <f>IF(A34=FALSE,"",IF(Cotations!CN34="","",Cotations!CN34))</f>
        <v/>
      </c>
      <c r="OJ34" s="300" t="str">
        <f t="shared" si="338"/>
        <v/>
      </c>
      <c r="OK34" s="300" t="str">
        <f t="shared" si="339"/>
        <v/>
      </c>
      <c r="OL34" s="919" t="str">
        <f t="shared" si="340"/>
        <v/>
      </c>
      <c r="OM34" s="517" t="str">
        <f>IF(A34=FALSE,"",Cotations!CO34)</f>
        <v/>
      </c>
      <c r="ON34" s="515" t="str">
        <f>IF(A34=FALSE,"",Cotations!CP34)</f>
        <v/>
      </c>
      <c r="OO34" s="493" t="str">
        <f>IF(A34=FALSE,"",Cotations!CQ34)</f>
        <v/>
      </c>
      <c r="OP34" s="517" t="str">
        <f>IF(A34=FALSE,"",IF(OM34="N/A",0,IF(INDEX(LISTES!$F$105:$F$109,MATCH(OM34,LISTES!$C$105:$C$109,0))="FIX",IF(INDEX(LISTES!$E$105:$E$109,MATCH(OM34,LISTES!$C$105:$C$109,0))=12,ON34/12*L34,ON34/365*M34),OO34*OL34)))</f>
        <v/>
      </c>
      <c r="OQ34" s="294" t="str">
        <f t="shared" si="341"/>
        <v/>
      </c>
      <c r="OR34" s="494" t="str">
        <f>IF(A34=FALSE,"",OQ34*Cotations!CR34)</f>
        <v/>
      </c>
      <c r="OS34" s="494" t="str">
        <f>IF(A34=FALSE,"",OQ34*Cotations!CS34)</f>
        <v/>
      </c>
      <c r="OT34" s="338" t="str">
        <f t="shared" si="342"/>
        <v/>
      </c>
      <c r="OU34" s="919" t="str">
        <f>IF(A34=FALSE,"",((OG34*TAXE)-(OG34*TAXE*OI34))+IF(OM34="N/A",0,IF(INDEX(LISTES!$F$105:$F$109,MATCH(OM34,LISTES!$C$105:$C$109,0))="FIX",ON34,OO34*OL34)))</f>
        <v/>
      </c>
      <c r="PA34" s="497" t="str">
        <f t="shared" si="343"/>
        <v/>
      </c>
      <c r="PB34" s="498" t="str">
        <f>IF(A34=FALSE,"",IF(LISTES!$A$17=1,Cotations!CT34,Cotations!$CU$4))</f>
        <v/>
      </c>
      <c r="PC34" s="499" t="str">
        <f t="shared" si="344"/>
        <v/>
      </c>
      <c r="PD34" s="499" t="str">
        <f t="shared" si="345"/>
        <v/>
      </c>
      <c r="PE34" s="500" t="str">
        <f t="shared" si="346"/>
        <v/>
      </c>
      <c r="PF34" s="501" t="str">
        <f>IF(A34=FALSE,"",Cotations!$CY$4*Y34)</f>
        <v/>
      </c>
      <c r="PG34" s="502" t="str">
        <f t="shared" si="347"/>
        <v/>
      </c>
      <c r="PH34" s="520" t="str">
        <f>IF(A34=FALSE,"",IF(Cotations!$CV$4="monthly",PG34/12*L34,PG34/365*M34))</f>
        <v/>
      </c>
      <c r="PI34" s="503" t="str">
        <f>IF(A34=FALSE,"",Cotations!$CZ$4)</f>
        <v/>
      </c>
      <c r="PJ34" s="502" t="str">
        <f t="shared" si="348"/>
        <v/>
      </c>
      <c r="PK34" s="502" t="str">
        <f t="shared" si="349"/>
        <v/>
      </c>
      <c r="PL34" s="504" t="str">
        <f t="shared" si="350"/>
        <v/>
      </c>
      <c r="PM34" s="505" t="str">
        <f>IF(A34=FALSE,"",Cotations!$DA$4)</f>
        <v/>
      </c>
      <c r="PN34" s="520" t="str">
        <f>IF(A34=FALSE,"",Cotations!$DB$4)</f>
        <v/>
      </c>
      <c r="PO34" s="503" t="str">
        <f>IF(A34=FALSE,"",Cotations!$DC$4)</f>
        <v/>
      </c>
      <c r="PP34" s="505" t="str">
        <f>IF(A34=FALSE,"",IF(PM34="N/A",0,IF(INDEX(LISTES!$F$105:$F$109,MATCH(PM34,LISTES!$C$105:$C$109,0))="FIX",IF(INDEX(LISTES!$E$105:$E$109,MATCH(PM34,LISTES!$C$105:$C$109,0))=12,PN34/12*L34,PN34/365*M34),PO34*PL34)))</f>
        <v/>
      </c>
      <c r="PQ34" s="504" t="str">
        <f t="shared" si="351"/>
        <v/>
      </c>
      <c r="PR34" s="505" t="str">
        <f>IF(A34=FALSE,"",PQ34*Cotations!$DD$4)</f>
        <v/>
      </c>
      <c r="PS34" s="505" t="str">
        <f>IF(A34=FALSE,"",PQ34*Cotations!$DE$4)</f>
        <v/>
      </c>
      <c r="PT34" s="506" t="str">
        <f t="shared" si="352"/>
        <v/>
      </c>
      <c r="PU34" s="919" t="str">
        <f>IF(A34=FALSE,"",((PG34*TAXE)-(PG34*TAXE*PI34))+IF(PM34="N/A",0,IF(INDEX(LISTES!$F$105:$F$109,MATCH(PM34,LISTES!$C$105:$C$109,0))="FIX",PN34,PO34*PL34)))</f>
        <v/>
      </c>
      <c r="QA34" s="492" t="str">
        <f t="shared" si="353"/>
        <v/>
      </c>
      <c r="QB34" s="491" t="str">
        <f>IF(A34=FALSE,"",IF(LISTES!$A$17=1,Cotations!CT34,Cotations!CU34))</f>
        <v/>
      </c>
      <c r="QC34" s="285" t="str">
        <f t="shared" si="354"/>
        <v/>
      </c>
      <c r="QD34" s="300"/>
      <c r="QE34" s="461" t="str">
        <f t="shared" si="355"/>
        <v/>
      </c>
      <c r="QF34" s="490" t="str">
        <f>IF(A34=FALSE,"",Cotations!CY34*AA34)</f>
        <v/>
      </c>
      <c r="QG34" s="300" t="str">
        <f t="shared" si="356"/>
        <v/>
      </c>
      <c r="QH34" s="522" t="str">
        <f>IF(A34=FALSE,"",IF(Cotations!CV34="monthly",QG34/12*L34,QG34/365*M34))</f>
        <v/>
      </c>
      <c r="QI34" s="489" t="str">
        <f>IF(A34=FALSE,"",IF(Cotations!CZ34="","",Cotations!CZ34))</f>
        <v/>
      </c>
      <c r="QJ34" s="300" t="str">
        <f t="shared" si="357"/>
        <v/>
      </c>
      <c r="QK34" s="300" t="str">
        <f t="shared" si="358"/>
        <v/>
      </c>
      <c r="QL34" s="919" t="str">
        <f t="shared" si="359"/>
        <v/>
      </c>
      <c r="QM34" s="517" t="str">
        <f>IF(A34=FALSE,"",Cotations!DA34)</f>
        <v/>
      </c>
      <c r="QN34" s="515" t="str">
        <f>IF(A34=FALSE,"",Cotations!DB34)</f>
        <v/>
      </c>
      <c r="QO34" s="493" t="str">
        <f>IF(A34=FALSE,"",Cotations!DC34)</f>
        <v/>
      </c>
      <c r="QP34" s="517" t="str">
        <f>IF(A34=FALSE,"",IF(QM34="N/A",0,IF(INDEX(LISTES!$F$105:$F$109,MATCH(QM34,LISTES!$C$105:$C$109,0))="FIX",IF(INDEX(LISTES!$E$105:$E$109,MATCH(QM34,LISTES!$C$105:$C$109,0))=12,QN34/12*L34,QN34/365*M34),QO34*QL34)))</f>
        <v/>
      </c>
      <c r="QQ34" s="294" t="str">
        <f t="shared" si="360"/>
        <v/>
      </c>
      <c r="QR34" s="494" t="str">
        <f>IF(A34=FALSE,"",QQ34*Cotations!DD34)</f>
        <v/>
      </c>
      <c r="QS34" s="494" t="str">
        <f>IF(A34=FALSE,"",QQ34*Cotations!DE34)</f>
        <v/>
      </c>
      <c r="QT34" s="338" t="str">
        <f t="shared" si="361"/>
        <v/>
      </c>
      <c r="QU34" s="919" t="str">
        <f>IF(A34=FALSE,"",((QG34*TAXE)-(QG34*TAXE*QI34))+IF(QM34="N/A",0,IF(INDEX(LISTES!$F$105:$F$109,MATCH(QM34,LISTES!$C$105:$C$109,0))="FIX",QN34,QO34*QL34)))</f>
        <v/>
      </c>
      <c r="RA34" s="497" t="str">
        <f t="shared" si="362"/>
        <v/>
      </c>
      <c r="RB34" s="498" t="str">
        <f>IF(A34=FALSE,"",IF(LISTES!$A$17=1,Cotations!DF34,Cotations!$DG$4))</f>
        <v/>
      </c>
      <c r="RC34" s="499" t="str">
        <f t="shared" si="363"/>
        <v/>
      </c>
      <c r="RD34" s="499" t="str">
        <f t="shared" si="364"/>
        <v/>
      </c>
      <c r="RE34" s="500" t="str">
        <f t="shared" si="365"/>
        <v/>
      </c>
      <c r="RF34" s="501" t="str">
        <f>IF(A34=FALSE,"",Cotations!$DK$4*Y34)</f>
        <v/>
      </c>
      <c r="RG34" s="502" t="str">
        <f t="shared" si="366"/>
        <v/>
      </c>
      <c r="RH34" s="520" t="str">
        <f>IF(A34=FALSE,"",IF(Cotations!$DH$4="monthly",RG34/12*L34,RG34/365*M34))</f>
        <v/>
      </c>
      <c r="RI34" s="503" t="str">
        <f>IF(A34=FALSE,"",Cotations!$DL$4)</f>
        <v/>
      </c>
      <c r="RJ34" s="502" t="str">
        <f t="shared" si="367"/>
        <v/>
      </c>
      <c r="RK34" s="502" t="str">
        <f t="shared" si="368"/>
        <v/>
      </c>
      <c r="RL34" s="504" t="str">
        <f t="shared" si="369"/>
        <v/>
      </c>
      <c r="RM34" s="505" t="str">
        <f>IF(A34=FALSE,"",Cotations!$DM$4)</f>
        <v/>
      </c>
      <c r="RN34" s="520" t="str">
        <f>IF(A34=FALSE,"",Cotations!$DN$4)</f>
        <v/>
      </c>
      <c r="RO34" s="503" t="str">
        <f>IF(A34=FALSE,"",Cotations!$DO$4)</f>
        <v/>
      </c>
      <c r="RP34" s="505" t="str">
        <f>IF(A34=FALSE,"",IF(RM34="N/A",0,IF(INDEX(LISTES!$F$105:$F$109,MATCH(RM34,LISTES!$C$105:$C$109,0))="FIX",IF(INDEX(LISTES!$E$105:$E$109,MATCH(RM34,LISTES!$C$105:$C$109,0))=12,RN34/12*L34,RN34/365*M34),RO34*RL34)))</f>
        <v/>
      </c>
      <c r="RQ34" s="504" t="str">
        <f t="shared" si="370"/>
        <v/>
      </c>
      <c r="RR34" s="505" t="str">
        <f>IF(A34=FALSE,"",RQ34*Cotations!$DP$4)</f>
        <v/>
      </c>
      <c r="RS34" s="505" t="str">
        <f>IF(A34=FALSE,"",RQ34*Cotations!$DQ$4)</f>
        <v/>
      </c>
      <c r="RT34" s="506" t="str">
        <f t="shared" si="371"/>
        <v/>
      </c>
      <c r="RU34" s="919" t="str">
        <f>IF(A34=FALSE,"",((RG34*TAXE)-(RG34*TAXE*RI34))+IF(RM34="N/A",0,IF(INDEX(LISTES!$F$105:$F$109,MATCH(RM34,LISTES!$C$105:$C$109,0))="FIX",RN34,RO34*RL34)))</f>
        <v/>
      </c>
      <c r="SA34" s="492" t="str">
        <f t="shared" si="372"/>
        <v/>
      </c>
      <c r="SB34" s="491" t="str">
        <f>IF(A34=FALSE,"",IF(LISTES!$A$17=1,Cotations!DF34,Cotations!DG34))</f>
        <v/>
      </c>
      <c r="SC34" s="285" t="str">
        <f t="shared" si="373"/>
        <v/>
      </c>
      <c r="SD34" s="300"/>
      <c r="SE34" s="461" t="str">
        <f t="shared" si="374"/>
        <v/>
      </c>
      <c r="SF34" s="490" t="str">
        <f>IF(A34=FALSE,"",Cotations!DK34*AA34)</f>
        <v/>
      </c>
      <c r="SG34" s="300" t="str">
        <f t="shared" si="375"/>
        <v/>
      </c>
      <c r="SH34" s="522" t="str">
        <f>IF(A34=FALSE,"",IF(Cotations!DH34="monthly",SG34/12*L34,SG34/365*M34))</f>
        <v/>
      </c>
      <c r="SI34" s="489" t="str">
        <f>IF(A34=FALSE,"",IF(Cotations!DL34="","",Cotations!DL34))</f>
        <v/>
      </c>
      <c r="SJ34" s="300" t="str">
        <f t="shared" si="376"/>
        <v/>
      </c>
      <c r="SK34" s="300" t="str">
        <f t="shared" si="377"/>
        <v/>
      </c>
      <c r="SL34" s="919" t="str">
        <f t="shared" si="378"/>
        <v/>
      </c>
      <c r="SM34" s="285" t="str">
        <f>IF(A34=FALSE,"",Cotations!DM34)</f>
        <v/>
      </c>
      <c r="SN34" s="515" t="str">
        <f>IF(A34=FALSE,"",Cotations!DN34)</f>
        <v/>
      </c>
      <c r="SO34" s="493" t="str">
        <f>IF(A34=FALSE,"",Cotations!DO34)</f>
        <v/>
      </c>
      <c r="SP34" s="517" t="str">
        <f>IF(A34=FALSE,"",IF(SM34="N/A",0,IF(INDEX(LISTES!$F$105:$F$109,MATCH(SM34,LISTES!$C$105:$C$109,0))="FIX",IF(INDEX(LISTES!$E$105:$E$109,MATCH(SM34,LISTES!$C$105:$C$109,0))=12,SN34/12*L34,SN34/365*M34),SO34*SL34)))</f>
        <v/>
      </c>
      <c r="SQ34" s="294" t="str">
        <f t="shared" si="379"/>
        <v/>
      </c>
      <c r="SR34" s="494" t="str">
        <f>IF(A34=FALSE,"",SQ34*Cotations!DP34)</f>
        <v/>
      </c>
      <c r="SS34" s="494" t="str">
        <f>IF(A34=FALSE,"",SQ34*Cotations!DQ34)</f>
        <v/>
      </c>
      <c r="ST34" s="338" t="str">
        <f t="shared" si="380"/>
        <v/>
      </c>
      <c r="SU34" s="919" t="str">
        <f>IF(A34=FALSE,"",((SG34*TAXE)-(SG34*TAXE*SI34))+IF(SM34="N/A",0,IF(INDEX(LISTES!$F$105:$F$109,MATCH(SM34,LISTES!$C$105:$C$109,0))="FIX",SN34,SO34*SL34)))</f>
        <v/>
      </c>
      <c r="TA34" s="492" t="str">
        <f>IF(A34=FALSE,"",Cotations!D34)</f>
        <v/>
      </c>
      <c r="TB34" s="491" t="str">
        <f>IF(A34=FALSE,"",IF(LISTES!$A$17=1,Cotations!DR34,Cotations!DS34))</f>
        <v/>
      </c>
      <c r="TC34" s="285" t="str">
        <f t="shared" si="381"/>
        <v/>
      </c>
      <c r="TD34" s="300" t="str">
        <f>IF(A34=FALSE,"",Detail!CQ34)</f>
        <v/>
      </c>
      <c r="TE34" s="461" t="str">
        <f t="shared" si="382"/>
        <v/>
      </c>
      <c r="TF34" s="490" t="str">
        <f>IF(A34=FALSE,"",IF(TA34="FIXE",Cotations!DU34,Cotations!DV34*Y34))</f>
        <v/>
      </c>
      <c r="TG34" s="300" t="str">
        <f t="shared" si="383"/>
        <v/>
      </c>
      <c r="TH34" s="522" t="str">
        <f>IF(A34=FALSE,"",IF(Cotations!DT34="monthly",TG34/12*L34,TG34/365*M34))</f>
        <v/>
      </c>
      <c r="TI34" s="489" t="str">
        <f>IF(A34=FALSE,"",IF(Cotations!DW34="","",Cotations!DW34))</f>
        <v/>
      </c>
      <c r="TJ34" s="300" t="str">
        <f t="shared" si="384"/>
        <v/>
      </c>
      <c r="TK34" s="300" t="str">
        <f t="shared" si="385"/>
        <v/>
      </c>
      <c r="TL34" s="919" t="str">
        <f t="shared" si="386"/>
        <v/>
      </c>
      <c r="TM34" s="517" t="str">
        <f>IF(A34=FALSE,"",Cotations!DX34)</f>
        <v/>
      </c>
      <c r="TN34" s="517" t="str">
        <f>IF(A34=FALSE,"",Cotations!DY34)</f>
        <v/>
      </c>
      <c r="TO34" s="493" t="str">
        <f>IF(A34=FALSE,"",Cotations!DZ34)</f>
        <v/>
      </c>
      <c r="TP34" s="517" t="str">
        <f>IF(A34=FALSE,"",IF(TM34="N/A",0,IF(INDEX(LISTES!$F$105:$F$109,MATCH(TM34,LISTES!$C$105:$C$109,0))="FIX",IF(INDEX(LISTES!$E$105:$E$109,MATCH(TM34,LISTES!$C$105:$C$109,0))=12,TN34/12*L34,TN34/365*M34),TO34*TL34)))</f>
        <v/>
      </c>
      <c r="TQ34" s="294" t="str">
        <f t="shared" si="387"/>
        <v/>
      </c>
      <c r="TR34" s="494" t="str">
        <f>IF(A34=FALSE,"",TQ34*Cotations!EA34)</f>
        <v/>
      </c>
      <c r="TS34" s="494" t="str">
        <f>IF(A34=FALSE,"",TQ34*Cotations!EB34)</f>
        <v/>
      </c>
      <c r="TT34" s="338" t="str">
        <f t="shared" si="388"/>
        <v/>
      </c>
      <c r="TU34" s="919" t="str">
        <f>IF(A34=FALSE,"",((TG34*(1+TAXE)-(TG34*(1+TAXE)*TI34))+IF(TM34="N/A",0,IF(INDEX(LISTES!$F$105:$F$109,MATCH(TM34,LISTES!$C$105:$C$109,0))="FIX",TN34,TO34*TL34))))</f>
        <v/>
      </c>
      <c r="UA34" s="492" t="str">
        <f>IF(A34=FALSE,"",Cotations!D34)</f>
        <v/>
      </c>
      <c r="UB34" s="491" t="str">
        <f>IF(A34=FALSE,"",IF(LISTES!$A$17=1,Cotations!EC34,Cotations!ED34))</f>
        <v/>
      </c>
      <c r="UC34" s="285" t="str">
        <f t="shared" si="389"/>
        <v/>
      </c>
      <c r="UD34" s="300" t="str">
        <f>IF(A34=FALSE,"",Detail!CY34)</f>
        <v/>
      </c>
      <c r="UE34" s="461" t="str">
        <f t="shared" si="390"/>
        <v/>
      </c>
      <c r="UF34" s="490" t="str">
        <f>IF(A34=FALSE,"",IF(UA34="FIXE",Cotations!EF34,Cotations!EG34*Y34))</f>
        <v/>
      </c>
      <c r="UG34" s="300" t="str">
        <f t="shared" si="391"/>
        <v/>
      </c>
      <c r="UH34" s="522" t="str">
        <f>IF(A34=FALSE,"",IF(Cotations!EE34="monthly",UG34/12*L34,UG34/365*M34))</f>
        <v/>
      </c>
      <c r="UI34" s="489" t="str">
        <f>IF(A34=FALSE,"",IF(Cotations!EH34="","",Cotations!EH34))</f>
        <v/>
      </c>
      <c r="UJ34" s="300" t="str">
        <f t="shared" si="392"/>
        <v/>
      </c>
      <c r="UK34" s="300" t="str">
        <f t="shared" si="393"/>
        <v/>
      </c>
      <c r="UL34" s="919" t="str">
        <f t="shared" si="394"/>
        <v/>
      </c>
      <c r="UM34" s="517" t="str">
        <f>IF(A34=FALSE,"",Cotations!EI34)</f>
        <v/>
      </c>
      <c r="UN34" s="517" t="str">
        <f>IF(A34=FALSE,"",Cotations!EJ34)</f>
        <v/>
      </c>
      <c r="UO34" s="493" t="str">
        <f>IF(A34=FALSE,"",Cotations!EK34)</f>
        <v/>
      </c>
      <c r="UP34" s="517" t="str">
        <f>IF(A34=FALSE,"",IF(UM34="N/A",0,IF(INDEX(LISTES!$F$105:$F$109,MATCH(UM34,LISTES!$C$105:$C$109,0))="FIX",IF(INDEX(LISTES!$E$105:$E$109,MATCH(UM34,LISTES!$C$105:$C$109,0))=12,UN34/12*L34,UN34/365*M34),UO34*UL34)))</f>
        <v/>
      </c>
      <c r="UQ34" s="294" t="str">
        <f t="shared" si="395"/>
        <v/>
      </c>
      <c r="UR34" s="494" t="str">
        <f>IF(A34=FALSE,"",UQ34*Cotations!EL34)</f>
        <v/>
      </c>
      <c r="US34" s="494" t="str">
        <f>IF(A34=FALSE,"",UQ34*Cotations!EM34)</f>
        <v/>
      </c>
      <c r="UT34" s="338" t="str">
        <f t="shared" si="396"/>
        <v/>
      </c>
      <c r="UU34" s="919" t="str">
        <f>IF(A34=FALSE,"",((UG34*(1+TAXE)-(UG34*(1+TAXE)*UI34))+IF(UM34="N/A",0,IF(INDEX(LISTES!$F$105:$F$109,MATCH(UM34,LISTES!$C$105:$C$109,0))="FIX",UN34,UO34*UL34))))</f>
        <v/>
      </c>
      <c r="VA34" s="492" t="str">
        <f>IF(A34=FALSE,"",Cotations!D34)</f>
        <v/>
      </c>
      <c r="VB34" s="519" t="str">
        <f>IF(A34=FALSE,"",IF(LISTES!$A$17=1,Cotations!EN34,Cotations!EO34))</f>
        <v/>
      </c>
      <c r="VC34" s="291" t="str">
        <f t="shared" si="397"/>
        <v/>
      </c>
      <c r="VD34" s="291" t="str">
        <f t="shared" si="398"/>
        <v/>
      </c>
      <c r="VE34" s="291"/>
      <c r="VF34" s="463"/>
      <c r="VG34" s="463" t="str">
        <f t="shared" si="399"/>
        <v/>
      </c>
      <c r="VH34" s="522" t="str">
        <f>IF(A34=FALSE,"",IF(Cotations!$AQ$4="monthly",VG34/12*L34,VG34/365*M34))</f>
        <v/>
      </c>
      <c r="VI34" s="489" t="str">
        <f>IF(A34=FALSE,"",Cotations!$AR$4)</f>
        <v/>
      </c>
      <c r="VJ34" s="300" t="str">
        <f t="shared" si="400"/>
        <v/>
      </c>
      <c r="VK34" s="300" t="str">
        <f t="shared" si="401"/>
        <v/>
      </c>
      <c r="VL34" s="294" t="str">
        <f t="shared" si="402"/>
        <v/>
      </c>
      <c r="VM34" s="494" t="str">
        <f>IF(A34=FALSE,"",Cotations!$AS$4)</f>
        <v/>
      </c>
      <c r="VN34" s="494" t="str">
        <f>IF(A34=FALSE,"",Cotations!$AT$4)</f>
        <v/>
      </c>
      <c r="VO34" s="489" t="str">
        <f>IF(A34=FALSE,"",Cotations!$AU$4)</f>
        <v/>
      </c>
      <c r="VP34" s="494" t="str">
        <f>IF(A34=FALSE,"",IF(VM34="N/A",0,IF(INDEX(LISTES!$F$105:$F$109,MATCH(VM34,LISTES!$C$105:$C$109,0))="FIX",IF(INDEX(LISTES!$E$105:$E$109,MATCH(VM34,LISTES!$C$105:$C$109,0))=12,VN34/12*L34,VN34/365*M34),VO34*VL34)))</f>
        <v/>
      </c>
      <c r="VQ34" s="294" t="str">
        <f t="shared" si="403"/>
        <v/>
      </c>
      <c r="VR34" s="494" t="str">
        <f>IF(A34=FALSE,"",VQ34*Cotations!$AV$4)</f>
        <v/>
      </c>
      <c r="VS34" s="494" t="str">
        <f>IF(A34=FALSE,"",VQ34*Cotations!$AW$4)</f>
        <v/>
      </c>
      <c r="VT34" s="465" t="str">
        <f t="shared" si="404"/>
        <v/>
      </c>
      <c r="VU34" s="919" t="str">
        <f>IF(A34=FALSE,"",((VG34*TAXE)-(VG34*TAXE*VI34))+IF(VM34="N/A",0,IF(INDEX(LISTES!$F$105:$F$109,MATCH(VM34,LISTES!$C$105:$C$109,0))="FIX",VN34,VO34*VL34)))</f>
        <v/>
      </c>
      <c r="WA34" s="492" t="str">
        <f>IF(A34=FALSE,"",Cotations!D34)</f>
        <v/>
      </c>
      <c r="WB34" s="519" t="str">
        <f>IF(A34=FALSE,"",IF(LISTES!$A$17=1,Cotations!EW34,Cotations!EX34))</f>
        <v/>
      </c>
      <c r="WC34" s="291" t="str">
        <f t="shared" si="405"/>
        <v/>
      </c>
      <c r="WD34" s="291" t="str">
        <f t="shared" si="406"/>
        <v/>
      </c>
      <c r="WE34" s="291"/>
      <c r="WF34" s="463"/>
      <c r="WG34" s="463" t="str">
        <f t="shared" si="407"/>
        <v/>
      </c>
      <c r="WH34" s="522" t="str">
        <f>IF(A34=FALSE,"",IF(Cotations!$AQ$4="monthly",WG34/12*L34,WG34/365*M34))</f>
        <v/>
      </c>
      <c r="WI34" s="489" t="str">
        <f>IF(A34=FALSE,"",Cotations!$AR$4)</f>
        <v/>
      </c>
      <c r="WJ34" s="300" t="str">
        <f t="shared" si="408"/>
        <v/>
      </c>
      <c r="WK34" s="300" t="str">
        <f t="shared" si="409"/>
        <v/>
      </c>
      <c r="WL34" s="294" t="str">
        <f t="shared" si="410"/>
        <v/>
      </c>
      <c r="WM34" s="494" t="str">
        <f>IF(A34=FALSE,"",Cotations!$AS$4)</f>
        <v/>
      </c>
      <c r="WN34" s="494" t="str">
        <f>IF(A34=FALSE,"",Cotations!$AT$4)</f>
        <v/>
      </c>
      <c r="WO34" s="489" t="str">
        <f>IF(A34=FALSE,"",Cotations!$AU$4)</f>
        <v/>
      </c>
      <c r="WP34" s="494" t="str">
        <f>IF(A34=FALSE,"",IF(WM34="N/A",0,IF(INDEX(LISTES!$F$105:$F$109,MATCH(WM34,LISTES!$C$105:$C$109,0))="FIX",IF(INDEX(LISTES!$E$105:$E$109,MATCH(WM34,LISTES!$C$105:$C$109,0))=12,WN34/12*L34,WN34/365*M34),WO34*WL34)))</f>
        <v/>
      </c>
      <c r="WQ34" s="294" t="str">
        <f t="shared" si="411"/>
        <v/>
      </c>
      <c r="WR34" s="494" t="str">
        <f>IF(A34=FALSE,"",WQ34*Cotations!$AV$4)</f>
        <v/>
      </c>
      <c r="WS34" s="494" t="str">
        <f>IF(A34=FALSE,"",WQ34*Cotations!$AW$4)</f>
        <v/>
      </c>
      <c r="WT34" s="465" t="str">
        <f t="shared" si="412"/>
        <v/>
      </c>
      <c r="WU34" s="919" t="str">
        <f>IF(A34=FALSE,"",((WG34*TAXE)-(WG34*TAXE*WI34))+IF(WM34="N/A",0,IF(INDEX(LISTES!$F$105:$F$109,MATCH(WM34,LISTES!$C$105:$C$109,0))="FIX",WN34,WO34*WL34)))</f>
        <v/>
      </c>
    </row>
    <row r="35" spans="1:619">
      <c r="A35" s="942" t="b">
        <f t="shared" si="221"/>
        <v>0</v>
      </c>
      <c r="B35" s="942" t="b">
        <f>IF(NAMES!$B$9=TRUE,TRUE,FALSE)</f>
        <v>1</v>
      </c>
      <c r="C35" s="942" t="b">
        <f t="shared" si="413"/>
        <v>0</v>
      </c>
      <c r="D35" s="942" t="b">
        <f t="shared" si="414"/>
        <v>0</v>
      </c>
      <c r="E35" s="274" t="b">
        <f>IF(Cotations!C35="","",Cotations!C35)</f>
        <v>0</v>
      </c>
      <c r="F35" s="274" t="str">
        <f>IF(Cotations!D35="","",Cotations!D35)</f>
        <v>PROP</v>
      </c>
      <c r="G35" s="274" t="str">
        <f>IF(Cotations!E35="","",Cotations!E35)</f>
        <v>2016-2017!</v>
      </c>
      <c r="H35" s="274" t="str">
        <f>IF(Cotations!F35="","",Cotations!F35)</f>
        <v>SINGLE</v>
      </c>
      <c r="I35" s="274" t="str">
        <f>IF(Cotations!G35="","",Cotations!G35)</f>
        <v/>
      </c>
      <c r="J35" s="274" t="str">
        <f>IF(Cotations!H35="","",Cotations!H35)</f>
        <v/>
      </c>
      <c r="K35" s="274" t="str">
        <f>IF(Cotations!I35="","",Cotations!I35)</f>
        <v/>
      </c>
      <c r="L35" s="274" t="str">
        <f>IF(A35=FALSE,"",IF(Cotations!N35="","",Cotations!N35))</f>
        <v/>
      </c>
      <c r="M35" s="274" t="str">
        <f>IF(Cotations!P35="","",Cotations!P35)</f>
        <v/>
      </c>
      <c r="N35" s="724" t="str">
        <f>IF(NAMES!$B$10=TRUE,Cotations!J35,Cotations!L35)</f>
        <v/>
      </c>
      <c r="O35" s="724" t="str">
        <f>IF(NAMES!$B$10=TRUE,Cotations!K35,Cotations!M35)</f>
        <v/>
      </c>
      <c r="P35" s="943" t="str">
        <f t="shared" si="415"/>
        <v/>
      </c>
      <c r="Q35" s="724" t="str">
        <f>IF(A35=FALSE,"",IF(Crewlist!Y35="","",Crewlist!Y35))</f>
        <v/>
      </c>
      <c r="R35" s="78" t="str">
        <f>IF(Cotations!U35="","",Cotations!U35)</f>
        <v/>
      </c>
      <c r="S35" s="943" t="str">
        <f t="shared" si="416"/>
        <v/>
      </c>
      <c r="T35" s="919" t="str">
        <f>IF(A35=FALSE,"",VLOOKUP($U$15:$U$120,Currency!$A$2:$D$10,4,0)*Crewlist!N35)</f>
        <v/>
      </c>
      <c r="U35" s="1355" t="str">
        <f>IF(A35=FALSE,"",IF(IT35=0,Crewlist!M35&amp;"/"&amp;EX35,Crewlist!M35&amp;"/"&amp;IT35))</f>
        <v/>
      </c>
      <c r="V35" s="919" t="str">
        <f>IF(A35=FALSE,"",VLOOKUP($U$15:$U$120,Currency!$A$2:$D$10,4,0)*Detail!Q35)</f>
        <v/>
      </c>
      <c r="W35" s="1355" t="str">
        <f>IF(A35=FALSE,"",IF(IT35=0,Detail!R35&amp;"/"&amp;EX35,Detail!R35&amp;"/"&amp;IT35))</f>
        <v/>
      </c>
      <c r="X35" s="919" t="str">
        <f>IF(A35=FALSE,"",IF(LISTES!$C$17="Crewlist",Calcul!T35,Calcul!V35))</f>
        <v/>
      </c>
      <c r="Y35" s="758" t="str">
        <f t="shared" si="417"/>
        <v/>
      </c>
      <c r="Z35" s="758" t="str">
        <f>IF(A35=FALSE,"",IF(X35=0,0,IF((Cotations!BC35*12*X35)&lt;50000,50000,(12*X35))))</f>
        <v/>
      </c>
      <c r="AA35" s="758" t="str">
        <f t="shared" si="418"/>
        <v/>
      </c>
      <c r="AB35" s="758" t="str">
        <f>IF(A35=FALSE,"",IF(Crewlist!O35=0,"",Crewlist!O35))</f>
        <v/>
      </c>
      <c r="AC35" s="758" t="str">
        <f>IF(I35="","",VLOOKUP($AB$15:$AB$120,Currency!$A$15:$B$34,2,0))</f>
        <v/>
      </c>
      <c r="AD35" s="758" t="str">
        <f t="shared" si="419"/>
        <v/>
      </c>
      <c r="AE35" s="758" t="str">
        <f t="shared" si="420"/>
        <v/>
      </c>
      <c r="AF35" s="758" t="str">
        <f t="shared" si="421"/>
        <v/>
      </c>
      <c r="AG35" s="758" t="str">
        <f t="shared" si="422"/>
        <v/>
      </c>
      <c r="AH35" s="1355" t="str">
        <f t="shared" si="222"/>
        <v/>
      </c>
      <c r="AI35" s="919" t="str">
        <f t="shared" si="423"/>
        <v/>
      </c>
      <c r="AJ35" s="1382" t="str">
        <f t="shared" si="424"/>
        <v/>
      </c>
      <c r="AK35" s="1382" t="str">
        <f t="shared" si="425"/>
        <v/>
      </c>
      <c r="AL35" s="238" t="str">
        <f t="shared" si="223"/>
        <v/>
      </c>
      <c r="AM35" s="238" t="str">
        <f t="shared" si="224"/>
        <v/>
      </c>
      <c r="AN35" s="1374" t="str">
        <f t="shared" si="225"/>
        <v/>
      </c>
      <c r="AO35" s="238" t="str">
        <f t="shared" si="226"/>
        <v/>
      </c>
      <c r="AP35" s="342" t="str">
        <f>IF(A35=FALSE,"",INDEX(Rates!$Z$5:$Z$367,MATCH(EB35,colchoice,0)))</f>
        <v/>
      </c>
      <c r="AQ35" s="238" t="str">
        <f t="shared" si="227"/>
        <v/>
      </c>
      <c r="AR35" s="238" t="str">
        <f t="shared" si="426"/>
        <v/>
      </c>
      <c r="AS35" s="238" t="str">
        <f t="shared" si="427"/>
        <v/>
      </c>
      <c r="AT35" s="238" t="str">
        <f t="shared" si="428"/>
        <v/>
      </c>
      <c r="AU35" s="238" t="str">
        <f t="shared" si="228"/>
        <v/>
      </c>
      <c r="AV35" s="238" t="str">
        <f t="shared" si="429"/>
        <v/>
      </c>
      <c r="AW35" s="238" t="str">
        <f t="shared" si="229"/>
        <v/>
      </c>
      <c r="AX35" s="238" t="str">
        <f t="shared" si="230"/>
        <v/>
      </c>
      <c r="AY35" s="238" t="str">
        <f t="shared" si="231"/>
        <v/>
      </c>
      <c r="AZ35" s="238" t="str">
        <f t="shared" si="232"/>
        <v/>
      </c>
      <c r="BA35" s="238" t="str">
        <f t="shared" si="233"/>
        <v/>
      </c>
      <c r="BB35" s="552" t="str">
        <f t="shared" si="234"/>
        <v/>
      </c>
      <c r="BC35" s="347" t="str">
        <f t="shared" si="235"/>
        <v/>
      </c>
      <c r="BD35" s="239" t="str">
        <f t="shared" si="430"/>
        <v/>
      </c>
      <c r="BE35" s="239" t="str">
        <f>IF(A35=FALSE,"",IF(ALLTHESAME=TRUE,IF(DF35&lt;&gt;$BC$7,0,INDEX(DD35:DZ35,1,MATCH(Structure!$D$12,$DD$14:$DZ$14,0))),IF(EC35&lt;&gt;$BC$7,0,INDEX(EA35:EZ35,1,MATCH(Structure!$D$12,$EA$14:$EZ$14,0)))))</f>
        <v/>
      </c>
      <c r="BF35" s="239" t="str">
        <f>IF(A35=FALSE,"",IF(ALLTHESAME=TRUE,IF(FC35&lt;&gt;$BC$7,0,INDEX(FA35:FZ35,1,MATCH(Structure!$D$12,$FA$14:$FZ$14,0))),IF(GC35&lt;&gt;$BC$7,0,INDEX(GA35:GZ35,1,MATCH(Structure!$D$12,$GA$14:$GZ$14,0)))))</f>
        <v/>
      </c>
      <c r="BG35" s="239" t="str">
        <f>IF(A35=FALSE,"",IF(ALLTHESAME=TRUE,IF(VC35&lt;&gt;$BC$7,0,INDEX(VA35:VZ35,1,MATCH(Structure!$D$12,$VA$14:$VZ$14,0))),IF(VC35&lt;&gt;$BC$7,0,INDEX(VA35:VZ35,1,MATCH(Structure!$D$12,$VA$14:$VZ$14,0)))))</f>
        <v/>
      </c>
      <c r="BH35" s="239" t="str">
        <f>IF(A35=FALSE,"",IF(ALLTHESAME=TRUE,IF(WC35&lt;&gt;$BC$7,0,INDEX(WA35:WY35,1,MATCH(Structure!$D$12,$WA$14:$WZ$14,0))),IF(WC35&lt;&gt;$BC$7,0,INDEX(WA35:WZ35,1,MATCH(Structure!$D$12,$WA$14:$WZ$14,0)))))</f>
        <v/>
      </c>
      <c r="BI35" s="763" t="str">
        <f>IF(A35=FALSE,"",IF(ALLTHESAME=TRUE,IF(HC35&lt;&gt;$BC$7,0,INDEX(HA35:HZ35,1,MATCH(Structure!$D$12,$HA$14:$HZ$14,0)))+TK35,IF(IC35&lt;&gt;$BC$7,0,INDEX(IA35:IZ35,1,MATCH(Structure!$D$12,$IA$14:$IZ$14,0)))+TK35))</f>
        <v/>
      </c>
      <c r="BJ35" s="239" t="str">
        <f>IF(A35=FALSE,"",IF(ALLTHESAME=TRUE,IF(JC35&lt;&gt;$BC$7,0,INDEX(JA35:JZ35,1,MATCH(Structure!$D$12,$JA$14:$JZ$14,0))),IF(KC35&lt;&gt;$BC$7,0,INDEX(KA35:KZ35,1,MATCH(Structure!$D$12,$KA$14:$KZ$14,0)))))</f>
        <v/>
      </c>
      <c r="BK35" s="763" t="str">
        <f>IF(A35=FALSE,"",IF(ALLTHESAME=TRUE,IF(LC35&lt;&gt;$BC$7,0,INDEX(LA35:LZ35,1,MATCH(Structure!$D$12,$LA$14:$LZ$14,0)))+UK35,IF(MC35&lt;&gt;$BC$7,0,INDEX(MA35:MZ35,1,MATCH(Structure!$D$12,$MA$14:$MZ$14,0)))+UK35))</f>
        <v/>
      </c>
      <c r="BL35" s="239" t="str">
        <f>IF(A35=FALSE,"",IF(ALLTHESAME=TRUE,IF(NC35&lt;&gt;$BC$7,0,INDEX(NA35:NZ35,1,MATCH(Structure!$D$12,$NA$14:$NZ$14,0))),IF(OC35&lt;&gt;$BC$7,0,INDEX(OA35:OZ35,1,MATCH(Structure!$D$12,$OA$14:$OZ$14,0)))))</f>
        <v/>
      </c>
      <c r="BM35" s="239" t="str">
        <f>IF(A35=FALSE,"",IF(ALLTHESAME=TRUE,IF(PC35&lt;&gt;$BC$7,0,INDEX(PA35:PZ35,1,MATCH(Structure!$D$12,$PA$14:$PZ$14,0))),IF(QC35&lt;&gt;$BC$7,0,INDEX(QA35:QZ35,1,MATCH(Structure!$D$12,$QA$14:$QZ$14,0)))))</f>
        <v/>
      </c>
      <c r="BN35" s="341" t="str">
        <f>IF(A35=FALSE,"",IF(ALLTHESAME=TRUE,IF(RC35&lt;&gt;$BC$7,0,INDEX(RA35:RZ35,1,MATCH(Structure!$D$12,$RA$14:$RZ$14,0))),IF(SC35&lt;&gt;$BC$7,0,INDEX(SA35:TA35,1,MATCH(Structure!$D$12,$SA$14:$TA$14,0)))))</f>
        <v/>
      </c>
      <c r="BO35" s="507" t="str">
        <f t="shared" si="236"/>
        <v/>
      </c>
      <c r="BP35" s="239" t="str">
        <f t="shared" si="237"/>
        <v/>
      </c>
      <c r="BQ35" s="239" t="str">
        <f>IF(A35=FALSE,"",IF(ALLTHESAME=TRUE,IF(DF35&lt;&gt;$BO$7,0,INDEX(DD35:DZ35,1,MATCH(Structure!$D$12,$DD$14:$DZ$14,0))),IF(EC35&lt;&gt;$BO$7,0,INDEX(EA35:EZ35,1,MATCH(Structure!$D$12,$EA$14:$EZ$14,0)))))</f>
        <v/>
      </c>
      <c r="BR35" s="239" t="str">
        <f>IF(A35=FALSE,"",IF(ALLTHESAME=TRUE,IF(FC35&lt;&gt;$BO$7,0,INDEX(FA35:FZ35,1,MATCH(Structure!$D$12,$FA$14:$FZ$14,0))),IF(GC35&lt;&gt;$BO$7,0,INDEX(GA35:GZ35,1,MATCH(Structure!$D$12,$GA$14:$GZ$14,0)))))</f>
        <v/>
      </c>
      <c r="BS35" s="239" t="str">
        <f>IF(A35=FALSE,"",IF(ALLTHESAME=TRUE,IF(HC35&lt;&gt;$BO$7,0,INDEX(HA35:HZ35,1,MATCH(Structure!$D$12,$HA$14:$HZ$14,0))),IF(IC35&lt;&gt;$BO$7,0,INDEX(IA35:IZ35,1,MATCH(Structure!$D$12,$IA$14:$IZ$14,0)))))</f>
        <v/>
      </c>
      <c r="BT35" s="239" t="str">
        <f>IF(A35=FALSE,"",IF(ALLTHESAME=TRUE,IF(JC35&lt;&gt;$BO$7,0,INDEX(JA35:JZ35,1,MATCH(Structure!$D$12,$JA$14:$JZ$14,0))),IF(KC35&lt;&gt;$BO$7,0,INDEX(KA35:KZ35,1,MATCH(Structure!$D$12,$KA$14:$KZ$14,0)))))</f>
        <v/>
      </c>
      <c r="BU35" s="239" t="str">
        <f>IF(A35=FALSE,"",IF(ALLTHESAME=TRUE,IF(LC35&lt;&gt;$BO$7,0,INDEX(LA35:LZ35,1,MATCH(Structure!$D$12,$LA$14:$LZ$14,0))),IF(MC35&lt;&gt;$BO$7,0,INDEX(MA35:MZ35,1,MATCH(Structure!$D$12,$MA$14:$MZ$14,0)))))</f>
        <v/>
      </c>
      <c r="BV35" s="239" t="str">
        <f>IF(A35=FALSE,"",IF(ALLTHESAME=TRUE,IF(NC35&lt;&gt;$BO$7,0,INDEX(NA35:NZ35,1,MATCH(Structure!$D$12,$NA$14:$NZ$14,0))),IF(OC35&lt;&gt;$BO$7,0,INDEX(OA35:OZ35,1,MATCH(Structure!$D$12,$OA$14:$OZ$14,0)))))</f>
        <v/>
      </c>
      <c r="BW35" s="239" t="str">
        <f>IF(A35=FALSE,"",IF(ALLTHESAME=TRUE,IF(PC35&lt;&gt;$BO$7,0,INDEX(PA35:PZ35,1,MATCH(Structure!$D$12,$PA$14:$PZ$14,0))),IF(QC35&lt;&gt;$BO$7,0,INDEX(QA35:QZ35,1,MATCH(Structure!$D$12,$QA$14:$QZ$14,0)))))</f>
        <v/>
      </c>
      <c r="BX35" s="341" t="str">
        <f>IF(A35=FALSE,"",IF(ALLTHESAME=TRUE,IF(RC35&lt;&gt;$BO$7,0,INDEX(RA35:RZ35,1,MATCH(Structure!$D$12,$RA$14:$RZ$14,0))),IF(SC35&lt;&gt;$BO$7,0,INDEX(SA35:TA35,1,MATCH(Structure!$D$12,$SA$14:$TA$14,0)))))</f>
        <v/>
      </c>
      <c r="BY35" s="347" t="str">
        <f t="shared" si="238"/>
        <v/>
      </c>
      <c r="BZ35" s="507" t="str">
        <f t="shared" si="239"/>
        <v/>
      </c>
      <c r="CA35" s="239" t="str">
        <f t="shared" si="240"/>
        <v/>
      </c>
      <c r="CB35" s="239" t="str">
        <f>IF(A35=FALSE,"",IF(ALLTHESAME=TRUE,INDEX(DD35:DZ35,MATCH(DF35,DF35:DF140,0),MATCH(Structure!$D$17,$DD$14:$DZ$14,0)),INDEX(EA35:EZ35,MATCH(EC35,EC35:EC140,0),MATCH(Structure!$D$17,$EA$14:$EZ$14,0))))</f>
        <v/>
      </c>
      <c r="CC35" s="239" t="str">
        <f>IF(A35=FALSE,"",IF(ALLTHESAME=TRUE,INDEX(FA35:FZ35,MATCH(FC35,FC35:FC140,0),MATCH(Structure!$D$17,$FA$14:$FZ$14,0)),INDEX(GA35:GZ35,MATCH(GC35,GC35:GC140,0),MATCH(Structure!$D$17,$GA$14:$GZ$14,0))))</f>
        <v/>
      </c>
      <c r="CD35" s="239" t="str">
        <f>IF(A35=FALSE,"",IF(ALLTHESAME=TRUE,INDEX(HA35:HZ35,MATCH(HC35,HC35:HC140,0),MATCH(Structure!$D$17,$HA$14:$HZ$14,0)),INDEX(IA35:IZ35,MATCH(IC35,IC35:IC140,0),MATCH(Structure!$D$17,$IA$14:$IZ$14,0))))</f>
        <v/>
      </c>
      <c r="CE35" s="239" t="str">
        <f>IF(A35=FALSE,"",IF(ALLTHESAME=TRUE,INDEX(JA35:JZ35,MATCH(JC35,JC35:JC140,0),MATCH(Structure!$D$17,$JA$14:$JZ$14,0)),INDEX(KA35:KZ35,MATCH(KC35,KC35:KC140,0),MATCH(Structure!$D$17,$KA$14:$KZ$14,0))))</f>
        <v/>
      </c>
      <c r="CF35" s="239" t="str">
        <f>IF(A35=FALSE,"",IF(ALLTHESAME=TRUE,INDEX(LA35:LZ35,MATCH(LC35,LC35:LC140,0),MATCH(Structure!$D$17,$LA$14:$LZ$14,0)),INDEX(MA35:MZ35,MATCH(MC35,MC35:MC140,0),MATCH(Structure!$D$17,$MA$14:$MZ$14,0))))</f>
        <v/>
      </c>
      <c r="CG35" s="239" t="str">
        <f>IF(A35=FALSE,"",IF(ALLTHESAME=TRUE,INDEX(NA35:NZ35,MATCH(NC35,NC35:NC140,0),MATCH(Structure!$D$17,$NA$14:$NZ$14,0)),INDEX(OA35:OZ35,MATCH(OC35,OC35:OC140,0),MATCH(Structure!$D$17,$OA$14:$OZ$14,0))))</f>
        <v/>
      </c>
      <c r="CH35" s="239" t="str">
        <f>IF(A35=FALSE,"",IF(ALLTHESAME=TRUE,INDEX(PA35:PZ35,MATCH(PC35,PC35:PC140,0),MATCH(Structure!$D$17,$PA$14:$PZ$14,0)),INDEX(QA35:QZ35,MATCH(QC35,QC35:QC140,0),MATCH(Structure!$D$17,$QA$14:$QZ$14,0))))</f>
        <v/>
      </c>
      <c r="CI35" s="341" t="str">
        <f>IF(A35=FALSE,"",IF(ALLTHESAME=TRUE,INDEX(RA35:RZ35,MATCH(RC35,RC35:RC140,0),MATCH(Structure!$D$17,$RA$14:$RZ$14,0)),INDEX(SA35:TC35,MATCH(SC35,SC35:SC140,0),MATCH(Structure!$D$17,$SA$14:$TC$14,0))))</f>
        <v/>
      </c>
      <c r="CJ35" s="347"/>
      <c r="CK35" s="239" t="str">
        <f t="shared" si="241"/>
        <v/>
      </c>
      <c r="CL35" s="239" t="str">
        <f>IF(A35=FALSE,"",IF(ALLTHESAME=TRUE,INDEX(DD35:DZ35,MATCH(DF35,DF35:DF140,0),MATCH(Structure!$D$22,$DD$14:$DZ$14,0)),INDEX(EA35:EZ35,MATCH(EC35,EC35:EC140,0),MATCH(Structure!$D$22,$EA$14:$EZ$14,0))))</f>
        <v/>
      </c>
      <c r="CM35" s="239" t="str">
        <f>IF(A35=FALSE,"",IF(ALLTHESAME=TRUE,INDEX(FA35:FZ35,MATCH(FC35,FC35:FC140,0),MATCH(Structure!$D$22,$FA$14:$FZ$14,0)),INDEX(GA35:GZ35,MATCH(GC35,GC35:GC140,0),MATCH(Structure!$D$22,$GA$14:$GZ$14,0))))</f>
        <v/>
      </c>
      <c r="CN35" s="239" t="str">
        <f>IF(A35=FALSE,"",IF(ALLTHESAME=TRUE,INDEX(HA35:HZ35,MATCH(HC35,HC35:HC140,0),MATCH(Structure!$D$22,$HA$14:$HZ$14,0)),INDEX(IA35:IZ35,MATCH(IC35,IC35:IC140,0),MATCH(Structure!$D$22,$IA$14:$IZ$14,0))))</f>
        <v/>
      </c>
      <c r="CO35" s="239" t="str">
        <f>IF(A35=FALSE,"",IF(ALLTHESAME=TRUE,INDEX(JA35:JZ35,MATCH(JC35,JC35:JC140,0),MATCH(Structure!$D$22,$JA$14:$JZ$14,0)),INDEX(KA35:KZ35,MATCH(KC35,KC35:KC140,0),MATCH(Structure!$D$22,$KA$14:$KZ$14,0))))</f>
        <v/>
      </c>
      <c r="CP35" s="239" t="str">
        <f>IF(A35=FALSE,"",IF(ALLTHESAME=TRUE,INDEX(LA35:LZ35,MATCH(LC35,LC35:LC140,0),MATCH(Structure!$D$22,$LA$14:$LZ$14,0)),INDEX(MA35:MZ35,MATCH(MC35,MC35:MC140,0),MATCH(Structure!$D$22,$MA$14:$MZ$14,0))))</f>
        <v/>
      </c>
      <c r="CQ35" s="239" t="str">
        <f>IF(A35=FALSE,"",IF(ALLTHESAME=TRUE,INDEX(NA35:NZ35,MATCH(NC35,NC35:NC140,0),MATCH(Structure!$D$22,$NA$14:$NZ$14,0)),INDEX(OA35:OZ35,MATCH(OC35,OC35:OC140,0),MATCH(Structure!$D$22,$OA$14:$OZ$14,0))))</f>
        <v/>
      </c>
      <c r="CR35" s="239" t="str">
        <f>IF(A35=FALSE,"",IF(ALLTHESAME=TRUE,INDEX(PA35:PZ35,MATCH(PC35,PC35:PC140,0),MATCH(Structure!$D$22,$PA$14:$PZ$14,0)),INDEX(QA35:QZ35,MATCH(QC35,QC35:QC140,0),MATCH(Structure!$D$22,$QA$14:$QZ$14,0))))</f>
        <v/>
      </c>
      <c r="CS35" s="341" t="str">
        <f>IF(A35=FALSE,"",IF(ALLTHESAME=TRUE,INDEX(RA35:RZ35,MATCH(RC35,RC35:RC140,0),MATCH(Structure!$D$22,$RA$14:$RZ$14,0)),INDEX(SA35:TC35,MATCH(SC35,SC35:SC140,0),MATCH(Structure!$D$22,$SA$14:$TC$14,0))))</f>
        <v/>
      </c>
      <c r="CT35" s="347"/>
      <c r="CU35" s="239" t="str">
        <f t="shared" si="242"/>
        <v/>
      </c>
      <c r="CV35" s="239" t="str">
        <f>IF(A35=FALSE,"",IF(ALLTHESAME=TRUE,INDEX(DD35:DZ35,MATCH(DF35,DF35:DF140,0),MATCH(Structure!$D$8,$DD$14:$DZ$14,0)),INDEX(EA35:EZ35,MATCH(EC35,EC35:EC140,0),MATCH(Structure!$D$8,$EA$14:$EZ$14,0))))</f>
        <v/>
      </c>
      <c r="CW35" s="239" t="str">
        <f>IF(A35=FALSE,"",IF(ALLTHESAME=TRUE,INDEX(FA35:FZ35,MATCH(FC35,FC35:FC140,0),MATCH(Structure!$D$8,$FA$14:$FZ$14,0)),INDEX(GA35:GZ35,MATCH(GC35,GC35:GC140,0),MATCH(Structure!$D$8,$GA$14:$GZ$14,0))))</f>
        <v/>
      </c>
      <c r="CX35" s="239" t="str">
        <f>IF(A35=FALSE,"",IF(ALLTHESAME=TRUE,INDEX(HA35:HZ35,MATCH(HC35,HC35:HC140,0),MATCH(Structure!$D$8,$HA$14:$HZ$14,0)),INDEX(IA35:IZ35,MATCH(IC35,IC35:IC140,0),MATCH(Structure!$D$8,$IA$14:$IZ$14,0))))</f>
        <v/>
      </c>
      <c r="CY35" s="239" t="str">
        <f>IF(A35=FALSE,"",IF(ALLTHESAME=TRUE,INDEX(JA35:JZ35,MATCH(JC35,JC35:JC140,0),MATCH(Structure!$D$8,$JA$14:$JZ$14,0)),INDEX(KA35:KZ35,MATCH(KC35,KC35:KC140,0),MATCH(Structure!$D$8,$KA$14:$KZ$14,0))))</f>
        <v/>
      </c>
      <c r="CZ35" s="239" t="str">
        <f>IF(A35=FALSE,"",IF(ALLTHESAME=TRUE,INDEX(LA35:LZ35,MATCH(LC35,LC35:LC140,0),MATCH(Structure!$D$8,$LA$14:$LZ$14,0)),INDEX(MA35:MZ35,MATCH(MC35,MC35:MC140,0),MATCH(Structure!$D$8,$MA$14:$MZ$14,0))))</f>
        <v/>
      </c>
      <c r="DA35" s="239" t="str">
        <f>IF(A35=FALSE,"",IF(ALLTHESAME=TRUE,INDEX(NA35:NZ35,MATCH(NC35,NC35:NC140,0),MATCH(Structure!$D$8,$NA$14:$NZ$14,0)),INDEX(OA35:OZ35,MATCH(OC35,OC35:OC140,0),MATCH(Structure!$D$8,$OA$14:$OZ$14,0))))</f>
        <v/>
      </c>
      <c r="DB35" s="239" t="str">
        <f>IF(A35=FALSE,"",IF(ALLTHESAME=TRUE,INDEX(PA35:PZ35,MATCH(PC35,PC35:PC140,0),MATCH(Structure!$D$8,$PA$14:$PZ$14,0)),INDEX(QA35:QZ35,MATCH(QC35,QC35:QC140,0),MATCH(Structure!$D$8,$QA$14:$QZ$14,0))))</f>
        <v/>
      </c>
      <c r="DC35" s="341" t="str">
        <f>IF(A35=FALSE,"",IF(ALLTHESAME=TRUE,INDEX(RA35:RZ35,MATCH(RC35,RC35:RC140,0),MATCH(Structure!$D$8,$RA$14:$RZ$14,0)),INDEX(SA35:TC35,MATCH(SC35,SC35:SC140,0),MATCH(Structure!$D$8,$SA$14:$TC$14,0))))</f>
        <v/>
      </c>
      <c r="DD35" s="492" t="str">
        <f>IF(A35=FALSE,"",Cotations!D35)</f>
        <v/>
      </c>
      <c r="DE35" s="492" t="str">
        <f>IF(A35=FALSE,"",IF(LISTES!$A$17=1,Cotations!AF35,Cotations!$AG$4))</f>
        <v/>
      </c>
      <c r="DF35" s="291" t="str">
        <f t="shared" si="431"/>
        <v/>
      </c>
      <c r="DG35" s="291" t="str">
        <f t="shared" si="243"/>
        <v/>
      </c>
      <c r="DH35" s="291"/>
      <c r="DI35" s="463"/>
      <c r="DJ35" s="463" t="str">
        <f t="shared" si="244"/>
        <v/>
      </c>
      <c r="DK35" s="522" t="str">
        <f>IF(A35=FALSE,"",IF(Cotations!$AH$4="monthly",DJ35/12*L35,DJ35/365*M35))</f>
        <v/>
      </c>
      <c r="DL35" s="489" t="str">
        <f>IF(A35=FALSE,"",Cotations!$AI$4)</f>
        <v/>
      </c>
      <c r="DM35" s="300" t="str">
        <f t="shared" si="245"/>
        <v/>
      </c>
      <c r="DN35" s="300" t="str">
        <f t="shared" si="246"/>
        <v/>
      </c>
      <c r="DO35" s="294" t="str">
        <f t="shared" si="247"/>
        <v/>
      </c>
      <c r="DP35" s="494" t="str">
        <f>IF(A35=FALSE,"",Cotations!$AJ$4)</f>
        <v/>
      </c>
      <c r="DQ35" s="494" t="str">
        <f>IF(A35=FALSE,"",Cotations!$AK$4)</f>
        <v/>
      </c>
      <c r="DR35" s="489" t="str">
        <f>IF(A35=FALSE,"",Cotations!$AL$4)</f>
        <v/>
      </c>
      <c r="DS35" s="494" t="str">
        <f>IF(A35=FALSE,"",IF(DP35="N/A",0,IF(INDEX(LISTES!$F$105:$F$109,MATCH(DP35,LISTES!$C$105:$C$109,0))="FIX",IF(INDEX(LISTES!$E$105:$E$109,MATCH(DP35,LISTES!$C$105:$C$109,0))=12,DQ35/12*L35,DQ35/365*M35),DR35*DO35)))</f>
        <v/>
      </c>
      <c r="DT35" s="294" t="str">
        <f t="shared" si="248"/>
        <v/>
      </c>
      <c r="DU35" s="294" t="str">
        <f>IF(A35=FALSE,"",DT35*Cotations!$AM$4)</f>
        <v/>
      </c>
      <c r="DV35" s="294" t="str">
        <f>IF(A35=FALSE,"",DT35*Cotations!$AN$4)</f>
        <v/>
      </c>
      <c r="DW35" s="465" t="str">
        <f t="shared" si="249"/>
        <v/>
      </c>
      <c r="DX35" s="919" t="str">
        <f>IF(A35=FALSE,"",((DJ35*TAXE)-(DJ35*TAXE*DL35))+IF(DP35="N/A",0,IF(INDEX(LISTES!$F$105:$F$109,MATCH(DP35,LISTES!$C$105:$C$109,0))="FIX",DQ35,DR35*DO35)))</f>
        <v/>
      </c>
      <c r="DY35" s="466"/>
      <c r="DZ35" s="466"/>
      <c r="EA35" s="492" t="str">
        <f>IF(A35=FALSE,"",Cotations!D35)</f>
        <v/>
      </c>
      <c r="EB35" s="494" t="str">
        <f>IF(A35=FALSE,"",IF(LISTES!$A$17=1,Cotations!AF35,Cotations!AG35))</f>
        <v/>
      </c>
      <c r="EC35" s="284" t="str">
        <f t="shared" si="250"/>
        <v/>
      </c>
      <c r="ED35" s="284" t="str">
        <f t="shared" si="251"/>
        <v/>
      </c>
      <c r="EE35" s="284"/>
      <c r="EF35" s="284"/>
      <c r="EG35" s="284" t="str">
        <f t="shared" si="252"/>
        <v/>
      </c>
      <c r="EH35" s="1365" t="str">
        <f t="shared" si="253"/>
        <v/>
      </c>
      <c r="EI35" s="1365" t="str">
        <f t="shared" si="254"/>
        <v/>
      </c>
      <c r="EJ35" s="515" t="str">
        <f>IF(A35=FALSE,"",IF(Cotations!AH35="monthly",EG35/12*L35,EG35/365*M35))</f>
        <v/>
      </c>
      <c r="EK35" s="1364" t="str">
        <f>IF(A35=FALSE,"",IF(Cotations!AH35="monthly",EI35/12*L35,EI35/365*M35))</f>
        <v/>
      </c>
      <c r="EL35" s="493" t="str">
        <f>IF(A35=FALSE,"",IF(Cotations!AI35="","",Cotations!AI35))</f>
        <v/>
      </c>
      <c r="EM35" s="284" t="str">
        <f t="shared" si="255"/>
        <v/>
      </c>
      <c r="EN35" s="284" t="str">
        <f t="shared" si="256"/>
        <v/>
      </c>
      <c r="EO35" s="1365" t="str">
        <f t="shared" si="432"/>
        <v/>
      </c>
      <c r="EP35" s="284" t="str">
        <f t="shared" si="257"/>
        <v/>
      </c>
      <c r="EQ35" s="515" t="str">
        <f>IF(A35=FALSE,"",Cotations!AJ35)</f>
        <v/>
      </c>
      <c r="ER35" s="515" t="str">
        <f>IF(A35=FALSE,"",IF(Cotations!AK35="","",Cotations!AK35))</f>
        <v/>
      </c>
      <c r="ES35" s="493" t="str">
        <f>IF(A35=FALSE,"",Cotations!AL35)</f>
        <v/>
      </c>
      <c r="ET35" s="515" t="str">
        <f>IF(A35=FALSE,"",IF(EQ35="N/A",0,IF(INDEX(LISTES!$F$105:$F$109,MATCH(EQ35,LISTES!$C$105:$C$109,0))="FIX",IF(INDEX(LISTES!$E$105:$E$109,MATCH(EQ35,LISTES!$C$105:$C$109,0))=12,ER35/12*L35,ER35/365*M35),ES35*EP35)))</f>
        <v/>
      </c>
      <c r="EU35" s="294" t="str">
        <f t="shared" si="258"/>
        <v/>
      </c>
      <c r="EV35" s="494" t="str">
        <f>IF(A35=FALSE,"",EU35*Cotations!AM35)</f>
        <v/>
      </c>
      <c r="EW35" s="494" t="str">
        <f>IF(A35=FALSE,"",EU35*Cotations!AN35)</f>
        <v/>
      </c>
      <c r="EX35" s="334" t="str">
        <f t="shared" si="259"/>
        <v/>
      </c>
      <c r="EY35" s="919" t="str">
        <f>IF(A35=FALSE,"",((EG35*TAXE)-(EG35*TAXE*EL35)+EH35)+IF(EQ35="N/A",0,IF(INDEX(LISTES!$F$105:$F$109,MATCH(EQ35,LISTES!$C$105:$C$109,0))="FIX",ER35,ES35*EP35)))</f>
        <v/>
      </c>
      <c r="FA35" s="492" t="str">
        <f>IF(A35=FALSE,"",Cotations!D35)</f>
        <v/>
      </c>
      <c r="FB35" s="519" t="str">
        <f>IF(A35=FALSE,"",IF(LISTES!$A$17=1,Cotations!AO35,Cotations!$AP$4))</f>
        <v/>
      </c>
      <c r="FC35" s="291" t="str">
        <f t="shared" si="260"/>
        <v/>
      </c>
      <c r="FD35" s="291" t="str">
        <f t="shared" si="261"/>
        <v/>
      </c>
      <c r="FE35" s="291"/>
      <c r="FF35" s="463"/>
      <c r="FG35" s="463" t="str">
        <f t="shared" si="262"/>
        <v/>
      </c>
      <c r="FH35" s="522" t="str">
        <f>IF(A35=FALSE,"",IF(Cotations!$AQ$4="monthly",FG35/12*L35,FG35/365*M35))</f>
        <v/>
      </c>
      <c r="FI35" s="453" t="str">
        <f>IF(A35=FALSE,"",Cotations!$AR$4)</f>
        <v/>
      </c>
      <c r="FJ35" s="300" t="str">
        <f t="shared" si="263"/>
        <v/>
      </c>
      <c r="FK35" s="300" t="str">
        <f t="shared" si="264"/>
        <v/>
      </c>
      <c r="FL35" s="294" t="str">
        <f t="shared" si="265"/>
        <v/>
      </c>
      <c r="FM35" s="494" t="str">
        <f>IF(A35=FALSE,"",Cotations!$AS$4)</f>
        <v/>
      </c>
      <c r="FN35" s="494" t="str">
        <f>IF(A35=FALSE,"",Cotations!$AT$4)</f>
        <v/>
      </c>
      <c r="FO35" s="489" t="str">
        <f>IF(A35=FALSE,"",Cotations!$AU$4)</f>
        <v/>
      </c>
      <c r="FP35" s="494" t="str">
        <f>IF(A35=FALSE,"",IF(FM35="N/A",0,IF(INDEX(LISTES!$F$105:$F$109,MATCH(FM35,LISTES!$C$105:$C$109,0))="FIX",IF(INDEX(LISTES!$E$105:$E$109,MATCH(FM35,LISTES!$C$105:$C$109,0))=12,FN35/12*L35,FN35/365*M35),FO35*FL35)))</f>
        <v/>
      </c>
      <c r="FQ35" s="294" t="str">
        <f t="shared" si="266"/>
        <v/>
      </c>
      <c r="FR35" s="494" t="str">
        <f>IF(A35=FALSE,"",FQ35*Cotations!$AV$4)</f>
        <v/>
      </c>
      <c r="FS35" s="494" t="str">
        <f>IF(A35=FALSE,"",FQ35*Cotations!$AW$4)</f>
        <v/>
      </c>
      <c r="FT35" s="465" t="str">
        <f t="shared" si="267"/>
        <v/>
      </c>
      <c r="FU35" s="919" t="str">
        <f>IF(A35=FALSE,"",((FG35*TAXE)-(FG35*TAXE*FI35))+IF(FM35="N/A",0,IF(INDEX(LISTES!$F$105:$F$109,MATCH(FM35,LISTES!$C$105:$C$109,0))="FIX",FN35,FO35*FL35)))</f>
        <v/>
      </c>
      <c r="FV35" s="478"/>
      <c r="FW35" s="478"/>
      <c r="FX35" s="478"/>
      <c r="FY35" s="478"/>
      <c r="FZ35" s="478"/>
      <c r="GA35" s="492" t="str">
        <f>IF(A35=FALSE,"",Cotations!D35)</f>
        <v/>
      </c>
      <c r="GB35" s="494" t="str">
        <f>IF(A35=FALSE,"",IF(LISTES!$A$17=1,Cotations!AO35,Cotations!AP35))</f>
        <v/>
      </c>
      <c r="GC35" s="284" t="str">
        <f t="shared" si="268"/>
        <v/>
      </c>
      <c r="GD35" s="515" t="str">
        <f>IF(A35=FALSE,"",IF(Detail!AM35="","",Detail!AM35))</f>
        <v/>
      </c>
      <c r="GE35" s="284"/>
      <c r="GF35" s="284"/>
      <c r="GG35" s="284" t="str">
        <f t="shared" si="269"/>
        <v/>
      </c>
      <c r="GH35" s="515" t="str">
        <f>IF(A35=FALSE,"",IF(Cotations!AQ35="monthly",GG35/12*L35,GG35/365*M35))</f>
        <v/>
      </c>
      <c r="GI35" s="493" t="str">
        <f>IF(A35=FALSE,"",IF(Cotations!AR35="","",Cotations!AR35))</f>
        <v/>
      </c>
      <c r="GJ35" s="284" t="str">
        <f t="shared" si="270"/>
        <v/>
      </c>
      <c r="GK35" s="284" t="str">
        <f t="shared" si="271"/>
        <v/>
      </c>
      <c r="GL35" s="284" t="str">
        <f t="shared" si="272"/>
        <v/>
      </c>
      <c r="GM35" s="515" t="str">
        <f>IF(A35=FALSE,"",Cotations!AS35)</f>
        <v/>
      </c>
      <c r="GN35" s="515" t="str">
        <f>IF(A35=FALSE,"",Cotations!AT35)</f>
        <v/>
      </c>
      <c r="GO35" s="493" t="str">
        <f>IF(A35=FALSE,"",Cotations!AU35)</f>
        <v/>
      </c>
      <c r="GP35" s="515" t="str">
        <f>IF(A35=FALSE,"",IF(GM35="N/A",0,IF(INDEX(LISTES!$F$105:$F$109,MATCH(GM35,LISTES!$C$105:$C$109,0))="FIX",IF(INDEX(LISTES!$E$105:$E$109,MATCH(GM35,LISTES!$C$105:$C$109,0))=12,GN35/12*L35,GN35/365*M35),GO35*GL35)))</f>
        <v/>
      </c>
      <c r="GQ35" s="294" t="str">
        <f t="shared" si="273"/>
        <v/>
      </c>
      <c r="GR35" s="494" t="str">
        <f>IF(A35=FALSE,"",GQ35*Cotations!AV35)</f>
        <v/>
      </c>
      <c r="GS35" s="494" t="str">
        <f>IF(A35=FALSE,"",GQ35*Cotations!AW35)</f>
        <v/>
      </c>
      <c r="GT35" s="334" t="str">
        <f t="shared" si="274"/>
        <v/>
      </c>
      <c r="GU35" s="919" t="str">
        <f>IF(A35=FALSE,"",((GG35*TAXE)-(GG35*TAXE*GI35))+IF(GM35="N/A",0,IF(INDEX(LISTES!$F$105:$F$109,MATCH(GM35,LISTES!$C$105:$C$109,0))="FIX",GN35,GO35*GL35)))</f>
        <v/>
      </c>
      <c r="GV35" s="478"/>
      <c r="GW35" s="466"/>
      <c r="GX35" s="466"/>
      <c r="GY35" s="466"/>
      <c r="GZ35" s="466"/>
      <c r="HA35" s="492" t="str">
        <f>IF(A35=FALSE,"",Cotations!D35)</f>
        <v/>
      </c>
      <c r="HB35" s="495" t="str">
        <f>IF(A35=FALSE,"",IF(LISTES!$A$17=1,Cotations!AX35,Cotations!$AY$4))</f>
        <v/>
      </c>
      <c r="HC35" s="291" t="str">
        <f t="shared" si="275"/>
        <v/>
      </c>
      <c r="HD35" s="291" t="str">
        <f t="shared" si="276"/>
        <v/>
      </c>
      <c r="HE35" s="456" t="str">
        <f t="shared" si="277"/>
        <v/>
      </c>
      <c r="HF35" s="496" t="str">
        <f>IF(A35=FALSE,"",IF(HA35="POEA",Cotations!BA35,IF(HA35="FIXE",Cotations!$BA$4,Cotations!$BC$4*Y35)))</f>
        <v/>
      </c>
      <c r="HG35" s="300" t="str">
        <f t="shared" si="278"/>
        <v/>
      </c>
      <c r="HH35" s="522" t="str">
        <f>IF(A35=FALSE,"",IF(Cotations!$AZ$4="monthly",HG35/12*L35,HG35/365*M35))</f>
        <v/>
      </c>
      <c r="HI35" s="489" t="str">
        <f>IF(A35=FALSE,"",Cotations!$BD$4)</f>
        <v/>
      </c>
      <c r="HJ35" s="300" t="str">
        <f t="shared" si="279"/>
        <v/>
      </c>
      <c r="HK35" s="300" t="str">
        <f t="shared" si="280"/>
        <v/>
      </c>
      <c r="HL35" s="294" t="str">
        <f t="shared" si="281"/>
        <v/>
      </c>
      <c r="HM35" s="494" t="str">
        <f>IF(A35=FALSE,"",Cotations!$BE$4)</f>
        <v/>
      </c>
      <c r="HN35" s="522" t="str">
        <f>IF(A35=FALSE,"",Cotations!$BF$4)</f>
        <v/>
      </c>
      <c r="HO35" s="489" t="str">
        <f>IF(A35=FALSE,"",Cotations!$BG$4)</f>
        <v/>
      </c>
      <c r="HP35" s="494" t="str">
        <f>IF(A35=FALSE,"",IF(HM35="N/A",0,IF(INDEX(LISTES!$F$105:$F$109,MATCH(HM35,LISTES!$C$105:$C$109,0))="FIX",IF(INDEX(LISTES!$E$105:$E$109,MATCH(HM35,LISTES!$C$105:$C$109,0))=12,HN35/12*L35,HN35/365*M35),HO35*HL35)))</f>
        <v/>
      </c>
      <c r="HQ35" s="294" t="str">
        <f t="shared" si="282"/>
        <v/>
      </c>
      <c r="HR35" s="494" t="str">
        <f>IF(A35=FALSE,"",HQ35*Cotations!$BH$4)</f>
        <v/>
      </c>
      <c r="HS35" s="494" t="str">
        <f>IF(A35=FALSE,"",HQ35*Cotations!$BI$4)</f>
        <v/>
      </c>
      <c r="HT35" s="294" t="str">
        <f t="shared" si="283"/>
        <v/>
      </c>
      <c r="HU35" s="919" t="str">
        <f>IF(A35=FALSE,"",((HG35*TAXE)-(HG35*TAXE*HI35))+IF(HM35="N/A",0,IF(INDEX(LISTES!$F$105:$F$109,MATCH(HM35,LISTES!$C$105:$C$109,0))="FIX",HN35,HO35*HL35)))</f>
        <v/>
      </c>
      <c r="IA35" s="492" t="str">
        <f>IF(A35=FALSE,"",Cotations!D35)</f>
        <v/>
      </c>
      <c r="IB35" s="491" t="str">
        <f>IF(A35=FALSE,"",IF(LISTES!$A$17=1,Cotations!AX35,Cotations!AY35))</f>
        <v/>
      </c>
      <c r="IC35" s="285" t="str">
        <f t="shared" si="284"/>
        <v/>
      </c>
      <c r="ID35" s="300" t="str">
        <f>IF(A35=FALSE,"",IF(LISTES!$A$17=3,Detail!AU35,lig1_Formula_PREVOY))</f>
        <v/>
      </c>
      <c r="IE35" s="461" t="str">
        <f t="shared" si="285"/>
        <v/>
      </c>
      <c r="IF35" s="490" t="str">
        <f>IF(A35=FALSE,"",IF(IA35="POEA",Cotations!BA35,IF(HA35="FIXE",Cotations!BB35,IF(Cotations!BC35*Y35&lt;50000,Z35,Cotations!BC35*Y35))))</f>
        <v/>
      </c>
      <c r="IG35" s="300" t="str">
        <f t="shared" si="286"/>
        <v/>
      </c>
      <c r="IH35" s="522" t="str">
        <f>IF(A35=FALSE,"",IF(Cotations!AZ35="monthly",IG35/12*L35,IG35/365*M35))</f>
        <v/>
      </c>
      <c r="II35" s="489" t="str">
        <f>IF(A35=FALSE,"",IF(Cotations!BD35="","",Cotations!BD35))</f>
        <v/>
      </c>
      <c r="IJ35" s="300" t="str">
        <f t="shared" si="287"/>
        <v/>
      </c>
      <c r="IK35" s="300" t="str">
        <f t="shared" si="288"/>
        <v/>
      </c>
      <c r="IL35" s="919" t="str">
        <f t="shared" si="289"/>
        <v/>
      </c>
      <c r="IM35" s="517" t="str">
        <f>IF(A35=FALSE,"",Cotations!BE35)</f>
        <v/>
      </c>
      <c r="IN35" s="517" t="str">
        <f>IF(A35=FALSE,"",Cotations!BF35)</f>
        <v/>
      </c>
      <c r="IO35" s="493" t="str">
        <f>IF(A35=FALSE,"",Cotations!BG35)</f>
        <v/>
      </c>
      <c r="IP35" s="517" t="str">
        <f>IF(A35=FALSE,"",IF(IM35="N/A",0,IF(INDEX(LISTES!$F$105:$F$109,MATCH(IM35,LISTES!$C$105:$C$109,0))="FIX",IF(INDEX(LISTES!$E$105:$E$109,MATCH(IM35,LISTES!$C$105:$C$109,0))=12,IN35/12*L35,IN35/365*M35),IO35*IL35)))</f>
        <v/>
      </c>
      <c r="IQ35" s="294" t="str">
        <f t="shared" si="290"/>
        <v/>
      </c>
      <c r="IR35" s="494" t="str">
        <f>IF(A35=FALSE,"",IQ35*Cotations!BH35)</f>
        <v/>
      </c>
      <c r="IS35" s="494" t="str">
        <f>IF(A35=FALSE,"",IQ35*Cotations!BI35)</f>
        <v/>
      </c>
      <c r="IT35" s="338" t="str">
        <f t="shared" si="291"/>
        <v/>
      </c>
      <c r="IU35" s="919" t="str">
        <f>IF(A35=FALSE,"",((IG35*TAXE)-(IG35*TAXE*II35))+IF(IM35="N/A",0,IF(INDEX(LISTES!$F$105:$F$109,MATCH(IM35,LISTES!$C$105:$C$109,0))="FIX",IN35,IO35*IL35)))</f>
        <v/>
      </c>
      <c r="JA35" s="492" t="str">
        <f>IF(A35=FALSE,"",Cotations!D35)</f>
        <v/>
      </c>
      <c r="JB35" s="495" t="str">
        <f>IF(A35=FALSE,"",IF(LISTES!$A$17=1,Cotations!BJ35,Cotations!$BK$4))</f>
        <v/>
      </c>
      <c r="JC35" s="291" t="str">
        <f t="shared" si="292"/>
        <v/>
      </c>
      <c r="JD35" s="291" t="str">
        <f t="shared" si="293"/>
        <v/>
      </c>
      <c r="JE35" s="456" t="str">
        <f t="shared" si="294"/>
        <v/>
      </c>
      <c r="JF35" s="496" t="str">
        <f>IF(A35=FALSE,"",IF(JA35="POEA",Cotations!BM35,IF(JA35="FIXE",Cotations!$BM$4,Cotations!$BO$4*Y35)))</f>
        <v/>
      </c>
      <c r="JG35" s="300" t="str">
        <f t="shared" si="295"/>
        <v/>
      </c>
      <c r="JH35" s="522" t="str">
        <f>IF(A35=FALSE,"",IF(Cotations!$BL$4="monthly",JG35/12*L35,JG35/365*M35))</f>
        <v/>
      </c>
      <c r="JI35" s="489" t="str">
        <f>IF(A35=FALSE,"",Cotations!$BP$4)</f>
        <v/>
      </c>
      <c r="JJ35" s="300" t="str">
        <f t="shared" si="296"/>
        <v/>
      </c>
      <c r="JK35" s="300" t="str">
        <f t="shared" si="297"/>
        <v/>
      </c>
      <c r="JL35" s="294" t="str">
        <f t="shared" si="298"/>
        <v/>
      </c>
      <c r="JM35" s="494" t="str">
        <f>IF(A35=FALSE,"",Cotations!$BQ$4)</f>
        <v/>
      </c>
      <c r="JN35" s="522" t="str">
        <f>IF(A35=FALSE,"",Cotations!$BR$4)</f>
        <v/>
      </c>
      <c r="JO35" s="489" t="str">
        <f>IF(A35=FALSE,"",Cotations!$BS$4)</f>
        <v/>
      </c>
      <c r="JP35" s="494" t="str">
        <f>IF(A35=FALSE,"",IF(JM35="N/A",0,IF(INDEX(LISTES!$F$105:$F$109,MATCH(JM35,LISTES!$C$105:$C$109,0))="FIX",IF(INDEX(LISTES!$E$105:$E$109,MATCH(JM35,LISTES!$C$105:$C$109,0))=12,JN35/12*L35,JN35/365*M35),JO35*JL35)))</f>
        <v/>
      </c>
      <c r="JQ35" s="294" t="str">
        <f t="shared" si="299"/>
        <v/>
      </c>
      <c r="JR35" s="494" t="str">
        <f>IF(A35=FALSE,"",JQ35*Cotations!$BT$4)</f>
        <v/>
      </c>
      <c r="JS35" s="494" t="str">
        <f>IF(A35=FALSE,"",JQ35*Cotations!$BU$4)</f>
        <v/>
      </c>
      <c r="JT35" s="294" t="str">
        <f t="shared" si="300"/>
        <v/>
      </c>
      <c r="JU35" s="919" t="str">
        <f>IF(A35=FALSE,"",((JG35*TAXE)-(JG35*TAXE*JI35))+IF(JM35="N/A",0,IF(INDEX(LISTES!$F$105:$F$109,MATCH(JM35,LISTES!$C$105:$C$109,0))="FIX",JN35,JO35*JL35)))</f>
        <v/>
      </c>
      <c r="KA35" s="492" t="str">
        <f>IF(A35=FALSE,"",Cotations!D35)</f>
        <v/>
      </c>
      <c r="KB35" s="491" t="str">
        <f>IF(A35=FALSE,"",IF(LISTES!$A$17=1,Cotations!BJ35,Cotations!BK35))</f>
        <v/>
      </c>
      <c r="KC35" s="285" t="str">
        <f t="shared" si="301"/>
        <v/>
      </c>
      <c r="KD35" s="300"/>
      <c r="KE35" s="461" t="str">
        <f t="shared" si="302"/>
        <v/>
      </c>
      <c r="KF35" s="490" t="str">
        <f>IF(A35=FALSE,"",IF(KA35="POEA",Cotations!BM35,IF(KA35="FIXE",Cotations!BN35,IF(Cotations!BO35*Y35&lt;50000,Z35,Cotations!BO35*Y35))))</f>
        <v/>
      </c>
      <c r="KG35" s="300" t="str">
        <f t="shared" si="303"/>
        <v/>
      </c>
      <c r="KH35" s="522" t="str">
        <f>IF(A35=FALSE,"",IF(Cotations!BL35="monthly",KG35/12*L35,KG35/365*M35))</f>
        <v/>
      </c>
      <c r="KI35" s="489" t="str">
        <f>IF(A35=FALSE,"",IF(Cotations!BP35="","",Cotations!BP35))</f>
        <v/>
      </c>
      <c r="KJ35" s="300" t="str">
        <f t="shared" si="304"/>
        <v/>
      </c>
      <c r="KK35" s="300" t="str">
        <f t="shared" si="305"/>
        <v/>
      </c>
      <c r="KL35" s="919" t="str">
        <f t="shared" si="306"/>
        <v/>
      </c>
      <c r="KM35" s="517" t="str">
        <f>IF(A35=FALSE,"",Cotations!BQ35)</f>
        <v/>
      </c>
      <c r="KN35" s="515" t="str">
        <f>IF(A35=FALSE,"",Cotations!BR35)</f>
        <v/>
      </c>
      <c r="KO35" s="493" t="str">
        <f>IF(A35=FALSE,"",Cotations!BS35)</f>
        <v/>
      </c>
      <c r="KP35" s="517" t="str">
        <f>IF(A35=FALSE,"",IF(KM35="N/A",0,IF(INDEX(LISTES!$F$105:$F$109,MATCH(KM35,LISTES!$C$105:$C$109,0))="FIX",IF(INDEX(LISTES!$E$105:$E$109,MATCH(KM35,LISTES!$C$105:$C$109,0))=12,KN35/12*L35,KN35/365*M35),KO35*KL35)))</f>
        <v/>
      </c>
      <c r="KQ35" s="294" t="str">
        <f t="shared" si="307"/>
        <v/>
      </c>
      <c r="KR35" s="494" t="str">
        <f>IF(A35=FALSE,"",KQ35*Cotations!BT35)</f>
        <v/>
      </c>
      <c r="KS35" s="494" t="str">
        <f>IF(A35=FALSE,"",KQ35*Cotations!BU35)</f>
        <v/>
      </c>
      <c r="KT35" s="338" t="str">
        <f t="shared" si="308"/>
        <v/>
      </c>
      <c r="KU35" s="919" t="str">
        <f>IF(A35=FALSE,"",((KG35*TAXE)-(KG35*TAXE*KI35))+IF(KM35="N/A",0,IF(INDEX(LISTES!$F$105:$F$109,MATCH(KM35,LISTES!$C$105:$C$109,0))="FIX",KN35,KO35*KL35)))</f>
        <v/>
      </c>
      <c r="LA35" s="497" t="str">
        <f>IF(A35=FALSE,"",Cotations!D35)</f>
        <v/>
      </c>
      <c r="LB35" s="498" t="str">
        <f>IF(A35=FALSE,"",IF(LISTES!$A$17=1,Cotations!BV35,Cotations!$BW$4))</f>
        <v/>
      </c>
      <c r="LC35" s="499" t="str">
        <f t="shared" si="309"/>
        <v/>
      </c>
      <c r="LD35" s="499" t="str">
        <f t="shared" si="310"/>
        <v/>
      </c>
      <c r="LE35" s="500" t="str">
        <f t="shared" si="311"/>
        <v/>
      </c>
      <c r="LF35" s="501" t="str">
        <f>IF(A35=FALSE,"",IF(LA35="POEA",Cotations!EJ35,IF(LA35="FIXE",Cotations!$BY$4,Cotations!$CA$4*Y35)))</f>
        <v/>
      </c>
      <c r="LG35" s="502" t="str">
        <f t="shared" si="312"/>
        <v/>
      </c>
      <c r="LH35" s="520" t="str">
        <f>IF(A35=FALSE,"",IF(Cotations!$BX$4="monthly",LG35/12*L35,LG35/365*M35))</f>
        <v/>
      </c>
      <c r="LI35" s="503" t="str">
        <f>IF(A35=FALSE,"",Cotations!$CB$4)</f>
        <v/>
      </c>
      <c r="LJ35" s="502" t="str">
        <f t="shared" si="313"/>
        <v/>
      </c>
      <c r="LK35" s="502" t="str">
        <f t="shared" si="314"/>
        <v/>
      </c>
      <c r="LL35" s="504" t="str">
        <f t="shared" si="315"/>
        <v/>
      </c>
      <c r="LM35" s="505" t="str">
        <f>IF(A35=FALSE,"",Cotations!$CC$4)</f>
        <v/>
      </c>
      <c r="LN35" s="503" t="str">
        <f>IF(A35=FALSE,"",Cotations!$CD$4)</f>
        <v/>
      </c>
      <c r="LO35" s="503" t="str">
        <f>IF(A35=FALSE,"",Cotations!$CE$4)</f>
        <v/>
      </c>
      <c r="LP35" s="505" t="str">
        <f>IF(A35=FALSE,"",IF(LM35="N/A",0,IF(INDEX(LISTES!$F$105:$F$109,MATCH(LM35,LISTES!$C$105:$C$109,0))="FIX",IF(INDEX(LISTES!$E$105:$E$109,MATCH(LM35,LISTES!$C$105:$C$109,0))=12,LN35/12*L35,LN35/365*M35),LO35*LL35)))</f>
        <v/>
      </c>
      <c r="LQ35" s="504" t="str">
        <f t="shared" si="316"/>
        <v/>
      </c>
      <c r="LR35" s="505" t="str">
        <f>IF(A35=FALSE,"",LQ35*Cotations!$CF$4)</f>
        <v/>
      </c>
      <c r="LS35" s="505" t="str">
        <f>IF(A35=FALSE,"",LQ35*Cotations!$CG$4)</f>
        <v/>
      </c>
      <c r="LT35" s="506" t="str">
        <f t="shared" si="317"/>
        <v/>
      </c>
      <c r="LU35" s="919" t="str">
        <f>IF(A35=FALSE,"",((LG35*TAXE)-(LG35*TAXE*LI35))+IF(LM35="N/A",0,IF(INDEX(LISTES!$F$105:$F$109,MATCH(LM35,LISTES!$C$105:$C$109,0))="FIX",LN35,LO35*LL35)))</f>
        <v/>
      </c>
      <c r="MA35" s="492" t="str">
        <f>IF(A35=FALSE,"",Cotations!D35)</f>
        <v/>
      </c>
      <c r="MB35" s="491" t="str">
        <f>IF(A35=FALSE,"",IF(LISTES!$A$17=1,Cotations!BV35,Cotations!BW35))</f>
        <v/>
      </c>
      <c r="MC35" s="285" t="str">
        <f t="shared" si="318"/>
        <v/>
      </c>
      <c r="MD35" s="300"/>
      <c r="ME35" s="461" t="str">
        <f t="shared" si="319"/>
        <v/>
      </c>
      <c r="MF35" s="490" t="str">
        <f>IF(A35=FALSE,"",IF(MA35="POEA",Cotations!BY35,IF(MA35="FIXE",Cotations!BZ35,IF(Cotations!CA35*Y35&lt;50000,Z35,Cotations!CA35*Y35))))</f>
        <v/>
      </c>
      <c r="MG35" s="300" t="str">
        <f t="shared" si="320"/>
        <v/>
      </c>
      <c r="MH35" s="522" t="str">
        <f>IF(A35=FALSE,"",IF(Cotations!BX35="monthly",MG35/12*L35,MG35/365*M35))</f>
        <v/>
      </c>
      <c r="MI35" s="489" t="str">
        <f>IF(A35=FALSE,"",IF(Cotations!CB35="","",Cotations!CB35))</f>
        <v/>
      </c>
      <c r="MJ35" s="300" t="str">
        <f t="shared" si="321"/>
        <v/>
      </c>
      <c r="MK35" s="300" t="str">
        <f t="shared" si="322"/>
        <v/>
      </c>
      <c r="ML35" s="919" t="str">
        <f t="shared" si="323"/>
        <v/>
      </c>
      <c r="MM35" s="517" t="str">
        <f>IF(A35=FALSE,"",Cotations!CC35)</f>
        <v/>
      </c>
      <c r="MN35" s="515" t="str">
        <f>IF(A35=FALSE,"",Cotations!CD35)</f>
        <v/>
      </c>
      <c r="MO35" s="493" t="str">
        <f>IF(A35=FALSE,"",Cotations!CE35)</f>
        <v/>
      </c>
      <c r="MP35" s="517" t="str">
        <f>IF(A35=FALSE,"",IF(MM35="N/A",0,IF(INDEX(LISTES!$F$105:$F$109,MATCH(MM35,LISTES!$C$105:$C$109,0))="FIX",IF(INDEX(LISTES!$E$105:$E$109,MATCH(MM35,LISTES!$C$105:$C$109,0))=12,MN35/12*L35,MN35/365*M35),MO35*ML35)))</f>
        <v/>
      </c>
      <c r="MQ35" s="294" t="str">
        <f t="shared" si="324"/>
        <v/>
      </c>
      <c r="MR35" s="494" t="str">
        <f>IF(A35=FALSE,"",MQ35*Cotations!CF35)</f>
        <v/>
      </c>
      <c r="MS35" s="494" t="str">
        <f>IF(A35=FALSE,"",MQ35*Cotations!CG35)</f>
        <v/>
      </c>
      <c r="MT35" s="338" t="str">
        <f t="shared" si="325"/>
        <v/>
      </c>
      <c r="MU35" s="919" t="str">
        <f>IF(A35=FALSE,"",((MG35*TAXE)-(MG35*TAXE*MI35))+IF(MM35="N/A",0,IF(INDEX(LISTES!$F$105:$F$109,MATCH(MM35,LISTES!$C$105:$C$109,0))="FIX",MN35,MO35*ML35)))</f>
        <v/>
      </c>
      <c r="NA35" s="497" t="str">
        <f>IF(A35=FALSE,"",Cotations!D35)</f>
        <v/>
      </c>
      <c r="NB35" s="498" t="str">
        <f>IF(A35=FALSE,"",IF(LISTES!$A$17=1,Cotations!CH35,Cotations!$CI$4))</f>
        <v/>
      </c>
      <c r="NC35" s="499" t="str">
        <f t="shared" si="326"/>
        <v/>
      </c>
      <c r="ND35" s="499" t="str">
        <f t="shared" si="327"/>
        <v/>
      </c>
      <c r="NE35" s="500" t="str">
        <f t="shared" si="328"/>
        <v/>
      </c>
      <c r="NF35" s="501" t="str">
        <f>IF(A35=FALSE,"",IF(NA35="POEA",Cotations!CK35,IF(NA35="FIXE",Cotations!$CK$4,Cotations!$CM$4*Y35)))</f>
        <v/>
      </c>
      <c r="NG35" s="502" t="str">
        <f t="shared" si="329"/>
        <v/>
      </c>
      <c r="NH35" s="520" t="str">
        <f>IF(A35=FALSE,"",IF(Cotations!$CJ$4="monthly",NG35/12*L35,NG35/365*M35))</f>
        <v/>
      </c>
      <c r="NI35" s="503" t="str">
        <f>IF(A35=FALSE,"",Cotations!$CN$4)</f>
        <v/>
      </c>
      <c r="NJ35" s="502" t="str">
        <f t="shared" si="330"/>
        <v/>
      </c>
      <c r="NK35" s="502" t="str">
        <f t="shared" si="331"/>
        <v/>
      </c>
      <c r="NL35" s="504" t="str">
        <f t="shared" si="332"/>
        <v/>
      </c>
      <c r="NM35" s="505" t="str">
        <f>IF(A35=FALSE,"",Cotations!$CO$4)</f>
        <v/>
      </c>
      <c r="NN35" s="520" t="str">
        <f>IF(A35=FALSE,"",Cotations!$CP$4)</f>
        <v/>
      </c>
      <c r="NO35" s="503" t="str">
        <f>IF(A35=FALSE,"",Cotations!$CQ$4)</f>
        <v/>
      </c>
      <c r="NP35" s="505" t="str">
        <f>IF(A35=FALSE,"",IF(NM35="N/A",0,IF(INDEX(LISTES!$F$105:$F$109,MATCH(NM35,LISTES!$C$105:$C$109,0))="FIX",IF(INDEX(LISTES!$E$105:$E$109,MATCH(NM35,LISTES!$C$105:$C$109,0))=12,NN35/12*L35,NN35/365*M35),NO35*NL35)))</f>
        <v/>
      </c>
      <c r="NQ35" s="504" t="str">
        <f t="shared" si="333"/>
        <v/>
      </c>
      <c r="NR35" s="505" t="str">
        <f>IF(A35=FALSE,"",NQ35*Cotations!$CR$4)</f>
        <v/>
      </c>
      <c r="NS35" s="505" t="str">
        <f>IF(A35=FALSE,"",NQ35*Cotations!$CS$4)</f>
        <v/>
      </c>
      <c r="NT35" s="506" t="str">
        <f t="shared" si="334"/>
        <v/>
      </c>
      <c r="NU35" s="919" t="str">
        <f>IF(A35=FALSE,"",((NG35*TAXE)-(NG35*TAXE*NI35))+IF(NM35="N/A",0,IF(INDEX(LISTES!$F$105:$F$109,MATCH(NM35,LISTES!$C$105:$C$109,0))="FIX",NN35,NO35*NL35)))</f>
        <v/>
      </c>
      <c r="OA35" s="492" t="str">
        <f>IF(A35=FALSE,"",Cotations!D35)</f>
        <v/>
      </c>
      <c r="OB35" s="491" t="str">
        <f>IF(A35=FALSE,"",IF(LISTES!$A$17=1,Cotations!CH35,Cotations!CI35))</f>
        <v/>
      </c>
      <c r="OC35" s="285" t="str">
        <f t="shared" si="335"/>
        <v/>
      </c>
      <c r="OD35" s="300"/>
      <c r="OE35" s="461" t="str">
        <f t="shared" si="336"/>
        <v/>
      </c>
      <c r="OF35" s="490" t="str">
        <f>IF(A35=FALSE,"",IF(OA35="POEA",Cotations!CK35,IF(OA35="FIXE",Cotations!CL35,IF(Cotations!CM35*Y35&lt;50000,Z35,Cotations!CM35*Y35))))</f>
        <v/>
      </c>
      <c r="OG35" s="300" t="str">
        <f t="shared" si="337"/>
        <v/>
      </c>
      <c r="OH35" s="522" t="str">
        <f>IF(A35=FALSE,"",IF(Cotations!CJ35="monthly",OG35/12*L35,OG35/365*M35))</f>
        <v/>
      </c>
      <c r="OI35" s="489" t="str">
        <f>IF(A35=FALSE,"",IF(Cotations!CN35="","",Cotations!CN35))</f>
        <v/>
      </c>
      <c r="OJ35" s="300" t="str">
        <f t="shared" si="338"/>
        <v/>
      </c>
      <c r="OK35" s="300" t="str">
        <f t="shared" si="339"/>
        <v/>
      </c>
      <c r="OL35" s="919" t="str">
        <f t="shared" si="340"/>
        <v/>
      </c>
      <c r="OM35" s="517" t="str">
        <f>IF(A35=FALSE,"",Cotations!CO35)</f>
        <v/>
      </c>
      <c r="ON35" s="515" t="str">
        <f>IF(A35=FALSE,"",Cotations!CP35)</f>
        <v/>
      </c>
      <c r="OO35" s="493" t="str">
        <f>IF(A35=FALSE,"",Cotations!CQ35)</f>
        <v/>
      </c>
      <c r="OP35" s="517" t="str">
        <f>IF(A35=FALSE,"",IF(OM35="N/A",0,IF(INDEX(LISTES!$F$105:$F$109,MATCH(OM35,LISTES!$C$105:$C$109,0))="FIX",IF(INDEX(LISTES!$E$105:$E$109,MATCH(OM35,LISTES!$C$105:$C$109,0))=12,ON35/12*L35,ON35/365*M35),OO35*OL35)))</f>
        <v/>
      </c>
      <c r="OQ35" s="294" t="str">
        <f t="shared" si="341"/>
        <v/>
      </c>
      <c r="OR35" s="494" t="str">
        <f>IF(A35=FALSE,"",OQ35*Cotations!CR35)</f>
        <v/>
      </c>
      <c r="OS35" s="494" t="str">
        <f>IF(A35=FALSE,"",OQ35*Cotations!CS35)</f>
        <v/>
      </c>
      <c r="OT35" s="338" t="str">
        <f t="shared" si="342"/>
        <v/>
      </c>
      <c r="OU35" s="919" t="str">
        <f>IF(A35=FALSE,"",((OG35*TAXE)-(OG35*TAXE*OI35))+IF(OM35="N/A",0,IF(INDEX(LISTES!$F$105:$F$109,MATCH(OM35,LISTES!$C$105:$C$109,0))="FIX",ON35,OO35*OL35)))</f>
        <v/>
      </c>
      <c r="PA35" s="497" t="str">
        <f t="shared" si="343"/>
        <v/>
      </c>
      <c r="PB35" s="498" t="str">
        <f>IF(A35=FALSE,"",IF(LISTES!$A$17=1,Cotations!CT35,Cotations!$CU$4))</f>
        <v/>
      </c>
      <c r="PC35" s="499" t="str">
        <f t="shared" si="344"/>
        <v/>
      </c>
      <c r="PD35" s="499" t="str">
        <f t="shared" si="345"/>
        <v/>
      </c>
      <c r="PE35" s="500" t="str">
        <f t="shared" si="346"/>
        <v/>
      </c>
      <c r="PF35" s="501" t="str">
        <f>IF(A35=FALSE,"",Cotations!$CY$4*Y35)</f>
        <v/>
      </c>
      <c r="PG35" s="502" t="str">
        <f t="shared" si="347"/>
        <v/>
      </c>
      <c r="PH35" s="520" t="str">
        <f>IF(A35=FALSE,"",IF(Cotations!$CV$4="monthly",PG35/12*L35,PG35/365*M35))</f>
        <v/>
      </c>
      <c r="PI35" s="503" t="str">
        <f>IF(A35=FALSE,"",Cotations!$CZ$4)</f>
        <v/>
      </c>
      <c r="PJ35" s="502" t="str">
        <f t="shared" si="348"/>
        <v/>
      </c>
      <c r="PK35" s="502" t="str">
        <f t="shared" si="349"/>
        <v/>
      </c>
      <c r="PL35" s="504" t="str">
        <f t="shared" si="350"/>
        <v/>
      </c>
      <c r="PM35" s="505" t="str">
        <f>IF(A35=FALSE,"",Cotations!$DA$4)</f>
        <v/>
      </c>
      <c r="PN35" s="520" t="str">
        <f>IF(A35=FALSE,"",Cotations!$DB$4)</f>
        <v/>
      </c>
      <c r="PO35" s="503" t="str">
        <f>IF(A35=FALSE,"",Cotations!$DC$4)</f>
        <v/>
      </c>
      <c r="PP35" s="505" t="str">
        <f>IF(A35=FALSE,"",IF(PM35="N/A",0,IF(INDEX(LISTES!$F$105:$F$109,MATCH(PM35,LISTES!$C$105:$C$109,0))="FIX",IF(INDEX(LISTES!$E$105:$E$109,MATCH(PM35,LISTES!$C$105:$C$109,0))=12,PN35/12*L35,PN35/365*M35),PO35*PL35)))</f>
        <v/>
      </c>
      <c r="PQ35" s="504" t="str">
        <f t="shared" si="351"/>
        <v/>
      </c>
      <c r="PR35" s="505" t="str">
        <f>IF(A35=FALSE,"",PQ35*Cotations!$DD$4)</f>
        <v/>
      </c>
      <c r="PS35" s="505" t="str">
        <f>IF(A35=FALSE,"",PQ35*Cotations!$DE$4)</f>
        <v/>
      </c>
      <c r="PT35" s="506" t="str">
        <f t="shared" si="352"/>
        <v/>
      </c>
      <c r="PU35" s="919" t="str">
        <f>IF(A35=FALSE,"",((PG35*TAXE)-(PG35*TAXE*PI35))+IF(PM35="N/A",0,IF(INDEX(LISTES!$F$105:$F$109,MATCH(PM35,LISTES!$C$105:$C$109,0))="FIX",PN35,PO35*PL35)))</f>
        <v/>
      </c>
      <c r="QA35" s="492" t="str">
        <f t="shared" si="353"/>
        <v/>
      </c>
      <c r="QB35" s="491" t="str">
        <f>IF(A35=FALSE,"",IF(LISTES!$A$17=1,Cotations!CT35,Cotations!CU35))</f>
        <v/>
      </c>
      <c r="QC35" s="285" t="str">
        <f t="shared" si="354"/>
        <v/>
      </c>
      <c r="QD35" s="300"/>
      <c r="QE35" s="461" t="str">
        <f t="shared" si="355"/>
        <v/>
      </c>
      <c r="QF35" s="490" t="str">
        <f>IF(A35=FALSE,"",Cotations!CY35*AA35)</f>
        <v/>
      </c>
      <c r="QG35" s="300" t="str">
        <f t="shared" si="356"/>
        <v/>
      </c>
      <c r="QH35" s="522" t="str">
        <f>IF(A35=FALSE,"",IF(Cotations!CV35="monthly",QG35/12*L35,QG35/365*M35))</f>
        <v/>
      </c>
      <c r="QI35" s="489" t="str">
        <f>IF(A35=FALSE,"",IF(Cotations!CZ35="","",Cotations!CZ35))</f>
        <v/>
      </c>
      <c r="QJ35" s="300" t="str">
        <f t="shared" si="357"/>
        <v/>
      </c>
      <c r="QK35" s="300" t="str">
        <f t="shared" si="358"/>
        <v/>
      </c>
      <c r="QL35" s="919" t="str">
        <f t="shared" si="359"/>
        <v/>
      </c>
      <c r="QM35" s="517" t="str">
        <f>IF(A35=FALSE,"",Cotations!DA35)</f>
        <v/>
      </c>
      <c r="QN35" s="515" t="str">
        <f>IF(A35=FALSE,"",Cotations!DB35)</f>
        <v/>
      </c>
      <c r="QO35" s="493" t="str">
        <f>IF(A35=FALSE,"",Cotations!DC35)</f>
        <v/>
      </c>
      <c r="QP35" s="517" t="str">
        <f>IF(A35=FALSE,"",IF(QM35="N/A",0,IF(INDEX(LISTES!$F$105:$F$109,MATCH(QM35,LISTES!$C$105:$C$109,0))="FIX",IF(INDEX(LISTES!$E$105:$E$109,MATCH(QM35,LISTES!$C$105:$C$109,0))=12,QN35/12*L35,QN35/365*M35),QO35*QL35)))</f>
        <v/>
      </c>
      <c r="QQ35" s="294" t="str">
        <f t="shared" si="360"/>
        <v/>
      </c>
      <c r="QR35" s="494" t="str">
        <f>IF(A35=FALSE,"",QQ35*Cotations!DD35)</f>
        <v/>
      </c>
      <c r="QS35" s="494" t="str">
        <f>IF(A35=FALSE,"",QQ35*Cotations!DE35)</f>
        <v/>
      </c>
      <c r="QT35" s="338" t="str">
        <f t="shared" si="361"/>
        <v/>
      </c>
      <c r="QU35" s="919" t="str">
        <f>IF(A35=FALSE,"",((QG35*TAXE)-(QG35*TAXE*QI35))+IF(QM35="N/A",0,IF(INDEX(LISTES!$F$105:$F$109,MATCH(QM35,LISTES!$C$105:$C$109,0))="FIX",QN35,QO35*QL35)))</f>
        <v/>
      </c>
      <c r="RA35" s="497" t="str">
        <f t="shared" si="362"/>
        <v/>
      </c>
      <c r="RB35" s="498" t="str">
        <f>IF(A35=FALSE,"",IF(LISTES!$A$17=1,Cotations!DF35,Cotations!$DG$4))</f>
        <v/>
      </c>
      <c r="RC35" s="499" t="str">
        <f t="shared" si="363"/>
        <v/>
      </c>
      <c r="RD35" s="499" t="str">
        <f t="shared" si="364"/>
        <v/>
      </c>
      <c r="RE35" s="500" t="str">
        <f t="shared" si="365"/>
        <v/>
      </c>
      <c r="RF35" s="501" t="str">
        <f>IF(A35=FALSE,"",Cotations!$DK$4*Y35)</f>
        <v/>
      </c>
      <c r="RG35" s="502" t="str">
        <f t="shared" si="366"/>
        <v/>
      </c>
      <c r="RH35" s="520" t="str">
        <f>IF(A35=FALSE,"",IF(Cotations!$DH$4="monthly",RG35/12*L35,RG35/365*M35))</f>
        <v/>
      </c>
      <c r="RI35" s="503" t="str">
        <f>IF(A35=FALSE,"",Cotations!$DL$4)</f>
        <v/>
      </c>
      <c r="RJ35" s="502" t="str">
        <f t="shared" si="367"/>
        <v/>
      </c>
      <c r="RK35" s="502" t="str">
        <f t="shared" si="368"/>
        <v/>
      </c>
      <c r="RL35" s="504" t="str">
        <f t="shared" si="369"/>
        <v/>
      </c>
      <c r="RM35" s="505" t="str">
        <f>IF(A35=FALSE,"",Cotations!$DM$4)</f>
        <v/>
      </c>
      <c r="RN35" s="520" t="str">
        <f>IF(A35=FALSE,"",Cotations!$DN$4)</f>
        <v/>
      </c>
      <c r="RO35" s="503" t="str">
        <f>IF(A35=FALSE,"",Cotations!$DO$4)</f>
        <v/>
      </c>
      <c r="RP35" s="505" t="str">
        <f>IF(A35=FALSE,"",IF(RM35="N/A",0,IF(INDEX(LISTES!$F$105:$F$109,MATCH(RM35,LISTES!$C$105:$C$109,0))="FIX",IF(INDEX(LISTES!$E$105:$E$109,MATCH(RM35,LISTES!$C$105:$C$109,0))=12,RN35/12*L35,RN35/365*M35),RO35*RL35)))</f>
        <v/>
      </c>
      <c r="RQ35" s="504" t="str">
        <f t="shared" si="370"/>
        <v/>
      </c>
      <c r="RR35" s="505" t="str">
        <f>IF(A35=FALSE,"",RQ35*Cotations!$DP$4)</f>
        <v/>
      </c>
      <c r="RS35" s="505" t="str">
        <f>IF(A35=FALSE,"",RQ35*Cotations!$DQ$4)</f>
        <v/>
      </c>
      <c r="RT35" s="506" t="str">
        <f t="shared" si="371"/>
        <v/>
      </c>
      <c r="RU35" s="919" t="str">
        <f>IF(A35=FALSE,"",((RG35*TAXE)-(RG35*TAXE*RI35))+IF(RM35="N/A",0,IF(INDEX(LISTES!$F$105:$F$109,MATCH(RM35,LISTES!$C$105:$C$109,0))="FIX",RN35,RO35*RL35)))</f>
        <v/>
      </c>
      <c r="SA35" s="492" t="str">
        <f t="shared" si="372"/>
        <v/>
      </c>
      <c r="SB35" s="491" t="str">
        <f>IF(A35=FALSE,"",IF(LISTES!$A$17=1,Cotations!DF35,Cotations!DG35))</f>
        <v/>
      </c>
      <c r="SC35" s="285" t="str">
        <f t="shared" si="373"/>
        <v/>
      </c>
      <c r="SD35" s="300"/>
      <c r="SE35" s="461" t="str">
        <f t="shared" si="374"/>
        <v/>
      </c>
      <c r="SF35" s="490" t="str">
        <f>IF(A35=FALSE,"",Cotations!DK35*AA35)</f>
        <v/>
      </c>
      <c r="SG35" s="300" t="str">
        <f t="shared" si="375"/>
        <v/>
      </c>
      <c r="SH35" s="522" t="str">
        <f>IF(A35=FALSE,"",IF(Cotations!DH35="monthly",SG35/12*L35,SG35/365*M35))</f>
        <v/>
      </c>
      <c r="SI35" s="489" t="str">
        <f>IF(A35=FALSE,"",IF(Cotations!DL35="","",Cotations!DL35))</f>
        <v/>
      </c>
      <c r="SJ35" s="300" t="str">
        <f t="shared" si="376"/>
        <v/>
      </c>
      <c r="SK35" s="300" t="str">
        <f t="shared" si="377"/>
        <v/>
      </c>
      <c r="SL35" s="919" t="str">
        <f t="shared" si="378"/>
        <v/>
      </c>
      <c r="SM35" s="285" t="str">
        <f>IF(A35=FALSE,"",Cotations!DM35)</f>
        <v/>
      </c>
      <c r="SN35" s="515" t="str">
        <f>IF(A35=FALSE,"",Cotations!DN35)</f>
        <v/>
      </c>
      <c r="SO35" s="493" t="str">
        <f>IF(A35=FALSE,"",Cotations!DO35)</f>
        <v/>
      </c>
      <c r="SP35" s="517" t="str">
        <f>IF(A35=FALSE,"",IF(SM35="N/A",0,IF(INDEX(LISTES!$F$105:$F$109,MATCH(SM35,LISTES!$C$105:$C$109,0))="FIX",IF(INDEX(LISTES!$E$105:$E$109,MATCH(SM35,LISTES!$C$105:$C$109,0))=12,SN35/12*L35,SN35/365*M35),SO35*SL35)))</f>
        <v/>
      </c>
      <c r="SQ35" s="294" t="str">
        <f t="shared" si="379"/>
        <v/>
      </c>
      <c r="SR35" s="494" t="str">
        <f>IF(A35=FALSE,"",SQ35*Cotations!DP35)</f>
        <v/>
      </c>
      <c r="SS35" s="494" t="str">
        <f>IF(A35=FALSE,"",SQ35*Cotations!DQ35)</f>
        <v/>
      </c>
      <c r="ST35" s="338" t="str">
        <f t="shared" si="380"/>
        <v/>
      </c>
      <c r="SU35" s="919" t="str">
        <f>IF(A35=FALSE,"",((SG35*TAXE)-(SG35*TAXE*SI35))+IF(SM35="N/A",0,IF(INDEX(LISTES!$F$105:$F$109,MATCH(SM35,LISTES!$C$105:$C$109,0))="FIX",SN35,SO35*SL35)))</f>
        <v/>
      </c>
      <c r="TA35" s="492" t="str">
        <f>IF(A35=FALSE,"",Cotations!D35)</f>
        <v/>
      </c>
      <c r="TB35" s="491" t="str">
        <f>IF(A35=FALSE,"",IF(LISTES!$A$17=1,Cotations!DR35,Cotations!DS35))</f>
        <v/>
      </c>
      <c r="TC35" s="285" t="str">
        <f t="shared" si="381"/>
        <v/>
      </c>
      <c r="TD35" s="300" t="str">
        <f>IF(A35=FALSE,"",Detail!CQ35)</f>
        <v/>
      </c>
      <c r="TE35" s="461" t="str">
        <f t="shared" si="382"/>
        <v/>
      </c>
      <c r="TF35" s="490" t="str">
        <f>IF(A35=FALSE,"",IF(TA35="FIXE",Cotations!DU35,Cotations!DV35*Y35))</f>
        <v/>
      </c>
      <c r="TG35" s="300" t="str">
        <f t="shared" si="383"/>
        <v/>
      </c>
      <c r="TH35" s="522" t="str">
        <f>IF(A35=FALSE,"",IF(Cotations!DT35="monthly",TG35/12*L35,TG35/365*M35))</f>
        <v/>
      </c>
      <c r="TI35" s="489" t="str">
        <f>IF(A35=FALSE,"",IF(Cotations!DW35="","",Cotations!DW35))</f>
        <v/>
      </c>
      <c r="TJ35" s="300" t="str">
        <f t="shared" si="384"/>
        <v/>
      </c>
      <c r="TK35" s="300" t="str">
        <f t="shared" si="385"/>
        <v/>
      </c>
      <c r="TL35" s="919" t="str">
        <f t="shared" si="386"/>
        <v/>
      </c>
      <c r="TM35" s="517" t="str">
        <f>IF(A35=FALSE,"",Cotations!DX35)</f>
        <v/>
      </c>
      <c r="TN35" s="517" t="str">
        <f>IF(A35=FALSE,"",Cotations!DY35)</f>
        <v/>
      </c>
      <c r="TO35" s="493" t="str">
        <f>IF(A35=FALSE,"",Cotations!DZ35)</f>
        <v/>
      </c>
      <c r="TP35" s="517" t="str">
        <f>IF(A35=FALSE,"",IF(TM35="N/A",0,IF(INDEX(LISTES!$F$105:$F$109,MATCH(TM35,LISTES!$C$105:$C$109,0))="FIX",IF(INDEX(LISTES!$E$105:$E$109,MATCH(TM35,LISTES!$C$105:$C$109,0))=12,TN35/12*L35,TN35/365*M35),TO35*TL35)))</f>
        <v/>
      </c>
      <c r="TQ35" s="294" t="str">
        <f t="shared" si="387"/>
        <v/>
      </c>
      <c r="TR35" s="494" t="str">
        <f>IF(A35=FALSE,"",TQ35*Cotations!EA35)</f>
        <v/>
      </c>
      <c r="TS35" s="494" t="str">
        <f>IF(A35=FALSE,"",TQ35*Cotations!EB35)</f>
        <v/>
      </c>
      <c r="TT35" s="338" t="str">
        <f t="shared" si="388"/>
        <v/>
      </c>
      <c r="TU35" s="919" t="str">
        <f>IF(A35=FALSE,"",((TG35*(1+TAXE)-(TG35*(1+TAXE)*TI35))+IF(TM35="N/A",0,IF(INDEX(LISTES!$F$105:$F$109,MATCH(TM35,LISTES!$C$105:$C$109,0))="FIX",TN35,TO35*TL35))))</f>
        <v/>
      </c>
      <c r="UA35" s="492" t="str">
        <f>IF(A35=FALSE,"",Cotations!D35)</f>
        <v/>
      </c>
      <c r="UB35" s="491" t="str">
        <f>IF(A35=FALSE,"",IF(LISTES!$A$17=1,Cotations!EC35,Cotations!ED35))</f>
        <v/>
      </c>
      <c r="UC35" s="285" t="str">
        <f t="shared" si="389"/>
        <v/>
      </c>
      <c r="UD35" s="300" t="str">
        <f>IF(A35=FALSE,"",Detail!CY35)</f>
        <v/>
      </c>
      <c r="UE35" s="461" t="str">
        <f t="shared" si="390"/>
        <v/>
      </c>
      <c r="UF35" s="490" t="str">
        <f>IF(A35=FALSE,"",IF(UA35="FIXE",Cotations!EF35,Cotations!EG35*Y35))</f>
        <v/>
      </c>
      <c r="UG35" s="300" t="str">
        <f t="shared" si="391"/>
        <v/>
      </c>
      <c r="UH35" s="522" t="str">
        <f>IF(A35=FALSE,"",IF(Cotations!EE35="monthly",UG35/12*L35,UG35/365*M35))</f>
        <v/>
      </c>
      <c r="UI35" s="489" t="str">
        <f>IF(A35=FALSE,"",IF(Cotations!EH35="","",Cotations!EH35))</f>
        <v/>
      </c>
      <c r="UJ35" s="300" t="str">
        <f t="shared" si="392"/>
        <v/>
      </c>
      <c r="UK35" s="300" t="str">
        <f t="shared" si="393"/>
        <v/>
      </c>
      <c r="UL35" s="919" t="str">
        <f t="shared" si="394"/>
        <v/>
      </c>
      <c r="UM35" s="517" t="str">
        <f>IF(A35=FALSE,"",Cotations!EI35)</f>
        <v/>
      </c>
      <c r="UN35" s="517" t="str">
        <f>IF(A35=FALSE,"",Cotations!EJ35)</f>
        <v/>
      </c>
      <c r="UO35" s="493" t="str">
        <f>IF(A35=FALSE,"",Cotations!EK35)</f>
        <v/>
      </c>
      <c r="UP35" s="517" t="str">
        <f>IF(A35=FALSE,"",IF(UM35="N/A",0,IF(INDEX(LISTES!$F$105:$F$109,MATCH(UM35,LISTES!$C$105:$C$109,0))="FIX",IF(INDEX(LISTES!$E$105:$E$109,MATCH(UM35,LISTES!$C$105:$C$109,0))=12,UN35/12*L35,UN35/365*M35),UO35*UL35)))</f>
        <v/>
      </c>
      <c r="UQ35" s="294" t="str">
        <f t="shared" si="395"/>
        <v/>
      </c>
      <c r="UR35" s="494" t="str">
        <f>IF(A35=FALSE,"",UQ35*Cotations!EL35)</f>
        <v/>
      </c>
      <c r="US35" s="494" t="str">
        <f>IF(A35=FALSE,"",UQ35*Cotations!EM35)</f>
        <v/>
      </c>
      <c r="UT35" s="338" t="str">
        <f t="shared" si="396"/>
        <v/>
      </c>
      <c r="UU35" s="919" t="str">
        <f>IF(A35=FALSE,"",((UG35*(1+TAXE)-(UG35*(1+TAXE)*UI35))+IF(UM35="N/A",0,IF(INDEX(LISTES!$F$105:$F$109,MATCH(UM35,LISTES!$C$105:$C$109,0))="FIX",UN35,UO35*UL35))))</f>
        <v/>
      </c>
      <c r="VA35" s="492" t="str">
        <f>IF(A35=FALSE,"",Cotations!D35)</f>
        <v/>
      </c>
      <c r="VB35" s="519" t="str">
        <f>IF(A35=FALSE,"",IF(LISTES!$A$17=1,Cotations!EN35,Cotations!EO35))</f>
        <v/>
      </c>
      <c r="VC35" s="291" t="str">
        <f t="shared" si="397"/>
        <v/>
      </c>
      <c r="VD35" s="291" t="str">
        <f t="shared" si="398"/>
        <v/>
      </c>
      <c r="VE35" s="291"/>
      <c r="VF35" s="463"/>
      <c r="VG35" s="463" t="str">
        <f t="shared" si="399"/>
        <v/>
      </c>
      <c r="VH35" s="522" t="str">
        <f>IF(A35=FALSE,"",IF(Cotations!$AQ$4="monthly",VG35/12*L35,VG35/365*M35))</f>
        <v/>
      </c>
      <c r="VI35" s="489" t="str">
        <f>IF(A35=FALSE,"",Cotations!$AR$4)</f>
        <v/>
      </c>
      <c r="VJ35" s="300" t="str">
        <f t="shared" si="400"/>
        <v/>
      </c>
      <c r="VK35" s="300" t="str">
        <f t="shared" si="401"/>
        <v/>
      </c>
      <c r="VL35" s="294" t="str">
        <f t="shared" si="402"/>
        <v/>
      </c>
      <c r="VM35" s="494" t="str">
        <f>IF(A35=FALSE,"",Cotations!$AS$4)</f>
        <v/>
      </c>
      <c r="VN35" s="494" t="str">
        <f>IF(A35=FALSE,"",Cotations!$AT$4)</f>
        <v/>
      </c>
      <c r="VO35" s="489" t="str">
        <f>IF(A35=FALSE,"",Cotations!$AU$4)</f>
        <v/>
      </c>
      <c r="VP35" s="494" t="str">
        <f>IF(A35=FALSE,"",IF(VM35="N/A",0,IF(INDEX(LISTES!$F$105:$F$109,MATCH(VM35,LISTES!$C$105:$C$109,0))="FIX",IF(INDEX(LISTES!$E$105:$E$109,MATCH(VM35,LISTES!$C$105:$C$109,0))=12,VN35/12*L35,VN35/365*M35),VO35*VL35)))</f>
        <v/>
      </c>
      <c r="VQ35" s="294" t="str">
        <f t="shared" si="403"/>
        <v/>
      </c>
      <c r="VR35" s="494" t="str">
        <f>IF(A35=FALSE,"",VQ35*Cotations!$AV$4)</f>
        <v/>
      </c>
      <c r="VS35" s="494" t="str">
        <f>IF(A35=FALSE,"",VQ35*Cotations!$AW$4)</f>
        <v/>
      </c>
      <c r="VT35" s="465" t="str">
        <f t="shared" si="404"/>
        <v/>
      </c>
      <c r="VU35" s="919" t="str">
        <f>IF(A35=FALSE,"",((VG35*TAXE)-(VG35*TAXE*VI35))+IF(VM35="N/A",0,IF(INDEX(LISTES!$F$105:$F$109,MATCH(VM35,LISTES!$C$105:$C$109,0))="FIX",VN35,VO35*VL35)))</f>
        <v/>
      </c>
      <c r="WA35" s="492" t="str">
        <f>IF(A35=FALSE,"",Cotations!D35)</f>
        <v/>
      </c>
      <c r="WB35" s="519" t="str">
        <f>IF(A35=FALSE,"",IF(LISTES!$A$17=1,Cotations!EW35,Cotations!EX35))</f>
        <v/>
      </c>
      <c r="WC35" s="291" t="str">
        <f t="shared" si="405"/>
        <v/>
      </c>
      <c r="WD35" s="291" t="str">
        <f t="shared" si="406"/>
        <v/>
      </c>
      <c r="WE35" s="291"/>
      <c r="WF35" s="463"/>
      <c r="WG35" s="463" t="str">
        <f t="shared" si="407"/>
        <v/>
      </c>
      <c r="WH35" s="522" t="str">
        <f>IF(A35=FALSE,"",IF(Cotations!$AQ$4="monthly",WG35/12*L35,WG35/365*M35))</f>
        <v/>
      </c>
      <c r="WI35" s="489" t="str">
        <f>IF(A35=FALSE,"",Cotations!$AR$4)</f>
        <v/>
      </c>
      <c r="WJ35" s="300" t="str">
        <f t="shared" si="408"/>
        <v/>
      </c>
      <c r="WK35" s="300" t="str">
        <f t="shared" si="409"/>
        <v/>
      </c>
      <c r="WL35" s="294" t="str">
        <f t="shared" si="410"/>
        <v/>
      </c>
      <c r="WM35" s="494" t="str">
        <f>IF(A35=FALSE,"",Cotations!$AS$4)</f>
        <v/>
      </c>
      <c r="WN35" s="494" t="str">
        <f>IF(A35=FALSE,"",Cotations!$AT$4)</f>
        <v/>
      </c>
      <c r="WO35" s="489" t="str">
        <f>IF(A35=FALSE,"",Cotations!$AU$4)</f>
        <v/>
      </c>
      <c r="WP35" s="494" t="str">
        <f>IF(A35=FALSE,"",IF(WM35="N/A",0,IF(INDEX(LISTES!$F$105:$F$109,MATCH(WM35,LISTES!$C$105:$C$109,0))="FIX",IF(INDEX(LISTES!$E$105:$E$109,MATCH(WM35,LISTES!$C$105:$C$109,0))=12,WN35/12*L35,WN35/365*M35),WO35*WL35)))</f>
        <v/>
      </c>
      <c r="WQ35" s="294" t="str">
        <f t="shared" si="411"/>
        <v/>
      </c>
      <c r="WR35" s="494" t="str">
        <f>IF(A35=FALSE,"",WQ35*Cotations!$AV$4)</f>
        <v/>
      </c>
      <c r="WS35" s="494" t="str">
        <f>IF(A35=FALSE,"",WQ35*Cotations!$AW$4)</f>
        <v/>
      </c>
      <c r="WT35" s="465" t="str">
        <f t="shared" si="412"/>
        <v/>
      </c>
      <c r="WU35" s="919" t="str">
        <f>IF(A35=FALSE,"",((WG35*TAXE)-(WG35*TAXE*WI35))+IF(WM35="N/A",0,IF(INDEX(LISTES!$F$105:$F$109,MATCH(WM35,LISTES!$C$105:$C$109,0))="FIX",WN35,WO35*WL35)))</f>
        <v/>
      </c>
    </row>
    <row r="36" spans="1:619">
      <c r="A36" s="942" t="b">
        <f t="shared" si="221"/>
        <v>0</v>
      </c>
      <c r="B36" s="942" t="b">
        <f>IF(NAMES!$B$9=TRUE,TRUE,FALSE)</f>
        <v>1</v>
      </c>
      <c r="C36" s="942" t="b">
        <f t="shared" si="413"/>
        <v>0</v>
      </c>
      <c r="D36" s="942" t="b">
        <f t="shared" si="414"/>
        <v>0</v>
      </c>
      <c r="E36" s="274" t="b">
        <f>IF(Cotations!C36="","",Cotations!C36)</f>
        <v>0</v>
      </c>
      <c r="F36" s="274" t="str">
        <f>IF(Cotations!D36="","",Cotations!D36)</f>
        <v>PROP</v>
      </c>
      <c r="G36" s="274" t="str">
        <f>IF(Cotations!E36="","",Cotations!E36)</f>
        <v>2016-2017!</v>
      </c>
      <c r="H36" s="274" t="str">
        <f>IF(Cotations!F36="","",Cotations!F36)</f>
        <v>SINGLE</v>
      </c>
      <c r="I36" s="274" t="str">
        <f>IF(Cotations!G36="","",Cotations!G36)</f>
        <v/>
      </c>
      <c r="J36" s="274" t="str">
        <f>IF(Cotations!H36="","",Cotations!H36)</f>
        <v/>
      </c>
      <c r="K36" s="274" t="str">
        <f>IF(Cotations!I36="","",Cotations!I36)</f>
        <v/>
      </c>
      <c r="L36" s="274" t="str">
        <f>IF(A36=FALSE,"",IF(Cotations!N36="","",Cotations!N36))</f>
        <v/>
      </c>
      <c r="M36" s="274" t="str">
        <f>IF(Cotations!P36="","",Cotations!P36)</f>
        <v/>
      </c>
      <c r="N36" s="724" t="str">
        <f>IF(NAMES!$B$10=TRUE,Cotations!J36,Cotations!L36)</f>
        <v/>
      </c>
      <c r="O36" s="724" t="str">
        <f>IF(NAMES!$B$10=TRUE,Cotations!K36,Cotations!M36)</f>
        <v/>
      </c>
      <c r="P36" s="943" t="str">
        <f t="shared" si="415"/>
        <v/>
      </c>
      <c r="Q36" s="724" t="str">
        <f>IF(A36=FALSE,"",IF(Crewlist!Y36="","",Crewlist!Y36))</f>
        <v/>
      </c>
      <c r="R36" s="78" t="str">
        <f>IF(Cotations!U36="","",Cotations!U36)</f>
        <v/>
      </c>
      <c r="S36" s="943" t="str">
        <f t="shared" si="416"/>
        <v/>
      </c>
      <c r="T36" s="919" t="str">
        <f>IF(A36=FALSE,"",VLOOKUP($U$15:$U$120,Currency!$A$2:$D$10,4,0)*Crewlist!N36)</f>
        <v/>
      </c>
      <c r="U36" s="1355" t="str">
        <f>IF(A36=FALSE,"",IF(IT36=0,Crewlist!M36&amp;"/"&amp;EX36,Crewlist!M36&amp;"/"&amp;IT36))</f>
        <v/>
      </c>
      <c r="V36" s="919" t="str">
        <f>IF(A36=FALSE,"",VLOOKUP($U$15:$U$120,Currency!$A$2:$D$10,4,0)*Detail!Q36)</f>
        <v/>
      </c>
      <c r="W36" s="1355" t="str">
        <f>IF(A36=FALSE,"",IF(IT36=0,Detail!R36&amp;"/"&amp;EX36,Detail!R36&amp;"/"&amp;IT36))</f>
        <v/>
      </c>
      <c r="X36" s="919" t="str">
        <f>IF(A36=FALSE,"",IF(LISTES!$C$17="Crewlist",Calcul!T36,Calcul!V36))</f>
        <v/>
      </c>
      <c r="Y36" s="758" t="str">
        <f t="shared" si="417"/>
        <v/>
      </c>
      <c r="Z36" s="758" t="str">
        <f>IF(A36=FALSE,"",IF(X36=0,0,IF((Cotations!BC36*12*X36)&lt;50000,50000,(12*X36))))</f>
        <v/>
      </c>
      <c r="AA36" s="758" t="str">
        <f t="shared" si="418"/>
        <v/>
      </c>
      <c r="AB36" s="758" t="str">
        <f>IF(A36=FALSE,"",IF(Crewlist!O36=0,"",Crewlist!O36))</f>
        <v/>
      </c>
      <c r="AC36" s="758" t="str">
        <f>IF(I36="","",VLOOKUP($AB$15:$AB$120,Currency!$A$15:$B$34,2,0))</f>
        <v/>
      </c>
      <c r="AD36" s="758" t="str">
        <f t="shared" si="419"/>
        <v/>
      </c>
      <c r="AE36" s="758" t="str">
        <f t="shared" si="420"/>
        <v/>
      </c>
      <c r="AF36" s="758" t="str">
        <f t="shared" si="421"/>
        <v/>
      </c>
      <c r="AG36" s="758" t="str">
        <f t="shared" si="422"/>
        <v/>
      </c>
      <c r="AH36" s="1355" t="str">
        <f t="shared" si="222"/>
        <v/>
      </c>
      <c r="AI36" s="919" t="str">
        <f t="shared" si="423"/>
        <v/>
      </c>
      <c r="AJ36" s="1382" t="str">
        <f t="shared" si="424"/>
        <v/>
      </c>
      <c r="AK36" s="1382" t="str">
        <f t="shared" si="425"/>
        <v/>
      </c>
      <c r="AL36" s="238" t="str">
        <f t="shared" si="223"/>
        <v/>
      </c>
      <c r="AM36" s="238" t="str">
        <f t="shared" si="224"/>
        <v/>
      </c>
      <c r="AN36" s="1374" t="str">
        <f t="shared" si="225"/>
        <v/>
      </c>
      <c r="AO36" s="238" t="str">
        <f t="shared" si="226"/>
        <v/>
      </c>
      <c r="AP36" s="342" t="str">
        <f>IF(A36=FALSE,"",INDEX(Rates!$Z$5:$Z$367,MATCH(EB36,colchoice,0)))</f>
        <v/>
      </c>
      <c r="AQ36" s="238" t="str">
        <f t="shared" si="227"/>
        <v/>
      </c>
      <c r="AR36" s="238" t="str">
        <f t="shared" si="426"/>
        <v/>
      </c>
      <c r="AS36" s="238" t="str">
        <f t="shared" si="427"/>
        <v/>
      </c>
      <c r="AT36" s="238" t="str">
        <f t="shared" si="428"/>
        <v/>
      </c>
      <c r="AU36" s="238" t="str">
        <f t="shared" si="228"/>
        <v/>
      </c>
      <c r="AV36" s="238" t="str">
        <f t="shared" si="429"/>
        <v/>
      </c>
      <c r="AW36" s="238" t="str">
        <f t="shared" si="229"/>
        <v/>
      </c>
      <c r="AX36" s="238" t="str">
        <f t="shared" si="230"/>
        <v/>
      </c>
      <c r="AY36" s="238" t="str">
        <f t="shared" si="231"/>
        <v/>
      </c>
      <c r="AZ36" s="238" t="str">
        <f t="shared" si="232"/>
        <v/>
      </c>
      <c r="BA36" s="238" t="str">
        <f t="shared" si="233"/>
        <v/>
      </c>
      <c r="BB36" s="552" t="str">
        <f t="shared" si="234"/>
        <v/>
      </c>
      <c r="BC36" s="347" t="str">
        <f t="shared" si="235"/>
        <v/>
      </c>
      <c r="BD36" s="239" t="str">
        <f t="shared" si="430"/>
        <v/>
      </c>
      <c r="BE36" s="239" t="str">
        <f>IF(A36=FALSE,"",IF(ALLTHESAME=TRUE,IF(DF36&lt;&gt;$BC$7,0,INDEX(DD36:DZ36,1,MATCH(Structure!$D$12,$DD$14:$DZ$14,0))),IF(EC36&lt;&gt;$BC$7,0,INDEX(EA36:EZ36,1,MATCH(Structure!$D$12,$EA$14:$EZ$14,0)))))</f>
        <v/>
      </c>
      <c r="BF36" s="239" t="str">
        <f>IF(A36=FALSE,"",IF(ALLTHESAME=TRUE,IF(FC36&lt;&gt;$BC$7,0,INDEX(FA36:FZ36,1,MATCH(Structure!$D$12,$FA$14:$FZ$14,0))),IF(GC36&lt;&gt;$BC$7,0,INDEX(GA36:GZ36,1,MATCH(Structure!$D$12,$GA$14:$GZ$14,0)))))</f>
        <v/>
      </c>
      <c r="BG36" s="239" t="str">
        <f>IF(A36=FALSE,"",IF(ALLTHESAME=TRUE,IF(VC36&lt;&gt;$BC$7,0,INDEX(VA36:VZ36,1,MATCH(Structure!$D$12,$VA$14:$VZ$14,0))),IF(VC36&lt;&gt;$BC$7,0,INDEX(VA36:VZ36,1,MATCH(Structure!$D$12,$VA$14:$VZ$14,0)))))</f>
        <v/>
      </c>
      <c r="BH36" s="239" t="str">
        <f>IF(A36=FALSE,"",IF(ALLTHESAME=TRUE,IF(WC36&lt;&gt;$BC$7,0,INDEX(WA36:WY36,1,MATCH(Structure!$D$12,$WA$14:$WZ$14,0))),IF(WC36&lt;&gt;$BC$7,0,INDEX(WA36:WZ36,1,MATCH(Structure!$D$12,$WA$14:$WZ$14,0)))))</f>
        <v/>
      </c>
      <c r="BI36" s="763" t="str">
        <f>IF(A36=FALSE,"",IF(ALLTHESAME=TRUE,IF(HC36&lt;&gt;$BC$7,0,INDEX(HA36:HZ36,1,MATCH(Structure!$D$12,$HA$14:$HZ$14,0)))+TK36,IF(IC36&lt;&gt;$BC$7,0,INDEX(IA36:IZ36,1,MATCH(Structure!$D$12,$IA$14:$IZ$14,0)))+TK36))</f>
        <v/>
      </c>
      <c r="BJ36" s="239" t="str">
        <f>IF(A36=FALSE,"",IF(ALLTHESAME=TRUE,IF(JC36&lt;&gt;$BC$7,0,INDEX(JA36:JZ36,1,MATCH(Structure!$D$12,$JA$14:$JZ$14,0))),IF(KC36&lt;&gt;$BC$7,0,INDEX(KA36:KZ36,1,MATCH(Structure!$D$12,$KA$14:$KZ$14,0)))))</f>
        <v/>
      </c>
      <c r="BK36" s="763" t="str">
        <f>IF(A36=FALSE,"",IF(ALLTHESAME=TRUE,IF(LC36&lt;&gt;$BC$7,0,INDEX(LA36:LZ36,1,MATCH(Structure!$D$12,$LA$14:$LZ$14,0)))+UK36,IF(MC36&lt;&gt;$BC$7,0,INDEX(MA36:MZ36,1,MATCH(Structure!$D$12,$MA$14:$MZ$14,0)))+UK36))</f>
        <v/>
      </c>
      <c r="BL36" s="239" t="str">
        <f>IF(A36=FALSE,"",IF(ALLTHESAME=TRUE,IF(NC36&lt;&gt;$BC$7,0,INDEX(NA36:NZ36,1,MATCH(Structure!$D$12,$NA$14:$NZ$14,0))),IF(OC36&lt;&gt;$BC$7,0,INDEX(OA36:OZ36,1,MATCH(Structure!$D$12,$OA$14:$OZ$14,0)))))</f>
        <v/>
      </c>
      <c r="BM36" s="239" t="str">
        <f>IF(A36=FALSE,"",IF(ALLTHESAME=TRUE,IF(PC36&lt;&gt;$BC$7,0,INDEX(PA36:PZ36,1,MATCH(Structure!$D$12,$PA$14:$PZ$14,0))),IF(QC36&lt;&gt;$BC$7,0,INDEX(QA36:QZ36,1,MATCH(Structure!$D$12,$QA$14:$QZ$14,0)))))</f>
        <v/>
      </c>
      <c r="BN36" s="341" t="str">
        <f>IF(A36=FALSE,"",IF(ALLTHESAME=TRUE,IF(RC36&lt;&gt;$BC$7,0,INDEX(RA36:RZ36,1,MATCH(Structure!$D$12,$RA$14:$RZ$14,0))),IF(SC36&lt;&gt;$BC$7,0,INDEX(SA36:TA36,1,MATCH(Structure!$D$12,$SA$14:$TA$14,0)))))</f>
        <v/>
      </c>
      <c r="BO36" s="507" t="str">
        <f t="shared" si="236"/>
        <v/>
      </c>
      <c r="BP36" s="239" t="str">
        <f t="shared" si="237"/>
        <v/>
      </c>
      <c r="BQ36" s="239" t="str">
        <f>IF(A36=FALSE,"",IF(ALLTHESAME=TRUE,IF(DF36&lt;&gt;$BO$7,0,INDEX(DD36:DZ36,1,MATCH(Structure!$D$12,$DD$14:$DZ$14,0))),IF(EC36&lt;&gt;$BO$7,0,INDEX(EA36:EZ36,1,MATCH(Structure!$D$12,$EA$14:$EZ$14,0)))))</f>
        <v/>
      </c>
      <c r="BR36" s="239" t="str">
        <f>IF(A36=FALSE,"",IF(ALLTHESAME=TRUE,IF(FC36&lt;&gt;$BO$7,0,INDEX(FA36:FZ36,1,MATCH(Structure!$D$12,$FA$14:$FZ$14,0))),IF(GC36&lt;&gt;$BO$7,0,INDEX(GA36:GZ36,1,MATCH(Structure!$D$12,$GA$14:$GZ$14,0)))))</f>
        <v/>
      </c>
      <c r="BS36" s="239" t="str">
        <f>IF(A36=FALSE,"",IF(ALLTHESAME=TRUE,IF(HC36&lt;&gt;$BO$7,0,INDEX(HA36:HZ36,1,MATCH(Structure!$D$12,$HA$14:$HZ$14,0))),IF(IC36&lt;&gt;$BO$7,0,INDEX(IA36:IZ36,1,MATCH(Structure!$D$12,$IA$14:$IZ$14,0)))))</f>
        <v/>
      </c>
      <c r="BT36" s="239" t="str">
        <f>IF(A36=FALSE,"",IF(ALLTHESAME=TRUE,IF(JC36&lt;&gt;$BO$7,0,INDEX(JA36:JZ36,1,MATCH(Structure!$D$12,$JA$14:$JZ$14,0))),IF(KC36&lt;&gt;$BO$7,0,INDEX(KA36:KZ36,1,MATCH(Structure!$D$12,$KA$14:$KZ$14,0)))))</f>
        <v/>
      </c>
      <c r="BU36" s="239" t="str">
        <f>IF(A36=FALSE,"",IF(ALLTHESAME=TRUE,IF(LC36&lt;&gt;$BO$7,0,INDEX(LA36:LZ36,1,MATCH(Structure!$D$12,$LA$14:$LZ$14,0))),IF(MC36&lt;&gt;$BO$7,0,INDEX(MA36:MZ36,1,MATCH(Structure!$D$12,$MA$14:$MZ$14,0)))))</f>
        <v/>
      </c>
      <c r="BV36" s="239" t="str">
        <f>IF(A36=FALSE,"",IF(ALLTHESAME=TRUE,IF(NC36&lt;&gt;$BO$7,0,INDEX(NA36:NZ36,1,MATCH(Structure!$D$12,$NA$14:$NZ$14,0))),IF(OC36&lt;&gt;$BO$7,0,INDEX(OA36:OZ36,1,MATCH(Structure!$D$12,$OA$14:$OZ$14,0)))))</f>
        <v/>
      </c>
      <c r="BW36" s="239" t="str">
        <f>IF(A36=FALSE,"",IF(ALLTHESAME=TRUE,IF(PC36&lt;&gt;$BO$7,0,INDEX(PA36:PZ36,1,MATCH(Structure!$D$12,$PA$14:$PZ$14,0))),IF(QC36&lt;&gt;$BO$7,0,INDEX(QA36:QZ36,1,MATCH(Structure!$D$12,$QA$14:$QZ$14,0)))))</f>
        <v/>
      </c>
      <c r="BX36" s="341" t="str">
        <f>IF(A36=FALSE,"",IF(ALLTHESAME=TRUE,IF(RC36&lt;&gt;$BO$7,0,INDEX(RA36:RZ36,1,MATCH(Structure!$D$12,$RA$14:$RZ$14,0))),IF(SC36&lt;&gt;$BO$7,0,INDEX(SA36:TA36,1,MATCH(Structure!$D$12,$SA$14:$TA$14,0)))))</f>
        <v/>
      </c>
      <c r="BY36" s="347" t="str">
        <f t="shared" si="238"/>
        <v/>
      </c>
      <c r="BZ36" s="507" t="str">
        <f t="shared" si="239"/>
        <v/>
      </c>
      <c r="CA36" s="239" t="str">
        <f t="shared" si="240"/>
        <v/>
      </c>
      <c r="CB36" s="239" t="str">
        <f>IF(A36=FALSE,"",IF(ALLTHESAME=TRUE,INDEX(DD36:DZ36,MATCH(DF36,DF36:DF141,0),MATCH(Structure!$D$17,$DD$14:$DZ$14,0)),INDEX(EA36:EZ36,MATCH(EC36,EC36:EC141,0),MATCH(Structure!$D$17,$EA$14:$EZ$14,0))))</f>
        <v/>
      </c>
      <c r="CC36" s="239" t="str">
        <f>IF(A36=FALSE,"",IF(ALLTHESAME=TRUE,INDEX(FA36:FZ36,MATCH(FC36,FC36:FC141,0),MATCH(Structure!$D$17,$FA$14:$FZ$14,0)),INDEX(GA36:GZ36,MATCH(GC36,GC36:GC141,0),MATCH(Structure!$D$17,$GA$14:$GZ$14,0))))</f>
        <v/>
      </c>
      <c r="CD36" s="239" t="str">
        <f>IF(A36=FALSE,"",IF(ALLTHESAME=TRUE,INDEX(HA36:HZ36,MATCH(HC36,HC36:HC141,0),MATCH(Structure!$D$17,$HA$14:$HZ$14,0)),INDEX(IA36:IZ36,MATCH(IC36,IC36:IC141,0),MATCH(Structure!$D$17,$IA$14:$IZ$14,0))))</f>
        <v/>
      </c>
      <c r="CE36" s="239" t="str">
        <f>IF(A36=FALSE,"",IF(ALLTHESAME=TRUE,INDEX(JA36:JZ36,MATCH(JC36,JC36:JC141,0),MATCH(Structure!$D$17,$JA$14:$JZ$14,0)),INDEX(KA36:KZ36,MATCH(KC36,KC36:KC141,0),MATCH(Structure!$D$17,$KA$14:$KZ$14,0))))</f>
        <v/>
      </c>
      <c r="CF36" s="239" t="str">
        <f>IF(A36=FALSE,"",IF(ALLTHESAME=TRUE,INDEX(LA36:LZ36,MATCH(LC36,LC36:LC141,0),MATCH(Structure!$D$17,$LA$14:$LZ$14,0)),INDEX(MA36:MZ36,MATCH(MC36,MC36:MC141,0),MATCH(Structure!$D$17,$MA$14:$MZ$14,0))))</f>
        <v/>
      </c>
      <c r="CG36" s="239" t="str">
        <f>IF(A36=FALSE,"",IF(ALLTHESAME=TRUE,INDEX(NA36:NZ36,MATCH(NC36,NC36:NC141,0),MATCH(Structure!$D$17,$NA$14:$NZ$14,0)),INDEX(OA36:OZ36,MATCH(OC36,OC36:OC141,0),MATCH(Structure!$D$17,$OA$14:$OZ$14,0))))</f>
        <v/>
      </c>
      <c r="CH36" s="239" t="str">
        <f>IF(A36=FALSE,"",IF(ALLTHESAME=TRUE,INDEX(PA36:PZ36,MATCH(PC36,PC36:PC141,0),MATCH(Structure!$D$17,$PA$14:$PZ$14,0)),INDEX(QA36:QZ36,MATCH(QC36,QC36:QC141,0),MATCH(Structure!$D$17,$QA$14:$QZ$14,0))))</f>
        <v/>
      </c>
      <c r="CI36" s="341" t="str">
        <f>IF(A36=FALSE,"",IF(ALLTHESAME=TRUE,INDEX(RA36:RZ36,MATCH(RC36,RC36:RC141,0),MATCH(Structure!$D$17,$RA$14:$RZ$14,0)),INDEX(SA36:TC36,MATCH(SC36,SC36:SC141,0),MATCH(Structure!$D$17,$SA$14:$TC$14,0))))</f>
        <v/>
      </c>
      <c r="CJ36" s="347"/>
      <c r="CK36" s="239" t="str">
        <f t="shared" si="241"/>
        <v/>
      </c>
      <c r="CL36" s="239" t="str">
        <f>IF(A36=FALSE,"",IF(ALLTHESAME=TRUE,INDEX(DD36:DZ36,MATCH(DF36,DF36:DF141,0),MATCH(Structure!$D$22,$DD$14:$DZ$14,0)),INDEX(EA36:EZ36,MATCH(EC36,EC36:EC141,0),MATCH(Structure!$D$22,$EA$14:$EZ$14,0))))</f>
        <v/>
      </c>
      <c r="CM36" s="239" t="str">
        <f>IF(A36=FALSE,"",IF(ALLTHESAME=TRUE,INDEX(FA36:FZ36,MATCH(FC36,FC36:FC141,0),MATCH(Structure!$D$22,$FA$14:$FZ$14,0)),INDEX(GA36:GZ36,MATCH(GC36,GC36:GC141,0),MATCH(Structure!$D$22,$GA$14:$GZ$14,0))))</f>
        <v/>
      </c>
      <c r="CN36" s="239" t="str">
        <f>IF(A36=FALSE,"",IF(ALLTHESAME=TRUE,INDEX(HA36:HZ36,MATCH(HC36,HC36:HC141,0),MATCH(Structure!$D$22,$HA$14:$HZ$14,0)),INDEX(IA36:IZ36,MATCH(IC36,IC36:IC141,0),MATCH(Structure!$D$22,$IA$14:$IZ$14,0))))</f>
        <v/>
      </c>
      <c r="CO36" s="239" t="str">
        <f>IF(A36=FALSE,"",IF(ALLTHESAME=TRUE,INDEX(JA36:JZ36,MATCH(JC36,JC36:JC141,0),MATCH(Structure!$D$22,$JA$14:$JZ$14,0)),INDEX(KA36:KZ36,MATCH(KC36,KC36:KC141,0),MATCH(Structure!$D$22,$KA$14:$KZ$14,0))))</f>
        <v/>
      </c>
      <c r="CP36" s="239" t="str">
        <f>IF(A36=FALSE,"",IF(ALLTHESAME=TRUE,INDEX(LA36:LZ36,MATCH(LC36,LC36:LC141,0),MATCH(Structure!$D$22,$LA$14:$LZ$14,0)),INDEX(MA36:MZ36,MATCH(MC36,MC36:MC141,0),MATCH(Structure!$D$22,$MA$14:$MZ$14,0))))</f>
        <v/>
      </c>
      <c r="CQ36" s="239" t="str">
        <f>IF(A36=FALSE,"",IF(ALLTHESAME=TRUE,INDEX(NA36:NZ36,MATCH(NC36,NC36:NC141,0),MATCH(Structure!$D$22,$NA$14:$NZ$14,0)),INDEX(OA36:OZ36,MATCH(OC36,OC36:OC141,0),MATCH(Structure!$D$22,$OA$14:$OZ$14,0))))</f>
        <v/>
      </c>
      <c r="CR36" s="239" t="str">
        <f>IF(A36=FALSE,"",IF(ALLTHESAME=TRUE,INDEX(PA36:PZ36,MATCH(PC36,PC36:PC141,0),MATCH(Structure!$D$22,$PA$14:$PZ$14,0)),INDEX(QA36:QZ36,MATCH(QC36,QC36:QC141,0),MATCH(Structure!$D$22,$QA$14:$QZ$14,0))))</f>
        <v/>
      </c>
      <c r="CS36" s="341" t="str">
        <f>IF(A36=FALSE,"",IF(ALLTHESAME=TRUE,INDEX(RA36:RZ36,MATCH(RC36,RC36:RC141,0),MATCH(Structure!$D$22,$RA$14:$RZ$14,0)),INDEX(SA36:TC36,MATCH(SC36,SC36:SC141,0),MATCH(Structure!$D$22,$SA$14:$TC$14,0))))</f>
        <v/>
      </c>
      <c r="CT36" s="347"/>
      <c r="CU36" s="239" t="str">
        <f t="shared" si="242"/>
        <v/>
      </c>
      <c r="CV36" s="239" t="str">
        <f>IF(A36=FALSE,"",IF(ALLTHESAME=TRUE,INDEX(DD36:DZ36,MATCH(DF36,DF36:DF141,0),MATCH(Structure!$D$8,$DD$14:$DZ$14,0)),INDEX(EA36:EZ36,MATCH(EC36,EC36:EC141,0),MATCH(Structure!$D$8,$EA$14:$EZ$14,0))))</f>
        <v/>
      </c>
      <c r="CW36" s="239" t="str">
        <f>IF(A36=FALSE,"",IF(ALLTHESAME=TRUE,INDEX(FA36:FZ36,MATCH(FC36,FC36:FC141,0),MATCH(Structure!$D$8,$FA$14:$FZ$14,0)),INDEX(GA36:GZ36,MATCH(GC36,GC36:GC141,0),MATCH(Structure!$D$8,$GA$14:$GZ$14,0))))</f>
        <v/>
      </c>
      <c r="CX36" s="239" t="str">
        <f>IF(A36=FALSE,"",IF(ALLTHESAME=TRUE,INDEX(HA36:HZ36,MATCH(HC36,HC36:HC141,0),MATCH(Structure!$D$8,$HA$14:$HZ$14,0)),INDEX(IA36:IZ36,MATCH(IC36,IC36:IC141,0),MATCH(Structure!$D$8,$IA$14:$IZ$14,0))))</f>
        <v/>
      </c>
      <c r="CY36" s="239" t="str">
        <f>IF(A36=FALSE,"",IF(ALLTHESAME=TRUE,INDEX(JA36:JZ36,MATCH(JC36,JC36:JC141,0),MATCH(Structure!$D$8,$JA$14:$JZ$14,0)),INDEX(KA36:KZ36,MATCH(KC36,KC36:KC141,0),MATCH(Structure!$D$8,$KA$14:$KZ$14,0))))</f>
        <v/>
      </c>
      <c r="CZ36" s="239" t="str">
        <f>IF(A36=FALSE,"",IF(ALLTHESAME=TRUE,INDEX(LA36:LZ36,MATCH(LC36,LC36:LC141,0),MATCH(Structure!$D$8,$LA$14:$LZ$14,0)),INDEX(MA36:MZ36,MATCH(MC36,MC36:MC141,0),MATCH(Structure!$D$8,$MA$14:$MZ$14,0))))</f>
        <v/>
      </c>
      <c r="DA36" s="239" t="str">
        <f>IF(A36=FALSE,"",IF(ALLTHESAME=TRUE,INDEX(NA36:NZ36,MATCH(NC36,NC36:NC141,0),MATCH(Structure!$D$8,$NA$14:$NZ$14,0)),INDEX(OA36:OZ36,MATCH(OC36,OC36:OC141,0),MATCH(Structure!$D$8,$OA$14:$OZ$14,0))))</f>
        <v/>
      </c>
      <c r="DB36" s="239" t="str">
        <f>IF(A36=FALSE,"",IF(ALLTHESAME=TRUE,INDEX(PA36:PZ36,MATCH(PC36,PC36:PC141,0),MATCH(Structure!$D$8,$PA$14:$PZ$14,0)),INDEX(QA36:QZ36,MATCH(QC36,QC36:QC141,0),MATCH(Structure!$D$8,$QA$14:$QZ$14,0))))</f>
        <v/>
      </c>
      <c r="DC36" s="341" t="str">
        <f>IF(A36=FALSE,"",IF(ALLTHESAME=TRUE,INDEX(RA36:RZ36,MATCH(RC36,RC36:RC141,0),MATCH(Structure!$D$8,$RA$14:$RZ$14,0)),INDEX(SA36:TC36,MATCH(SC36,SC36:SC141,0),MATCH(Structure!$D$8,$SA$14:$TC$14,0))))</f>
        <v/>
      </c>
      <c r="DD36" s="492" t="str">
        <f>IF(A36=FALSE,"",Cotations!D36)</f>
        <v/>
      </c>
      <c r="DE36" s="492" t="str">
        <f>IF(A36=FALSE,"",IF(LISTES!$A$17=1,Cotations!AF36,Cotations!$AG$4))</f>
        <v/>
      </c>
      <c r="DF36" s="291" t="str">
        <f t="shared" si="431"/>
        <v/>
      </c>
      <c r="DG36" s="291" t="str">
        <f t="shared" si="243"/>
        <v/>
      </c>
      <c r="DH36" s="291"/>
      <c r="DI36" s="463"/>
      <c r="DJ36" s="463" t="str">
        <f t="shared" si="244"/>
        <v/>
      </c>
      <c r="DK36" s="522" t="str">
        <f>IF(A36=FALSE,"",IF(Cotations!$AH$4="monthly",DJ36/12*L36,DJ36/365*M36))</f>
        <v/>
      </c>
      <c r="DL36" s="489" t="str">
        <f>IF(A36=FALSE,"",Cotations!$AI$4)</f>
        <v/>
      </c>
      <c r="DM36" s="300" t="str">
        <f t="shared" si="245"/>
        <v/>
      </c>
      <c r="DN36" s="300" t="str">
        <f t="shared" si="246"/>
        <v/>
      </c>
      <c r="DO36" s="294" t="str">
        <f t="shared" si="247"/>
        <v/>
      </c>
      <c r="DP36" s="494" t="str">
        <f>IF(A36=FALSE,"",Cotations!$AJ$4)</f>
        <v/>
      </c>
      <c r="DQ36" s="494" t="str">
        <f>IF(A36=FALSE,"",Cotations!$AK$4)</f>
        <v/>
      </c>
      <c r="DR36" s="489" t="str">
        <f>IF(A36=FALSE,"",Cotations!$AL$4)</f>
        <v/>
      </c>
      <c r="DS36" s="494" t="str">
        <f>IF(A36=FALSE,"",IF(DP36="N/A",0,IF(INDEX(LISTES!$F$105:$F$109,MATCH(DP36,LISTES!$C$105:$C$109,0))="FIX",IF(INDEX(LISTES!$E$105:$E$109,MATCH(DP36,LISTES!$C$105:$C$109,0))=12,DQ36/12*L36,DQ36/365*M36),DR36*DO36)))</f>
        <v/>
      </c>
      <c r="DT36" s="294" t="str">
        <f t="shared" si="248"/>
        <v/>
      </c>
      <c r="DU36" s="294" t="str">
        <f>IF(A36=FALSE,"",DT36*Cotations!$AM$4)</f>
        <v/>
      </c>
      <c r="DV36" s="294" t="str">
        <f>IF(A36=FALSE,"",DT36*Cotations!$AN$4)</f>
        <v/>
      </c>
      <c r="DW36" s="465" t="str">
        <f t="shared" si="249"/>
        <v/>
      </c>
      <c r="DX36" s="919" t="str">
        <f>IF(A36=FALSE,"",((DJ36*TAXE)-(DJ36*TAXE*DL36))+IF(DP36="N/A",0,IF(INDEX(LISTES!$F$105:$F$109,MATCH(DP36,LISTES!$C$105:$C$109,0))="FIX",DQ36,DR36*DO36)))</f>
        <v/>
      </c>
      <c r="DY36" s="466"/>
      <c r="DZ36" s="466"/>
      <c r="EA36" s="492" t="str">
        <f>IF(A36=FALSE,"",Cotations!D36)</f>
        <v/>
      </c>
      <c r="EB36" s="494" t="str">
        <f>IF(A36=FALSE,"",IF(LISTES!$A$17=1,Cotations!AF36,Cotations!AG36))</f>
        <v/>
      </c>
      <c r="EC36" s="284" t="str">
        <f t="shared" si="250"/>
        <v/>
      </c>
      <c r="ED36" s="284" t="str">
        <f t="shared" si="251"/>
        <v/>
      </c>
      <c r="EE36" s="284"/>
      <c r="EF36" s="284"/>
      <c r="EG36" s="284" t="str">
        <f t="shared" si="252"/>
        <v/>
      </c>
      <c r="EH36" s="1365" t="str">
        <f t="shared" si="253"/>
        <v/>
      </c>
      <c r="EI36" s="1365" t="str">
        <f t="shared" si="254"/>
        <v/>
      </c>
      <c r="EJ36" s="515" t="str">
        <f>IF(A36=FALSE,"",IF(Cotations!AH36="monthly",EG36/12*L36,EG36/365*M36))</f>
        <v/>
      </c>
      <c r="EK36" s="1364" t="str">
        <f>IF(A36=FALSE,"",IF(Cotations!AH36="monthly",EI36/12*L36,EI36/365*M36))</f>
        <v/>
      </c>
      <c r="EL36" s="493" t="str">
        <f>IF(A36=FALSE,"",IF(Cotations!AI36="","",Cotations!AI36))</f>
        <v/>
      </c>
      <c r="EM36" s="284" t="str">
        <f t="shared" si="255"/>
        <v/>
      </c>
      <c r="EN36" s="284" t="str">
        <f t="shared" si="256"/>
        <v/>
      </c>
      <c r="EO36" s="1365" t="str">
        <f t="shared" si="432"/>
        <v/>
      </c>
      <c r="EP36" s="284" t="str">
        <f t="shared" si="257"/>
        <v/>
      </c>
      <c r="EQ36" s="515" t="str">
        <f>IF(A36=FALSE,"",Cotations!AJ36)</f>
        <v/>
      </c>
      <c r="ER36" s="515" t="str">
        <f>IF(A36=FALSE,"",IF(Cotations!AK36="","",Cotations!AK36))</f>
        <v/>
      </c>
      <c r="ES36" s="493" t="str">
        <f>IF(A36=FALSE,"",Cotations!AL36)</f>
        <v/>
      </c>
      <c r="ET36" s="515" t="str">
        <f>IF(A36=FALSE,"",IF(EQ36="N/A",0,IF(INDEX(LISTES!$F$105:$F$109,MATCH(EQ36,LISTES!$C$105:$C$109,0))="FIX",IF(INDEX(LISTES!$E$105:$E$109,MATCH(EQ36,LISTES!$C$105:$C$109,0))=12,ER36/12*L36,ER36/365*M36),ES36*EP36)))</f>
        <v/>
      </c>
      <c r="EU36" s="294" t="str">
        <f t="shared" si="258"/>
        <v/>
      </c>
      <c r="EV36" s="494" t="str">
        <f>IF(A36=FALSE,"",EU36*Cotations!AM36)</f>
        <v/>
      </c>
      <c r="EW36" s="494" t="str">
        <f>IF(A36=FALSE,"",EU36*Cotations!AN36)</f>
        <v/>
      </c>
      <c r="EX36" s="334" t="str">
        <f t="shared" si="259"/>
        <v/>
      </c>
      <c r="EY36" s="919" t="str">
        <f>IF(A36=FALSE,"",((EG36*TAXE)-(EG36*TAXE*EL36)+EH36)+IF(EQ36="N/A",0,IF(INDEX(LISTES!$F$105:$F$109,MATCH(EQ36,LISTES!$C$105:$C$109,0))="FIX",ER36,ES36*EP36)))</f>
        <v/>
      </c>
      <c r="FA36" s="492" t="str">
        <f>IF(A36=FALSE,"",Cotations!D36)</f>
        <v/>
      </c>
      <c r="FB36" s="519" t="str">
        <f>IF(A36=FALSE,"",IF(LISTES!$A$17=1,Cotations!AO36,Cotations!$AP$4))</f>
        <v/>
      </c>
      <c r="FC36" s="291" t="str">
        <f t="shared" si="260"/>
        <v/>
      </c>
      <c r="FD36" s="291" t="str">
        <f t="shared" si="261"/>
        <v/>
      </c>
      <c r="FE36" s="291"/>
      <c r="FF36" s="463"/>
      <c r="FG36" s="463" t="str">
        <f t="shared" si="262"/>
        <v/>
      </c>
      <c r="FH36" s="522" t="str">
        <f>IF(A36=FALSE,"",IF(Cotations!$AQ$4="monthly",FG36/12*L36,FG36/365*M36))</f>
        <v/>
      </c>
      <c r="FI36" s="453" t="str">
        <f>IF(A36=FALSE,"",Cotations!$AR$4)</f>
        <v/>
      </c>
      <c r="FJ36" s="300" t="str">
        <f t="shared" si="263"/>
        <v/>
      </c>
      <c r="FK36" s="300" t="str">
        <f t="shared" si="264"/>
        <v/>
      </c>
      <c r="FL36" s="294" t="str">
        <f t="shared" si="265"/>
        <v/>
      </c>
      <c r="FM36" s="494" t="str">
        <f>IF(A36=FALSE,"",Cotations!$AS$4)</f>
        <v/>
      </c>
      <c r="FN36" s="494" t="str">
        <f>IF(A36=FALSE,"",Cotations!$AT$4)</f>
        <v/>
      </c>
      <c r="FO36" s="489" t="str">
        <f>IF(A36=FALSE,"",Cotations!$AU$4)</f>
        <v/>
      </c>
      <c r="FP36" s="494" t="str">
        <f>IF(A36=FALSE,"",IF(FM36="N/A",0,IF(INDEX(LISTES!$F$105:$F$109,MATCH(FM36,LISTES!$C$105:$C$109,0))="FIX",IF(INDEX(LISTES!$E$105:$E$109,MATCH(FM36,LISTES!$C$105:$C$109,0))=12,FN36/12*L36,FN36/365*M36),FO36*FL36)))</f>
        <v/>
      </c>
      <c r="FQ36" s="294" t="str">
        <f t="shared" si="266"/>
        <v/>
      </c>
      <c r="FR36" s="494" t="str">
        <f>IF(A36=FALSE,"",FQ36*Cotations!$AV$4)</f>
        <v/>
      </c>
      <c r="FS36" s="494" t="str">
        <f>IF(A36=FALSE,"",FQ36*Cotations!$AW$4)</f>
        <v/>
      </c>
      <c r="FT36" s="465" t="str">
        <f t="shared" si="267"/>
        <v/>
      </c>
      <c r="FU36" s="919" t="str">
        <f>IF(A36=FALSE,"",((FG36*TAXE)-(FG36*TAXE*FI36))+IF(FM36="N/A",0,IF(INDEX(LISTES!$F$105:$F$109,MATCH(FM36,LISTES!$C$105:$C$109,0))="FIX",FN36,FO36*FL36)))</f>
        <v/>
      </c>
      <c r="FV36" s="478"/>
      <c r="FW36" s="478"/>
      <c r="FX36" s="478"/>
      <c r="FY36" s="478"/>
      <c r="FZ36" s="478"/>
      <c r="GA36" s="492" t="str">
        <f>IF(A36=FALSE,"",Cotations!D36)</f>
        <v/>
      </c>
      <c r="GB36" s="494" t="str">
        <f>IF(A36=FALSE,"",IF(LISTES!$A$17=1,Cotations!AO36,Cotations!AP36))</f>
        <v/>
      </c>
      <c r="GC36" s="284" t="str">
        <f t="shared" si="268"/>
        <v/>
      </c>
      <c r="GD36" s="515" t="str">
        <f>IF(A36=FALSE,"",IF(Detail!AM36="","",Detail!AM36))</f>
        <v/>
      </c>
      <c r="GE36" s="284"/>
      <c r="GF36" s="284"/>
      <c r="GG36" s="284" t="str">
        <f t="shared" si="269"/>
        <v/>
      </c>
      <c r="GH36" s="515" t="str">
        <f>IF(A36=FALSE,"",IF(Cotations!AQ36="monthly",GG36/12*L36,GG36/365*M36))</f>
        <v/>
      </c>
      <c r="GI36" s="493" t="str">
        <f>IF(A36=FALSE,"",IF(Cotations!AR36="","",Cotations!AR36))</f>
        <v/>
      </c>
      <c r="GJ36" s="284" t="str">
        <f t="shared" si="270"/>
        <v/>
      </c>
      <c r="GK36" s="284" t="str">
        <f t="shared" si="271"/>
        <v/>
      </c>
      <c r="GL36" s="284" t="str">
        <f t="shared" si="272"/>
        <v/>
      </c>
      <c r="GM36" s="515" t="str">
        <f>IF(A36=FALSE,"",Cotations!AS36)</f>
        <v/>
      </c>
      <c r="GN36" s="515" t="str">
        <f>IF(A36=FALSE,"",Cotations!AT36)</f>
        <v/>
      </c>
      <c r="GO36" s="493" t="str">
        <f>IF(A36=FALSE,"",Cotations!AU36)</f>
        <v/>
      </c>
      <c r="GP36" s="515" t="str">
        <f>IF(A36=FALSE,"",IF(GM36="N/A",0,IF(INDEX(LISTES!$F$105:$F$109,MATCH(GM36,LISTES!$C$105:$C$109,0))="FIX",IF(INDEX(LISTES!$E$105:$E$109,MATCH(GM36,LISTES!$C$105:$C$109,0))=12,GN36/12*L36,GN36/365*M36),GO36*GL36)))</f>
        <v/>
      </c>
      <c r="GQ36" s="294" t="str">
        <f t="shared" si="273"/>
        <v/>
      </c>
      <c r="GR36" s="494" t="str">
        <f>IF(A36=FALSE,"",GQ36*Cotations!AV36)</f>
        <v/>
      </c>
      <c r="GS36" s="494" t="str">
        <f>IF(A36=FALSE,"",GQ36*Cotations!AW36)</f>
        <v/>
      </c>
      <c r="GT36" s="334" t="str">
        <f t="shared" si="274"/>
        <v/>
      </c>
      <c r="GU36" s="919" t="str">
        <f>IF(A36=FALSE,"",((GG36*TAXE)-(GG36*TAXE*GI36))+IF(GM36="N/A",0,IF(INDEX(LISTES!$F$105:$F$109,MATCH(GM36,LISTES!$C$105:$C$109,0))="FIX",GN36,GO36*GL36)))</f>
        <v/>
      </c>
      <c r="GV36" s="478"/>
      <c r="GW36" s="466"/>
      <c r="GX36" s="466"/>
      <c r="GY36" s="466"/>
      <c r="GZ36" s="466"/>
      <c r="HA36" s="492" t="str">
        <f>IF(A36=FALSE,"",Cotations!D36)</f>
        <v/>
      </c>
      <c r="HB36" s="495" t="str">
        <f>IF(A36=FALSE,"",IF(LISTES!$A$17=1,Cotations!AX36,Cotations!$AY$4))</f>
        <v/>
      </c>
      <c r="HC36" s="291" t="str">
        <f t="shared" si="275"/>
        <v/>
      </c>
      <c r="HD36" s="291" t="str">
        <f t="shared" si="276"/>
        <v/>
      </c>
      <c r="HE36" s="456" t="str">
        <f t="shared" si="277"/>
        <v/>
      </c>
      <c r="HF36" s="496" t="str">
        <f>IF(A36=FALSE,"",IF(HA36="POEA",Cotations!BA36,IF(HA36="FIXE",Cotations!$BA$4,Cotations!$BC$4*Y36)))</f>
        <v/>
      </c>
      <c r="HG36" s="300" t="str">
        <f t="shared" si="278"/>
        <v/>
      </c>
      <c r="HH36" s="522" t="str">
        <f>IF(A36=FALSE,"",IF(Cotations!$AZ$4="monthly",HG36/12*L36,HG36/365*M36))</f>
        <v/>
      </c>
      <c r="HI36" s="489" t="str">
        <f>IF(A36=FALSE,"",Cotations!$BD$4)</f>
        <v/>
      </c>
      <c r="HJ36" s="300" t="str">
        <f t="shared" si="279"/>
        <v/>
      </c>
      <c r="HK36" s="300" t="str">
        <f t="shared" si="280"/>
        <v/>
      </c>
      <c r="HL36" s="294" t="str">
        <f t="shared" si="281"/>
        <v/>
      </c>
      <c r="HM36" s="494" t="str">
        <f>IF(A36=FALSE,"",Cotations!$BE$4)</f>
        <v/>
      </c>
      <c r="HN36" s="522" t="str">
        <f>IF(A36=FALSE,"",Cotations!$BF$4)</f>
        <v/>
      </c>
      <c r="HO36" s="489" t="str">
        <f>IF(A36=FALSE,"",Cotations!$BG$4)</f>
        <v/>
      </c>
      <c r="HP36" s="494" t="str">
        <f>IF(A36=FALSE,"",IF(HM36="N/A",0,IF(INDEX(LISTES!$F$105:$F$109,MATCH(HM36,LISTES!$C$105:$C$109,0))="FIX",IF(INDEX(LISTES!$E$105:$E$109,MATCH(HM36,LISTES!$C$105:$C$109,0))=12,HN36/12*L36,HN36/365*M36),HO36*HL36)))</f>
        <v/>
      </c>
      <c r="HQ36" s="294" t="str">
        <f t="shared" si="282"/>
        <v/>
      </c>
      <c r="HR36" s="494" t="str">
        <f>IF(A36=FALSE,"",HQ36*Cotations!$BH$4)</f>
        <v/>
      </c>
      <c r="HS36" s="494" t="str">
        <f>IF(A36=FALSE,"",HQ36*Cotations!$BI$4)</f>
        <v/>
      </c>
      <c r="HT36" s="294" t="str">
        <f t="shared" si="283"/>
        <v/>
      </c>
      <c r="HU36" s="919" t="str">
        <f>IF(A36=FALSE,"",((HG36*TAXE)-(HG36*TAXE*HI36))+IF(HM36="N/A",0,IF(INDEX(LISTES!$F$105:$F$109,MATCH(HM36,LISTES!$C$105:$C$109,0))="FIX",HN36,HO36*HL36)))</f>
        <v/>
      </c>
      <c r="IA36" s="492" t="str">
        <f>IF(A36=FALSE,"",Cotations!D36)</f>
        <v/>
      </c>
      <c r="IB36" s="491" t="str">
        <f>IF(A36=FALSE,"",IF(LISTES!$A$17=1,Cotations!AX36,Cotations!AY36))</f>
        <v/>
      </c>
      <c r="IC36" s="285" t="str">
        <f t="shared" si="284"/>
        <v/>
      </c>
      <c r="ID36" s="300" t="str">
        <f>IF(A36=FALSE,"",IF(LISTES!$A$17=3,Detail!AU36,lig1_Formula_PREVOY))</f>
        <v/>
      </c>
      <c r="IE36" s="461" t="str">
        <f t="shared" si="285"/>
        <v/>
      </c>
      <c r="IF36" s="490" t="str">
        <f>IF(A36=FALSE,"",IF(IA36="POEA",Cotations!BA36,IF(HA36="FIXE",Cotations!BB36,IF(Cotations!BC36*Y36&lt;50000,Z36,Cotations!BC36*Y36))))</f>
        <v/>
      </c>
      <c r="IG36" s="300" t="str">
        <f t="shared" si="286"/>
        <v/>
      </c>
      <c r="IH36" s="522" t="str">
        <f>IF(A36=FALSE,"",IF(Cotations!AZ36="monthly",IG36/12*L36,IG36/365*M36))</f>
        <v/>
      </c>
      <c r="II36" s="489" t="str">
        <f>IF(A36=FALSE,"",IF(Cotations!BD36="","",Cotations!BD36))</f>
        <v/>
      </c>
      <c r="IJ36" s="300" t="str">
        <f t="shared" si="287"/>
        <v/>
      </c>
      <c r="IK36" s="300" t="str">
        <f t="shared" si="288"/>
        <v/>
      </c>
      <c r="IL36" s="919" t="str">
        <f t="shared" si="289"/>
        <v/>
      </c>
      <c r="IM36" s="517" t="str">
        <f>IF(A36=FALSE,"",Cotations!BE36)</f>
        <v/>
      </c>
      <c r="IN36" s="517" t="str">
        <f>IF(A36=FALSE,"",Cotations!BF36)</f>
        <v/>
      </c>
      <c r="IO36" s="493" t="str">
        <f>IF(A36=FALSE,"",Cotations!BG36)</f>
        <v/>
      </c>
      <c r="IP36" s="517" t="str">
        <f>IF(A36=FALSE,"",IF(IM36="N/A",0,IF(INDEX(LISTES!$F$105:$F$109,MATCH(IM36,LISTES!$C$105:$C$109,0))="FIX",IF(INDEX(LISTES!$E$105:$E$109,MATCH(IM36,LISTES!$C$105:$C$109,0))=12,IN36/12*L36,IN36/365*M36),IO36*IL36)))</f>
        <v/>
      </c>
      <c r="IQ36" s="294" t="str">
        <f t="shared" si="290"/>
        <v/>
      </c>
      <c r="IR36" s="494" t="str">
        <f>IF(A36=FALSE,"",IQ36*Cotations!BH36)</f>
        <v/>
      </c>
      <c r="IS36" s="494" t="str">
        <f>IF(A36=FALSE,"",IQ36*Cotations!BI36)</f>
        <v/>
      </c>
      <c r="IT36" s="338" t="str">
        <f t="shared" si="291"/>
        <v/>
      </c>
      <c r="IU36" s="919" t="str">
        <f>IF(A36=FALSE,"",((IG36*TAXE)-(IG36*TAXE*II36))+IF(IM36="N/A",0,IF(INDEX(LISTES!$F$105:$F$109,MATCH(IM36,LISTES!$C$105:$C$109,0))="FIX",IN36,IO36*IL36)))</f>
        <v/>
      </c>
      <c r="JA36" s="492" t="str">
        <f>IF(A36=FALSE,"",Cotations!D36)</f>
        <v/>
      </c>
      <c r="JB36" s="495" t="str">
        <f>IF(A36=FALSE,"",IF(LISTES!$A$17=1,Cotations!BJ36,Cotations!$BK$4))</f>
        <v/>
      </c>
      <c r="JC36" s="291" t="str">
        <f t="shared" si="292"/>
        <v/>
      </c>
      <c r="JD36" s="291" t="str">
        <f t="shared" si="293"/>
        <v/>
      </c>
      <c r="JE36" s="456" t="str">
        <f t="shared" si="294"/>
        <v/>
      </c>
      <c r="JF36" s="496" t="str">
        <f>IF(A36=FALSE,"",IF(JA36="POEA",Cotations!BM36,IF(JA36="FIXE",Cotations!$BM$4,Cotations!$BO$4*Y36)))</f>
        <v/>
      </c>
      <c r="JG36" s="300" t="str">
        <f t="shared" si="295"/>
        <v/>
      </c>
      <c r="JH36" s="522" t="str">
        <f>IF(A36=FALSE,"",IF(Cotations!$BL$4="monthly",JG36/12*L36,JG36/365*M36))</f>
        <v/>
      </c>
      <c r="JI36" s="489" t="str">
        <f>IF(A36=FALSE,"",Cotations!$BP$4)</f>
        <v/>
      </c>
      <c r="JJ36" s="300" t="str">
        <f t="shared" si="296"/>
        <v/>
      </c>
      <c r="JK36" s="300" t="str">
        <f t="shared" si="297"/>
        <v/>
      </c>
      <c r="JL36" s="294" t="str">
        <f t="shared" si="298"/>
        <v/>
      </c>
      <c r="JM36" s="494" t="str">
        <f>IF(A36=FALSE,"",Cotations!$BQ$4)</f>
        <v/>
      </c>
      <c r="JN36" s="522" t="str">
        <f>IF(A36=FALSE,"",Cotations!$BR$4)</f>
        <v/>
      </c>
      <c r="JO36" s="489" t="str">
        <f>IF(A36=FALSE,"",Cotations!$BS$4)</f>
        <v/>
      </c>
      <c r="JP36" s="494" t="str">
        <f>IF(A36=FALSE,"",IF(JM36="N/A",0,IF(INDEX(LISTES!$F$105:$F$109,MATCH(JM36,LISTES!$C$105:$C$109,0))="FIX",IF(INDEX(LISTES!$E$105:$E$109,MATCH(JM36,LISTES!$C$105:$C$109,0))=12,JN36/12*L36,JN36/365*M36),JO36*JL36)))</f>
        <v/>
      </c>
      <c r="JQ36" s="294" t="str">
        <f t="shared" si="299"/>
        <v/>
      </c>
      <c r="JR36" s="494" t="str">
        <f>IF(A36=FALSE,"",JQ36*Cotations!$BT$4)</f>
        <v/>
      </c>
      <c r="JS36" s="494" t="str">
        <f>IF(A36=FALSE,"",JQ36*Cotations!$BU$4)</f>
        <v/>
      </c>
      <c r="JT36" s="294" t="str">
        <f t="shared" si="300"/>
        <v/>
      </c>
      <c r="JU36" s="919" t="str">
        <f>IF(A36=FALSE,"",((JG36*TAXE)-(JG36*TAXE*JI36))+IF(JM36="N/A",0,IF(INDEX(LISTES!$F$105:$F$109,MATCH(JM36,LISTES!$C$105:$C$109,0))="FIX",JN36,JO36*JL36)))</f>
        <v/>
      </c>
      <c r="KA36" s="492" t="str">
        <f>IF(A36=FALSE,"",Cotations!D36)</f>
        <v/>
      </c>
      <c r="KB36" s="491" t="str">
        <f>IF(A36=FALSE,"",IF(LISTES!$A$17=1,Cotations!BJ36,Cotations!BK36))</f>
        <v/>
      </c>
      <c r="KC36" s="285" t="str">
        <f t="shared" si="301"/>
        <v/>
      </c>
      <c r="KD36" s="300"/>
      <c r="KE36" s="461" t="str">
        <f t="shared" si="302"/>
        <v/>
      </c>
      <c r="KF36" s="490" t="str">
        <f>IF(A36=FALSE,"",IF(KA36="POEA",Cotations!BM36,IF(KA36="FIXE",Cotations!BN36,IF(Cotations!BO36*Y36&lt;50000,Z36,Cotations!BO36*Y36))))</f>
        <v/>
      </c>
      <c r="KG36" s="300" t="str">
        <f t="shared" si="303"/>
        <v/>
      </c>
      <c r="KH36" s="522" t="str">
        <f>IF(A36=FALSE,"",IF(Cotations!BL36="monthly",KG36/12*L36,KG36/365*M36))</f>
        <v/>
      </c>
      <c r="KI36" s="489" t="str">
        <f>IF(A36=FALSE,"",IF(Cotations!BP36="","",Cotations!BP36))</f>
        <v/>
      </c>
      <c r="KJ36" s="300" t="str">
        <f t="shared" si="304"/>
        <v/>
      </c>
      <c r="KK36" s="300" t="str">
        <f t="shared" si="305"/>
        <v/>
      </c>
      <c r="KL36" s="919" t="str">
        <f t="shared" si="306"/>
        <v/>
      </c>
      <c r="KM36" s="517" t="str">
        <f>IF(A36=FALSE,"",Cotations!BQ36)</f>
        <v/>
      </c>
      <c r="KN36" s="515" t="str">
        <f>IF(A36=FALSE,"",Cotations!BR36)</f>
        <v/>
      </c>
      <c r="KO36" s="493" t="str">
        <f>IF(A36=FALSE,"",Cotations!BS36)</f>
        <v/>
      </c>
      <c r="KP36" s="517" t="str">
        <f>IF(A36=FALSE,"",IF(KM36="N/A",0,IF(INDEX(LISTES!$F$105:$F$109,MATCH(KM36,LISTES!$C$105:$C$109,0))="FIX",IF(INDEX(LISTES!$E$105:$E$109,MATCH(KM36,LISTES!$C$105:$C$109,0))=12,KN36/12*L36,KN36/365*M36),KO36*KL36)))</f>
        <v/>
      </c>
      <c r="KQ36" s="294" t="str">
        <f t="shared" si="307"/>
        <v/>
      </c>
      <c r="KR36" s="494" t="str">
        <f>IF(A36=FALSE,"",KQ36*Cotations!BT36)</f>
        <v/>
      </c>
      <c r="KS36" s="494" t="str">
        <f>IF(A36=FALSE,"",KQ36*Cotations!BU36)</f>
        <v/>
      </c>
      <c r="KT36" s="338" t="str">
        <f t="shared" si="308"/>
        <v/>
      </c>
      <c r="KU36" s="919" t="str">
        <f>IF(A36=FALSE,"",((KG36*TAXE)-(KG36*TAXE*KI36))+IF(KM36="N/A",0,IF(INDEX(LISTES!$F$105:$F$109,MATCH(KM36,LISTES!$C$105:$C$109,0))="FIX",KN36,KO36*KL36)))</f>
        <v/>
      </c>
      <c r="LA36" s="497" t="str">
        <f>IF(A36=FALSE,"",Cotations!D36)</f>
        <v/>
      </c>
      <c r="LB36" s="498" t="str">
        <f>IF(A36=FALSE,"",IF(LISTES!$A$17=1,Cotations!BV36,Cotations!$BW$4))</f>
        <v/>
      </c>
      <c r="LC36" s="499" t="str">
        <f t="shared" si="309"/>
        <v/>
      </c>
      <c r="LD36" s="499" t="str">
        <f t="shared" si="310"/>
        <v/>
      </c>
      <c r="LE36" s="500" t="str">
        <f t="shared" si="311"/>
        <v/>
      </c>
      <c r="LF36" s="501" t="str">
        <f>IF(A36=FALSE,"",IF(LA36="POEA",Cotations!EJ36,IF(LA36="FIXE",Cotations!$BY$4,Cotations!$CA$4*Y36)))</f>
        <v/>
      </c>
      <c r="LG36" s="502" t="str">
        <f t="shared" si="312"/>
        <v/>
      </c>
      <c r="LH36" s="520" t="str">
        <f>IF(A36=FALSE,"",IF(Cotations!$BX$4="monthly",LG36/12*L36,LG36/365*M36))</f>
        <v/>
      </c>
      <c r="LI36" s="503" t="str">
        <f>IF(A36=FALSE,"",Cotations!$CB$4)</f>
        <v/>
      </c>
      <c r="LJ36" s="502" t="str">
        <f t="shared" si="313"/>
        <v/>
      </c>
      <c r="LK36" s="502" t="str">
        <f t="shared" si="314"/>
        <v/>
      </c>
      <c r="LL36" s="504" t="str">
        <f t="shared" si="315"/>
        <v/>
      </c>
      <c r="LM36" s="505" t="str">
        <f>IF(A36=FALSE,"",Cotations!$CC$4)</f>
        <v/>
      </c>
      <c r="LN36" s="503" t="str">
        <f>IF(A36=FALSE,"",Cotations!$CD$4)</f>
        <v/>
      </c>
      <c r="LO36" s="503" t="str">
        <f>IF(A36=FALSE,"",Cotations!$CE$4)</f>
        <v/>
      </c>
      <c r="LP36" s="505" t="str">
        <f>IF(A36=FALSE,"",IF(LM36="N/A",0,IF(INDEX(LISTES!$F$105:$F$109,MATCH(LM36,LISTES!$C$105:$C$109,0))="FIX",IF(INDEX(LISTES!$E$105:$E$109,MATCH(LM36,LISTES!$C$105:$C$109,0))=12,LN36/12*L36,LN36/365*M36),LO36*LL36)))</f>
        <v/>
      </c>
      <c r="LQ36" s="504" t="str">
        <f t="shared" si="316"/>
        <v/>
      </c>
      <c r="LR36" s="505" t="str">
        <f>IF(A36=FALSE,"",LQ36*Cotations!$CF$4)</f>
        <v/>
      </c>
      <c r="LS36" s="505" t="str">
        <f>IF(A36=FALSE,"",LQ36*Cotations!$CG$4)</f>
        <v/>
      </c>
      <c r="LT36" s="506" t="str">
        <f t="shared" si="317"/>
        <v/>
      </c>
      <c r="LU36" s="919" t="str">
        <f>IF(A36=FALSE,"",((LG36*TAXE)-(LG36*TAXE*LI36))+IF(LM36="N/A",0,IF(INDEX(LISTES!$F$105:$F$109,MATCH(LM36,LISTES!$C$105:$C$109,0))="FIX",LN36,LO36*LL36)))</f>
        <v/>
      </c>
      <c r="MA36" s="492" t="str">
        <f>IF(A36=FALSE,"",Cotations!D36)</f>
        <v/>
      </c>
      <c r="MB36" s="491" t="str">
        <f>IF(A36=FALSE,"",IF(LISTES!$A$17=1,Cotations!BV36,Cotations!BW36))</f>
        <v/>
      </c>
      <c r="MC36" s="285" t="str">
        <f t="shared" si="318"/>
        <v/>
      </c>
      <c r="MD36" s="300"/>
      <c r="ME36" s="461" t="str">
        <f t="shared" si="319"/>
        <v/>
      </c>
      <c r="MF36" s="490" t="str">
        <f>IF(A36=FALSE,"",IF(MA36="POEA",Cotations!BY36,IF(MA36="FIXE",Cotations!BZ36,IF(Cotations!CA36*Y36&lt;50000,Z36,Cotations!CA36*Y36))))</f>
        <v/>
      </c>
      <c r="MG36" s="300" t="str">
        <f t="shared" si="320"/>
        <v/>
      </c>
      <c r="MH36" s="522" t="str">
        <f>IF(A36=FALSE,"",IF(Cotations!BX36="monthly",MG36/12*L36,MG36/365*M36))</f>
        <v/>
      </c>
      <c r="MI36" s="489" t="str">
        <f>IF(A36=FALSE,"",IF(Cotations!CB36="","",Cotations!CB36))</f>
        <v/>
      </c>
      <c r="MJ36" s="300" t="str">
        <f t="shared" si="321"/>
        <v/>
      </c>
      <c r="MK36" s="300" t="str">
        <f t="shared" si="322"/>
        <v/>
      </c>
      <c r="ML36" s="919" t="str">
        <f t="shared" si="323"/>
        <v/>
      </c>
      <c r="MM36" s="517" t="str">
        <f>IF(A36=FALSE,"",Cotations!CC36)</f>
        <v/>
      </c>
      <c r="MN36" s="515" t="str">
        <f>IF(A36=FALSE,"",Cotations!CD36)</f>
        <v/>
      </c>
      <c r="MO36" s="493" t="str">
        <f>IF(A36=FALSE,"",Cotations!CE36)</f>
        <v/>
      </c>
      <c r="MP36" s="517" t="str">
        <f>IF(A36=FALSE,"",IF(MM36="N/A",0,IF(INDEX(LISTES!$F$105:$F$109,MATCH(MM36,LISTES!$C$105:$C$109,0))="FIX",IF(INDEX(LISTES!$E$105:$E$109,MATCH(MM36,LISTES!$C$105:$C$109,0))=12,MN36/12*L36,MN36/365*M36),MO36*ML36)))</f>
        <v/>
      </c>
      <c r="MQ36" s="294" t="str">
        <f t="shared" si="324"/>
        <v/>
      </c>
      <c r="MR36" s="494" t="str">
        <f>IF(A36=FALSE,"",MQ36*Cotations!CF36)</f>
        <v/>
      </c>
      <c r="MS36" s="494" t="str">
        <f>IF(A36=FALSE,"",MQ36*Cotations!CG36)</f>
        <v/>
      </c>
      <c r="MT36" s="338" t="str">
        <f t="shared" si="325"/>
        <v/>
      </c>
      <c r="MU36" s="919" t="str">
        <f>IF(A36=FALSE,"",((MG36*TAXE)-(MG36*TAXE*MI36))+IF(MM36="N/A",0,IF(INDEX(LISTES!$F$105:$F$109,MATCH(MM36,LISTES!$C$105:$C$109,0))="FIX",MN36,MO36*ML36)))</f>
        <v/>
      </c>
      <c r="NA36" s="497" t="str">
        <f>IF(A36=FALSE,"",Cotations!D36)</f>
        <v/>
      </c>
      <c r="NB36" s="498" t="str">
        <f>IF(A36=FALSE,"",IF(LISTES!$A$17=1,Cotations!CH36,Cotations!$CI$4))</f>
        <v/>
      </c>
      <c r="NC36" s="499" t="str">
        <f t="shared" si="326"/>
        <v/>
      </c>
      <c r="ND36" s="499" t="str">
        <f t="shared" si="327"/>
        <v/>
      </c>
      <c r="NE36" s="500" t="str">
        <f t="shared" si="328"/>
        <v/>
      </c>
      <c r="NF36" s="501" t="str">
        <f>IF(A36=FALSE,"",IF(NA36="POEA",Cotations!CK36,IF(NA36="FIXE",Cotations!$CK$4,Cotations!$CM$4*Y36)))</f>
        <v/>
      </c>
      <c r="NG36" s="502" t="str">
        <f t="shared" si="329"/>
        <v/>
      </c>
      <c r="NH36" s="520" t="str">
        <f>IF(A36=FALSE,"",IF(Cotations!$CJ$4="monthly",NG36/12*L36,NG36/365*M36))</f>
        <v/>
      </c>
      <c r="NI36" s="503" t="str">
        <f>IF(A36=FALSE,"",Cotations!$CN$4)</f>
        <v/>
      </c>
      <c r="NJ36" s="502" t="str">
        <f t="shared" si="330"/>
        <v/>
      </c>
      <c r="NK36" s="502" t="str">
        <f t="shared" si="331"/>
        <v/>
      </c>
      <c r="NL36" s="504" t="str">
        <f t="shared" si="332"/>
        <v/>
      </c>
      <c r="NM36" s="505" t="str">
        <f>IF(A36=FALSE,"",Cotations!$CO$4)</f>
        <v/>
      </c>
      <c r="NN36" s="520" t="str">
        <f>IF(A36=FALSE,"",Cotations!$CP$4)</f>
        <v/>
      </c>
      <c r="NO36" s="503" t="str">
        <f>IF(A36=FALSE,"",Cotations!$CQ$4)</f>
        <v/>
      </c>
      <c r="NP36" s="505" t="str">
        <f>IF(A36=FALSE,"",IF(NM36="N/A",0,IF(INDEX(LISTES!$F$105:$F$109,MATCH(NM36,LISTES!$C$105:$C$109,0))="FIX",IF(INDEX(LISTES!$E$105:$E$109,MATCH(NM36,LISTES!$C$105:$C$109,0))=12,NN36/12*L36,NN36/365*M36),NO36*NL36)))</f>
        <v/>
      </c>
      <c r="NQ36" s="504" t="str">
        <f t="shared" si="333"/>
        <v/>
      </c>
      <c r="NR36" s="505" t="str">
        <f>IF(A36=FALSE,"",NQ36*Cotations!$CR$4)</f>
        <v/>
      </c>
      <c r="NS36" s="505" t="str">
        <f>IF(A36=FALSE,"",NQ36*Cotations!$CS$4)</f>
        <v/>
      </c>
      <c r="NT36" s="506" t="str">
        <f t="shared" si="334"/>
        <v/>
      </c>
      <c r="NU36" s="919" t="str">
        <f>IF(A36=FALSE,"",((NG36*TAXE)-(NG36*TAXE*NI36))+IF(NM36="N/A",0,IF(INDEX(LISTES!$F$105:$F$109,MATCH(NM36,LISTES!$C$105:$C$109,0))="FIX",NN36,NO36*NL36)))</f>
        <v/>
      </c>
      <c r="OA36" s="492" t="str">
        <f>IF(A36=FALSE,"",Cotations!D36)</f>
        <v/>
      </c>
      <c r="OB36" s="491" t="str">
        <f>IF(A36=FALSE,"",IF(LISTES!$A$17=1,Cotations!CH36,Cotations!CI36))</f>
        <v/>
      </c>
      <c r="OC36" s="285" t="str">
        <f t="shared" si="335"/>
        <v/>
      </c>
      <c r="OD36" s="300"/>
      <c r="OE36" s="461" t="str">
        <f t="shared" si="336"/>
        <v/>
      </c>
      <c r="OF36" s="490" t="str">
        <f>IF(A36=FALSE,"",IF(OA36="POEA",Cotations!CK36,IF(OA36="FIXE",Cotations!CL36,IF(Cotations!CM36*Y36&lt;50000,Z36,Cotations!CM36*Y36))))</f>
        <v/>
      </c>
      <c r="OG36" s="300" t="str">
        <f t="shared" si="337"/>
        <v/>
      </c>
      <c r="OH36" s="522" t="str">
        <f>IF(A36=FALSE,"",IF(Cotations!CJ36="monthly",OG36/12*L36,OG36/365*M36))</f>
        <v/>
      </c>
      <c r="OI36" s="489" t="str">
        <f>IF(A36=FALSE,"",IF(Cotations!CN36="","",Cotations!CN36))</f>
        <v/>
      </c>
      <c r="OJ36" s="300" t="str">
        <f t="shared" si="338"/>
        <v/>
      </c>
      <c r="OK36" s="300" t="str">
        <f t="shared" si="339"/>
        <v/>
      </c>
      <c r="OL36" s="919" t="str">
        <f t="shared" si="340"/>
        <v/>
      </c>
      <c r="OM36" s="517" t="str">
        <f>IF(A36=FALSE,"",Cotations!CO36)</f>
        <v/>
      </c>
      <c r="ON36" s="515" t="str">
        <f>IF(A36=FALSE,"",Cotations!CP36)</f>
        <v/>
      </c>
      <c r="OO36" s="493" t="str">
        <f>IF(A36=FALSE,"",Cotations!CQ36)</f>
        <v/>
      </c>
      <c r="OP36" s="517" t="str">
        <f>IF(A36=FALSE,"",IF(OM36="N/A",0,IF(INDEX(LISTES!$F$105:$F$109,MATCH(OM36,LISTES!$C$105:$C$109,0))="FIX",IF(INDEX(LISTES!$E$105:$E$109,MATCH(OM36,LISTES!$C$105:$C$109,0))=12,ON36/12*L36,ON36/365*M36),OO36*OL36)))</f>
        <v/>
      </c>
      <c r="OQ36" s="294" t="str">
        <f t="shared" si="341"/>
        <v/>
      </c>
      <c r="OR36" s="494" t="str">
        <f>IF(A36=FALSE,"",OQ36*Cotations!CR36)</f>
        <v/>
      </c>
      <c r="OS36" s="494" t="str">
        <f>IF(A36=FALSE,"",OQ36*Cotations!CS36)</f>
        <v/>
      </c>
      <c r="OT36" s="338" t="str">
        <f t="shared" si="342"/>
        <v/>
      </c>
      <c r="OU36" s="919" t="str">
        <f>IF(A36=FALSE,"",((OG36*TAXE)-(OG36*TAXE*OI36))+IF(OM36="N/A",0,IF(INDEX(LISTES!$F$105:$F$109,MATCH(OM36,LISTES!$C$105:$C$109,0))="FIX",ON36,OO36*OL36)))</f>
        <v/>
      </c>
      <c r="PA36" s="497" t="str">
        <f t="shared" si="343"/>
        <v/>
      </c>
      <c r="PB36" s="498" t="str">
        <f>IF(A36=FALSE,"",IF(LISTES!$A$17=1,Cotations!CT36,Cotations!$CU$4))</f>
        <v/>
      </c>
      <c r="PC36" s="499" t="str">
        <f t="shared" si="344"/>
        <v/>
      </c>
      <c r="PD36" s="499" t="str">
        <f t="shared" si="345"/>
        <v/>
      </c>
      <c r="PE36" s="500" t="str">
        <f t="shared" si="346"/>
        <v/>
      </c>
      <c r="PF36" s="501" t="str">
        <f>IF(A36=FALSE,"",Cotations!$CY$4*Y36)</f>
        <v/>
      </c>
      <c r="PG36" s="502" t="str">
        <f t="shared" si="347"/>
        <v/>
      </c>
      <c r="PH36" s="520" t="str">
        <f>IF(A36=FALSE,"",IF(Cotations!$CV$4="monthly",PG36/12*L36,PG36/365*M36))</f>
        <v/>
      </c>
      <c r="PI36" s="503" t="str">
        <f>IF(A36=FALSE,"",Cotations!$CZ$4)</f>
        <v/>
      </c>
      <c r="PJ36" s="502" t="str">
        <f t="shared" si="348"/>
        <v/>
      </c>
      <c r="PK36" s="502" t="str">
        <f t="shared" si="349"/>
        <v/>
      </c>
      <c r="PL36" s="504" t="str">
        <f t="shared" si="350"/>
        <v/>
      </c>
      <c r="PM36" s="505" t="str">
        <f>IF(A36=FALSE,"",Cotations!$DA$4)</f>
        <v/>
      </c>
      <c r="PN36" s="520" t="str">
        <f>IF(A36=FALSE,"",Cotations!$DB$4)</f>
        <v/>
      </c>
      <c r="PO36" s="503" t="str">
        <f>IF(A36=FALSE,"",Cotations!$DC$4)</f>
        <v/>
      </c>
      <c r="PP36" s="505" t="str">
        <f>IF(A36=FALSE,"",IF(PM36="N/A",0,IF(INDEX(LISTES!$F$105:$F$109,MATCH(PM36,LISTES!$C$105:$C$109,0))="FIX",IF(INDEX(LISTES!$E$105:$E$109,MATCH(PM36,LISTES!$C$105:$C$109,0))=12,PN36/12*L36,PN36/365*M36),PO36*PL36)))</f>
        <v/>
      </c>
      <c r="PQ36" s="504" t="str">
        <f t="shared" si="351"/>
        <v/>
      </c>
      <c r="PR36" s="505" t="str">
        <f>IF(A36=FALSE,"",PQ36*Cotations!$DD$4)</f>
        <v/>
      </c>
      <c r="PS36" s="505" t="str">
        <f>IF(A36=FALSE,"",PQ36*Cotations!$DE$4)</f>
        <v/>
      </c>
      <c r="PT36" s="506" t="str">
        <f t="shared" si="352"/>
        <v/>
      </c>
      <c r="PU36" s="919" t="str">
        <f>IF(A36=FALSE,"",((PG36*TAXE)-(PG36*TAXE*PI36))+IF(PM36="N/A",0,IF(INDEX(LISTES!$F$105:$F$109,MATCH(PM36,LISTES!$C$105:$C$109,0))="FIX",PN36,PO36*PL36)))</f>
        <v/>
      </c>
      <c r="QA36" s="492" t="str">
        <f t="shared" si="353"/>
        <v/>
      </c>
      <c r="QB36" s="491" t="str">
        <f>IF(A36=FALSE,"",IF(LISTES!$A$17=1,Cotations!CT36,Cotations!CU36))</f>
        <v/>
      </c>
      <c r="QC36" s="285" t="str">
        <f t="shared" si="354"/>
        <v/>
      </c>
      <c r="QD36" s="300"/>
      <c r="QE36" s="461" t="str">
        <f t="shared" si="355"/>
        <v/>
      </c>
      <c r="QF36" s="490" t="str">
        <f>IF(A36=FALSE,"",Cotations!CY36*AA36)</f>
        <v/>
      </c>
      <c r="QG36" s="300" t="str">
        <f t="shared" si="356"/>
        <v/>
      </c>
      <c r="QH36" s="522" t="str">
        <f>IF(A36=FALSE,"",IF(Cotations!CV36="monthly",QG36/12*L36,QG36/365*M36))</f>
        <v/>
      </c>
      <c r="QI36" s="489" t="str">
        <f>IF(A36=FALSE,"",IF(Cotations!CZ36="","",Cotations!CZ36))</f>
        <v/>
      </c>
      <c r="QJ36" s="300" t="str">
        <f t="shared" si="357"/>
        <v/>
      </c>
      <c r="QK36" s="300" t="str">
        <f t="shared" si="358"/>
        <v/>
      </c>
      <c r="QL36" s="919" t="str">
        <f t="shared" si="359"/>
        <v/>
      </c>
      <c r="QM36" s="517" t="str">
        <f>IF(A36=FALSE,"",Cotations!DA36)</f>
        <v/>
      </c>
      <c r="QN36" s="515" t="str">
        <f>IF(A36=FALSE,"",Cotations!DB36)</f>
        <v/>
      </c>
      <c r="QO36" s="493" t="str">
        <f>IF(A36=FALSE,"",Cotations!DC36)</f>
        <v/>
      </c>
      <c r="QP36" s="517" t="str">
        <f>IF(A36=FALSE,"",IF(QM36="N/A",0,IF(INDEX(LISTES!$F$105:$F$109,MATCH(QM36,LISTES!$C$105:$C$109,0))="FIX",IF(INDEX(LISTES!$E$105:$E$109,MATCH(QM36,LISTES!$C$105:$C$109,0))=12,QN36/12*L36,QN36/365*M36),QO36*QL36)))</f>
        <v/>
      </c>
      <c r="QQ36" s="294" t="str">
        <f t="shared" si="360"/>
        <v/>
      </c>
      <c r="QR36" s="494" t="str">
        <f>IF(A36=FALSE,"",QQ36*Cotations!DD36)</f>
        <v/>
      </c>
      <c r="QS36" s="494" t="str">
        <f>IF(A36=FALSE,"",QQ36*Cotations!DE36)</f>
        <v/>
      </c>
      <c r="QT36" s="338" t="str">
        <f t="shared" si="361"/>
        <v/>
      </c>
      <c r="QU36" s="919" t="str">
        <f>IF(A36=FALSE,"",((QG36*TAXE)-(QG36*TAXE*QI36))+IF(QM36="N/A",0,IF(INDEX(LISTES!$F$105:$F$109,MATCH(QM36,LISTES!$C$105:$C$109,0))="FIX",QN36,QO36*QL36)))</f>
        <v/>
      </c>
      <c r="RA36" s="497" t="str">
        <f t="shared" si="362"/>
        <v/>
      </c>
      <c r="RB36" s="498" t="str">
        <f>IF(A36=FALSE,"",IF(LISTES!$A$17=1,Cotations!DF36,Cotations!$DG$4))</f>
        <v/>
      </c>
      <c r="RC36" s="499" t="str">
        <f t="shared" si="363"/>
        <v/>
      </c>
      <c r="RD36" s="499" t="str">
        <f t="shared" si="364"/>
        <v/>
      </c>
      <c r="RE36" s="500" t="str">
        <f t="shared" si="365"/>
        <v/>
      </c>
      <c r="RF36" s="501" t="str">
        <f>IF(A36=FALSE,"",Cotations!$DK$4*Y36)</f>
        <v/>
      </c>
      <c r="RG36" s="502" t="str">
        <f t="shared" si="366"/>
        <v/>
      </c>
      <c r="RH36" s="520" t="str">
        <f>IF(A36=FALSE,"",IF(Cotations!$DH$4="monthly",RG36/12*L36,RG36/365*M36))</f>
        <v/>
      </c>
      <c r="RI36" s="503" t="str">
        <f>IF(A36=FALSE,"",Cotations!$DL$4)</f>
        <v/>
      </c>
      <c r="RJ36" s="502" t="str">
        <f t="shared" si="367"/>
        <v/>
      </c>
      <c r="RK36" s="502" t="str">
        <f t="shared" si="368"/>
        <v/>
      </c>
      <c r="RL36" s="504" t="str">
        <f t="shared" si="369"/>
        <v/>
      </c>
      <c r="RM36" s="505" t="str">
        <f>IF(A36=FALSE,"",Cotations!$DM$4)</f>
        <v/>
      </c>
      <c r="RN36" s="520" t="str">
        <f>IF(A36=FALSE,"",Cotations!$DN$4)</f>
        <v/>
      </c>
      <c r="RO36" s="503" t="str">
        <f>IF(A36=FALSE,"",Cotations!$DO$4)</f>
        <v/>
      </c>
      <c r="RP36" s="505" t="str">
        <f>IF(A36=FALSE,"",IF(RM36="N/A",0,IF(INDEX(LISTES!$F$105:$F$109,MATCH(RM36,LISTES!$C$105:$C$109,0))="FIX",IF(INDEX(LISTES!$E$105:$E$109,MATCH(RM36,LISTES!$C$105:$C$109,0))=12,RN36/12*L36,RN36/365*M36),RO36*RL36)))</f>
        <v/>
      </c>
      <c r="RQ36" s="504" t="str">
        <f t="shared" si="370"/>
        <v/>
      </c>
      <c r="RR36" s="505" t="str">
        <f>IF(A36=FALSE,"",RQ36*Cotations!$DP$4)</f>
        <v/>
      </c>
      <c r="RS36" s="505" t="str">
        <f>IF(A36=FALSE,"",RQ36*Cotations!$DQ$4)</f>
        <v/>
      </c>
      <c r="RT36" s="506" t="str">
        <f t="shared" si="371"/>
        <v/>
      </c>
      <c r="RU36" s="919" t="str">
        <f>IF(A36=FALSE,"",((RG36*TAXE)-(RG36*TAXE*RI36))+IF(RM36="N/A",0,IF(INDEX(LISTES!$F$105:$F$109,MATCH(RM36,LISTES!$C$105:$C$109,0))="FIX",RN36,RO36*RL36)))</f>
        <v/>
      </c>
      <c r="SA36" s="492" t="str">
        <f t="shared" si="372"/>
        <v/>
      </c>
      <c r="SB36" s="491" t="str">
        <f>IF(A36=FALSE,"",IF(LISTES!$A$17=1,Cotations!DF36,Cotations!DG36))</f>
        <v/>
      </c>
      <c r="SC36" s="285" t="str">
        <f t="shared" si="373"/>
        <v/>
      </c>
      <c r="SD36" s="300"/>
      <c r="SE36" s="461" t="str">
        <f t="shared" si="374"/>
        <v/>
      </c>
      <c r="SF36" s="490" t="str">
        <f>IF(A36=FALSE,"",Cotations!DK36*AA36)</f>
        <v/>
      </c>
      <c r="SG36" s="300" t="str">
        <f t="shared" si="375"/>
        <v/>
      </c>
      <c r="SH36" s="522" t="str">
        <f>IF(A36=FALSE,"",IF(Cotations!DH36="monthly",SG36/12*L36,SG36/365*M36))</f>
        <v/>
      </c>
      <c r="SI36" s="489" t="str">
        <f>IF(A36=FALSE,"",IF(Cotations!DL36="","",Cotations!DL36))</f>
        <v/>
      </c>
      <c r="SJ36" s="300" t="str">
        <f t="shared" si="376"/>
        <v/>
      </c>
      <c r="SK36" s="300" t="str">
        <f t="shared" si="377"/>
        <v/>
      </c>
      <c r="SL36" s="919" t="str">
        <f t="shared" si="378"/>
        <v/>
      </c>
      <c r="SM36" s="285" t="str">
        <f>IF(A36=FALSE,"",Cotations!DM36)</f>
        <v/>
      </c>
      <c r="SN36" s="515" t="str">
        <f>IF(A36=FALSE,"",Cotations!DN36)</f>
        <v/>
      </c>
      <c r="SO36" s="493" t="str">
        <f>IF(A36=FALSE,"",Cotations!DO36)</f>
        <v/>
      </c>
      <c r="SP36" s="517" t="str">
        <f>IF(A36=FALSE,"",IF(SM36="N/A",0,IF(INDEX(LISTES!$F$105:$F$109,MATCH(SM36,LISTES!$C$105:$C$109,0))="FIX",IF(INDEX(LISTES!$E$105:$E$109,MATCH(SM36,LISTES!$C$105:$C$109,0))=12,SN36/12*L36,SN36/365*M36),SO36*SL36)))</f>
        <v/>
      </c>
      <c r="SQ36" s="294" t="str">
        <f t="shared" si="379"/>
        <v/>
      </c>
      <c r="SR36" s="494" t="str">
        <f>IF(A36=FALSE,"",SQ36*Cotations!DP36)</f>
        <v/>
      </c>
      <c r="SS36" s="494" t="str">
        <f>IF(A36=FALSE,"",SQ36*Cotations!DQ36)</f>
        <v/>
      </c>
      <c r="ST36" s="338" t="str">
        <f t="shared" si="380"/>
        <v/>
      </c>
      <c r="SU36" s="919" t="str">
        <f>IF(A36=FALSE,"",((SG36*TAXE)-(SG36*TAXE*SI36))+IF(SM36="N/A",0,IF(INDEX(LISTES!$F$105:$F$109,MATCH(SM36,LISTES!$C$105:$C$109,0))="FIX",SN36,SO36*SL36)))</f>
        <v/>
      </c>
      <c r="TA36" s="492" t="str">
        <f>IF(A36=FALSE,"",Cotations!D36)</f>
        <v/>
      </c>
      <c r="TB36" s="491" t="str">
        <f>IF(A36=FALSE,"",IF(LISTES!$A$17=1,Cotations!DR36,Cotations!DS36))</f>
        <v/>
      </c>
      <c r="TC36" s="285" t="str">
        <f t="shared" si="381"/>
        <v/>
      </c>
      <c r="TD36" s="300" t="str">
        <f>IF(A36=FALSE,"",Detail!CQ36)</f>
        <v/>
      </c>
      <c r="TE36" s="461" t="str">
        <f t="shared" si="382"/>
        <v/>
      </c>
      <c r="TF36" s="490" t="str">
        <f>IF(A36=FALSE,"",IF(TA36="FIXE",Cotations!DU36,Cotations!DV36*Y36))</f>
        <v/>
      </c>
      <c r="TG36" s="300" t="str">
        <f t="shared" si="383"/>
        <v/>
      </c>
      <c r="TH36" s="522" t="str">
        <f>IF(A36=FALSE,"",IF(Cotations!DT36="monthly",TG36/12*L36,TG36/365*M36))</f>
        <v/>
      </c>
      <c r="TI36" s="489" t="str">
        <f>IF(A36=FALSE,"",IF(Cotations!DW36="","",Cotations!DW36))</f>
        <v/>
      </c>
      <c r="TJ36" s="300" t="str">
        <f t="shared" si="384"/>
        <v/>
      </c>
      <c r="TK36" s="300" t="str">
        <f t="shared" si="385"/>
        <v/>
      </c>
      <c r="TL36" s="919" t="str">
        <f t="shared" si="386"/>
        <v/>
      </c>
      <c r="TM36" s="517" t="str">
        <f>IF(A36=FALSE,"",Cotations!DX36)</f>
        <v/>
      </c>
      <c r="TN36" s="517" t="str">
        <f>IF(A36=FALSE,"",Cotations!DY36)</f>
        <v/>
      </c>
      <c r="TO36" s="493" t="str">
        <f>IF(A36=FALSE,"",Cotations!DZ36)</f>
        <v/>
      </c>
      <c r="TP36" s="517" t="str">
        <f>IF(A36=FALSE,"",IF(TM36="N/A",0,IF(INDEX(LISTES!$F$105:$F$109,MATCH(TM36,LISTES!$C$105:$C$109,0))="FIX",IF(INDEX(LISTES!$E$105:$E$109,MATCH(TM36,LISTES!$C$105:$C$109,0))=12,TN36/12*L36,TN36/365*M36),TO36*TL36)))</f>
        <v/>
      </c>
      <c r="TQ36" s="294" t="str">
        <f t="shared" si="387"/>
        <v/>
      </c>
      <c r="TR36" s="494" t="str">
        <f>IF(A36=FALSE,"",TQ36*Cotations!EA36)</f>
        <v/>
      </c>
      <c r="TS36" s="494" t="str">
        <f>IF(A36=FALSE,"",TQ36*Cotations!EB36)</f>
        <v/>
      </c>
      <c r="TT36" s="338" t="str">
        <f t="shared" si="388"/>
        <v/>
      </c>
      <c r="TU36" s="919" t="str">
        <f>IF(A36=FALSE,"",((TG36*(1+TAXE)-(TG36*(1+TAXE)*TI36))+IF(TM36="N/A",0,IF(INDEX(LISTES!$F$105:$F$109,MATCH(TM36,LISTES!$C$105:$C$109,0))="FIX",TN36,TO36*TL36))))</f>
        <v/>
      </c>
      <c r="UA36" s="492" t="str">
        <f>IF(A36=FALSE,"",Cotations!D36)</f>
        <v/>
      </c>
      <c r="UB36" s="491" t="str">
        <f>IF(A36=FALSE,"",IF(LISTES!$A$17=1,Cotations!EC36,Cotations!ED36))</f>
        <v/>
      </c>
      <c r="UC36" s="285" t="str">
        <f t="shared" si="389"/>
        <v/>
      </c>
      <c r="UD36" s="300" t="str">
        <f>IF(A36=FALSE,"",Detail!CY36)</f>
        <v/>
      </c>
      <c r="UE36" s="461" t="str">
        <f t="shared" si="390"/>
        <v/>
      </c>
      <c r="UF36" s="490" t="str">
        <f>IF(A36=FALSE,"",IF(UA36="FIXE",Cotations!EF36,Cotations!EG36*Y36))</f>
        <v/>
      </c>
      <c r="UG36" s="300" t="str">
        <f t="shared" si="391"/>
        <v/>
      </c>
      <c r="UH36" s="522" t="str">
        <f>IF(A36=FALSE,"",IF(Cotations!EE36="monthly",UG36/12*L36,UG36/365*M36))</f>
        <v/>
      </c>
      <c r="UI36" s="489" t="str">
        <f>IF(A36=FALSE,"",IF(Cotations!EH36="","",Cotations!EH36))</f>
        <v/>
      </c>
      <c r="UJ36" s="300" t="str">
        <f t="shared" si="392"/>
        <v/>
      </c>
      <c r="UK36" s="300" t="str">
        <f t="shared" si="393"/>
        <v/>
      </c>
      <c r="UL36" s="919" t="str">
        <f t="shared" si="394"/>
        <v/>
      </c>
      <c r="UM36" s="517" t="str">
        <f>IF(A36=FALSE,"",Cotations!EI36)</f>
        <v/>
      </c>
      <c r="UN36" s="517" t="str">
        <f>IF(A36=FALSE,"",Cotations!EJ36)</f>
        <v/>
      </c>
      <c r="UO36" s="493" t="str">
        <f>IF(A36=FALSE,"",Cotations!EK36)</f>
        <v/>
      </c>
      <c r="UP36" s="517" t="str">
        <f>IF(A36=FALSE,"",IF(UM36="N/A",0,IF(INDEX(LISTES!$F$105:$F$109,MATCH(UM36,LISTES!$C$105:$C$109,0))="FIX",IF(INDEX(LISTES!$E$105:$E$109,MATCH(UM36,LISTES!$C$105:$C$109,0))=12,UN36/12*L36,UN36/365*M36),UO36*UL36)))</f>
        <v/>
      </c>
      <c r="UQ36" s="294" t="str">
        <f t="shared" si="395"/>
        <v/>
      </c>
      <c r="UR36" s="494" t="str">
        <f>IF(A36=FALSE,"",UQ36*Cotations!EL36)</f>
        <v/>
      </c>
      <c r="US36" s="494" t="str">
        <f>IF(A36=FALSE,"",UQ36*Cotations!EM36)</f>
        <v/>
      </c>
      <c r="UT36" s="338" t="str">
        <f t="shared" si="396"/>
        <v/>
      </c>
      <c r="UU36" s="919" t="str">
        <f>IF(A36=FALSE,"",((UG36*(1+TAXE)-(UG36*(1+TAXE)*UI36))+IF(UM36="N/A",0,IF(INDEX(LISTES!$F$105:$F$109,MATCH(UM36,LISTES!$C$105:$C$109,0))="FIX",UN36,UO36*UL36))))</f>
        <v/>
      </c>
      <c r="VA36" s="492" t="str">
        <f>IF(A36=FALSE,"",Cotations!D36)</f>
        <v/>
      </c>
      <c r="VB36" s="519" t="str">
        <f>IF(A36=FALSE,"",IF(LISTES!$A$17=1,Cotations!EN36,Cotations!EO36))</f>
        <v/>
      </c>
      <c r="VC36" s="291" t="str">
        <f t="shared" si="397"/>
        <v/>
      </c>
      <c r="VD36" s="291" t="str">
        <f t="shared" si="398"/>
        <v/>
      </c>
      <c r="VE36" s="291"/>
      <c r="VF36" s="463"/>
      <c r="VG36" s="463" t="str">
        <f t="shared" si="399"/>
        <v/>
      </c>
      <c r="VH36" s="522" t="str">
        <f>IF(A36=FALSE,"",IF(Cotations!$AQ$4="monthly",VG36/12*L36,VG36/365*M36))</f>
        <v/>
      </c>
      <c r="VI36" s="489" t="str">
        <f>IF(A36=FALSE,"",Cotations!$AR$4)</f>
        <v/>
      </c>
      <c r="VJ36" s="300" t="str">
        <f t="shared" si="400"/>
        <v/>
      </c>
      <c r="VK36" s="300" t="str">
        <f t="shared" si="401"/>
        <v/>
      </c>
      <c r="VL36" s="294" t="str">
        <f t="shared" si="402"/>
        <v/>
      </c>
      <c r="VM36" s="494" t="str">
        <f>IF(A36=FALSE,"",Cotations!$AS$4)</f>
        <v/>
      </c>
      <c r="VN36" s="494" t="str">
        <f>IF(A36=FALSE,"",Cotations!$AT$4)</f>
        <v/>
      </c>
      <c r="VO36" s="489" t="str">
        <f>IF(A36=FALSE,"",Cotations!$AU$4)</f>
        <v/>
      </c>
      <c r="VP36" s="494" t="str">
        <f>IF(A36=FALSE,"",IF(VM36="N/A",0,IF(INDEX(LISTES!$F$105:$F$109,MATCH(VM36,LISTES!$C$105:$C$109,0))="FIX",IF(INDEX(LISTES!$E$105:$E$109,MATCH(VM36,LISTES!$C$105:$C$109,0))=12,VN36/12*L36,VN36/365*M36),VO36*VL36)))</f>
        <v/>
      </c>
      <c r="VQ36" s="294" t="str">
        <f t="shared" si="403"/>
        <v/>
      </c>
      <c r="VR36" s="494" t="str">
        <f>IF(A36=FALSE,"",VQ36*Cotations!$AV$4)</f>
        <v/>
      </c>
      <c r="VS36" s="494" t="str">
        <f>IF(A36=FALSE,"",VQ36*Cotations!$AW$4)</f>
        <v/>
      </c>
      <c r="VT36" s="465" t="str">
        <f t="shared" si="404"/>
        <v/>
      </c>
      <c r="VU36" s="919" t="str">
        <f>IF(A36=FALSE,"",((VG36*TAXE)-(VG36*TAXE*VI36))+IF(VM36="N/A",0,IF(INDEX(LISTES!$F$105:$F$109,MATCH(VM36,LISTES!$C$105:$C$109,0))="FIX",VN36,VO36*VL36)))</f>
        <v/>
      </c>
      <c r="WA36" s="492" t="str">
        <f>IF(A36=FALSE,"",Cotations!D36)</f>
        <v/>
      </c>
      <c r="WB36" s="519" t="str">
        <f>IF(A36=FALSE,"",IF(LISTES!$A$17=1,Cotations!EW36,Cotations!EX36))</f>
        <v/>
      </c>
      <c r="WC36" s="291" t="str">
        <f t="shared" si="405"/>
        <v/>
      </c>
      <c r="WD36" s="291" t="str">
        <f t="shared" si="406"/>
        <v/>
      </c>
      <c r="WE36" s="291"/>
      <c r="WF36" s="463"/>
      <c r="WG36" s="463" t="str">
        <f t="shared" si="407"/>
        <v/>
      </c>
      <c r="WH36" s="522" t="str">
        <f>IF(A36=FALSE,"",IF(Cotations!$AQ$4="monthly",WG36/12*L36,WG36/365*M36))</f>
        <v/>
      </c>
      <c r="WI36" s="489" t="str">
        <f>IF(A36=FALSE,"",Cotations!$AR$4)</f>
        <v/>
      </c>
      <c r="WJ36" s="300" t="str">
        <f t="shared" si="408"/>
        <v/>
      </c>
      <c r="WK36" s="300" t="str">
        <f t="shared" si="409"/>
        <v/>
      </c>
      <c r="WL36" s="294" t="str">
        <f t="shared" si="410"/>
        <v/>
      </c>
      <c r="WM36" s="494" t="str">
        <f>IF(A36=FALSE,"",Cotations!$AS$4)</f>
        <v/>
      </c>
      <c r="WN36" s="494" t="str">
        <f>IF(A36=FALSE,"",Cotations!$AT$4)</f>
        <v/>
      </c>
      <c r="WO36" s="489" t="str">
        <f>IF(A36=FALSE,"",Cotations!$AU$4)</f>
        <v/>
      </c>
      <c r="WP36" s="494" t="str">
        <f>IF(A36=FALSE,"",IF(WM36="N/A",0,IF(INDEX(LISTES!$F$105:$F$109,MATCH(WM36,LISTES!$C$105:$C$109,0))="FIX",IF(INDEX(LISTES!$E$105:$E$109,MATCH(WM36,LISTES!$C$105:$C$109,0))=12,WN36/12*L36,WN36/365*M36),WO36*WL36)))</f>
        <v/>
      </c>
      <c r="WQ36" s="294" t="str">
        <f t="shared" si="411"/>
        <v/>
      </c>
      <c r="WR36" s="494" t="str">
        <f>IF(A36=FALSE,"",WQ36*Cotations!$AV$4)</f>
        <v/>
      </c>
      <c r="WS36" s="494" t="str">
        <f>IF(A36=FALSE,"",WQ36*Cotations!$AW$4)</f>
        <v/>
      </c>
      <c r="WT36" s="465" t="str">
        <f t="shared" si="412"/>
        <v/>
      </c>
      <c r="WU36" s="919" t="str">
        <f>IF(A36=FALSE,"",((WG36*TAXE)-(WG36*TAXE*WI36))+IF(WM36="N/A",0,IF(INDEX(LISTES!$F$105:$F$109,MATCH(WM36,LISTES!$C$105:$C$109,0))="FIX",WN36,WO36*WL36)))</f>
        <v/>
      </c>
    </row>
    <row r="37" spans="1:619" s="965" customFormat="1">
      <c r="A37" s="942" t="b">
        <f t="shared" si="221"/>
        <v>0</v>
      </c>
      <c r="B37" s="942" t="b">
        <f>IF(NAMES!$B$9=TRUE,TRUE,FALSE)</f>
        <v>1</v>
      </c>
      <c r="C37" s="942" t="b">
        <f t="shared" si="413"/>
        <v>0</v>
      </c>
      <c r="D37" s="942" t="b">
        <f t="shared" si="414"/>
        <v>0</v>
      </c>
      <c r="E37" s="802" t="b">
        <f>IF(Cotations!C37="","",Cotations!C37)</f>
        <v>0</v>
      </c>
      <c r="F37" s="802" t="str">
        <f>IF(Cotations!D37="","",Cotations!D37)</f>
        <v>PROP</v>
      </c>
      <c r="G37" s="802" t="str">
        <f>IF(Cotations!E37="","",Cotations!E37)</f>
        <v>2016-2017!</v>
      </c>
      <c r="H37" s="802" t="str">
        <f>IF(Cotations!F37="","",Cotations!F37)</f>
        <v>SINGLE</v>
      </c>
      <c r="I37" s="802" t="str">
        <f>IF(Cotations!G37="","",Cotations!G37)</f>
        <v/>
      </c>
      <c r="J37" s="802" t="str">
        <f>IF(Cotations!H37="","",Cotations!H37)</f>
        <v/>
      </c>
      <c r="K37" s="802" t="str">
        <f>IF(Cotations!I37="","",Cotations!I37)</f>
        <v/>
      </c>
      <c r="L37" s="802" t="str">
        <f>IF(A37=FALSE,"",IF(Cotations!N37="","",Cotations!N37))</f>
        <v/>
      </c>
      <c r="M37" s="802" t="str">
        <f>IF(Cotations!P37="","",Cotations!P37)</f>
        <v/>
      </c>
      <c r="N37" s="943" t="str">
        <f>IF(NAMES!$B$10=TRUE,Cotations!J37,Cotations!L37)</f>
        <v/>
      </c>
      <c r="O37" s="943" t="str">
        <f>IF(NAMES!$B$10=TRUE,Cotations!K37,Cotations!M37)</f>
        <v/>
      </c>
      <c r="P37" s="943" t="str">
        <f t="shared" si="415"/>
        <v/>
      </c>
      <c r="Q37" s="943" t="str">
        <f>IF(A37=FALSE,"",IF(Crewlist!Y37="","",Crewlist!Y37))</f>
        <v/>
      </c>
      <c r="R37" s="964" t="str">
        <f>IF(Cotations!U37="","",Cotations!U37)</f>
        <v/>
      </c>
      <c r="S37" s="943" t="str">
        <f t="shared" si="416"/>
        <v/>
      </c>
      <c r="T37" s="919" t="str">
        <f>IF(A37=FALSE,"",VLOOKUP($U$15:$U$120,Currency!$A$2:$D$10,4,0)*Crewlist!N37)</f>
        <v/>
      </c>
      <c r="U37" s="1355" t="str">
        <f>IF(A37=FALSE,"",IF(IT37=0,Crewlist!M37&amp;"/"&amp;EX37,Crewlist!M37&amp;"/"&amp;IT37))</f>
        <v/>
      </c>
      <c r="V37" s="919" t="str">
        <f>IF(A37=FALSE,"",VLOOKUP($U$15:$U$120,Currency!$A$2:$D$10,4,0)*Detail!Q37)</f>
        <v/>
      </c>
      <c r="W37" s="1355" t="str">
        <f>IF(A37=FALSE,"",IF(IT37=0,Detail!R37&amp;"/"&amp;EX37,Detail!R37&amp;"/"&amp;IT37))</f>
        <v/>
      </c>
      <c r="X37" s="919" t="str">
        <f>IF(A37=FALSE,"",IF(LISTES!$C$17="Crewlist",Calcul!T37,Calcul!V37))</f>
        <v/>
      </c>
      <c r="Y37" s="758" t="str">
        <f t="shared" si="417"/>
        <v/>
      </c>
      <c r="Z37" s="758" t="str">
        <f>IF(A37=FALSE,"",IF(X37=0,0,IF((Cotations!BC37*12*X37)&lt;50000,50000,(12*X37))))</f>
        <v/>
      </c>
      <c r="AA37" s="758" t="str">
        <f t="shared" si="418"/>
        <v/>
      </c>
      <c r="AB37" s="758" t="str">
        <f>IF(A37=FALSE,"",IF(Crewlist!O37=0,"",Crewlist!O37))</f>
        <v/>
      </c>
      <c r="AC37" s="758" t="str">
        <f>IF(I37="","",VLOOKUP($AB$15:$AB$120,Currency!$A$15:$B$34,2,0))</f>
        <v/>
      </c>
      <c r="AD37" s="758" t="str">
        <f t="shared" si="419"/>
        <v/>
      </c>
      <c r="AE37" s="758" t="str">
        <f t="shared" si="420"/>
        <v/>
      </c>
      <c r="AF37" s="758" t="str">
        <f t="shared" si="421"/>
        <v/>
      </c>
      <c r="AG37" s="758" t="str">
        <f t="shared" si="422"/>
        <v/>
      </c>
      <c r="AH37" s="1355" t="str">
        <f t="shared" si="222"/>
        <v/>
      </c>
      <c r="AI37" s="919" t="str">
        <f t="shared" si="423"/>
        <v/>
      </c>
      <c r="AJ37" s="1382" t="str">
        <f t="shared" si="424"/>
        <v/>
      </c>
      <c r="AK37" s="1382" t="str">
        <f t="shared" si="425"/>
        <v/>
      </c>
      <c r="AL37" s="238" t="str">
        <f t="shared" si="223"/>
        <v/>
      </c>
      <c r="AM37" s="238" t="str">
        <f t="shared" si="224"/>
        <v/>
      </c>
      <c r="AN37" s="1374" t="str">
        <f t="shared" si="225"/>
        <v/>
      </c>
      <c r="AO37" s="238" t="str">
        <f t="shared" si="226"/>
        <v/>
      </c>
      <c r="AP37" s="342" t="str">
        <f>IF(A37=FALSE,"",INDEX(Rates!$Z$5:$Z$367,MATCH(EB37,colchoice,0)))</f>
        <v/>
      </c>
      <c r="AQ37" s="238" t="str">
        <f t="shared" si="227"/>
        <v/>
      </c>
      <c r="AR37" s="238" t="str">
        <f t="shared" si="426"/>
        <v/>
      </c>
      <c r="AS37" s="238" t="str">
        <f t="shared" si="427"/>
        <v/>
      </c>
      <c r="AT37" s="238" t="str">
        <f t="shared" si="428"/>
        <v/>
      </c>
      <c r="AU37" s="238" t="str">
        <f t="shared" si="228"/>
        <v/>
      </c>
      <c r="AV37" s="238" t="str">
        <f t="shared" si="429"/>
        <v/>
      </c>
      <c r="AW37" s="238" t="str">
        <f t="shared" si="229"/>
        <v/>
      </c>
      <c r="AX37" s="238" t="str">
        <f t="shared" si="230"/>
        <v/>
      </c>
      <c r="AY37" s="238" t="str">
        <f t="shared" si="231"/>
        <v/>
      </c>
      <c r="AZ37" s="238" t="str">
        <f t="shared" si="232"/>
        <v/>
      </c>
      <c r="BA37" s="238" t="str">
        <f t="shared" si="233"/>
        <v/>
      </c>
      <c r="BB37" s="552" t="str">
        <f t="shared" si="234"/>
        <v/>
      </c>
      <c r="BC37" s="347" t="str">
        <f t="shared" si="235"/>
        <v/>
      </c>
      <c r="BD37" s="239" t="str">
        <f t="shared" si="430"/>
        <v/>
      </c>
      <c r="BE37" s="239" t="str">
        <f>IF(A37=FALSE,"",IF(ALLTHESAME=TRUE,IF(DF37&lt;&gt;$BC$7,0,INDEX(DD37:DZ37,1,MATCH(Structure!$D$12,$DD$14:$DZ$14,0))),IF(EC37&lt;&gt;$BC$7,0,INDEX(EA37:EZ37,1,MATCH(Structure!$D$12,$EA$14:$EZ$14,0)))))</f>
        <v/>
      </c>
      <c r="BF37" s="239" t="str">
        <f>IF(A37=FALSE,"",IF(ALLTHESAME=TRUE,IF(FC37&lt;&gt;$BC$7,0,INDEX(FA37:FZ37,1,MATCH(Structure!$D$12,$FA$14:$FZ$14,0))),IF(GC37&lt;&gt;$BC$7,0,INDEX(GA37:GZ37,1,MATCH(Structure!$D$12,$GA$14:$GZ$14,0)))))</f>
        <v/>
      </c>
      <c r="BG37" s="239" t="str">
        <f>IF(A37=FALSE,"",IF(ALLTHESAME=TRUE,IF(VC37&lt;&gt;$BC$7,0,INDEX(VA37:VZ37,1,MATCH(Structure!$D$12,$VA$14:$VZ$14,0))),IF(VC37&lt;&gt;$BC$7,0,INDEX(VA37:VZ37,1,MATCH(Structure!$D$12,$VA$14:$VZ$14,0)))))</f>
        <v/>
      </c>
      <c r="BH37" s="239" t="str">
        <f>IF(A37=FALSE,"",IF(ALLTHESAME=TRUE,IF(WC37&lt;&gt;$BC$7,0,INDEX(WA37:WY37,1,MATCH(Structure!$D$12,$WA$14:$WZ$14,0))),IF(WC37&lt;&gt;$BC$7,0,INDEX(WA37:WZ37,1,MATCH(Structure!$D$12,$WA$14:$WZ$14,0)))))</f>
        <v/>
      </c>
      <c r="BI37" s="239" t="str">
        <f>IF(A37=FALSE,"",IF(ALLTHESAME=TRUE,IF(HC37&lt;&gt;$BC$7,0,INDEX(HA37:HZ37,1,MATCH(Structure!$D$12,$HA$14:$HZ$14,0)))+TK37,IF(IC37&lt;&gt;$BC$7,0,INDEX(IA37:IZ37,1,MATCH(Structure!$D$12,$IA$14:$IZ$14,0)))+TK37))</f>
        <v/>
      </c>
      <c r="BJ37" s="239" t="str">
        <f>IF(A37=FALSE,"",IF(ALLTHESAME=TRUE,IF(JC37&lt;&gt;$BC$7,0,INDEX(JA37:JZ37,1,MATCH(Structure!$D$12,$JA$14:$JZ$14,0))),IF(KC37&lt;&gt;$BC$7,0,INDEX(KA37:KZ37,1,MATCH(Structure!$D$12,$KA$14:$KZ$14,0)))))</f>
        <v/>
      </c>
      <c r="BK37" s="239" t="str">
        <f>IF(A37=FALSE,"",IF(ALLTHESAME=TRUE,IF(LC37&lt;&gt;$BC$7,0,INDEX(LA37:LZ37,1,MATCH(Structure!$D$12,$LA$14:$LZ$14,0)))+UK37,IF(MC37&lt;&gt;$BC$7,0,INDEX(MA37:MZ37,1,MATCH(Structure!$D$12,$MA$14:$MZ$14,0)))+UK37))</f>
        <v/>
      </c>
      <c r="BL37" s="239" t="str">
        <f>IF(A37=FALSE,"",IF(ALLTHESAME=TRUE,IF(NC37&lt;&gt;$BC$7,0,INDEX(NA37:NZ37,1,MATCH(Structure!$D$12,$NA$14:$NZ$14,0))),IF(OC37&lt;&gt;$BC$7,0,INDEX(OA37:OZ37,1,MATCH(Structure!$D$12,$OA$14:$OZ$14,0)))))</f>
        <v/>
      </c>
      <c r="BM37" s="239" t="str">
        <f>IF(A37=FALSE,"",IF(ALLTHESAME=TRUE,IF(PC37&lt;&gt;$BC$7,0,INDEX(PA37:PZ37,1,MATCH(Structure!$D$12,$PA$14:$PZ$14,0))),IF(QC37&lt;&gt;$BC$7,0,INDEX(QA37:QZ37,1,MATCH(Structure!$D$12,$QA$14:$QZ$14,0)))))</f>
        <v/>
      </c>
      <c r="BN37" s="341" t="str">
        <f>IF(A37=FALSE,"",IF(ALLTHESAME=TRUE,IF(RC37&lt;&gt;$BC$7,0,INDEX(RA37:RZ37,1,MATCH(Structure!$D$12,$RA$14:$RZ$14,0))),IF(SC37&lt;&gt;$BC$7,0,INDEX(SA37:TA37,1,MATCH(Structure!$D$12,$SA$14:$TA$14,0)))))</f>
        <v/>
      </c>
      <c r="BO37" s="507" t="str">
        <f t="shared" si="236"/>
        <v/>
      </c>
      <c r="BP37" s="239" t="str">
        <f t="shared" si="237"/>
        <v/>
      </c>
      <c r="BQ37" s="239" t="str">
        <f>IF(A37=FALSE,"",IF(ALLTHESAME=TRUE,IF(DF37&lt;&gt;$BO$7,0,INDEX(DD37:DZ37,1,MATCH(Structure!$D$12,$DD$14:$DZ$14,0))),IF(EC37&lt;&gt;$BO$7,0,INDEX(EA37:EZ37,1,MATCH(Structure!$D$12,$EA$14:$EZ$14,0)))))</f>
        <v/>
      </c>
      <c r="BR37" s="239" t="str">
        <f>IF(A37=FALSE,"",IF(ALLTHESAME=TRUE,IF(FC37&lt;&gt;$BO$7,0,INDEX(FA37:FZ37,1,MATCH(Structure!$D$12,$FA$14:$FZ$14,0))),IF(GC37&lt;&gt;$BO$7,0,INDEX(GA37:GZ37,1,MATCH(Structure!$D$12,$GA$14:$GZ$14,0)))))</f>
        <v/>
      </c>
      <c r="BS37" s="239" t="str">
        <f>IF(A37=FALSE,"",IF(ALLTHESAME=TRUE,IF(HC37&lt;&gt;$BO$7,0,INDEX(HA37:HZ37,1,MATCH(Structure!$D$12,$HA$14:$HZ$14,0))),IF(IC37&lt;&gt;$BO$7,0,INDEX(IA37:IZ37,1,MATCH(Structure!$D$12,$IA$14:$IZ$14,0)))))</f>
        <v/>
      </c>
      <c r="BT37" s="239" t="str">
        <f>IF(A37=FALSE,"",IF(ALLTHESAME=TRUE,IF(JC37&lt;&gt;$BO$7,0,INDEX(JA37:JZ37,1,MATCH(Structure!$D$12,$JA$14:$JZ$14,0))),IF(KC37&lt;&gt;$BO$7,0,INDEX(KA37:KZ37,1,MATCH(Structure!$D$12,$KA$14:$KZ$14,0)))))</f>
        <v/>
      </c>
      <c r="BU37" s="239" t="str">
        <f>IF(A37=FALSE,"",IF(ALLTHESAME=TRUE,IF(LC37&lt;&gt;$BO$7,0,INDEX(LA37:LZ37,1,MATCH(Structure!$D$12,$LA$14:$LZ$14,0))),IF(MC37&lt;&gt;$BO$7,0,INDEX(MA37:MZ37,1,MATCH(Structure!$D$12,$MA$14:$MZ$14,0)))))</f>
        <v/>
      </c>
      <c r="BV37" s="239" t="str">
        <f>IF(A37=FALSE,"",IF(ALLTHESAME=TRUE,IF(NC37&lt;&gt;$BO$7,0,INDEX(NA37:NZ37,1,MATCH(Structure!$D$12,$NA$14:$NZ$14,0))),IF(OC37&lt;&gt;$BO$7,0,INDEX(OA37:OZ37,1,MATCH(Structure!$D$12,$OA$14:$OZ$14,0)))))</f>
        <v/>
      </c>
      <c r="BW37" s="239" t="str">
        <f>IF(A37=FALSE,"",IF(ALLTHESAME=TRUE,IF(PC37&lt;&gt;$BO$7,0,INDEX(PA37:PZ37,1,MATCH(Structure!$D$12,$PA$14:$PZ$14,0))),IF(QC37&lt;&gt;$BO$7,0,INDEX(QA37:QZ37,1,MATCH(Structure!$D$12,$QA$14:$QZ$14,0)))))</f>
        <v/>
      </c>
      <c r="BX37" s="341" t="str">
        <f>IF(A37=FALSE,"",IF(ALLTHESAME=TRUE,IF(RC37&lt;&gt;$BO$7,0,INDEX(RA37:RZ37,1,MATCH(Structure!$D$12,$RA$14:$RZ$14,0))),IF(SC37&lt;&gt;$BO$7,0,INDEX(SA37:TA37,1,MATCH(Structure!$D$12,$SA$14:$TA$14,0)))))</f>
        <v/>
      </c>
      <c r="BY37" s="347" t="str">
        <f t="shared" si="238"/>
        <v/>
      </c>
      <c r="BZ37" s="507" t="str">
        <f t="shared" si="239"/>
        <v/>
      </c>
      <c r="CA37" s="239" t="str">
        <f t="shared" si="240"/>
        <v/>
      </c>
      <c r="CB37" s="239" t="str">
        <f>IF(A37=FALSE,"",IF(ALLTHESAME=TRUE,INDEX(DD37:DZ37,MATCH(DF37,DF37:DF142,0),MATCH(Structure!$D$17,$DD$14:$DZ$14,0)),INDEX(EA37:EZ37,MATCH(EC37,EC37:EC142,0),MATCH(Structure!$D$17,$EA$14:$EZ$14,0))))</f>
        <v/>
      </c>
      <c r="CC37" s="239" t="str">
        <f>IF(A37=FALSE,"",IF(ALLTHESAME=TRUE,INDEX(FA37:FZ37,MATCH(FC37,FC37:FC142,0),MATCH(Structure!$D$17,$FA$14:$FZ$14,0)),INDEX(GA37:GZ37,MATCH(GC37,GC37:GC142,0),MATCH(Structure!$D$17,$GA$14:$GZ$14,0))))</f>
        <v/>
      </c>
      <c r="CD37" s="239" t="str">
        <f>IF(A37=FALSE,"",IF(ALLTHESAME=TRUE,INDEX(HA37:HZ37,MATCH(HC37,HC37:HC142,0),MATCH(Structure!$D$17,$HA$14:$HZ$14,0)),INDEX(IA37:IZ37,MATCH(IC37,IC37:IC142,0),MATCH(Structure!$D$17,$IA$14:$IZ$14,0))))</f>
        <v/>
      </c>
      <c r="CE37" s="239" t="str">
        <f>IF(A37=FALSE,"",IF(ALLTHESAME=TRUE,INDEX(JA37:JZ37,MATCH(JC37,JC37:JC142,0),MATCH(Structure!$D$17,$JA$14:$JZ$14,0)),INDEX(KA37:KZ37,MATCH(KC37,KC37:KC142,0),MATCH(Structure!$D$17,$KA$14:$KZ$14,0))))</f>
        <v/>
      </c>
      <c r="CF37" s="239" t="str">
        <f>IF(A37=FALSE,"",IF(ALLTHESAME=TRUE,INDEX(LA37:LZ37,MATCH(LC37,LC37:LC142,0),MATCH(Structure!$D$17,$LA$14:$LZ$14,0)),INDEX(MA37:MZ37,MATCH(MC37,MC37:MC142,0),MATCH(Structure!$D$17,$MA$14:$MZ$14,0))))</f>
        <v/>
      </c>
      <c r="CG37" s="239" t="str">
        <f>IF(A37=FALSE,"",IF(ALLTHESAME=TRUE,INDEX(NA37:NZ37,MATCH(NC37,NC37:NC142,0),MATCH(Structure!$D$17,$NA$14:$NZ$14,0)),INDEX(OA37:OZ37,MATCH(OC37,OC37:OC142,0),MATCH(Structure!$D$17,$OA$14:$OZ$14,0))))</f>
        <v/>
      </c>
      <c r="CH37" s="239" t="str">
        <f>IF(A37=FALSE,"",IF(ALLTHESAME=TRUE,INDEX(PA37:PZ37,MATCH(PC37,PC37:PC142,0),MATCH(Structure!$D$17,$PA$14:$PZ$14,0)),INDEX(QA37:QZ37,MATCH(QC37,QC37:QC142,0),MATCH(Structure!$D$17,$QA$14:$QZ$14,0))))</f>
        <v/>
      </c>
      <c r="CI37" s="341" t="str">
        <f>IF(A37=FALSE,"",IF(ALLTHESAME=TRUE,INDEX(RA37:RZ37,MATCH(RC37,RC37:RC142,0),MATCH(Structure!$D$17,$RA$14:$RZ$14,0)),INDEX(SA37:TC37,MATCH(SC37,SC37:SC142,0),MATCH(Structure!$D$17,$SA$14:$TC$14,0))))</f>
        <v/>
      </c>
      <c r="CJ37" s="347"/>
      <c r="CK37" s="239" t="str">
        <f t="shared" si="241"/>
        <v/>
      </c>
      <c r="CL37" s="239" t="str">
        <f>IF(A37=FALSE,"",IF(ALLTHESAME=TRUE,INDEX(DD37:DZ37,MATCH(DF37,DF37:DF142,0),MATCH(Structure!$D$22,$DD$14:$DZ$14,0)),INDEX(EA37:EZ37,MATCH(EC37,EC37:EC142,0),MATCH(Structure!$D$22,$EA$14:$EZ$14,0))))</f>
        <v/>
      </c>
      <c r="CM37" s="239" t="str">
        <f>IF(A37=FALSE,"",IF(ALLTHESAME=TRUE,INDEX(FA37:FZ37,MATCH(FC37,FC37:FC142,0),MATCH(Structure!$D$22,$FA$14:$FZ$14,0)),INDEX(GA37:GZ37,MATCH(GC37,GC37:GC142,0),MATCH(Structure!$D$22,$GA$14:$GZ$14,0))))</f>
        <v/>
      </c>
      <c r="CN37" s="239" t="str">
        <f>IF(A37=FALSE,"",IF(ALLTHESAME=TRUE,INDEX(HA37:HZ37,MATCH(HC37,HC37:HC142,0),MATCH(Structure!$D$22,$HA$14:$HZ$14,0)),INDEX(IA37:IZ37,MATCH(IC37,IC37:IC142,0),MATCH(Structure!$D$22,$IA$14:$IZ$14,0))))</f>
        <v/>
      </c>
      <c r="CO37" s="239" t="str">
        <f>IF(A37=FALSE,"",IF(ALLTHESAME=TRUE,INDEX(JA37:JZ37,MATCH(JC37,JC37:JC142,0),MATCH(Structure!$D$22,$JA$14:$JZ$14,0)),INDEX(KA37:KZ37,MATCH(KC37,KC37:KC142,0),MATCH(Structure!$D$22,$KA$14:$KZ$14,0))))</f>
        <v/>
      </c>
      <c r="CP37" s="239" t="str">
        <f>IF(A37=FALSE,"",IF(ALLTHESAME=TRUE,INDEX(LA37:LZ37,MATCH(LC37,LC37:LC142,0),MATCH(Structure!$D$22,$LA$14:$LZ$14,0)),INDEX(MA37:MZ37,MATCH(MC37,MC37:MC142,0),MATCH(Structure!$D$22,$MA$14:$MZ$14,0))))</f>
        <v/>
      </c>
      <c r="CQ37" s="239" t="str">
        <f>IF(A37=FALSE,"",IF(ALLTHESAME=TRUE,INDEX(NA37:NZ37,MATCH(NC37,NC37:NC142,0),MATCH(Structure!$D$22,$NA$14:$NZ$14,0)),INDEX(OA37:OZ37,MATCH(OC37,OC37:OC142,0),MATCH(Structure!$D$22,$OA$14:$OZ$14,0))))</f>
        <v/>
      </c>
      <c r="CR37" s="239" t="str">
        <f>IF(A37=FALSE,"",IF(ALLTHESAME=TRUE,INDEX(PA37:PZ37,MATCH(PC37,PC37:PC142,0),MATCH(Structure!$D$22,$PA$14:$PZ$14,0)),INDEX(QA37:QZ37,MATCH(QC37,QC37:QC142,0),MATCH(Structure!$D$22,$QA$14:$QZ$14,0))))</f>
        <v/>
      </c>
      <c r="CS37" s="341" t="str">
        <f>IF(A37=FALSE,"",IF(ALLTHESAME=TRUE,INDEX(RA37:RZ37,MATCH(RC37,RC37:RC142,0),MATCH(Structure!$D$22,$RA$14:$RZ$14,0)),INDEX(SA37:TC37,MATCH(SC37,SC37:SC142,0),MATCH(Structure!$D$22,$SA$14:$TC$14,0))))</f>
        <v/>
      </c>
      <c r="CT37" s="347"/>
      <c r="CU37" s="239" t="str">
        <f t="shared" si="242"/>
        <v/>
      </c>
      <c r="CV37" s="239" t="str">
        <f>IF(A37=FALSE,"",IF(ALLTHESAME=TRUE,INDEX(DD37:DZ37,MATCH(DF37,DF37:DF142,0),MATCH(Structure!$D$8,$DD$14:$DZ$14,0)),INDEX(EA37:EZ37,MATCH(EC37,EC37:EC142,0),MATCH(Structure!$D$8,$EA$14:$EZ$14,0))))</f>
        <v/>
      </c>
      <c r="CW37" s="239" t="str">
        <f>IF(A37=FALSE,"",IF(ALLTHESAME=TRUE,INDEX(FA37:FZ37,MATCH(FC37,FC37:FC142,0),MATCH(Structure!$D$8,$FA$14:$FZ$14,0)),INDEX(GA37:GZ37,MATCH(GC37,GC37:GC142,0),MATCH(Structure!$D$8,$GA$14:$GZ$14,0))))</f>
        <v/>
      </c>
      <c r="CX37" s="239" t="str">
        <f>IF(A37=FALSE,"",IF(ALLTHESAME=TRUE,INDEX(HA37:HZ37,MATCH(HC37,HC37:HC142,0),MATCH(Structure!$D$8,$HA$14:$HZ$14,0)),INDEX(IA37:IZ37,MATCH(IC37,IC37:IC142,0),MATCH(Structure!$D$8,$IA$14:$IZ$14,0))))</f>
        <v/>
      </c>
      <c r="CY37" s="239" t="str">
        <f>IF(A37=FALSE,"",IF(ALLTHESAME=TRUE,INDEX(JA37:JZ37,MATCH(JC37,JC37:JC142,0),MATCH(Structure!$D$8,$JA$14:$JZ$14,0)),INDEX(KA37:KZ37,MATCH(KC37,KC37:KC142,0),MATCH(Structure!$D$8,$KA$14:$KZ$14,0))))</f>
        <v/>
      </c>
      <c r="CZ37" s="239" t="str">
        <f>IF(A37=FALSE,"",IF(ALLTHESAME=TRUE,INDEX(LA37:LZ37,MATCH(LC37,LC37:LC142,0),MATCH(Structure!$D$8,$LA$14:$LZ$14,0)),INDEX(MA37:MZ37,MATCH(MC37,MC37:MC142,0),MATCH(Structure!$D$8,$MA$14:$MZ$14,0))))</f>
        <v/>
      </c>
      <c r="DA37" s="239" t="str">
        <f>IF(A37=FALSE,"",IF(ALLTHESAME=TRUE,INDEX(NA37:NZ37,MATCH(NC37,NC37:NC142,0),MATCH(Structure!$D$8,$NA$14:$NZ$14,0)),INDEX(OA37:OZ37,MATCH(OC37,OC37:OC142,0),MATCH(Structure!$D$8,$OA$14:$OZ$14,0))))</f>
        <v/>
      </c>
      <c r="DB37" s="239" t="str">
        <f>IF(A37=FALSE,"",IF(ALLTHESAME=TRUE,INDEX(PA37:PZ37,MATCH(PC37,PC37:PC142,0),MATCH(Structure!$D$8,$PA$14:$PZ$14,0)),INDEX(QA37:QZ37,MATCH(QC37,QC37:QC142,0),MATCH(Structure!$D$8,$QA$14:$QZ$14,0))))</f>
        <v/>
      </c>
      <c r="DC37" s="341" t="str">
        <f>IF(A37=FALSE,"",IF(ALLTHESAME=TRUE,INDEX(RA37:RZ37,MATCH(RC37,RC37:RC142,0),MATCH(Structure!$D$8,$RA$14:$RZ$14,0)),INDEX(SA37:TC37,MATCH(SC37,SC37:SC142,0),MATCH(Structure!$D$8,$SA$14:$TC$14,0))))</f>
        <v/>
      </c>
      <c r="DD37" s="492" t="str">
        <f>IF(A37=FALSE,"",Cotations!D37)</f>
        <v/>
      </c>
      <c r="DE37" s="966" t="str">
        <f>IF(A37=FALSE,"",IF(LISTES!$A$17=1,Cotations!AF37,Cotations!$AG$4))</f>
        <v/>
      </c>
      <c r="DF37" s="967" t="str">
        <f t="shared" si="431"/>
        <v/>
      </c>
      <c r="DG37" s="967" t="str">
        <f t="shared" si="243"/>
        <v/>
      </c>
      <c r="DH37" s="967"/>
      <c r="DI37" s="968"/>
      <c r="DJ37" s="968" t="str">
        <f t="shared" si="244"/>
        <v/>
      </c>
      <c r="DK37" s="969" t="str">
        <f>IF(A37=FALSE,"",IF(Cotations!$AH$4="monthly",DJ37/12*L37,DJ37/365*M37))</f>
        <v/>
      </c>
      <c r="DL37" s="970" t="str">
        <f>IF(A37=FALSE,"",Cotations!$AI$4)</f>
        <v/>
      </c>
      <c r="DM37" s="969" t="str">
        <f t="shared" si="245"/>
        <v/>
      </c>
      <c r="DN37" s="969" t="str">
        <f t="shared" si="246"/>
        <v/>
      </c>
      <c r="DO37" s="294" t="str">
        <f t="shared" si="247"/>
        <v/>
      </c>
      <c r="DP37" s="294" t="str">
        <f>IF(A37=FALSE,"",Cotations!$AJ$4)</f>
        <v/>
      </c>
      <c r="DQ37" s="294" t="str">
        <f>IF(A37=FALSE,"",Cotations!$AK$4)</f>
        <v/>
      </c>
      <c r="DR37" s="453" t="str">
        <f>IF(A37=FALSE,"",Cotations!$AL$4)</f>
        <v/>
      </c>
      <c r="DS37" s="294" t="str">
        <f>IF(A37=FALSE,"",IF(DP37="N/A",0,IF(INDEX(LISTES!$F$105:$F$109,MATCH(DP37,LISTES!$C$105:$C$109,0))="FIX",IF(INDEX(LISTES!$E$105:$E$109,MATCH(DP37,LISTES!$C$105:$C$109,0))=12,DQ37/12*L37,DQ37/365*M37),DR37*DO37)))</f>
        <v/>
      </c>
      <c r="DT37" s="971" t="str">
        <f t="shared" si="248"/>
        <v/>
      </c>
      <c r="DU37" s="971" t="str">
        <f>IF(A37=FALSE,"",DT37*Cotations!$AM$4)</f>
        <v/>
      </c>
      <c r="DV37" s="971" t="str">
        <f>IF(A37=FALSE,"",DT37*Cotations!$AN$4)</f>
        <v/>
      </c>
      <c r="DW37" s="972" t="str">
        <f t="shared" si="249"/>
        <v/>
      </c>
      <c r="DX37" s="919" t="str">
        <f>IF(A37=FALSE,"",((DJ37*TAXE)-(DJ37*TAXE*DL37))+IF(DP37="N/A",0,IF(INDEX(LISTES!$F$105:$F$109,MATCH(DP37,LISTES!$C$105:$C$109,0))="FIX",DQ37,DR37*DO37)))</f>
        <v/>
      </c>
      <c r="DY37" s="974"/>
      <c r="DZ37" s="974"/>
      <c r="EA37" s="966" t="str">
        <f>IF(A37=FALSE,"",Cotations!D37)</f>
        <v/>
      </c>
      <c r="EB37" s="294" t="str">
        <f>IF(A37=FALSE,"",IF(LISTES!$A$17=1,Cotations!AF37,Cotations!AG37))</f>
        <v/>
      </c>
      <c r="EC37" s="975" t="str">
        <f t="shared" si="250"/>
        <v/>
      </c>
      <c r="ED37" s="284" t="str">
        <f t="shared" si="251"/>
        <v/>
      </c>
      <c r="EE37" s="975"/>
      <c r="EF37" s="975"/>
      <c r="EG37" s="975" t="str">
        <f t="shared" si="252"/>
        <v/>
      </c>
      <c r="EH37" s="1365" t="str">
        <f t="shared" si="253"/>
        <v/>
      </c>
      <c r="EI37" s="1365" t="str">
        <f t="shared" si="254"/>
        <v/>
      </c>
      <c r="EJ37" s="515" t="str">
        <f>IF(A37=FALSE,"",IF(Cotations!AH37="monthly",EG37/12*L37,EG37/365*M37))</f>
        <v/>
      </c>
      <c r="EK37" s="1364" t="str">
        <f>IF(A37=FALSE,"",IF(Cotations!AH37="monthly",EI37/12*L37,EI37/365*M37))</f>
        <v/>
      </c>
      <c r="EL37" s="662" t="str">
        <f>IF(A37=FALSE,"",IF(Cotations!AI37="","",Cotations!AI37))</f>
        <v/>
      </c>
      <c r="EM37" s="975" t="str">
        <f t="shared" si="255"/>
        <v/>
      </c>
      <c r="EN37" s="284" t="str">
        <f t="shared" si="256"/>
        <v/>
      </c>
      <c r="EO37" s="1365" t="str">
        <f t="shared" si="432"/>
        <v/>
      </c>
      <c r="EP37" s="284" t="str">
        <f t="shared" si="257"/>
        <v/>
      </c>
      <c r="EQ37" s="975" t="str">
        <f>IF(A37=FALSE,"",Cotations!AJ37)</f>
        <v/>
      </c>
      <c r="ER37" s="975" t="str">
        <f>IF(A37=FALSE,"",IF(Cotations!AK37="","",Cotations!AK37))</f>
        <v/>
      </c>
      <c r="ES37" s="662" t="str">
        <f>IF(A37=FALSE,"",Cotations!AL37)</f>
        <v/>
      </c>
      <c r="ET37" s="284" t="str">
        <f>IF(A37=FALSE,"",IF(EQ37="N/A",0,IF(INDEX(LISTES!$F$105:$F$109,MATCH(EQ37,LISTES!$C$105:$C$109,0))="FIX",IF(INDEX(LISTES!$E$105:$E$109,MATCH(EQ37,LISTES!$C$105:$C$109,0))=12,ER37/12*L37,ER37/365*M37),ES37*EP37)))</f>
        <v/>
      </c>
      <c r="EU37" s="971" t="str">
        <f t="shared" si="258"/>
        <v/>
      </c>
      <c r="EV37" s="971" t="str">
        <f>IF(A37=FALSE,"",EU37*Cotations!AM37)</f>
        <v/>
      </c>
      <c r="EW37" s="971" t="str">
        <f>IF(A37=FALSE,"",EU37*Cotations!AN37)</f>
        <v/>
      </c>
      <c r="EX37" s="976" t="str">
        <f t="shared" si="259"/>
        <v/>
      </c>
      <c r="EY37" s="919" t="str">
        <f>IF(A37=FALSE,"",((EG37*TAXE)-(EG37*TAXE*EL37)+EH37)+IF(EQ37="N/A",0,IF(INDEX(LISTES!$F$105:$F$109,MATCH(EQ37,LISTES!$C$105:$C$109,0))="FIX",ER37,ES37*EP37)))</f>
        <v/>
      </c>
      <c r="FA37" s="966" t="str">
        <f>IF(A37=FALSE,"",Cotations!D37)</f>
        <v/>
      </c>
      <c r="FB37" s="479" t="str">
        <f>IF(A37=FALSE,"",IF(LISTES!$A$17=1,Cotations!AO37,Cotations!$AP$4))</f>
        <v/>
      </c>
      <c r="FC37" s="967" t="str">
        <f t="shared" si="260"/>
        <v/>
      </c>
      <c r="FD37" s="967" t="str">
        <f t="shared" si="261"/>
        <v/>
      </c>
      <c r="FE37" s="967"/>
      <c r="FF37" s="968"/>
      <c r="FG37" s="968" t="str">
        <f t="shared" si="262"/>
        <v/>
      </c>
      <c r="FH37" s="969" t="str">
        <f>IF(A37=FALSE,"",IF(Cotations!$AQ$4="monthly",FG37/12*L37,FG37/365*M37))</f>
        <v/>
      </c>
      <c r="FI37" s="970" t="str">
        <f>IF(A37=FALSE,"",Cotations!$AR$4)</f>
        <v/>
      </c>
      <c r="FJ37" s="969" t="str">
        <f t="shared" si="263"/>
        <v/>
      </c>
      <c r="FK37" s="969" t="str">
        <f t="shared" si="264"/>
        <v/>
      </c>
      <c r="FL37" s="294" t="str">
        <f t="shared" si="265"/>
        <v/>
      </c>
      <c r="FM37" s="294" t="str">
        <f>IF(A37=FALSE,"",Cotations!$AS$4)</f>
        <v/>
      </c>
      <c r="FN37" s="294" t="str">
        <f>IF(A37=FALSE,"",Cotations!$AT$4)</f>
        <v/>
      </c>
      <c r="FO37" s="453" t="str">
        <f>IF(A37=FALSE,"",Cotations!$AU$4)</f>
        <v/>
      </c>
      <c r="FP37" s="294" t="str">
        <f>IF(A37=FALSE,"",IF(FM37="N/A",0,IF(INDEX(LISTES!$F$105:$F$109,MATCH(FM37,LISTES!$C$105:$C$109,0))="FIX",IF(INDEX(LISTES!$E$105:$E$109,MATCH(FM37,LISTES!$C$105:$C$109,0))=12,FN37/12*L37,FN37/365*M37),FO37*FL37)))</f>
        <v/>
      </c>
      <c r="FQ37" s="971" t="str">
        <f t="shared" si="266"/>
        <v/>
      </c>
      <c r="FR37" s="971" t="str">
        <f>IF(A37=FALSE,"",FQ37*Cotations!$AV$4)</f>
        <v/>
      </c>
      <c r="FS37" s="971" t="str">
        <f>IF(A37=FALSE,"",FQ37*Cotations!$AW$4)</f>
        <v/>
      </c>
      <c r="FT37" s="972" t="str">
        <f t="shared" si="267"/>
        <v/>
      </c>
      <c r="FU37" s="919" t="str">
        <f>IF(A37=FALSE,"",((FG37*TAXE)-(FG37*TAXE*FI37))+IF(FM37="N/A",0,IF(INDEX(LISTES!$F$105:$F$109,MATCH(FM37,LISTES!$C$105:$C$109,0))="FIX",FN37,FO37*FL37)))</f>
        <v/>
      </c>
      <c r="FV37" s="977"/>
      <c r="FW37" s="977"/>
      <c r="FX37" s="977"/>
      <c r="FY37" s="977"/>
      <c r="FZ37" s="977"/>
      <c r="GA37" s="966" t="str">
        <f>IF(A37=FALSE,"",Cotations!D37)</f>
        <v/>
      </c>
      <c r="GB37" s="294" t="str">
        <f>IF(A37=FALSE,"",IF(LISTES!$A$17=1,Cotations!AO37,Cotations!AP37))</f>
        <v/>
      </c>
      <c r="GC37" s="975" t="str">
        <f t="shared" si="268"/>
        <v/>
      </c>
      <c r="GD37" s="975" t="str">
        <f>IF(A37=FALSE,"",IF(Detail!AM37="","",Detail!AM37))</f>
        <v/>
      </c>
      <c r="GE37" s="975"/>
      <c r="GF37" s="975"/>
      <c r="GG37" s="975" t="str">
        <f t="shared" si="269"/>
        <v/>
      </c>
      <c r="GH37" s="975" t="str">
        <f>IF(A37=FALSE,"",IF(Cotations!AQ37="monthly",GG37/12*L37,GG37/365*M37))</f>
        <v/>
      </c>
      <c r="GI37" s="662" t="str">
        <f>IF(A37=FALSE,"",IF(Cotations!AR37="","",Cotations!AR37))</f>
        <v/>
      </c>
      <c r="GJ37" s="975" t="str">
        <f t="shared" si="270"/>
        <v/>
      </c>
      <c r="GK37" s="975" t="str">
        <f t="shared" si="271"/>
        <v/>
      </c>
      <c r="GL37" s="284" t="str">
        <f t="shared" si="272"/>
        <v/>
      </c>
      <c r="GM37" s="975" t="str">
        <f>IF(A37=FALSE,"",Cotations!AS37)</f>
        <v/>
      </c>
      <c r="GN37" s="975" t="str">
        <f>IF(A37=FALSE,"",Cotations!AT37)</f>
        <v/>
      </c>
      <c r="GO37" s="662" t="str">
        <f>IF(A37=FALSE,"",Cotations!AU37)</f>
        <v/>
      </c>
      <c r="GP37" s="284" t="str">
        <f>IF(A37=FALSE,"",IF(GM37="N/A",0,IF(INDEX(LISTES!$F$105:$F$109,MATCH(GM37,LISTES!$C$105:$C$109,0))="FIX",IF(INDEX(LISTES!$E$105:$E$109,MATCH(GM37,LISTES!$C$105:$C$109,0))=12,GN37/12*L37,GN37/365*M37),GO37*GL37)))</f>
        <v/>
      </c>
      <c r="GQ37" s="971" t="str">
        <f t="shared" si="273"/>
        <v/>
      </c>
      <c r="GR37" s="971" t="str">
        <f>IF(A37=FALSE,"",GQ37*Cotations!AV37)</f>
        <v/>
      </c>
      <c r="GS37" s="971" t="str">
        <f>IF(A37=FALSE,"",GQ37*Cotations!AW37)</f>
        <v/>
      </c>
      <c r="GT37" s="976" t="str">
        <f t="shared" si="274"/>
        <v/>
      </c>
      <c r="GU37" s="919" t="str">
        <f>IF(A37=FALSE,"",((GG37*TAXE)-(GG37*TAXE*GI37))+IF(GM37="N/A",0,IF(INDEX(LISTES!$F$105:$F$109,MATCH(GM37,LISTES!$C$105:$C$109,0))="FIX",GN37,GO37*GL37)))</f>
        <v/>
      </c>
      <c r="GV37" s="977"/>
      <c r="GW37" s="974"/>
      <c r="GX37" s="974"/>
      <c r="GY37" s="974"/>
      <c r="GZ37" s="974"/>
      <c r="HA37" s="966" t="str">
        <f>IF(A37=FALSE,"",Cotations!D37)</f>
        <v/>
      </c>
      <c r="HB37" s="978" t="str">
        <f>IF(A37=FALSE,"",IF(LISTES!$A$17=1,Cotations!AX37,Cotations!$AY$4))</f>
        <v/>
      </c>
      <c r="HC37" s="967" t="str">
        <f t="shared" si="275"/>
        <v/>
      </c>
      <c r="HD37" s="967" t="str">
        <f t="shared" si="276"/>
        <v/>
      </c>
      <c r="HE37" s="979" t="str">
        <f t="shared" si="277"/>
        <v/>
      </c>
      <c r="HF37" s="980" t="str">
        <f>IF(A37=FALSE,"",IF(HA37="POEA",Cotations!BA37,IF(HA37="FIXE",Cotations!$BA$4,Cotations!$BC$4*Y37)))</f>
        <v/>
      </c>
      <c r="HG37" s="969" t="str">
        <f t="shared" si="278"/>
        <v/>
      </c>
      <c r="HH37" s="969" t="str">
        <f>IF(A37=FALSE,"",IF(Cotations!$AZ$4="monthly",HG37/12*L37,HG37/365*M37))</f>
        <v/>
      </c>
      <c r="HI37" s="970" t="str">
        <f>IF(A37=FALSE,"",Cotations!$BD$4)</f>
        <v/>
      </c>
      <c r="HJ37" s="969" t="str">
        <f t="shared" si="279"/>
        <v/>
      </c>
      <c r="HK37" s="969" t="str">
        <f t="shared" si="280"/>
        <v/>
      </c>
      <c r="HL37" s="294" t="str">
        <f t="shared" si="281"/>
        <v/>
      </c>
      <c r="HM37" s="971" t="str">
        <f>IF(A37=FALSE,"",Cotations!$BE$4)</f>
        <v/>
      </c>
      <c r="HN37" s="969" t="str">
        <f>IF(A37=FALSE,"",Cotations!$BF$4)</f>
        <v/>
      </c>
      <c r="HO37" s="970" t="str">
        <f>IF(A37=FALSE,"",Cotations!$BG$4)</f>
        <v/>
      </c>
      <c r="HP37" s="294" t="str">
        <f>IF(A37=FALSE,"",IF(HM37="N/A",0,IF(INDEX(LISTES!$F$105:$F$109,MATCH(HM37,LISTES!$C$105:$C$109,0))="FIX",IF(INDEX(LISTES!$E$105:$E$109,MATCH(HM37,LISTES!$C$105:$C$109,0))=12,HN37/12*L37,HN37/365*M37),HO37*HL37)))</f>
        <v/>
      </c>
      <c r="HQ37" s="971" t="str">
        <f t="shared" si="282"/>
        <v/>
      </c>
      <c r="HR37" s="971" t="str">
        <f>IF(A37=FALSE,"",HQ37*Cotations!$BH$4)</f>
        <v/>
      </c>
      <c r="HS37" s="971" t="str">
        <f>IF(A37=FALSE,"",HQ37*Cotations!$BI$4)</f>
        <v/>
      </c>
      <c r="HT37" s="971" t="str">
        <f t="shared" si="283"/>
        <v/>
      </c>
      <c r="HU37" s="919" t="str">
        <f>IF(A37=FALSE,"",((HG37*TAXE)-(HG37*TAXE*HI37))+IF(HM37="N/A",0,IF(INDEX(LISTES!$F$105:$F$109,MATCH(HM37,LISTES!$C$105:$C$109,0))="FIX",HN37,HO37*HL37)))</f>
        <v/>
      </c>
      <c r="IA37" s="966" t="str">
        <f>IF(A37=FALSE,"",Cotations!D37)</f>
        <v/>
      </c>
      <c r="IB37" s="981" t="str">
        <f>IF(A37=FALSE,"",IF(LISTES!$A$17=1,Cotations!AX37,Cotations!AY37))</f>
        <v/>
      </c>
      <c r="IC37" s="973" t="str">
        <f t="shared" si="284"/>
        <v/>
      </c>
      <c r="ID37" s="300" t="str">
        <f>IF(A37=FALSE,"",IF(LISTES!$A$17=3,Detail!AU37,lig1_Formula_PREVOY))</f>
        <v/>
      </c>
      <c r="IE37" s="982" t="str">
        <f t="shared" si="285"/>
        <v/>
      </c>
      <c r="IF37" s="490" t="str">
        <f>IF(A37=FALSE,"",IF(IA37="POEA",Cotations!BA37,IF(HA37="FIXE",Cotations!BB37,IF(Cotations!BC37*Y37&lt;50000,Z37,Cotations!BC37*Y37))))</f>
        <v/>
      </c>
      <c r="IG37" s="300" t="str">
        <f t="shared" si="286"/>
        <v/>
      </c>
      <c r="IH37" s="969" t="str">
        <f>IF(A37=FALSE,"",IF(Cotations!AZ37="monthly",IG37/12*L37,IG37/365*M37))</f>
        <v/>
      </c>
      <c r="II37" s="970" t="str">
        <f>IF(A37=FALSE,"",IF(Cotations!BD37="","",Cotations!BD37))</f>
        <v/>
      </c>
      <c r="IJ37" s="969" t="str">
        <f t="shared" si="287"/>
        <v/>
      </c>
      <c r="IK37" s="969" t="str">
        <f t="shared" si="288"/>
        <v/>
      </c>
      <c r="IL37" s="919" t="str">
        <f t="shared" si="289"/>
        <v/>
      </c>
      <c r="IM37" s="973" t="str">
        <f>IF(A37=FALSE,"",Cotations!BE37)</f>
        <v/>
      </c>
      <c r="IN37" s="973" t="str">
        <f>IF(A37=FALSE,"",Cotations!BF37)</f>
        <v/>
      </c>
      <c r="IO37" s="662" t="str">
        <f>IF(A37=FALSE,"",Cotations!BG37)</f>
        <v/>
      </c>
      <c r="IP37" s="919" t="str">
        <f>IF(A37=FALSE,"",IF(IM37="N/A",0,IF(INDEX(LISTES!$F$105:$F$109,MATCH(IM37,LISTES!$C$105:$C$109,0))="FIX",IF(INDEX(LISTES!$E$105:$E$109,MATCH(IM37,LISTES!$C$105:$C$109,0))=12,IN37/12*L37,IN37/365*M37),IO37*IL37)))</f>
        <v/>
      </c>
      <c r="IQ37" s="971" t="str">
        <f t="shared" si="290"/>
        <v/>
      </c>
      <c r="IR37" s="971" t="str">
        <f>IF(A37=FALSE,"",IQ37*Cotations!BH37)</f>
        <v/>
      </c>
      <c r="IS37" s="971" t="str">
        <f>IF(A37=FALSE,"",IQ37*Cotations!BI37)</f>
        <v/>
      </c>
      <c r="IT37" s="338" t="str">
        <f t="shared" si="291"/>
        <v/>
      </c>
      <c r="IU37" s="919" t="str">
        <f>IF(A37=FALSE,"",((IG37*TAXE)-(IG37*TAXE*II37))+IF(IM37="N/A",0,IF(INDEX(LISTES!$F$105:$F$109,MATCH(IM37,LISTES!$C$105:$C$109,0))="FIX",IN37,IO37*IL37)))</f>
        <v/>
      </c>
      <c r="JA37" s="966" t="str">
        <f>IF(A37=FALSE,"",Cotations!D37)</f>
        <v/>
      </c>
      <c r="JB37" s="978" t="str">
        <f>IF(A37=FALSE,"",IF(LISTES!$A$17=1,Cotations!BJ37,Cotations!$BK$4))</f>
        <v/>
      </c>
      <c r="JC37" s="967" t="str">
        <f t="shared" si="292"/>
        <v/>
      </c>
      <c r="JD37" s="967" t="str">
        <f t="shared" si="293"/>
        <v/>
      </c>
      <c r="JE37" s="979" t="str">
        <f t="shared" si="294"/>
        <v/>
      </c>
      <c r="JF37" s="980" t="str">
        <f>IF(A37=FALSE,"",IF(JA37="POEA",Cotations!BM37,IF(JA37="FIXE",Cotations!$BM$4,Cotations!$BO$4*Y37)))</f>
        <v/>
      </c>
      <c r="JG37" s="969" t="str">
        <f t="shared" si="295"/>
        <v/>
      </c>
      <c r="JH37" s="969" t="str">
        <f>IF(A37=FALSE,"",IF(Cotations!$BL$4="monthly",JG37/12*L37,JG37/365*M37))</f>
        <v/>
      </c>
      <c r="JI37" s="970" t="str">
        <f>IF(A37=FALSE,"",Cotations!$BP$4)</f>
        <v/>
      </c>
      <c r="JJ37" s="969" t="str">
        <f t="shared" si="296"/>
        <v/>
      </c>
      <c r="JK37" s="969" t="str">
        <f t="shared" si="297"/>
        <v/>
      </c>
      <c r="JL37" s="294" t="str">
        <f t="shared" si="298"/>
        <v/>
      </c>
      <c r="JM37" s="971" t="str">
        <f>IF(A37=FALSE,"",Cotations!$BQ$4)</f>
        <v/>
      </c>
      <c r="JN37" s="969" t="str">
        <f>IF(A37=FALSE,"",Cotations!$BR$4)</f>
        <v/>
      </c>
      <c r="JO37" s="970" t="str">
        <f>IF(A37=FALSE,"",Cotations!$BS$4)</f>
        <v/>
      </c>
      <c r="JP37" s="294" t="str">
        <f>IF(A37=FALSE,"",IF(JM37="N/A",0,IF(INDEX(LISTES!$F$105:$F$109,MATCH(JM37,LISTES!$C$105:$C$109,0))="FIX",IF(INDEX(LISTES!$E$105:$E$109,MATCH(JM37,LISTES!$C$105:$C$109,0))=12,JN37/12*L37,JN37/365*M37),JO37*JL37)))</f>
        <v/>
      </c>
      <c r="JQ37" s="971" t="str">
        <f t="shared" si="299"/>
        <v/>
      </c>
      <c r="JR37" s="971" t="str">
        <f>IF(A37=FALSE,"",JQ37*Cotations!$BT$4)</f>
        <v/>
      </c>
      <c r="JS37" s="971" t="str">
        <f>IF(A37=FALSE,"",JQ37*Cotations!$BU$4)</f>
        <v/>
      </c>
      <c r="JT37" s="971" t="str">
        <f t="shared" si="300"/>
        <v/>
      </c>
      <c r="JU37" s="919" t="str">
        <f>IF(A37=FALSE,"",((JG37*TAXE)-(JG37*TAXE*JI37))+IF(JM37="N/A",0,IF(INDEX(LISTES!$F$105:$F$109,MATCH(JM37,LISTES!$C$105:$C$109,0))="FIX",JN37,JO37*JL37)))</f>
        <v/>
      </c>
      <c r="KA37" s="966" t="str">
        <f>IF(A37=FALSE,"",Cotations!D37)</f>
        <v/>
      </c>
      <c r="KB37" s="981" t="str">
        <f>IF(A37=FALSE,"",IF(LISTES!$A$17=1,Cotations!BJ37,Cotations!BK37))</f>
        <v/>
      </c>
      <c r="KC37" s="973" t="str">
        <f t="shared" si="301"/>
        <v/>
      </c>
      <c r="KD37" s="969"/>
      <c r="KE37" s="982" t="str">
        <f t="shared" si="302"/>
        <v/>
      </c>
      <c r="KF37" s="490" t="str">
        <f>IF(A37=FALSE,"",IF(KA37="POEA",Cotations!BM37,IF(KA37="FIXE",Cotations!BN37,IF(Cotations!BO37*Y37&lt;50000,Z37,Cotations!BO37*Y37))))</f>
        <v/>
      </c>
      <c r="KG37" s="969" t="str">
        <f t="shared" si="303"/>
        <v/>
      </c>
      <c r="KH37" s="969" t="str">
        <f>IF(A37=FALSE,"",IF(Cotations!BL37="monthly",KG37/12*L37,KG37/365*M37))</f>
        <v/>
      </c>
      <c r="KI37" s="970" t="str">
        <f>IF(A37=FALSE,"",IF(Cotations!BP37="","",Cotations!BP37))</f>
        <v/>
      </c>
      <c r="KJ37" s="969" t="str">
        <f t="shared" si="304"/>
        <v/>
      </c>
      <c r="KK37" s="969" t="str">
        <f t="shared" si="305"/>
        <v/>
      </c>
      <c r="KL37" s="919" t="str">
        <f t="shared" si="306"/>
        <v/>
      </c>
      <c r="KM37" s="973" t="str">
        <f>IF(A37=FALSE,"",Cotations!BQ37)</f>
        <v/>
      </c>
      <c r="KN37" s="975" t="str">
        <f>IF(A37=FALSE,"",Cotations!BR37)</f>
        <v/>
      </c>
      <c r="KO37" s="662" t="str">
        <f>IF(A37=FALSE,"",Cotations!BS37)</f>
        <v/>
      </c>
      <c r="KP37" s="919" t="str">
        <f>IF(A37=FALSE,"",IF(KM37="N/A",0,IF(INDEX(LISTES!$F$105:$F$109,MATCH(KM37,LISTES!$C$105:$C$109,0))="FIX",IF(INDEX(LISTES!$E$105:$E$109,MATCH(KM37,LISTES!$C$105:$C$109,0))=12,KN37/12*L37,KN37/365*M37),KO37*KL37)))</f>
        <v/>
      </c>
      <c r="KQ37" s="971" t="str">
        <f t="shared" si="307"/>
        <v/>
      </c>
      <c r="KR37" s="971" t="str">
        <f>IF(A37=FALSE,"",KQ37*Cotations!BT37)</f>
        <v/>
      </c>
      <c r="KS37" s="971" t="str">
        <f>IF(A37=FALSE,"",KQ37*Cotations!BU37)</f>
        <v/>
      </c>
      <c r="KT37" s="338" t="str">
        <f t="shared" si="308"/>
        <v/>
      </c>
      <c r="KU37" s="919" t="str">
        <f>IF(A37=FALSE,"",((KG37*TAXE)-(KG37*TAXE*KI37))+IF(KM37="N/A",0,IF(INDEX(LISTES!$F$105:$F$109,MATCH(KM37,LISTES!$C$105:$C$109,0))="FIX",KN37,KO37*KL37)))</f>
        <v/>
      </c>
      <c r="LA37" s="984" t="str">
        <f>IF(A37=FALSE,"",Cotations!D37)</f>
        <v/>
      </c>
      <c r="LB37" s="985" t="str">
        <f>IF(A37=FALSE,"",IF(LISTES!$A$17=1,Cotations!BV37,Cotations!$BW$4))</f>
        <v/>
      </c>
      <c r="LC37" s="986" t="str">
        <f t="shared" si="309"/>
        <v/>
      </c>
      <c r="LD37" s="986" t="str">
        <f t="shared" si="310"/>
        <v/>
      </c>
      <c r="LE37" s="987" t="str">
        <f t="shared" si="311"/>
        <v/>
      </c>
      <c r="LF37" s="988" t="str">
        <f>IF(A37=FALSE,"",IF(LA37="POEA",Cotations!EJ37,IF(LA37="FIXE",Cotations!$BY$4,Cotations!$CA$4*Y37)))</f>
        <v/>
      </c>
      <c r="LG37" s="989" t="str">
        <f t="shared" si="312"/>
        <v/>
      </c>
      <c r="LH37" s="989" t="str">
        <f>IF(A37=FALSE,"",IF(Cotations!$BX$4="monthly",LG37/12*L37,LG37/365*M37))</f>
        <v/>
      </c>
      <c r="LI37" s="990" t="str">
        <f>IF(A37=FALSE,"",Cotations!$CB$4)</f>
        <v/>
      </c>
      <c r="LJ37" s="989" t="str">
        <f t="shared" si="313"/>
        <v/>
      </c>
      <c r="LK37" s="989" t="str">
        <f t="shared" si="314"/>
        <v/>
      </c>
      <c r="LL37" s="504" t="str">
        <f t="shared" si="315"/>
        <v/>
      </c>
      <c r="LM37" s="991" t="str">
        <f>IF(A37=FALSE,"",Cotations!$CC$4)</f>
        <v/>
      </c>
      <c r="LN37" s="990" t="str">
        <f>IF(A37=FALSE,"",Cotations!$CD$4)</f>
        <v/>
      </c>
      <c r="LO37" s="990" t="str">
        <f>IF(A37=FALSE,"",Cotations!$CE$4)</f>
        <v/>
      </c>
      <c r="LP37" s="504" t="str">
        <f>IF(A37=FALSE,"",IF(LM37="N/A",0,IF(INDEX(LISTES!$F$105:$F$109,MATCH(LM37,LISTES!$C$105:$C$109,0))="FIX",IF(INDEX(LISTES!$E$105:$E$109,MATCH(LM37,LISTES!$C$105:$C$109,0))=12,LN37/12*L37,LN37/365*M37),LO37*LL37)))</f>
        <v/>
      </c>
      <c r="LQ37" s="991" t="str">
        <f t="shared" si="316"/>
        <v/>
      </c>
      <c r="LR37" s="991" t="str">
        <f>IF(A37=FALSE,"",LQ37*Cotations!$CF$4)</f>
        <v/>
      </c>
      <c r="LS37" s="991" t="str">
        <f>IF(A37=FALSE,"",LQ37*Cotations!$CG$4)</f>
        <v/>
      </c>
      <c r="LT37" s="992" t="str">
        <f t="shared" si="317"/>
        <v/>
      </c>
      <c r="LU37" s="919" t="str">
        <f>IF(A37=FALSE,"",((LG37*TAXE)-(LG37*TAXE*LI37))+IF(LM37="N/A",0,IF(INDEX(LISTES!$F$105:$F$109,MATCH(LM37,LISTES!$C$105:$C$109,0))="FIX",LN37,LO37*LL37)))</f>
        <v/>
      </c>
      <c r="MA37" s="966" t="str">
        <f>IF(A37=FALSE,"",Cotations!D37)</f>
        <v/>
      </c>
      <c r="MB37" s="981" t="str">
        <f>IF(A37=FALSE,"",IF(LISTES!$A$17=1,Cotations!BV37,Cotations!BW37))</f>
        <v/>
      </c>
      <c r="MC37" s="973" t="str">
        <f t="shared" si="318"/>
        <v/>
      </c>
      <c r="MD37" s="969"/>
      <c r="ME37" s="982" t="str">
        <f t="shared" si="319"/>
        <v/>
      </c>
      <c r="MF37" s="983" t="str">
        <f>IF(A37=FALSE,"",IF(MA37="POEA",Cotations!BY37,IF(MA37="FIXE",Cotations!BZ37,IF(Cotations!CA37*Y37&lt;50000,Z37,Cotations!CA37*Y37))))</f>
        <v/>
      </c>
      <c r="MG37" s="969" t="str">
        <f t="shared" si="320"/>
        <v/>
      </c>
      <c r="MH37" s="969" t="str">
        <f>IF(A37=FALSE,"",IF(Cotations!BX37="monthly",MG37/12*L37,MG37/365*M37))</f>
        <v/>
      </c>
      <c r="MI37" s="970" t="str">
        <f>IF(A37=FALSE,"",IF(Cotations!CB37="","",Cotations!CB37))</f>
        <v/>
      </c>
      <c r="MJ37" s="969" t="str">
        <f t="shared" si="321"/>
        <v/>
      </c>
      <c r="MK37" s="969" t="str">
        <f t="shared" si="322"/>
        <v/>
      </c>
      <c r="ML37" s="919" t="str">
        <f t="shared" si="323"/>
        <v/>
      </c>
      <c r="MM37" s="973" t="str">
        <f>IF(A37=FALSE,"",Cotations!CC37)</f>
        <v/>
      </c>
      <c r="MN37" s="975" t="str">
        <f>IF(A37=FALSE,"",Cotations!CD37)</f>
        <v/>
      </c>
      <c r="MO37" s="662" t="str">
        <f>IF(A37=FALSE,"",Cotations!CE37)</f>
        <v/>
      </c>
      <c r="MP37" s="919" t="str">
        <f>IF(A37=FALSE,"",IF(MM37="N/A",0,IF(INDEX(LISTES!$F$105:$F$109,MATCH(MM37,LISTES!$C$105:$C$109,0))="FIX",IF(INDEX(LISTES!$E$105:$E$109,MATCH(MM37,LISTES!$C$105:$C$109,0))=12,MN37/12*L37,MN37/365*M37),MO37*ML37)))</f>
        <v/>
      </c>
      <c r="MQ37" s="971" t="str">
        <f t="shared" si="324"/>
        <v/>
      </c>
      <c r="MR37" s="971" t="str">
        <f>IF(A37=FALSE,"",MQ37*Cotations!CF37)</f>
        <v/>
      </c>
      <c r="MS37" s="971" t="str">
        <f>IF(A37=FALSE,"",MQ37*Cotations!CG37)</f>
        <v/>
      </c>
      <c r="MT37" s="338" t="str">
        <f t="shared" si="325"/>
        <v/>
      </c>
      <c r="MU37" s="919" t="str">
        <f>IF(A37=FALSE,"",((MG37*TAXE)-(MG37*TAXE*MI37))+IF(MM37="N/A",0,IF(INDEX(LISTES!$F$105:$F$109,MATCH(MM37,LISTES!$C$105:$C$109,0))="FIX",MN37,MO37*ML37)))</f>
        <v/>
      </c>
      <c r="NA37" s="984" t="str">
        <f>IF(A37=FALSE,"",Cotations!D37)</f>
        <v/>
      </c>
      <c r="NB37" s="985" t="str">
        <f>IF(A37=FALSE,"",IF(LISTES!$A$17=1,Cotations!CH37,Cotations!$CI$4))</f>
        <v/>
      </c>
      <c r="NC37" s="986" t="str">
        <f t="shared" si="326"/>
        <v/>
      </c>
      <c r="ND37" s="986" t="str">
        <f t="shared" si="327"/>
        <v/>
      </c>
      <c r="NE37" s="987" t="str">
        <f t="shared" si="328"/>
        <v/>
      </c>
      <c r="NF37" s="988" t="str">
        <f>IF(A37=FALSE,"",IF(NA37="POEA",Cotations!CK37,IF(NA37="FIXE",Cotations!$CK$4,Cotations!$CM$4*Y37)))</f>
        <v/>
      </c>
      <c r="NG37" s="989" t="str">
        <f t="shared" si="329"/>
        <v/>
      </c>
      <c r="NH37" s="989" t="str">
        <f>IF(A37=FALSE,"",IF(Cotations!$CJ$4="monthly",NG37/12*L37,NG37/365*M37))</f>
        <v/>
      </c>
      <c r="NI37" s="990" t="str">
        <f>IF(A37=FALSE,"",Cotations!$CN$4)</f>
        <v/>
      </c>
      <c r="NJ37" s="989" t="str">
        <f t="shared" si="330"/>
        <v/>
      </c>
      <c r="NK37" s="989" t="str">
        <f t="shared" si="331"/>
        <v/>
      </c>
      <c r="NL37" s="504" t="str">
        <f t="shared" si="332"/>
        <v/>
      </c>
      <c r="NM37" s="991" t="str">
        <f>IF(A37=FALSE,"",Cotations!$CO$4)</f>
        <v/>
      </c>
      <c r="NN37" s="989" t="str">
        <f>IF(A37=FALSE,"",Cotations!$CP$4)</f>
        <v/>
      </c>
      <c r="NO37" s="990" t="str">
        <f>IF(A37=FALSE,"",Cotations!$CQ$4)</f>
        <v/>
      </c>
      <c r="NP37" s="504" t="str">
        <f>IF(A37=FALSE,"",IF(NM37="N/A",0,IF(INDEX(LISTES!$F$105:$F$109,MATCH(NM37,LISTES!$C$105:$C$109,0))="FIX",IF(INDEX(LISTES!$E$105:$E$109,MATCH(NM37,LISTES!$C$105:$C$109,0))=12,NN37/12*L37,NN37/365*M37),NO37*NL37)))</f>
        <v/>
      </c>
      <c r="NQ37" s="991" t="str">
        <f t="shared" si="333"/>
        <v/>
      </c>
      <c r="NR37" s="991" t="str">
        <f>IF(A37=FALSE,"",NQ37*Cotations!$CR$4)</f>
        <v/>
      </c>
      <c r="NS37" s="991" t="str">
        <f>IF(A37=FALSE,"",NQ37*Cotations!$CS$4)</f>
        <v/>
      </c>
      <c r="NT37" s="992" t="str">
        <f t="shared" si="334"/>
        <v/>
      </c>
      <c r="NU37" s="919" t="str">
        <f>IF(A37=FALSE,"",((NG37*TAXE)-(NG37*TAXE*NI37))+IF(NM37="N/A",0,IF(INDEX(LISTES!$F$105:$F$109,MATCH(NM37,LISTES!$C$105:$C$109,0))="FIX",NN37,NO37*NL37)))</f>
        <v/>
      </c>
      <c r="OA37" s="966" t="str">
        <f>IF(A37=FALSE,"",Cotations!D37)</f>
        <v/>
      </c>
      <c r="OB37" s="981" t="str">
        <f>IF(A37=FALSE,"",IF(LISTES!$A$17=1,Cotations!CH37,Cotations!CI37))</f>
        <v/>
      </c>
      <c r="OC37" s="973" t="str">
        <f t="shared" si="335"/>
        <v/>
      </c>
      <c r="OD37" s="969"/>
      <c r="OE37" s="982" t="str">
        <f t="shared" si="336"/>
        <v/>
      </c>
      <c r="OF37" s="983" t="str">
        <f>IF(A37=FALSE,"",IF(OA37="POEA",Cotations!CK37,IF(OA37="FIXE",Cotations!CL37,IF(Cotations!CM37*Y37&lt;50000,Z37,Cotations!CM37*Y37))))</f>
        <v/>
      </c>
      <c r="OG37" s="969" t="str">
        <f t="shared" si="337"/>
        <v/>
      </c>
      <c r="OH37" s="969" t="str">
        <f>IF(A37=FALSE,"",IF(Cotations!CJ37="monthly",OG37/12*L37,OG37/365*M37))</f>
        <v/>
      </c>
      <c r="OI37" s="970" t="str">
        <f>IF(A37=FALSE,"",IF(Cotations!CN37="","",Cotations!CN37))</f>
        <v/>
      </c>
      <c r="OJ37" s="969" t="str">
        <f t="shared" si="338"/>
        <v/>
      </c>
      <c r="OK37" s="969" t="str">
        <f t="shared" si="339"/>
        <v/>
      </c>
      <c r="OL37" s="919" t="str">
        <f t="shared" si="340"/>
        <v/>
      </c>
      <c r="OM37" s="973" t="str">
        <f>IF(A37=FALSE,"",Cotations!CO37)</f>
        <v/>
      </c>
      <c r="ON37" s="975" t="str">
        <f>IF(A37=FALSE,"",Cotations!CP37)</f>
        <v/>
      </c>
      <c r="OO37" s="662" t="str">
        <f>IF(A37=FALSE,"",Cotations!CQ37)</f>
        <v/>
      </c>
      <c r="OP37" s="919" t="str">
        <f>IF(A37=FALSE,"",IF(OM37="N/A",0,IF(INDEX(LISTES!$F$105:$F$109,MATCH(OM37,LISTES!$C$105:$C$109,0))="FIX",IF(INDEX(LISTES!$E$105:$E$109,MATCH(OM37,LISTES!$C$105:$C$109,0))=12,ON37/12*L37,ON37/365*M37),OO37*OL37)))</f>
        <v/>
      </c>
      <c r="OQ37" s="971" t="str">
        <f t="shared" si="341"/>
        <v/>
      </c>
      <c r="OR37" s="971" t="str">
        <f>IF(A37=FALSE,"",OQ37*Cotations!CR37)</f>
        <v/>
      </c>
      <c r="OS37" s="971" t="str">
        <f>IF(A37=FALSE,"",OQ37*Cotations!CS37)</f>
        <v/>
      </c>
      <c r="OT37" s="338" t="str">
        <f t="shared" si="342"/>
        <v/>
      </c>
      <c r="OU37" s="919" t="str">
        <f>IF(A37=FALSE,"",((OG37*TAXE)-(OG37*TAXE*OI37))+IF(OM37="N/A",0,IF(INDEX(LISTES!$F$105:$F$109,MATCH(OM37,LISTES!$C$105:$C$109,0))="FIX",ON37,OO37*OL37)))</f>
        <v/>
      </c>
      <c r="PA37" s="984" t="str">
        <f t="shared" si="343"/>
        <v/>
      </c>
      <c r="PB37" s="985" t="str">
        <f>IF(A37=FALSE,"",IF(LISTES!$A$17=1,Cotations!CT37,Cotations!$CU$4))</f>
        <v/>
      </c>
      <c r="PC37" s="986" t="str">
        <f t="shared" si="344"/>
        <v/>
      </c>
      <c r="PD37" s="986" t="str">
        <f t="shared" si="345"/>
        <v/>
      </c>
      <c r="PE37" s="987" t="str">
        <f t="shared" si="346"/>
        <v/>
      </c>
      <c r="PF37" s="988" t="str">
        <f>IF(A37=FALSE,"",Cotations!$CY$4*Y37)</f>
        <v/>
      </c>
      <c r="PG37" s="989" t="str">
        <f t="shared" si="347"/>
        <v/>
      </c>
      <c r="PH37" s="989" t="str">
        <f>IF(A37=FALSE,"",IF(Cotations!$CV$4="monthly",PG37/12*L37,PG37/365*M37))</f>
        <v/>
      </c>
      <c r="PI37" s="990" t="str">
        <f>IF(A37=FALSE,"",Cotations!$CZ$4)</f>
        <v/>
      </c>
      <c r="PJ37" s="989" t="str">
        <f t="shared" si="348"/>
        <v/>
      </c>
      <c r="PK37" s="989" t="str">
        <f t="shared" si="349"/>
        <v/>
      </c>
      <c r="PL37" s="504" t="str">
        <f t="shared" si="350"/>
        <v/>
      </c>
      <c r="PM37" s="991" t="str">
        <f>IF(A37=FALSE,"",Cotations!$DA$4)</f>
        <v/>
      </c>
      <c r="PN37" s="989" t="str">
        <f>IF(A37=FALSE,"",Cotations!$DB$4)</f>
        <v/>
      </c>
      <c r="PO37" s="990" t="str">
        <f>IF(A37=FALSE,"",Cotations!$DC$4)</f>
        <v/>
      </c>
      <c r="PP37" s="504" t="str">
        <f>IF(A37=FALSE,"",IF(PM37="N/A",0,IF(INDEX(LISTES!$F$105:$F$109,MATCH(PM37,LISTES!$C$105:$C$109,0))="FIX",IF(INDEX(LISTES!$E$105:$E$109,MATCH(PM37,LISTES!$C$105:$C$109,0))=12,PN37/12*L37,PN37/365*M37),PO37*PL37)))</f>
        <v/>
      </c>
      <c r="PQ37" s="991" t="str">
        <f t="shared" si="351"/>
        <v/>
      </c>
      <c r="PR37" s="991" t="str">
        <f>IF(A37=FALSE,"",PQ37*Cotations!$DD$4)</f>
        <v/>
      </c>
      <c r="PS37" s="991" t="str">
        <f>IF(A37=FALSE,"",PQ37*Cotations!$DE$4)</f>
        <v/>
      </c>
      <c r="PT37" s="992" t="str">
        <f t="shared" si="352"/>
        <v/>
      </c>
      <c r="PU37" s="919" t="str">
        <f>IF(A37=FALSE,"",((PG37*TAXE)-(PG37*TAXE*PI37))+IF(PM37="N/A",0,IF(INDEX(LISTES!$F$105:$F$109,MATCH(PM37,LISTES!$C$105:$C$109,0))="FIX",PN37,PO37*PL37)))</f>
        <v/>
      </c>
      <c r="QA37" s="966" t="str">
        <f t="shared" si="353"/>
        <v/>
      </c>
      <c r="QB37" s="981" t="str">
        <f>IF(A37=FALSE,"",IF(LISTES!$A$17=1,Cotations!CT37,Cotations!CU37))</f>
        <v/>
      </c>
      <c r="QC37" s="973" t="str">
        <f t="shared" si="354"/>
        <v/>
      </c>
      <c r="QD37" s="969"/>
      <c r="QE37" s="982" t="str">
        <f t="shared" si="355"/>
        <v/>
      </c>
      <c r="QF37" s="983" t="str">
        <f>IF(A37=FALSE,"",Cotations!CY37*AA37)</f>
        <v/>
      </c>
      <c r="QG37" s="969" t="str">
        <f t="shared" si="356"/>
        <v/>
      </c>
      <c r="QH37" s="969" t="str">
        <f>IF(A37=FALSE,"",IF(Cotations!CV37="monthly",QG37/12*L37,QG37/365*M37))</f>
        <v/>
      </c>
      <c r="QI37" s="970" t="str">
        <f>IF(A37=FALSE,"",IF(Cotations!CZ37="","",Cotations!CZ37))</f>
        <v/>
      </c>
      <c r="QJ37" s="969" t="str">
        <f t="shared" si="357"/>
        <v/>
      </c>
      <c r="QK37" s="969" t="str">
        <f t="shared" si="358"/>
        <v/>
      </c>
      <c r="QL37" s="919" t="str">
        <f t="shared" si="359"/>
        <v/>
      </c>
      <c r="QM37" s="973" t="str">
        <f>IF(A37=FALSE,"",Cotations!DA37)</f>
        <v/>
      </c>
      <c r="QN37" s="975" t="str">
        <f>IF(A37=FALSE,"",Cotations!DB37)</f>
        <v/>
      </c>
      <c r="QO37" s="662" t="str">
        <f>IF(A37=FALSE,"",Cotations!DC37)</f>
        <v/>
      </c>
      <c r="QP37" s="919" t="str">
        <f>IF(A37=FALSE,"",IF(QM37="N/A",0,IF(INDEX(LISTES!$F$105:$F$109,MATCH(QM37,LISTES!$C$105:$C$109,0))="FIX",IF(INDEX(LISTES!$E$105:$E$109,MATCH(QM37,LISTES!$C$105:$C$109,0))=12,QN37/12*L37,QN37/365*M37),QO37*QL37)))</f>
        <v/>
      </c>
      <c r="QQ37" s="971" t="str">
        <f t="shared" si="360"/>
        <v/>
      </c>
      <c r="QR37" s="971" t="str">
        <f>IF(A37=FALSE,"",QQ37*Cotations!DD37)</f>
        <v/>
      </c>
      <c r="QS37" s="971" t="str">
        <f>IF(A37=FALSE,"",QQ37*Cotations!DE37)</f>
        <v/>
      </c>
      <c r="QT37" s="338" t="str">
        <f t="shared" si="361"/>
        <v/>
      </c>
      <c r="QU37" s="919" t="str">
        <f>IF(A37=FALSE,"",((QG37*TAXE)-(QG37*TAXE*QI37))+IF(QM37="N/A",0,IF(INDEX(LISTES!$F$105:$F$109,MATCH(QM37,LISTES!$C$105:$C$109,0))="FIX",QN37,QO37*QL37)))</f>
        <v/>
      </c>
      <c r="RA37" s="984" t="str">
        <f t="shared" si="362"/>
        <v/>
      </c>
      <c r="RB37" s="985" t="str">
        <f>IF(A37=FALSE,"",IF(LISTES!$A$17=1,Cotations!DF37,Cotations!$DG$4))</f>
        <v/>
      </c>
      <c r="RC37" s="986" t="str">
        <f t="shared" si="363"/>
        <v/>
      </c>
      <c r="RD37" s="986" t="str">
        <f t="shared" si="364"/>
        <v/>
      </c>
      <c r="RE37" s="987" t="str">
        <f t="shared" si="365"/>
        <v/>
      </c>
      <c r="RF37" s="988" t="str">
        <f>IF(A37=FALSE,"",Cotations!$DK$4*Y37)</f>
        <v/>
      </c>
      <c r="RG37" s="989" t="str">
        <f t="shared" si="366"/>
        <v/>
      </c>
      <c r="RH37" s="989" t="str">
        <f>IF(A37=FALSE,"",IF(Cotations!$DH$4="monthly",RG37/12*L37,RG37/365*M37))</f>
        <v/>
      </c>
      <c r="RI37" s="990" t="str">
        <f>IF(A37=FALSE,"",Cotations!$DL$4)</f>
        <v/>
      </c>
      <c r="RJ37" s="989" t="str">
        <f t="shared" si="367"/>
        <v/>
      </c>
      <c r="RK37" s="989" t="str">
        <f t="shared" si="368"/>
        <v/>
      </c>
      <c r="RL37" s="504" t="str">
        <f t="shared" si="369"/>
        <v/>
      </c>
      <c r="RM37" s="991" t="str">
        <f>IF(A37=FALSE,"",Cotations!$DM$4)</f>
        <v/>
      </c>
      <c r="RN37" s="989" t="str">
        <f>IF(A37=FALSE,"",Cotations!$DN$4)</f>
        <v/>
      </c>
      <c r="RO37" s="990" t="str">
        <f>IF(A37=FALSE,"",Cotations!$DO$4)</f>
        <v/>
      </c>
      <c r="RP37" s="504" t="str">
        <f>IF(A37=FALSE,"",IF(RM37="N/A",0,IF(INDEX(LISTES!$F$105:$F$109,MATCH(RM37,LISTES!$C$105:$C$109,0))="FIX",IF(INDEX(LISTES!$E$105:$E$109,MATCH(RM37,LISTES!$C$105:$C$109,0))=12,RN37/12*L37,RN37/365*M37),RO37*RL37)))</f>
        <v/>
      </c>
      <c r="RQ37" s="991" t="str">
        <f t="shared" si="370"/>
        <v/>
      </c>
      <c r="RR37" s="991" t="str">
        <f>IF(A37=FALSE,"",RQ37*Cotations!$DP$4)</f>
        <v/>
      </c>
      <c r="RS37" s="991" t="str">
        <f>IF(A37=FALSE,"",RQ37*Cotations!$DQ$4)</f>
        <v/>
      </c>
      <c r="RT37" s="992" t="str">
        <f t="shared" si="371"/>
        <v/>
      </c>
      <c r="RU37" s="919" t="str">
        <f>IF(A37=FALSE,"",((RG37*TAXE)-(RG37*TAXE*RI37))+IF(RM37="N/A",0,IF(INDEX(LISTES!$F$105:$F$109,MATCH(RM37,LISTES!$C$105:$C$109,0))="FIX",RN37,RO37*RL37)))</f>
        <v/>
      </c>
      <c r="SA37" s="966" t="str">
        <f t="shared" si="372"/>
        <v/>
      </c>
      <c r="SB37" s="981" t="str">
        <f>IF(A37=FALSE,"",IF(LISTES!$A$17=1,Cotations!DF37,Cotations!DG37))</f>
        <v/>
      </c>
      <c r="SC37" s="973" t="str">
        <f t="shared" si="373"/>
        <v/>
      </c>
      <c r="SD37" s="969"/>
      <c r="SE37" s="982" t="str">
        <f t="shared" si="374"/>
        <v/>
      </c>
      <c r="SF37" s="983" t="str">
        <f>IF(A37=FALSE,"",Cotations!DK37*AA37)</f>
        <v/>
      </c>
      <c r="SG37" s="969" t="str">
        <f t="shared" si="375"/>
        <v/>
      </c>
      <c r="SH37" s="969" t="str">
        <f>IF(A37=FALSE,"",IF(Cotations!DH37="monthly",SG37/12*L37,SG37/365*M37))</f>
        <v/>
      </c>
      <c r="SI37" s="970" t="str">
        <f>IF(A37=FALSE,"",IF(Cotations!DL37="","",Cotations!DL37))</f>
        <v/>
      </c>
      <c r="SJ37" s="969" t="str">
        <f t="shared" si="376"/>
        <v/>
      </c>
      <c r="SK37" s="969" t="str">
        <f t="shared" si="377"/>
        <v/>
      </c>
      <c r="SL37" s="919" t="str">
        <f t="shared" si="378"/>
        <v/>
      </c>
      <c r="SM37" s="973" t="str">
        <f>IF(A37=FALSE,"",Cotations!DM37)</f>
        <v/>
      </c>
      <c r="SN37" s="975" t="str">
        <f>IF(A37=FALSE,"",Cotations!DN37)</f>
        <v/>
      </c>
      <c r="SO37" s="662" t="str">
        <f>IF(A37=FALSE,"",Cotations!DO37)</f>
        <v/>
      </c>
      <c r="SP37" s="919" t="str">
        <f>IF(A37=FALSE,"",IF(SM37="N/A",0,IF(INDEX(LISTES!$F$105:$F$109,MATCH(SM37,LISTES!$C$105:$C$109,0))="FIX",IF(INDEX(LISTES!$E$105:$E$109,MATCH(SM37,LISTES!$C$105:$C$109,0))=12,SN37/12*L37,SN37/365*M37),SO37*SL37)))</f>
        <v/>
      </c>
      <c r="SQ37" s="971" t="str">
        <f t="shared" si="379"/>
        <v/>
      </c>
      <c r="SR37" s="971" t="str">
        <f>IF(A37=FALSE,"",SQ37*Cotations!DP37)</f>
        <v/>
      </c>
      <c r="SS37" s="971" t="str">
        <f>IF(A37=FALSE,"",SQ37*Cotations!DQ37)</f>
        <v/>
      </c>
      <c r="ST37" s="338" t="str">
        <f t="shared" si="380"/>
        <v/>
      </c>
      <c r="SU37" s="919" t="str">
        <f>IF(A37=FALSE,"",((SG37*TAXE)-(SG37*TAXE*SI37))+IF(SM37="N/A",0,IF(INDEX(LISTES!$F$105:$F$109,MATCH(SM37,LISTES!$C$105:$C$109,0))="FIX",SN37,SO37*SL37)))</f>
        <v/>
      </c>
      <c r="TA37" s="966" t="str">
        <f>IF(A37=FALSE,"",Cotations!D37)</f>
        <v/>
      </c>
      <c r="TB37" s="981" t="str">
        <f>IF(A37=FALSE,"",IF(LISTES!$A$17=1,Cotations!DR37,Cotations!DS37))</f>
        <v/>
      </c>
      <c r="TC37" s="919" t="str">
        <f t="shared" si="381"/>
        <v/>
      </c>
      <c r="TD37" s="300" t="str">
        <f>IF(A37=FALSE,"",Detail!CQ37)</f>
        <v/>
      </c>
      <c r="TE37" s="461" t="str">
        <f t="shared" si="382"/>
        <v/>
      </c>
      <c r="TF37" s="983" t="str">
        <f>IF(A37=FALSE,"",IF(TA37="FIXE",Cotations!DU37,Cotations!DV37*Y37))</f>
        <v/>
      </c>
      <c r="TG37" s="300" t="str">
        <f t="shared" si="383"/>
        <v/>
      </c>
      <c r="TH37" s="300" t="str">
        <f>IF(A37=FALSE,"",IF(Cotations!DT37="monthly",TG37/12*L37,TG37/365*M37))</f>
        <v/>
      </c>
      <c r="TI37" s="453" t="str">
        <f>IF(A37=FALSE,"",IF(Cotations!DW37="","",Cotations!DW37))</f>
        <v/>
      </c>
      <c r="TJ37" s="300" t="str">
        <f t="shared" si="384"/>
        <v/>
      </c>
      <c r="TK37" s="300" t="str">
        <f t="shared" si="385"/>
        <v/>
      </c>
      <c r="TL37" s="919" t="str">
        <f t="shared" si="386"/>
        <v/>
      </c>
      <c r="TM37" s="919" t="str">
        <f>IF(A37=FALSE,"",Cotations!DX37)</f>
        <v/>
      </c>
      <c r="TN37" s="919" t="str">
        <f>IF(A37=FALSE,"",Cotations!DY37)</f>
        <v/>
      </c>
      <c r="TO37" s="665" t="str">
        <f>IF(A37=FALSE,"",Cotations!DZ37)</f>
        <v/>
      </c>
      <c r="TP37" s="919" t="str">
        <f>IF(A37=FALSE,"",IF(TM37="N/A",0,IF(INDEX(LISTES!$F$105:$F$109,MATCH(TM37,LISTES!$C$105:$C$109,0))="FIX",IF(INDEX(LISTES!$E$105:$E$109,MATCH(TM37,LISTES!$C$105:$C$109,0))=12,TN37/12*L37,TN37/365*M37),TO37*TL37)))</f>
        <v/>
      </c>
      <c r="TQ37" s="294" t="str">
        <f t="shared" si="387"/>
        <v/>
      </c>
      <c r="TR37" s="294" t="str">
        <f>IF(A37=FALSE,"",TQ37*Cotations!EA37)</f>
        <v/>
      </c>
      <c r="TS37" s="294" t="str">
        <f>IF(A37=FALSE,"",TQ37*Cotations!EB37)</f>
        <v/>
      </c>
      <c r="TT37" s="338" t="str">
        <f t="shared" si="388"/>
        <v/>
      </c>
      <c r="TU37" s="919" t="str">
        <f>IF(A37=FALSE,"",((TG37*(1+TAXE)-(TG37*(1+TAXE)*TI37))+IF(TM37="N/A",0,IF(INDEX(LISTES!$F$105:$F$109,MATCH(TM37,LISTES!$C$105:$C$109,0))="FIX",TN37,TO37*TL37))))</f>
        <v/>
      </c>
      <c r="UA37" s="966" t="str">
        <f>IF(A37=FALSE,"",Cotations!D37)</f>
        <v/>
      </c>
      <c r="UB37" s="981" t="str">
        <f>IF(A37=FALSE,"",IF(LISTES!$A$17=1,Cotations!EC37,Cotations!ED37))</f>
        <v/>
      </c>
      <c r="UC37" s="919" t="str">
        <f t="shared" si="389"/>
        <v/>
      </c>
      <c r="UD37" s="300" t="str">
        <f>IF(A37=FALSE,"",Detail!CY37)</f>
        <v/>
      </c>
      <c r="UE37" s="461" t="str">
        <f t="shared" si="390"/>
        <v/>
      </c>
      <c r="UF37" s="983" t="str">
        <f>IF(A37=FALSE,"",IF(UA37="FIXE",Cotations!EF37,Cotations!EG37*Y37))</f>
        <v/>
      </c>
      <c r="UG37" s="300" t="str">
        <f t="shared" si="391"/>
        <v/>
      </c>
      <c r="UH37" s="300" t="str">
        <f>IF(A37=FALSE,"",IF(Cotations!EE37="monthly",UG37/12*L37,UG37/365*M37))</f>
        <v/>
      </c>
      <c r="UI37" s="453" t="str">
        <f>IF(A37=FALSE,"",IF(Cotations!EH37="","",Cotations!EH37))</f>
        <v/>
      </c>
      <c r="UJ37" s="300" t="str">
        <f t="shared" si="392"/>
        <v/>
      </c>
      <c r="UK37" s="300" t="str">
        <f t="shared" si="393"/>
        <v/>
      </c>
      <c r="UL37" s="919" t="str">
        <f t="shared" si="394"/>
        <v/>
      </c>
      <c r="UM37" s="919" t="str">
        <f>IF(A37=FALSE,"",Cotations!EI37)</f>
        <v/>
      </c>
      <c r="UN37" s="919" t="str">
        <f>IF(A37=FALSE,"",Cotations!EJ37)</f>
        <v/>
      </c>
      <c r="UO37" s="665" t="str">
        <f>IF(A37=FALSE,"",Cotations!EK37)</f>
        <v/>
      </c>
      <c r="UP37" s="919" t="str">
        <f>IF(A37=FALSE,"",IF(UM37="N/A",0,IF(INDEX(LISTES!$F$105:$F$109,MATCH(UM37,LISTES!$C$105:$C$109,0))="FIX",IF(INDEX(LISTES!$E$105:$E$109,MATCH(UM37,LISTES!$C$105:$C$109,0))=12,UN37/12*L37,UN37/365*M37),UO37*UL37)))</f>
        <v/>
      </c>
      <c r="UQ37" s="294" t="str">
        <f t="shared" si="395"/>
        <v/>
      </c>
      <c r="UR37" s="294" t="str">
        <f>IF(A37=FALSE,"",UQ37*Cotations!EL37)</f>
        <v/>
      </c>
      <c r="US37" s="294" t="str">
        <f>IF(A37=FALSE,"",UQ37*Cotations!EM37)</f>
        <v/>
      </c>
      <c r="UT37" s="338" t="str">
        <f t="shared" si="396"/>
        <v/>
      </c>
      <c r="UU37" s="919" t="str">
        <f>IF(A37=FALSE,"",((UG37*(1+TAXE)-(UG37*(1+TAXE)*UI37))+IF(UM37="N/A",0,IF(INDEX(LISTES!$F$105:$F$109,MATCH(UM37,LISTES!$C$105:$C$109,0))="FIX",UN37,UO37*UL37))))</f>
        <v/>
      </c>
      <c r="VA37" s="492" t="str">
        <f>IF(A37=FALSE,"",Cotations!D37)</f>
        <v/>
      </c>
      <c r="VB37" s="519" t="str">
        <f>IF(A37=FALSE,"",IF(LISTES!$A$17=1,Cotations!EN37,Cotations!EO37))</f>
        <v/>
      </c>
      <c r="VC37" s="291" t="str">
        <f t="shared" si="397"/>
        <v/>
      </c>
      <c r="VD37" s="291" t="str">
        <f t="shared" si="398"/>
        <v/>
      </c>
      <c r="VE37" s="967"/>
      <c r="VF37" s="968"/>
      <c r="VG37" s="463" t="str">
        <f t="shared" si="399"/>
        <v/>
      </c>
      <c r="VH37" s="522" t="str">
        <f>IF(A37=FALSE,"",IF(Cotations!$AQ$4="monthly",VG37/12*L37,VG37/365*M37))</f>
        <v/>
      </c>
      <c r="VI37" s="489" t="str">
        <f>IF(A37=FALSE,"",Cotations!$AR$4)</f>
        <v/>
      </c>
      <c r="VJ37" s="300" t="str">
        <f t="shared" si="400"/>
        <v/>
      </c>
      <c r="VK37" s="300" t="str">
        <f t="shared" si="401"/>
        <v/>
      </c>
      <c r="VL37" s="294" t="str">
        <f t="shared" si="402"/>
        <v/>
      </c>
      <c r="VM37" s="494" t="str">
        <f>IF(A37=FALSE,"",Cotations!$AS$4)</f>
        <v/>
      </c>
      <c r="VN37" s="494" t="str">
        <f>IF(A37=FALSE,"",Cotations!$AT$4)</f>
        <v/>
      </c>
      <c r="VO37" s="489" t="str">
        <f>IF(A37=FALSE,"",Cotations!$AU$4)</f>
        <v/>
      </c>
      <c r="VP37" s="494" t="str">
        <f>IF(A37=FALSE,"",IF(VM37="N/A",0,IF(INDEX(LISTES!$F$105:$F$109,MATCH(VM37,LISTES!$C$105:$C$109,0))="FIX",IF(INDEX(LISTES!$E$105:$E$109,MATCH(VM37,LISTES!$C$105:$C$109,0))=12,VN37/12*L37,VN37/365*M37),VO37*VL37)))</f>
        <v/>
      </c>
      <c r="VQ37" s="294" t="str">
        <f t="shared" si="403"/>
        <v/>
      </c>
      <c r="VR37" s="494" t="str">
        <f>IF(A37=FALSE,"",VQ37*Cotations!$AV$4)</f>
        <v/>
      </c>
      <c r="VS37" s="494" t="str">
        <f>IF(A37=FALSE,"",VQ37*Cotations!$AW$4)</f>
        <v/>
      </c>
      <c r="VT37" s="465" t="str">
        <f t="shared" si="404"/>
        <v/>
      </c>
      <c r="VU37" s="919" t="str">
        <f>IF(A37=FALSE,"",((VG37*TAXE)-(VG37*TAXE*VI37))+IF(VM37="N/A",0,IF(INDEX(LISTES!$F$105:$F$109,MATCH(VM37,LISTES!$C$105:$C$109,0))="FIX",VN37,VO37*VL37)))</f>
        <v/>
      </c>
      <c r="WA37" s="492" t="str">
        <f>IF(A37=FALSE,"",Cotations!D37)</f>
        <v/>
      </c>
      <c r="WB37" s="519" t="str">
        <f>IF(A37=FALSE,"",IF(LISTES!$A$17=1,Cotations!EW37,Cotations!EX37))</f>
        <v/>
      </c>
      <c r="WC37" s="291" t="str">
        <f t="shared" si="405"/>
        <v/>
      </c>
      <c r="WD37" s="291" t="str">
        <f t="shared" si="406"/>
        <v/>
      </c>
      <c r="WE37" s="291"/>
      <c r="WF37" s="463"/>
      <c r="WG37" s="463" t="str">
        <f t="shared" si="407"/>
        <v/>
      </c>
      <c r="WH37" s="522" t="str">
        <f>IF(A37=FALSE,"",IF(Cotations!$AQ$4="monthly",WG37/12*L37,WG37/365*M37))</f>
        <v/>
      </c>
      <c r="WI37" s="489" t="str">
        <f>IF(A37=FALSE,"",Cotations!$AR$4)</f>
        <v/>
      </c>
      <c r="WJ37" s="300" t="str">
        <f t="shared" si="408"/>
        <v/>
      </c>
      <c r="WK37" s="300" t="str">
        <f t="shared" si="409"/>
        <v/>
      </c>
      <c r="WL37" s="294" t="str">
        <f t="shared" si="410"/>
        <v/>
      </c>
      <c r="WM37" s="494" t="str">
        <f>IF(A37=FALSE,"",Cotations!$AS$4)</f>
        <v/>
      </c>
      <c r="WN37" s="494" t="str">
        <f>IF(A37=FALSE,"",Cotations!$AT$4)</f>
        <v/>
      </c>
      <c r="WO37" s="489" t="str">
        <f>IF(A37=FALSE,"",Cotations!$AU$4)</f>
        <v/>
      </c>
      <c r="WP37" s="494" t="str">
        <f>IF(A37=FALSE,"",IF(WM37="N/A",0,IF(INDEX(LISTES!$F$105:$F$109,MATCH(WM37,LISTES!$C$105:$C$109,0))="FIX",IF(INDEX(LISTES!$E$105:$E$109,MATCH(WM37,LISTES!$C$105:$C$109,0))=12,WN37/12*L37,WN37/365*M37),WO37*WL37)))</f>
        <v/>
      </c>
      <c r="WQ37" s="294" t="str">
        <f t="shared" si="411"/>
        <v/>
      </c>
      <c r="WR37" s="494" t="str">
        <f>IF(A37=FALSE,"",WQ37*Cotations!$AV$4)</f>
        <v/>
      </c>
      <c r="WS37" s="494" t="str">
        <f>IF(A37=FALSE,"",WQ37*Cotations!$AW$4)</f>
        <v/>
      </c>
      <c r="WT37" s="465" t="str">
        <f t="shared" si="412"/>
        <v/>
      </c>
      <c r="WU37" s="919" t="str">
        <f>IF(A37=FALSE,"",((WG37*TAXE)-(WG37*TAXE*WI37))+IF(WM37="N/A",0,IF(INDEX(LISTES!$F$105:$F$109,MATCH(WM37,LISTES!$C$105:$C$109,0))="FIX",WN37,WO37*WL37)))</f>
        <v/>
      </c>
    </row>
    <row r="38" spans="1:619" s="965" customFormat="1">
      <c r="A38" s="942" t="b">
        <f t="shared" si="221"/>
        <v>0</v>
      </c>
      <c r="B38" s="942" t="b">
        <f>IF(NAMES!$B$9=TRUE,TRUE,FALSE)</f>
        <v>1</v>
      </c>
      <c r="C38" s="942" t="b">
        <f t="shared" si="413"/>
        <v>0</v>
      </c>
      <c r="D38" s="942" t="b">
        <f t="shared" si="414"/>
        <v>0</v>
      </c>
      <c r="E38" s="802" t="b">
        <f>IF(Cotations!C38="","",Cotations!C38)</f>
        <v>0</v>
      </c>
      <c r="F38" s="802" t="str">
        <f>IF(Cotations!D38="","",Cotations!D38)</f>
        <v>PROP</v>
      </c>
      <c r="G38" s="802" t="str">
        <f>IF(Cotations!E38="","",Cotations!E38)</f>
        <v>2016-2017!</v>
      </c>
      <c r="H38" s="802" t="str">
        <f>IF(Cotations!F38="","",Cotations!F38)</f>
        <v>SINGLE</v>
      </c>
      <c r="I38" s="802" t="str">
        <f>IF(Cotations!G38="","",Cotations!G38)</f>
        <v/>
      </c>
      <c r="J38" s="802" t="str">
        <f>IF(Cotations!H38="","",Cotations!H38)</f>
        <v/>
      </c>
      <c r="K38" s="802" t="str">
        <f>IF(Cotations!I38="","",Cotations!I38)</f>
        <v/>
      </c>
      <c r="L38" s="802" t="str">
        <f>IF(A38=FALSE,"",IF(Cotations!N38="","",Cotations!N38))</f>
        <v/>
      </c>
      <c r="M38" s="802" t="str">
        <f>IF(Cotations!P38="","",Cotations!P38)</f>
        <v/>
      </c>
      <c r="N38" s="943" t="str">
        <f>IF(NAMES!$B$10=TRUE,Cotations!J38,Cotations!L38)</f>
        <v/>
      </c>
      <c r="O38" s="943" t="str">
        <f>IF(NAMES!$B$10=TRUE,Cotations!K38,Cotations!M38)</f>
        <v/>
      </c>
      <c r="P38" s="943" t="str">
        <f t="shared" si="415"/>
        <v/>
      </c>
      <c r="Q38" s="943" t="str">
        <f>IF(A38=FALSE,"",IF(Crewlist!Y38="","",Crewlist!Y38))</f>
        <v/>
      </c>
      <c r="R38" s="964" t="str">
        <f>IF(Cotations!U38="","",Cotations!U38)</f>
        <v/>
      </c>
      <c r="S38" s="943" t="str">
        <f t="shared" si="416"/>
        <v/>
      </c>
      <c r="T38" s="919" t="str">
        <f>IF(A38=FALSE,"",VLOOKUP($U$15:$U$120,Currency!$A$2:$D$10,4,0)*Crewlist!N38)</f>
        <v/>
      </c>
      <c r="U38" s="1355" t="str">
        <f>IF(A38=FALSE,"",IF(IT38=0,Crewlist!M38&amp;"/"&amp;EX38,Crewlist!M38&amp;"/"&amp;IT38))</f>
        <v/>
      </c>
      <c r="V38" s="919" t="str">
        <f>IF(A38=FALSE,"",VLOOKUP($U$15:$U$120,Currency!$A$2:$D$10,4,0)*Detail!Q38)</f>
        <v/>
      </c>
      <c r="W38" s="1355" t="str">
        <f>IF(A38=FALSE,"",IF(IT38=0,Detail!R38&amp;"/"&amp;EX38,Detail!R38&amp;"/"&amp;IT38))</f>
        <v/>
      </c>
      <c r="X38" s="919" t="str">
        <f>IF(A38=FALSE,"",IF(LISTES!$C$17="Crewlist",Calcul!T38,Calcul!V38))</f>
        <v/>
      </c>
      <c r="Y38" s="758" t="str">
        <f t="shared" si="417"/>
        <v/>
      </c>
      <c r="Z38" s="758" t="str">
        <f>IF(A38=FALSE,"",IF(X38=0,0,IF((Cotations!BC38*12*X38)&lt;50000,50000,(12*X38))))</f>
        <v/>
      </c>
      <c r="AA38" s="758" t="str">
        <f t="shared" si="418"/>
        <v/>
      </c>
      <c r="AB38" s="758" t="str">
        <f>IF(A38=FALSE,"",IF(Crewlist!O38=0,"",Crewlist!O38))</f>
        <v/>
      </c>
      <c r="AC38" s="758" t="str">
        <f>IF(I38="","",VLOOKUP($AB$15:$AB$120,Currency!$A$15:$B$34,2,0))</f>
        <v/>
      </c>
      <c r="AD38" s="758" t="str">
        <f t="shared" si="419"/>
        <v/>
      </c>
      <c r="AE38" s="758" t="str">
        <f t="shared" si="420"/>
        <v/>
      </c>
      <c r="AF38" s="758" t="str">
        <f t="shared" si="421"/>
        <v/>
      </c>
      <c r="AG38" s="758" t="str">
        <f t="shared" si="422"/>
        <v/>
      </c>
      <c r="AH38" s="1355" t="str">
        <f t="shared" si="222"/>
        <v/>
      </c>
      <c r="AI38" s="919" t="str">
        <f t="shared" si="423"/>
        <v/>
      </c>
      <c r="AJ38" s="1382" t="str">
        <f t="shared" si="424"/>
        <v/>
      </c>
      <c r="AK38" s="1382" t="str">
        <f t="shared" si="425"/>
        <v/>
      </c>
      <c r="AL38" s="238" t="str">
        <f t="shared" si="223"/>
        <v/>
      </c>
      <c r="AM38" s="238" t="str">
        <f t="shared" si="224"/>
        <v/>
      </c>
      <c r="AN38" s="1374" t="str">
        <f t="shared" si="225"/>
        <v/>
      </c>
      <c r="AO38" s="238" t="str">
        <f t="shared" si="226"/>
        <v/>
      </c>
      <c r="AP38" s="342" t="str">
        <f>IF(A38=FALSE,"",INDEX(Rates!$Z$5:$Z$367,MATCH(EB38,colchoice,0)))</f>
        <v/>
      </c>
      <c r="AQ38" s="238" t="str">
        <f t="shared" si="227"/>
        <v/>
      </c>
      <c r="AR38" s="238" t="str">
        <f t="shared" si="426"/>
        <v/>
      </c>
      <c r="AS38" s="238" t="str">
        <f t="shared" si="427"/>
        <v/>
      </c>
      <c r="AT38" s="238" t="str">
        <f t="shared" si="428"/>
        <v/>
      </c>
      <c r="AU38" s="238" t="str">
        <f t="shared" si="228"/>
        <v/>
      </c>
      <c r="AV38" s="238" t="str">
        <f t="shared" si="429"/>
        <v/>
      </c>
      <c r="AW38" s="238" t="str">
        <f t="shared" si="229"/>
        <v/>
      </c>
      <c r="AX38" s="238" t="str">
        <f t="shared" si="230"/>
        <v/>
      </c>
      <c r="AY38" s="238" t="str">
        <f t="shared" si="231"/>
        <v/>
      </c>
      <c r="AZ38" s="238" t="str">
        <f t="shared" si="232"/>
        <v/>
      </c>
      <c r="BA38" s="238" t="str">
        <f t="shared" si="233"/>
        <v/>
      </c>
      <c r="BB38" s="552" t="str">
        <f t="shared" si="234"/>
        <v/>
      </c>
      <c r="BC38" s="347" t="str">
        <f t="shared" si="235"/>
        <v/>
      </c>
      <c r="BD38" s="239" t="str">
        <f t="shared" si="430"/>
        <v/>
      </c>
      <c r="BE38" s="239" t="str">
        <f>IF(A38=FALSE,"",IF(ALLTHESAME=TRUE,IF(DF38&lt;&gt;$BC$7,0,INDEX(DD38:DZ38,1,MATCH(Structure!$D$12,$DD$14:$DZ$14,0))),IF(EC38&lt;&gt;$BC$7,0,INDEX(EA38:EZ38,1,MATCH(Structure!$D$12,$EA$14:$EZ$14,0)))))</f>
        <v/>
      </c>
      <c r="BF38" s="239" t="str">
        <f>IF(A38=FALSE,"",IF(ALLTHESAME=TRUE,IF(FC38&lt;&gt;$BC$7,0,INDEX(FA38:FZ38,1,MATCH(Structure!$D$12,$FA$14:$FZ$14,0))),IF(GC38&lt;&gt;$BC$7,0,INDEX(GA38:GZ38,1,MATCH(Structure!$D$12,$GA$14:$GZ$14,0)))))</f>
        <v/>
      </c>
      <c r="BG38" s="239" t="str">
        <f>IF(A38=FALSE,"",IF(ALLTHESAME=TRUE,IF(VC38&lt;&gt;$BC$7,0,INDEX(VA38:VZ38,1,MATCH(Structure!$D$12,$VA$14:$VZ$14,0))),IF(VC38&lt;&gt;$BC$7,0,INDEX(VA38:VZ38,1,MATCH(Structure!$D$12,$VA$14:$VZ$14,0)))))</f>
        <v/>
      </c>
      <c r="BH38" s="239" t="str">
        <f>IF(A38=FALSE,"",IF(ALLTHESAME=TRUE,IF(WC38&lt;&gt;$BC$7,0,INDEX(WA38:WY38,1,MATCH(Structure!$D$12,$WA$14:$WZ$14,0))),IF(WC38&lt;&gt;$BC$7,0,INDEX(WA38:WZ38,1,MATCH(Structure!$D$12,$WA$14:$WZ$14,0)))))</f>
        <v/>
      </c>
      <c r="BI38" s="239" t="str">
        <f>IF(A38=FALSE,"",IF(ALLTHESAME=TRUE,IF(HC38&lt;&gt;$BC$7,0,INDEX(HA38:HZ38,1,MATCH(Structure!$D$12,$HA$14:$HZ$14,0)))+TK38,IF(IC38&lt;&gt;$BC$7,0,INDEX(IA38:IZ38,1,MATCH(Structure!$D$12,$IA$14:$IZ$14,0)))+TK38))</f>
        <v/>
      </c>
      <c r="BJ38" s="239" t="str">
        <f>IF(A38=FALSE,"",IF(ALLTHESAME=TRUE,IF(JC38&lt;&gt;$BC$7,0,INDEX(JA38:JZ38,1,MATCH(Structure!$D$12,$JA$14:$JZ$14,0))),IF(KC38&lt;&gt;$BC$7,0,INDEX(KA38:KZ38,1,MATCH(Structure!$D$12,$KA$14:$KZ$14,0)))))</f>
        <v/>
      </c>
      <c r="BK38" s="239" t="str">
        <f>IF(A38=FALSE,"",IF(ALLTHESAME=TRUE,IF(LC38&lt;&gt;$BC$7,0,INDEX(LA38:LZ38,1,MATCH(Structure!$D$12,$LA$14:$LZ$14,0)))+UK38,IF(MC38&lt;&gt;$BC$7,0,INDEX(MA38:MZ38,1,MATCH(Structure!$D$12,$MA$14:$MZ$14,0)))+UK38))</f>
        <v/>
      </c>
      <c r="BL38" s="239" t="str">
        <f>IF(A38=FALSE,"",IF(ALLTHESAME=TRUE,IF(NC38&lt;&gt;$BC$7,0,INDEX(NA38:NZ38,1,MATCH(Structure!$D$12,$NA$14:$NZ$14,0))),IF(OC38&lt;&gt;$BC$7,0,INDEX(OA38:OZ38,1,MATCH(Structure!$D$12,$OA$14:$OZ$14,0)))))</f>
        <v/>
      </c>
      <c r="BM38" s="239" t="str">
        <f>IF(A38=FALSE,"",IF(ALLTHESAME=TRUE,IF(PC38&lt;&gt;$BC$7,0,INDEX(PA38:PZ38,1,MATCH(Structure!$D$12,$PA$14:$PZ$14,0))),IF(QC38&lt;&gt;$BC$7,0,INDEX(QA38:QZ38,1,MATCH(Structure!$D$12,$QA$14:$QZ$14,0)))))</f>
        <v/>
      </c>
      <c r="BN38" s="341" t="str">
        <f>IF(A38=FALSE,"",IF(ALLTHESAME=TRUE,IF(RC38&lt;&gt;$BC$7,0,INDEX(RA38:RZ38,1,MATCH(Structure!$D$12,$RA$14:$RZ$14,0))),IF(SC38&lt;&gt;$BC$7,0,INDEX(SA38:TA38,1,MATCH(Structure!$D$12,$SA$14:$TA$14,0)))))</f>
        <v/>
      </c>
      <c r="BO38" s="507" t="str">
        <f t="shared" si="236"/>
        <v/>
      </c>
      <c r="BP38" s="239" t="str">
        <f t="shared" si="237"/>
        <v/>
      </c>
      <c r="BQ38" s="239" t="str">
        <f>IF(A38=FALSE,"",IF(ALLTHESAME=TRUE,IF(DF38&lt;&gt;$BO$7,0,INDEX(DD38:DZ38,1,MATCH(Structure!$D$12,$DD$14:$DZ$14,0))),IF(EC38&lt;&gt;$BO$7,0,INDEX(EA38:EZ38,1,MATCH(Structure!$D$12,$EA$14:$EZ$14,0)))))</f>
        <v/>
      </c>
      <c r="BR38" s="239" t="str">
        <f>IF(A38=FALSE,"",IF(ALLTHESAME=TRUE,IF(FC38&lt;&gt;$BO$7,0,INDEX(FA38:FZ38,1,MATCH(Structure!$D$12,$FA$14:$FZ$14,0))),IF(GC38&lt;&gt;$BO$7,0,INDEX(GA38:GZ38,1,MATCH(Structure!$D$12,$GA$14:$GZ$14,0)))))</f>
        <v/>
      </c>
      <c r="BS38" s="239" t="str">
        <f>IF(A38=FALSE,"",IF(ALLTHESAME=TRUE,IF(HC38&lt;&gt;$BO$7,0,INDEX(HA38:HZ38,1,MATCH(Structure!$D$12,$HA$14:$HZ$14,0))),IF(IC38&lt;&gt;$BO$7,0,INDEX(IA38:IZ38,1,MATCH(Structure!$D$12,$IA$14:$IZ$14,0)))))</f>
        <v/>
      </c>
      <c r="BT38" s="239" t="str">
        <f>IF(A38=FALSE,"",IF(ALLTHESAME=TRUE,IF(JC38&lt;&gt;$BO$7,0,INDEX(JA38:JZ38,1,MATCH(Structure!$D$12,$JA$14:$JZ$14,0))),IF(KC38&lt;&gt;$BO$7,0,INDEX(KA38:KZ38,1,MATCH(Structure!$D$12,$KA$14:$KZ$14,0)))))</f>
        <v/>
      </c>
      <c r="BU38" s="239" t="str">
        <f>IF(A38=FALSE,"",IF(ALLTHESAME=TRUE,IF(LC38&lt;&gt;$BO$7,0,INDEX(LA38:LZ38,1,MATCH(Structure!$D$12,$LA$14:$LZ$14,0))),IF(MC38&lt;&gt;$BO$7,0,INDEX(MA38:MZ38,1,MATCH(Structure!$D$12,$MA$14:$MZ$14,0)))))</f>
        <v/>
      </c>
      <c r="BV38" s="239" t="str">
        <f>IF(A38=FALSE,"",IF(ALLTHESAME=TRUE,IF(NC38&lt;&gt;$BO$7,0,INDEX(NA38:NZ38,1,MATCH(Structure!$D$12,$NA$14:$NZ$14,0))),IF(OC38&lt;&gt;$BO$7,0,INDEX(OA38:OZ38,1,MATCH(Structure!$D$12,$OA$14:$OZ$14,0)))))</f>
        <v/>
      </c>
      <c r="BW38" s="239" t="str">
        <f>IF(A38=FALSE,"",IF(ALLTHESAME=TRUE,IF(PC38&lt;&gt;$BO$7,0,INDEX(PA38:PZ38,1,MATCH(Structure!$D$12,$PA$14:$PZ$14,0))),IF(QC38&lt;&gt;$BO$7,0,INDEX(QA38:QZ38,1,MATCH(Structure!$D$12,$QA$14:$QZ$14,0)))))</f>
        <v/>
      </c>
      <c r="BX38" s="341" t="str">
        <f>IF(A38=FALSE,"",IF(ALLTHESAME=TRUE,IF(RC38&lt;&gt;$BO$7,0,INDEX(RA38:RZ38,1,MATCH(Structure!$D$12,$RA$14:$RZ$14,0))),IF(SC38&lt;&gt;$BO$7,0,INDEX(SA38:TA38,1,MATCH(Structure!$D$12,$SA$14:$TA$14,0)))))</f>
        <v/>
      </c>
      <c r="BY38" s="347" t="str">
        <f t="shared" si="238"/>
        <v/>
      </c>
      <c r="BZ38" s="507" t="str">
        <f t="shared" si="239"/>
        <v/>
      </c>
      <c r="CA38" s="239" t="str">
        <f t="shared" si="240"/>
        <v/>
      </c>
      <c r="CB38" s="239" t="str">
        <f>IF(A38=FALSE,"",IF(ALLTHESAME=TRUE,INDEX(DD38:DZ38,MATCH(DF38,DF38:DF143,0),MATCH(Structure!$D$17,$DD$14:$DZ$14,0)),INDEX(EA38:EZ38,MATCH(EC38,EC38:EC143,0),MATCH(Structure!$D$17,$EA$14:$EZ$14,0))))</f>
        <v/>
      </c>
      <c r="CC38" s="239" t="str">
        <f>IF(A38=FALSE,"",IF(ALLTHESAME=TRUE,INDEX(FA38:FZ38,MATCH(FC38,FC38:FC143,0),MATCH(Structure!$D$17,$FA$14:$FZ$14,0)),INDEX(GA38:GZ38,MATCH(GC38,GC38:GC143,0),MATCH(Structure!$D$17,$GA$14:$GZ$14,0))))</f>
        <v/>
      </c>
      <c r="CD38" s="239" t="str">
        <f>IF(A38=FALSE,"",IF(ALLTHESAME=TRUE,INDEX(HA38:HZ38,MATCH(HC38,HC38:HC143,0),MATCH(Structure!$D$17,$HA$14:$HZ$14,0)),INDEX(IA38:IZ38,MATCH(IC38,IC38:IC143,0),MATCH(Structure!$D$17,$IA$14:$IZ$14,0))))</f>
        <v/>
      </c>
      <c r="CE38" s="239" t="str">
        <f>IF(A38=FALSE,"",IF(ALLTHESAME=TRUE,INDEX(JA38:JZ38,MATCH(JC38,JC38:JC143,0),MATCH(Structure!$D$17,$JA$14:$JZ$14,0)),INDEX(KA38:KZ38,MATCH(KC38,KC38:KC143,0),MATCH(Structure!$D$17,$KA$14:$KZ$14,0))))</f>
        <v/>
      </c>
      <c r="CF38" s="239" t="str">
        <f>IF(A38=FALSE,"",IF(ALLTHESAME=TRUE,INDEX(LA38:LZ38,MATCH(LC38,LC38:LC143,0),MATCH(Structure!$D$17,$LA$14:$LZ$14,0)),INDEX(MA38:MZ38,MATCH(MC38,MC38:MC143,0),MATCH(Structure!$D$17,$MA$14:$MZ$14,0))))</f>
        <v/>
      </c>
      <c r="CG38" s="239" t="str">
        <f>IF(A38=FALSE,"",IF(ALLTHESAME=TRUE,INDEX(NA38:NZ38,MATCH(NC38,NC38:NC143,0),MATCH(Structure!$D$17,$NA$14:$NZ$14,0)),INDEX(OA38:OZ38,MATCH(OC38,OC38:OC143,0),MATCH(Structure!$D$17,$OA$14:$OZ$14,0))))</f>
        <v/>
      </c>
      <c r="CH38" s="239" t="str">
        <f>IF(A38=FALSE,"",IF(ALLTHESAME=TRUE,INDEX(PA38:PZ38,MATCH(PC38,PC38:PC143,0),MATCH(Structure!$D$17,$PA$14:$PZ$14,0)),INDEX(QA38:QZ38,MATCH(QC38,QC38:QC143,0),MATCH(Structure!$D$17,$QA$14:$QZ$14,0))))</f>
        <v/>
      </c>
      <c r="CI38" s="341" t="str">
        <f>IF(A38=FALSE,"",IF(ALLTHESAME=TRUE,INDEX(RA38:RZ38,MATCH(RC38,RC38:RC143,0),MATCH(Structure!$D$17,$RA$14:$RZ$14,0)),INDEX(SA38:TC38,MATCH(SC38,SC38:SC143,0),MATCH(Structure!$D$17,$SA$14:$TC$14,0))))</f>
        <v/>
      </c>
      <c r="CJ38" s="347"/>
      <c r="CK38" s="239" t="str">
        <f t="shared" si="241"/>
        <v/>
      </c>
      <c r="CL38" s="239" t="str">
        <f>IF(A38=FALSE,"",IF(ALLTHESAME=TRUE,INDEX(DD38:DZ38,MATCH(DF38,DF38:DF143,0),MATCH(Structure!$D$22,$DD$14:$DZ$14,0)),INDEX(EA38:EZ38,MATCH(EC38,EC38:EC143,0),MATCH(Structure!$D$22,$EA$14:$EZ$14,0))))</f>
        <v/>
      </c>
      <c r="CM38" s="239" t="str">
        <f>IF(A38=FALSE,"",IF(ALLTHESAME=TRUE,INDEX(FA38:FZ38,MATCH(FC38,FC38:FC143,0),MATCH(Structure!$D$22,$FA$14:$FZ$14,0)),INDEX(GA38:GZ38,MATCH(GC38,GC38:GC143,0),MATCH(Structure!$D$22,$GA$14:$GZ$14,0))))</f>
        <v/>
      </c>
      <c r="CN38" s="239" t="str">
        <f>IF(A38=FALSE,"",IF(ALLTHESAME=TRUE,INDEX(HA38:HZ38,MATCH(HC38,HC38:HC143,0),MATCH(Structure!$D$22,$HA$14:$HZ$14,0)),INDEX(IA38:IZ38,MATCH(IC38,IC38:IC143,0),MATCH(Structure!$D$22,$IA$14:$IZ$14,0))))</f>
        <v/>
      </c>
      <c r="CO38" s="239" t="str">
        <f>IF(A38=FALSE,"",IF(ALLTHESAME=TRUE,INDEX(JA38:JZ38,MATCH(JC38,JC38:JC143,0),MATCH(Structure!$D$22,$JA$14:$JZ$14,0)),INDEX(KA38:KZ38,MATCH(KC38,KC38:KC143,0),MATCH(Structure!$D$22,$KA$14:$KZ$14,0))))</f>
        <v/>
      </c>
      <c r="CP38" s="239" t="str">
        <f>IF(A38=FALSE,"",IF(ALLTHESAME=TRUE,INDEX(LA38:LZ38,MATCH(LC38,LC38:LC143,0),MATCH(Structure!$D$22,$LA$14:$LZ$14,0)),INDEX(MA38:MZ38,MATCH(MC38,MC38:MC143,0),MATCH(Structure!$D$22,$MA$14:$MZ$14,0))))</f>
        <v/>
      </c>
      <c r="CQ38" s="239" t="str">
        <f>IF(A38=FALSE,"",IF(ALLTHESAME=TRUE,INDEX(NA38:NZ38,MATCH(NC38,NC38:NC143,0),MATCH(Structure!$D$22,$NA$14:$NZ$14,0)),INDEX(OA38:OZ38,MATCH(OC38,OC38:OC143,0),MATCH(Structure!$D$22,$OA$14:$OZ$14,0))))</f>
        <v/>
      </c>
      <c r="CR38" s="239" t="str">
        <f>IF(A38=FALSE,"",IF(ALLTHESAME=TRUE,INDEX(PA38:PZ38,MATCH(PC38,PC38:PC143,0),MATCH(Structure!$D$22,$PA$14:$PZ$14,0)),INDEX(QA38:QZ38,MATCH(QC38,QC38:QC143,0),MATCH(Structure!$D$22,$QA$14:$QZ$14,0))))</f>
        <v/>
      </c>
      <c r="CS38" s="341" t="str">
        <f>IF(A38=FALSE,"",IF(ALLTHESAME=TRUE,INDEX(RA38:RZ38,MATCH(RC38,RC38:RC143,0),MATCH(Structure!$D$22,$RA$14:$RZ$14,0)),INDEX(SA38:TC38,MATCH(SC38,SC38:SC143,0),MATCH(Structure!$D$22,$SA$14:$TC$14,0))))</f>
        <v/>
      </c>
      <c r="CT38" s="347"/>
      <c r="CU38" s="239" t="str">
        <f t="shared" si="242"/>
        <v/>
      </c>
      <c r="CV38" s="239" t="str">
        <f>IF(A38=FALSE,"",IF(ALLTHESAME=TRUE,INDEX(DD38:DZ38,MATCH(DF38,DF38:DF143,0),MATCH(Structure!$D$8,$DD$14:$DZ$14,0)),INDEX(EA38:EZ38,MATCH(EC38,EC38:EC143,0),MATCH(Structure!$D$8,$EA$14:$EZ$14,0))))</f>
        <v/>
      </c>
      <c r="CW38" s="239" t="str">
        <f>IF(A38=FALSE,"",IF(ALLTHESAME=TRUE,INDEX(FA38:FZ38,MATCH(FC38,FC38:FC143,0),MATCH(Structure!$D$8,$FA$14:$FZ$14,0)),INDEX(GA38:GZ38,MATCH(GC38,GC38:GC143,0),MATCH(Structure!$D$8,$GA$14:$GZ$14,0))))</f>
        <v/>
      </c>
      <c r="CX38" s="239" t="str">
        <f>IF(A38=FALSE,"",IF(ALLTHESAME=TRUE,INDEX(HA38:HZ38,MATCH(HC38,HC38:HC143,0),MATCH(Structure!$D$8,$HA$14:$HZ$14,0)),INDEX(IA38:IZ38,MATCH(IC38,IC38:IC143,0),MATCH(Structure!$D$8,$IA$14:$IZ$14,0))))</f>
        <v/>
      </c>
      <c r="CY38" s="239" t="str">
        <f>IF(A38=FALSE,"",IF(ALLTHESAME=TRUE,INDEX(JA38:JZ38,MATCH(JC38,JC38:JC143,0),MATCH(Structure!$D$8,$JA$14:$JZ$14,0)),INDEX(KA38:KZ38,MATCH(KC38,KC38:KC143,0),MATCH(Structure!$D$8,$KA$14:$KZ$14,0))))</f>
        <v/>
      </c>
      <c r="CZ38" s="239" t="str">
        <f>IF(A38=FALSE,"",IF(ALLTHESAME=TRUE,INDEX(LA38:LZ38,MATCH(LC38,LC38:LC143,0),MATCH(Structure!$D$8,$LA$14:$LZ$14,0)),INDEX(MA38:MZ38,MATCH(MC38,MC38:MC143,0),MATCH(Structure!$D$8,$MA$14:$MZ$14,0))))</f>
        <v/>
      </c>
      <c r="DA38" s="239" t="str">
        <f>IF(A38=FALSE,"",IF(ALLTHESAME=TRUE,INDEX(NA38:NZ38,MATCH(NC38,NC38:NC143,0),MATCH(Structure!$D$8,$NA$14:$NZ$14,0)),INDEX(OA38:OZ38,MATCH(OC38,OC38:OC143,0),MATCH(Structure!$D$8,$OA$14:$OZ$14,0))))</f>
        <v/>
      </c>
      <c r="DB38" s="239" t="str">
        <f>IF(A38=FALSE,"",IF(ALLTHESAME=TRUE,INDEX(PA38:PZ38,MATCH(PC38,PC38:PC143,0),MATCH(Structure!$D$8,$PA$14:$PZ$14,0)),INDEX(QA38:QZ38,MATCH(QC38,QC38:QC143,0),MATCH(Structure!$D$8,$QA$14:$QZ$14,0))))</f>
        <v/>
      </c>
      <c r="DC38" s="341" t="str">
        <f>IF(A38=FALSE,"",IF(ALLTHESAME=TRUE,INDEX(RA38:RZ38,MATCH(RC38,RC38:RC143,0),MATCH(Structure!$D$8,$RA$14:$RZ$14,0)),INDEX(SA38:TC38,MATCH(SC38,SC38:SC143,0),MATCH(Structure!$D$8,$SA$14:$TC$14,0))))</f>
        <v/>
      </c>
      <c r="DD38" s="492" t="str">
        <f>IF(A38=FALSE,"",Cotations!D38)</f>
        <v/>
      </c>
      <c r="DE38" s="966" t="str">
        <f>IF(A38=FALSE,"",IF(LISTES!$A$17=1,Cotations!AF38,Cotations!$AG$4))</f>
        <v/>
      </c>
      <c r="DF38" s="967" t="str">
        <f t="shared" si="431"/>
        <v/>
      </c>
      <c r="DG38" s="967" t="str">
        <f t="shared" si="243"/>
        <v/>
      </c>
      <c r="DH38" s="967"/>
      <c r="DI38" s="968"/>
      <c r="DJ38" s="968" t="str">
        <f t="shared" si="244"/>
        <v/>
      </c>
      <c r="DK38" s="969" t="str">
        <f>IF(A38=FALSE,"",IF(Cotations!$AH$4="monthly",DJ38/12*L38,DJ38/365*M38))</f>
        <v/>
      </c>
      <c r="DL38" s="970" t="str">
        <f>IF(A38=FALSE,"",Cotations!$AI$4)</f>
        <v/>
      </c>
      <c r="DM38" s="969" t="str">
        <f t="shared" si="245"/>
        <v/>
      </c>
      <c r="DN38" s="969" t="str">
        <f t="shared" si="246"/>
        <v/>
      </c>
      <c r="DO38" s="294" t="str">
        <f t="shared" si="247"/>
        <v/>
      </c>
      <c r="DP38" s="294" t="str">
        <f>IF(A38=FALSE,"",Cotations!$AJ$4)</f>
        <v/>
      </c>
      <c r="DQ38" s="294" t="str">
        <f>IF(A38=FALSE,"",Cotations!$AK$4)</f>
        <v/>
      </c>
      <c r="DR38" s="453" t="str">
        <f>IF(A38=FALSE,"",Cotations!$AL$4)</f>
        <v/>
      </c>
      <c r="DS38" s="294" t="str">
        <f>IF(A38=FALSE,"",IF(DP38="N/A",0,IF(INDEX(LISTES!$F$105:$F$109,MATCH(DP38,LISTES!$C$105:$C$109,0))="FIX",IF(INDEX(LISTES!$E$105:$E$109,MATCH(DP38,LISTES!$C$105:$C$109,0))=12,DQ38/12*L38,DQ38/365*M38),DR38*DO38)))</f>
        <v/>
      </c>
      <c r="DT38" s="971" t="str">
        <f t="shared" si="248"/>
        <v/>
      </c>
      <c r="DU38" s="971" t="str">
        <f>IF(A38=FALSE,"",DT38*Cotations!$AM$4)</f>
        <v/>
      </c>
      <c r="DV38" s="971" t="str">
        <f>IF(A38=FALSE,"",DT38*Cotations!$AN$4)</f>
        <v/>
      </c>
      <c r="DW38" s="972" t="str">
        <f t="shared" si="249"/>
        <v/>
      </c>
      <c r="DX38" s="919" t="str">
        <f>IF(A38=FALSE,"",((DJ38*TAXE)-(DJ38*TAXE*DL38))+IF(DP38="N/A",0,IF(INDEX(LISTES!$F$105:$F$109,MATCH(DP38,LISTES!$C$105:$C$109,0))="FIX",DQ38,DR38*DO38)))</f>
        <v/>
      </c>
      <c r="DY38" s="974"/>
      <c r="DZ38" s="974"/>
      <c r="EA38" s="966" t="str">
        <f>IF(A38=FALSE,"",Cotations!D38)</f>
        <v/>
      </c>
      <c r="EB38" s="294" t="str">
        <f>IF(A38=FALSE,"",IF(LISTES!$A$17=1,Cotations!AF38,Cotations!AG38))</f>
        <v/>
      </c>
      <c r="EC38" s="975" t="str">
        <f t="shared" si="250"/>
        <v/>
      </c>
      <c r="ED38" s="284" t="str">
        <f t="shared" si="251"/>
        <v/>
      </c>
      <c r="EE38" s="975"/>
      <c r="EF38" s="975"/>
      <c r="EG38" s="975" t="str">
        <f t="shared" si="252"/>
        <v/>
      </c>
      <c r="EH38" s="1365" t="str">
        <f t="shared" si="253"/>
        <v/>
      </c>
      <c r="EI38" s="1365" t="str">
        <f t="shared" si="254"/>
        <v/>
      </c>
      <c r="EJ38" s="515" t="str">
        <f>IF(A38=FALSE,"",IF(Cotations!AH38="monthly",EG38/12*L38,EG38/365*M38))</f>
        <v/>
      </c>
      <c r="EK38" s="1364" t="str">
        <f>IF(A38=FALSE,"",IF(Cotations!AH38="monthly",EI38/12*L38,EI38/365*M38))</f>
        <v/>
      </c>
      <c r="EL38" s="662" t="str">
        <f>IF(A38=FALSE,"",IF(Cotations!AI38="","",Cotations!AI38))</f>
        <v/>
      </c>
      <c r="EM38" s="975" t="str">
        <f t="shared" si="255"/>
        <v/>
      </c>
      <c r="EN38" s="284" t="str">
        <f t="shared" si="256"/>
        <v/>
      </c>
      <c r="EO38" s="1365" t="str">
        <f t="shared" si="432"/>
        <v/>
      </c>
      <c r="EP38" s="284" t="str">
        <f t="shared" si="257"/>
        <v/>
      </c>
      <c r="EQ38" s="975" t="str">
        <f>IF(A38=FALSE,"",Cotations!AJ38)</f>
        <v/>
      </c>
      <c r="ER38" s="975" t="str">
        <f>IF(A38=FALSE,"",IF(Cotations!AK38="","",Cotations!AK38))</f>
        <v/>
      </c>
      <c r="ES38" s="662" t="str">
        <f>IF(A38=FALSE,"",Cotations!AL38)</f>
        <v/>
      </c>
      <c r="ET38" s="284" t="str">
        <f>IF(A38=FALSE,"",IF(EQ38="N/A",0,IF(INDEX(LISTES!$F$105:$F$109,MATCH(EQ38,LISTES!$C$105:$C$109,0))="FIX",IF(INDEX(LISTES!$E$105:$E$109,MATCH(EQ38,LISTES!$C$105:$C$109,0))=12,ER38/12*L38,ER38/365*M38),ES38*EP38)))</f>
        <v/>
      </c>
      <c r="EU38" s="971" t="str">
        <f t="shared" si="258"/>
        <v/>
      </c>
      <c r="EV38" s="971" t="str">
        <f>IF(A38=FALSE,"",EU38*Cotations!AM38)</f>
        <v/>
      </c>
      <c r="EW38" s="971" t="str">
        <f>IF(A38=FALSE,"",EU38*Cotations!AN38)</f>
        <v/>
      </c>
      <c r="EX38" s="976" t="str">
        <f t="shared" si="259"/>
        <v/>
      </c>
      <c r="EY38" s="919" t="str">
        <f>IF(A38=FALSE,"",((EG38*TAXE)-(EG38*TAXE*EL38)+EH38)+IF(EQ38="N/A",0,IF(INDEX(LISTES!$F$105:$F$109,MATCH(EQ38,LISTES!$C$105:$C$109,0))="FIX",ER38,ES38*EP38)))</f>
        <v/>
      </c>
      <c r="FA38" s="966" t="str">
        <f>IF(A38=FALSE,"",Cotations!D38)</f>
        <v/>
      </c>
      <c r="FB38" s="479" t="str">
        <f>IF(A38=FALSE,"",IF(LISTES!$A$17=1,Cotations!AO38,Cotations!$AP$4))</f>
        <v/>
      </c>
      <c r="FC38" s="967" t="str">
        <f t="shared" si="260"/>
        <v/>
      </c>
      <c r="FD38" s="967" t="str">
        <f t="shared" si="261"/>
        <v/>
      </c>
      <c r="FE38" s="967"/>
      <c r="FF38" s="968"/>
      <c r="FG38" s="968" t="str">
        <f t="shared" si="262"/>
        <v/>
      </c>
      <c r="FH38" s="969" t="str">
        <f>IF(A38=FALSE,"",IF(Cotations!$AQ$4="monthly",FG38/12*L38,FG38/365*M38))</f>
        <v/>
      </c>
      <c r="FI38" s="970" t="str">
        <f>IF(A38=FALSE,"",Cotations!$AR$4)</f>
        <v/>
      </c>
      <c r="FJ38" s="969" t="str">
        <f t="shared" si="263"/>
        <v/>
      </c>
      <c r="FK38" s="969" t="str">
        <f t="shared" si="264"/>
        <v/>
      </c>
      <c r="FL38" s="294" t="str">
        <f t="shared" si="265"/>
        <v/>
      </c>
      <c r="FM38" s="294" t="str">
        <f>IF(A38=FALSE,"",Cotations!$AS$4)</f>
        <v/>
      </c>
      <c r="FN38" s="294" t="str">
        <f>IF(A38=FALSE,"",Cotations!$AT$4)</f>
        <v/>
      </c>
      <c r="FO38" s="453" t="str">
        <f>IF(A38=FALSE,"",Cotations!$AU$4)</f>
        <v/>
      </c>
      <c r="FP38" s="294" t="str">
        <f>IF(A38=FALSE,"",IF(FM38="N/A",0,IF(INDEX(LISTES!$F$105:$F$109,MATCH(FM38,LISTES!$C$105:$C$109,0))="FIX",IF(INDEX(LISTES!$E$105:$E$109,MATCH(FM38,LISTES!$C$105:$C$109,0))=12,FN38/12*L38,FN38/365*M38),FO38*FL38)))</f>
        <v/>
      </c>
      <c r="FQ38" s="971" t="str">
        <f t="shared" si="266"/>
        <v/>
      </c>
      <c r="FR38" s="971" t="str">
        <f>IF(A38=FALSE,"",FQ38*Cotations!$AV$4)</f>
        <v/>
      </c>
      <c r="FS38" s="971" t="str">
        <f>IF(A38=FALSE,"",FQ38*Cotations!$AW$4)</f>
        <v/>
      </c>
      <c r="FT38" s="972" t="str">
        <f t="shared" si="267"/>
        <v/>
      </c>
      <c r="FU38" s="919" t="str">
        <f>IF(A38=FALSE,"",((FG38*TAXE)-(FG38*TAXE*FI38))+IF(FM38="N/A",0,IF(INDEX(LISTES!$F$105:$F$109,MATCH(FM38,LISTES!$C$105:$C$109,0))="FIX",FN38,FO38*FL38)))</f>
        <v/>
      </c>
      <c r="FV38" s="977"/>
      <c r="FW38" s="977"/>
      <c r="FX38" s="977"/>
      <c r="FY38" s="977"/>
      <c r="FZ38" s="977"/>
      <c r="GA38" s="966" t="str">
        <f>IF(A38=FALSE,"",Cotations!D38)</f>
        <v/>
      </c>
      <c r="GB38" s="294" t="str">
        <f>IF(A38=FALSE,"",IF(LISTES!$A$17=1,Cotations!AO38,Cotations!AP38))</f>
        <v/>
      </c>
      <c r="GC38" s="975" t="str">
        <f t="shared" si="268"/>
        <v/>
      </c>
      <c r="GD38" s="975" t="str">
        <f>IF(A38=FALSE,"",IF(Detail!AM38="","",Detail!AM38))</f>
        <v/>
      </c>
      <c r="GE38" s="975"/>
      <c r="GF38" s="975"/>
      <c r="GG38" s="975" t="str">
        <f t="shared" si="269"/>
        <v/>
      </c>
      <c r="GH38" s="975" t="str">
        <f>IF(A38=FALSE,"",IF(Cotations!AQ38="monthly",GG38/12*L38,GG38/365*M38))</f>
        <v/>
      </c>
      <c r="GI38" s="662" t="str">
        <f>IF(A38=FALSE,"",IF(Cotations!AR38="","",Cotations!AR38))</f>
        <v/>
      </c>
      <c r="GJ38" s="975" t="str">
        <f t="shared" si="270"/>
        <v/>
      </c>
      <c r="GK38" s="975" t="str">
        <f t="shared" si="271"/>
        <v/>
      </c>
      <c r="GL38" s="284" t="str">
        <f t="shared" si="272"/>
        <v/>
      </c>
      <c r="GM38" s="975" t="str">
        <f>IF(A38=FALSE,"",Cotations!AS38)</f>
        <v/>
      </c>
      <c r="GN38" s="975" t="str">
        <f>IF(A38=FALSE,"",Cotations!AT38)</f>
        <v/>
      </c>
      <c r="GO38" s="662" t="str">
        <f>IF(A38=FALSE,"",Cotations!AU38)</f>
        <v/>
      </c>
      <c r="GP38" s="284" t="str">
        <f>IF(A38=FALSE,"",IF(GM38="N/A",0,IF(INDEX(LISTES!$F$105:$F$109,MATCH(GM38,LISTES!$C$105:$C$109,0))="FIX",IF(INDEX(LISTES!$E$105:$E$109,MATCH(GM38,LISTES!$C$105:$C$109,0))=12,GN38/12*L38,GN38/365*M38),GO38*GL38)))</f>
        <v/>
      </c>
      <c r="GQ38" s="971" t="str">
        <f t="shared" si="273"/>
        <v/>
      </c>
      <c r="GR38" s="971" t="str">
        <f>IF(A38=FALSE,"",GQ38*Cotations!AV38)</f>
        <v/>
      </c>
      <c r="GS38" s="971" t="str">
        <f>IF(A38=FALSE,"",GQ38*Cotations!AW38)</f>
        <v/>
      </c>
      <c r="GT38" s="976" t="str">
        <f t="shared" si="274"/>
        <v/>
      </c>
      <c r="GU38" s="919" t="str">
        <f>IF(A38=FALSE,"",((GG38*TAXE)-(GG38*TAXE*GI38))+IF(GM38="N/A",0,IF(INDEX(LISTES!$F$105:$F$109,MATCH(GM38,LISTES!$C$105:$C$109,0))="FIX",GN38,GO38*GL38)))</f>
        <v/>
      </c>
      <c r="GV38" s="977"/>
      <c r="GW38" s="974"/>
      <c r="GX38" s="974"/>
      <c r="GY38" s="974"/>
      <c r="GZ38" s="974"/>
      <c r="HA38" s="966" t="str">
        <f>IF(A38=FALSE,"",Cotations!D38)</f>
        <v/>
      </c>
      <c r="HB38" s="978" t="str">
        <f>IF(A38=FALSE,"",IF(LISTES!$A$17=1,Cotations!AX38,Cotations!$AY$4))</f>
        <v/>
      </c>
      <c r="HC38" s="967" t="str">
        <f t="shared" si="275"/>
        <v/>
      </c>
      <c r="HD38" s="967" t="str">
        <f t="shared" si="276"/>
        <v/>
      </c>
      <c r="HE38" s="979" t="str">
        <f t="shared" si="277"/>
        <v/>
      </c>
      <c r="HF38" s="980" t="str">
        <f>IF(A38=FALSE,"",IF(HA38="POEA",Cotations!BA38,IF(HA38="FIXE",Cotations!$BA$4,Cotations!$BC$4*Y38)))</f>
        <v/>
      </c>
      <c r="HG38" s="969" t="str">
        <f t="shared" si="278"/>
        <v/>
      </c>
      <c r="HH38" s="969" t="str">
        <f>IF(A38=FALSE,"",IF(Cotations!$AZ$4="monthly",HG38/12*L38,HG38/365*M38))</f>
        <v/>
      </c>
      <c r="HI38" s="970" t="str">
        <f>IF(A38=FALSE,"",Cotations!$BD$4)</f>
        <v/>
      </c>
      <c r="HJ38" s="969" t="str">
        <f t="shared" si="279"/>
        <v/>
      </c>
      <c r="HK38" s="969" t="str">
        <f t="shared" si="280"/>
        <v/>
      </c>
      <c r="HL38" s="294" t="str">
        <f t="shared" si="281"/>
        <v/>
      </c>
      <c r="HM38" s="971" t="str">
        <f>IF(A38=FALSE,"",Cotations!$BE$4)</f>
        <v/>
      </c>
      <c r="HN38" s="969" t="str">
        <f>IF(A38=FALSE,"",Cotations!$BF$4)</f>
        <v/>
      </c>
      <c r="HO38" s="970" t="str">
        <f>IF(A38=FALSE,"",Cotations!$BG$4)</f>
        <v/>
      </c>
      <c r="HP38" s="294" t="str">
        <f>IF(A38=FALSE,"",IF(HM38="N/A",0,IF(INDEX(LISTES!$F$105:$F$109,MATCH(HM38,LISTES!$C$105:$C$109,0))="FIX",IF(INDEX(LISTES!$E$105:$E$109,MATCH(HM38,LISTES!$C$105:$C$109,0))=12,HN38/12*L38,HN38/365*M38),HO38*HL38)))</f>
        <v/>
      </c>
      <c r="HQ38" s="971" t="str">
        <f t="shared" si="282"/>
        <v/>
      </c>
      <c r="HR38" s="971" t="str">
        <f>IF(A38=FALSE,"",HQ38*Cotations!$BH$4)</f>
        <v/>
      </c>
      <c r="HS38" s="971" t="str">
        <f>IF(A38=FALSE,"",HQ38*Cotations!$BI$4)</f>
        <v/>
      </c>
      <c r="HT38" s="971" t="str">
        <f t="shared" si="283"/>
        <v/>
      </c>
      <c r="HU38" s="919" t="str">
        <f>IF(A38=FALSE,"",((HG38*TAXE)-(HG38*TAXE*HI38))+IF(HM38="N/A",0,IF(INDEX(LISTES!$F$105:$F$109,MATCH(HM38,LISTES!$C$105:$C$109,0))="FIX",HN38,HO38*HL38)))</f>
        <v/>
      </c>
      <c r="IA38" s="966" t="str">
        <f>IF(A38=FALSE,"",Cotations!D38)</f>
        <v/>
      </c>
      <c r="IB38" s="981" t="str">
        <f>IF(A38=FALSE,"",IF(LISTES!$A$17=1,Cotations!AX38,Cotations!AY38))</f>
        <v/>
      </c>
      <c r="IC38" s="973" t="str">
        <f t="shared" si="284"/>
        <v/>
      </c>
      <c r="ID38" s="300" t="str">
        <f>IF(A38=FALSE,"",IF(LISTES!$A$17=3,Detail!AU38,lig1_Formula_PREVOY))</f>
        <v/>
      </c>
      <c r="IE38" s="982" t="str">
        <f t="shared" si="285"/>
        <v/>
      </c>
      <c r="IF38" s="490" t="str">
        <f>IF(A38=FALSE,"",IF(IA38="POEA",Cotations!BA38,IF(HA38="FIXE",Cotations!BB38,IF(Cotations!BC38*Y38&lt;50000,Z38,Cotations!BC38*Y38))))</f>
        <v/>
      </c>
      <c r="IG38" s="300" t="str">
        <f t="shared" si="286"/>
        <v/>
      </c>
      <c r="IH38" s="969" t="str">
        <f>IF(A38=FALSE,"",IF(Cotations!AZ38="monthly",IG38/12*L38,IG38/365*M38))</f>
        <v/>
      </c>
      <c r="II38" s="970" t="str">
        <f>IF(A38=FALSE,"",IF(Cotations!BD38="","",Cotations!BD38))</f>
        <v/>
      </c>
      <c r="IJ38" s="969" t="str">
        <f t="shared" si="287"/>
        <v/>
      </c>
      <c r="IK38" s="969" t="str">
        <f t="shared" si="288"/>
        <v/>
      </c>
      <c r="IL38" s="919" t="str">
        <f t="shared" si="289"/>
        <v/>
      </c>
      <c r="IM38" s="973" t="str">
        <f>IF(A38=FALSE,"",Cotations!BE38)</f>
        <v/>
      </c>
      <c r="IN38" s="973" t="str">
        <f>IF(A38=FALSE,"",Cotations!BF38)</f>
        <v/>
      </c>
      <c r="IO38" s="662" t="str">
        <f>IF(A38=FALSE,"",Cotations!BG38)</f>
        <v/>
      </c>
      <c r="IP38" s="919" t="str">
        <f>IF(A38=FALSE,"",IF(IM38="N/A",0,IF(INDEX(LISTES!$F$105:$F$109,MATCH(IM38,LISTES!$C$105:$C$109,0))="FIX",IF(INDEX(LISTES!$E$105:$E$109,MATCH(IM38,LISTES!$C$105:$C$109,0))=12,IN38/12*L38,IN38/365*M38),IO38*IL38)))</f>
        <v/>
      </c>
      <c r="IQ38" s="971" t="str">
        <f t="shared" si="290"/>
        <v/>
      </c>
      <c r="IR38" s="971" t="str">
        <f>IF(A38=FALSE,"",IQ38*Cotations!BH38)</f>
        <v/>
      </c>
      <c r="IS38" s="971" t="str">
        <f>IF(A38=FALSE,"",IQ38*Cotations!BI38)</f>
        <v/>
      </c>
      <c r="IT38" s="338" t="str">
        <f t="shared" si="291"/>
        <v/>
      </c>
      <c r="IU38" s="919" t="str">
        <f>IF(A38=FALSE,"",((IG38*TAXE)-(IG38*TAXE*II38))+IF(IM38="N/A",0,IF(INDEX(LISTES!$F$105:$F$109,MATCH(IM38,LISTES!$C$105:$C$109,0))="FIX",IN38,IO38*IL38)))</f>
        <v/>
      </c>
      <c r="JA38" s="966" t="str">
        <f>IF(A38=FALSE,"",Cotations!D38)</f>
        <v/>
      </c>
      <c r="JB38" s="978" t="str">
        <f>IF(A38=FALSE,"",IF(LISTES!$A$17=1,Cotations!BJ38,Cotations!$BK$4))</f>
        <v/>
      </c>
      <c r="JC38" s="967" t="str">
        <f t="shared" si="292"/>
        <v/>
      </c>
      <c r="JD38" s="967" t="str">
        <f t="shared" si="293"/>
        <v/>
      </c>
      <c r="JE38" s="979" t="str">
        <f t="shared" si="294"/>
        <v/>
      </c>
      <c r="JF38" s="980" t="str">
        <f>IF(A38=FALSE,"",IF(JA38="POEA",Cotations!BM38,IF(JA38="FIXE",Cotations!$BM$4,Cotations!$BO$4*Y38)))</f>
        <v/>
      </c>
      <c r="JG38" s="969" t="str">
        <f t="shared" si="295"/>
        <v/>
      </c>
      <c r="JH38" s="969" t="str">
        <f>IF(A38=FALSE,"",IF(Cotations!$BL$4="monthly",JG38/12*L38,JG38/365*M38))</f>
        <v/>
      </c>
      <c r="JI38" s="970" t="str">
        <f>IF(A38=FALSE,"",Cotations!$BP$4)</f>
        <v/>
      </c>
      <c r="JJ38" s="969" t="str">
        <f t="shared" si="296"/>
        <v/>
      </c>
      <c r="JK38" s="969" t="str">
        <f t="shared" si="297"/>
        <v/>
      </c>
      <c r="JL38" s="294" t="str">
        <f t="shared" si="298"/>
        <v/>
      </c>
      <c r="JM38" s="971" t="str">
        <f>IF(A38=FALSE,"",Cotations!$BQ$4)</f>
        <v/>
      </c>
      <c r="JN38" s="969" t="str">
        <f>IF(A38=FALSE,"",Cotations!$BR$4)</f>
        <v/>
      </c>
      <c r="JO38" s="970" t="str">
        <f>IF(A38=FALSE,"",Cotations!$BS$4)</f>
        <v/>
      </c>
      <c r="JP38" s="294" t="str">
        <f>IF(A38=FALSE,"",IF(JM38="N/A",0,IF(INDEX(LISTES!$F$105:$F$109,MATCH(JM38,LISTES!$C$105:$C$109,0))="FIX",IF(INDEX(LISTES!$E$105:$E$109,MATCH(JM38,LISTES!$C$105:$C$109,0))=12,JN38/12*L38,JN38/365*M38),JO38*JL38)))</f>
        <v/>
      </c>
      <c r="JQ38" s="971" t="str">
        <f t="shared" si="299"/>
        <v/>
      </c>
      <c r="JR38" s="971" t="str">
        <f>IF(A38=FALSE,"",JQ38*Cotations!$BT$4)</f>
        <v/>
      </c>
      <c r="JS38" s="971" t="str">
        <f>IF(A38=FALSE,"",JQ38*Cotations!$BU$4)</f>
        <v/>
      </c>
      <c r="JT38" s="971" t="str">
        <f t="shared" si="300"/>
        <v/>
      </c>
      <c r="JU38" s="919" t="str">
        <f>IF(A38=FALSE,"",((JG38*TAXE)-(JG38*TAXE*JI38))+IF(JM38="N/A",0,IF(INDEX(LISTES!$F$105:$F$109,MATCH(JM38,LISTES!$C$105:$C$109,0))="FIX",JN38,JO38*JL38)))</f>
        <v/>
      </c>
      <c r="KA38" s="966" t="str">
        <f>IF(A38=FALSE,"",Cotations!D38)</f>
        <v/>
      </c>
      <c r="KB38" s="981" t="str">
        <f>IF(A38=FALSE,"",IF(LISTES!$A$17=1,Cotations!BJ38,Cotations!BK38))</f>
        <v/>
      </c>
      <c r="KC38" s="973" t="str">
        <f t="shared" si="301"/>
        <v/>
      </c>
      <c r="KD38" s="969"/>
      <c r="KE38" s="982" t="str">
        <f t="shared" si="302"/>
        <v/>
      </c>
      <c r="KF38" s="490" t="str">
        <f>IF(A38=FALSE,"",IF(KA38="POEA",Cotations!BM38,IF(KA38="FIXE",Cotations!BN38,IF(Cotations!BO38*Y38&lt;50000,Z38,Cotations!BO38*Y38))))</f>
        <v/>
      </c>
      <c r="KG38" s="969" t="str">
        <f t="shared" si="303"/>
        <v/>
      </c>
      <c r="KH38" s="969" t="str">
        <f>IF(A38=FALSE,"",IF(Cotations!BL38="monthly",KG38/12*L38,KG38/365*M38))</f>
        <v/>
      </c>
      <c r="KI38" s="970" t="str">
        <f>IF(A38=FALSE,"",IF(Cotations!BP38="","",Cotations!BP38))</f>
        <v/>
      </c>
      <c r="KJ38" s="969" t="str">
        <f t="shared" si="304"/>
        <v/>
      </c>
      <c r="KK38" s="969" t="str">
        <f t="shared" si="305"/>
        <v/>
      </c>
      <c r="KL38" s="919" t="str">
        <f t="shared" si="306"/>
        <v/>
      </c>
      <c r="KM38" s="973" t="str">
        <f>IF(A38=FALSE,"",Cotations!BQ38)</f>
        <v/>
      </c>
      <c r="KN38" s="975" t="str">
        <f>IF(A38=FALSE,"",Cotations!BR38)</f>
        <v/>
      </c>
      <c r="KO38" s="662" t="str">
        <f>IF(A38=FALSE,"",Cotations!BS38)</f>
        <v/>
      </c>
      <c r="KP38" s="919" t="str">
        <f>IF(A38=FALSE,"",IF(KM38="N/A",0,IF(INDEX(LISTES!$F$105:$F$109,MATCH(KM38,LISTES!$C$105:$C$109,0))="FIX",IF(INDEX(LISTES!$E$105:$E$109,MATCH(KM38,LISTES!$C$105:$C$109,0))=12,KN38/12*L38,KN38/365*M38),KO38*KL38)))</f>
        <v/>
      </c>
      <c r="KQ38" s="971" t="str">
        <f t="shared" si="307"/>
        <v/>
      </c>
      <c r="KR38" s="971" t="str">
        <f>IF(A38=FALSE,"",KQ38*Cotations!BT38)</f>
        <v/>
      </c>
      <c r="KS38" s="971" t="str">
        <f>IF(A38=FALSE,"",KQ38*Cotations!BU38)</f>
        <v/>
      </c>
      <c r="KT38" s="338" t="str">
        <f t="shared" si="308"/>
        <v/>
      </c>
      <c r="KU38" s="919" t="str">
        <f>IF(A38=FALSE,"",((KG38*TAXE)-(KG38*TAXE*KI38))+IF(KM38="N/A",0,IF(INDEX(LISTES!$F$105:$F$109,MATCH(KM38,LISTES!$C$105:$C$109,0))="FIX",KN38,KO38*KL38)))</f>
        <v/>
      </c>
      <c r="LA38" s="984" t="str">
        <f>IF(A38=FALSE,"",Cotations!D38)</f>
        <v/>
      </c>
      <c r="LB38" s="985" t="str">
        <f>IF(A38=FALSE,"",IF(LISTES!$A$17=1,Cotations!BV38,Cotations!$BW$4))</f>
        <v/>
      </c>
      <c r="LC38" s="986" t="str">
        <f t="shared" si="309"/>
        <v/>
      </c>
      <c r="LD38" s="986" t="str">
        <f t="shared" si="310"/>
        <v/>
      </c>
      <c r="LE38" s="987" t="str">
        <f t="shared" si="311"/>
        <v/>
      </c>
      <c r="LF38" s="988" t="str">
        <f>IF(A38=FALSE,"",IF(LA38="POEA",Cotations!EJ38,IF(LA38="FIXE",Cotations!$BY$4,Cotations!$CA$4*Y38)))</f>
        <v/>
      </c>
      <c r="LG38" s="989" t="str">
        <f t="shared" si="312"/>
        <v/>
      </c>
      <c r="LH38" s="989" t="str">
        <f>IF(A38=FALSE,"",IF(Cotations!$BX$4="monthly",LG38/12*L38,LG38/365*M38))</f>
        <v/>
      </c>
      <c r="LI38" s="990" t="str">
        <f>IF(A38=FALSE,"",Cotations!$CB$4)</f>
        <v/>
      </c>
      <c r="LJ38" s="989" t="str">
        <f t="shared" si="313"/>
        <v/>
      </c>
      <c r="LK38" s="989" t="str">
        <f t="shared" si="314"/>
        <v/>
      </c>
      <c r="LL38" s="504" t="str">
        <f t="shared" si="315"/>
        <v/>
      </c>
      <c r="LM38" s="991" t="str">
        <f>IF(A38=FALSE,"",Cotations!$CC$4)</f>
        <v/>
      </c>
      <c r="LN38" s="990" t="str">
        <f>IF(A38=FALSE,"",Cotations!$CD$4)</f>
        <v/>
      </c>
      <c r="LO38" s="990" t="str">
        <f>IF(A38=FALSE,"",Cotations!$CE$4)</f>
        <v/>
      </c>
      <c r="LP38" s="504" t="str">
        <f>IF(A38=FALSE,"",IF(LM38="N/A",0,IF(INDEX(LISTES!$F$105:$F$109,MATCH(LM38,LISTES!$C$105:$C$109,0))="FIX",IF(INDEX(LISTES!$E$105:$E$109,MATCH(LM38,LISTES!$C$105:$C$109,0))=12,LN38/12*L38,LN38/365*M38),LO38*LL38)))</f>
        <v/>
      </c>
      <c r="LQ38" s="991" t="str">
        <f t="shared" si="316"/>
        <v/>
      </c>
      <c r="LR38" s="991" t="str">
        <f>IF(A38=FALSE,"",LQ38*Cotations!$CF$4)</f>
        <v/>
      </c>
      <c r="LS38" s="991" t="str">
        <f>IF(A38=FALSE,"",LQ38*Cotations!$CG$4)</f>
        <v/>
      </c>
      <c r="LT38" s="992" t="str">
        <f t="shared" si="317"/>
        <v/>
      </c>
      <c r="LU38" s="919" t="str">
        <f>IF(A38=FALSE,"",((LG38*TAXE)-(LG38*TAXE*LI38))+IF(LM38="N/A",0,IF(INDEX(LISTES!$F$105:$F$109,MATCH(LM38,LISTES!$C$105:$C$109,0))="FIX",LN38,LO38*LL38)))</f>
        <v/>
      </c>
      <c r="MA38" s="966" t="str">
        <f>IF(A38=FALSE,"",Cotations!D38)</f>
        <v/>
      </c>
      <c r="MB38" s="981" t="str">
        <f>IF(A38=FALSE,"",IF(LISTES!$A$17=1,Cotations!BV38,Cotations!BW38))</f>
        <v/>
      </c>
      <c r="MC38" s="973" t="str">
        <f t="shared" si="318"/>
        <v/>
      </c>
      <c r="MD38" s="969"/>
      <c r="ME38" s="982" t="str">
        <f t="shared" si="319"/>
        <v/>
      </c>
      <c r="MF38" s="983" t="str">
        <f>IF(A38=FALSE,"",IF(MA38="POEA",Cotations!BY38,IF(MA38="FIXE",Cotations!BZ38,IF(Cotations!CA38*Y38&lt;50000,Z38,Cotations!CA38*Y38))))</f>
        <v/>
      </c>
      <c r="MG38" s="969" t="str">
        <f t="shared" si="320"/>
        <v/>
      </c>
      <c r="MH38" s="969" t="str">
        <f>IF(A38=FALSE,"",IF(Cotations!BX38="monthly",MG38/12*L38,MG38/365*M38))</f>
        <v/>
      </c>
      <c r="MI38" s="970" t="str">
        <f>IF(A38=FALSE,"",IF(Cotations!CB38="","",Cotations!CB38))</f>
        <v/>
      </c>
      <c r="MJ38" s="969" t="str">
        <f t="shared" si="321"/>
        <v/>
      </c>
      <c r="MK38" s="969" t="str">
        <f t="shared" si="322"/>
        <v/>
      </c>
      <c r="ML38" s="919" t="str">
        <f t="shared" si="323"/>
        <v/>
      </c>
      <c r="MM38" s="973" t="str">
        <f>IF(A38=FALSE,"",Cotations!CC38)</f>
        <v/>
      </c>
      <c r="MN38" s="975" t="str">
        <f>IF(A38=FALSE,"",Cotations!CD38)</f>
        <v/>
      </c>
      <c r="MO38" s="662" t="str">
        <f>IF(A38=FALSE,"",Cotations!CE38)</f>
        <v/>
      </c>
      <c r="MP38" s="919" t="str">
        <f>IF(A38=FALSE,"",IF(MM38="N/A",0,IF(INDEX(LISTES!$F$105:$F$109,MATCH(MM38,LISTES!$C$105:$C$109,0))="FIX",IF(INDEX(LISTES!$E$105:$E$109,MATCH(MM38,LISTES!$C$105:$C$109,0))=12,MN38/12*L38,MN38/365*M38),MO38*ML38)))</f>
        <v/>
      </c>
      <c r="MQ38" s="971" t="str">
        <f t="shared" si="324"/>
        <v/>
      </c>
      <c r="MR38" s="971" t="str">
        <f>IF(A38=FALSE,"",MQ38*Cotations!CF38)</f>
        <v/>
      </c>
      <c r="MS38" s="971" t="str">
        <f>IF(A38=FALSE,"",MQ38*Cotations!CG38)</f>
        <v/>
      </c>
      <c r="MT38" s="338" t="str">
        <f t="shared" si="325"/>
        <v/>
      </c>
      <c r="MU38" s="919" t="str">
        <f>IF(A38=FALSE,"",((MG38*TAXE)-(MG38*TAXE*MI38))+IF(MM38="N/A",0,IF(INDEX(LISTES!$F$105:$F$109,MATCH(MM38,LISTES!$C$105:$C$109,0))="FIX",MN38,MO38*ML38)))</f>
        <v/>
      </c>
      <c r="NA38" s="984" t="str">
        <f>IF(A38=FALSE,"",Cotations!D38)</f>
        <v/>
      </c>
      <c r="NB38" s="985" t="str">
        <f>IF(A38=FALSE,"",IF(LISTES!$A$17=1,Cotations!CH38,Cotations!$CI$4))</f>
        <v/>
      </c>
      <c r="NC38" s="986" t="str">
        <f t="shared" si="326"/>
        <v/>
      </c>
      <c r="ND38" s="986" t="str">
        <f t="shared" si="327"/>
        <v/>
      </c>
      <c r="NE38" s="987" t="str">
        <f t="shared" si="328"/>
        <v/>
      </c>
      <c r="NF38" s="988" t="str">
        <f>IF(A38=FALSE,"",IF(NA38="POEA",Cotations!CK38,IF(NA38="FIXE",Cotations!$CK$4,Cotations!$CM$4*Y38)))</f>
        <v/>
      </c>
      <c r="NG38" s="989" t="str">
        <f t="shared" si="329"/>
        <v/>
      </c>
      <c r="NH38" s="989" t="str">
        <f>IF(A38=FALSE,"",IF(Cotations!$CJ$4="monthly",NG38/12*L38,NG38/365*M38))</f>
        <v/>
      </c>
      <c r="NI38" s="990" t="str">
        <f>IF(A38=FALSE,"",Cotations!$CN$4)</f>
        <v/>
      </c>
      <c r="NJ38" s="989" t="str">
        <f t="shared" si="330"/>
        <v/>
      </c>
      <c r="NK38" s="989" t="str">
        <f t="shared" si="331"/>
        <v/>
      </c>
      <c r="NL38" s="504" t="str">
        <f t="shared" si="332"/>
        <v/>
      </c>
      <c r="NM38" s="991" t="str">
        <f>IF(A38=FALSE,"",Cotations!$CO$4)</f>
        <v/>
      </c>
      <c r="NN38" s="989" t="str">
        <f>IF(A38=FALSE,"",Cotations!$CP$4)</f>
        <v/>
      </c>
      <c r="NO38" s="990" t="str">
        <f>IF(A38=FALSE,"",Cotations!$CQ$4)</f>
        <v/>
      </c>
      <c r="NP38" s="504" t="str">
        <f>IF(A38=FALSE,"",IF(NM38="N/A",0,IF(INDEX(LISTES!$F$105:$F$109,MATCH(NM38,LISTES!$C$105:$C$109,0))="FIX",IF(INDEX(LISTES!$E$105:$E$109,MATCH(NM38,LISTES!$C$105:$C$109,0))=12,NN38/12*L38,NN38/365*M38),NO38*NL38)))</f>
        <v/>
      </c>
      <c r="NQ38" s="991" t="str">
        <f t="shared" si="333"/>
        <v/>
      </c>
      <c r="NR38" s="991" t="str">
        <f>IF(A38=FALSE,"",NQ38*Cotations!$CR$4)</f>
        <v/>
      </c>
      <c r="NS38" s="991" t="str">
        <f>IF(A38=FALSE,"",NQ38*Cotations!$CS$4)</f>
        <v/>
      </c>
      <c r="NT38" s="992" t="str">
        <f t="shared" si="334"/>
        <v/>
      </c>
      <c r="NU38" s="919" t="str">
        <f>IF(A38=FALSE,"",((NG38*TAXE)-(NG38*TAXE*NI38))+IF(NM38="N/A",0,IF(INDEX(LISTES!$F$105:$F$109,MATCH(NM38,LISTES!$C$105:$C$109,0))="FIX",NN38,NO38*NL38)))</f>
        <v/>
      </c>
      <c r="OA38" s="966" t="str">
        <f>IF(A38=FALSE,"",Cotations!D38)</f>
        <v/>
      </c>
      <c r="OB38" s="981" t="str">
        <f>IF(A38=FALSE,"",IF(LISTES!$A$17=1,Cotations!CH38,Cotations!CI38))</f>
        <v/>
      </c>
      <c r="OC38" s="973" t="str">
        <f t="shared" si="335"/>
        <v/>
      </c>
      <c r="OD38" s="969"/>
      <c r="OE38" s="982" t="str">
        <f t="shared" si="336"/>
        <v/>
      </c>
      <c r="OF38" s="983" t="str">
        <f>IF(A38=FALSE,"",IF(OA38="POEA",Cotations!CK38,IF(OA38="FIXE",Cotations!CL38,IF(Cotations!CM38*Y38&lt;50000,Z38,Cotations!CM38*Y38))))</f>
        <v/>
      </c>
      <c r="OG38" s="969" t="str">
        <f t="shared" si="337"/>
        <v/>
      </c>
      <c r="OH38" s="969" t="str">
        <f>IF(A38=FALSE,"",IF(Cotations!CJ38="monthly",OG38/12*L38,OG38/365*M38))</f>
        <v/>
      </c>
      <c r="OI38" s="970" t="str">
        <f>IF(A38=FALSE,"",IF(Cotations!CN38="","",Cotations!CN38))</f>
        <v/>
      </c>
      <c r="OJ38" s="969" t="str">
        <f t="shared" si="338"/>
        <v/>
      </c>
      <c r="OK38" s="969" t="str">
        <f t="shared" si="339"/>
        <v/>
      </c>
      <c r="OL38" s="919" t="str">
        <f t="shared" si="340"/>
        <v/>
      </c>
      <c r="OM38" s="973" t="str">
        <f>IF(A38=FALSE,"",Cotations!CO38)</f>
        <v/>
      </c>
      <c r="ON38" s="975" t="str">
        <f>IF(A38=FALSE,"",Cotations!CP38)</f>
        <v/>
      </c>
      <c r="OO38" s="662" t="str">
        <f>IF(A38=FALSE,"",Cotations!CQ38)</f>
        <v/>
      </c>
      <c r="OP38" s="919" t="str">
        <f>IF(A38=FALSE,"",IF(OM38="N/A",0,IF(INDEX(LISTES!$F$105:$F$109,MATCH(OM38,LISTES!$C$105:$C$109,0))="FIX",IF(INDEX(LISTES!$E$105:$E$109,MATCH(OM38,LISTES!$C$105:$C$109,0))=12,ON38/12*L38,ON38/365*M38),OO38*OL38)))</f>
        <v/>
      </c>
      <c r="OQ38" s="971" t="str">
        <f t="shared" si="341"/>
        <v/>
      </c>
      <c r="OR38" s="971" t="str">
        <f>IF(A38=FALSE,"",OQ38*Cotations!CR38)</f>
        <v/>
      </c>
      <c r="OS38" s="971" t="str">
        <f>IF(A38=FALSE,"",OQ38*Cotations!CS38)</f>
        <v/>
      </c>
      <c r="OT38" s="338" t="str">
        <f t="shared" si="342"/>
        <v/>
      </c>
      <c r="OU38" s="919" t="str">
        <f>IF(A38=FALSE,"",((OG38*TAXE)-(OG38*TAXE*OI38))+IF(OM38="N/A",0,IF(INDEX(LISTES!$F$105:$F$109,MATCH(OM38,LISTES!$C$105:$C$109,0))="FIX",ON38,OO38*OL38)))</f>
        <v/>
      </c>
      <c r="PA38" s="984" t="str">
        <f t="shared" si="343"/>
        <v/>
      </c>
      <c r="PB38" s="985" t="str">
        <f>IF(A38=FALSE,"",IF(LISTES!$A$17=1,Cotations!CT38,Cotations!$CU$4))</f>
        <v/>
      </c>
      <c r="PC38" s="986" t="str">
        <f t="shared" si="344"/>
        <v/>
      </c>
      <c r="PD38" s="986" t="str">
        <f t="shared" si="345"/>
        <v/>
      </c>
      <c r="PE38" s="987" t="str">
        <f t="shared" si="346"/>
        <v/>
      </c>
      <c r="PF38" s="988" t="str">
        <f>IF(A38=FALSE,"",Cotations!$CY$4*Y38)</f>
        <v/>
      </c>
      <c r="PG38" s="989" t="str">
        <f t="shared" si="347"/>
        <v/>
      </c>
      <c r="PH38" s="989" t="str">
        <f>IF(A38=FALSE,"",IF(Cotations!$CV$4="monthly",PG38/12*L38,PG38/365*M38))</f>
        <v/>
      </c>
      <c r="PI38" s="990" t="str">
        <f>IF(A38=FALSE,"",Cotations!$CZ$4)</f>
        <v/>
      </c>
      <c r="PJ38" s="989" t="str">
        <f t="shared" si="348"/>
        <v/>
      </c>
      <c r="PK38" s="989" t="str">
        <f t="shared" si="349"/>
        <v/>
      </c>
      <c r="PL38" s="504" t="str">
        <f t="shared" si="350"/>
        <v/>
      </c>
      <c r="PM38" s="991" t="str">
        <f>IF(A38=FALSE,"",Cotations!$DA$4)</f>
        <v/>
      </c>
      <c r="PN38" s="989" t="str">
        <f>IF(A38=FALSE,"",Cotations!$DB$4)</f>
        <v/>
      </c>
      <c r="PO38" s="990" t="str">
        <f>IF(A38=FALSE,"",Cotations!$DC$4)</f>
        <v/>
      </c>
      <c r="PP38" s="504" t="str">
        <f>IF(A38=FALSE,"",IF(PM38="N/A",0,IF(INDEX(LISTES!$F$105:$F$109,MATCH(PM38,LISTES!$C$105:$C$109,0))="FIX",IF(INDEX(LISTES!$E$105:$E$109,MATCH(PM38,LISTES!$C$105:$C$109,0))=12,PN38/12*L38,PN38/365*M38),PO38*PL38)))</f>
        <v/>
      </c>
      <c r="PQ38" s="991" t="str">
        <f t="shared" si="351"/>
        <v/>
      </c>
      <c r="PR38" s="991" t="str">
        <f>IF(A38=FALSE,"",PQ38*Cotations!$DD$4)</f>
        <v/>
      </c>
      <c r="PS38" s="991" t="str">
        <f>IF(A38=FALSE,"",PQ38*Cotations!$DE$4)</f>
        <v/>
      </c>
      <c r="PT38" s="992" t="str">
        <f t="shared" si="352"/>
        <v/>
      </c>
      <c r="PU38" s="919" t="str">
        <f>IF(A38=FALSE,"",((PG38*TAXE)-(PG38*TAXE*PI38))+IF(PM38="N/A",0,IF(INDEX(LISTES!$F$105:$F$109,MATCH(PM38,LISTES!$C$105:$C$109,0))="FIX",PN38,PO38*PL38)))</f>
        <v/>
      </c>
      <c r="QA38" s="966" t="str">
        <f t="shared" si="353"/>
        <v/>
      </c>
      <c r="QB38" s="981" t="str">
        <f>IF(A38=FALSE,"",IF(LISTES!$A$17=1,Cotations!CT38,Cotations!CU38))</f>
        <v/>
      </c>
      <c r="QC38" s="973" t="str">
        <f t="shared" si="354"/>
        <v/>
      </c>
      <c r="QD38" s="969"/>
      <c r="QE38" s="982" t="str">
        <f t="shared" si="355"/>
        <v/>
      </c>
      <c r="QF38" s="983" t="str">
        <f>IF(A38=FALSE,"",Cotations!CY38*AA38)</f>
        <v/>
      </c>
      <c r="QG38" s="969" t="str">
        <f t="shared" si="356"/>
        <v/>
      </c>
      <c r="QH38" s="969" t="str">
        <f>IF(A38=FALSE,"",IF(Cotations!CV38="monthly",QG38/12*L38,QG38/365*M38))</f>
        <v/>
      </c>
      <c r="QI38" s="970" t="str">
        <f>IF(A38=FALSE,"",IF(Cotations!CZ38="","",Cotations!CZ38))</f>
        <v/>
      </c>
      <c r="QJ38" s="969" t="str">
        <f t="shared" si="357"/>
        <v/>
      </c>
      <c r="QK38" s="969" t="str">
        <f t="shared" si="358"/>
        <v/>
      </c>
      <c r="QL38" s="919" t="str">
        <f t="shared" si="359"/>
        <v/>
      </c>
      <c r="QM38" s="973" t="str">
        <f>IF(A38=FALSE,"",Cotations!DA38)</f>
        <v/>
      </c>
      <c r="QN38" s="975" t="str">
        <f>IF(A38=FALSE,"",Cotations!DB38)</f>
        <v/>
      </c>
      <c r="QO38" s="662" t="str">
        <f>IF(A38=FALSE,"",Cotations!DC38)</f>
        <v/>
      </c>
      <c r="QP38" s="919" t="str">
        <f>IF(A38=FALSE,"",IF(QM38="N/A",0,IF(INDEX(LISTES!$F$105:$F$109,MATCH(QM38,LISTES!$C$105:$C$109,0))="FIX",IF(INDEX(LISTES!$E$105:$E$109,MATCH(QM38,LISTES!$C$105:$C$109,0))=12,QN38/12*L38,QN38/365*M38),QO38*QL38)))</f>
        <v/>
      </c>
      <c r="QQ38" s="971" t="str">
        <f t="shared" si="360"/>
        <v/>
      </c>
      <c r="QR38" s="971" t="str">
        <f>IF(A38=FALSE,"",QQ38*Cotations!DD38)</f>
        <v/>
      </c>
      <c r="QS38" s="971" t="str">
        <f>IF(A38=FALSE,"",QQ38*Cotations!DE38)</f>
        <v/>
      </c>
      <c r="QT38" s="338" t="str">
        <f t="shared" si="361"/>
        <v/>
      </c>
      <c r="QU38" s="919" t="str">
        <f>IF(A38=FALSE,"",((QG38*TAXE)-(QG38*TAXE*QI38))+IF(QM38="N/A",0,IF(INDEX(LISTES!$F$105:$F$109,MATCH(QM38,LISTES!$C$105:$C$109,0))="FIX",QN38,QO38*QL38)))</f>
        <v/>
      </c>
      <c r="RA38" s="984" t="str">
        <f t="shared" si="362"/>
        <v/>
      </c>
      <c r="RB38" s="985" t="str">
        <f>IF(A38=FALSE,"",IF(LISTES!$A$17=1,Cotations!DF38,Cotations!$DG$4))</f>
        <v/>
      </c>
      <c r="RC38" s="986" t="str">
        <f t="shared" si="363"/>
        <v/>
      </c>
      <c r="RD38" s="986" t="str">
        <f t="shared" si="364"/>
        <v/>
      </c>
      <c r="RE38" s="987" t="str">
        <f t="shared" si="365"/>
        <v/>
      </c>
      <c r="RF38" s="988" t="str">
        <f>IF(A38=FALSE,"",Cotations!$DK$4*Y38)</f>
        <v/>
      </c>
      <c r="RG38" s="989" t="str">
        <f t="shared" si="366"/>
        <v/>
      </c>
      <c r="RH38" s="989" t="str">
        <f>IF(A38=FALSE,"",IF(Cotations!$DH$4="monthly",RG38/12*L38,RG38/365*M38))</f>
        <v/>
      </c>
      <c r="RI38" s="990" t="str">
        <f>IF(A38=FALSE,"",Cotations!$DL$4)</f>
        <v/>
      </c>
      <c r="RJ38" s="989" t="str">
        <f t="shared" si="367"/>
        <v/>
      </c>
      <c r="RK38" s="989" t="str">
        <f t="shared" si="368"/>
        <v/>
      </c>
      <c r="RL38" s="504" t="str">
        <f t="shared" si="369"/>
        <v/>
      </c>
      <c r="RM38" s="991" t="str">
        <f>IF(A38=FALSE,"",Cotations!$DM$4)</f>
        <v/>
      </c>
      <c r="RN38" s="989" t="str">
        <f>IF(A38=FALSE,"",Cotations!$DN$4)</f>
        <v/>
      </c>
      <c r="RO38" s="990" t="str">
        <f>IF(A38=FALSE,"",Cotations!$DO$4)</f>
        <v/>
      </c>
      <c r="RP38" s="504" t="str">
        <f>IF(A38=FALSE,"",IF(RM38="N/A",0,IF(INDEX(LISTES!$F$105:$F$109,MATCH(RM38,LISTES!$C$105:$C$109,0))="FIX",IF(INDEX(LISTES!$E$105:$E$109,MATCH(RM38,LISTES!$C$105:$C$109,0))=12,RN38/12*L38,RN38/365*M38),RO38*RL38)))</f>
        <v/>
      </c>
      <c r="RQ38" s="991" t="str">
        <f t="shared" si="370"/>
        <v/>
      </c>
      <c r="RR38" s="991" t="str">
        <f>IF(A38=FALSE,"",RQ38*Cotations!$DP$4)</f>
        <v/>
      </c>
      <c r="RS38" s="991" t="str">
        <f>IF(A38=FALSE,"",RQ38*Cotations!$DQ$4)</f>
        <v/>
      </c>
      <c r="RT38" s="992" t="str">
        <f t="shared" si="371"/>
        <v/>
      </c>
      <c r="RU38" s="919" t="str">
        <f>IF(A38=FALSE,"",((RG38*TAXE)-(RG38*TAXE*RI38))+IF(RM38="N/A",0,IF(INDEX(LISTES!$F$105:$F$109,MATCH(RM38,LISTES!$C$105:$C$109,0))="FIX",RN38,RO38*RL38)))</f>
        <v/>
      </c>
      <c r="SA38" s="966" t="str">
        <f t="shared" si="372"/>
        <v/>
      </c>
      <c r="SB38" s="981" t="str">
        <f>IF(A38=FALSE,"",IF(LISTES!$A$17=1,Cotations!DF38,Cotations!DG38))</f>
        <v/>
      </c>
      <c r="SC38" s="973" t="str">
        <f t="shared" si="373"/>
        <v/>
      </c>
      <c r="SD38" s="969"/>
      <c r="SE38" s="982" t="str">
        <f t="shared" si="374"/>
        <v/>
      </c>
      <c r="SF38" s="983" t="str">
        <f>IF(A38=FALSE,"",Cotations!DK38*AA38)</f>
        <v/>
      </c>
      <c r="SG38" s="969" t="str">
        <f t="shared" si="375"/>
        <v/>
      </c>
      <c r="SH38" s="969" t="str">
        <f>IF(A38=FALSE,"",IF(Cotations!DH38="monthly",SG38/12*L38,SG38/365*M38))</f>
        <v/>
      </c>
      <c r="SI38" s="970" t="str">
        <f>IF(A38=FALSE,"",IF(Cotations!DL38="","",Cotations!DL38))</f>
        <v/>
      </c>
      <c r="SJ38" s="969" t="str">
        <f t="shared" si="376"/>
        <v/>
      </c>
      <c r="SK38" s="969" t="str">
        <f t="shared" si="377"/>
        <v/>
      </c>
      <c r="SL38" s="919" t="str">
        <f t="shared" si="378"/>
        <v/>
      </c>
      <c r="SM38" s="973" t="str">
        <f>IF(A38=FALSE,"",Cotations!DM38)</f>
        <v/>
      </c>
      <c r="SN38" s="975" t="str">
        <f>IF(A38=FALSE,"",Cotations!DN38)</f>
        <v/>
      </c>
      <c r="SO38" s="662" t="str">
        <f>IF(A38=FALSE,"",Cotations!DO38)</f>
        <v/>
      </c>
      <c r="SP38" s="919" t="str">
        <f>IF(A38=FALSE,"",IF(SM38="N/A",0,IF(INDEX(LISTES!$F$105:$F$109,MATCH(SM38,LISTES!$C$105:$C$109,0))="FIX",IF(INDEX(LISTES!$E$105:$E$109,MATCH(SM38,LISTES!$C$105:$C$109,0))=12,SN38/12*L38,SN38/365*M38),SO38*SL38)))</f>
        <v/>
      </c>
      <c r="SQ38" s="971" t="str">
        <f t="shared" si="379"/>
        <v/>
      </c>
      <c r="SR38" s="971" t="str">
        <f>IF(A38=FALSE,"",SQ38*Cotations!DP38)</f>
        <v/>
      </c>
      <c r="SS38" s="971" t="str">
        <f>IF(A38=FALSE,"",SQ38*Cotations!DQ38)</f>
        <v/>
      </c>
      <c r="ST38" s="338" t="str">
        <f t="shared" si="380"/>
        <v/>
      </c>
      <c r="SU38" s="919" t="str">
        <f>IF(A38=FALSE,"",((SG38*TAXE)-(SG38*TAXE*SI38))+IF(SM38="N/A",0,IF(INDEX(LISTES!$F$105:$F$109,MATCH(SM38,LISTES!$C$105:$C$109,0))="FIX",SN38,SO38*SL38)))</f>
        <v/>
      </c>
      <c r="TA38" s="966" t="str">
        <f>IF(A38=FALSE,"",Cotations!D38)</f>
        <v/>
      </c>
      <c r="TB38" s="981" t="str">
        <f>IF(A38=FALSE,"",IF(LISTES!$A$17=1,Cotations!DR38,Cotations!DS38))</f>
        <v/>
      </c>
      <c r="TC38" s="919" t="str">
        <f t="shared" si="381"/>
        <v/>
      </c>
      <c r="TD38" s="300" t="str">
        <f>IF(A38=FALSE,"",Detail!CQ38)</f>
        <v/>
      </c>
      <c r="TE38" s="461" t="str">
        <f t="shared" si="382"/>
        <v/>
      </c>
      <c r="TF38" s="983" t="str">
        <f>IF(A38=FALSE,"",IF(TA38="FIXE",Cotations!DU38,Cotations!DV38*Y38))</f>
        <v/>
      </c>
      <c r="TG38" s="300" t="str">
        <f t="shared" si="383"/>
        <v/>
      </c>
      <c r="TH38" s="300" t="str">
        <f>IF(A38=FALSE,"",IF(Cotations!DT38="monthly",TG38/12*L38,TG38/365*M38))</f>
        <v/>
      </c>
      <c r="TI38" s="453" t="str">
        <f>IF(A38=FALSE,"",IF(Cotations!DW38="","",Cotations!DW38))</f>
        <v/>
      </c>
      <c r="TJ38" s="300" t="str">
        <f t="shared" si="384"/>
        <v/>
      </c>
      <c r="TK38" s="300" t="str">
        <f t="shared" si="385"/>
        <v/>
      </c>
      <c r="TL38" s="919" t="str">
        <f t="shared" si="386"/>
        <v/>
      </c>
      <c r="TM38" s="919" t="str">
        <f>IF(A38=FALSE,"",Cotations!DX38)</f>
        <v/>
      </c>
      <c r="TN38" s="919" t="str">
        <f>IF(A38=FALSE,"",Cotations!DY38)</f>
        <v/>
      </c>
      <c r="TO38" s="665" t="str">
        <f>IF(A38=FALSE,"",Cotations!DZ38)</f>
        <v/>
      </c>
      <c r="TP38" s="919" t="str">
        <f>IF(A38=FALSE,"",IF(TM38="N/A",0,IF(INDEX(LISTES!$F$105:$F$109,MATCH(TM38,LISTES!$C$105:$C$109,0))="FIX",IF(INDEX(LISTES!$E$105:$E$109,MATCH(TM38,LISTES!$C$105:$C$109,0))=12,TN38/12*L38,TN38/365*M38),TO38*TL38)))</f>
        <v/>
      </c>
      <c r="TQ38" s="294" t="str">
        <f t="shared" si="387"/>
        <v/>
      </c>
      <c r="TR38" s="294" t="str">
        <f>IF(A38=FALSE,"",TQ38*Cotations!EA38)</f>
        <v/>
      </c>
      <c r="TS38" s="294" t="str">
        <f>IF(A38=FALSE,"",TQ38*Cotations!EB38)</f>
        <v/>
      </c>
      <c r="TT38" s="338" t="str">
        <f t="shared" si="388"/>
        <v/>
      </c>
      <c r="TU38" s="919" t="str">
        <f>IF(A38=FALSE,"",((TG38*(1+TAXE)-(TG38*(1+TAXE)*TI38))+IF(TM38="N/A",0,IF(INDEX(LISTES!$F$105:$F$109,MATCH(TM38,LISTES!$C$105:$C$109,0))="FIX",TN38,TO38*TL38))))</f>
        <v/>
      </c>
      <c r="UA38" s="966" t="str">
        <f>IF(A38=FALSE,"",Cotations!D38)</f>
        <v/>
      </c>
      <c r="UB38" s="981" t="str">
        <f>IF(A38=FALSE,"",IF(LISTES!$A$17=1,Cotations!EC38,Cotations!ED38))</f>
        <v/>
      </c>
      <c r="UC38" s="919" t="str">
        <f t="shared" si="389"/>
        <v/>
      </c>
      <c r="UD38" s="300" t="str">
        <f>IF(A38=FALSE,"",Detail!CY38)</f>
        <v/>
      </c>
      <c r="UE38" s="461" t="str">
        <f t="shared" si="390"/>
        <v/>
      </c>
      <c r="UF38" s="983" t="str">
        <f>IF(A38=FALSE,"",IF(UA38="FIXE",Cotations!EF38,Cotations!EG38*Y38))</f>
        <v/>
      </c>
      <c r="UG38" s="300" t="str">
        <f t="shared" si="391"/>
        <v/>
      </c>
      <c r="UH38" s="300" t="str">
        <f>IF(A38=FALSE,"",IF(Cotations!EE38="monthly",UG38/12*L38,UG38/365*M38))</f>
        <v/>
      </c>
      <c r="UI38" s="453" t="str">
        <f>IF(A38=FALSE,"",IF(Cotations!EH38="","",Cotations!EH38))</f>
        <v/>
      </c>
      <c r="UJ38" s="300" t="str">
        <f t="shared" si="392"/>
        <v/>
      </c>
      <c r="UK38" s="300" t="str">
        <f t="shared" si="393"/>
        <v/>
      </c>
      <c r="UL38" s="919" t="str">
        <f t="shared" si="394"/>
        <v/>
      </c>
      <c r="UM38" s="919" t="str">
        <f>IF(A38=FALSE,"",Cotations!EI38)</f>
        <v/>
      </c>
      <c r="UN38" s="919" t="str">
        <f>IF(A38=FALSE,"",Cotations!EJ38)</f>
        <v/>
      </c>
      <c r="UO38" s="665" t="str">
        <f>IF(A38=FALSE,"",Cotations!EK38)</f>
        <v/>
      </c>
      <c r="UP38" s="919" t="str">
        <f>IF(A38=FALSE,"",IF(UM38="N/A",0,IF(INDEX(LISTES!$F$105:$F$109,MATCH(UM38,LISTES!$C$105:$C$109,0))="FIX",IF(INDEX(LISTES!$E$105:$E$109,MATCH(UM38,LISTES!$C$105:$C$109,0))=12,UN38/12*L38,UN38/365*M38),UO38*UL38)))</f>
        <v/>
      </c>
      <c r="UQ38" s="294" t="str">
        <f t="shared" si="395"/>
        <v/>
      </c>
      <c r="UR38" s="294" t="str">
        <f>IF(A38=FALSE,"",UQ38*Cotations!EL38)</f>
        <v/>
      </c>
      <c r="US38" s="294" t="str">
        <f>IF(A38=FALSE,"",UQ38*Cotations!EM38)</f>
        <v/>
      </c>
      <c r="UT38" s="338" t="str">
        <f t="shared" si="396"/>
        <v/>
      </c>
      <c r="UU38" s="919" t="str">
        <f>IF(A38=FALSE,"",((UG38*(1+TAXE)-(UG38*(1+TAXE)*UI38))+IF(UM38="N/A",0,IF(INDEX(LISTES!$F$105:$F$109,MATCH(UM38,LISTES!$C$105:$C$109,0))="FIX",UN38,UO38*UL38))))</f>
        <v/>
      </c>
      <c r="VA38" s="492" t="str">
        <f>IF(A38=FALSE,"",Cotations!D38)</f>
        <v/>
      </c>
      <c r="VB38" s="519" t="str">
        <f>IF(A38=FALSE,"",IF(LISTES!$A$17=1,Cotations!EN38,Cotations!EO38))</f>
        <v/>
      </c>
      <c r="VC38" s="291" t="str">
        <f t="shared" si="397"/>
        <v/>
      </c>
      <c r="VD38" s="291" t="str">
        <f t="shared" si="398"/>
        <v/>
      </c>
      <c r="VE38" s="967"/>
      <c r="VF38" s="968"/>
      <c r="VG38" s="463" t="str">
        <f t="shared" si="399"/>
        <v/>
      </c>
      <c r="VH38" s="522" t="str">
        <f>IF(A38=FALSE,"",IF(Cotations!$AQ$4="monthly",VG38/12*L38,VG38/365*M38))</f>
        <v/>
      </c>
      <c r="VI38" s="489" t="str">
        <f>IF(A38=FALSE,"",Cotations!$AR$4)</f>
        <v/>
      </c>
      <c r="VJ38" s="300" t="str">
        <f t="shared" si="400"/>
        <v/>
      </c>
      <c r="VK38" s="300" t="str">
        <f t="shared" si="401"/>
        <v/>
      </c>
      <c r="VL38" s="294" t="str">
        <f t="shared" si="402"/>
        <v/>
      </c>
      <c r="VM38" s="494" t="str">
        <f>IF(A38=FALSE,"",Cotations!$AS$4)</f>
        <v/>
      </c>
      <c r="VN38" s="494" t="str">
        <f>IF(A38=FALSE,"",Cotations!$AT$4)</f>
        <v/>
      </c>
      <c r="VO38" s="489" t="str">
        <f>IF(A38=FALSE,"",Cotations!$AU$4)</f>
        <v/>
      </c>
      <c r="VP38" s="494" t="str">
        <f>IF(A38=FALSE,"",IF(VM38="N/A",0,IF(INDEX(LISTES!$F$105:$F$109,MATCH(VM38,LISTES!$C$105:$C$109,0))="FIX",IF(INDEX(LISTES!$E$105:$E$109,MATCH(VM38,LISTES!$C$105:$C$109,0))=12,VN38/12*L38,VN38/365*M38),VO38*VL38)))</f>
        <v/>
      </c>
      <c r="VQ38" s="294" t="str">
        <f t="shared" si="403"/>
        <v/>
      </c>
      <c r="VR38" s="494" t="str">
        <f>IF(A38=FALSE,"",VQ38*Cotations!$AV$4)</f>
        <v/>
      </c>
      <c r="VS38" s="494" t="str">
        <f>IF(A38=FALSE,"",VQ38*Cotations!$AW$4)</f>
        <v/>
      </c>
      <c r="VT38" s="465" t="str">
        <f t="shared" si="404"/>
        <v/>
      </c>
      <c r="VU38" s="919" t="str">
        <f>IF(A38=FALSE,"",((VG38*TAXE)-(VG38*TAXE*VI38))+IF(VM38="N/A",0,IF(INDEX(LISTES!$F$105:$F$109,MATCH(VM38,LISTES!$C$105:$C$109,0))="FIX",VN38,VO38*VL38)))</f>
        <v/>
      </c>
      <c r="WA38" s="492" t="str">
        <f>IF(A38=FALSE,"",Cotations!D38)</f>
        <v/>
      </c>
      <c r="WB38" s="519" t="str">
        <f>IF(A38=FALSE,"",IF(LISTES!$A$17=1,Cotations!EW38,Cotations!EX38))</f>
        <v/>
      </c>
      <c r="WC38" s="291" t="str">
        <f t="shared" si="405"/>
        <v/>
      </c>
      <c r="WD38" s="291" t="str">
        <f t="shared" si="406"/>
        <v/>
      </c>
      <c r="WE38" s="291"/>
      <c r="WF38" s="463"/>
      <c r="WG38" s="463" t="str">
        <f t="shared" si="407"/>
        <v/>
      </c>
      <c r="WH38" s="522" t="str">
        <f>IF(A38=FALSE,"",IF(Cotations!$AQ$4="monthly",WG38/12*L38,WG38/365*M38))</f>
        <v/>
      </c>
      <c r="WI38" s="489" t="str">
        <f>IF(A38=FALSE,"",Cotations!$AR$4)</f>
        <v/>
      </c>
      <c r="WJ38" s="300" t="str">
        <f t="shared" si="408"/>
        <v/>
      </c>
      <c r="WK38" s="300" t="str">
        <f t="shared" si="409"/>
        <v/>
      </c>
      <c r="WL38" s="294" t="str">
        <f t="shared" si="410"/>
        <v/>
      </c>
      <c r="WM38" s="494" t="str">
        <f>IF(A38=FALSE,"",Cotations!$AS$4)</f>
        <v/>
      </c>
      <c r="WN38" s="494" t="str">
        <f>IF(A38=FALSE,"",Cotations!$AT$4)</f>
        <v/>
      </c>
      <c r="WO38" s="489" t="str">
        <f>IF(A38=FALSE,"",Cotations!$AU$4)</f>
        <v/>
      </c>
      <c r="WP38" s="494" t="str">
        <f>IF(A38=FALSE,"",IF(WM38="N/A",0,IF(INDEX(LISTES!$F$105:$F$109,MATCH(WM38,LISTES!$C$105:$C$109,0))="FIX",IF(INDEX(LISTES!$E$105:$E$109,MATCH(WM38,LISTES!$C$105:$C$109,0))=12,WN38/12*L38,WN38/365*M38),WO38*WL38)))</f>
        <v/>
      </c>
      <c r="WQ38" s="294" t="str">
        <f t="shared" si="411"/>
        <v/>
      </c>
      <c r="WR38" s="494" t="str">
        <f>IF(A38=FALSE,"",WQ38*Cotations!$AV$4)</f>
        <v/>
      </c>
      <c r="WS38" s="494" t="str">
        <f>IF(A38=FALSE,"",WQ38*Cotations!$AW$4)</f>
        <v/>
      </c>
      <c r="WT38" s="465" t="str">
        <f t="shared" si="412"/>
        <v/>
      </c>
      <c r="WU38" s="919" t="str">
        <f>IF(A38=FALSE,"",((WG38*TAXE)-(WG38*TAXE*WI38))+IF(WM38="N/A",0,IF(INDEX(LISTES!$F$105:$F$109,MATCH(WM38,LISTES!$C$105:$C$109,0))="FIX",WN38,WO38*WL38)))</f>
        <v/>
      </c>
    </row>
    <row r="39" spans="1:619">
      <c r="A39" s="942" t="b">
        <f t="shared" si="221"/>
        <v>0</v>
      </c>
      <c r="B39" s="942" t="b">
        <f>IF(NAMES!$B$9=TRUE,TRUE,FALSE)</f>
        <v>1</v>
      </c>
      <c r="C39" s="942" t="b">
        <f t="shared" si="413"/>
        <v>0</v>
      </c>
      <c r="D39" s="942" t="b">
        <f t="shared" si="414"/>
        <v>0</v>
      </c>
      <c r="E39" s="274" t="b">
        <f>IF(Cotations!C39="","",Cotations!C39)</f>
        <v>0</v>
      </c>
      <c r="F39" s="274" t="str">
        <f>IF(Cotations!D39="","",Cotations!D39)</f>
        <v>PROP</v>
      </c>
      <c r="G39" s="274" t="str">
        <f>IF(Cotations!E39="","",Cotations!E39)</f>
        <v>2016-2017!</v>
      </c>
      <c r="H39" s="274" t="str">
        <f>IF(Cotations!F39="","",Cotations!F39)</f>
        <v>SINGLE</v>
      </c>
      <c r="I39" s="274" t="str">
        <f>IF(Cotations!G39="","",Cotations!G39)</f>
        <v/>
      </c>
      <c r="J39" s="274" t="str">
        <f>IF(Cotations!H39="","",Cotations!H39)</f>
        <v/>
      </c>
      <c r="K39" s="274" t="str">
        <f>IF(Cotations!I39="","",Cotations!I39)</f>
        <v/>
      </c>
      <c r="L39" s="274" t="str">
        <f>IF(A39=FALSE,"",IF(Cotations!N39="","",Cotations!N39))</f>
        <v/>
      </c>
      <c r="M39" s="274" t="str">
        <f>IF(Cotations!P39="","",Cotations!P39)</f>
        <v/>
      </c>
      <c r="N39" s="724" t="str">
        <f>IF(NAMES!$B$10=TRUE,Cotations!J39,Cotations!L39)</f>
        <v/>
      </c>
      <c r="O39" s="724" t="str">
        <f>IF(NAMES!$B$10=TRUE,Cotations!K39,Cotations!M39)</f>
        <v/>
      </c>
      <c r="P39" s="943" t="str">
        <f t="shared" si="415"/>
        <v/>
      </c>
      <c r="Q39" s="724" t="str">
        <f>IF(A39=FALSE,"",IF(Crewlist!Y39="","",Crewlist!Y39))</f>
        <v/>
      </c>
      <c r="R39" s="78" t="str">
        <f>IF(Cotations!U39="","",Cotations!U39)</f>
        <v/>
      </c>
      <c r="S39" s="943" t="str">
        <f t="shared" si="416"/>
        <v/>
      </c>
      <c r="T39" s="919" t="str">
        <f>IF(A39=FALSE,"",VLOOKUP($U$15:$U$120,Currency!$A$2:$D$10,4,0)*Crewlist!N39)</f>
        <v/>
      </c>
      <c r="U39" s="1355" t="str">
        <f>IF(A39=FALSE,"",IF(IT39=0,Crewlist!M39&amp;"/"&amp;EX39,Crewlist!M39&amp;"/"&amp;IT39))</f>
        <v/>
      </c>
      <c r="V39" s="919" t="str">
        <f>IF(A39=FALSE,"",VLOOKUP($U$15:$U$120,Currency!$A$2:$D$10,4,0)*Detail!Q39)</f>
        <v/>
      </c>
      <c r="W39" s="1355" t="str">
        <f>IF(A39=FALSE,"",IF(IT39=0,Detail!R39&amp;"/"&amp;EX39,Detail!R39&amp;"/"&amp;IT39))</f>
        <v/>
      </c>
      <c r="X39" s="919" t="str">
        <f>IF(A39=FALSE,"",IF(LISTES!$C$17="Crewlist",Calcul!T39,Calcul!V39))</f>
        <v/>
      </c>
      <c r="Y39" s="758" t="str">
        <f t="shared" si="417"/>
        <v/>
      </c>
      <c r="Z39" s="758" t="str">
        <f>IF(A39=FALSE,"",IF(X39=0,0,IF((Cotations!BC39*12*X39)&lt;50000,50000,(12*X39))))</f>
        <v/>
      </c>
      <c r="AA39" s="758" t="str">
        <f t="shared" si="418"/>
        <v/>
      </c>
      <c r="AB39" s="758" t="str">
        <f>IF(A39=FALSE,"",IF(Crewlist!O39=0,"",Crewlist!O39))</f>
        <v/>
      </c>
      <c r="AC39" s="758" t="str">
        <f>IF(I39="","",VLOOKUP($AB$15:$AB$120,Currency!$A$15:$B$34,2,0))</f>
        <v/>
      </c>
      <c r="AD39" s="758" t="str">
        <f t="shared" si="419"/>
        <v/>
      </c>
      <c r="AE39" s="758" t="str">
        <f t="shared" si="420"/>
        <v/>
      </c>
      <c r="AF39" s="758" t="str">
        <f t="shared" si="421"/>
        <v/>
      </c>
      <c r="AG39" s="758" t="str">
        <f t="shared" si="422"/>
        <v/>
      </c>
      <c r="AH39" s="1355" t="str">
        <f t="shared" si="222"/>
        <v/>
      </c>
      <c r="AI39" s="919" t="str">
        <f t="shared" si="423"/>
        <v/>
      </c>
      <c r="AJ39" s="1382" t="str">
        <f t="shared" si="424"/>
        <v/>
      </c>
      <c r="AK39" s="1382" t="str">
        <f t="shared" si="425"/>
        <v/>
      </c>
      <c r="AL39" s="238" t="str">
        <f t="shared" si="223"/>
        <v/>
      </c>
      <c r="AM39" s="238" t="str">
        <f t="shared" si="224"/>
        <v/>
      </c>
      <c r="AN39" s="1374" t="str">
        <f t="shared" si="225"/>
        <v/>
      </c>
      <c r="AO39" s="238" t="str">
        <f t="shared" si="226"/>
        <v/>
      </c>
      <c r="AP39" s="342" t="str">
        <f>IF(A39=FALSE,"",INDEX(Rates!$Z$5:$Z$367,MATCH(EB39,colchoice,0)))</f>
        <v/>
      </c>
      <c r="AQ39" s="238" t="str">
        <f t="shared" si="227"/>
        <v/>
      </c>
      <c r="AR39" s="238" t="str">
        <f t="shared" si="426"/>
        <v/>
      </c>
      <c r="AS39" s="238" t="str">
        <f t="shared" si="427"/>
        <v/>
      </c>
      <c r="AT39" s="238" t="str">
        <f t="shared" si="428"/>
        <v/>
      </c>
      <c r="AU39" s="238" t="str">
        <f t="shared" si="228"/>
        <v/>
      </c>
      <c r="AV39" s="238" t="str">
        <f t="shared" si="429"/>
        <v/>
      </c>
      <c r="AW39" s="238" t="str">
        <f t="shared" si="229"/>
        <v/>
      </c>
      <c r="AX39" s="238" t="str">
        <f t="shared" si="230"/>
        <v/>
      </c>
      <c r="AY39" s="238" t="str">
        <f t="shared" si="231"/>
        <v/>
      </c>
      <c r="AZ39" s="238" t="str">
        <f t="shared" si="232"/>
        <v/>
      </c>
      <c r="BA39" s="238" t="str">
        <f t="shared" si="233"/>
        <v/>
      </c>
      <c r="BB39" s="552" t="str">
        <f t="shared" si="234"/>
        <v/>
      </c>
      <c r="BC39" s="347" t="str">
        <f t="shared" si="235"/>
        <v/>
      </c>
      <c r="BD39" s="239" t="str">
        <f t="shared" si="430"/>
        <v/>
      </c>
      <c r="BE39" s="239" t="str">
        <f>IF(A39=FALSE,"",IF(ALLTHESAME=TRUE,IF(DF39&lt;&gt;$BC$7,0,INDEX(DD39:DZ39,1,MATCH(Structure!$D$12,$DD$14:$DZ$14,0))),IF(EC39&lt;&gt;$BC$7,0,INDEX(EA39:EZ39,1,MATCH(Structure!$D$12,$EA$14:$EZ$14,0)))))</f>
        <v/>
      </c>
      <c r="BF39" s="239" t="str">
        <f>IF(A39=FALSE,"",IF(ALLTHESAME=TRUE,IF(FC39&lt;&gt;$BC$7,0,INDEX(FA39:FZ39,1,MATCH(Structure!$D$12,$FA$14:$FZ$14,0))),IF(GC39&lt;&gt;$BC$7,0,INDEX(GA39:GZ39,1,MATCH(Structure!$D$12,$GA$14:$GZ$14,0)))))</f>
        <v/>
      </c>
      <c r="BG39" s="239" t="str">
        <f>IF(A39=FALSE,"",IF(ALLTHESAME=TRUE,IF(VC39&lt;&gt;$BC$7,0,INDEX(VA39:VZ39,1,MATCH(Structure!$D$12,$VA$14:$VZ$14,0))),IF(VC39&lt;&gt;$BC$7,0,INDEX(VA39:VZ39,1,MATCH(Structure!$D$12,$VA$14:$VZ$14,0)))))</f>
        <v/>
      </c>
      <c r="BH39" s="239" t="str">
        <f>IF(A39=FALSE,"",IF(ALLTHESAME=TRUE,IF(WC39&lt;&gt;$BC$7,0,INDEX(WA39:WY39,1,MATCH(Structure!$D$12,$WA$14:$WZ$14,0))),IF(WC39&lt;&gt;$BC$7,0,INDEX(WA39:WZ39,1,MATCH(Structure!$D$12,$WA$14:$WZ$14,0)))))</f>
        <v/>
      </c>
      <c r="BI39" s="763" t="str">
        <f>IF(A39=FALSE,"",IF(ALLTHESAME=TRUE,IF(HC39&lt;&gt;$BC$7,0,INDEX(HA39:HZ39,1,MATCH(Structure!$D$12,$HA$14:$HZ$14,0)))+TK39,IF(IC39&lt;&gt;$BC$7,0,INDEX(IA39:IZ39,1,MATCH(Structure!$D$12,$IA$14:$IZ$14,0)))+TK39))</f>
        <v/>
      </c>
      <c r="BJ39" s="239" t="str">
        <f>IF(A39=FALSE,"",IF(ALLTHESAME=TRUE,IF(JC39&lt;&gt;$BC$7,0,INDEX(JA39:JZ39,1,MATCH(Structure!$D$12,$JA$14:$JZ$14,0))),IF(KC39&lt;&gt;$BC$7,0,INDEX(KA39:KZ39,1,MATCH(Structure!$D$12,$KA$14:$KZ$14,0)))))</f>
        <v/>
      </c>
      <c r="BK39" s="763" t="str">
        <f>IF(A39=FALSE,"",IF(ALLTHESAME=TRUE,IF(LC39&lt;&gt;$BC$7,0,INDEX(LA39:LZ39,1,MATCH(Structure!$D$12,$LA$14:$LZ$14,0)))+UK39,IF(MC39&lt;&gt;$BC$7,0,INDEX(MA39:MZ39,1,MATCH(Structure!$D$12,$MA$14:$MZ$14,0)))+UK39))</f>
        <v/>
      </c>
      <c r="BL39" s="239" t="str">
        <f>IF(A39=FALSE,"",IF(ALLTHESAME=TRUE,IF(NC39&lt;&gt;$BC$7,0,INDEX(NA39:NZ39,1,MATCH(Structure!$D$12,$NA$14:$NZ$14,0))),IF(OC39&lt;&gt;$BC$7,0,INDEX(OA39:OZ39,1,MATCH(Structure!$D$12,$OA$14:$OZ$14,0)))))</f>
        <v/>
      </c>
      <c r="BM39" s="239" t="str">
        <f>IF(A39=FALSE,"",IF(ALLTHESAME=TRUE,IF(PC39&lt;&gt;$BC$7,0,INDEX(PA39:PZ39,1,MATCH(Structure!$D$12,$PA$14:$PZ$14,0))),IF(QC39&lt;&gt;$BC$7,0,INDEX(QA39:QZ39,1,MATCH(Structure!$D$12,$QA$14:$QZ$14,0)))))</f>
        <v/>
      </c>
      <c r="BN39" s="341" t="str">
        <f>IF(A39=FALSE,"",IF(ALLTHESAME=TRUE,IF(RC39&lt;&gt;$BC$7,0,INDEX(RA39:RZ39,1,MATCH(Structure!$D$12,$RA$14:$RZ$14,0))),IF(SC39&lt;&gt;$BC$7,0,INDEX(SA39:TA39,1,MATCH(Structure!$D$12,$SA$14:$TA$14,0)))))</f>
        <v/>
      </c>
      <c r="BO39" s="507" t="str">
        <f t="shared" si="236"/>
        <v/>
      </c>
      <c r="BP39" s="239" t="str">
        <f t="shared" si="237"/>
        <v/>
      </c>
      <c r="BQ39" s="239" t="str">
        <f>IF(A39=FALSE,"",IF(ALLTHESAME=TRUE,IF(DF39&lt;&gt;$BO$7,0,INDEX(DD39:DZ39,1,MATCH(Structure!$D$12,$DD$14:$DZ$14,0))),IF(EC39&lt;&gt;$BO$7,0,INDEX(EA39:EZ39,1,MATCH(Structure!$D$12,$EA$14:$EZ$14,0)))))</f>
        <v/>
      </c>
      <c r="BR39" s="239" t="str">
        <f>IF(A39=FALSE,"",IF(ALLTHESAME=TRUE,IF(FC39&lt;&gt;$BO$7,0,INDEX(FA39:FZ39,1,MATCH(Structure!$D$12,$FA$14:$FZ$14,0))),IF(GC39&lt;&gt;$BO$7,0,INDEX(GA39:GZ39,1,MATCH(Structure!$D$12,$GA$14:$GZ$14,0)))))</f>
        <v/>
      </c>
      <c r="BS39" s="239" t="str">
        <f>IF(A39=FALSE,"",IF(ALLTHESAME=TRUE,IF(HC39&lt;&gt;$BO$7,0,INDEX(HA39:HZ39,1,MATCH(Structure!$D$12,$HA$14:$HZ$14,0))),IF(IC39&lt;&gt;$BO$7,0,INDEX(IA39:IZ39,1,MATCH(Structure!$D$12,$IA$14:$IZ$14,0)))))</f>
        <v/>
      </c>
      <c r="BT39" s="239" t="str">
        <f>IF(A39=FALSE,"",IF(ALLTHESAME=TRUE,IF(JC39&lt;&gt;$BO$7,0,INDEX(JA39:JZ39,1,MATCH(Structure!$D$12,$JA$14:$JZ$14,0))),IF(KC39&lt;&gt;$BO$7,0,INDEX(KA39:KZ39,1,MATCH(Structure!$D$12,$KA$14:$KZ$14,0)))))</f>
        <v/>
      </c>
      <c r="BU39" s="239" t="str">
        <f>IF(A39=FALSE,"",IF(ALLTHESAME=TRUE,IF(LC39&lt;&gt;$BO$7,0,INDEX(LA39:LZ39,1,MATCH(Structure!$D$12,$LA$14:$LZ$14,0))),IF(MC39&lt;&gt;$BO$7,0,INDEX(MA39:MZ39,1,MATCH(Structure!$D$12,$MA$14:$MZ$14,0)))))</f>
        <v/>
      </c>
      <c r="BV39" s="239" t="str">
        <f>IF(A39=FALSE,"",IF(ALLTHESAME=TRUE,IF(NC39&lt;&gt;$BO$7,0,INDEX(NA39:NZ39,1,MATCH(Structure!$D$12,$NA$14:$NZ$14,0))),IF(OC39&lt;&gt;$BO$7,0,INDEX(OA39:OZ39,1,MATCH(Structure!$D$12,$OA$14:$OZ$14,0)))))</f>
        <v/>
      </c>
      <c r="BW39" s="239" t="str">
        <f>IF(A39=FALSE,"",IF(ALLTHESAME=TRUE,IF(PC39&lt;&gt;$BO$7,0,INDEX(PA39:PZ39,1,MATCH(Structure!$D$12,$PA$14:$PZ$14,0))),IF(QC39&lt;&gt;$BO$7,0,INDEX(QA39:QZ39,1,MATCH(Structure!$D$12,$QA$14:$QZ$14,0)))))</f>
        <v/>
      </c>
      <c r="BX39" s="341" t="str">
        <f>IF(A39=FALSE,"",IF(ALLTHESAME=TRUE,IF(RC39&lt;&gt;$BO$7,0,INDEX(RA39:RZ39,1,MATCH(Structure!$D$12,$RA$14:$RZ$14,0))),IF(SC39&lt;&gt;$BO$7,0,INDEX(SA39:TA39,1,MATCH(Structure!$D$12,$SA$14:$TA$14,0)))))</f>
        <v/>
      </c>
      <c r="BY39" s="347" t="str">
        <f t="shared" si="238"/>
        <v/>
      </c>
      <c r="BZ39" s="507" t="str">
        <f t="shared" si="239"/>
        <v/>
      </c>
      <c r="CA39" s="239" t="str">
        <f t="shared" si="240"/>
        <v/>
      </c>
      <c r="CB39" s="239" t="str">
        <f>IF(A39=FALSE,"",IF(ALLTHESAME=TRUE,INDEX(DD39:DZ39,MATCH(DF39,DF39:DF144,0),MATCH(Structure!$D$17,$DD$14:$DZ$14,0)),INDEX(EA39:EZ39,MATCH(EC39,EC39:EC144,0),MATCH(Structure!$D$17,$EA$14:$EZ$14,0))))</f>
        <v/>
      </c>
      <c r="CC39" s="239" t="str">
        <f>IF(A39=FALSE,"",IF(ALLTHESAME=TRUE,INDEX(FA39:FZ39,MATCH(FC39,FC39:FC144,0),MATCH(Structure!$D$17,$FA$14:$FZ$14,0)),INDEX(GA39:GZ39,MATCH(GC39,GC39:GC144,0),MATCH(Structure!$D$17,$GA$14:$GZ$14,0))))</f>
        <v/>
      </c>
      <c r="CD39" s="239" t="str">
        <f>IF(A39=FALSE,"",IF(ALLTHESAME=TRUE,INDEX(HA39:HZ39,MATCH(HC39,HC39:HC144,0),MATCH(Structure!$D$17,$HA$14:$HZ$14,0)),INDEX(IA39:IZ39,MATCH(IC39,IC39:IC144,0),MATCH(Structure!$D$17,$IA$14:$IZ$14,0))))</f>
        <v/>
      </c>
      <c r="CE39" s="239" t="str">
        <f>IF(A39=FALSE,"",IF(ALLTHESAME=TRUE,INDEX(JA39:JZ39,MATCH(JC39,JC39:JC144,0),MATCH(Structure!$D$17,$JA$14:$JZ$14,0)),INDEX(KA39:KZ39,MATCH(KC39,KC39:KC144,0),MATCH(Structure!$D$17,$KA$14:$KZ$14,0))))</f>
        <v/>
      </c>
      <c r="CF39" s="239" t="str">
        <f>IF(A39=FALSE,"",IF(ALLTHESAME=TRUE,INDEX(LA39:LZ39,MATCH(LC39,LC39:LC144,0),MATCH(Structure!$D$17,$LA$14:$LZ$14,0)),INDEX(MA39:MZ39,MATCH(MC39,MC39:MC144,0),MATCH(Structure!$D$17,$MA$14:$MZ$14,0))))</f>
        <v/>
      </c>
      <c r="CG39" s="239" t="str">
        <f>IF(A39=FALSE,"",IF(ALLTHESAME=TRUE,INDEX(NA39:NZ39,MATCH(NC39,NC39:NC144,0),MATCH(Structure!$D$17,$NA$14:$NZ$14,0)),INDEX(OA39:OZ39,MATCH(OC39,OC39:OC144,0),MATCH(Structure!$D$17,$OA$14:$OZ$14,0))))</f>
        <v/>
      </c>
      <c r="CH39" s="239" t="str">
        <f>IF(A39=FALSE,"",IF(ALLTHESAME=TRUE,INDEX(PA39:PZ39,MATCH(PC39,PC39:PC144,0),MATCH(Structure!$D$17,$PA$14:$PZ$14,0)),INDEX(QA39:QZ39,MATCH(QC39,QC39:QC144,0),MATCH(Structure!$D$17,$QA$14:$QZ$14,0))))</f>
        <v/>
      </c>
      <c r="CI39" s="341" t="str">
        <f>IF(A39=FALSE,"",IF(ALLTHESAME=TRUE,INDEX(RA39:RZ39,MATCH(RC39,RC39:RC144,0),MATCH(Structure!$D$17,$RA$14:$RZ$14,0)),INDEX(SA39:TC39,MATCH(SC39,SC39:SC144,0),MATCH(Structure!$D$17,$SA$14:$TC$14,0))))</f>
        <v/>
      </c>
      <c r="CJ39" s="347"/>
      <c r="CK39" s="239" t="str">
        <f t="shared" si="241"/>
        <v/>
      </c>
      <c r="CL39" s="239" t="str">
        <f>IF(A39=FALSE,"",IF(ALLTHESAME=TRUE,INDEX(DD39:DZ39,MATCH(DF39,DF39:DF144,0),MATCH(Structure!$D$22,$DD$14:$DZ$14,0)),INDEX(EA39:EZ39,MATCH(EC39,EC39:EC144,0),MATCH(Structure!$D$22,$EA$14:$EZ$14,0))))</f>
        <v/>
      </c>
      <c r="CM39" s="239" t="str">
        <f>IF(A39=FALSE,"",IF(ALLTHESAME=TRUE,INDEX(FA39:FZ39,MATCH(FC39,FC39:FC144,0),MATCH(Structure!$D$22,$FA$14:$FZ$14,0)),INDEX(GA39:GZ39,MATCH(GC39,GC39:GC144,0),MATCH(Structure!$D$22,$GA$14:$GZ$14,0))))</f>
        <v/>
      </c>
      <c r="CN39" s="239" t="str">
        <f>IF(A39=FALSE,"",IF(ALLTHESAME=TRUE,INDEX(HA39:HZ39,MATCH(HC39,HC39:HC144,0),MATCH(Structure!$D$22,$HA$14:$HZ$14,0)),INDEX(IA39:IZ39,MATCH(IC39,IC39:IC144,0),MATCH(Structure!$D$22,$IA$14:$IZ$14,0))))</f>
        <v/>
      </c>
      <c r="CO39" s="239" t="str">
        <f>IF(A39=FALSE,"",IF(ALLTHESAME=TRUE,INDEX(JA39:JZ39,MATCH(JC39,JC39:JC144,0),MATCH(Structure!$D$22,$JA$14:$JZ$14,0)),INDEX(KA39:KZ39,MATCH(KC39,KC39:KC144,0),MATCH(Structure!$D$22,$KA$14:$KZ$14,0))))</f>
        <v/>
      </c>
      <c r="CP39" s="239" t="str">
        <f>IF(A39=FALSE,"",IF(ALLTHESAME=TRUE,INDEX(LA39:LZ39,MATCH(LC39,LC39:LC144,0),MATCH(Structure!$D$22,$LA$14:$LZ$14,0)),INDEX(MA39:MZ39,MATCH(MC39,MC39:MC144,0),MATCH(Structure!$D$22,$MA$14:$MZ$14,0))))</f>
        <v/>
      </c>
      <c r="CQ39" s="239" t="str">
        <f>IF(A39=FALSE,"",IF(ALLTHESAME=TRUE,INDEX(NA39:NZ39,MATCH(NC39,NC39:NC144,0),MATCH(Structure!$D$22,$NA$14:$NZ$14,0)),INDEX(OA39:OZ39,MATCH(OC39,OC39:OC144,0),MATCH(Structure!$D$22,$OA$14:$OZ$14,0))))</f>
        <v/>
      </c>
      <c r="CR39" s="239" t="str">
        <f>IF(A39=FALSE,"",IF(ALLTHESAME=TRUE,INDEX(PA39:PZ39,MATCH(PC39,PC39:PC144,0),MATCH(Structure!$D$22,$PA$14:$PZ$14,0)),INDEX(QA39:QZ39,MATCH(QC39,QC39:QC144,0),MATCH(Structure!$D$22,$QA$14:$QZ$14,0))))</f>
        <v/>
      </c>
      <c r="CS39" s="341" t="str">
        <f>IF(A39=FALSE,"",IF(ALLTHESAME=TRUE,INDEX(RA39:RZ39,MATCH(RC39,RC39:RC144,0),MATCH(Structure!$D$22,$RA$14:$RZ$14,0)),INDEX(SA39:TC39,MATCH(SC39,SC39:SC144,0),MATCH(Structure!$D$22,$SA$14:$TC$14,0))))</f>
        <v/>
      </c>
      <c r="CT39" s="347"/>
      <c r="CU39" s="239" t="str">
        <f t="shared" si="242"/>
        <v/>
      </c>
      <c r="CV39" s="239" t="str">
        <f>IF(A39=FALSE,"",IF(ALLTHESAME=TRUE,INDEX(DD39:DZ39,MATCH(DF39,DF39:DF144,0),MATCH(Structure!$D$8,$DD$14:$DZ$14,0)),INDEX(EA39:EZ39,MATCH(EC39,EC39:EC144,0),MATCH(Structure!$D$8,$EA$14:$EZ$14,0))))</f>
        <v/>
      </c>
      <c r="CW39" s="239" t="str">
        <f>IF(A39=FALSE,"",IF(ALLTHESAME=TRUE,INDEX(FA39:FZ39,MATCH(FC39,FC39:FC144,0),MATCH(Structure!$D$8,$FA$14:$FZ$14,0)),INDEX(GA39:GZ39,MATCH(GC39,GC39:GC144,0),MATCH(Structure!$D$8,$GA$14:$GZ$14,0))))</f>
        <v/>
      </c>
      <c r="CX39" s="239" t="str">
        <f>IF(A39=FALSE,"",IF(ALLTHESAME=TRUE,INDEX(HA39:HZ39,MATCH(HC39,HC39:HC144,0),MATCH(Structure!$D$8,$HA$14:$HZ$14,0)),INDEX(IA39:IZ39,MATCH(IC39,IC39:IC144,0),MATCH(Structure!$D$8,$IA$14:$IZ$14,0))))</f>
        <v/>
      </c>
      <c r="CY39" s="239" t="str">
        <f>IF(A39=FALSE,"",IF(ALLTHESAME=TRUE,INDEX(JA39:JZ39,MATCH(JC39,JC39:JC144,0),MATCH(Structure!$D$8,$JA$14:$JZ$14,0)),INDEX(KA39:KZ39,MATCH(KC39,KC39:KC144,0),MATCH(Structure!$D$8,$KA$14:$KZ$14,0))))</f>
        <v/>
      </c>
      <c r="CZ39" s="239" t="str">
        <f>IF(A39=FALSE,"",IF(ALLTHESAME=TRUE,INDEX(LA39:LZ39,MATCH(LC39,LC39:LC144,0),MATCH(Structure!$D$8,$LA$14:$LZ$14,0)),INDEX(MA39:MZ39,MATCH(MC39,MC39:MC144,0),MATCH(Structure!$D$8,$MA$14:$MZ$14,0))))</f>
        <v/>
      </c>
      <c r="DA39" s="239" t="str">
        <f>IF(A39=FALSE,"",IF(ALLTHESAME=TRUE,INDEX(NA39:NZ39,MATCH(NC39,NC39:NC144,0),MATCH(Structure!$D$8,$NA$14:$NZ$14,0)),INDEX(OA39:OZ39,MATCH(OC39,OC39:OC144,0),MATCH(Structure!$D$8,$OA$14:$OZ$14,0))))</f>
        <v/>
      </c>
      <c r="DB39" s="239" t="str">
        <f>IF(A39=FALSE,"",IF(ALLTHESAME=TRUE,INDEX(PA39:PZ39,MATCH(PC39,PC39:PC144,0),MATCH(Structure!$D$8,$PA$14:$PZ$14,0)),INDEX(QA39:QZ39,MATCH(QC39,QC39:QC144,0),MATCH(Structure!$D$8,$QA$14:$QZ$14,0))))</f>
        <v/>
      </c>
      <c r="DC39" s="341" t="str">
        <f>IF(A39=FALSE,"",IF(ALLTHESAME=TRUE,INDEX(RA39:RZ39,MATCH(RC39,RC39:RC144,0),MATCH(Structure!$D$8,$RA$14:$RZ$14,0)),INDEX(SA39:TC39,MATCH(SC39,SC39:SC144,0),MATCH(Structure!$D$8,$SA$14:$TC$14,0))))</f>
        <v/>
      </c>
      <c r="DD39" s="492" t="str">
        <f>IF(A39=FALSE,"",Cotations!D39)</f>
        <v/>
      </c>
      <c r="DE39" s="492" t="str">
        <f>IF(A39=FALSE,"",IF(LISTES!$A$17=1,Cotations!AF39,Cotations!$AG$4))</f>
        <v/>
      </c>
      <c r="DF39" s="291" t="str">
        <f t="shared" si="431"/>
        <v/>
      </c>
      <c r="DG39" s="291" t="str">
        <f t="shared" si="243"/>
        <v/>
      </c>
      <c r="DH39" s="291"/>
      <c r="DI39" s="463"/>
      <c r="DJ39" s="463" t="str">
        <f t="shared" si="244"/>
        <v/>
      </c>
      <c r="DK39" s="522" t="str">
        <f>IF(A39=FALSE,"",IF(Cotations!$AH$4="monthly",DJ39/12*L39,DJ39/365*M39))</f>
        <v/>
      </c>
      <c r="DL39" s="489" t="str">
        <f>IF(A39=FALSE,"",Cotations!$AI$4)</f>
        <v/>
      </c>
      <c r="DM39" s="300" t="str">
        <f t="shared" si="245"/>
        <v/>
      </c>
      <c r="DN39" s="300" t="str">
        <f t="shared" si="246"/>
        <v/>
      </c>
      <c r="DO39" s="294" t="str">
        <f t="shared" si="247"/>
        <v/>
      </c>
      <c r="DP39" s="494" t="str">
        <f>IF(A39=FALSE,"",Cotations!$AJ$4)</f>
        <v/>
      </c>
      <c r="DQ39" s="494" t="str">
        <f>IF(A39=FALSE,"",Cotations!$AK$4)</f>
        <v/>
      </c>
      <c r="DR39" s="489" t="str">
        <f>IF(A39=FALSE,"",Cotations!$AL$4)</f>
        <v/>
      </c>
      <c r="DS39" s="494" t="str">
        <f>IF(A39=FALSE,"",IF(DP39="N/A",0,IF(INDEX(LISTES!$F$105:$F$109,MATCH(DP39,LISTES!$C$105:$C$109,0))="FIX",IF(INDEX(LISTES!$E$105:$E$109,MATCH(DP39,LISTES!$C$105:$C$109,0))=12,DQ39/12*L39,DQ39/365*M39),DR39*DO39)))</f>
        <v/>
      </c>
      <c r="DT39" s="294" t="str">
        <f t="shared" si="248"/>
        <v/>
      </c>
      <c r="DU39" s="294" t="str">
        <f>IF(A39=FALSE,"",DT39*Cotations!$AM$4)</f>
        <v/>
      </c>
      <c r="DV39" s="294" t="str">
        <f>IF(A39=FALSE,"",DT39*Cotations!$AN$4)</f>
        <v/>
      </c>
      <c r="DW39" s="465" t="str">
        <f t="shared" si="249"/>
        <v/>
      </c>
      <c r="DX39" s="919" t="str">
        <f>IF(A39=FALSE,"",((DJ39*TAXE)-(DJ39*TAXE*DL39))+IF(DP39="N/A",0,IF(INDEX(LISTES!$F$105:$F$109,MATCH(DP39,LISTES!$C$105:$C$109,0))="FIX",DQ39,DR39*DO39)))</f>
        <v/>
      </c>
      <c r="DY39" s="466"/>
      <c r="DZ39" s="466"/>
      <c r="EA39" s="492" t="str">
        <f>IF(A39=FALSE,"",Cotations!D39)</f>
        <v/>
      </c>
      <c r="EB39" s="494" t="str">
        <f>IF(A39=FALSE,"",IF(LISTES!$A$17=1,Cotations!AF39,Cotations!AG39))</f>
        <v/>
      </c>
      <c r="EC39" s="284" t="str">
        <f t="shared" si="250"/>
        <v/>
      </c>
      <c r="ED39" s="284" t="str">
        <f t="shared" si="251"/>
        <v/>
      </c>
      <c r="EE39" s="284"/>
      <c r="EF39" s="284"/>
      <c r="EG39" s="284" t="str">
        <f t="shared" si="252"/>
        <v/>
      </c>
      <c r="EH39" s="1365" t="str">
        <f t="shared" si="253"/>
        <v/>
      </c>
      <c r="EI39" s="1365" t="str">
        <f t="shared" si="254"/>
        <v/>
      </c>
      <c r="EJ39" s="515" t="str">
        <f>IF(A39=FALSE,"",IF(Cotations!AH39="monthly",EG39/12*L39,EG39/365*M39))</f>
        <v/>
      </c>
      <c r="EK39" s="1364" t="str">
        <f>IF(A39=FALSE,"",IF(Cotations!AH39="monthly",EI39/12*L39,EI39/365*M39))</f>
        <v/>
      </c>
      <c r="EL39" s="493" t="str">
        <f>IF(A39=FALSE,"",IF(Cotations!AI39="","",Cotations!AI39))</f>
        <v/>
      </c>
      <c r="EM39" s="284" t="str">
        <f t="shared" si="255"/>
        <v/>
      </c>
      <c r="EN39" s="284" t="str">
        <f t="shared" si="256"/>
        <v/>
      </c>
      <c r="EO39" s="1365" t="str">
        <f t="shared" si="432"/>
        <v/>
      </c>
      <c r="EP39" s="284" t="str">
        <f t="shared" si="257"/>
        <v/>
      </c>
      <c r="EQ39" s="515" t="str">
        <f>IF(A39=FALSE,"",Cotations!AJ39)</f>
        <v/>
      </c>
      <c r="ER39" s="515" t="str">
        <f>IF(A39=FALSE,"",IF(Cotations!AK39="","",Cotations!AK39))</f>
        <v/>
      </c>
      <c r="ES39" s="493" t="str">
        <f>IF(A39=FALSE,"",Cotations!AL39)</f>
        <v/>
      </c>
      <c r="ET39" s="515" t="str">
        <f>IF(A39=FALSE,"",IF(EQ39="N/A",0,IF(INDEX(LISTES!$F$105:$F$109,MATCH(EQ39,LISTES!$C$105:$C$109,0))="FIX",IF(INDEX(LISTES!$E$105:$E$109,MATCH(EQ39,LISTES!$C$105:$C$109,0))=12,ER39/12*L39,ER39/365*M39),ES39*EP39)))</f>
        <v/>
      </c>
      <c r="EU39" s="294" t="str">
        <f t="shared" si="258"/>
        <v/>
      </c>
      <c r="EV39" s="494" t="str">
        <f>IF(A39=FALSE,"",EU39*Cotations!AM39)</f>
        <v/>
      </c>
      <c r="EW39" s="494" t="str">
        <f>IF(A39=FALSE,"",EU39*Cotations!AN39)</f>
        <v/>
      </c>
      <c r="EX39" s="334" t="str">
        <f t="shared" si="259"/>
        <v/>
      </c>
      <c r="EY39" s="919" t="str">
        <f>IF(A39=FALSE,"",((EG39*TAXE)-(EG39*TAXE*EL39)+EH39)+IF(EQ39="N/A",0,IF(INDEX(LISTES!$F$105:$F$109,MATCH(EQ39,LISTES!$C$105:$C$109,0))="FIX",ER39,ES39*EP39)))</f>
        <v/>
      </c>
      <c r="FA39" s="492" t="str">
        <f>IF(A39=FALSE,"",Cotations!D39)</f>
        <v/>
      </c>
      <c r="FB39" s="519" t="str">
        <f>IF(A39=FALSE,"",IF(LISTES!$A$17=1,Cotations!AO39,Cotations!$AP$4))</f>
        <v/>
      </c>
      <c r="FC39" s="291" t="str">
        <f t="shared" si="260"/>
        <v/>
      </c>
      <c r="FD39" s="291" t="str">
        <f t="shared" si="261"/>
        <v/>
      </c>
      <c r="FE39" s="291"/>
      <c r="FF39" s="463"/>
      <c r="FG39" s="463" t="str">
        <f t="shared" si="262"/>
        <v/>
      </c>
      <c r="FH39" s="522" t="str">
        <f>IF(A39=FALSE,"",IF(Cotations!$AQ$4="monthly",FG39/12*L39,FG39/365*M39))</f>
        <v/>
      </c>
      <c r="FI39" s="453" t="str">
        <f>IF(A39=FALSE,"",Cotations!$AR$4)</f>
        <v/>
      </c>
      <c r="FJ39" s="300" t="str">
        <f t="shared" si="263"/>
        <v/>
      </c>
      <c r="FK39" s="300" t="str">
        <f t="shared" si="264"/>
        <v/>
      </c>
      <c r="FL39" s="294" t="str">
        <f t="shared" si="265"/>
        <v/>
      </c>
      <c r="FM39" s="494" t="str">
        <f>IF(A39=FALSE,"",Cotations!$AS$4)</f>
        <v/>
      </c>
      <c r="FN39" s="494" t="str">
        <f>IF(A39=FALSE,"",Cotations!$AT$4)</f>
        <v/>
      </c>
      <c r="FO39" s="489" t="str">
        <f>IF(A39=FALSE,"",Cotations!$AU$4)</f>
        <v/>
      </c>
      <c r="FP39" s="494" t="str">
        <f>IF(A39=FALSE,"",IF(FM39="N/A",0,IF(INDEX(LISTES!$F$105:$F$109,MATCH(FM39,LISTES!$C$105:$C$109,0))="FIX",IF(INDEX(LISTES!$E$105:$E$109,MATCH(FM39,LISTES!$C$105:$C$109,0))=12,FN39/12*L39,FN39/365*M39),FO39*FL39)))</f>
        <v/>
      </c>
      <c r="FQ39" s="294" t="str">
        <f t="shared" si="266"/>
        <v/>
      </c>
      <c r="FR39" s="494" t="str">
        <f>IF(A39=FALSE,"",FQ39*Cotations!$AV$4)</f>
        <v/>
      </c>
      <c r="FS39" s="494" t="str">
        <f>IF(A39=FALSE,"",FQ39*Cotations!$AW$4)</f>
        <v/>
      </c>
      <c r="FT39" s="465" t="str">
        <f t="shared" si="267"/>
        <v/>
      </c>
      <c r="FU39" s="919" t="str">
        <f>IF(A39=FALSE,"",((FG39*TAXE)-(FG39*TAXE*FI39))+IF(FM39="N/A",0,IF(INDEX(LISTES!$F$105:$F$109,MATCH(FM39,LISTES!$C$105:$C$109,0))="FIX",FN39,FO39*FL39)))</f>
        <v/>
      </c>
      <c r="FV39" s="478"/>
      <c r="FW39" s="478"/>
      <c r="FX39" s="478"/>
      <c r="FY39" s="478"/>
      <c r="FZ39" s="478"/>
      <c r="GA39" s="492" t="str">
        <f>IF(A39=FALSE,"",Cotations!D39)</f>
        <v/>
      </c>
      <c r="GB39" s="494" t="str">
        <f>IF(A39=FALSE,"",IF(LISTES!$A$17=1,Cotations!AO39,Cotations!AP39))</f>
        <v/>
      </c>
      <c r="GC39" s="284" t="str">
        <f t="shared" si="268"/>
        <v/>
      </c>
      <c r="GD39" s="515" t="str">
        <f>IF(A39=FALSE,"",IF(Detail!AM39="","",Detail!AM39))</f>
        <v/>
      </c>
      <c r="GE39" s="284"/>
      <c r="GF39" s="284"/>
      <c r="GG39" s="284" t="str">
        <f t="shared" si="269"/>
        <v/>
      </c>
      <c r="GH39" s="515" t="str">
        <f>IF(A39=FALSE,"",IF(Cotations!AQ39="monthly",GG39/12*L39,GG39/365*M39))</f>
        <v/>
      </c>
      <c r="GI39" s="493" t="str">
        <f>IF(A39=FALSE,"",IF(Cotations!AR39="","",Cotations!AR39))</f>
        <v/>
      </c>
      <c r="GJ39" s="284" t="str">
        <f t="shared" si="270"/>
        <v/>
      </c>
      <c r="GK39" s="284" t="str">
        <f t="shared" si="271"/>
        <v/>
      </c>
      <c r="GL39" s="284" t="str">
        <f t="shared" si="272"/>
        <v/>
      </c>
      <c r="GM39" s="515" t="str">
        <f>IF(A39=FALSE,"",Cotations!AS39)</f>
        <v/>
      </c>
      <c r="GN39" s="515" t="str">
        <f>IF(A39=FALSE,"",Cotations!AT39)</f>
        <v/>
      </c>
      <c r="GO39" s="493" t="str">
        <f>IF(A39=FALSE,"",Cotations!AU39)</f>
        <v/>
      </c>
      <c r="GP39" s="515" t="str">
        <f>IF(A39=FALSE,"",IF(GM39="N/A",0,IF(INDEX(LISTES!$F$105:$F$109,MATCH(GM39,LISTES!$C$105:$C$109,0))="FIX",IF(INDEX(LISTES!$E$105:$E$109,MATCH(GM39,LISTES!$C$105:$C$109,0))=12,GN39/12*L39,GN39/365*M39),GO39*GL39)))</f>
        <v/>
      </c>
      <c r="GQ39" s="294" t="str">
        <f t="shared" si="273"/>
        <v/>
      </c>
      <c r="GR39" s="494" t="str">
        <f>IF(A39=FALSE,"",GQ39*Cotations!AV39)</f>
        <v/>
      </c>
      <c r="GS39" s="494" t="str">
        <f>IF(A39=FALSE,"",GQ39*Cotations!AW39)</f>
        <v/>
      </c>
      <c r="GT39" s="334" t="str">
        <f t="shared" si="274"/>
        <v/>
      </c>
      <c r="GU39" s="919" t="str">
        <f>IF(A39=FALSE,"",((GG39*TAXE)-(GG39*TAXE*GI39))+IF(GM39="N/A",0,IF(INDEX(LISTES!$F$105:$F$109,MATCH(GM39,LISTES!$C$105:$C$109,0))="FIX",GN39,GO39*GL39)))</f>
        <v/>
      </c>
      <c r="GV39" s="478"/>
      <c r="GW39" s="466"/>
      <c r="GX39" s="466"/>
      <c r="GY39" s="466"/>
      <c r="GZ39" s="466"/>
      <c r="HA39" s="492" t="str">
        <f>IF(A39=FALSE,"",Cotations!D39)</f>
        <v/>
      </c>
      <c r="HB39" s="495" t="str">
        <f>IF(A39=FALSE,"",IF(LISTES!$A$17=1,Cotations!AX39,Cotations!$AY$4))</f>
        <v/>
      </c>
      <c r="HC39" s="291" t="str">
        <f t="shared" si="275"/>
        <v/>
      </c>
      <c r="HD39" s="291" t="str">
        <f t="shared" si="276"/>
        <v/>
      </c>
      <c r="HE39" s="456" t="str">
        <f t="shared" si="277"/>
        <v/>
      </c>
      <c r="HF39" s="496" t="str">
        <f>IF(A39=FALSE,"",IF(HA39="POEA",Cotations!BA39,IF(HA39="FIXE",Cotations!$BA$4,Cotations!$BC$4*Y39)))</f>
        <v/>
      </c>
      <c r="HG39" s="300" t="str">
        <f t="shared" si="278"/>
        <v/>
      </c>
      <c r="HH39" s="522" t="str">
        <f>IF(A39=FALSE,"",IF(Cotations!$AZ$4="monthly",HG39/12*L39,HG39/365*M39))</f>
        <v/>
      </c>
      <c r="HI39" s="489" t="str">
        <f>IF(A39=FALSE,"",Cotations!$BD$4)</f>
        <v/>
      </c>
      <c r="HJ39" s="300" t="str">
        <f t="shared" si="279"/>
        <v/>
      </c>
      <c r="HK39" s="300" t="str">
        <f t="shared" si="280"/>
        <v/>
      </c>
      <c r="HL39" s="294" t="str">
        <f t="shared" si="281"/>
        <v/>
      </c>
      <c r="HM39" s="494" t="str">
        <f>IF(A39=FALSE,"",Cotations!$BE$4)</f>
        <v/>
      </c>
      <c r="HN39" s="522" t="str">
        <f>IF(A39=FALSE,"",Cotations!$BF$4)</f>
        <v/>
      </c>
      <c r="HO39" s="489" t="str">
        <f>IF(A39=FALSE,"",Cotations!$BG$4)</f>
        <v/>
      </c>
      <c r="HP39" s="494" t="str">
        <f>IF(A39=FALSE,"",IF(HM39="N/A",0,IF(INDEX(LISTES!$F$105:$F$109,MATCH(HM39,LISTES!$C$105:$C$109,0))="FIX",IF(INDEX(LISTES!$E$105:$E$109,MATCH(HM39,LISTES!$C$105:$C$109,0))=12,HN39/12*L39,HN39/365*M39),HO39*HL39)))</f>
        <v/>
      </c>
      <c r="HQ39" s="294" t="str">
        <f t="shared" si="282"/>
        <v/>
      </c>
      <c r="HR39" s="494" t="str">
        <f>IF(A39=FALSE,"",HQ39*Cotations!$BH$4)</f>
        <v/>
      </c>
      <c r="HS39" s="494" t="str">
        <f>IF(A39=FALSE,"",HQ39*Cotations!$BI$4)</f>
        <v/>
      </c>
      <c r="HT39" s="294" t="str">
        <f t="shared" si="283"/>
        <v/>
      </c>
      <c r="HU39" s="919" t="str">
        <f>IF(A39=FALSE,"",((HG39*TAXE)-(HG39*TAXE*HI39))+IF(HM39="N/A",0,IF(INDEX(LISTES!$F$105:$F$109,MATCH(HM39,LISTES!$C$105:$C$109,0))="FIX",HN39,HO39*HL39)))</f>
        <v/>
      </c>
      <c r="IA39" s="492" t="str">
        <f>IF(A39=FALSE,"",Cotations!D39)</f>
        <v/>
      </c>
      <c r="IB39" s="491" t="str">
        <f>IF(A39=FALSE,"",IF(LISTES!$A$17=1,Cotations!AX39,Cotations!AY39))</f>
        <v/>
      </c>
      <c r="IC39" s="285" t="str">
        <f t="shared" si="284"/>
        <v/>
      </c>
      <c r="ID39" s="300" t="str">
        <f>IF(A39=FALSE,"",IF(LISTES!$A$17=3,Detail!AU39,lig1_Formula_PREVOY))</f>
        <v/>
      </c>
      <c r="IE39" s="461" t="str">
        <f t="shared" si="285"/>
        <v/>
      </c>
      <c r="IF39" s="490" t="str">
        <f>IF(A39=FALSE,"",IF(IA39="POEA",Cotations!BA39,IF(HA39="FIXE",Cotations!BB39,IF(Cotations!BC39*Y39&lt;50000,Z39,Cotations!BC39*Y39))))</f>
        <v/>
      </c>
      <c r="IG39" s="300" t="str">
        <f t="shared" si="286"/>
        <v/>
      </c>
      <c r="IH39" s="522" t="str">
        <f>IF(A39=FALSE,"",IF(Cotations!AZ39="monthly",IG39/12*L39,IG39/365*M39))</f>
        <v/>
      </c>
      <c r="II39" s="489" t="str">
        <f>IF(A39=FALSE,"",IF(Cotations!BD39="","",Cotations!BD39))</f>
        <v/>
      </c>
      <c r="IJ39" s="300" t="str">
        <f t="shared" si="287"/>
        <v/>
      </c>
      <c r="IK39" s="300" t="str">
        <f t="shared" si="288"/>
        <v/>
      </c>
      <c r="IL39" s="919" t="str">
        <f t="shared" si="289"/>
        <v/>
      </c>
      <c r="IM39" s="517" t="str">
        <f>IF(A39=FALSE,"",Cotations!BE39)</f>
        <v/>
      </c>
      <c r="IN39" s="517" t="str">
        <f>IF(A39=FALSE,"",Cotations!BF39)</f>
        <v/>
      </c>
      <c r="IO39" s="493" t="str">
        <f>IF(A39=FALSE,"",Cotations!BG39)</f>
        <v/>
      </c>
      <c r="IP39" s="517" t="str">
        <f>IF(A39=FALSE,"",IF(IM39="N/A",0,IF(INDEX(LISTES!$F$105:$F$109,MATCH(IM39,LISTES!$C$105:$C$109,0))="FIX",IF(INDEX(LISTES!$E$105:$E$109,MATCH(IM39,LISTES!$C$105:$C$109,0))=12,IN39/12*L39,IN39/365*M39),IO39*IL39)))</f>
        <v/>
      </c>
      <c r="IQ39" s="294" t="str">
        <f t="shared" si="290"/>
        <v/>
      </c>
      <c r="IR39" s="494" t="str">
        <f>IF(A39=FALSE,"",IQ39*Cotations!BH39)</f>
        <v/>
      </c>
      <c r="IS39" s="494" t="str">
        <f>IF(A39=FALSE,"",IQ39*Cotations!BI39)</f>
        <v/>
      </c>
      <c r="IT39" s="338" t="str">
        <f t="shared" si="291"/>
        <v/>
      </c>
      <c r="IU39" s="919" t="str">
        <f>IF(A39=FALSE,"",((IG39*TAXE)-(IG39*TAXE*II39))+IF(IM39="N/A",0,IF(INDEX(LISTES!$F$105:$F$109,MATCH(IM39,LISTES!$C$105:$C$109,0))="FIX",IN39,IO39*IL39)))</f>
        <v/>
      </c>
      <c r="JA39" s="492" t="str">
        <f>IF(A39=FALSE,"",Cotations!D39)</f>
        <v/>
      </c>
      <c r="JB39" s="495" t="str">
        <f>IF(A39=FALSE,"",IF(LISTES!$A$17=1,Cotations!BJ39,Cotations!$BK$4))</f>
        <v/>
      </c>
      <c r="JC39" s="291" t="str">
        <f t="shared" si="292"/>
        <v/>
      </c>
      <c r="JD39" s="291" t="str">
        <f t="shared" si="293"/>
        <v/>
      </c>
      <c r="JE39" s="456" t="str">
        <f t="shared" si="294"/>
        <v/>
      </c>
      <c r="JF39" s="496" t="str">
        <f>IF(A39=FALSE,"",IF(JA39="POEA",Cotations!BM39,IF(JA39="FIXE",Cotations!$BM$4,Cotations!$BO$4*Y39)))</f>
        <v/>
      </c>
      <c r="JG39" s="300" t="str">
        <f t="shared" si="295"/>
        <v/>
      </c>
      <c r="JH39" s="522" t="str">
        <f>IF(A39=FALSE,"",IF(Cotations!$BL$4="monthly",JG39/12*L39,JG39/365*M39))</f>
        <v/>
      </c>
      <c r="JI39" s="489" t="str">
        <f>IF(A39=FALSE,"",Cotations!$BP$4)</f>
        <v/>
      </c>
      <c r="JJ39" s="300" t="str">
        <f t="shared" si="296"/>
        <v/>
      </c>
      <c r="JK39" s="300" t="str">
        <f t="shared" si="297"/>
        <v/>
      </c>
      <c r="JL39" s="294" t="str">
        <f t="shared" si="298"/>
        <v/>
      </c>
      <c r="JM39" s="494" t="str">
        <f>IF(A39=FALSE,"",Cotations!$BQ$4)</f>
        <v/>
      </c>
      <c r="JN39" s="522" t="str">
        <f>IF(A39=FALSE,"",Cotations!$BR$4)</f>
        <v/>
      </c>
      <c r="JO39" s="489" t="str">
        <f>IF(A39=FALSE,"",Cotations!$BS$4)</f>
        <v/>
      </c>
      <c r="JP39" s="494" t="str">
        <f>IF(A39=FALSE,"",IF(JM39="N/A",0,IF(INDEX(LISTES!$F$105:$F$109,MATCH(JM39,LISTES!$C$105:$C$109,0))="FIX",IF(INDEX(LISTES!$E$105:$E$109,MATCH(JM39,LISTES!$C$105:$C$109,0))=12,JN39/12*L39,JN39/365*M39),JO39*JL39)))</f>
        <v/>
      </c>
      <c r="JQ39" s="294" t="str">
        <f t="shared" si="299"/>
        <v/>
      </c>
      <c r="JR39" s="494" t="str">
        <f>IF(A39=FALSE,"",JQ39*Cotations!$BT$4)</f>
        <v/>
      </c>
      <c r="JS39" s="494" t="str">
        <f>IF(A39=FALSE,"",JQ39*Cotations!$BU$4)</f>
        <v/>
      </c>
      <c r="JT39" s="294" t="str">
        <f t="shared" si="300"/>
        <v/>
      </c>
      <c r="JU39" s="919" t="str">
        <f>IF(A39=FALSE,"",((JG39*TAXE)-(JG39*TAXE*JI39))+IF(JM39="N/A",0,IF(INDEX(LISTES!$F$105:$F$109,MATCH(JM39,LISTES!$C$105:$C$109,0))="FIX",JN39,JO39*JL39)))</f>
        <v/>
      </c>
      <c r="KA39" s="492" t="str">
        <f>IF(A39=FALSE,"",Cotations!D39)</f>
        <v/>
      </c>
      <c r="KB39" s="491" t="str">
        <f>IF(A39=FALSE,"",IF(LISTES!$A$17=1,Cotations!BJ39,Cotations!BK39))</f>
        <v/>
      </c>
      <c r="KC39" s="285" t="str">
        <f t="shared" si="301"/>
        <v/>
      </c>
      <c r="KD39" s="300"/>
      <c r="KE39" s="461" t="str">
        <f t="shared" si="302"/>
        <v/>
      </c>
      <c r="KF39" s="490" t="str">
        <f>IF(A39=FALSE,"",IF(KA39="POEA",Cotations!BM39,IF(KA39="FIXE",Cotations!BN39,IF(Cotations!BO39*Y39&lt;50000,Z39,Cotations!BO39*Y39))))</f>
        <v/>
      </c>
      <c r="KG39" s="300" t="str">
        <f t="shared" si="303"/>
        <v/>
      </c>
      <c r="KH39" s="522" t="str">
        <f>IF(A39=FALSE,"",IF(Cotations!BL39="monthly",KG39/12*L39,KG39/365*M39))</f>
        <v/>
      </c>
      <c r="KI39" s="489" t="str">
        <f>IF(A39=FALSE,"",IF(Cotations!BP39="","",Cotations!BP39))</f>
        <v/>
      </c>
      <c r="KJ39" s="300" t="str">
        <f t="shared" si="304"/>
        <v/>
      </c>
      <c r="KK39" s="300" t="str">
        <f t="shared" si="305"/>
        <v/>
      </c>
      <c r="KL39" s="919" t="str">
        <f t="shared" si="306"/>
        <v/>
      </c>
      <c r="KM39" s="517" t="str">
        <f>IF(A39=FALSE,"",Cotations!BQ39)</f>
        <v/>
      </c>
      <c r="KN39" s="515" t="str">
        <f>IF(A39=FALSE,"",Cotations!BR39)</f>
        <v/>
      </c>
      <c r="KO39" s="493" t="str">
        <f>IF(A39=FALSE,"",Cotations!BS39)</f>
        <v/>
      </c>
      <c r="KP39" s="517" t="str">
        <f>IF(A39=FALSE,"",IF(KM39="N/A",0,IF(INDEX(LISTES!$F$105:$F$109,MATCH(KM39,LISTES!$C$105:$C$109,0))="FIX",IF(INDEX(LISTES!$E$105:$E$109,MATCH(KM39,LISTES!$C$105:$C$109,0))=12,KN39/12*L39,KN39/365*M39),KO39*KL39)))</f>
        <v/>
      </c>
      <c r="KQ39" s="294" t="str">
        <f t="shared" si="307"/>
        <v/>
      </c>
      <c r="KR39" s="494" t="str">
        <f>IF(A39=FALSE,"",KQ39*Cotations!BT39)</f>
        <v/>
      </c>
      <c r="KS39" s="494" t="str">
        <f>IF(A39=FALSE,"",KQ39*Cotations!BU39)</f>
        <v/>
      </c>
      <c r="KT39" s="338" t="str">
        <f t="shared" si="308"/>
        <v/>
      </c>
      <c r="KU39" s="919" t="str">
        <f>IF(A39=FALSE,"",((KG39*TAXE)-(KG39*TAXE*KI39))+IF(KM39="N/A",0,IF(INDEX(LISTES!$F$105:$F$109,MATCH(KM39,LISTES!$C$105:$C$109,0))="FIX",KN39,KO39*KL39)))</f>
        <v/>
      </c>
      <c r="LA39" s="497" t="str">
        <f>IF(A39=FALSE,"",Cotations!D39)</f>
        <v/>
      </c>
      <c r="LB39" s="498" t="str">
        <f>IF(A39=FALSE,"",IF(LISTES!$A$17=1,Cotations!BV39,Cotations!$BW$4))</f>
        <v/>
      </c>
      <c r="LC39" s="499" t="str">
        <f t="shared" si="309"/>
        <v/>
      </c>
      <c r="LD39" s="499" t="str">
        <f t="shared" si="310"/>
        <v/>
      </c>
      <c r="LE39" s="500" t="str">
        <f t="shared" si="311"/>
        <v/>
      </c>
      <c r="LF39" s="501" t="str">
        <f>IF(A39=FALSE,"",IF(LA39="POEA",Cotations!EJ39,IF(LA39="FIXE",Cotations!$BY$4,Cotations!$CA$4*Y39)))</f>
        <v/>
      </c>
      <c r="LG39" s="502" t="str">
        <f t="shared" si="312"/>
        <v/>
      </c>
      <c r="LH39" s="520" t="str">
        <f>IF(A39=FALSE,"",IF(Cotations!$BX$4="monthly",LG39/12*L39,LG39/365*M39))</f>
        <v/>
      </c>
      <c r="LI39" s="503" t="str">
        <f>IF(A39=FALSE,"",Cotations!$CB$4)</f>
        <v/>
      </c>
      <c r="LJ39" s="502" t="str">
        <f t="shared" si="313"/>
        <v/>
      </c>
      <c r="LK39" s="502" t="str">
        <f t="shared" si="314"/>
        <v/>
      </c>
      <c r="LL39" s="504" t="str">
        <f t="shared" si="315"/>
        <v/>
      </c>
      <c r="LM39" s="505" t="str">
        <f>IF(A39=FALSE,"",Cotations!$CC$4)</f>
        <v/>
      </c>
      <c r="LN39" s="503" t="str">
        <f>IF(A39=FALSE,"",Cotations!$CD$4)</f>
        <v/>
      </c>
      <c r="LO39" s="503" t="str">
        <f>IF(A39=FALSE,"",Cotations!$CE$4)</f>
        <v/>
      </c>
      <c r="LP39" s="505" t="str">
        <f>IF(A39=FALSE,"",IF(LM39="N/A",0,IF(INDEX(LISTES!$F$105:$F$109,MATCH(LM39,LISTES!$C$105:$C$109,0))="FIX",IF(INDEX(LISTES!$E$105:$E$109,MATCH(LM39,LISTES!$C$105:$C$109,0))=12,LN39/12*L39,LN39/365*M39),LO39*LL39)))</f>
        <v/>
      </c>
      <c r="LQ39" s="504" t="str">
        <f t="shared" si="316"/>
        <v/>
      </c>
      <c r="LR39" s="505" t="str">
        <f>IF(A39=FALSE,"",LQ39*Cotations!$CF$4)</f>
        <v/>
      </c>
      <c r="LS39" s="505" t="str">
        <f>IF(A39=FALSE,"",LQ39*Cotations!$CG$4)</f>
        <v/>
      </c>
      <c r="LT39" s="506" t="str">
        <f t="shared" si="317"/>
        <v/>
      </c>
      <c r="LU39" s="919" t="str">
        <f>IF(A39=FALSE,"",((LG39*TAXE)-(LG39*TAXE*LI39))+IF(LM39="N/A",0,IF(INDEX(LISTES!$F$105:$F$109,MATCH(LM39,LISTES!$C$105:$C$109,0))="FIX",LN39,LO39*LL39)))</f>
        <v/>
      </c>
      <c r="MA39" s="492" t="str">
        <f>IF(A39=FALSE,"",Cotations!D39)</f>
        <v/>
      </c>
      <c r="MB39" s="491" t="str">
        <f>IF(A39=FALSE,"",IF(LISTES!$A$17=1,Cotations!BV39,Cotations!BW39))</f>
        <v/>
      </c>
      <c r="MC39" s="285" t="str">
        <f t="shared" si="318"/>
        <v/>
      </c>
      <c r="MD39" s="300"/>
      <c r="ME39" s="461" t="str">
        <f t="shared" si="319"/>
        <v/>
      </c>
      <c r="MF39" s="490" t="str">
        <f>IF(A39=FALSE,"",IF(MA39="POEA",Cotations!BY39,IF(MA39="FIXE",Cotations!BZ39,IF(Cotations!CA39*Y39&lt;50000,Z39,Cotations!CA39*Y39))))</f>
        <v/>
      </c>
      <c r="MG39" s="300" t="str">
        <f t="shared" si="320"/>
        <v/>
      </c>
      <c r="MH39" s="522" t="str">
        <f>IF(A39=FALSE,"",IF(Cotations!BX39="monthly",MG39/12*L39,MG39/365*M39))</f>
        <v/>
      </c>
      <c r="MI39" s="489" t="str">
        <f>IF(A39=FALSE,"",IF(Cotations!CB39="","",Cotations!CB39))</f>
        <v/>
      </c>
      <c r="MJ39" s="300" t="str">
        <f t="shared" si="321"/>
        <v/>
      </c>
      <c r="MK39" s="300" t="str">
        <f t="shared" si="322"/>
        <v/>
      </c>
      <c r="ML39" s="919" t="str">
        <f t="shared" si="323"/>
        <v/>
      </c>
      <c r="MM39" s="517" t="str">
        <f>IF(A39=FALSE,"",Cotations!CC39)</f>
        <v/>
      </c>
      <c r="MN39" s="515" t="str">
        <f>IF(A39=FALSE,"",Cotations!CD39)</f>
        <v/>
      </c>
      <c r="MO39" s="493" t="str">
        <f>IF(A39=FALSE,"",Cotations!CE39)</f>
        <v/>
      </c>
      <c r="MP39" s="517" t="str">
        <f>IF(A39=FALSE,"",IF(MM39="N/A",0,IF(INDEX(LISTES!$F$105:$F$109,MATCH(MM39,LISTES!$C$105:$C$109,0))="FIX",IF(INDEX(LISTES!$E$105:$E$109,MATCH(MM39,LISTES!$C$105:$C$109,0))=12,MN39/12*L39,MN39/365*M39),MO39*ML39)))</f>
        <v/>
      </c>
      <c r="MQ39" s="294" t="str">
        <f t="shared" si="324"/>
        <v/>
      </c>
      <c r="MR39" s="494" t="str">
        <f>IF(A39=FALSE,"",MQ39*Cotations!CF39)</f>
        <v/>
      </c>
      <c r="MS39" s="494" t="str">
        <f>IF(A39=FALSE,"",MQ39*Cotations!CG39)</f>
        <v/>
      </c>
      <c r="MT39" s="338" t="str">
        <f t="shared" si="325"/>
        <v/>
      </c>
      <c r="MU39" s="919" t="str">
        <f>IF(A39=FALSE,"",((MG39*TAXE)-(MG39*TAXE*MI39))+IF(MM39="N/A",0,IF(INDEX(LISTES!$F$105:$F$109,MATCH(MM39,LISTES!$C$105:$C$109,0))="FIX",MN39,MO39*ML39)))</f>
        <v/>
      </c>
      <c r="NA39" s="497" t="str">
        <f>IF(A39=FALSE,"",Cotations!D39)</f>
        <v/>
      </c>
      <c r="NB39" s="498" t="str">
        <f>IF(A39=FALSE,"",IF(LISTES!$A$17=1,Cotations!CH39,Cotations!$CI$4))</f>
        <v/>
      </c>
      <c r="NC39" s="499" t="str">
        <f t="shared" si="326"/>
        <v/>
      </c>
      <c r="ND39" s="499" t="str">
        <f t="shared" si="327"/>
        <v/>
      </c>
      <c r="NE39" s="500" t="str">
        <f t="shared" si="328"/>
        <v/>
      </c>
      <c r="NF39" s="501" t="str">
        <f>IF(A39=FALSE,"",IF(NA39="POEA",Cotations!CK39,IF(NA39="FIXE",Cotations!$CK$4,Cotations!$CM$4*Y39)))</f>
        <v/>
      </c>
      <c r="NG39" s="502" t="str">
        <f t="shared" si="329"/>
        <v/>
      </c>
      <c r="NH39" s="520" t="str">
        <f>IF(A39=FALSE,"",IF(Cotations!$CJ$4="monthly",NG39/12*L39,NG39/365*M39))</f>
        <v/>
      </c>
      <c r="NI39" s="503" t="str">
        <f>IF(A39=FALSE,"",Cotations!$CN$4)</f>
        <v/>
      </c>
      <c r="NJ39" s="502" t="str">
        <f t="shared" si="330"/>
        <v/>
      </c>
      <c r="NK39" s="502" t="str">
        <f t="shared" si="331"/>
        <v/>
      </c>
      <c r="NL39" s="504" t="str">
        <f t="shared" si="332"/>
        <v/>
      </c>
      <c r="NM39" s="505" t="str">
        <f>IF(A39=FALSE,"",Cotations!$CO$4)</f>
        <v/>
      </c>
      <c r="NN39" s="520" t="str">
        <f>IF(A39=FALSE,"",Cotations!$CP$4)</f>
        <v/>
      </c>
      <c r="NO39" s="503" t="str">
        <f>IF(A39=FALSE,"",Cotations!$CQ$4)</f>
        <v/>
      </c>
      <c r="NP39" s="505" t="str">
        <f>IF(A39=FALSE,"",IF(NM39="N/A",0,IF(INDEX(LISTES!$F$105:$F$109,MATCH(NM39,LISTES!$C$105:$C$109,0))="FIX",IF(INDEX(LISTES!$E$105:$E$109,MATCH(NM39,LISTES!$C$105:$C$109,0))=12,NN39/12*L39,NN39/365*M39),NO39*NL39)))</f>
        <v/>
      </c>
      <c r="NQ39" s="504" t="str">
        <f t="shared" si="333"/>
        <v/>
      </c>
      <c r="NR39" s="505" t="str">
        <f>IF(A39=FALSE,"",NQ39*Cotations!$CR$4)</f>
        <v/>
      </c>
      <c r="NS39" s="505" t="str">
        <f>IF(A39=FALSE,"",NQ39*Cotations!$CS$4)</f>
        <v/>
      </c>
      <c r="NT39" s="506" t="str">
        <f t="shared" si="334"/>
        <v/>
      </c>
      <c r="NU39" s="919" t="str">
        <f>IF(A39=FALSE,"",((NG39*TAXE)-(NG39*TAXE*NI39))+IF(NM39="N/A",0,IF(INDEX(LISTES!$F$105:$F$109,MATCH(NM39,LISTES!$C$105:$C$109,0))="FIX",NN39,NO39*NL39)))</f>
        <v/>
      </c>
      <c r="OA39" s="492" t="str">
        <f>IF(A39=FALSE,"",Cotations!D39)</f>
        <v/>
      </c>
      <c r="OB39" s="491" t="str">
        <f>IF(A39=FALSE,"",IF(LISTES!$A$17=1,Cotations!CH39,Cotations!CI39))</f>
        <v/>
      </c>
      <c r="OC39" s="285" t="str">
        <f t="shared" si="335"/>
        <v/>
      </c>
      <c r="OD39" s="300"/>
      <c r="OE39" s="461" t="str">
        <f t="shared" si="336"/>
        <v/>
      </c>
      <c r="OF39" s="490" t="str">
        <f>IF(A39=FALSE,"",IF(OA39="POEA",Cotations!CK39,IF(OA39="FIXE",Cotations!CL39,IF(Cotations!CM39*Y39&lt;50000,Z39,Cotations!CM39*Y39))))</f>
        <v/>
      </c>
      <c r="OG39" s="300" t="str">
        <f t="shared" si="337"/>
        <v/>
      </c>
      <c r="OH39" s="522" t="str">
        <f>IF(A39=FALSE,"",IF(Cotations!CJ39="monthly",OG39/12*L39,OG39/365*M39))</f>
        <v/>
      </c>
      <c r="OI39" s="489" t="str">
        <f>IF(A39=FALSE,"",IF(Cotations!CN39="","",Cotations!CN39))</f>
        <v/>
      </c>
      <c r="OJ39" s="300" t="str">
        <f t="shared" si="338"/>
        <v/>
      </c>
      <c r="OK39" s="300" t="str">
        <f t="shared" si="339"/>
        <v/>
      </c>
      <c r="OL39" s="919" t="str">
        <f t="shared" si="340"/>
        <v/>
      </c>
      <c r="OM39" s="517" t="str">
        <f>IF(A39=FALSE,"",Cotations!CO39)</f>
        <v/>
      </c>
      <c r="ON39" s="515" t="str">
        <f>IF(A39=FALSE,"",Cotations!CP39)</f>
        <v/>
      </c>
      <c r="OO39" s="493" t="str">
        <f>IF(A39=FALSE,"",Cotations!CQ39)</f>
        <v/>
      </c>
      <c r="OP39" s="517" t="str">
        <f>IF(A39=FALSE,"",IF(OM39="N/A",0,IF(INDEX(LISTES!$F$105:$F$109,MATCH(OM39,LISTES!$C$105:$C$109,0))="FIX",IF(INDEX(LISTES!$E$105:$E$109,MATCH(OM39,LISTES!$C$105:$C$109,0))=12,ON39/12*L39,ON39/365*M39),OO39*OL39)))</f>
        <v/>
      </c>
      <c r="OQ39" s="294" t="str">
        <f t="shared" si="341"/>
        <v/>
      </c>
      <c r="OR39" s="494" t="str">
        <f>IF(A39=FALSE,"",OQ39*Cotations!CR39)</f>
        <v/>
      </c>
      <c r="OS39" s="494" t="str">
        <f>IF(A39=FALSE,"",OQ39*Cotations!CS39)</f>
        <v/>
      </c>
      <c r="OT39" s="338" t="str">
        <f t="shared" si="342"/>
        <v/>
      </c>
      <c r="OU39" s="919" t="str">
        <f>IF(A39=FALSE,"",((OG39*TAXE)-(OG39*TAXE*OI39))+IF(OM39="N/A",0,IF(INDEX(LISTES!$F$105:$F$109,MATCH(OM39,LISTES!$C$105:$C$109,0))="FIX",ON39,OO39*OL39)))</f>
        <v/>
      </c>
      <c r="PA39" s="497" t="str">
        <f t="shared" si="343"/>
        <v/>
      </c>
      <c r="PB39" s="498" t="str">
        <f>IF(A39=FALSE,"",IF(LISTES!$A$17=1,Cotations!CT39,Cotations!$CU$4))</f>
        <v/>
      </c>
      <c r="PC39" s="499" t="str">
        <f t="shared" si="344"/>
        <v/>
      </c>
      <c r="PD39" s="499" t="str">
        <f t="shared" si="345"/>
        <v/>
      </c>
      <c r="PE39" s="500" t="str">
        <f t="shared" si="346"/>
        <v/>
      </c>
      <c r="PF39" s="501" t="str">
        <f>IF(A39=FALSE,"",Cotations!$CY$4*Y39)</f>
        <v/>
      </c>
      <c r="PG39" s="502" t="str">
        <f t="shared" si="347"/>
        <v/>
      </c>
      <c r="PH39" s="520" t="str">
        <f>IF(A39=FALSE,"",IF(Cotations!$CV$4="monthly",PG39/12*L39,PG39/365*M39))</f>
        <v/>
      </c>
      <c r="PI39" s="503" t="str">
        <f>IF(A39=FALSE,"",Cotations!$CZ$4)</f>
        <v/>
      </c>
      <c r="PJ39" s="502" t="str">
        <f t="shared" si="348"/>
        <v/>
      </c>
      <c r="PK39" s="502" t="str">
        <f t="shared" si="349"/>
        <v/>
      </c>
      <c r="PL39" s="504" t="str">
        <f t="shared" si="350"/>
        <v/>
      </c>
      <c r="PM39" s="505" t="str">
        <f>IF(A39=FALSE,"",Cotations!$DA$4)</f>
        <v/>
      </c>
      <c r="PN39" s="520" t="str">
        <f>IF(A39=FALSE,"",Cotations!$DB$4)</f>
        <v/>
      </c>
      <c r="PO39" s="503" t="str">
        <f>IF(A39=FALSE,"",Cotations!$DC$4)</f>
        <v/>
      </c>
      <c r="PP39" s="505" t="str">
        <f>IF(A39=FALSE,"",IF(PM39="N/A",0,IF(INDEX(LISTES!$F$105:$F$109,MATCH(PM39,LISTES!$C$105:$C$109,0))="FIX",IF(INDEX(LISTES!$E$105:$E$109,MATCH(PM39,LISTES!$C$105:$C$109,0))=12,PN39/12*L39,PN39/365*M39),PO39*PL39)))</f>
        <v/>
      </c>
      <c r="PQ39" s="504" t="str">
        <f t="shared" si="351"/>
        <v/>
      </c>
      <c r="PR39" s="505" t="str">
        <f>IF(A39=FALSE,"",PQ39*Cotations!$DD$4)</f>
        <v/>
      </c>
      <c r="PS39" s="505" t="str">
        <f>IF(A39=FALSE,"",PQ39*Cotations!$DE$4)</f>
        <v/>
      </c>
      <c r="PT39" s="506" t="str">
        <f t="shared" si="352"/>
        <v/>
      </c>
      <c r="PU39" s="919" t="str">
        <f>IF(A39=FALSE,"",((PG39*TAXE)-(PG39*TAXE*PI39))+IF(PM39="N/A",0,IF(INDEX(LISTES!$F$105:$F$109,MATCH(PM39,LISTES!$C$105:$C$109,0))="FIX",PN39,PO39*PL39)))</f>
        <v/>
      </c>
      <c r="QA39" s="492" t="str">
        <f t="shared" si="353"/>
        <v/>
      </c>
      <c r="QB39" s="491" t="str">
        <f>IF(A39=FALSE,"",IF(LISTES!$A$17=1,Cotations!CT39,Cotations!CU39))</f>
        <v/>
      </c>
      <c r="QC39" s="285" t="str">
        <f t="shared" si="354"/>
        <v/>
      </c>
      <c r="QD39" s="300"/>
      <c r="QE39" s="461" t="str">
        <f t="shared" si="355"/>
        <v/>
      </c>
      <c r="QF39" s="490" t="str">
        <f>IF(A39=FALSE,"",Cotations!CY39*AA39)</f>
        <v/>
      </c>
      <c r="QG39" s="300" t="str">
        <f t="shared" si="356"/>
        <v/>
      </c>
      <c r="QH39" s="522" t="str">
        <f>IF(A39=FALSE,"",IF(Cotations!CV39="monthly",QG39/12*L39,QG39/365*M39))</f>
        <v/>
      </c>
      <c r="QI39" s="489" t="str">
        <f>IF(A39=FALSE,"",IF(Cotations!CZ39="","",Cotations!CZ39))</f>
        <v/>
      </c>
      <c r="QJ39" s="300" t="str">
        <f t="shared" si="357"/>
        <v/>
      </c>
      <c r="QK39" s="300" t="str">
        <f t="shared" si="358"/>
        <v/>
      </c>
      <c r="QL39" s="919" t="str">
        <f t="shared" si="359"/>
        <v/>
      </c>
      <c r="QM39" s="517" t="str">
        <f>IF(A39=FALSE,"",Cotations!DA39)</f>
        <v/>
      </c>
      <c r="QN39" s="515" t="str">
        <f>IF(A39=FALSE,"",Cotations!DB39)</f>
        <v/>
      </c>
      <c r="QO39" s="493" t="str">
        <f>IF(A39=FALSE,"",Cotations!DC39)</f>
        <v/>
      </c>
      <c r="QP39" s="517" t="str">
        <f>IF(A39=FALSE,"",IF(QM39="N/A",0,IF(INDEX(LISTES!$F$105:$F$109,MATCH(QM39,LISTES!$C$105:$C$109,0))="FIX",IF(INDEX(LISTES!$E$105:$E$109,MATCH(QM39,LISTES!$C$105:$C$109,0))=12,QN39/12*L39,QN39/365*M39),QO39*QL39)))</f>
        <v/>
      </c>
      <c r="QQ39" s="294" t="str">
        <f t="shared" si="360"/>
        <v/>
      </c>
      <c r="QR39" s="494" t="str">
        <f>IF(A39=FALSE,"",QQ39*Cotations!DD39)</f>
        <v/>
      </c>
      <c r="QS39" s="494" t="str">
        <f>IF(A39=FALSE,"",QQ39*Cotations!DE39)</f>
        <v/>
      </c>
      <c r="QT39" s="338" t="str">
        <f t="shared" si="361"/>
        <v/>
      </c>
      <c r="QU39" s="919" t="str">
        <f>IF(A39=FALSE,"",((QG39*TAXE)-(QG39*TAXE*QI39))+IF(QM39="N/A",0,IF(INDEX(LISTES!$F$105:$F$109,MATCH(QM39,LISTES!$C$105:$C$109,0))="FIX",QN39,QO39*QL39)))</f>
        <v/>
      </c>
      <c r="RA39" s="497" t="str">
        <f t="shared" si="362"/>
        <v/>
      </c>
      <c r="RB39" s="498" t="str">
        <f>IF(A39=FALSE,"",IF(LISTES!$A$17=1,Cotations!DF39,Cotations!$DG$4))</f>
        <v/>
      </c>
      <c r="RC39" s="499" t="str">
        <f t="shared" si="363"/>
        <v/>
      </c>
      <c r="RD39" s="499" t="str">
        <f t="shared" si="364"/>
        <v/>
      </c>
      <c r="RE39" s="500" t="str">
        <f t="shared" si="365"/>
        <v/>
      </c>
      <c r="RF39" s="501" t="str">
        <f>IF(A39=FALSE,"",Cotations!$DK$4*Y39)</f>
        <v/>
      </c>
      <c r="RG39" s="502" t="str">
        <f t="shared" si="366"/>
        <v/>
      </c>
      <c r="RH39" s="520" t="str">
        <f>IF(A39=FALSE,"",IF(Cotations!$DH$4="monthly",RG39/12*L39,RG39/365*M39))</f>
        <v/>
      </c>
      <c r="RI39" s="503" t="str">
        <f>IF(A39=FALSE,"",Cotations!$DL$4)</f>
        <v/>
      </c>
      <c r="RJ39" s="502" t="str">
        <f t="shared" si="367"/>
        <v/>
      </c>
      <c r="RK39" s="502" t="str">
        <f t="shared" si="368"/>
        <v/>
      </c>
      <c r="RL39" s="504" t="str">
        <f t="shared" si="369"/>
        <v/>
      </c>
      <c r="RM39" s="505" t="str">
        <f>IF(A39=FALSE,"",Cotations!$DM$4)</f>
        <v/>
      </c>
      <c r="RN39" s="520" t="str">
        <f>IF(A39=FALSE,"",Cotations!$DN$4)</f>
        <v/>
      </c>
      <c r="RO39" s="503" t="str">
        <f>IF(A39=FALSE,"",Cotations!$DO$4)</f>
        <v/>
      </c>
      <c r="RP39" s="505" t="str">
        <f>IF(A39=FALSE,"",IF(RM39="N/A",0,IF(INDEX(LISTES!$F$105:$F$109,MATCH(RM39,LISTES!$C$105:$C$109,0))="FIX",IF(INDEX(LISTES!$E$105:$E$109,MATCH(RM39,LISTES!$C$105:$C$109,0))=12,RN39/12*L39,RN39/365*M39),RO39*RL39)))</f>
        <v/>
      </c>
      <c r="RQ39" s="504" t="str">
        <f t="shared" si="370"/>
        <v/>
      </c>
      <c r="RR39" s="505" t="str">
        <f>IF(A39=FALSE,"",RQ39*Cotations!$DP$4)</f>
        <v/>
      </c>
      <c r="RS39" s="505" t="str">
        <f>IF(A39=FALSE,"",RQ39*Cotations!$DQ$4)</f>
        <v/>
      </c>
      <c r="RT39" s="506" t="str">
        <f t="shared" si="371"/>
        <v/>
      </c>
      <c r="RU39" s="919" t="str">
        <f>IF(A39=FALSE,"",((RG39*TAXE)-(RG39*TAXE*RI39))+IF(RM39="N/A",0,IF(INDEX(LISTES!$F$105:$F$109,MATCH(RM39,LISTES!$C$105:$C$109,0))="FIX",RN39,RO39*RL39)))</f>
        <v/>
      </c>
      <c r="SA39" s="492" t="str">
        <f t="shared" si="372"/>
        <v/>
      </c>
      <c r="SB39" s="491" t="str">
        <f>IF(A39=FALSE,"",IF(LISTES!$A$17=1,Cotations!DF39,Cotations!DG39))</f>
        <v/>
      </c>
      <c r="SC39" s="285" t="str">
        <f t="shared" si="373"/>
        <v/>
      </c>
      <c r="SD39" s="300"/>
      <c r="SE39" s="461" t="str">
        <f t="shared" si="374"/>
        <v/>
      </c>
      <c r="SF39" s="490" t="str">
        <f>IF(A39=FALSE,"",Cotations!DK39*AA39)</f>
        <v/>
      </c>
      <c r="SG39" s="300" t="str">
        <f t="shared" si="375"/>
        <v/>
      </c>
      <c r="SH39" s="522" t="str">
        <f>IF(A39=FALSE,"",IF(Cotations!DH39="monthly",SG39/12*L39,SG39/365*M39))</f>
        <v/>
      </c>
      <c r="SI39" s="489" t="str">
        <f>IF(A39=FALSE,"",IF(Cotations!DL39="","",Cotations!DL39))</f>
        <v/>
      </c>
      <c r="SJ39" s="300" t="str">
        <f t="shared" si="376"/>
        <v/>
      </c>
      <c r="SK39" s="300" t="str">
        <f t="shared" si="377"/>
        <v/>
      </c>
      <c r="SL39" s="919" t="str">
        <f t="shared" si="378"/>
        <v/>
      </c>
      <c r="SM39" s="285" t="str">
        <f>IF(A39=FALSE,"",Cotations!DM39)</f>
        <v/>
      </c>
      <c r="SN39" s="515" t="str">
        <f>IF(A39=FALSE,"",Cotations!DN39)</f>
        <v/>
      </c>
      <c r="SO39" s="493" t="str">
        <f>IF(A39=FALSE,"",Cotations!DO39)</f>
        <v/>
      </c>
      <c r="SP39" s="517" t="str">
        <f>IF(A39=FALSE,"",IF(SM39="N/A",0,IF(INDEX(LISTES!$F$105:$F$109,MATCH(SM39,LISTES!$C$105:$C$109,0))="FIX",IF(INDEX(LISTES!$E$105:$E$109,MATCH(SM39,LISTES!$C$105:$C$109,0))=12,SN39/12*L39,SN39/365*M39),SO39*SL39)))</f>
        <v/>
      </c>
      <c r="SQ39" s="294" t="str">
        <f t="shared" si="379"/>
        <v/>
      </c>
      <c r="SR39" s="494" t="str">
        <f>IF(A39=FALSE,"",SQ39*Cotations!DP39)</f>
        <v/>
      </c>
      <c r="SS39" s="494" t="str">
        <f>IF(A39=FALSE,"",SQ39*Cotations!DQ39)</f>
        <v/>
      </c>
      <c r="ST39" s="338" t="str">
        <f t="shared" si="380"/>
        <v/>
      </c>
      <c r="SU39" s="919" t="str">
        <f>IF(A39=FALSE,"",((SG39*TAXE)-(SG39*TAXE*SI39))+IF(SM39="N/A",0,IF(INDEX(LISTES!$F$105:$F$109,MATCH(SM39,LISTES!$C$105:$C$109,0))="FIX",SN39,SO39*SL39)))</f>
        <v/>
      </c>
      <c r="TA39" s="492" t="str">
        <f>IF(A39=FALSE,"",Cotations!D39)</f>
        <v/>
      </c>
      <c r="TB39" s="491" t="str">
        <f>IF(A39=FALSE,"",IF(LISTES!$A$17=1,Cotations!DR39,Cotations!DS39))</f>
        <v/>
      </c>
      <c r="TC39" s="285" t="str">
        <f t="shared" si="381"/>
        <v/>
      </c>
      <c r="TD39" s="300" t="str">
        <f>IF(A39=FALSE,"",Detail!CQ39)</f>
        <v/>
      </c>
      <c r="TE39" s="461" t="str">
        <f t="shared" si="382"/>
        <v/>
      </c>
      <c r="TF39" s="490" t="str">
        <f>IF(A39=FALSE,"",IF(TA39="FIXE",Cotations!DU39,Cotations!DV39*Y39))</f>
        <v/>
      </c>
      <c r="TG39" s="300" t="str">
        <f t="shared" si="383"/>
        <v/>
      </c>
      <c r="TH39" s="522" t="str">
        <f>IF(A39=FALSE,"",IF(Cotations!DT39="monthly",TG39/12*L39,TG39/365*M39))</f>
        <v/>
      </c>
      <c r="TI39" s="489" t="str">
        <f>IF(A39=FALSE,"",IF(Cotations!DW39="","",Cotations!DW39))</f>
        <v/>
      </c>
      <c r="TJ39" s="300" t="str">
        <f t="shared" si="384"/>
        <v/>
      </c>
      <c r="TK39" s="300" t="str">
        <f t="shared" si="385"/>
        <v/>
      </c>
      <c r="TL39" s="919" t="str">
        <f t="shared" si="386"/>
        <v/>
      </c>
      <c r="TM39" s="517" t="str">
        <f>IF(A39=FALSE,"",Cotations!DX39)</f>
        <v/>
      </c>
      <c r="TN39" s="517" t="str">
        <f>IF(A39=FALSE,"",Cotations!DY39)</f>
        <v/>
      </c>
      <c r="TO39" s="493" t="str">
        <f>IF(A39=FALSE,"",Cotations!DZ39)</f>
        <v/>
      </c>
      <c r="TP39" s="517" t="str">
        <f>IF(A39=FALSE,"",IF(TM39="N/A",0,IF(INDEX(LISTES!$F$105:$F$109,MATCH(TM39,LISTES!$C$105:$C$109,0))="FIX",IF(INDEX(LISTES!$E$105:$E$109,MATCH(TM39,LISTES!$C$105:$C$109,0))=12,TN39/12*L39,TN39/365*M39),TO39*TL39)))</f>
        <v/>
      </c>
      <c r="TQ39" s="294" t="str">
        <f t="shared" si="387"/>
        <v/>
      </c>
      <c r="TR39" s="494" t="str">
        <f>IF(A39=FALSE,"",TQ39*Cotations!EA39)</f>
        <v/>
      </c>
      <c r="TS39" s="494" t="str">
        <f>IF(A39=FALSE,"",TQ39*Cotations!EB39)</f>
        <v/>
      </c>
      <c r="TT39" s="338" t="str">
        <f t="shared" si="388"/>
        <v/>
      </c>
      <c r="TU39" s="919" t="str">
        <f>IF(A39=FALSE,"",((TG39*(1+TAXE)-(TG39*(1+TAXE)*TI39))+IF(TM39="N/A",0,IF(INDEX(LISTES!$F$105:$F$109,MATCH(TM39,LISTES!$C$105:$C$109,0))="FIX",TN39,TO39*TL39))))</f>
        <v/>
      </c>
      <c r="UA39" s="492" t="str">
        <f>IF(A39=FALSE,"",Cotations!D39)</f>
        <v/>
      </c>
      <c r="UB39" s="491" t="str">
        <f>IF(A39=FALSE,"",IF(LISTES!$A$17=1,Cotations!EC39,Cotations!ED39))</f>
        <v/>
      </c>
      <c r="UC39" s="285" t="str">
        <f t="shared" si="389"/>
        <v/>
      </c>
      <c r="UD39" s="300" t="str">
        <f>IF(A39=FALSE,"",Detail!CY39)</f>
        <v/>
      </c>
      <c r="UE39" s="461" t="str">
        <f t="shared" si="390"/>
        <v/>
      </c>
      <c r="UF39" s="490" t="str">
        <f>IF(A39=FALSE,"",IF(UA39="FIXE",Cotations!EF39,Cotations!EG39*Y39))</f>
        <v/>
      </c>
      <c r="UG39" s="300" t="str">
        <f t="shared" si="391"/>
        <v/>
      </c>
      <c r="UH39" s="522" t="str">
        <f>IF(A39=FALSE,"",IF(Cotations!EE39="monthly",UG39/12*L39,UG39/365*M39))</f>
        <v/>
      </c>
      <c r="UI39" s="489" t="str">
        <f>IF(A39=FALSE,"",IF(Cotations!EH39="","",Cotations!EH39))</f>
        <v/>
      </c>
      <c r="UJ39" s="300" t="str">
        <f t="shared" si="392"/>
        <v/>
      </c>
      <c r="UK39" s="300" t="str">
        <f t="shared" si="393"/>
        <v/>
      </c>
      <c r="UL39" s="919" t="str">
        <f t="shared" si="394"/>
        <v/>
      </c>
      <c r="UM39" s="517" t="str">
        <f>IF(A39=FALSE,"",Cotations!EI39)</f>
        <v/>
      </c>
      <c r="UN39" s="517" t="str">
        <f>IF(A39=FALSE,"",Cotations!EJ39)</f>
        <v/>
      </c>
      <c r="UO39" s="493" t="str">
        <f>IF(A39=FALSE,"",Cotations!EK39)</f>
        <v/>
      </c>
      <c r="UP39" s="517" t="str">
        <f>IF(A39=FALSE,"",IF(UM39="N/A",0,IF(INDEX(LISTES!$F$105:$F$109,MATCH(UM39,LISTES!$C$105:$C$109,0))="FIX",IF(INDEX(LISTES!$E$105:$E$109,MATCH(UM39,LISTES!$C$105:$C$109,0))=12,UN39/12*L39,UN39/365*M39),UO39*UL39)))</f>
        <v/>
      </c>
      <c r="UQ39" s="294" t="str">
        <f t="shared" si="395"/>
        <v/>
      </c>
      <c r="UR39" s="494" t="str">
        <f>IF(A39=FALSE,"",UQ39*Cotations!EL39)</f>
        <v/>
      </c>
      <c r="US39" s="494" t="str">
        <f>IF(A39=FALSE,"",UQ39*Cotations!EM39)</f>
        <v/>
      </c>
      <c r="UT39" s="338" t="str">
        <f t="shared" si="396"/>
        <v/>
      </c>
      <c r="UU39" s="919" t="str">
        <f>IF(A39=FALSE,"",((UG39*(1+TAXE)-(UG39*(1+TAXE)*UI39))+IF(UM39="N/A",0,IF(INDEX(LISTES!$F$105:$F$109,MATCH(UM39,LISTES!$C$105:$C$109,0))="FIX",UN39,UO39*UL39))))</f>
        <v/>
      </c>
      <c r="VA39" s="492" t="str">
        <f>IF(A39=FALSE,"",Cotations!D39)</f>
        <v/>
      </c>
      <c r="VB39" s="519" t="str">
        <f>IF(A39=FALSE,"",IF(LISTES!$A$17=1,Cotations!EN39,Cotations!EO39))</f>
        <v/>
      </c>
      <c r="VC39" s="291" t="str">
        <f t="shared" si="397"/>
        <v/>
      </c>
      <c r="VD39" s="291" t="str">
        <f t="shared" si="398"/>
        <v/>
      </c>
      <c r="VE39" s="291"/>
      <c r="VF39" s="463"/>
      <c r="VG39" s="463" t="str">
        <f t="shared" si="399"/>
        <v/>
      </c>
      <c r="VH39" s="522" t="str">
        <f>IF(A39=FALSE,"",IF(Cotations!$AQ$4="monthly",VG39/12*L39,VG39/365*M39))</f>
        <v/>
      </c>
      <c r="VI39" s="489" t="str">
        <f>IF(A39=FALSE,"",Cotations!$AR$4)</f>
        <v/>
      </c>
      <c r="VJ39" s="300" t="str">
        <f t="shared" si="400"/>
        <v/>
      </c>
      <c r="VK39" s="300" t="str">
        <f t="shared" si="401"/>
        <v/>
      </c>
      <c r="VL39" s="294" t="str">
        <f t="shared" si="402"/>
        <v/>
      </c>
      <c r="VM39" s="494" t="str">
        <f>IF(A39=FALSE,"",Cotations!$AS$4)</f>
        <v/>
      </c>
      <c r="VN39" s="494" t="str">
        <f>IF(A39=FALSE,"",Cotations!$AT$4)</f>
        <v/>
      </c>
      <c r="VO39" s="489" t="str">
        <f>IF(A39=FALSE,"",Cotations!$AU$4)</f>
        <v/>
      </c>
      <c r="VP39" s="494" t="str">
        <f>IF(A39=FALSE,"",IF(VM39="N/A",0,IF(INDEX(LISTES!$F$105:$F$109,MATCH(VM39,LISTES!$C$105:$C$109,0))="FIX",IF(INDEX(LISTES!$E$105:$E$109,MATCH(VM39,LISTES!$C$105:$C$109,0))=12,VN39/12*L39,VN39/365*M39),VO39*VL39)))</f>
        <v/>
      </c>
      <c r="VQ39" s="294" t="str">
        <f t="shared" si="403"/>
        <v/>
      </c>
      <c r="VR39" s="494" t="str">
        <f>IF(A39=FALSE,"",VQ39*Cotations!$AV$4)</f>
        <v/>
      </c>
      <c r="VS39" s="494" t="str">
        <f>IF(A39=FALSE,"",VQ39*Cotations!$AW$4)</f>
        <v/>
      </c>
      <c r="VT39" s="465" t="str">
        <f t="shared" si="404"/>
        <v/>
      </c>
      <c r="VU39" s="919" t="str">
        <f>IF(A39=FALSE,"",((VG39*TAXE)-(VG39*TAXE*VI39))+IF(VM39="N/A",0,IF(INDEX(LISTES!$F$105:$F$109,MATCH(VM39,LISTES!$C$105:$C$109,0))="FIX",VN39,VO39*VL39)))</f>
        <v/>
      </c>
      <c r="WA39" s="492" t="str">
        <f>IF(A39=FALSE,"",Cotations!D39)</f>
        <v/>
      </c>
      <c r="WB39" s="519" t="str">
        <f>IF(A39=FALSE,"",IF(LISTES!$A$17=1,Cotations!EW39,Cotations!EX39))</f>
        <v/>
      </c>
      <c r="WC39" s="291" t="str">
        <f t="shared" si="405"/>
        <v/>
      </c>
      <c r="WD39" s="291" t="str">
        <f t="shared" si="406"/>
        <v/>
      </c>
      <c r="WE39" s="291"/>
      <c r="WF39" s="463"/>
      <c r="WG39" s="463" t="str">
        <f t="shared" si="407"/>
        <v/>
      </c>
      <c r="WH39" s="522" t="str">
        <f>IF(A39=FALSE,"",IF(Cotations!$AQ$4="monthly",WG39/12*L39,WG39/365*M39))</f>
        <v/>
      </c>
      <c r="WI39" s="489" t="str">
        <f>IF(A39=FALSE,"",Cotations!$AR$4)</f>
        <v/>
      </c>
      <c r="WJ39" s="300" t="str">
        <f t="shared" si="408"/>
        <v/>
      </c>
      <c r="WK39" s="300" t="str">
        <f t="shared" si="409"/>
        <v/>
      </c>
      <c r="WL39" s="294" t="str">
        <f t="shared" si="410"/>
        <v/>
      </c>
      <c r="WM39" s="494" t="str">
        <f>IF(A39=FALSE,"",Cotations!$AS$4)</f>
        <v/>
      </c>
      <c r="WN39" s="494" t="str">
        <f>IF(A39=FALSE,"",Cotations!$AT$4)</f>
        <v/>
      </c>
      <c r="WO39" s="489" t="str">
        <f>IF(A39=FALSE,"",Cotations!$AU$4)</f>
        <v/>
      </c>
      <c r="WP39" s="494" t="str">
        <f>IF(A39=FALSE,"",IF(WM39="N/A",0,IF(INDEX(LISTES!$F$105:$F$109,MATCH(WM39,LISTES!$C$105:$C$109,0))="FIX",IF(INDEX(LISTES!$E$105:$E$109,MATCH(WM39,LISTES!$C$105:$C$109,0))=12,WN39/12*L39,WN39/365*M39),WO39*WL39)))</f>
        <v/>
      </c>
      <c r="WQ39" s="294" t="str">
        <f t="shared" si="411"/>
        <v/>
      </c>
      <c r="WR39" s="494" t="str">
        <f>IF(A39=FALSE,"",WQ39*Cotations!$AV$4)</f>
        <v/>
      </c>
      <c r="WS39" s="494" t="str">
        <f>IF(A39=FALSE,"",WQ39*Cotations!$AW$4)</f>
        <v/>
      </c>
      <c r="WT39" s="465" t="str">
        <f t="shared" si="412"/>
        <v/>
      </c>
      <c r="WU39" s="919" t="str">
        <f>IF(A39=FALSE,"",((WG39*TAXE)-(WG39*TAXE*WI39))+IF(WM39="N/A",0,IF(INDEX(LISTES!$F$105:$F$109,MATCH(WM39,LISTES!$C$105:$C$109,0))="FIX",WN39,WO39*WL39)))</f>
        <v/>
      </c>
    </row>
    <row r="40" spans="1:619">
      <c r="A40" s="942" t="b">
        <f t="shared" si="221"/>
        <v>0</v>
      </c>
      <c r="B40" s="942" t="b">
        <f>IF(NAMES!$B$9=TRUE,TRUE,FALSE)</f>
        <v>1</v>
      </c>
      <c r="C40" s="942" t="b">
        <f t="shared" si="413"/>
        <v>0</v>
      </c>
      <c r="D40" s="942" t="b">
        <f t="shared" si="414"/>
        <v>0</v>
      </c>
      <c r="E40" s="274" t="b">
        <f>IF(Cotations!C40="","",Cotations!C40)</f>
        <v>0</v>
      </c>
      <c r="F40" s="274" t="str">
        <f>IF(Cotations!D40="","",Cotations!D40)</f>
        <v>PROP</v>
      </c>
      <c r="G40" s="274" t="str">
        <f>IF(Cotations!E40="","",Cotations!E40)</f>
        <v>2016-2017!</v>
      </c>
      <c r="H40" s="274" t="str">
        <f>IF(Cotations!F40="","",Cotations!F40)</f>
        <v>SINGLE</v>
      </c>
      <c r="I40" s="274" t="str">
        <f>IF(Cotations!G40="","",Cotations!G40)</f>
        <v/>
      </c>
      <c r="J40" s="274" t="str">
        <f>IF(Cotations!H40="","",Cotations!H40)</f>
        <v/>
      </c>
      <c r="K40" s="274" t="str">
        <f>IF(Cotations!I40="","",Cotations!I40)</f>
        <v/>
      </c>
      <c r="L40" s="274" t="str">
        <f>IF(A40=FALSE,"",IF(Cotations!N40="","",Cotations!N40))</f>
        <v/>
      </c>
      <c r="M40" s="274" t="str">
        <f>IF(Cotations!P40="","",Cotations!P40)</f>
        <v/>
      </c>
      <c r="N40" s="724" t="str">
        <f>IF(NAMES!$B$10=TRUE,Cotations!J40,Cotations!L40)</f>
        <v/>
      </c>
      <c r="O40" s="724" t="str">
        <f>IF(NAMES!$B$10=TRUE,Cotations!K40,Cotations!M40)</f>
        <v/>
      </c>
      <c r="P40" s="943" t="str">
        <f t="shared" si="415"/>
        <v/>
      </c>
      <c r="Q40" s="724" t="str">
        <f>IF(A40=FALSE,"",IF(Crewlist!Y40="","",Crewlist!Y40))</f>
        <v/>
      </c>
      <c r="R40" s="78" t="str">
        <f>IF(Cotations!U40="","",Cotations!U40)</f>
        <v/>
      </c>
      <c r="S40" s="943" t="str">
        <f t="shared" si="416"/>
        <v/>
      </c>
      <c r="T40" s="919" t="str">
        <f>IF(A40=FALSE,"",VLOOKUP($U$15:$U$120,Currency!$A$2:$D$10,4,0)*Crewlist!N40)</f>
        <v/>
      </c>
      <c r="U40" s="1355" t="str">
        <f>IF(A40=FALSE,"",IF(IT40=0,Crewlist!M40&amp;"/"&amp;EX40,Crewlist!M40&amp;"/"&amp;IT40))</f>
        <v/>
      </c>
      <c r="V40" s="919" t="str">
        <f>IF(A40=FALSE,"",VLOOKUP($U$15:$U$120,Currency!$A$2:$D$10,4,0)*Detail!Q40)</f>
        <v/>
      </c>
      <c r="W40" s="1355" t="str">
        <f>IF(A40=FALSE,"",IF(IT40=0,Detail!R40&amp;"/"&amp;EX40,Detail!R40&amp;"/"&amp;IT40))</f>
        <v/>
      </c>
      <c r="X40" s="919" t="str">
        <f>IF(A40=FALSE,"",IF(LISTES!$C$17="Crewlist",Calcul!T40,Calcul!V40))</f>
        <v/>
      </c>
      <c r="Y40" s="758" t="str">
        <f t="shared" si="417"/>
        <v/>
      </c>
      <c r="Z40" s="758" t="str">
        <f>IF(A40=FALSE,"",IF(X40=0,0,IF((Cotations!BC40*12*X40)&lt;50000,50000,(12*X40))))</f>
        <v/>
      </c>
      <c r="AA40" s="758" t="str">
        <f t="shared" si="418"/>
        <v/>
      </c>
      <c r="AB40" s="758" t="str">
        <f>IF(A40=FALSE,"",IF(Crewlist!O40=0,"",Crewlist!O40))</f>
        <v/>
      </c>
      <c r="AC40" s="758" t="str">
        <f>IF(I40="","",VLOOKUP($AB$15:$AB$120,Currency!$A$15:$B$34,2,0))</f>
        <v/>
      </c>
      <c r="AD40" s="758" t="str">
        <f t="shared" si="419"/>
        <v/>
      </c>
      <c r="AE40" s="758" t="str">
        <f t="shared" si="420"/>
        <v/>
      </c>
      <c r="AF40" s="758" t="str">
        <f t="shared" si="421"/>
        <v/>
      </c>
      <c r="AG40" s="758" t="str">
        <f t="shared" si="422"/>
        <v/>
      </c>
      <c r="AH40" s="1355" t="str">
        <f t="shared" si="222"/>
        <v/>
      </c>
      <c r="AI40" s="919" t="str">
        <f t="shared" si="423"/>
        <v/>
      </c>
      <c r="AJ40" s="1382" t="str">
        <f t="shared" si="424"/>
        <v/>
      </c>
      <c r="AK40" s="1382" t="str">
        <f t="shared" si="425"/>
        <v/>
      </c>
      <c r="AL40" s="238" t="str">
        <f t="shared" si="223"/>
        <v/>
      </c>
      <c r="AM40" s="238" t="str">
        <f t="shared" si="224"/>
        <v/>
      </c>
      <c r="AN40" s="1374" t="str">
        <f t="shared" si="225"/>
        <v/>
      </c>
      <c r="AO40" s="238" t="str">
        <f t="shared" si="226"/>
        <v/>
      </c>
      <c r="AP40" s="342" t="str">
        <f>IF(A40=FALSE,"",INDEX(Rates!$Z$5:$Z$367,MATCH(EB40,colchoice,0)))</f>
        <v/>
      </c>
      <c r="AQ40" s="238" t="str">
        <f t="shared" si="227"/>
        <v/>
      </c>
      <c r="AR40" s="238" t="str">
        <f t="shared" si="426"/>
        <v/>
      </c>
      <c r="AS40" s="238" t="str">
        <f t="shared" si="427"/>
        <v/>
      </c>
      <c r="AT40" s="238" t="str">
        <f t="shared" si="428"/>
        <v/>
      </c>
      <c r="AU40" s="238" t="str">
        <f t="shared" si="228"/>
        <v/>
      </c>
      <c r="AV40" s="238" t="str">
        <f t="shared" si="429"/>
        <v/>
      </c>
      <c r="AW40" s="238" t="str">
        <f t="shared" si="229"/>
        <v/>
      </c>
      <c r="AX40" s="238" t="str">
        <f t="shared" si="230"/>
        <v/>
      </c>
      <c r="AY40" s="238" t="str">
        <f t="shared" si="231"/>
        <v/>
      </c>
      <c r="AZ40" s="238" t="str">
        <f t="shared" si="232"/>
        <v/>
      </c>
      <c r="BA40" s="238" t="str">
        <f t="shared" si="233"/>
        <v/>
      </c>
      <c r="BB40" s="552" t="str">
        <f t="shared" si="234"/>
        <v/>
      </c>
      <c r="BC40" s="347" t="str">
        <f t="shared" si="235"/>
        <v/>
      </c>
      <c r="BD40" s="239" t="str">
        <f t="shared" si="430"/>
        <v/>
      </c>
      <c r="BE40" s="239" t="str">
        <f>IF(A40=FALSE,"",IF(ALLTHESAME=TRUE,IF(DF40&lt;&gt;$BC$7,0,INDEX(DD40:DZ40,1,MATCH(Structure!$D$12,$DD$14:$DZ$14,0))),IF(EC40&lt;&gt;$BC$7,0,INDEX(EA40:EZ40,1,MATCH(Structure!$D$12,$EA$14:$EZ$14,0)))))</f>
        <v/>
      </c>
      <c r="BF40" s="239" t="str">
        <f>IF(A40=FALSE,"",IF(ALLTHESAME=TRUE,IF(FC40&lt;&gt;$BC$7,0,INDEX(FA40:FZ40,1,MATCH(Structure!$D$12,$FA$14:$FZ$14,0))),IF(GC40&lt;&gt;$BC$7,0,INDEX(GA40:GZ40,1,MATCH(Structure!$D$12,$GA$14:$GZ$14,0)))))</f>
        <v/>
      </c>
      <c r="BG40" s="239" t="str">
        <f>IF(A40=FALSE,"",IF(ALLTHESAME=TRUE,IF(VC40&lt;&gt;$BC$7,0,INDEX(VA40:VZ40,1,MATCH(Structure!$D$12,$VA$14:$VZ$14,0))),IF(VC40&lt;&gt;$BC$7,0,INDEX(VA40:VZ40,1,MATCH(Structure!$D$12,$VA$14:$VZ$14,0)))))</f>
        <v/>
      </c>
      <c r="BH40" s="239" t="str">
        <f>IF(A40=FALSE,"",IF(ALLTHESAME=TRUE,IF(WC40&lt;&gt;$BC$7,0,INDEX(WA40:WY40,1,MATCH(Structure!$D$12,$WA$14:$WZ$14,0))),IF(WC40&lt;&gt;$BC$7,0,INDEX(WA40:WZ40,1,MATCH(Structure!$D$12,$WA$14:$WZ$14,0)))))</f>
        <v/>
      </c>
      <c r="BI40" s="763" t="str">
        <f>IF(A40=FALSE,"",IF(ALLTHESAME=TRUE,IF(HC40&lt;&gt;$BC$7,0,INDEX(HA40:HZ40,1,MATCH(Structure!$D$12,$HA$14:$HZ$14,0)))+TK40,IF(IC40&lt;&gt;$BC$7,0,INDEX(IA40:IZ40,1,MATCH(Structure!$D$12,$IA$14:$IZ$14,0)))+TK40))</f>
        <v/>
      </c>
      <c r="BJ40" s="239" t="str">
        <f>IF(A40=FALSE,"",IF(ALLTHESAME=TRUE,IF(JC40&lt;&gt;$BC$7,0,INDEX(JA40:JZ40,1,MATCH(Structure!$D$12,$JA$14:$JZ$14,0))),IF(KC40&lt;&gt;$BC$7,0,INDEX(KA40:KZ40,1,MATCH(Structure!$D$12,$KA$14:$KZ$14,0)))))</f>
        <v/>
      </c>
      <c r="BK40" s="763" t="str">
        <f>IF(A40=FALSE,"",IF(ALLTHESAME=TRUE,IF(LC40&lt;&gt;$BC$7,0,INDEX(LA40:LZ40,1,MATCH(Structure!$D$12,$LA$14:$LZ$14,0)))+UK40,IF(MC40&lt;&gt;$BC$7,0,INDEX(MA40:MZ40,1,MATCH(Structure!$D$12,$MA$14:$MZ$14,0)))+UK40))</f>
        <v/>
      </c>
      <c r="BL40" s="239" t="str">
        <f>IF(A40=FALSE,"",IF(ALLTHESAME=TRUE,IF(NC40&lt;&gt;$BC$7,0,INDEX(NA40:NZ40,1,MATCH(Structure!$D$12,$NA$14:$NZ$14,0))),IF(OC40&lt;&gt;$BC$7,0,INDEX(OA40:OZ40,1,MATCH(Structure!$D$12,$OA$14:$OZ$14,0)))))</f>
        <v/>
      </c>
      <c r="BM40" s="239" t="str">
        <f>IF(A40=FALSE,"",IF(ALLTHESAME=TRUE,IF(PC40&lt;&gt;$BC$7,0,INDEX(PA40:PZ40,1,MATCH(Structure!$D$12,$PA$14:$PZ$14,0))),IF(QC40&lt;&gt;$BC$7,0,INDEX(QA40:QZ40,1,MATCH(Structure!$D$12,$QA$14:$QZ$14,0)))))</f>
        <v/>
      </c>
      <c r="BN40" s="341" t="str">
        <f>IF(A40=FALSE,"",IF(ALLTHESAME=TRUE,IF(RC40&lt;&gt;$BC$7,0,INDEX(RA40:RZ40,1,MATCH(Structure!$D$12,$RA$14:$RZ$14,0))),IF(SC40&lt;&gt;$BC$7,0,INDEX(SA40:TA40,1,MATCH(Structure!$D$12,$SA$14:$TA$14,0)))))</f>
        <v/>
      </c>
      <c r="BO40" s="507" t="str">
        <f t="shared" si="236"/>
        <v/>
      </c>
      <c r="BP40" s="239" t="str">
        <f t="shared" si="237"/>
        <v/>
      </c>
      <c r="BQ40" s="239" t="str">
        <f>IF(A40=FALSE,"",IF(ALLTHESAME=TRUE,IF(DF40&lt;&gt;$BO$7,0,INDEX(DD40:DZ40,1,MATCH(Structure!$D$12,$DD$14:$DZ$14,0))),IF(EC40&lt;&gt;$BO$7,0,INDEX(EA40:EZ40,1,MATCH(Structure!$D$12,$EA$14:$EZ$14,0)))))</f>
        <v/>
      </c>
      <c r="BR40" s="239" t="str">
        <f>IF(A40=FALSE,"",IF(ALLTHESAME=TRUE,IF(FC40&lt;&gt;$BO$7,0,INDEX(FA40:FZ40,1,MATCH(Structure!$D$12,$FA$14:$FZ$14,0))),IF(GC40&lt;&gt;$BO$7,0,INDEX(GA40:GZ40,1,MATCH(Structure!$D$12,$GA$14:$GZ$14,0)))))</f>
        <v/>
      </c>
      <c r="BS40" s="239" t="str">
        <f>IF(A40=FALSE,"",IF(ALLTHESAME=TRUE,IF(HC40&lt;&gt;$BO$7,0,INDEX(HA40:HZ40,1,MATCH(Structure!$D$12,$HA$14:$HZ$14,0))),IF(IC40&lt;&gt;$BO$7,0,INDEX(IA40:IZ40,1,MATCH(Structure!$D$12,$IA$14:$IZ$14,0)))))</f>
        <v/>
      </c>
      <c r="BT40" s="239" t="str">
        <f>IF(A40=FALSE,"",IF(ALLTHESAME=TRUE,IF(JC40&lt;&gt;$BO$7,0,INDEX(JA40:JZ40,1,MATCH(Structure!$D$12,$JA$14:$JZ$14,0))),IF(KC40&lt;&gt;$BO$7,0,INDEX(KA40:KZ40,1,MATCH(Structure!$D$12,$KA$14:$KZ$14,0)))))</f>
        <v/>
      </c>
      <c r="BU40" s="239" t="str">
        <f>IF(A40=FALSE,"",IF(ALLTHESAME=TRUE,IF(LC40&lt;&gt;$BO$7,0,INDEX(LA40:LZ40,1,MATCH(Structure!$D$12,$LA$14:$LZ$14,0))),IF(MC40&lt;&gt;$BO$7,0,INDEX(MA40:MZ40,1,MATCH(Structure!$D$12,$MA$14:$MZ$14,0)))))</f>
        <v/>
      </c>
      <c r="BV40" s="239" t="str">
        <f>IF(A40=FALSE,"",IF(ALLTHESAME=TRUE,IF(NC40&lt;&gt;$BO$7,0,INDEX(NA40:NZ40,1,MATCH(Structure!$D$12,$NA$14:$NZ$14,0))),IF(OC40&lt;&gt;$BO$7,0,INDEX(OA40:OZ40,1,MATCH(Structure!$D$12,$OA$14:$OZ$14,0)))))</f>
        <v/>
      </c>
      <c r="BW40" s="239" t="str">
        <f>IF(A40=FALSE,"",IF(ALLTHESAME=TRUE,IF(PC40&lt;&gt;$BO$7,0,INDEX(PA40:PZ40,1,MATCH(Structure!$D$12,$PA$14:$PZ$14,0))),IF(QC40&lt;&gt;$BO$7,0,INDEX(QA40:QZ40,1,MATCH(Structure!$D$12,$QA$14:$QZ$14,0)))))</f>
        <v/>
      </c>
      <c r="BX40" s="341" t="str">
        <f>IF(A40=FALSE,"",IF(ALLTHESAME=TRUE,IF(RC40&lt;&gt;$BO$7,0,INDEX(RA40:RZ40,1,MATCH(Structure!$D$12,$RA$14:$RZ$14,0))),IF(SC40&lt;&gt;$BO$7,0,INDEX(SA40:TA40,1,MATCH(Structure!$D$12,$SA$14:$TA$14,0)))))</f>
        <v/>
      </c>
      <c r="BY40" s="347" t="str">
        <f t="shared" si="238"/>
        <v/>
      </c>
      <c r="BZ40" s="507" t="str">
        <f t="shared" si="239"/>
        <v/>
      </c>
      <c r="CA40" s="239" t="str">
        <f t="shared" si="240"/>
        <v/>
      </c>
      <c r="CB40" s="239" t="str">
        <f>IF(A40=FALSE,"",IF(ALLTHESAME=TRUE,INDEX(DD40:DZ40,MATCH(DF40,DF40:DF145,0),MATCH(Structure!$D$17,$DD$14:$DZ$14,0)),INDEX(EA40:EZ40,MATCH(EC40,EC40:EC145,0),MATCH(Structure!$D$17,$EA$14:$EZ$14,0))))</f>
        <v/>
      </c>
      <c r="CC40" s="239" t="str">
        <f>IF(A40=FALSE,"",IF(ALLTHESAME=TRUE,INDEX(FA40:FZ40,MATCH(FC40,FC40:FC145,0),MATCH(Structure!$D$17,$FA$14:$FZ$14,0)),INDEX(GA40:GZ40,MATCH(GC40,GC40:GC145,0),MATCH(Structure!$D$17,$GA$14:$GZ$14,0))))</f>
        <v/>
      </c>
      <c r="CD40" s="239" t="str">
        <f>IF(A40=FALSE,"",IF(ALLTHESAME=TRUE,INDEX(HA40:HZ40,MATCH(HC40,HC40:HC145,0),MATCH(Structure!$D$17,$HA$14:$HZ$14,0)),INDEX(IA40:IZ40,MATCH(IC40,IC40:IC145,0),MATCH(Structure!$D$17,$IA$14:$IZ$14,0))))</f>
        <v/>
      </c>
      <c r="CE40" s="239" t="str">
        <f>IF(A40=FALSE,"",IF(ALLTHESAME=TRUE,INDEX(JA40:JZ40,MATCH(JC40,JC40:JC145,0),MATCH(Structure!$D$17,$JA$14:$JZ$14,0)),INDEX(KA40:KZ40,MATCH(KC40,KC40:KC145,0),MATCH(Structure!$D$17,$KA$14:$KZ$14,0))))</f>
        <v/>
      </c>
      <c r="CF40" s="239" t="str">
        <f>IF(A40=FALSE,"",IF(ALLTHESAME=TRUE,INDEX(LA40:LZ40,MATCH(LC40,LC40:LC145,0),MATCH(Structure!$D$17,$LA$14:$LZ$14,0)),INDEX(MA40:MZ40,MATCH(MC40,MC40:MC145,0),MATCH(Structure!$D$17,$MA$14:$MZ$14,0))))</f>
        <v/>
      </c>
      <c r="CG40" s="239" t="str">
        <f>IF(A40=FALSE,"",IF(ALLTHESAME=TRUE,INDEX(NA40:NZ40,MATCH(NC40,NC40:NC145,0),MATCH(Structure!$D$17,$NA$14:$NZ$14,0)),INDEX(OA40:OZ40,MATCH(OC40,OC40:OC145,0),MATCH(Structure!$D$17,$OA$14:$OZ$14,0))))</f>
        <v/>
      </c>
      <c r="CH40" s="239" t="str">
        <f>IF(A40=FALSE,"",IF(ALLTHESAME=TRUE,INDEX(PA40:PZ40,MATCH(PC40,PC40:PC145,0),MATCH(Structure!$D$17,$PA$14:$PZ$14,0)),INDEX(QA40:QZ40,MATCH(QC40,QC40:QC145,0),MATCH(Structure!$D$17,$QA$14:$QZ$14,0))))</f>
        <v/>
      </c>
      <c r="CI40" s="341" t="str">
        <f>IF(A40=FALSE,"",IF(ALLTHESAME=TRUE,INDEX(RA40:RZ40,MATCH(RC40,RC40:RC145,0),MATCH(Structure!$D$17,$RA$14:$RZ$14,0)),INDEX(SA40:TC40,MATCH(SC40,SC40:SC145,0),MATCH(Structure!$D$17,$SA$14:$TC$14,0))))</f>
        <v/>
      </c>
      <c r="CJ40" s="347"/>
      <c r="CK40" s="239" t="str">
        <f t="shared" si="241"/>
        <v/>
      </c>
      <c r="CL40" s="239" t="str">
        <f>IF(A40=FALSE,"",IF(ALLTHESAME=TRUE,INDEX(DD40:DZ40,MATCH(DF40,DF40:DF145,0),MATCH(Structure!$D$22,$DD$14:$DZ$14,0)),INDEX(EA40:EZ40,MATCH(EC40,EC40:EC145,0),MATCH(Structure!$D$22,$EA$14:$EZ$14,0))))</f>
        <v/>
      </c>
      <c r="CM40" s="239" t="str">
        <f>IF(A40=FALSE,"",IF(ALLTHESAME=TRUE,INDEX(FA40:FZ40,MATCH(FC40,FC40:FC145,0),MATCH(Structure!$D$22,$FA$14:$FZ$14,0)),INDEX(GA40:GZ40,MATCH(GC40,GC40:GC145,0),MATCH(Structure!$D$22,$GA$14:$GZ$14,0))))</f>
        <v/>
      </c>
      <c r="CN40" s="239" t="str">
        <f>IF(A40=FALSE,"",IF(ALLTHESAME=TRUE,INDEX(HA40:HZ40,MATCH(HC40,HC40:HC145,0),MATCH(Structure!$D$22,$HA$14:$HZ$14,0)),INDEX(IA40:IZ40,MATCH(IC40,IC40:IC145,0),MATCH(Structure!$D$22,$IA$14:$IZ$14,0))))</f>
        <v/>
      </c>
      <c r="CO40" s="239" t="str">
        <f>IF(A40=FALSE,"",IF(ALLTHESAME=TRUE,INDEX(JA40:JZ40,MATCH(JC40,JC40:JC145,0),MATCH(Structure!$D$22,$JA$14:$JZ$14,0)),INDEX(KA40:KZ40,MATCH(KC40,KC40:KC145,0),MATCH(Structure!$D$22,$KA$14:$KZ$14,0))))</f>
        <v/>
      </c>
      <c r="CP40" s="239" t="str">
        <f>IF(A40=FALSE,"",IF(ALLTHESAME=TRUE,INDEX(LA40:LZ40,MATCH(LC40,LC40:LC145,0),MATCH(Structure!$D$22,$LA$14:$LZ$14,0)),INDEX(MA40:MZ40,MATCH(MC40,MC40:MC145,0),MATCH(Structure!$D$22,$MA$14:$MZ$14,0))))</f>
        <v/>
      </c>
      <c r="CQ40" s="239" t="str">
        <f>IF(A40=FALSE,"",IF(ALLTHESAME=TRUE,INDEX(NA40:NZ40,MATCH(NC40,NC40:NC145,0),MATCH(Structure!$D$22,$NA$14:$NZ$14,0)),INDEX(OA40:OZ40,MATCH(OC40,OC40:OC145,0),MATCH(Structure!$D$22,$OA$14:$OZ$14,0))))</f>
        <v/>
      </c>
      <c r="CR40" s="239" t="str">
        <f>IF(A40=FALSE,"",IF(ALLTHESAME=TRUE,INDEX(PA40:PZ40,MATCH(PC40,PC40:PC145,0),MATCH(Structure!$D$22,$PA$14:$PZ$14,0)),INDEX(QA40:QZ40,MATCH(QC40,QC40:QC145,0),MATCH(Structure!$D$22,$QA$14:$QZ$14,0))))</f>
        <v/>
      </c>
      <c r="CS40" s="341" t="str">
        <f>IF(A40=FALSE,"",IF(ALLTHESAME=TRUE,INDEX(RA40:RZ40,MATCH(RC40,RC40:RC145,0),MATCH(Structure!$D$22,$RA$14:$RZ$14,0)),INDEX(SA40:TC40,MATCH(SC40,SC40:SC145,0),MATCH(Structure!$D$22,$SA$14:$TC$14,0))))</f>
        <v/>
      </c>
      <c r="CT40" s="347"/>
      <c r="CU40" s="239" t="str">
        <f t="shared" si="242"/>
        <v/>
      </c>
      <c r="CV40" s="239" t="str">
        <f>IF(A40=FALSE,"",IF(ALLTHESAME=TRUE,INDEX(DD40:DZ40,MATCH(DF40,DF40:DF145,0),MATCH(Structure!$D$8,$DD$14:$DZ$14,0)),INDEX(EA40:EZ40,MATCH(EC40,EC40:EC145,0),MATCH(Structure!$D$8,$EA$14:$EZ$14,0))))</f>
        <v/>
      </c>
      <c r="CW40" s="239" t="str">
        <f>IF(A40=FALSE,"",IF(ALLTHESAME=TRUE,INDEX(FA40:FZ40,MATCH(FC40,FC40:FC145,0),MATCH(Structure!$D$8,$FA$14:$FZ$14,0)),INDEX(GA40:GZ40,MATCH(GC40,GC40:GC145,0),MATCH(Structure!$D$8,$GA$14:$GZ$14,0))))</f>
        <v/>
      </c>
      <c r="CX40" s="239" t="str">
        <f>IF(A40=FALSE,"",IF(ALLTHESAME=TRUE,INDEX(HA40:HZ40,MATCH(HC40,HC40:HC145,0),MATCH(Structure!$D$8,$HA$14:$HZ$14,0)),INDEX(IA40:IZ40,MATCH(IC40,IC40:IC145,0),MATCH(Structure!$D$8,$IA$14:$IZ$14,0))))</f>
        <v/>
      </c>
      <c r="CY40" s="239" t="str">
        <f>IF(A40=FALSE,"",IF(ALLTHESAME=TRUE,INDEX(JA40:JZ40,MATCH(JC40,JC40:JC145,0),MATCH(Structure!$D$8,$JA$14:$JZ$14,0)),INDEX(KA40:KZ40,MATCH(KC40,KC40:KC145,0),MATCH(Structure!$D$8,$KA$14:$KZ$14,0))))</f>
        <v/>
      </c>
      <c r="CZ40" s="239" t="str">
        <f>IF(A40=FALSE,"",IF(ALLTHESAME=TRUE,INDEX(LA40:LZ40,MATCH(LC40,LC40:LC145,0),MATCH(Structure!$D$8,$LA$14:$LZ$14,0)),INDEX(MA40:MZ40,MATCH(MC40,MC40:MC145,0),MATCH(Structure!$D$8,$MA$14:$MZ$14,0))))</f>
        <v/>
      </c>
      <c r="DA40" s="239" t="str">
        <f>IF(A40=FALSE,"",IF(ALLTHESAME=TRUE,INDEX(NA40:NZ40,MATCH(NC40,NC40:NC145,0),MATCH(Structure!$D$8,$NA$14:$NZ$14,0)),INDEX(OA40:OZ40,MATCH(OC40,OC40:OC145,0),MATCH(Structure!$D$8,$OA$14:$OZ$14,0))))</f>
        <v/>
      </c>
      <c r="DB40" s="239" t="str">
        <f>IF(A40=FALSE,"",IF(ALLTHESAME=TRUE,INDEX(PA40:PZ40,MATCH(PC40,PC40:PC145,0),MATCH(Structure!$D$8,$PA$14:$PZ$14,0)),INDEX(QA40:QZ40,MATCH(QC40,QC40:QC145,0),MATCH(Structure!$D$8,$QA$14:$QZ$14,0))))</f>
        <v/>
      </c>
      <c r="DC40" s="341" t="str">
        <f>IF(A40=FALSE,"",IF(ALLTHESAME=TRUE,INDEX(RA40:RZ40,MATCH(RC40,RC40:RC145,0),MATCH(Structure!$D$8,$RA$14:$RZ$14,0)),INDEX(SA40:TC40,MATCH(SC40,SC40:SC145,0),MATCH(Structure!$D$8,$SA$14:$TC$14,0))))</f>
        <v/>
      </c>
      <c r="DD40" s="492" t="str">
        <f>IF(A40=FALSE,"",Cotations!D40)</f>
        <v/>
      </c>
      <c r="DE40" s="492" t="str">
        <f>IF(A40=FALSE,"",IF(LISTES!$A$17=1,Cotations!AF40,Cotations!$AG$4))</f>
        <v/>
      </c>
      <c r="DF40" s="291" t="str">
        <f t="shared" si="431"/>
        <v/>
      </c>
      <c r="DG40" s="291" t="str">
        <f t="shared" si="243"/>
        <v/>
      </c>
      <c r="DH40" s="291"/>
      <c r="DI40" s="463"/>
      <c r="DJ40" s="463" t="str">
        <f t="shared" si="244"/>
        <v/>
      </c>
      <c r="DK40" s="522" t="str">
        <f>IF(A40=FALSE,"",IF(Cotations!$AH$4="monthly",DJ40/12*L40,DJ40/365*M40))</f>
        <v/>
      </c>
      <c r="DL40" s="489" t="str">
        <f>IF(A40=FALSE,"",Cotations!$AI$4)</f>
        <v/>
      </c>
      <c r="DM40" s="300" t="str">
        <f t="shared" si="245"/>
        <v/>
      </c>
      <c r="DN40" s="300" t="str">
        <f t="shared" si="246"/>
        <v/>
      </c>
      <c r="DO40" s="294" t="str">
        <f t="shared" si="247"/>
        <v/>
      </c>
      <c r="DP40" s="494" t="str">
        <f>IF(A40=FALSE,"",Cotations!$AJ$4)</f>
        <v/>
      </c>
      <c r="DQ40" s="494" t="str">
        <f>IF(A40=FALSE,"",Cotations!$AK$4)</f>
        <v/>
      </c>
      <c r="DR40" s="489" t="str">
        <f>IF(A40=FALSE,"",Cotations!$AL$4)</f>
        <v/>
      </c>
      <c r="DS40" s="494" t="str">
        <f>IF(A40=FALSE,"",IF(DP40="N/A",0,IF(INDEX(LISTES!$F$105:$F$109,MATCH(DP40,LISTES!$C$105:$C$109,0))="FIX",IF(INDEX(LISTES!$E$105:$E$109,MATCH(DP40,LISTES!$C$105:$C$109,0))=12,DQ40/12*L40,DQ40/365*M40),DR40*DO40)))</f>
        <v/>
      </c>
      <c r="DT40" s="294" t="str">
        <f t="shared" si="248"/>
        <v/>
      </c>
      <c r="DU40" s="294" t="str">
        <f>IF(A40=FALSE,"",DT40*Cotations!$AM$4)</f>
        <v/>
      </c>
      <c r="DV40" s="294" t="str">
        <f>IF(A40=FALSE,"",DT40*Cotations!$AN$4)</f>
        <v/>
      </c>
      <c r="DW40" s="465" t="str">
        <f t="shared" si="249"/>
        <v/>
      </c>
      <c r="DX40" s="919" t="str">
        <f>IF(A40=FALSE,"",((DJ40*TAXE)-(DJ40*TAXE*DL40))+IF(DP40="N/A",0,IF(INDEX(LISTES!$F$105:$F$109,MATCH(DP40,LISTES!$C$105:$C$109,0))="FIX",DQ40,DR40*DO40)))</f>
        <v/>
      </c>
      <c r="DY40" s="466"/>
      <c r="DZ40" s="466"/>
      <c r="EA40" s="492" t="str">
        <f>IF(A40=FALSE,"",Cotations!D40)</f>
        <v/>
      </c>
      <c r="EB40" s="494" t="str">
        <f>IF(A40=FALSE,"",IF(LISTES!$A$17=1,Cotations!AF40,Cotations!AG40))</f>
        <v/>
      </c>
      <c r="EC40" s="284" t="str">
        <f t="shared" si="250"/>
        <v/>
      </c>
      <c r="ED40" s="284" t="str">
        <f t="shared" si="251"/>
        <v/>
      </c>
      <c r="EE40" s="284"/>
      <c r="EF40" s="284"/>
      <c r="EG40" s="284" t="str">
        <f t="shared" si="252"/>
        <v/>
      </c>
      <c r="EH40" s="1365" t="str">
        <f t="shared" si="253"/>
        <v/>
      </c>
      <c r="EI40" s="1365" t="str">
        <f t="shared" si="254"/>
        <v/>
      </c>
      <c r="EJ40" s="515" t="str">
        <f>IF(A40=FALSE,"",IF(Cotations!AH40="monthly",EG40/12*L40,EG40/365*M40))</f>
        <v/>
      </c>
      <c r="EK40" s="1364" t="str">
        <f>IF(A40=FALSE,"",IF(Cotations!AH40="monthly",EI40/12*L40,EI40/365*M40))</f>
        <v/>
      </c>
      <c r="EL40" s="493" t="str">
        <f>IF(A40=FALSE,"",IF(Cotations!AI40="","",Cotations!AI40))</f>
        <v/>
      </c>
      <c r="EM40" s="284" t="str">
        <f t="shared" si="255"/>
        <v/>
      </c>
      <c r="EN40" s="284" t="str">
        <f t="shared" si="256"/>
        <v/>
      </c>
      <c r="EO40" s="1365" t="str">
        <f t="shared" si="432"/>
        <v/>
      </c>
      <c r="EP40" s="284" t="str">
        <f t="shared" si="257"/>
        <v/>
      </c>
      <c r="EQ40" s="515" t="str">
        <f>IF(A40=FALSE,"",Cotations!AJ40)</f>
        <v/>
      </c>
      <c r="ER40" s="515" t="str">
        <f>IF(A40=FALSE,"",IF(Cotations!AK40="","",Cotations!AK40))</f>
        <v/>
      </c>
      <c r="ES40" s="493" t="str">
        <f>IF(A40=FALSE,"",Cotations!AL40)</f>
        <v/>
      </c>
      <c r="ET40" s="515" t="str">
        <f>IF(A40=FALSE,"",IF(EQ40="N/A",0,IF(INDEX(LISTES!$F$105:$F$109,MATCH(EQ40,LISTES!$C$105:$C$109,0))="FIX",IF(INDEX(LISTES!$E$105:$E$109,MATCH(EQ40,LISTES!$C$105:$C$109,0))=12,ER40/12*L40,ER40/365*M40),ES40*EP40)))</f>
        <v/>
      </c>
      <c r="EU40" s="294" t="str">
        <f t="shared" si="258"/>
        <v/>
      </c>
      <c r="EV40" s="494" t="str">
        <f>IF(A40=FALSE,"",EU40*Cotations!AM40)</f>
        <v/>
      </c>
      <c r="EW40" s="494" t="str">
        <f>IF(A40=FALSE,"",EU40*Cotations!AN40)</f>
        <v/>
      </c>
      <c r="EX40" s="334" t="str">
        <f t="shared" si="259"/>
        <v/>
      </c>
      <c r="EY40" s="919" t="str">
        <f>IF(A40=FALSE,"",((EG40*TAXE)-(EG40*TAXE*EL40)+EH40)+IF(EQ40="N/A",0,IF(INDEX(LISTES!$F$105:$F$109,MATCH(EQ40,LISTES!$C$105:$C$109,0))="FIX",ER40,ES40*EP40)))</f>
        <v/>
      </c>
      <c r="FA40" s="492" t="str">
        <f>IF(A40=FALSE,"",Cotations!D40)</f>
        <v/>
      </c>
      <c r="FB40" s="519" t="str">
        <f>IF(A40=FALSE,"",IF(LISTES!$A$17=1,Cotations!AO40,Cotations!$AP$4))</f>
        <v/>
      </c>
      <c r="FC40" s="291" t="str">
        <f t="shared" si="260"/>
        <v/>
      </c>
      <c r="FD40" s="291" t="str">
        <f t="shared" si="261"/>
        <v/>
      </c>
      <c r="FE40" s="291"/>
      <c r="FF40" s="463"/>
      <c r="FG40" s="463" t="str">
        <f t="shared" si="262"/>
        <v/>
      </c>
      <c r="FH40" s="522" t="str">
        <f>IF(A40=FALSE,"",IF(Cotations!$AQ$4="monthly",FG40/12*L40,FG40/365*M40))</f>
        <v/>
      </c>
      <c r="FI40" s="453" t="str">
        <f>IF(A40=FALSE,"",Cotations!$AR$4)</f>
        <v/>
      </c>
      <c r="FJ40" s="300" t="str">
        <f t="shared" si="263"/>
        <v/>
      </c>
      <c r="FK40" s="300" t="str">
        <f t="shared" si="264"/>
        <v/>
      </c>
      <c r="FL40" s="294" t="str">
        <f t="shared" si="265"/>
        <v/>
      </c>
      <c r="FM40" s="494" t="str">
        <f>IF(A40=FALSE,"",Cotations!$AS$4)</f>
        <v/>
      </c>
      <c r="FN40" s="494" t="str">
        <f>IF(A40=FALSE,"",Cotations!$AT$4)</f>
        <v/>
      </c>
      <c r="FO40" s="489" t="str">
        <f>IF(A40=FALSE,"",Cotations!$AU$4)</f>
        <v/>
      </c>
      <c r="FP40" s="494" t="str">
        <f>IF(A40=FALSE,"",IF(FM40="N/A",0,IF(INDEX(LISTES!$F$105:$F$109,MATCH(FM40,LISTES!$C$105:$C$109,0))="FIX",IF(INDEX(LISTES!$E$105:$E$109,MATCH(FM40,LISTES!$C$105:$C$109,0))=12,FN40/12*L40,FN40/365*M40),FO40*FL40)))</f>
        <v/>
      </c>
      <c r="FQ40" s="294" t="str">
        <f t="shared" si="266"/>
        <v/>
      </c>
      <c r="FR40" s="494" t="str">
        <f>IF(A40=FALSE,"",FQ40*Cotations!$AV$4)</f>
        <v/>
      </c>
      <c r="FS40" s="494" t="str">
        <f>IF(A40=FALSE,"",FQ40*Cotations!$AW$4)</f>
        <v/>
      </c>
      <c r="FT40" s="465" t="str">
        <f t="shared" si="267"/>
        <v/>
      </c>
      <c r="FU40" s="919" t="str">
        <f>IF(A40=FALSE,"",((FG40*TAXE)-(FG40*TAXE*FI40))+IF(FM40="N/A",0,IF(INDEX(LISTES!$F$105:$F$109,MATCH(FM40,LISTES!$C$105:$C$109,0))="FIX",FN40,FO40*FL40)))</f>
        <v/>
      </c>
      <c r="FV40" s="478"/>
      <c r="FW40" s="478"/>
      <c r="FX40" s="478"/>
      <c r="FY40" s="478"/>
      <c r="FZ40" s="478"/>
      <c r="GA40" s="492" t="str">
        <f>IF(A40=FALSE,"",Cotations!D40)</f>
        <v/>
      </c>
      <c r="GB40" s="494" t="str">
        <f>IF(A40=FALSE,"",IF(LISTES!$A$17=1,Cotations!AO40,Cotations!AP40))</f>
        <v/>
      </c>
      <c r="GC40" s="284" t="str">
        <f t="shared" si="268"/>
        <v/>
      </c>
      <c r="GD40" s="515" t="str">
        <f>IF(A40=FALSE,"",IF(Detail!AM40="","",Detail!AM40))</f>
        <v/>
      </c>
      <c r="GE40" s="284"/>
      <c r="GF40" s="284"/>
      <c r="GG40" s="284" t="str">
        <f t="shared" si="269"/>
        <v/>
      </c>
      <c r="GH40" s="515" t="str">
        <f>IF(A40=FALSE,"",IF(Cotations!AQ40="monthly",GG40/12*L40,GG40/365*M40))</f>
        <v/>
      </c>
      <c r="GI40" s="493" t="str">
        <f>IF(A40=FALSE,"",IF(Cotations!AR40="","",Cotations!AR40))</f>
        <v/>
      </c>
      <c r="GJ40" s="284" t="str">
        <f t="shared" si="270"/>
        <v/>
      </c>
      <c r="GK40" s="284" t="str">
        <f t="shared" si="271"/>
        <v/>
      </c>
      <c r="GL40" s="284" t="str">
        <f t="shared" si="272"/>
        <v/>
      </c>
      <c r="GM40" s="515" t="str">
        <f>IF(A40=FALSE,"",Cotations!AS40)</f>
        <v/>
      </c>
      <c r="GN40" s="515" t="str">
        <f>IF(A40=FALSE,"",Cotations!AT40)</f>
        <v/>
      </c>
      <c r="GO40" s="493" t="str">
        <f>IF(A40=FALSE,"",Cotations!AU40)</f>
        <v/>
      </c>
      <c r="GP40" s="515" t="str">
        <f>IF(A40=FALSE,"",IF(GM40="N/A",0,IF(INDEX(LISTES!$F$105:$F$109,MATCH(GM40,LISTES!$C$105:$C$109,0))="FIX",IF(INDEX(LISTES!$E$105:$E$109,MATCH(GM40,LISTES!$C$105:$C$109,0))=12,GN40/12*L40,GN40/365*M40),GO40*GL40)))</f>
        <v/>
      </c>
      <c r="GQ40" s="294" t="str">
        <f t="shared" si="273"/>
        <v/>
      </c>
      <c r="GR40" s="494" t="str">
        <f>IF(A40=FALSE,"",GQ40*Cotations!AV40)</f>
        <v/>
      </c>
      <c r="GS40" s="494" t="str">
        <f>IF(A40=FALSE,"",GQ40*Cotations!AW40)</f>
        <v/>
      </c>
      <c r="GT40" s="334" t="str">
        <f t="shared" si="274"/>
        <v/>
      </c>
      <c r="GU40" s="919" t="str">
        <f>IF(A40=FALSE,"",((GG40*TAXE)-(GG40*TAXE*GI40))+IF(GM40="N/A",0,IF(INDEX(LISTES!$F$105:$F$109,MATCH(GM40,LISTES!$C$105:$C$109,0))="FIX",GN40,GO40*GL40)))</f>
        <v/>
      </c>
      <c r="GV40" s="478"/>
      <c r="GW40" s="466"/>
      <c r="GX40" s="466"/>
      <c r="GY40" s="466"/>
      <c r="GZ40" s="466"/>
      <c r="HA40" s="492" t="str">
        <f>IF(A40=FALSE,"",Cotations!D40)</f>
        <v/>
      </c>
      <c r="HB40" s="495" t="str">
        <f>IF(A40=FALSE,"",IF(LISTES!$A$17=1,Cotations!AX40,Cotations!$AY$4))</f>
        <v/>
      </c>
      <c r="HC40" s="291" t="str">
        <f t="shared" si="275"/>
        <v/>
      </c>
      <c r="HD40" s="291" t="str">
        <f t="shared" si="276"/>
        <v/>
      </c>
      <c r="HE40" s="456" t="str">
        <f t="shared" si="277"/>
        <v/>
      </c>
      <c r="HF40" s="496" t="str">
        <f>IF(A40=FALSE,"",IF(HA40="POEA",Cotations!BA40,IF(HA40="FIXE",Cotations!$BA$4,Cotations!$BC$4*Y40)))</f>
        <v/>
      </c>
      <c r="HG40" s="300" t="str">
        <f t="shared" si="278"/>
        <v/>
      </c>
      <c r="HH40" s="522" t="str">
        <f>IF(A40=FALSE,"",IF(Cotations!$AZ$4="monthly",HG40/12*L40,HG40/365*M40))</f>
        <v/>
      </c>
      <c r="HI40" s="489" t="str">
        <f>IF(A40=FALSE,"",Cotations!$BD$4)</f>
        <v/>
      </c>
      <c r="HJ40" s="300" t="str">
        <f t="shared" si="279"/>
        <v/>
      </c>
      <c r="HK40" s="300" t="str">
        <f t="shared" si="280"/>
        <v/>
      </c>
      <c r="HL40" s="294" t="str">
        <f t="shared" si="281"/>
        <v/>
      </c>
      <c r="HM40" s="494" t="str">
        <f>IF(A40=FALSE,"",Cotations!$BE$4)</f>
        <v/>
      </c>
      <c r="HN40" s="522" t="str">
        <f>IF(A40=FALSE,"",Cotations!$BF$4)</f>
        <v/>
      </c>
      <c r="HO40" s="489" t="str">
        <f>IF(A40=FALSE,"",Cotations!$BG$4)</f>
        <v/>
      </c>
      <c r="HP40" s="494" t="str">
        <f>IF(A40=FALSE,"",IF(HM40="N/A",0,IF(INDEX(LISTES!$F$105:$F$109,MATCH(HM40,LISTES!$C$105:$C$109,0))="FIX",IF(INDEX(LISTES!$E$105:$E$109,MATCH(HM40,LISTES!$C$105:$C$109,0))=12,HN40/12*L40,HN40/365*M40),HO40*HL40)))</f>
        <v/>
      </c>
      <c r="HQ40" s="294" t="str">
        <f t="shared" si="282"/>
        <v/>
      </c>
      <c r="HR40" s="494" t="str">
        <f>IF(A40=FALSE,"",HQ40*Cotations!$BH$4)</f>
        <v/>
      </c>
      <c r="HS40" s="494" t="str">
        <f>IF(A40=FALSE,"",HQ40*Cotations!$BI$4)</f>
        <v/>
      </c>
      <c r="HT40" s="294" t="str">
        <f t="shared" si="283"/>
        <v/>
      </c>
      <c r="HU40" s="919" t="str">
        <f>IF(A40=FALSE,"",((HG40*TAXE)-(HG40*TAXE*HI40))+IF(HM40="N/A",0,IF(INDEX(LISTES!$F$105:$F$109,MATCH(HM40,LISTES!$C$105:$C$109,0))="FIX",HN40,HO40*HL40)))</f>
        <v/>
      </c>
      <c r="IA40" s="492" t="str">
        <f>IF(A40=FALSE,"",Cotations!D40)</f>
        <v/>
      </c>
      <c r="IB40" s="491" t="str">
        <f>IF(A40=FALSE,"",IF(LISTES!$A$17=1,Cotations!AX40,Cotations!AY40))</f>
        <v/>
      </c>
      <c r="IC40" s="285" t="str">
        <f t="shared" si="284"/>
        <v/>
      </c>
      <c r="ID40" s="300" t="str">
        <f>IF(A40=FALSE,"",IF(LISTES!$A$17=3,Detail!AU40,lig1_Formula_PREVOY))</f>
        <v/>
      </c>
      <c r="IE40" s="461" t="str">
        <f t="shared" si="285"/>
        <v/>
      </c>
      <c r="IF40" s="490" t="str">
        <f>IF(A40=FALSE,"",IF(IA40="POEA",Cotations!BA40,IF(HA40="FIXE",Cotations!BB40,IF(Cotations!BC40*Y40&lt;50000,Z40,Cotations!BC40*Y40))))</f>
        <v/>
      </c>
      <c r="IG40" s="300" t="str">
        <f t="shared" si="286"/>
        <v/>
      </c>
      <c r="IH40" s="522" t="str">
        <f>IF(A40=FALSE,"",IF(Cotations!AZ40="monthly",IG40/12*L40,IG40/365*M40))</f>
        <v/>
      </c>
      <c r="II40" s="489" t="str">
        <f>IF(A40=FALSE,"",IF(Cotations!BD40="","",Cotations!BD40))</f>
        <v/>
      </c>
      <c r="IJ40" s="300" t="str">
        <f t="shared" si="287"/>
        <v/>
      </c>
      <c r="IK40" s="300" t="str">
        <f t="shared" si="288"/>
        <v/>
      </c>
      <c r="IL40" s="919" t="str">
        <f t="shared" si="289"/>
        <v/>
      </c>
      <c r="IM40" s="517" t="str">
        <f>IF(A40=FALSE,"",Cotations!BE40)</f>
        <v/>
      </c>
      <c r="IN40" s="517" t="str">
        <f>IF(A40=FALSE,"",Cotations!BF40)</f>
        <v/>
      </c>
      <c r="IO40" s="493" t="str">
        <f>IF(A40=FALSE,"",Cotations!BG40)</f>
        <v/>
      </c>
      <c r="IP40" s="517" t="str">
        <f>IF(A40=FALSE,"",IF(IM40="N/A",0,IF(INDEX(LISTES!$F$105:$F$109,MATCH(IM40,LISTES!$C$105:$C$109,0))="FIX",IF(INDEX(LISTES!$E$105:$E$109,MATCH(IM40,LISTES!$C$105:$C$109,0))=12,IN40/12*L40,IN40/365*M40),IO40*IL40)))</f>
        <v/>
      </c>
      <c r="IQ40" s="294" t="str">
        <f t="shared" si="290"/>
        <v/>
      </c>
      <c r="IR40" s="494" t="str">
        <f>IF(A40=FALSE,"",IQ40*Cotations!BH40)</f>
        <v/>
      </c>
      <c r="IS40" s="494" t="str">
        <f>IF(A40=FALSE,"",IQ40*Cotations!BI40)</f>
        <v/>
      </c>
      <c r="IT40" s="338" t="str">
        <f t="shared" si="291"/>
        <v/>
      </c>
      <c r="IU40" s="919" t="str">
        <f>IF(A40=FALSE,"",((IG40*TAXE)-(IG40*TAXE*II40))+IF(IM40="N/A",0,IF(INDEX(LISTES!$F$105:$F$109,MATCH(IM40,LISTES!$C$105:$C$109,0))="FIX",IN40,IO40*IL40)))</f>
        <v/>
      </c>
      <c r="JA40" s="492" t="str">
        <f>IF(A40=FALSE,"",Cotations!D40)</f>
        <v/>
      </c>
      <c r="JB40" s="495" t="str">
        <f>IF(A40=FALSE,"",IF(LISTES!$A$17=1,Cotations!BJ40,Cotations!$BK$4))</f>
        <v/>
      </c>
      <c r="JC40" s="291" t="str">
        <f t="shared" si="292"/>
        <v/>
      </c>
      <c r="JD40" s="291" t="str">
        <f t="shared" si="293"/>
        <v/>
      </c>
      <c r="JE40" s="456" t="str">
        <f t="shared" si="294"/>
        <v/>
      </c>
      <c r="JF40" s="496" t="str">
        <f>IF(A40=FALSE,"",IF(JA40="POEA",Cotations!BM40,IF(JA40="FIXE",Cotations!$BM$4,Cotations!$BO$4*Y40)))</f>
        <v/>
      </c>
      <c r="JG40" s="300" t="str">
        <f t="shared" si="295"/>
        <v/>
      </c>
      <c r="JH40" s="522" t="str">
        <f>IF(A40=FALSE,"",IF(Cotations!$BL$4="monthly",JG40/12*L40,JG40/365*M40))</f>
        <v/>
      </c>
      <c r="JI40" s="489" t="str">
        <f>IF(A40=FALSE,"",Cotations!$BP$4)</f>
        <v/>
      </c>
      <c r="JJ40" s="300" t="str">
        <f t="shared" si="296"/>
        <v/>
      </c>
      <c r="JK40" s="300" t="str">
        <f t="shared" si="297"/>
        <v/>
      </c>
      <c r="JL40" s="294" t="str">
        <f t="shared" si="298"/>
        <v/>
      </c>
      <c r="JM40" s="494" t="str">
        <f>IF(A40=FALSE,"",Cotations!$BQ$4)</f>
        <v/>
      </c>
      <c r="JN40" s="522" t="str">
        <f>IF(A40=FALSE,"",Cotations!$BR$4)</f>
        <v/>
      </c>
      <c r="JO40" s="489" t="str">
        <f>IF(A40=FALSE,"",Cotations!$BS$4)</f>
        <v/>
      </c>
      <c r="JP40" s="494" t="str">
        <f>IF(A40=FALSE,"",IF(JM40="N/A",0,IF(INDEX(LISTES!$F$105:$F$109,MATCH(JM40,LISTES!$C$105:$C$109,0))="FIX",IF(INDEX(LISTES!$E$105:$E$109,MATCH(JM40,LISTES!$C$105:$C$109,0))=12,JN40/12*L40,JN40/365*M40),JO40*JL40)))</f>
        <v/>
      </c>
      <c r="JQ40" s="294" t="str">
        <f t="shared" si="299"/>
        <v/>
      </c>
      <c r="JR40" s="494" t="str">
        <f>IF(A40=FALSE,"",JQ40*Cotations!$BT$4)</f>
        <v/>
      </c>
      <c r="JS40" s="494" t="str">
        <f>IF(A40=FALSE,"",JQ40*Cotations!$BU$4)</f>
        <v/>
      </c>
      <c r="JT40" s="294" t="str">
        <f t="shared" si="300"/>
        <v/>
      </c>
      <c r="JU40" s="919" t="str">
        <f>IF(A40=FALSE,"",((JG40*TAXE)-(JG40*TAXE*JI40))+IF(JM40="N/A",0,IF(INDEX(LISTES!$F$105:$F$109,MATCH(JM40,LISTES!$C$105:$C$109,0))="FIX",JN40,JO40*JL40)))</f>
        <v/>
      </c>
      <c r="KA40" s="492" t="str">
        <f>IF(A40=FALSE,"",Cotations!D40)</f>
        <v/>
      </c>
      <c r="KB40" s="491" t="str">
        <f>IF(A40=FALSE,"",IF(LISTES!$A$17=1,Cotations!BJ40,Cotations!BK40))</f>
        <v/>
      </c>
      <c r="KC40" s="285" t="str">
        <f t="shared" si="301"/>
        <v/>
      </c>
      <c r="KD40" s="300"/>
      <c r="KE40" s="461" t="str">
        <f t="shared" si="302"/>
        <v/>
      </c>
      <c r="KF40" s="490" t="str">
        <f>IF(A40=FALSE,"",IF(KA40="POEA",Cotations!BM40,IF(KA40="FIXE",Cotations!BN40,IF(Cotations!BO40*Y40&lt;50000,Z40,Cotations!BO40*Y40))))</f>
        <v/>
      </c>
      <c r="KG40" s="300" t="str">
        <f t="shared" si="303"/>
        <v/>
      </c>
      <c r="KH40" s="522" t="str">
        <f>IF(A40=FALSE,"",IF(Cotations!BL40="monthly",KG40/12*L40,KG40/365*M40))</f>
        <v/>
      </c>
      <c r="KI40" s="489" t="str">
        <f>IF(A40=FALSE,"",IF(Cotations!BP40="","",Cotations!BP40))</f>
        <v/>
      </c>
      <c r="KJ40" s="300" t="str">
        <f t="shared" si="304"/>
        <v/>
      </c>
      <c r="KK40" s="300" t="str">
        <f t="shared" si="305"/>
        <v/>
      </c>
      <c r="KL40" s="919" t="str">
        <f t="shared" si="306"/>
        <v/>
      </c>
      <c r="KM40" s="517" t="str">
        <f>IF(A40=FALSE,"",Cotations!BQ40)</f>
        <v/>
      </c>
      <c r="KN40" s="515" t="str">
        <f>IF(A40=FALSE,"",Cotations!BR40)</f>
        <v/>
      </c>
      <c r="KO40" s="493" t="str">
        <f>IF(A40=FALSE,"",Cotations!BS40)</f>
        <v/>
      </c>
      <c r="KP40" s="517" t="str">
        <f>IF(A40=FALSE,"",IF(KM40="N/A",0,IF(INDEX(LISTES!$F$105:$F$109,MATCH(KM40,LISTES!$C$105:$C$109,0))="FIX",IF(INDEX(LISTES!$E$105:$E$109,MATCH(KM40,LISTES!$C$105:$C$109,0))=12,KN40/12*L40,KN40/365*M40),KO40*KL40)))</f>
        <v/>
      </c>
      <c r="KQ40" s="294" t="str">
        <f t="shared" si="307"/>
        <v/>
      </c>
      <c r="KR40" s="494" t="str">
        <f>IF(A40=FALSE,"",KQ40*Cotations!BT40)</f>
        <v/>
      </c>
      <c r="KS40" s="494" t="str">
        <f>IF(A40=FALSE,"",KQ40*Cotations!BU40)</f>
        <v/>
      </c>
      <c r="KT40" s="338" t="str">
        <f t="shared" si="308"/>
        <v/>
      </c>
      <c r="KU40" s="919" t="str">
        <f>IF(A40=FALSE,"",((KG40*TAXE)-(KG40*TAXE*KI40))+IF(KM40="N/A",0,IF(INDEX(LISTES!$F$105:$F$109,MATCH(KM40,LISTES!$C$105:$C$109,0))="FIX",KN40,KO40*KL40)))</f>
        <v/>
      </c>
      <c r="LA40" s="497" t="str">
        <f>IF(A40=FALSE,"",Cotations!D40)</f>
        <v/>
      </c>
      <c r="LB40" s="498" t="str">
        <f>IF(A40=FALSE,"",IF(LISTES!$A$17=1,Cotations!BV40,Cotations!$BW$4))</f>
        <v/>
      </c>
      <c r="LC40" s="499" t="str">
        <f t="shared" si="309"/>
        <v/>
      </c>
      <c r="LD40" s="499" t="str">
        <f t="shared" si="310"/>
        <v/>
      </c>
      <c r="LE40" s="500" t="str">
        <f t="shared" si="311"/>
        <v/>
      </c>
      <c r="LF40" s="501" t="str">
        <f>IF(A40=FALSE,"",IF(LA40="POEA",Cotations!EJ40,IF(LA40="FIXE",Cotations!$BY$4,Cotations!$CA$4*Y40)))</f>
        <v/>
      </c>
      <c r="LG40" s="502" t="str">
        <f t="shared" si="312"/>
        <v/>
      </c>
      <c r="LH40" s="520" t="str">
        <f>IF(A40=FALSE,"",IF(Cotations!$BX$4="monthly",LG40/12*L40,LG40/365*M40))</f>
        <v/>
      </c>
      <c r="LI40" s="503" t="str">
        <f>IF(A40=FALSE,"",Cotations!$CB$4)</f>
        <v/>
      </c>
      <c r="LJ40" s="502" t="str">
        <f t="shared" si="313"/>
        <v/>
      </c>
      <c r="LK40" s="502" t="str">
        <f t="shared" si="314"/>
        <v/>
      </c>
      <c r="LL40" s="504" t="str">
        <f t="shared" si="315"/>
        <v/>
      </c>
      <c r="LM40" s="505" t="str">
        <f>IF(A40=FALSE,"",Cotations!$CC$4)</f>
        <v/>
      </c>
      <c r="LN40" s="503" t="str">
        <f>IF(A40=FALSE,"",Cotations!$CD$4)</f>
        <v/>
      </c>
      <c r="LO40" s="503" t="str">
        <f>IF(A40=FALSE,"",Cotations!$CE$4)</f>
        <v/>
      </c>
      <c r="LP40" s="505" t="str">
        <f>IF(A40=FALSE,"",IF(LM40="N/A",0,IF(INDEX(LISTES!$F$105:$F$109,MATCH(LM40,LISTES!$C$105:$C$109,0))="FIX",IF(INDEX(LISTES!$E$105:$E$109,MATCH(LM40,LISTES!$C$105:$C$109,0))=12,LN40/12*L40,LN40/365*M40),LO40*LL40)))</f>
        <v/>
      </c>
      <c r="LQ40" s="504" t="str">
        <f t="shared" si="316"/>
        <v/>
      </c>
      <c r="LR40" s="505" t="str">
        <f>IF(A40=FALSE,"",LQ40*Cotations!$CF$4)</f>
        <v/>
      </c>
      <c r="LS40" s="505" t="str">
        <f>IF(A40=FALSE,"",LQ40*Cotations!$CG$4)</f>
        <v/>
      </c>
      <c r="LT40" s="506" t="str">
        <f t="shared" si="317"/>
        <v/>
      </c>
      <c r="LU40" s="919" t="str">
        <f>IF(A40=FALSE,"",((LG40*TAXE)-(LG40*TAXE*LI40))+IF(LM40="N/A",0,IF(INDEX(LISTES!$F$105:$F$109,MATCH(LM40,LISTES!$C$105:$C$109,0))="FIX",LN40,LO40*LL40)))</f>
        <v/>
      </c>
      <c r="MA40" s="492" t="str">
        <f>IF(A40=FALSE,"",Cotations!D40)</f>
        <v/>
      </c>
      <c r="MB40" s="491" t="str">
        <f>IF(A40=FALSE,"",IF(LISTES!$A$17=1,Cotations!BV40,Cotations!BW40))</f>
        <v/>
      </c>
      <c r="MC40" s="285" t="str">
        <f t="shared" si="318"/>
        <v/>
      </c>
      <c r="MD40" s="300"/>
      <c r="ME40" s="461" t="str">
        <f t="shared" si="319"/>
        <v/>
      </c>
      <c r="MF40" s="490" t="str">
        <f>IF(A40=FALSE,"",IF(MA40="POEA",Cotations!BY40,IF(MA40="FIXE",Cotations!BZ40,IF(Cotations!CA40*Y40&lt;50000,Z40,Cotations!CA40*Y40))))</f>
        <v/>
      </c>
      <c r="MG40" s="300" t="str">
        <f t="shared" si="320"/>
        <v/>
      </c>
      <c r="MH40" s="522" t="str">
        <f>IF(A40=FALSE,"",IF(Cotations!BX40="monthly",MG40/12*L40,MG40/365*M40))</f>
        <v/>
      </c>
      <c r="MI40" s="489" t="str">
        <f>IF(A40=FALSE,"",IF(Cotations!CB40="","",Cotations!CB40))</f>
        <v/>
      </c>
      <c r="MJ40" s="300" t="str">
        <f t="shared" si="321"/>
        <v/>
      </c>
      <c r="MK40" s="300" t="str">
        <f t="shared" si="322"/>
        <v/>
      </c>
      <c r="ML40" s="919" t="str">
        <f t="shared" si="323"/>
        <v/>
      </c>
      <c r="MM40" s="517" t="str">
        <f>IF(A40=FALSE,"",Cotations!CC40)</f>
        <v/>
      </c>
      <c r="MN40" s="515" t="str">
        <f>IF(A40=FALSE,"",Cotations!CD40)</f>
        <v/>
      </c>
      <c r="MO40" s="493" t="str">
        <f>IF(A40=FALSE,"",Cotations!CE40)</f>
        <v/>
      </c>
      <c r="MP40" s="517" t="str">
        <f>IF(A40=FALSE,"",IF(MM40="N/A",0,IF(INDEX(LISTES!$F$105:$F$109,MATCH(MM40,LISTES!$C$105:$C$109,0))="FIX",IF(INDEX(LISTES!$E$105:$E$109,MATCH(MM40,LISTES!$C$105:$C$109,0))=12,MN40/12*L40,MN40/365*M40),MO40*ML40)))</f>
        <v/>
      </c>
      <c r="MQ40" s="294" t="str">
        <f t="shared" si="324"/>
        <v/>
      </c>
      <c r="MR40" s="494" t="str">
        <f>IF(A40=FALSE,"",MQ40*Cotations!CF40)</f>
        <v/>
      </c>
      <c r="MS40" s="494" t="str">
        <f>IF(A40=FALSE,"",MQ40*Cotations!CG40)</f>
        <v/>
      </c>
      <c r="MT40" s="338" t="str">
        <f t="shared" si="325"/>
        <v/>
      </c>
      <c r="MU40" s="919" t="str">
        <f>IF(A40=FALSE,"",((MG40*TAXE)-(MG40*TAXE*MI40))+IF(MM40="N/A",0,IF(INDEX(LISTES!$F$105:$F$109,MATCH(MM40,LISTES!$C$105:$C$109,0))="FIX",MN40,MO40*ML40)))</f>
        <v/>
      </c>
      <c r="NA40" s="497" t="str">
        <f>IF(A40=FALSE,"",Cotations!D40)</f>
        <v/>
      </c>
      <c r="NB40" s="498" t="str">
        <f>IF(A40=FALSE,"",IF(LISTES!$A$17=1,Cotations!CH40,Cotations!$CI$4))</f>
        <v/>
      </c>
      <c r="NC40" s="499" t="str">
        <f t="shared" si="326"/>
        <v/>
      </c>
      <c r="ND40" s="499" t="str">
        <f t="shared" si="327"/>
        <v/>
      </c>
      <c r="NE40" s="500" t="str">
        <f t="shared" si="328"/>
        <v/>
      </c>
      <c r="NF40" s="501" t="str">
        <f>IF(A40=FALSE,"",IF(NA40="POEA",Cotations!CK40,IF(NA40="FIXE",Cotations!$CK$4,Cotations!$CM$4*Y40)))</f>
        <v/>
      </c>
      <c r="NG40" s="502" t="str">
        <f t="shared" si="329"/>
        <v/>
      </c>
      <c r="NH40" s="520" t="str">
        <f>IF(A40=FALSE,"",IF(Cotations!$CJ$4="monthly",NG40/12*L40,NG40/365*M40))</f>
        <v/>
      </c>
      <c r="NI40" s="503" t="str">
        <f>IF(A40=FALSE,"",Cotations!$CN$4)</f>
        <v/>
      </c>
      <c r="NJ40" s="502" t="str">
        <f t="shared" si="330"/>
        <v/>
      </c>
      <c r="NK40" s="502" t="str">
        <f t="shared" si="331"/>
        <v/>
      </c>
      <c r="NL40" s="504" t="str">
        <f t="shared" si="332"/>
        <v/>
      </c>
      <c r="NM40" s="505" t="str">
        <f>IF(A40=FALSE,"",Cotations!$CO$4)</f>
        <v/>
      </c>
      <c r="NN40" s="520" t="str">
        <f>IF(A40=FALSE,"",Cotations!$CP$4)</f>
        <v/>
      </c>
      <c r="NO40" s="503" t="str">
        <f>IF(A40=FALSE,"",Cotations!$CQ$4)</f>
        <v/>
      </c>
      <c r="NP40" s="505" t="str">
        <f>IF(A40=FALSE,"",IF(NM40="N/A",0,IF(INDEX(LISTES!$F$105:$F$109,MATCH(NM40,LISTES!$C$105:$C$109,0))="FIX",IF(INDEX(LISTES!$E$105:$E$109,MATCH(NM40,LISTES!$C$105:$C$109,0))=12,NN40/12*L40,NN40/365*M40),NO40*NL40)))</f>
        <v/>
      </c>
      <c r="NQ40" s="504" t="str">
        <f t="shared" si="333"/>
        <v/>
      </c>
      <c r="NR40" s="505" t="str">
        <f>IF(A40=FALSE,"",NQ40*Cotations!$CR$4)</f>
        <v/>
      </c>
      <c r="NS40" s="505" t="str">
        <f>IF(A40=FALSE,"",NQ40*Cotations!$CS$4)</f>
        <v/>
      </c>
      <c r="NT40" s="506" t="str">
        <f t="shared" si="334"/>
        <v/>
      </c>
      <c r="NU40" s="919" t="str">
        <f>IF(A40=FALSE,"",((NG40*TAXE)-(NG40*TAXE*NI40))+IF(NM40="N/A",0,IF(INDEX(LISTES!$F$105:$F$109,MATCH(NM40,LISTES!$C$105:$C$109,0))="FIX",NN40,NO40*NL40)))</f>
        <v/>
      </c>
      <c r="OA40" s="492" t="str">
        <f>IF(A40=FALSE,"",Cotations!D40)</f>
        <v/>
      </c>
      <c r="OB40" s="491" t="str">
        <f>IF(A40=FALSE,"",IF(LISTES!$A$17=1,Cotations!CH40,Cotations!CI40))</f>
        <v/>
      </c>
      <c r="OC40" s="285" t="str">
        <f t="shared" si="335"/>
        <v/>
      </c>
      <c r="OD40" s="300"/>
      <c r="OE40" s="461" t="str">
        <f t="shared" si="336"/>
        <v/>
      </c>
      <c r="OF40" s="490" t="str">
        <f>IF(A40=FALSE,"",IF(OA40="POEA",Cotations!CK40,IF(OA40="FIXE",Cotations!CL40,IF(Cotations!CM40*Y40&lt;50000,Z40,Cotations!CM40*Y40))))</f>
        <v/>
      </c>
      <c r="OG40" s="300" t="str">
        <f t="shared" si="337"/>
        <v/>
      </c>
      <c r="OH40" s="522" t="str">
        <f>IF(A40=FALSE,"",IF(Cotations!CJ40="monthly",OG40/12*L40,OG40/365*M40))</f>
        <v/>
      </c>
      <c r="OI40" s="489" t="str">
        <f>IF(A40=FALSE,"",IF(Cotations!CN40="","",Cotations!CN40))</f>
        <v/>
      </c>
      <c r="OJ40" s="300" t="str">
        <f t="shared" si="338"/>
        <v/>
      </c>
      <c r="OK40" s="300" t="str">
        <f t="shared" si="339"/>
        <v/>
      </c>
      <c r="OL40" s="919" t="str">
        <f t="shared" si="340"/>
        <v/>
      </c>
      <c r="OM40" s="517" t="str">
        <f>IF(A40=FALSE,"",Cotations!CO40)</f>
        <v/>
      </c>
      <c r="ON40" s="515" t="str">
        <f>IF(A40=FALSE,"",Cotations!CP40)</f>
        <v/>
      </c>
      <c r="OO40" s="493" t="str">
        <f>IF(A40=FALSE,"",Cotations!CQ40)</f>
        <v/>
      </c>
      <c r="OP40" s="517" t="str">
        <f>IF(A40=FALSE,"",IF(OM40="N/A",0,IF(INDEX(LISTES!$F$105:$F$109,MATCH(OM40,LISTES!$C$105:$C$109,0))="FIX",IF(INDEX(LISTES!$E$105:$E$109,MATCH(OM40,LISTES!$C$105:$C$109,0))=12,ON40/12*L40,ON40/365*M40),OO40*OL40)))</f>
        <v/>
      </c>
      <c r="OQ40" s="294" t="str">
        <f t="shared" si="341"/>
        <v/>
      </c>
      <c r="OR40" s="494" t="str">
        <f>IF(A40=FALSE,"",OQ40*Cotations!CR40)</f>
        <v/>
      </c>
      <c r="OS40" s="494" t="str">
        <f>IF(A40=FALSE,"",OQ40*Cotations!CS40)</f>
        <v/>
      </c>
      <c r="OT40" s="338" t="str">
        <f t="shared" si="342"/>
        <v/>
      </c>
      <c r="OU40" s="919" t="str">
        <f>IF(A40=FALSE,"",((OG40*TAXE)-(OG40*TAXE*OI40))+IF(OM40="N/A",0,IF(INDEX(LISTES!$F$105:$F$109,MATCH(OM40,LISTES!$C$105:$C$109,0))="FIX",ON40,OO40*OL40)))</f>
        <v/>
      </c>
      <c r="PA40" s="497" t="str">
        <f t="shared" si="343"/>
        <v/>
      </c>
      <c r="PB40" s="498" t="str">
        <f>IF(A40=FALSE,"",IF(LISTES!$A$17=1,Cotations!CT40,Cotations!$CU$4))</f>
        <v/>
      </c>
      <c r="PC40" s="499" t="str">
        <f t="shared" si="344"/>
        <v/>
      </c>
      <c r="PD40" s="499" t="str">
        <f t="shared" si="345"/>
        <v/>
      </c>
      <c r="PE40" s="500" t="str">
        <f t="shared" si="346"/>
        <v/>
      </c>
      <c r="PF40" s="501" t="str">
        <f>IF(A40=FALSE,"",Cotations!$CY$4*Y40)</f>
        <v/>
      </c>
      <c r="PG40" s="502" t="str">
        <f t="shared" si="347"/>
        <v/>
      </c>
      <c r="PH40" s="520" t="str">
        <f>IF(A40=FALSE,"",IF(Cotations!$CV$4="monthly",PG40/12*L40,PG40/365*M40))</f>
        <v/>
      </c>
      <c r="PI40" s="503" t="str">
        <f>IF(A40=FALSE,"",Cotations!$CZ$4)</f>
        <v/>
      </c>
      <c r="PJ40" s="502" t="str">
        <f t="shared" si="348"/>
        <v/>
      </c>
      <c r="PK40" s="502" t="str">
        <f t="shared" si="349"/>
        <v/>
      </c>
      <c r="PL40" s="504" t="str">
        <f t="shared" si="350"/>
        <v/>
      </c>
      <c r="PM40" s="505" t="str">
        <f>IF(A40=FALSE,"",Cotations!$DA$4)</f>
        <v/>
      </c>
      <c r="PN40" s="520" t="str">
        <f>IF(A40=FALSE,"",Cotations!$DB$4)</f>
        <v/>
      </c>
      <c r="PO40" s="503" t="str">
        <f>IF(A40=FALSE,"",Cotations!$DC$4)</f>
        <v/>
      </c>
      <c r="PP40" s="505" t="str">
        <f>IF(A40=FALSE,"",IF(PM40="N/A",0,IF(INDEX(LISTES!$F$105:$F$109,MATCH(PM40,LISTES!$C$105:$C$109,0))="FIX",IF(INDEX(LISTES!$E$105:$E$109,MATCH(PM40,LISTES!$C$105:$C$109,0))=12,PN40/12*L40,PN40/365*M40),PO40*PL40)))</f>
        <v/>
      </c>
      <c r="PQ40" s="504" t="str">
        <f t="shared" si="351"/>
        <v/>
      </c>
      <c r="PR40" s="505" t="str">
        <f>IF(A40=FALSE,"",PQ40*Cotations!$DD$4)</f>
        <v/>
      </c>
      <c r="PS40" s="505" t="str">
        <f>IF(A40=FALSE,"",PQ40*Cotations!$DE$4)</f>
        <v/>
      </c>
      <c r="PT40" s="506" t="str">
        <f t="shared" si="352"/>
        <v/>
      </c>
      <c r="PU40" s="919" t="str">
        <f>IF(A40=FALSE,"",((PG40*TAXE)-(PG40*TAXE*PI40))+IF(PM40="N/A",0,IF(INDEX(LISTES!$F$105:$F$109,MATCH(PM40,LISTES!$C$105:$C$109,0))="FIX",PN40,PO40*PL40)))</f>
        <v/>
      </c>
      <c r="QA40" s="492" t="str">
        <f t="shared" si="353"/>
        <v/>
      </c>
      <c r="QB40" s="491" t="str">
        <f>IF(A40=FALSE,"",IF(LISTES!$A$17=1,Cotations!CT40,Cotations!CU40))</f>
        <v/>
      </c>
      <c r="QC40" s="285" t="str">
        <f t="shared" si="354"/>
        <v/>
      </c>
      <c r="QD40" s="300"/>
      <c r="QE40" s="461" t="str">
        <f t="shared" si="355"/>
        <v/>
      </c>
      <c r="QF40" s="490" t="str">
        <f>IF(A40=FALSE,"",Cotations!CY40*AA40)</f>
        <v/>
      </c>
      <c r="QG40" s="300" t="str">
        <f t="shared" si="356"/>
        <v/>
      </c>
      <c r="QH40" s="522" t="str">
        <f>IF(A40=FALSE,"",IF(Cotations!CV40="monthly",QG40/12*L40,QG40/365*M40))</f>
        <v/>
      </c>
      <c r="QI40" s="489" t="str">
        <f>IF(A40=FALSE,"",IF(Cotations!CZ40="","",Cotations!CZ40))</f>
        <v/>
      </c>
      <c r="QJ40" s="300" t="str">
        <f t="shared" si="357"/>
        <v/>
      </c>
      <c r="QK40" s="300" t="str">
        <f t="shared" si="358"/>
        <v/>
      </c>
      <c r="QL40" s="919" t="str">
        <f t="shared" si="359"/>
        <v/>
      </c>
      <c r="QM40" s="517" t="str">
        <f>IF(A40=FALSE,"",Cotations!DA40)</f>
        <v/>
      </c>
      <c r="QN40" s="515" t="str">
        <f>IF(A40=FALSE,"",Cotations!DB40)</f>
        <v/>
      </c>
      <c r="QO40" s="493" t="str">
        <f>IF(A40=FALSE,"",Cotations!DC40)</f>
        <v/>
      </c>
      <c r="QP40" s="517" t="str">
        <f>IF(A40=FALSE,"",IF(QM40="N/A",0,IF(INDEX(LISTES!$F$105:$F$109,MATCH(QM40,LISTES!$C$105:$C$109,0))="FIX",IF(INDEX(LISTES!$E$105:$E$109,MATCH(QM40,LISTES!$C$105:$C$109,0))=12,QN40/12*L40,QN40/365*M40),QO40*QL40)))</f>
        <v/>
      </c>
      <c r="QQ40" s="294" t="str">
        <f t="shared" si="360"/>
        <v/>
      </c>
      <c r="QR40" s="494" t="str">
        <f>IF(A40=FALSE,"",QQ40*Cotations!DD40)</f>
        <v/>
      </c>
      <c r="QS40" s="494" t="str">
        <f>IF(A40=FALSE,"",QQ40*Cotations!DE40)</f>
        <v/>
      </c>
      <c r="QT40" s="338" t="str">
        <f t="shared" si="361"/>
        <v/>
      </c>
      <c r="QU40" s="919" t="str">
        <f>IF(A40=FALSE,"",((QG40*TAXE)-(QG40*TAXE*QI40))+IF(QM40="N/A",0,IF(INDEX(LISTES!$F$105:$F$109,MATCH(QM40,LISTES!$C$105:$C$109,0))="FIX",QN40,QO40*QL40)))</f>
        <v/>
      </c>
      <c r="RA40" s="497" t="str">
        <f t="shared" si="362"/>
        <v/>
      </c>
      <c r="RB40" s="498" t="str">
        <f>IF(A40=FALSE,"",IF(LISTES!$A$17=1,Cotations!DF40,Cotations!$DG$4))</f>
        <v/>
      </c>
      <c r="RC40" s="499" t="str">
        <f t="shared" si="363"/>
        <v/>
      </c>
      <c r="RD40" s="499" t="str">
        <f t="shared" si="364"/>
        <v/>
      </c>
      <c r="RE40" s="500" t="str">
        <f t="shared" si="365"/>
        <v/>
      </c>
      <c r="RF40" s="501" t="str">
        <f>IF(A40=FALSE,"",Cotations!$DK$4*Y40)</f>
        <v/>
      </c>
      <c r="RG40" s="502" t="str">
        <f t="shared" si="366"/>
        <v/>
      </c>
      <c r="RH40" s="520" t="str">
        <f>IF(A40=FALSE,"",IF(Cotations!$DH$4="monthly",RG40/12*L40,RG40/365*M40))</f>
        <v/>
      </c>
      <c r="RI40" s="503" t="str">
        <f>IF(A40=FALSE,"",Cotations!$DL$4)</f>
        <v/>
      </c>
      <c r="RJ40" s="502" t="str">
        <f t="shared" si="367"/>
        <v/>
      </c>
      <c r="RK40" s="502" t="str">
        <f t="shared" si="368"/>
        <v/>
      </c>
      <c r="RL40" s="504" t="str">
        <f t="shared" si="369"/>
        <v/>
      </c>
      <c r="RM40" s="505" t="str">
        <f>IF(A40=FALSE,"",Cotations!$DM$4)</f>
        <v/>
      </c>
      <c r="RN40" s="520" t="str">
        <f>IF(A40=FALSE,"",Cotations!$DN$4)</f>
        <v/>
      </c>
      <c r="RO40" s="503" t="str">
        <f>IF(A40=FALSE,"",Cotations!$DO$4)</f>
        <v/>
      </c>
      <c r="RP40" s="505" t="str">
        <f>IF(A40=FALSE,"",IF(RM40="N/A",0,IF(INDEX(LISTES!$F$105:$F$109,MATCH(RM40,LISTES!$C$105:$C$109,0))="FIX",IF(INDEX(LISTES!$E$105:$E$109,MATCH(RM40,LISTES!$C$105:$C$109,0))=12,RN40/12*L40,RN40/365*M40),RO40*RL40)))</f>
        <v/>
      </c>
      <c r="RQ40" s="504" t="str">
        <f t="shared" si="370"/>
        <v/>
      </c>
      <c r="RR40" s="505" t="str">
        <f>IF(A40=FALSE,"",RQ40*Cotations!$DP$4)</f>
        <v/>
      </c>
      <c r="RS40" s="505" t="str">
        <f>IF(A40=FALSE,"",RQ40*Cotations!$DQ$4)</f>
        <v/>
      </c>
      <c r="RT40" s="506" t="str">
        <f t="shared" si="371"/>
        <v/>
      </c>
      <c r="RU40" s="919" t="str">
        <f>IF(A40=FALSE,"",((RG40*TAXE)-(RG40*TAXE*RI40))+IF(RM40="N/A",0,IF(INDEX(LISTES!$F$105:$F$109,MATCH(RM40,LISTES!$C$105:$C$109,0))="FIX",RN40,RO40*RL40)))</f>
        <v/>
      </c>
      <c r="SA40" s="492" t="str">
        <f t="shared" si="372"/>
        <v/>
      </c>
      <c r="SB40" s="491" t="str">
        <f>IF(A40=FALSE,"",IF(LISTES!$A$17=1,Cotations!DF40,Cotations!DG40))</f>
        <v/>
      </c>
      <c r="SC40" s="285" t="str">
        <f t="shared" si="373"/>
        <v/>
      </c>
      <c r="SD40" s="300"/>
      <c r="SE40" s="461" t="str">
        <f t="shared" si="374"/>
        <v/>
      </c>
      <c r="SF40" s="490" t="str">
        <f>IF(A40=FALSE,"",Cotations!DK40*AA40)</f>
        <v/>
      </c>
      <c r="SG40" s="300" t="str">
        <f t="shared" si="375"/>
        <v/>
      </c>
      <c r="SH40" s="522" t="str">
        <f>IF(A40=FALSE,"",IF(Cotations!DH40="monthly",SG40/12*L40,SG40/365*M40))</f>
        <v/>
      </c>
      <c r="SI40" s="489" t="str">
        <f>IF(A40=FALSE,"",IF(Cotations!DL40="","",Cotations!DL40))</f>
        <v/>
      </c>
      <c r="SJ40" s="300" t="str">
        <f t="shared" si="376"/>
        <v/>
      </c>
      <c r="SK40" s="300" t="str">
        <f t="shared" si="377"/>
        <v/>
      </c>
      <c r="SL40" s="919" t="str">
        <f t="shared" si="378"/>
        <v/>
      </c>
      <c r="SM40" s="285" t="str">
        <f>IF(A40=FALSE,"",Cotations!DM40)</f>
        <v/>
      </c>
      <c r="SN40" s="515" t="str">
        <f>IF(A40=FALSE,"",Cotations!DN40)</f>
        <v/>
      </c>
      <c r="SO40" s="493" t="str">
        <f>IF(A40=FALSE,"",Cotations!DO40)</f>
        <v/>
      </c>
      <c r="SP40" s="517" t="str">
        <f>IF(A40=FALSE,"",IF(SM40="N/A",0,IF(INDEX(LISTES!$F$105:$F$109,MATCH(SM40,LISTES!$C$105:$C$109,0))="FIX",IF(INDEX(LISTES!$E$105:$E$109,MATCH(SM40,LISTES!$C$105:$C$109,0))=12,SN40/12*L40,SN40/365*M40),SO40*SL40)))</f>
        <v/>
      </c>
      <c r="SQ40" s="294" t="str">
        <f t="shared" si="379"/>
        <v/>
      </c>
      <c r="SR40" s="494" t="str">
        <f>IF(A40=FALSE,"",SQ40*Cotations!DP40)</f>
        <v/>
      </c>
      <c r="SS40" s="494" t="str">
        <f>IF(A40=FALSE,"",SQ40*Cotations!DQ40)</f>
        <v/>
      </c>
      <c r="ST40" s="338" t="str">
        <f t="shared" si="380"/>
        <v/>
      </c>
      <c r="SU40" s="919" t="str">
        <f>IF(A40=FALSE,"",((SG40*TAXE)-(SG40*TAXE*SI40))+IF(SM40="N/A",0,IF(INDEX(LISTES!$F$105:$F$109,MATCH(SM40,LISTES!$C$105:$C$109,0))="FIX",SN40,SO40*SL40)))</f>
        <v/>
      </c>
      <c r="TA40" s="492" t="str">
        <f>IF(A40=FALSE,"",Cotations!D40)</f>
        <v/>
      </c>
      <c r="TB40" s="491" t="str">
        <f>IF(A40=FALSE,"",IF(LISTES!$A$17=1,Cotations!DR40,Cotations!DS40))</f>
        <v/>
      </c>
      <c r="TC40" s="285" t="str">
        <f t="shared" si="381"/>
        <v/>
      </c>
      <c r="TD40" s="300" t="str">
        <f>IF(A40=FALSE,"",Detail!CQ40)</f>
        <v/>
      </c>
      <c r="TE40" s="461" t="str">
        <f t="shared" si="382"/>
        <v/>
      </c>
      <c r="TF40" s="490" t="str">
        <f>IF(A40=FALSE,"",IF(TA40="FIXE",Cotations!DU40,Cotations!DV40*Y40))</f>
        <v/>
      </c>
      <c r="TG40" s="300" t="str">
        <f t="shared" si="383"/>
        <v/>
      </c>
      <c r="TH40" s="522" t="str">
        <f>IF(A40=FALSE,"",IF(Cotations!DT40="monthly",TG40/12*L40,TG40/365*M40))</f>
        <v/>
      </c>
      <c r="TI40" s="489" t="str">
        <f>IF(A40=FALSE,"",IF(Cotations!DW40="","",Cotations!DW40))</f>
        <v/>
      </c>
      <c r="TJ40" s="300" t="str">
        <f t="shared" si="384"/>
        <v/>
      </c>
      <c r="TK40" s="300" t="str">
        <f t="shared" si="385"/>
        <v/>
      </c>
      <c r="TL40" s="919" t="str">
        <f t="shared" si="386"/>
        <v/>
      </c>
      <c r="TM40" s="517" t="str">
        <f>IF(A40=FALSE,"",Cotations!DX40)</f>
        <v/>
      </c>
      <c r="TN40" s="517" t="str">
        <f>IF(A40=FALSE,"",Cotations!DY40)</f>
        <v/>
      </c>
      <c r="TO40" s="493" t="str">
        <f>IF(A40=FALSE,"",Cotations!DZ40)</f>
        <v/>
      </c>
      <c r="TP40" s="517" t="str">
        <f>IF(A40=FALSE,"",IF(TM40="N/A",0,IF(INDEX(LISTES!$F$105:$F$109,MATCH(TM40,LISTES!$C$105:$C$109,0))="FIX",IF(INDEX(LISTES!$E$105:$E$109,MATCH(TM40,LISTES!$C$105:$C$109,0))=12,TN40/12*L40,TN40/365*M40),TO40*TL40)))</f>
        <v/>
      </c>
      <c r="TQ40" s="294" t="str">
        <f t="shared" si="387"/>
        <v/>
      </c>
      <c r="TR40" s="494" t="str">
        <f>IF(A40=FALSE,"",TQ40*Cotations!EA40)</f>
        <v/>
      </c>
      <c r="TS40" s="494" t="str">
        <f>IF(A40=FALSE,"",TQ40*Cotations!EB40)</f>
        <v/>
      </c>
      <c r="TT40" s="338" t="str">
        <f t="shared" si="388"/>
        <v/>
      </c>
      <c r="TU40" s="919" t="str">
        <f>IF(A40=FALSE,"",((TG40*(1+TAXE)-(TG40*(1+TAXE)*TI40))+IF(TM40="N/A",0,IF(INDEX(LISTES!$F$105:$F$109,MATCH(TM40,LISTES!$C$105:$C$109,0))="FIX",TN40,TO40*TL40))))</f>
        <v/>
      </c>
      <c r="UA40" s="492" t="str">
        <f>IF(A40=FALSE,"",Cotations!D40)</f>
        <v/>
      </c>
      <c r="UB40" s="491" t="str">
        <f>IF(A40=FALSE,"",IF(LISTES!$A$17=1,Cotations!EC40,Cotations!ED40))</f>
        <v/>
      </c>
      <c r="UC40" s="285" t="str">
        <f t="shared" si="389"/>
        <v/>
      </c>
      <c r="UD40" s="300" t="str">
        <f>IF(A40=FALSE,"",Detail!CY40)</f>
        <v/>
      </c>
      <c r="UE40" s="461" t="str">
        <f t="shared" si="390"/>
        <v/>
      </c>
      <c r="UF40" s="490" t="str">
        <f>IF(A40=FALSE,"",IF(UA40="FIXE",Cotations!EF40,Cotations!EG40*Y40))</f>
        <v/>
      </c>
      <c r="UG40" s="300" t="str">
        <f t="shared" si="391"/>
        <v/>
      </c>
      <c r="UH40" s="522" t="str">
        <f>IF(A40=FALSE,"",IF(Cotations!EE40="monthly",UG40/12*L40,UG40/365*M40))</f>
        <v/>
      </c>
      <c r="UI40" s="489" t="str">
        <f>IF(A40=FALSE,"",IF(Cotations!EH40="","",Cotations!EH40))</f>
        <v/>
      </c>
      <c r="UJ40" s="300" t="str">
        <f t="shared" si="392"/>
        <v/>
      </c>
      <c r="UK40" s="300" t="str">
        <f t="shared" si="393"/>
        <v/>
      </c>
      <c r="UL40" s="919" t="str">
        <f t="shared" si="394"/>
        <v/>
      </c>
      <c r="UM40" s="517" t="str">
        <f>IF(A40=FALSE,"",Cotations!EI40)</f>
        <v/>
      </c>
      <c r="UN40" s="517" t="str">
        <f>IF(A40=FALSE,"",Cotations!EJ40)</f>
        <v/>
      </c>
      <c r="UO40" s="493" t="str">
        <f>IF(A40=FALSE,"",Cotations!EK40)</f>
        <v/>
      </c>
      <c r="UP40" s="517" t="str">
        <f>IF(A40=FALSE,"",IF(UM40="N/A",0,IF(INDEX(LISTES!$F$105:$F$109,MATCH(UM40,LISTES!$C$105:$C$109,0))="FIX",IF(INDEX(LISTES!$E$105:$E$109,MATCH(UM40,LISTES!$C$105:$C$109,0))=12,UN40/12*L40,UN40/365*M40),UO40*UL40)))</f>
        <v/>
      </c>
      <c r="UQ40" s="294" t="str">
        <f t="shared" si="395"/>
        <v/>
      </c>
      <c r="UR40" s="494" t="str">
        <f>IF(A40=FALSE,"",UQ40*Cotations!EL40)</f>
        <v/>
      </c>
      <c r="US40" s="494" t="str">
        <f>IF(A40=FALSE,"",UQ40*Cotations!EM40)</f>
        <v/>
      </c>
      <c r="UT40" s="338" t="str">
        <f t="shared" si="396"/>
        <v/>
      </c>
      <c r="UU40" s="919" t="str">
        <f>IF(A40=FALSE,"",((UG40*(1+TAXE)-(UG40*(1+TAXE)*UI40))+IF(UM40="N/A",0,IF(INDEX(LISTES!$F$105:$F$109,MATCH(UM40,LISTES!$C$105:$C$109,0))="FIX",UN40,UO40*UL40))))</f>
        <v/>
      </c>
      <c r="VA40" s="492" t="str">
        <f>IF(A40=FALSE,"",Cotations!D40)</f>
        <v/>
      </c>
      <c r="VB40" s="519" t="str">
        <f>IF(A40=FALSE,"",IF(LISTES!$A$17=1,Cotations!EN40,Cotations!EO40))</f>
        <v/>
      </c>
      <c r="VC40" s="291" t="str">
        <f t="shared" si="397"/>
        <v/>
      </c>
      <c r="VD40" s="291" t="str">
        <f t="shared" si="398"/>
        <v/>
      </c>
      <c r="VE40" s="291"/>
      <c r="VF40" s="463"/>
      <c r="VG40" s="463" t="str">
        <f t="shared" si="399"/>
        <v/>
      </c>
      <c r="VH40" s="522" t="str">
        <f>IF(A40=FALSE,"",IF(Cotations!$AQ$4="monthly",VG40/12*L40,VG40/365*M40))</f>
        <v/>
      </c>
      <c r="VI40" s="489" t="str">
        <f>IF(A40=FALSE,"",Cotations!$AR$4)</f>
        <v/>
      </c>
      <c r="VJ40" s="300" t="str">
        <f t="shared" si="400"/>
        <v/>
      </c>
      <c r="VK40" s="300" t="str">
        <f t="shared" si="401"/>
        <v/>
      </c>
      <c r="VL40" s="294" t="str">
        <f t="shared" si="402"/>
        <v/>
      </c>
      <c r="VM40" s="494" t="str">
        <f>IF(A40=FALSE,"",Cotations!$AS$4)</f>
        <v/>
      </c>
      <c r="VN40" s="494" t="str">
        <f>IF(A40=FALSE,"",Cotations!$AT$4)</f>
        <v/>
      </c>
      <c r="VO40" s="489" t="str">
        <f>IF(A40=FALSE,"",Cotations!$AU$4)</f>
        <v/>
      </c>
      <c r="VP40" s="494" t="str">
        <f>IF(A40=FALSE,"",IF(VM40="N/A",0,IF(INDEX(LISTES!$F$105:$F$109,MATCH(VM40,LISTES!$C$105:$C$109,0))="FIX",IF(INDEX(LISTES!$E$105:$E$109,MATCH(VM40,LISTES!$C$105:$C$109,0))=12,VN40/12*L40,VN40/365*M40),VO40*VL40)))</f>
        <v/>
      </c>
      <c r="VQ40" s="294" t="str">
        <f t="shared" si="403"/>
        <v/>
      </c>
      <c r="VR40" s="494" t="str">
        <f>IF(A40=FALSE,"",VQ40*Cotations!$AV$4)</f>
        <v/>
      </c>
      <c r="VS40" s="494" t="str">
        <f>IF(A40=FALSE,"",VQ40*Cotations!$AW$4)</f>
        <v/>
      </c>
      <c r="VT40" s="465" t="str">
        <f t="shared" si="404"/>
        <v/>
      </c>
      <c r="VU40" s="919" t="str">
        <f>IF(A40=FALSE,"",((VG40*TAXE)-(VG40*TAXE*VI40))+IF(VM40="N/A",0,IF(INDEX(LISTES!$F$105:$F$109,MATCH(VM40,LISTES!$C$105:$C$109,0))="FIX",VN40,VO40*VL40)))</f>
        <v/>
      </c>
      <c r="WA40" s="492" t="str">
        <f>IF(A40=FALSE,"",Cotations!D40)</f>
        <v/>
      </c>
      <c r="WB40" s="519" t="str">
        <f>IF(A40=FALSE,"",IF(LISTES!$A$17=1,Cotations!EW40,Cotations!EX40))</f>
        <v/>
      </c>
      <c r="WC40" s="291" t="str">
        <f t="shared" si="405"/>
        <v/>
      </c>
      <c r="WD40" s="291" t="str">
        <f t="shared" si="406"/>
        <v/>
      </c>
      <c r="WE40" s="291"/>
      <c r="WF40" s="463"/>
      <c r="WG40" s="463" t="str">
        <f t="shared" si="407"/>
        <v/>
      </c>
      <c r="WH40" s="522" t="str">
        <f>IF(A40=FALSE,"",IF(Cotations!$AQ$4="monthly",WG40/12*L40,WG40/365*M40))</f>
        <v/>
      </c>
      <c r="WI40" s="489" t="str">
        <f>IF(A40=FALSE,"",Cotations!$AR$4)</f>
        <v/>
      </c>
      <c r="WJ40" s="300" t="str">
        <f t="shared" si="408"/>
        <v/>
      </c>
      <c r="WK40" s="300" t="str">
        <f t="shared" si="409"/>
        <v/>
      </c>
      <c r="WL40" s="294" t="str">
        <f t="shared" si="410"/>
        <v/>
      </c>
      <c r="WM40" s="494" t="str">
        <f>IF(A40=FALSE,"",Cotations!$AS$4)</f>
        <v/>
      </c>
      <c r="WN40" s="494" t="str">
        <f>IF(A40=FALSE,"",Cotations!$AT$4)</f>
        <v/>
      </c>
      <c r="WO40" s="489" t="str">
        <f>IF(A40=FALSE,"",Cotations!$AU$4)</f>
        <v/>
      </c>
      <c r="WP40" s="494" t="str">
        <f>IF(A40=FALSE,"",IF(WM40="N/A",0,IF(INDEX(LISTES!$F$105:$F$109,MATCH(WM40,LISTES!$C$105:$C$109,0))="FIX",IF(INDEX(LISTES!$E$105:$E$109,MATCH(WM40,LISTES!$C$105:$C$109,0))=12,WN40/12*L40,WN40/365*M40),WO40*WL40)))</f>
        <v/>
      </c>
      <c r="WQ40" s="294" t="str">
        <f t="shared" si="411"/>
        <v/>
      </c>
      <c r="WR40" s="494" t="str">
        <f>IF(A40=FALSE,"",WQ40*Cotations!$AV$4)</f>
        <v/>
      </c>
      <c r="WS40" s="494" t="str">
        <f>IF(A40=FALSE,"",WQ40*Cotations!$AW$4)</f>
        <v/>
      </c>
      <c r="WT40" s="465" t="str">
        <f t="shared" si="412"/>
        <v/>
      </c>
      <c r="WU40" s="919" t="str">
        <f>IF(A40=FALSE,"",((WG40*TAXE)-(WG40*TAXE*WI40))+IF(WM40="N/A",0,IF(INDEX(LISTES!$F$105:$F$109,MATCH(WM40,LISTES!$C$105:$C$109,0))="FIX",WN40,WO40*WL40)))</f>
        <v/>
      </c>
    </row>
    <row r="41" spans="1:619">
      <c r="A41" s="942" t="b">
        <f t="shared" si="221"/>
        <v>0</v>
      </c>
      <c r="B41" s="942" t="b">
        <f>IF(NAMES!$B$9=TRUE,TRUE,FALSE)</f>
        <v>1</v>
      </c>
      <c r="C41" s="942" t="b">
        <f t="shared" si="413"/>
        <v>0</v>
      </c>
      <c r="D41" s="942" t="b">
        <f t="shared" si="414"/>
        <v>0</v>
      </c>
      <c r="E41" s="274" t="b">
        <f>IF(Cotations!C41="","",Cotations!C41)</f>
        <v>0</v>
      </c>
      <c r="F41" s="274" t="str">
        <f>IF(Cotations!D41="","",Cotations!D41)</f>
        <v>PROP</v>
      </c>
      <c r="G41" s="274" t="str">
        <f>IF(Cotations!E41="","",Cotations!E41)</f>
        <v>2016-2017!</v>
      </c>
      <c r="H41" s="274" t="str">
        <f>IF(Cotations!F41="","",Cotations!F41)</f>
        <v>SINGLE</v>
      </c>
      <c r="I41" s="274" t="str">
        <f>IF(Cotations!G41="","",Cotations!G41)</f>
        <v/>
      </c>
      <c r="J41" s="274" t="str">
        <f>IF(Cotations!H41="","",Cotations!H41)</f>
        <v/>
      </c>
      <c r="K41" s="274" t="str">
        <f>IF(Cotations!I41="","",Cotations!I41)</f>
        <v/>
      </c>
      <c r="L41" s="274" t="str">
        <f>IF(A41=FALSE,"",IF(Cotations!N41="","",Cotations!N41))</f>
        <v/>
      </c>
      <c r="M41" s="274" t="str">
        <f>IF(Cotations!P41="","",Cotations!P41)</f>
        <v/>
      </c>
      <c r="N41" s="724" t="str">
        <f>IF(NAMES!$B$10=TRUE,Cotations!J41,Cotations!L41)</f>
        <v/>
      </c>
      <c r="O41" s="724" t="str">
        <f>IF(NAMES!$B$10=TRUE,Cotations!K41,Cotations!M41)</f>
        <v/>
      </c>
      <c r="P41" s="943" t="str">
        <f t="shared" si="415"/>
        <v/>
      </c>
      <c r="Q41" s="724" t="str">
        <f>IF(A41=FALSE,"",IF(Crewlist!Y41="","",Crewlist!Y41))</f>
        <v/>
      </c>
      <c r="R41" s="78" t="str">
        <f>IF(Cotations!U41="","",Cotations!U41)</f>
        <v/>
      </c>
      <c r="S41" s="943" t="str">
        <f t="shared" si="416"/>
        <v/>
      </c>
      <c r="T41" s="919" t="str">
        <f>IF(A41=FALSE,"",VLOOKUP($U$15:$U$120,Currency!$A$2:$D$10,4,0)*Crewlist!N41)</f>
        <v/>
      </c>
      <c r="U41" s="1355" t="str">
        <f>IF(A41=FALSE,"",IF(IT41=0,Crewlist!M41&amp;"/"&amp;EX41,Crewlist!M41&amp;"/"&amp;IT41))</f>
        <v/>
      </c>
      <c r="V41" s="919" t="str">
        <f>IF(A41=FALSE,"",VLOOKUP($U$15:$U$120,Currency!$A$2:$D$10,4,0)*Detail!Q41)</f>
        <v/>
      </c>
      <c r="W41" s="1355" t="str">
        <f>IF(A41=FALSE,"",IF(IT41=0,Detail!R41&amp;"/"&amp;EX41,Detail!R41&amp;"/"&amp;IT41))</f>
        <v/>
      </c>
      <c r="X41" s="919" t="str">
        <f>IF(A41=FALSE,"",IF(LISTES!$C$17="Crewlist",Calcul!T41,Calcul!V41))</f>
        <v/>
      </c>
      <c r="Y41" s="758" t="str">
        <f t="shared" si="417"/>
        <v/>
      </c>
      <c r="Z41" s="758" t="str">
        <f>IF(A41=FALSE,"",IF(X41=0,0,IF((Cotations!BC41*12*X41)&lt;50000,50000,(12*X41))))</f>
        <v/>
      </c>
      <c r="AA41" s="758" t="str">
        <f t="shared" si="418"/>
        <v/>
      </c>
      <c r="AB41" s="758" t="str">
        <f>IF(A41=FALSE,"",IF(Crewlist!O41=0,"",Crewlist!O41))</f>
        <v/>
      </c>
      <c r="AC41" s="758" t="str">
        <f>IF(I41="","",VLOOKUP($AB$15:$AB$120,Currency!$A$15:$B$34,2,0))</f>
        <v/>
      </c>
      <c r="AD41" s="758" t="str">
        <f t="shared" si="419"/>
        <v/>
      </c>
      <c r="AE41" s="758" t="str">
        <f t="shared" si="420"/>
        <v/>
      </c>
      <c r="AF41" s="758" t="str">
        <f t="shared" si="421"/>
        <v/>
      </c>
      <c r="AG41" s="758" t="str">
        <f t="shared" si="422"/>
        <v/>
      </c>
      <c r="AH41" s="1355" t="str">
        <f t="shared" si="222"/>
        <v/>
      </c>
      <c r="AI41" s="919" t="str">
        <f t="shared" si="423"/>
        <v/>
      </c>
      <c r="AJ41" s="1382" t="str">
        <f t="shared" si="424"/>
        <v/>
      </c>
      <c r="AK41" s="1382" t="str">
        <f t="shared" si="425"/>
        <v/>
      </c>
      <c r="AL41" s="238" t="str">
        <f t="shared" si="223"/>
        <v/>
      </c>
      <c r="AM41" s="238" t="str">
        <f t="shared" si="224"/>
        <v/>
      </c>
      <c r="AN41" s="1374" t="str">
        <f t="shared" si="225"/>
        <v/>
      </c>
      <c r="AO41" s="238" t="str">
        <f t="shared" si="226"/>
        <v/>
      </c>
      <c r="AP41" s="342" t="str">
        <f>IF(A41=FALSE,"",INDEX(Rates!$Z$5:$Z$367,MATCH(EB41,colchoice,0)))</f>
        <v/>
      </c>
      <c r="AQ41" s="238" t="str">
        <f t="shared" si="227"/>
        <v/>
      </c>
      <c r="AR41" s="238" t="str">
        <f t="shared" si="426"/>
        <v/>
      </c>
      <c r="AS41" s="238" t="str">
        <f t="shared" si="427"/>
        <v/>
      </c>
      <c r="AT41" s="238" t="str">
        <f t="shared" si="428"/>
        <v/>
      </c>
      <c r="AU41" s="238" t="str">
        <f t="shared" si="228"/>
        <v/>
      </c>
      <c r="AV41" s="238" t="str">
        <f t="shared" si="429"/>
        <v/>
      </c>
      <c r="AW41" s="238" t="str">
        <f t="shared" si="229"/>
        <v/>
      </c>
      <c r="AX41" s="238" t="str">
        <f t="shared" si="230"/>
        <v/>
      </c>
      <c r="AY41" s="238" t="str">
        <f t="shared" si="231"/>
        <v/>
      </c>
      <c r="AZ41" s="238" t="str">
        <f t="shared" si="232"/>
        <v/>
      </c>
      <c r="BA41" s="238" t="str">
        <f t="shared" si="233"/>
        <v/>
      </c>
      <c r="BB41" s="552" t="str">
        <f t="shared" si="234"/>
        <v/>
      </c>
      <c r="BC41" s="347" t="str">
        <f t="shared" si="235"/>
        <v/>
      </c>
      <c r="BD41" s="239" t="str">
        <f t="shared" si="430"/>
        <v/>
      </c>
      <c r="BE41" s="239" t="str">
        <f>IF(A41=FALSE,"",IF(ALLTHESAME=TRUE,IF(DF41&lt;&gt;$BC$7,0,INDEX(DD41:DZ41,1,MATCH(Structure!$D$12,$DD$14:$DZ$14,0))),IF(EC41&lt;&gt;$BC$7,0,INDEX(EA41:EZ41,1,MATCH(Structure!$D$12,$EA$14:$EZ$14,0)))))</f>
        <v/>
      </c>
      <c r="BF41" s="239" t="str">
        <f>IF(A41=FALSE,"",IF(ALLTHESAME=TRUE,IF(FC41&lt;&gt;$BC$7,0,INDEX(FA41:FZ41,1,MATCH(Structure!$D$12,$FA$14:$FZ$14,0))),IF(GC41&lt;&gt;$BC$7,0,INDEX(GA41:GZ41,1,MATCH(Structure!$D$12,$GA$14:$GZ$14,0)))))</f>
        <v/>
      </c>
      <c r="BG41" s="239" t="str">
        <f>IF(A41=FALSE,"",IF(ALLTHESAME=TRUE,IF(VC41&lt;&gt;$BC$7,0,INDEX(VA41:VZ41,1,MATCH(Structure!$D$12,$VA$14:$VZ$14,0))),IF(VC41&lt;&gt;$BC$7,0,INDEX(VA41:VZ41,1,MATCH(Structure!$D$12,$VA$14:$VZ$14,0)))))</f>
        <v/>
      </c>
      <c r="BH41" s="239" t="str">
        <f>IF(A41=FALSE,"",IF(ALLTHESAME=TRUE,IF(WC41&lt;&gt;$BC$7,0,INDEX(WA41:WY41,1,MATCH(Structure!$D$12,$WA$14:$WZ$14,0))),IF(WC41&lt;&gt;$BC$7,0,INDEX(WA41:WZ41,1,MATCH(Structure!$D$12,$WA$14:$WZ$14,0)))))</f>
        <v/>
      </c>
      <c r="BI41" s="763" t="str">
        <f>IF(A41=FALSE,"",IF(ALLTHESAME=TRUE,IF(HC41&lt;&gt;$BC$7,0,INDEX(HA41:HZ41,1,MATCH(Structure!$D$12,$HA$14:$HZ$14,0)))+TK41,IF(IC41&lt;&gt;$BC$7,0,INDEX(IA41:IZ41,1,MATCH(Structure!$D$12,$IA$14:$IZ$14,0)))+TK41))</f>
        <v/>
      </c>
      <c r="BJ41" s="239" t="str">
        <f>IF(A41=FALSE,"",IF(ALLTHESAME=TRUE,IF(JC41&lt;&gt;$BC$7,0,INDEX(JA41:JZ41,1,MATCH(Structure!$D$12,$JA$14:$JZ$14,0))),IF(KC41&lt;&gt;$BC$7,0,INDEX(KA41:KZ41,1,MATCH(Structure!$D$12,$KA$14:$KZ$14,0)))))</f>
        <v/>
      </c>
      <c r="BK41" s="763" t="str">
        <f>IF(A41=FALSE,"",IF(ALLTHESAME=TRUE,IF(LC41&lt;&gt;$BC$7,0,INDEX(LA41:LZ41,1,MATCH(Structure!$D$12,$LA$14:$LZ$14,0)))+UK41,IF(MC41&lt;&gt;$BC$7,0,INDEX(MA41:MZ41,1,MATCH(Structure!$D$12,$MA$14:$MZ$14,0)))+UK41))</f>
        <v/>
      </c>
      <c r="BL41" s="239" t="str">
        <f>IF(A41=FALSE,"",IF(ALLTHESAME=TRUE,IF(NC41&lt;&gt;$BC$7,0,INDEX(NA41:NZ41,1,MATCH(Structure!$D$12,$NA$14:$NZ$14,0))),IF(OC41&lt;&gt;$BC$7,0,INDEX(OA41:OZ41,1,MATCH(Structure!$D$12,$OA$14:$OZ$14,0)))))</f>
        <v/>
      </c>
      <c r="BM41" s="239" t="str">
        <f>IF(A41=FALSE,"",IF(ALLTHESAME=TRUE,IF(PC41&lt;&gt;$BC$7,0,INDEX(PA41:PZ41,1,MATCH(Structure!$D$12,$PA$14:$PZ$14,0))),IF(QC41&lt;&gt;$BC$7,0,INDEX(QA41:QZ41,1,MATCH(Structure!$D$12,$QA$14:$QZ$14,0)))))</f>
        <v/>
      </c>
      <c r="BN41" s="341" t="str">
        <f>IF(A41=FALSE,"",IF(ALLTHESAME=TRUE,IF(RC41&lt;&gt;$BC$7,0,INDEX(RA41:RZ41,1,MATCH(Structure!$D$12,$RA$14:$RZ$14,0))),IF(SC41&lt;&gt;$BC$7,0,INDEX(SA41:TA41,1,MATCH(Structure!$D$12,$SA$14:$TA$14,0)))))</f>
        <v/>
      </c>
      <c r="BO41" s="507" t="str">
        <f t="shared" si="236"/>
        <v/>
      </c>
      <c r="BP41" s="239" t="str">
        <f t="shared" si="237"/>
        <v/>
      </c>
      <c r="BQ41" s="239" t="str">
        <f>IF(A41=FALSE,"",IF(ALLTHESAME=TRUE,IF(DF41&lt;&gt;$BO$7,0,INDEX(DD41:DZ41,1,MATCH(Structure!$D$12,$DD$14:$DZ$14,0))),IF(EC41&lt;&gt;$BO$7,0,INDEX(EA41:EZ41,1,MATCH(Structure!$D$12,$EA$14:$EZ$14,0)))))</f>
        <v/>
      </c>
      <c r="BR41" s="239" t="str">
        <f>IF(A41=FALSE,"",IF(ALLTHESAME=TRUE,IF(FC41&lt;&gt;$BO$7,0,INDEX(FA41:FZ41,1,MATCH(Structure!$D$12,$FA$14:$FZ$14,0))),IF(GC41&lt;&gt;$BO$7,0,INDEX(GA41:GZ41,1,MATCH(Structure!$D$12,$GA$14:$GZ$14,0)))))</f>
        <v/>
      </c>
      <c r="BS41" s="239" t="str">
        <f>IF(A41=FALSE,"",IF(ALLTHESAME=TRUE,IF(HC41&lt;&gt;$BO$7,0,INDEX(HA41:HZ41,1,MATCH(Structure!$D$12,$HA$14:$HZ$14,0))),IF(IC41&lt;&gt;$BO$7,0,INDEX(IA41:IZ41,1,MATCH(Structure!$D$12,$IA$14:$IZ$14,0)))))</f>
        <v/>
      </c>
      <c r="BT41" s="239" t="str">
        <f>IF(A41=FALSE,"",IF(ALLTHESAME=TRUE,IF(JC41&lt;&gt;$BO$7,0,INDEX(JA41:JZ41,1,MATCH(Structure!$D$12,$JA$14:$JZ$14,0))),IF(KC41&lt;&gt;$BO$7,0,INDEX(KA41:KZ41,1,MATCH(Structure!$D$12,$KA$14:$KZ$14,0)))))</f>
        <v/>
      </c>
      <c r="BU41" s="239" t="str">
        <f>IF(A41=FALSE,"",IF(ALLTHESAME=TRUE,IF(LC41&lt;&gt;$BO$7,0,INDEX(LA41:LZ41,1,MATCH(Structure!$D$12,$LA$14:$LZ$14,0))),IF(MC41&lt;&gt;$BO$7,0,INDEX(MA41:MZ41,1,MATCH(Structure!$D$12,$MA$14:$MZ$14,0)))))</f>
        <v/>
      </c>
      <c r="BV41" s="239" t="str">
        <f>IF(A41=FALSE,"",IF(ALLTHESAME=TRUE,IF(NC41&lt;&gt;$BO$7,0,INDEX(NA41:NZ41,1,MATCH(Structure!$D$12,$NA$14:$NZ$14,0))),IF(OC41&lt;&gt;$BO$7,0,INDEX(OA41:OZ41,1,MATCH(Structure!$D$12,$OA$14:$OZ$14,0)))))</f>
        <v/>
      </c>
      <c r="BW41" s="239" t="str">
        <f>IF(A41=FALSE,"",IF(ALLTHESAME=TRUE,IF(PC41&lt;&gt;$BO$7,0,INDEX(PA41:PZ41,1,MATCH(Structure!$D$12,$PA$14:$PZ$14,0))),IF(QC41&lt;&gt;$BO$7,0,INDEX(QA41:QZ41,1,MATCH(Structure!$D$12,$QA$14:$QZ$14,0)))))</f>
        <v/>
      </c>
      <c r="BX41" s="341" t="str">
        <f>IF(A41=FALSE,"",IF(ALLTHESAME=TRUE,IF(RC41&lt;&gt;$BO$7,0,INDEX(RA41:RZ41,1,MATCH(Structure!$D$12,$RA$14:$RZ$14,0))),IF(SC41&lt;&gt;$BO$7,0,INDEX(SA41:TA41,1,MATCH(Structure!$D$12,$SA$14:$TA$14,0)))))</f>
        <v/>
      </c>
      <c r="BY41" s="347" t="str">
        <f t="shared" si="238"/>
        <v/>
      </c>
      <c r="BZ41" s="507" t="str">
        <f t="shared" si="239"/>
        <v/>
      </c>
      <c r="CA41" s="239" t="str">
        <f t="shared" si="240"/>
        <v/>
      </c>
      <c r="CB41" s="239" t="str">
        <f>IF(A41=FALSE,"",IF(ALLTHESAME=TRUE,INDEX(DD41:DZ41,MATCH(DF41,DF41:DF146,0),MATCH(Structure!$D$17,$DD$14:$DZ$14,0)),INDEX(EA41:EZ41,MATCH(EC41,EC41:EC146,0),MATCH(Structure!$D$17,$EA$14:$EZ$14,0))))</f>
        <v/>
      </c>
      <c r="CC41" s="239" t="str">
        <f>IF(A41=FALSE,"",IF(ALLTHESAME=TRUE,INDEX(FA41:FZ41,MATCH(FC41,FC41:FC146,0),MATCH(Structure!$D$17,$FA$14:$FZ$14,0)),INDEX(GA41:GZ41,MATCH(GC41,GC41:GC146,0),MATCH(Structure!$D$17,$GA$14:$GZ$14,0))))</f>
        <v/>
      </c>
      <c r="CD41" s="239" t="str">
        <f>IF(A41=FALSE,"",IF(ALLTHESAME=TRUE,INDEX(HA41:HZ41,MATCH(HC41,HC41:HC146,0),MATCH(Structure!$D$17,$HA$14:$HZ$14,0)),INDEX(IA41:IZ41,MATCH(IC41,IC41:IC146,0),MATCH(Structure!$D$17,$IA$14:$IZ$14,0))))</f>
        <v/>
      </c>
      <c r="CE41" s="239" t="str">
        <f>IF(A41=FALSE,"",IF(ALLTHESAME=TRUE,INDEX(JA41:JZ41,MATCH(JC41,JC41:JC146,0),MATCH(Structure!$D$17,$JA$14:$JZ$14,0)),INDEX(KA41:KZ41,MATCH(KC41,KC41:KC146,0),MATCH(Structure!$D$17,$KA$14:$KZ$14,0))))</f>
        <v/>
      </c>
      <c r="CF41" s="239" t="str">
        <f>IF(A41=FALSE,"",IF(ALLTHESAME=TRUE,INDEX(LA41:LZ41,MATCH(LC41,LC41:LC146,0),MATCH(Structure!$D$17,$LA$14:$LZ$14,0)),INDEX(MA41:MZ41,MATCH(MC41,MC41:MC146,0),MATCH(Structure!$D$17,$MA$14:$MZ$14,0))))</f>
        <v/>
      </c>
      <c r="CG41" s="239" t="str">
        <f>IF(A41=FALSE,"",IF(ALLTHESAME=TRUE,INDEX(NA41:NZ41,MATCH(NC41,NC41:NC146,0),MATCH(Structure!$D$17,$NA$14:$NZ$14,0)),INDEX(OA41:OZ41,MATCH(OC41,OC41:OC146,0),MATCH(Structure!$D$17,$OA$14:$OZ$14,0))))</f>
        <v/>
      </c>
      <c r="CH41" s="239" t="str">
        <f>IF(A41=FALSE,"",IF(ALLTHESAME=TRUE,INDEX(PA41:PZ41,MATCH(PC41,PC41:PC146,0),MATCH(Structure!$D$17,$PA$14:$PZ$14,0)),INDEX(QA41:QZ41,MATCH(QC41,QC41:QC146,0),MATCH(Structure!$D$17,$QA$14:$QZ$14,0))))</f>
        <v/>
      </c>
      <c r="CI41" s="341" t="str">
        <f>IF(A41=FALSE,"",IF(ALLTHESAME=TRUE,INDEX(RA41:RZ41,MATCH(RC41,RC41:RC146,0),MATCH(Structure!$D$17,$RA$14:$RZ$14,0)),INDEX(SA41:TC41,MATCH(SC41,SC41:SC146,0),MATCH(Structure!$D$17,$SA$14:$TC$14,0))))</f>
        <v/>
      </c>
      <c r="CJ41" s="347"/>
      <c r="CK41" s="239" t="str">
        <f t="shared" si="241"/>
        <v/>
      </c>
      <c r="CL41" s="239" t="str">
        <f>IF(A41=FALSE,"",IF(ALLTHESAME=TRUE,INDEX(DD41:DZ41,MATCH(DF41,DF41:DF146,0),MATCH(Structure!$D$22,$DD$14:$DZ$14,0)),INDEX(EA41:EZ41,MATCH(EC41,EC41:EC146,0),MATCH(Structure!$D$22,$EA$14:$EZ$14,0))))</f>
        <v/>
      </c>
      <c r="CM41" s="239" t="str">
        <f>IF(A41=FALSE,"",IF(ALLTHESAME=TRUE,INDEX(FA41:FZ41,MATCH(FC41,FC41:FC146,0),MATCH(Structure!$D$22,$FA$14:$FZ$14,0)),INDEX(GA41:GZ41,MATCH(GC41,GC41:GC146,0),MATCH(Structure!$D$22,$GA$14:$GZ$14,0))))</f>
        <v/>
      </c>
      <c r="CN41" s="239" t="str">
        <f>IF(A41=FALSE,"",IF(ALLTHESAME=TRUE,INDEX(HA41:HZ41,MATCH(HC41,HC41:HC146,0),MATCH(Structure!$D$22,$HA$14:$HZ$14,0)),INDEX(IA41:IZ41,MATCH(IC41,IC41:IC146,0),MATCH(Structure!$D$22,$IA$14:$IZ$14,0))))</f>
        <v/>
      </c>
      <c r="CO41" s="239" t="str">
        <f>IF(A41=FALSE,"",IF(ALLTHESAME=TRUE,INDEX(JA41:JZ41,MATCH(JC41,JC41:JC146,0),MATCH(Structure!$D$22,$JA$14:$JZ$14,0)),INDEX(KA41:KZ41,MATCH(KC41,KC41:KC146,0),MATCH(Structure!$D$22,$KA$14:$KZ$14,0))))</f>
        <v/>
      </c>
      <c r="CP41" s="239" t="str">
        <f>IF(A41=FALSE,"",IF(ALLTHESAME=TRUE,INDEX(LA41:LZ41,MATCH(LC41,LC41:LC146,0),MATCH(Structure!$D$22,$LA$14:$LZ$14,0)),INDEX(MA41:MZ41,MATCH(MC41,MC41:MC146,0),MATCH(Structure!$D$22,$MA$14:$MZ$14,0))))</f>
        <v/>
      </c>
      <c r="CQ41" s="239" t="str">
        <f>IF(A41=FALSE,"",IF(ALLTHESAME=TRUE,INDEX(NA41:NZ41,MATCH(NC41,NC41:NC146,0),MATCH(Structure!$D$22,$NA$14:$NZ$14,0)),INDEX(OA41:OZ41,MATCH(OC41,OC41:OC146,0),MATCH(Structure!$D$22,$OA$14:$OZ$14,0))))</f>
        <v/>
      </c>
      <c r="CR41" s="239" t="str">
        <f>IF(A41=FALSE,"",IF(ALLTHESAME=TRUE,INDEX(PA41:PZ41,MATCH(PC41,PC41:PC146,0),MATCH(Structure!$D$22,$PA$14:$PZ$14,0)),INDEX(QA41:QZ41,MATCH(QC41,QC41:QC146,0),MATCH(Structure!$D$22,$QA$14:$QZ$14,0))))</f>
        <v/>
      </c>
      <c r="CS41" s="341" t="str">
        <f>IF(A41=FALSE,"",IF(ALLTHESAME=TRUE,INDEX(RA41:RZ41,MATCH(RC41,RC41:RC146,0),MATCH(Structure!$D$22,$RA$14:$RZ$14,0)),INDEX(SA41:TC41,MATCH(SC41,SC41:SC146,0),MATCH(Structure!$D$22,$SA$14:$TC$14,0))))</f>
        <v/>
      </c>
      <c r="CT41" s="347"/>
      <c r="CU41" s="239" t="str">
        <f t="shared" si="242"/>
        <v/>
      </c>
      <c r="CV41" s="239" t="str">
        <f>IF(A41=FALSE,"",IF(ALLTHESAME=TRUE,INDEX(DD41:DZ41,MATCH(DF41,DF41:DF146,0),MATCH(Structure!$D$8,$DD$14:$DZ$14,0)),INDEX(EA41:EZ41,MATCH(EC41,EC41:EC146,0),MATCH(Structure!$D$8,$EA$14:$EZ$14,0))))</f>
        <v/>
      </c>
      <c r="CW41" s="239" t="str">
        <f>IF(A41=FALSE,"",IF(ALLTHESAME=TRUE,INDEX(FA41:FZ41,MATCH(FC41,FC41:FC146,0),MATCH(Structure!$D$8,$FA$14:$FZ$14,0)),INDEX(GA41:GZ41,MATCH(GC41,GC41:GC146,0),MATCH(Structure!$D$8,$GA$14:$GZ$14,0))))</f>
        <v/>
      </c>
      <c r="CX41" s="239" t="str">
        <f>IF(A41=FALSE,"",IF(ALLTHESAME=TRUE,INDEX(HA41:HZ41,MATCH(HC41,HC41:HC146,0),MATCH(Structure!$D$8,$HA$14:$HZ$14,0)),INDEX(IA41:IZ41,MATCH(IC41,IC41:IC146,0),MATCH(Structure!$D$8,$IA$14:$IZ$14,0))))</f>
        <v/>
      </c>
      <c r="CY41" s="239" t="str">
        <f>IF(A41=FALSE,"",IF(ALLTHESAME=TRUE,INDEX(JA41:JZ41,MATCH(JC41,JC41:JC146,0),MATCH(Structure!$D$8,$JA$14:$JZ$14,0)),INDEX(KA41:KZ41,MATCH(KC41,KC41:KC146,0),MATCH(Structure!$D$8,$KA$14:$KZ$14,0))))</f>
        <v/>
      </c>
      <c r="CZ41" s="239" t="str">
        <f>IF(A41=FALSE,"",IF(ALLTHESAME=TRUE,INDEX(LA41:LZ41,MATCH(LC41,LC41:LC146,0),MATCH(Structure!$D$8,$LA$14:$LZ$14,0)),INDEX(MA41:MZ41,MATCH(MC41,MC41:MC146,0),MATCH(Structure!$D$8,$MA$14:$MZ$14,0))))</f>
        <v/>
      </c>
      <c r="DA41" s="239" t="str">
        <f>IF(A41=FALSE,"",IF(ALLTHESAME=TRUE,INDEX(NA41:NZ41,MATCH(NC41,NC41:NC146,0),MATCH(Structure!$D$8,$NA$14:$NZ$14,0)),INDEX(OA41:OZ41,MATCH(OC41,OC41:OC146,0),MATCH(Structure!$D$8,$OA$14:$OZ$14,0))))</f>
        <v/>
      </c>
      <c r="DB41" s="239" t="str">
        <f>IF(A41=FALSE,"",IF(ALLTHESAME=TRUE,INDEX(PA41:PZ41,MATCH(PC41,PC41:PC146,0),MATCH(Structure!$D$8,$PA$14:$PZ$14,0)),INDEX(QA41:QZ41,MATCH(QC41,QC41:QC146,0),MATCH(Structure!$D$8,$QA$14:$QZ$14,0))))</f>
        <v/>
      </c>
      <c r="DC41" s="341" t="str">
        <f>IF(A41=FALSE,"",IF(ALLTHESAME=TRUE,INDEX(RA41:RZ41,MATCH(RC41,RC41:RC146,0),MATCH(Structure!$D$8,$RA$14:$RZ$14,0)),INDEX(SA41:TC41,MATCH(SC41,SC41:SC146,0),MATCH(Structure!$D$8,$SA$14:$TC$14,0))))</f>
        <v/>
      </c>
      <c r="DD41" s="492" t="str">
        <f>IF(A41=FALSE,"",Cotations!D41)</f>
        <v/>
      </c>
      <c r="DE41" s="492" t="str">
        <f>IF(A41=FALSE,"",IF(LISTES!$A$17=1,Cotations!AF41,Cotations!$AG$4))</f>
        <v/>
      </c>
      <c r="DF41" s="291" t="str">
        <f t="shared" si="431"/>
        <v/>
      </c>
      <c r="DG41" s="291" t="str">
        <f t="shared" si="243"/>
        <v/>
      </c>
      <c r="DH41" s="291"/>
      <c r="DI41" s="463"/>
      <c r="DJ41" s="463" t="str">
        <f t="shared" si="244"/>
        <v/>
      </c>
      <c r="DK41" s="522" t="str">
        <f>IF(A41=FALSE,"",IF(Cotations!$AH$4="monthly",DJ41/12*L41,DJ41/365*M41))</f>
        <v/>
      </c>
      <c r="DL41" s="489" t="str">
        <f>IF(A41=FALSE,"",Cotations!$AI$4)</f>
        <v/>
      </c>
      <c r="DM41" s="300" t="str">
        <f t="shared" si="245"/>
        <v/>
      </c>
      <c r="DN41" s="300" t="str">
        <f t="shared" si="246"/>
        <v/>
      </c>
      <c r="DO41" s="294" t="str">
        <f t="shared" si="247"/>
        <v/>
      </c>
      <c r="DP41" s="494" t="str">
        <f>IF(A41=FALSE,"",Cotations!$AJ$4)</f>
        <v/>
      </c>
      <c r="DQ41" s="494" t="str">
        <f>IF(A41=FALSE,"",Cotations!$AK$4)</f>
        <v/>
      </c>
      <c r="DR41" s="489" t="str">
        <f>IF(A41=FALSE,"",Cotations!$AL$4)</f>
        <v/>
      </c>
      <c r="DS41" s="494" t="str">
        <f>IF(A41=FALSE,"",IF(DP41="N/A",0,IF(INDEX(LISTES!$F$105:$F$109,MATCH(DP41,LISTES!$C$105:$C$109,0))="FIX",IF(INDEX(LISTES!$E$105:$E$109,MATCH(DP41,LISTES!$C$105:$C$109,0))=12,DQ41/12*L41,DQ41/365*M41),DR41*DO41)))</f>
        <v/>
      </c>
      <c r="DT41" s="294" t="str">
        <f t="shared" si="248"/>
        <v/>
      </c>
      <c r="DU41" s="294" t="str">
        <f>IF(A41=FALSE,"",DT41*Cotations!$AM$4)</f>
        <v/>
      </c>
      <c r="DV41" s="294" t="str">
        <f>IF(A41=FALSE,"",DT41*Cotations!$AN$4)</f>
        <v/>
      </c>
      <c r="DW41" s="465" t="str">
        <f t="shared" si="249"/>
        <v/>
      </c>
      <c r="DX41" s="919" t="str">
        <f>IF(A41=FALSE,"",((DJ41*TAXE)-(DJ41*TAXE*DL41))+IF(DP41="N/A",0,IF(INDEX(LISTES!$F$105:$F$109,MATCH(DP41,LISTES!$C$105:$C$109,0))="FIX",DQ41,DR41*DO41)))</f>
        <v/>
      </c>
      <c r="DY41" s="466"/>
      <c r="DZ41" s="466"/>
      <c r="EA41" s="492" t="str">
        <f>IF(A41=FALSE,"",Cotations!D41)</f>
        <v/>
      </c>
      <c r="EB41" s="494" t="str">
        <f>IF(A41=FALSE,"",IF(LISTES!$A$17=1,Cotations!AF41,Cotations!AG41))</f>
        <v/>
      </c>
      <c r="EC41" s="284" t="str">
        <f t="shared" si="250"/>
        <v/>
      </c>
      <c r="ED41" s="284" t="str">
        <f t="shared" si="251"/>
        <v/>
      </c>
      <c r="EE41" s="284"/>
      <c r="EF41" s="284"/>
      <c r="EG41" s="284" t="str">
        <f t="shared" si="252"/>
        <v/>
      </c>
      <c r="EH41" s="1365" t="str">
        <f t="shared" si="253"/>
        <v/>
      </c>
      <c r="EI41" s="1365" t="str">
        <f t="shared" si="254"/>
        <v/>
      </c>
      <c r="EJ41" s="515" t="str">
        <f>IF(A41=FALSE,"",IF(Cotations!AH41="monthly",EG41/12*L41,EG41/365*M41))</f>
        <v/>
      </c>
      <c r="EK41" s="1364" t="str">
        <f>IF(A41=FALSE,"",IF(Cotations!AH41="monthly",EI41/12*L41,EI41/365*M41))</f>
        <v/>
      </c>
      <c r="EL41" s="493" t="str">
        <f>IF(A41=FALSE,"",IF(Cotations!AI41="","",Cotations!AI41))</f>
        <v/>
      </c>
      <c r="EM41" s="284" t="str">
        <f t="shared" si="255"/>
        <v/>
      </c>
      <c r="EN41" s="284" t="str">
        <f t="shared" si="256"/>
        <v/>
      </c>
      <c r="EO41" s="1365" t="str">
        <f t="shared" si="432"/>
        <v/>
      </c>
      <c r="EP41" s="284" t="str">
        <f t="shared" si="257"/>
        <v/>
      </c>
      <c r="EQ41" s="515" t="str">
        <f>IF(A41=FALSE,"",Cotations!AJ41)</f>
        <v/>
      </c>
      <c r="ER41" s="515" t="str">
        <f>IF(A41=FALSE,"",IF(Cotations!AK41="","",Cotations!AK41))</f>
        <v/>
      </c>
      <c r="ES41" s="493" t="str">
        <f>IF(A41=FALSE,"",Cotations!AL41)</f>
        <v/>
      </c>
      <c r="ET41" s="515" t="str">
        <f>IF(A41=FALSE,"",IF(EQ41="N/A",0,IF(INDEX(LISTES!$F$105:$F$109,MATCH(EQ41,LISTES!$C$105:$C$109,0))="FIX",IF(INDEX(LISTES!$E$105:$E$109,MATCH(EQ41,LISTES!$C$105:$C$109,0))=12,ER41/12*L41,ER41/365*M41),ES41*EP41)))</f>
        <v/>
      </c>
      <c r="EU41" s="294" t="str">
        <f t="shared" si="258"/>
        <v/>
      </c>
      <c r="EV41" s="494" t="str">
        <f>IF(A41=FALSE,"",EU41*Cotations!AM41)</f>
        <v/>
      </c>
      <c r="EW41" s="494" t="str">
        <f>IF(A41=FALSE,"",EU41*Cotations!AN41)</f>
        <v/>
      </c>
      <c r="EX41" s="334" t="str">
        <f t="shared" si="259"/>
        <v/>
      </c>
      <c r="EY41" s="919" t="str">
        <f>IF(A41=FALSE,"",((EG41*TAXE)-(EG41*TAXE*EL41)+EH41)+IF(EQ41="N/A",0,IF(INDEX(LISTES!$F$105:$F$109,MATCH(EQ41,LISTES!$C$105:$C$109,0))="FIX",ER41,ES41*EP41)))</f>
        <v/>
      </c>
      <c r="FA41" s="492" t="str">
        <f>IF(A41=FALSE,"",Cotations!D41)</f>
        <v/>
      </c>
      <c r="FB41" s="519" t="str">
        <f>IF(A41=FALSE,"",IF(LISTES!$A$17=1,Cotations!AO41,Cotations!$AP$4))</f>
        <v/>
      </c>
      <c r="FC41" s="291" t="str">
        <f t="shared" si="260"/>
        <v/>
      </c>
      <c r="FD41" s="291" t="str">
        <f t="shared" si="261"/>
        <v/>
      </c>
      <c r="FE41" s="291"/>
      <c r="FF41" s="463"/>
      <c r="FG41" s="463" t="str">
        <f t="shared" si="262"/>
        <v/>
      </c>
      <c r="FH41" s="522" t="str">
        <f>IF(A41=FALSE,"",IF(Cotations!$AQ$4="monthly",FG41/12*L41,FG41/365*M41))</f>
        <v/>
      </c>
      <c r="FI41" s="453" t="str">
        <f>IF(A41=FALSE,"",Cotations!$AR$4)</f>
        <v/>
      </c>
      <c r="FJ41" s="300" t="str">
        <f t="shared" si="263"/>
        <v/>
      </c>
      <c r="FK41" s="300" t="str">
        <f t="shared" si="264"/>
        <v/>
      </c>
      <c r="FL41" s="294" t="str">
        <f t="shared" si="265"/>
        <v/>
      </c>
      <c r="FM41" s="494" t="str">
        <f>IF(A41=FALSE,"",Cotations!$AS$4)</f>
        <v/>
      </c>
      <c r="FN41" s="494" t="str">
        <f>IF(A41=FALSE,"",Cotations!$AT$4)</f>
        <v/>
      </c>
      <c r="FO41" s="489" t="str">
        <f>IF(A41=FALSE,"",Cotations!$AU$4)</f>
        <v/>
      </c>
      <c r="FP41" s="494" t="str">
        <f>IF(A41=FALSE,"",IF(FM41="N/A",0,IF(INDEX(LISTES!$F$105:$F$109,MATCH(FM41,LISTES!$C$105:$C$109,0))="FIX",IF(INDEX(LISTES!$E$105:$E$109,MATCH(FM41,LISTES!$C$105:$C$109,0))=12,FN41/12*L41,FN41/365*M41),FO41*FL41)))</f>
        <v/>
      </c>
      <c r="FQ41" s="294" t="str">
        <f t="shared" si="266"/>
        <v/>
      </c>
      <c r="FR41" s="494" t="str">
        <f>IF(A41=FALSE,"",FQ41*Cotations!$AV$4)</f>
        <v/>
      </c>
      <c r="FS41" s="494" t="str">
        <f>IF(A41=FALSE,"",FQ41*Cotations!$AW$4)</f>
        <v/>
      </c>
      <c r="FT41" s="465" t="str">
        <f t="shared" si="267"/>
        <v/>
      </c>
      <c r="FU41" s="919" t="str">
        <f>IF(A41=FALSE,"",((FG41*TAXE)-(FG41*TAXE*FI41))+IF(FM41="N/A",0,IF(INDEX(LISTES!$F$105:$F$109,MATCH(FM41,LISTES!$C$105:$C$109,0))="FIX",FN41,FO41*FL41)))</f>
        <v/>
      </c>
      <c r="FV41" s="478"/>
      <c r="FW41" s="478"/>
      <c r="FX41" s="478"/>
      <c r="FY41" s="478"/>
      <c r="FZ41" s="478"/>
      <c r="GA41" s="492" t="str">
        <f>IF(A41=FALSE,"",Cotations!D41)</f>
        <v/>
      </c>
      <c r="GB41" s="494" t="str">
        <f>IF(A41=FALSE,"",IF(LISTES!$A$17=1,Cotations!AO41,Cotations!AP41))</f>
        <v/>
      </c>
      <c r="GC41" s="284" t="str">
        <f t="shared" si="268"/>
        <v/>
      </c>
      <c r="GD41" s="515" t="str">
        <f>IF(A41=FALSE,"",IF(Detail!AM41="","",Detail!AM41))</f>
        <v/>
      </c>
      <c r="GE41" s="284"/>
      <c r="GF41" s="284"/>
      <c r="GG41" s="284" t="str">
        <f t="shared" si="269"/>
        <v/>
      </c>
      <c r="GH41" s="515" t="str">
        <f>IF(A41=FALSE,"",IF(Cotations!AQ41="monthly",GG41/12*L41,GG41/365*M41))</f>
        <v/>
      </c>
      <c r="GI41" s="493" t="str">
        <f>IF(A41=FALSE,"",IF(Cotations!AR41="","",Cotations!AR41))</f>
        <v/>
      </c>
      <c r="GJ41" s="284" t="str">
        <f t="shared" si="270"/>
        <v/>
      </c>
      <c r="GK41" s="284" t="str">
        <f t="shared" si="271"/>
        <v/>
      </c>
      <c r="GL41" s="284" t="str">
        <f t="shared" si="272"/>
        <v/>
      </c>
      <c r="GM41" s="515" t="str">
        <f>IF(A41=FALSE,"",Cotations!AS41)</f>
        <v/>
      </c>
      <c r="GN41" s="515" t="str">
        <f>IF(A41=FALSE,"",Cotations!AT41)</f>
        <v/>
      </c>
      <c r="GO41" s="493" t="str">
        <f>IF(A41=FALSE,"",Cotations!AU41)</f>
        <v/>
      </c>
      <c r="GP41" s="515" t="str">
        <f>IF(A41=FALSE,"",IF(GM41="N/A",0,IF(INDEX(LISTES!$F$105:$F$109,MATCH(GM41,LISTES!$C$105:$C$109,0))="FIX",IF(INDEX(LISTES!$E$105:$E$109,MATCH(GM41,LISTES!$C$105:$C$109,0))=12,GN41/12*L41,GN41/365*M41),GO41*GL41)))</f>
        <v/>
      </c>
      <c r="GQ41" s="294" t="str">
        <f t="shared" si="273"/>
        <v/>
      </c>
      <c r="GR41" s="494" t="str">
        <f>IF(A41=FALSE,"",GQ41*Cotations!AV41)</f>
        <v/>
      </c>
      <c r="GS41" s="494" t="str">
        <f>IF(A41=FALSE,"",GQ41*Cotations!AW41)</f>
        <v/>
      </c>
      <c r="GT41" s="334" t="str">
        <f t="shared" si="274"/>
        <v/>
      </c>
      <c r="GU41" s="919" t="str">
        <f>IF(A41=FALSE,"",((GG41*TAXE)-(GG41*TAXE*GI41))+IF(GM41="N/A",0,IF(INDEX(LISTES!$F$105:$F$109,MATCH(GM41,LISTES!$C$105:$C$109,0))="FIX",GN41,GO41*GL41)))</f>
        <v/>
      </c>
      <c r="GV41" s="478"/>
      <c r="GW41" s="466"/>
      <c r="GX41" s="466"/>
      <c r="GY41" s="466"/>
      <c r="GZ41" s="466"/>
      <c r="HA41" s="492" t="str">
        <f>IF(A41=FALSE,"",Cotations!D41)</f>
        <v/>
      </c>
      <c r="HB41" s="495" t="str">
        <f>IF(A41=FALSE,"",IF(LISTES!$A$17=1,Cotations!AX41,Cotations!$AY$4))</f>
        <v/>
      </c>
      <c r="HC41" s="291" t="str">
        <f t="shared" si="275"/>
        <v/>
      </c>
      <c r="HD41" s="291" t="str">
        <f t="shared" si="276"/>
        <v/>
      </c>
      <c r="HE41" s="456" t="str">
        <f t="shared" si="277"/>
        <v/>
      </c>
      <c r="HF41" s="496" t="str">
        <f>IF(A41=FALSE,"",IF(HA41="POEA",Cotations!BA41,IF(HA41="FIXE",Cotations!$BA$4,Cotations!$BC$4*Y41)))</f>
        <v/>
      </c>
      <c r="HG41" s="300" t="str">
        <f t="shared" si="278"/>
        <v/>
      </c>
      <c r="HH41" s="522" t="str">
        <f>IF(A41=FALSE,"",IF(Cotations!$AZ$4="monthly",HG41/12*L41,HG41/365*M41))</f>
        <v/>
      </c>
      <c r="HI41" s="489" t="str">
        <f>IF(A41=FALSE,"",Cotations!$BD$4)</f>
        <v/>
      </c>
      <c r="HJ41" s="300" t="str">
        <f t="shared" si="279"/>
        <v/>
      </c>
      <c r="HK41" s="300" t="str">
        <f t="shared" si="280"/>
        <v/>
      </c>
      <c r="HL41" s="294" t="str">
        <f t="shared" si="281"/>
        <v/>
      </c>
      <c r="HM41" s="494" t="str">
        <f>IF(A41=FALSE,"",Cotations!$BE$4)</f>
        <v/>
      </c>
      <c r="HN41" s="522" t="str">
        <f>IF(A41=FALSE,"",Cotations!$BF$4)</f>
        <v/>
      </c>
      <c r="HO41" s="489" t="str">
        <f>IF(A41=FALSE,"",Cotations!$BG$4)</f>
        <v/>
      </c>
      <c r="HP41" s="494" t="str">
        <f>IF(A41=FALSE,"",IF(HM41="N/A",0,IF(INDEX(LISTES!$F$105:$F$109,MATCH(HM41,LISTES!$C$105:$C$109,0))="FIX",IF(INDEX(LISTES!$E$105:$E$109,MATCH(HM41,LISTES!$C$105:$C$109,0))=12,HN41/12*L41,HN41/365*M41),HO41*HL41)))</f>
        <v/>
      </c>
      <c r="HQ41" s="294" t="str">
        <f t="shared" si="282"/>
        <v/>
      </c>
      <c r="HR41" s="494" t="str">
        <f>IF(A41=FALSE,"",HQ41*Cotations!$BH$4)</f>
        <v/>
      </c>
      <c r="HS41" s="494" t="str">
        <f>IF(A41=FALSE,"",HQ41*Cotations!$BI$4)</f>
        <v/>
      </c>
      <c r="HT41" s="294" t="str">
        <f t="shared" si="283"/>
        <v/>
      </c>
      <c r="HU41" s="919" t="str">
        <f>IF(A41=FALSE,"",((HG41*TAXE)-(HG41*TAXE*HI41))+IF(HM41="N/A",0,IF(INDEX(LISTES!$F$105:$F$109,MATCH(HM41,LISTES!$C$105:$C$109,0))="FIX",HN41,HO41*HL41)))</f>
        <v/>
      </c>
      <c r="IA41" s="492" t="str">
        <f>IF(A41=FALSE,"",Cotations!D41)</f>
        <v/>
      </c>
      <c r="IB41" s="491" t="str">
        <f>IF(A41=FALSE,"",IF(LISTES!$A$17=1,Cotations!AX41,Cotations!AY41))</f>
        <v/>
      </c>
      <c r="IC41" s="285" t="str">
        <f t="shared" si="284"/>
        <v/>
      </c>
      <c r="ID41" s="300" t="str">
        <f>IF(A41=FALSE,"",IF(LISTES!$A$17=3,Detail!AU41,lig1_Formula_PREVOY))</f>
        <v/>
      </c>
      <c r="IE41" s="461" t="str">
        <f t="shared" si="285"/>
        <v/>
      </c>
      <c r="IF41" s="490" t="str">
        <f>IF(A41=FALSE,"",IF(IA41="POEA",Cotations!BA41,IF(HA41="FIXE",Cotations!BB41,IF(Cotations!BC41*Y41&lt;50000,Z41,Cotations!BC41*Y41))))</f>
        <v/>
      </c>
      <c r="IG41" s="300" t="str">
        <f t="shared" si="286"/>
        <v/>
      </c>
      <c r="IH41" s="522" t="str">
        <f>IF(A41=FALSE,"",IF(Cotations!AZ41="monthly",IG41/12*L41,IG41/365*M41))</f>
        <v/>
      </c>
      <c r="II41" s="489" t="str">
        <f>IF(A41=FALSE,"",IF(Cotations!BD41="","",Cotations!BD41))</f>
        <v/>
      </c>
      <c r="IJ41" s="300" t="str">
        <f t="shared" si="287"/>
        <v/>
      </c>
      <c r="IK41" s="300" t="str">
        <f t="shared" si="288"/>
        <v/>
      </c>
      <c r="IL41" s="919" t="str">
        <f t="shared" si="289"/>
        <v/>
      </c>
      <c r="IM41" s="517" t="str">
        <f>IF(A41=FALSE,"",Cotations!BE41)</f>
        <v/>
      </c>
      <c r="IN41" s="517" t="str">
        <f>IF(A41=FALSE,"",Cotations!BF41)</f>
        <v/>
      </c>
      <c r="IO41" s="493" t="str">
        <f>IF(A41=FALSE,"",Cotations!BG41)</f>
        <v/>
      </c>
      <c r="IP41" s="517" t="str">
        <f>IF(A41=FALSE,"",IF(IM41="N/A",0,IF(INDEX(LISTES!$F$105:$F$109,MATCH(IM41,LISTES!$C$105:$C$109,0))="FIX",IF(INDEX(LISTES!$E$105:$E$109,MATCH(IM41,LISTES!$C$105:$C$109,0))=12,IN41/12*L41,IN41/365*M41),IO41*IL41)))</f>
        <v/>
      </c>
      <c r="IQ41" s="294" t="str">
        <f t="shared" si="290"/>
        <v/>
      </c>
      <c r="IR41" s="494" t="str">
        <f>IF(A41=FALSE,"",IQ41*Cotations!BH41)</f>
        <v/>
      </c>
      <c r="IS41" s="494" t="str">
        <f>IF(A41=FALSE,"",IQ41*Cotations!BI41)</f>
        <v/>
      </c>
      <c r="IT41" s="338" t="str">
        <f t="shared" si="291"/>
        <v/>
      </c>
      <c r="IU41" s="919" t="str">
        <f>IF(A41=FALSE,"",((IG41*TAXE)-(IG41*TAXE*II41))+IF(IM41="N/A",0,IF(INDEX(LISTES!$F$105:$F$109,MATCH(IM41,LISTES!$C$105:$C$109,0))="FIX",IN41,IO41*IL41)))</f>
        <v/>
      </c>
      <c r="JA41" s="492" t="str">
        <f>IF(A41=FALSE,"",Cotations!D41)</f>
        <v/>
      </c>
      <c r="JB41" s="495" t="str">
        <f>IF(A41=FALSE,"",IF(LISTES!$A$17=1,Cotations!BJ41,Cotations!$BK$4))</f>
        <v/>
      </c>
      <c r="JC41" s="291" t="str">
        <f t="shared" si="292"/>
        <v/>
      </c>
      <c r="JD41" s="291" t="str">
        <f t="shared" si="293"/>
        <v/>
      </c>
      <c r="JE41" s="456" t="str">
        <f t="shared" si="294"/>
        <v/>
      </c>
      <c r="JF41" s="496" t="str">
        <f>IF(A41=FALSE,"",IF(JA41="POEA",Cotations!BM41,IF(JA41="FIXE",Cotations!$BM$4,Cotations!$BO$4*Y41)))</f>
        <v/>
      </c>
      <c r="JG41" s="300" t="str">
        <f t="shared" si="295"/>
        <v/>
      </c>
      <c r="JH41" s="522" t="str">
        <f>IF(A41=FALSE,"",IF(Cotations!$BL$4="monthly",JG41/12*L41,JG41/365*M41))</f>
        <v/>
      </c>
      <c r="JI41" s="489" t="str">
        <f>IF(A41=FALSE,"",Cotations!$BP$4)</f>
        <v/>
      </c>
      <c r="JJ41" s="300" t="str">
        <f t="shared" si="296"/>
        <v/>
      </c>
      <c r="JK41" s="300" t="str">
        <f t="shared" si="297"/>
        <v/>
      </c>
      <c r="JL41" s="294" t="str">
        <f t="shared" si="298"/>
        <v/>
      </c>
      <c r="JM41" s="494" t="str">
        <f>IF(A41=FALSE,"",Cotations!$BQ$4)</f>
        <v/>
      </c>
      <c r="JN41" s="522" t="str">
        <f>IF(A41=FALSE,"",Cotations!$BR$4)</f>
        <v/>
      </c>
      <c r="JO41" s="489" t="str">
        <f>IF(A41=FALSE,"",Cotations!$BS$4)</f>
        <v/>
      </c>
      <c r="JP41" s="494" t="str">
        <f>IF(A41=FALSE,"",IF(JM41="N/A",0,IF(INDEX(LISTES!$F$105:$F$109,MATCH(JM41,LISTES!$C$105:$C$109,0))="FIX",IF(INDEX(LISTES!$E$105:$E$109,MATCH(JM41,LISTES!$C$105:$C$109,0))=12,JN41/12*L41,JN41/365*M41),JO41*JL41)))</f>
        <v/>
      </c>
      <c r="JQ41" s="294" t="str">
        <f t="shared" si="299"/>
        <v/>
      </c>
      <c r="JR41" s="494" t="str">
        <f>IF(A41=FALSE,"",JQ41*Cotations!$BT$4)</f>
        <v/>
      </c>
      <c r="JS41" s="494" t="str">
        <f>IF(A41=FALSE,"",JQ41*Cotations!$BU$4)</f>
        <v/>
      </c>
      <c r="JT41" s="294" t="str">
        <f t="shared" si="300"/>
        <v/>
      </c>
      <c r="JU41" s="919" t="str">
        <f>IF(A41=FALSE,"",((JG41*TAXE)-(JG41*TAXE*JI41))+IF(JM41="N/A",0,IF(INDEX(LISTES!$F$105:$F$109,MATCH(JM41,LISTES!$C$105:$C$109,0))="FIX",JN41,JO41*JL41)))</f>
        <v/>
      </c>
      <c r="KA41" s="492" t="str">
        <f>IF(A41=FALSE,"",Cotations!D41)</f>
        <v/>
      </c>
      <c r="KB41" s="491" t="str">
        <f>IF(A41=FALSE,"",IF(LISTES!$A$17=1,Cotations!BJ41,Cotations!BK41))</f>
        <v/>
      </c>
      <c r="KC41" s="285" t="str">
        <f t="shared" si="301"/>
        <v/>
      </c>
      <c r="KD41" s="300"/>
      <c r="KE41" s="461" t="str">
        <f t="shared" si="302"/>
        <v/>
      </c>
      <c r="KF41" s="490" t="str">
        <f>IF(A41=FALSE,"",IF(KA41="POEA",Cotations!BM41,IF(KA41="FIXE",Cotations!BN41,IF(Cotations!BO41*Y41&lt;50000,Z41,Cotations!BO41*Y41))))</f>
        <v/>
      </c>
      <c r="KG41" s="300" t="str">
        <f t="shared" si="303"/>
        <v/>
      </c>
      <c r="KH41" s="522" t="str">
        <f>IF(A41=FALSE,"",IF(Cotations!BL41="monthly",KG41/12*L41,KG41/365*M41))</f>
        <v/>
      </c>
      <c r="KI41" s="489" t="str">
        <f>IF(A41=FALSE,"",IF(Cotations!BP41="","",Cotations!BP41))</f>
        <v/>
      </c>
      <c r="KJ41" s="300" t="str">
        <f t="shared" si="304"/>
        <v/>
      </c>
      <c r="KK41" s="300" t="str">
        <f t="shared" si="305"/>
        <v/>
      </c>
      <c r="KL41" s="919" t="str">
        <f t="shared" si="306"/>
        <v/>
      </c>
      <c r="KM41" s="517" t="str">
        <f>IF(A41=FALSE,"",Cotations!BQ41)</f>
        <v/>
      </c>
      <c r="KN41" s="515" t="str">
        <f>IF(A41=FALSE,"",Cotations!BR41)</f>
        <v/>
      </c>
      <c r="KO41" s="493" t="str">
        <f>IF(A41=FALSE,"",Cotations!BS41)</f>
        <v/>
      </c>
      <c r="KP41" s="517" t="str">
        <f>IF(A41=FALSE,"",IF(KM41="N/A",0,IF(INDEX(LISTES!$F$105:$F$109,MATCH(KM41,LISTES!$C$105:$C$109,0))="FIX",IF(INDEX(LISTES!$E$105:$E$109,MATCH(KM41,LISTES!$C$105:$C$109,0))=12,KN41/12*L41,KN41/365*M41),KO41*KL41)))</f>
        <v/>
      </c>
      <c r="KQ41" s="294" t="str">
        <f t="shared" si="307"/>
        <v/>
      </c>
      <c r="KR41" s="494" t="str">
        <f>IF(A41=FALSE,"",KQ41*Cotations!BT41)</f>
        <v/>
      </c>
      <c r="KS41" s="494" t="str">
        <f>IF(A41=FALSE,"",KQ41*Cotations!BU41)</f>
        <v/>
      </c>
      <c r="KT41" s="338" t="str">
        <f t="shared" si="308"/>
        <v/>
      </c>
      <c r="KU41" s="919" t="str">
        <f>IF(A41=FALSE,"",((KG41*TAXE)-(KG41*TAXE*KI41))+IF(KM41="N/A",0,IF(INDEX(LISTES!$F$105:$F$109,MATCH(KM41,LISTES!$C$105:$C$109,0))="FIX",KN41,KO41*KL41)))</f>
        <v/>
      </c>
      <c r="LA41" s="497" t="str">
        <f>IF(A41=FALSE,"",Cotations!D41)</f>
        <v/>
      </c>
      <c r="LB41" s="498" t="str">
        <f>IF(A41=FALSE,"",IF(LISTES!$A$17=1,Cotations!BV41,Cotations!$BW$4))</f>
        <v/>
      </c>
      <c r="LC41" s="499" t="str">
        <f t="shared" si="309"/>
        <v/>
      </c>
      <c r="LD41" s="499" t="str">
        <f t="shared" si="310"/>
        <v/>
      </c>
      <c r="LE41" s="500" t="str">
        <f t="shared" si="311"/>
        <v/>
      </c>
      <c r="LF41" s="501" t="str">
        <f>IF(A41=FALSE,"",IF(LA41="POEA",Cotations!EJ41,IF(LA41="FIXE",Cotations!$BY$4,Cotations!$CA$4*Y41)))</f>
        <v/>
      </c>
      <c r="LG41" s="502" t="str">
        <f t="shared" si="312"/>
        <v/>
      </c>
      <c r="LH41" s="520" t="str">
        <f>IF(A41=FALSE,"",IF(Cotations!$BX$4="monthly",LG41/12*L41,LG41/365*M41))</f>
        <v/>
      </c>
      <c r="LI41" s="503" t="str">
        <f>IF(A41=FALSE,"",Cotations!$CB$4)</f>
        <v/>
      </c>
      <c r="LJ41" s="502" t="str">
        <f t="shared" si="313"/>
        <v/>
      </c>
      <c r="LK41" s="502" t="str">
        <f t="shared" si="314"/>
        <v/>
      </c>
      <c r="LL41" s="504" t="str">
        <f t="shared" si="315"/>
        <v/>
      </c>
      <c r="LM41" s="505" t="str">
        <f>IF(A41=FALSE,"",Cotations!$CC$4)</f>
        <v/>
      </c>
      <c r="LN41" s="503" t="str">
        <f>IF(A41=FALSE,"",Cotations!$CD$4)</f>
        <v/>
      </c>
      <c r="LO41" s="503" t="str">
        <f>IF(A41=FALSE,"",Cotations!$CE$4)</f>
        <v/>
      </c>
      <c r="LP41" s="505" t="str">
        <f>IF(A41=FALSE,"",IF(LM41="N/A",0,IF(INDEX(LISTES!$F$105:$F$109,MATCH(LM41,LISTES!$C$105:$C$109,0))="FIX",IF(INDEX(LISTES!$E$105:$E$109,MATCH(LM41,LISTES!$C$105:$C$109,0))=12,LN41/12*L41,LN41/365*M41),LO41*LL41)))</f>
        <v/>
      </c>
      <c r="LQ41" s="504" t="str">
        <f t="shared" si="316"/>
        <v/>
      </c>
      <c r="LR41" s="505" t="str">
        <f>IF(A41=FALSE,"",LQ41*Cotations!$CF$4)</f>
        <v/>
      </c>
      <c r="LS41" s="505" t="str">
        <f>IF(A41=FALSE,"",LQ41*Cotations!$CG$4)</f>
        <v/>
      </c>
      <c r="LT41" s="506" t="str">
        <f t="shared" si="317"/>
        <v/>
      </c>
      <c r="LU41" s="919" t="str">
        <f>IF(A41=FALSE,"",((LG41*TAXE)-(LG41*TAXE*LI41))+IF(LM41="N/A",0,IF(INDEX(LISTES!$F$105:$F$109,MATCH(LM41,LISTES!$C$105:$C$109,0))="FIX",LN41,LO41*LL41)))</f>
        <v/>
      </c>
      <c r="MA41" s="492" t="str">
        <f>IF(A41=FALSE,"",Cotations!D41)</f>
        <v/>
      </c>
      <c r="MB41" s="491" t="str">
        <f>IF(A41=FALSE,"",IF(LISTES!$A$17=1,Cotations!BV41,Cotations!BW41))</f>
        <v/>
      </c>
      <c r="MC41" s="285" t="str">
        <f t="shared" si="318"/>
        <v/>
      </c>
      <c r="MD41" s="300"/>
      <c r="ME41" s="461" t="str">
        <f t="shared" si="319"/>
        <v/>
      </c>
      <c r="MF41" s="490" t="str">
        <f>IF(A41=FALSE,"",IF(MA41="POEA",Cotations!BY41,IF(MA41="FIXE",Cotations!BZ41,IF(Cotations!CA41*Y41&lt;50000,Z41,Cotations!CA41*Y41))))</f>
        <v/>
      </c>
      <c r="MG41" s="300" t="str">
        <f t="shared" si="320"/>
        <v/>
      </c>
      <c r="MH41" s="522" t="str">
        <f>IF(A41=FALSE,"",IF(Cotations!BX41="monthly",MG41/12*L41,MG41/365*M41))</f>
        <v/>
      </c>
      <c r="MI41" s="489" t="str">
        <f>IF(A41=FALSE,"",IF(Cotations!CB41="","",Cotations!CB41))</f>
        <v/>
      </c>
      <c r="MJ41" s="300" t="str">
        <f t="shared" si="321"/>
        <v/>
      </c>
      <c r="MK41" s="300" t="str">
        <f t="shared" si="322"/>
        <v/>
      </c>
      <c r="ML41" s="919" t="str">
        <f t="shared" si="323"/>
        <v/>
      </c>
      <c r="MM41" s="517" t="str">
        <f>IF(A41=FALSE,"",Cotations!CC41)</f>
        <v/>
      </c>
      <c r="MN41" s="515" t="str">
        <f>IF(A41=FALSE,"",Cotations!CD41)</f>
        <v/>
      </c>
      <c r="MO41" s="493" t="str">
        <f>IF(A41=FALSE,"",Cotations!CE41)</f>
        <v/>
      </c>
      <c r="MP41" s="517" t="str">
        <f>IF(A41=FALSE,"",IF(MM41="N/A",0,IF(INDEX(LISTES!$F$105:$F$109,MATCH(MM41,LISTES!$C$105:$C$109,0))="FIX",IF(INDEX(LISTES!$E$105:$E$109,MATCH(MM41,LISTES!$C$105:$C$109,0))=12,MN41/12*L41,MN41/365*M41),MO41*ML41)))</f>
        <v/>
      </c>
      <c r="MQ41" s="294" t="str">
        <f t="shared" si="324"/>
        <v/>
      </c>
      <c r="MR41" s="494" t="str">
        <f>IF(A41=FALSE,"",MQ41*Cotations!CF41)</f>
        <v/>
      </c>
      <c r="MS41" s="494" t="str">
        <f>IF(A41=FALSE,"",MQ41*Cotations!CG41)</f>
        <v/>
      </c>
      <c r="MT41" s="338" t="str">
        <f t="shared" si="325"/>
        <v/>
      </c>
      <c r="MU41" s="919" t="str">
        <f>IF(A41=FALSE,"",((MG41*TAXE)-(MG41*TAXE*MI41))+IF(MM41="N/A",0,IF(INDEX(LISTES!$F$105:$F$109,MATCH(MM41,LISTES!$C$105:$C$109,0))="FIX",MN41,MO41*ML41)))</f>
        <v/>
      </c>
      <c r="NA41" s="497" t="str">
        <f>IF(A41=FALSE,"",Cotations!D41)</f>
        <v/>
      </c>
      <c r="NB41" s="498" t="str">
        <f>IF(A41=FALSE,"",IF(LISTES!$A$17=1,Cotations!CH41,Cotations!$CI$4))</f>
        <v/>
      </c>
      <c r="NC41" s="499" t="str">
        <f t="shared" si="326"/>
        <v/>
      </c>
      <c r="ND41" s="499" t="str">
        <f t="shared" si="327"/>
        <v/>
      </c>
      <c r="NE41" s="500" t="str">
        <f t="shared" si="328"/>
        <v/>
      </c>
      <c r="NF41" s="501" t="str">
        <f>IF(A41=FALSE,"",IF(NA41="POEA",Cotations!CK41,IF(NA41="FIXE",Cotations!$CK$4,Cotations!$CM$4*Y41)))</f>
        <v/>
      </c>
      <c r="NG41" s="502" t="str">
        <f t="shared" si="329"/>
        <v/>
      </c>
      <c r="NH41" s="520" t="str">
        <f>IF(A41=FALSE,"",IF(Cotations!$CJ$4="monthly",NG41/12*L41,NG41/365*M41))</f>
        <v/>
      </c>
      <c r="NI41" s="503" t="str">
        <f>IF(A41=FALSE,"",Cotations!$CN$4)</f>
        <v/>
      </c>
      <c r="NJ41" s="502" t="str">
        <f t="shared" si="330"/>
        <v/>
      </c>
      <c r="NK41" s="502" t="str">
        <f t="shared" si="331"/>
        <v/>
      </c>
      <c r="NL41" s="504" t="str">
        <f t="shared" si="332"/>
        <v/>
      </c>
      <c r="NM41" s="505" t="str">
        <f>IF(A41=FALSE,"",Cotations!$CO$4)</f>
        <v/>
      </c>
      <c r="NN41" s="520" t="str">
        <f>IF(A41=FALSE,"",Cotations!$CP$4)</f>
        <v/>
      </c>
      <c r="NO41" s="503" t="str">
        <f>IF(A41=FALSE,"",Cotations!$CQ$4)</f>
        <v/>
      </c>
      <c r="NP41" s="505" t="str">
        <f>IF(A41=FALSE,"",IF(NM41="N/A",0,IF(INDEX(LISTES!$F$105:$F$109,MATCH(NM41,LISTES!$C$105:$C$109,0))="FIX",IF(INDEX(LISTES!$E$105:$E$109,MATCH(NM41,LISTES!$C$105:$C$109,0))=12,NN41/12*L41,NN41/365*M41),NO41*NL41)))</f>
        <v/>
      </c>
      <c r="NQ41" s="504" t="str">
        <f t="shared" si="333"/>
        <v/>
      </c>
      <c r="NR41" s="505" t="str">
        <f>IF(A41=FALSE,"",NQ41*Cotations!$CR$4)</f>
        <v/>
      </c>
      <c r="NS41" s="505" t="str">
        <f>IF(A41=FALSE,"",NQ41*Cotations!$CS$4)</f>
        <v/>
      </c>
      <c r="NT41" s="506" t="str">
        <f t="shared" si="334"/>
        <v/>
      </c>
      <c r="NU41" s="919" t="str">
        <f>IF(A41=FALSE,"",((NG41*TAXE)-(NG41*TAXE*NI41))+IF(NM41="N/A",0,IF(INDEX(LISTES!$F$105:$F$109,MATCH(NM41,LISTES!$C$105:$C$109,0))="FIX",NN41,NO41*NL41)))</f>
        <v/>
      </c>
      <c r="OA41" s="492" t="str">
        <f>IF(A41=FALSE,"",Cotations!D41)</f>
        <v/>
      </c>
      <c r="OB41" s="491" t="str">
        <f>IF(A41=FALSE,"",IF(LISTES!$A$17=1,Cotations!CH41,Cotations!CI41))</f>
        <v/>
      </c>
      <c r="OC41" s="285" t="str">
        <f t="shared" si="335"/>
        <v/>
      </c>
      <c r="OD41" s="300"/>
      <c r="OE41" s="461" t="str">
        <f t="shared" si="336"/>
        <v/>
      </c>
      <c r="OF41" s="490" t="str">
        <f>IF(A41=FALSE,"",IF(OA41="POEA",Cotations!CK41,IF(OA41="FIXE",Cotations!CL41,IF(Cotations!CM41*Y41&lt;50000,Z41,Cotations!CM41*Y41))))</f>
        <v/>
      </c>
      <c r="OG41" s="300" t="str">
        <f t="shared" si="337"/>
        <v/>
      </c>
      <c r="OH41" s="522" t="str">
        <f>IF(A41=FALSE,"",IF(Cotations!CJ41="monthly",OG41/12*L41,OG41/365*M41))</f>
        <v/>
      </c>
      <c r="OI41" s="489" t="str">
        <f>IF(A41=FALSE,"",IF(Cotations!CN41="","",Cotations!CN41))</f>
        <v/>
      </c>
      <c r="OJ41" s="300" t="str">
        <f t="shared" si="338"/>
        <v/>
      </c>
      <c r="OK41" s="300" t="str">
        <f t="shared" si="339"/>
        <v/>
      </c>
      <c r="OL41" s="919" t="str">
        <f t="shared" si="340"/>
        <v/>
      </c>
      <c r="OM41" s="517" t="str">
        <f>IF(A41=FALSE,"",Cotations!CO41)</f>
        <v/>
      </c>
      <c r="ON41" s="515" t="str">
        <f>IF(A41=FALSE,"",Cotations!CP41)</f>
        <v/>
      </c>
      <c r="OO41" s="493" t="str">
        <f>IF(A41=FALSE,"",Cotations!CQ41)</f>
        <v/>
      </c>
      <c r="OP41" s="517" t="str">
        <f>IF(A41=FALSE,"",IF(OM41="N/A",0,IF(INDEX(LISTES!$F$105:$F$109,MATCH(OM41,LISTES!$C$105:$C$109,0))="FIX",IF(INDEX(LISTES!$E$105:$E$109,MATCH(OM41,LISTES!$C$105:$C$109,0))=12,ON41/12*L41,ON41/365*M41),OO41*OL41)))</f>
        <v/>
      </c>
      <c r="OQ41" s="294" t="str">
        <f t="shared" si="341"/>
        <v/>
      </c>
      <c r="OR41" s="494" t="str">
        <f>IF(A41=FALSE,"",OQ41*Cotations!CR41)</f>
        <v/>
      </c>
      <c r="OS41" s="494" t="str">
        <f>IF(A41=FALSE,"",OQ41*Cotations!CS41)</f>
        <v/>
      </c>
      <c r="OT41" s="338" t="str">
        <f t="shared" si="342"/>
        <v/>
      </c>
      <c r="OU41" s="919" t="str">
        <f>IF(A41=FALSE,"",((OG41*TAXE)-(OG41*TAXE*OI41))+IF(OM41="N/A",0,IF(INDEX(LISTES!$F$105:$F$109,MATCH(OM41,LISTES!$C$105:$C$109,0))="FIX",ON41,OO41*OL41)))</f>
        <v/>
      </c>
      <c r="PA41" s="497" t="str">
        <f t="shared" si="343"/>
        <v/>
      </c>
      <c r="PB41" s="498" t="str">
        <f>IF(A41=FALSE,"",IF(LISTES!$A$17=1,Cotations!CT41,Cotations!$CU$4))</f>
        <v/>
      </c>
      <c r="PC41" s="499" t="str">
        <f t="shared" si="344"/>
        <v/>
      </c>
      <c r="PD41" s="499" t="str">
        <f t="shared" si="345"/>
        <v/>
      </c>
      <c r="PE41" s="500" t="str">
        <f t="shared" si="346"/>
        <v/>
      </c>
      <c r="PF41" s="501" t="str">
        <f>IF(A41=FALSE,"",Cotations!$CY$4*Y41)</f>
        <v/>
      </c>
      <c r="PG41" s="502" t="str">
        <f t="shared" si="347"/>
        <v/>
      </c>
      <c r="PH41" s="520" t="str">
        <f>IF(A41=FALSE,"",IF(Cotations!$CV$4="monthly",PG41/12*L41,PG41/365*M41))</f>
        <v/>
      </c>
      <c r="PI41" s="503" t="str">
        <f>IF(A41=FALSE,"",Cotations!$CZ$4)</f>
        <v/>
      </c>
      <c r="PJ41" s="502" t="str">
        <f t="shared" si="348"/>
        <v/>
      </c>
      <c r="PK41" s="502" t="str">
        <f t="shared" si="349"/>
        <v/>
      </c>
      <c r="PL41" s="504" t="str">
        <f t="shared" si="350"/>
        <v/>
      </c>
      <c r="PM41" s="505" t="str">
        <f>IF(A41=FALSE,"",Cotations!$DA$4)</f>
        <v/>
      </c>
      <c r="PN41" s="520" t="str">
        <f>IF(A41=FALSE,"",Cotations!$DB$4)</f>
        <v/>
      </c>
      <c r="PO41" s="503" t="str">
        <f>IF(A41=FALSE,"",Cotations!$DC$4)</f>
        <v/>
      </c>
      <c r="PP41" s="505" t="str">
        <f>IF(A41=FALSE,"",IF(PM41="N/A",0,IF(INDEX(LISTES!$F$105:$F$109,MATCH(PM41,LISTES!$C$105:$C$109,0))="FIX",IF(INDEX(LISTES!$E$105:$E$109,MATCH(PM41,LISTES!$C$105:$C$109,0))=12,PN41/12*L41,PN41/365*M41),PO41*PL41)))</f>
        <v/>
      </c>
      <c r="PQ41" s="504" t="str">
        <f t="shared" si="351"/>
        <v/>
      </c>
      <c r="PR41" s="505" t="str">
        <f>IF(A41=FALSE,"",PQ41*Cotations!$DD$4)</f>
        <v/>
      </c>
      <c r="PS41" s="505" t="str">
        <f>IF(A41=FALSE,"",PQ41*Cotations!$DE$4)</f>
        <v/>
      </c>
      <c r="PT41" s="506" t="str">
        <f t="shared" si="352"/>
        <v/>
      </c>
      <c r="PU41" s="919" t="str">
        <f>IF(A41=FALSE,"",((PG41*TAXE)-(PG41*TAXE*PI41))+IF(PM41="N/A",0,IF(INDEX(LISTES!$F$105:$F$109,MATCH(PM41,LISTES!$C$105:$C$109,0))="FIX",PN41,PO41*PL41)))</f>
        <v/>
      </c>
      <c r="QA41" s="492" t="str">
        <f t="shared" si="353"/>
        <v/>
      </c>
      <c r="QB41" s="491" t="str">
        <f>IF(A41=FALSE,"",IF(LISTES!$A$17=1,Cotations!CT41,Cotations!CU41))</f>
        <v/>
      </c>
      <c r="QC41" s="285" t="str">
        <f t="shared" si="354"/>
        <v/>
      </c>
      <c r="QD41" s="300"/>
      <c r="QE41" s="461" t="str">
        <f t="shared" si="355"/>
        <v/>
      </c>
      <c r="QF41" s="490" t="str">
        <f>IF(A41=FALSE,"",Cotations!CY41*AA41)</f>
        <v/>
      </c>
      <c r="QG41" s="300" t="str">
        <f t="shared" si="356"/>
        <v/>
      </c>
      <c r="QH41" s="522" t="str">
        <f>IF(A41=FALSE,"",IF(Cotations!CV41="monthly",QG41/12*L41,QG41/365*M41))</f>
        <v/>
      </c>
      <c r="QI41" s="489" t="str">
        <f>IF(A41=FALSE,"",IF(Cotations!CZ41="","",Cotations!CZ41))</f>
        <v/>
      </c>
      <c r="QJ41" s="300" t="str">
        <f t="shared" si="357"/>
        <v/>
      </c>
      <c r="QK41" s="300" t="str">
        <f t="shared" si="358"/>
        <v/>
      </c>
      <c r="QL41" s="919" t="str">
        <f t="shared" si="359"/>
        <v/>
      </c>
      <c r="QM41" s="517" t="str">
        <f>IF(A41=FALSE,"",Cotations!DA41)</f>
        <v/>
      </c>
      <c r="QN41" s="515" t="str">
        <f>IF(A41=FALSE,"",Cotations!DB41)</f>
        <v/>
      </c>
      <c r="QO41" s="493" t="str">
        <f>IF(A41=FALSE,"",Cotations!DC41)</f>
        <v/>
      </c>
      <c r="QP41" s="517" t="str">
        <f>IF(A41=FALSE,"",IF(QM41="N/A",0,IF(INDEX(LISTES!$F$105:$F$109,MATCH(QM41,LISTES!$C$105:$C$109,0))="FIX",IF(INDEX(LISTES!$E$105:$E$109,MATCH(QM41,LISTES!$C$105:$C$109,0))=12,QN41/12*L41,QN41/365*M41),QO41*QL41)))</f>
        <v/>
      </c>
      <c r="QQ41" s="294" t="str">
        <f t="shared" si="360"/>
        <v/>
      </c>
      <c r="QR41" s="494" t="str">
        <f>IF(A41=FALSE,"",QQ41*Cotations!DD41)</f>
        <v/>
      </c>
      <c r="QS41" s="494" t="str">
        <f>IF(A41=FALSE,"",QQ41*Cotations!DE41)</f>
        <v/>
      </c>
      <c r="QT41" s="338" t="str">
        <f t="shared" si="361"/>
        <v/>
      </c>
      <c r="QU41" s="919" t="str">
        <f>IF(A41=FALSE,"",((QG41*TAXE)-(QG41*TAXE*QI41))+IF(QM41="N/A",0,IF(INDEX(LISTES!$F$105:$F$109,MATCH(QM41,LISTES!$C$105:$C$109,0))="FIX",QN41,QO41*QL41)))</f>
        <v/>
      </c>
      <c r="RA41" s="497" t="str">
        <f t="shared" si="362"/>
        <v/>
      </c>
      <c r="RB41" s="498" t="str">
        <f>IF(A41=FALSE,"",IF(LISTES!$A$17=1,Cotations!DF41,Cotations!$DG$4))</f>
        <v/>
      </c>
      <c r="RC41" s="499" t="str">
        <f t="shared" si="363"/>
        <v/>
      </c>
      <c r="RD41" s="499" t="str">
        <f t="shared" si="364"/>
        <v/>
      </c>
      <c r="RE41" s="500" t="str">
        <f t="shared" si="365"/>
        <v/>
      </c>
      <c r="RF41" s="501" t="str">
        <f>IF(A41=FALSE,"",Cotations!$DK$4*Y41)</f>
        <v/>
      </c>
      <c r="RG41" s="502" t="str">
        <f t="shared" si="366"/>
        <v/>
      </c>
      <c r="RH41" s="520" t="str">
        <f>IF(A41=FALSE,"",IF(Cotations!$DH$4="monthly",RG41/12*L41,RG41/365*M41))</f>
        <v/>
      </c>
      <c r="RI41" s="503" t="str">
        <f>IF(A41=FALSE,"",Cotations!$DL$4)</f>
        <v/>
      </c>
      <c r="RJ41" s="502" t="str">
        <f t="shared" si="367"/>
        <v/>
      </c>
      <c r="RK41" s="502" t="str">
        <f t="shared" si="368"/>
        <v/>
      </c>
      <c r="RL41" s="504" t="str">
        <f t="shared" si="369"/>
        <v/>
      </c>
      <c r="RM41" s="505" t="str">
        <f>IF(A41=FALSE,"",Cotations!$DM$4)</f>
        <v/>
      </c>
      <c r="RN41" s="520" t="str">
        <f>IF(A41=FALSE,"",Cotations!$DN$4)</f>
        <v/>
      </c>
      <c r="RO41" s="503" t="str">
        <f>IF(A41=FALSE,"",Cotations!$DO$4)</f>
        <v/>
      </c>
      <c r="RP41" s="505" t="str">
        <f>IF(A41=FALSE,"",IF(RM41="N/A",0,IF(INDEX(LISTES!$F$105:$F$109,MATCH(RM41,LISTES!$C$105:$C$109,0))="FIX",IF(INDEX(LISTES!$E$105:$E$109,MATCH(RM41,LISTES!$C$105:$C$109,0))=12,RN41/12*L41,RN41/365*M41),RO41*RL41)))</f>
        <v/>
      </c>
      <c r="RQ41" s="504" t="str">
        <f t="shared" si="370"/>
        <v/>
      </c>
      <c r="RR41" s="505" t="str">
        <f>IF(A41=FALSE,"",RQ41*Cotations!$DP$4)</f>
        <v/>
      </c>
      <c r="RS41" s="505" t="str">
        <f>IF(A41=FALSE,"",RQ41*Cotations!$DQ$4)</f>
        <v/>
      </c>
      <c r="RT41" s="506" t="str">
        <f t="shared" si="371"/>
        <v/>
      </c>
      <c r="RU41" s="919" t="str">
        <f>IF(A41=FALSE,"",((RG41*TAXE)-(RG41*TAXE*RI41))+IF(RM41="N/A",0,IF(INDEX(LISTES!$F$105:$F$109,MATCH(RM41,LISTES!$C$105:$C$109,0))="FIX",RN41,RO41*RL41)))</f>
        <v/>
      </c>
      <c r="SA41" s="492" t="str">
        <f t="shared" si="372"/>
        <v/>
      </c>
      <c r="SB41" s="491" t="str">
        <f>IF(A41=FALSE,"",IF(LISTES!$A$17=1,Cotations!DF41,Cotations!DG41))</f>
        <v/>
      </c>
      <c r="SC41" s="285" t="str">
        <f t="shared" si="373"/>
        <v/>
      </c>
      <c r="SD41" s="300"/>
      <c r="SE41" s="461" t="str">
        <f t="shared" si="374"/>
        <v/>
      </c>
      <c r="SF41" s="490" t="str">
        <f>IF(A41=FALSE,"",Cotations!DK41*AA41)</f>
        <v/>
      </c>
      <c r="SG41" s="300" t="str">
        <f t="shared" si="375"/>
        <v/>
      </c>
      <c r="SH41" s="522" t="str">
        <f>IF(A41=FALSE,"",IF(Cotations!DH41="monthly",SG41/12*L41,SG41/365*M41))</f>
        <v/>
      </c>
      <c r="SI41" s="489" t="str">
        <f>IF(A41=FALSE,"",IF(Cotations!DL41="","",Cotations!DL41))</f>
        <v/>
      </c>
      <c r="SJ41" s="300" t="str">
        <f t="shared" si="376"/>
        <v/>
      </c>
      <c r="SK41" s="300" t="str">
        <f t="shared" si="377"/>
        <v/>
      </c>
      <c r="SL41" s="919" t="str">
        <f t="shared" si="378"/>
        <v/>
      </c>
      <c r="SM41" s="285" t="str">
        <f>IF(A41=FALSE,"",Cotations!DM41)</f>
        <v/>
      </c>
      <c r="SN41" s="515" t="str">
        <f>IF(A41=FALSE,"",Cotations!DN41)</f>
        <v/>
      </c>
      <c r="SO41" s="493" t="str">
        <f>IF(A41=FALSE,"",Cotations!DO41)</f>
        <v/>
      </c>
      <c r="SP41" s="517" t="str">
        <f>IF(A41=FALSE,"",IF(SM41="N/A",0,IF(INDEX(LISTES!$F$105:$F$109,MATCH(SM41,LISTES!$C$105:$C$109,0))="FIX",IF(INDEX(LISTES!$E$105:$E$109,MATCH(SM41,LISTES!$C$105:$C$109,0))=12,SN41/12*L41,SN41/365*M41),SO41*SL41)))</f>
        <v/>
      </c>
      <c r="SQ41" s="294" t="str">
        <f t="shared" si="379"/>
        <v/>
      </c>
      <c r="SR41" s="494" t="str">
        <f>IF(A41=FALSE,"",SQ41*Cotations!DP41)</f>
        <v/>
      </c>
      <c r="SS41" s="494" t="str">
        <f>IF(A41=FALSE,"",SQ41*Cotations!DQ41)</f>
        <v/>
      </c>
      <c r="ST41" s="338" t="str">
        <f t="shared" si="380"/>
        <v/>
      </c>
      <c r="SU41" s="919" t="str">
        <f>IF(A41=FALSE,"",((SG41*TAXE)-(SG41*TAXE*SI41))+IF(SM41="N/A",0,IF(INDEX(LISTES!$F$105:$F$109,MATCH(SM41,LISTES!$C$105:$C$109,0))="FIX",SN41,SO41*SL41)))</f>
        <v/>
      </c>
      <c r="TA41" s="492" t="str">
        <f>IF(A41=FALSE,"",Cotations!D41)</f>
        <v/>
      </c>
      <c r="TB41" s="491" t="str">
        <f>IF(A41=FALSE,"",IF(LISTES!$A$17=1,Cotations!DR41,Cotations!DS41))</f>
        <v/>
      </c>
      <c r="TC41" s="285" t="str">
        <f t="shared" si="381"/>
        <v/>
      </c>
      <c r="TD41" s="300" t="str">
        <f>IF(A41=FALSE,"",Detail!CQ41)</f>
        <v/>
      </c>
      <c r="TE41" s="461" t="str">
        <f t="shared" si="382"/>
        <v/>
      </c>
      <c r="TF41" s="490" t="str">
        <f>IF(A41=FALSE,"",IF(TA41="FIXE",Cotations!DU41,Cotations!DV41*Y41))</f>
        <v/>
      </c>
      <c r="TG41" s="300" t="str">
        <f t="shared" si="383"/>
        <v/>
      </c>
      <c r="TH41" s="522" t="str">
        <f>IF(A41=FALSE,"",IF(Cotations!DT41="monthly",TG41/12*L41,TG41/365*M41))</f>
        <v/>
      </c>
      <c r="TI41" s="489" t="str">
        <f>IF(A41=FALSE,"",IF(Cotations!DW41="","",Cotations!DW41))</f>
        <v/>
      </c>
      <c r="TJ41" s="300" t="str">
        <f t="shared" si="384"/>
        <v/>
      </c>
      <c r="TK41" s="300" t="str">
        <f t="shared" si="385"/>
        <v/>
      </c>
      <c r="TL41" s="919" t="str">
        <f t="shared" si="386"/>
        <v/>
      </c>
      <c r="TM41" s="517" t="str">
        <f>IF(A41=FALSE,"",Cotations!DX41)</f>
        <v/>
      </c>
      <c r="TN41" s="517" t="str">
        <f>IF(A41=FALSE,"",Cotations!DY41)</f>
        <v/>
      </c>
      <c r="TO41" s="493" t="str">
        <f>IF(A41=FALSE,"",Cotations!DZ41)</f>
        <v/>
      </c>
      <c r="TP41" s="517" t="str">
        <f>IF(A41=FALSE,"",IF(TM41="N/A",0,IF(INDEX(LISTES!$F$105:$F$109,MATCH(TM41,LISTES!$C$105:$C$109,0))="FIX",IF(INDEX(LISTES!$E$105:$E$109,MATCH(TM41,LISTES!$C$105:$C$109,0))=12,TN41/12*L41,TN41/365*M41),TO41*TL41)))</f>
        <v/>
      </c>
      <c r="TQ41" s="294" t="str">
        <f t="shared" si="387"/>
        <v/>
      </c>
      <c r="TR41" s="494" t="str">
        <f>IF(A41=FALSE,"",TQ41*Cotations!EA41)</f>
        <v/>
      </c>
      <c r="TS41" s="494" t="str">
        <f>IF(A41=FALSE,"",TQ41*Cotations!EB41)</f>
        <v/>
      </c>
      <c r="TT41" s="338" t="str">
        <f t="shared" si="388"/>
        <v/>
      </c>
      <c r="TU41" s="919" t="str">
        <f>IF(A41=FALSE,"",((TG41*(1+TAXE)-(TG41*(1+TAXE)*TI41))+IF(TM41="N/A",0,IF(INDEX(LISTES!$F$105:$F$109,MATCH(TM41,LISTES!$C$105:$C$109,0))="FIX",TN41,TO41*TL41))))</f>
        <v/>
      </c>
      <c r="UA41" s="492" t="str">
        <f>IF(A41=FALSE,"",Cotations!D41)</f>
        <v/>
      </c>
      <c r="UB41" s="491" t="str">
        <f>IF(A41=FALSE,"",IF(LISTES!$A$17=1,Cotations!EC41,Cotations!ED41))</f>
        <v/>
      </c>
      <c r="UC41" s="285" t="str">
        <f t="shared" si="389"/>
        <v/>
      </c>
      <c r="UD41" s="300" t="str">
        <f>IF(A41=FALSE,"",Detail!CY41)</f>
        <v/>
      </c>
      <c r="UE41" s="461" t="str">
        <f t="shared" si="390"/>
        <v/>
      </c>
      <c r="UF41" s="490" t="str">
        <f>IF(A41=FALSE,"",IF(UA41="FIXE",Cotations!EF41,Cotations!EG41*Y41))</f>
        <v/>
      </c>
      <c r="UG41" s="300" t="str">
        <f t="shared" si="391"/>
        <v/>
      </c>
      <c r="UH41" s="522" t="str">
        <f>IF(A41=FALSE,"",IF(Cotations!EE41="monthly",UG41/12*L41,UG41/365*M41))</f>
        <v/>
      </c>
      <c r="UI41" s="489" t="str">
        <f>IF(A41=FALSE,"",IF(Cotations!EH41="","",Cotations!EH41))</f>
        <v/>
      </c>
      <c r="UJ41" s="300" t="str">
        <f t="shared" si="392"/>
        <v/>
      </c>
      <c r="UK41" s="300" t="str">
        <f t="shared" si="393"/>
        <v/>
      </c>
      <c r="UL41" s="919" t="str">
        <f t="shared" si="394"/>
        <v/>
      </c>
      <c r="UM41" s="517" t="str">
        <f>IF(A41=FALSE,"",Cotations!EI41)</f>
        <v/>
      </c>
      <c r="UN41" s="517" t="str">
        <f>IF(A41=FALSE,"",Cotations!EJ41)</f>
        <v/>
      </c>
      <c r="UO41" s="493" t="str">
        <f>IF(A41=FALSE,"",Cotations!EK41)</f>
        <v/>
      </c>
      <c r="UP41" s="517" t="str">
        <f>IF(A41=FALSE,"",IF(UM41="N/A",0,IF(INDEX(LISTES!$F$105:$F$109,MATCH(UM41,LISTES!$C$105:$C$109,0))="FIX",IF(INDEX(LISTES!$E$105:$E$109,MATCH(UM41,LISTES!$C$105:$C$109,0))=12,UN41/12*L41,UN41/365*M41),UO41*UL41)))</f>
        <v/>
      </c>
      <c r="UQ41" s="294" t="str">
        <f t="shared" si="395"/>
        <v/>
      </c>
      <c r="UR41" s="494" t="str">
        <f>IF(A41=FALSE,"",UQ41*Cotations!EL41)</f>
        <v/>
      </c>
      <c r="US41" s="494" t="str">
        <f>IF(A41=FALSE,"",UQ41*Cotations!EM41)</f>
        <v/>
      </c>
      <c r="UT41" s="338" t="str">
        <f t="shared" si="396"/>
        <v/>
      </c>
      <c r="UU41" s="919" t="str">
        <f>IF(A41=FALSE,"",((UG41*(1+TAXE)-(UG41*(1+TAXE)*UI41))+IF(UM41="N/A",0,IF(INDEX(LISTES!$F$105:$F$109,MATCH(UM41,LISTES!$C$105:$C$109,0))="FIX",UN41,UO41*UL41))))</f>
        <v/>
      </c>
      <c r="VA41" s="492" t="str">
        <f>IF(A41=FALSE,"",Cotations!D41)</f>
        <v/>
      </c>
      <c r="VB41" s="519" t="str">
        <f>IF(A41=FALSE,"",IF(LISTES!$A$17=1,Cotations!EN41,Cotations!EO41))</f>
        <v/>
      </c>
      <c r="VC41" s="291" t="str">
        <f t="shared" si="397"/>
        <v/>
      </c>
      <c r="VD41" s="291" t="str">
        <f t="shared" si="398"/>
        <v/>
      </c>
      <c r="VE41" s="291"/>
      <c r="VF41" s="463"/>
      <c r="VG41" s="463" t="str">
        <f t="shared" si="399"/>
        <v/>
      </c>
      <c r="VH41" s="522" t="str">
        <f>IF(A41=FALSE,"",IF(Cotations!$AQ$4="monthly",VG41/12*L41,VG41/365*M41))</f>
        <v/>
      </c>
      <c r="VI41" s="489" t="str">
        <f>IF(A41=FALSE,"",Cotations!$AR$4)</f>
        <v/>
      </c>
      <c r="VJ41" s="300" t="str">
        <f t="shared" si="400"/>
        <v/>
      </c>
      <c r="VK41" s="300" t="str">
        <f t="shared" si="401"/>
        <v/>
      </c>
      <c r="VL41" s="294" t="str">
        <f t="shared" si="402"/>
        <v/>
      </c>
      <c r="VM41" s="494" t="str">
        <f>IF(A41=FALSE,"",Cotations!$AS$4)</f>
        <v/>
      </c>
      <c r="VN41" s="494" t="str">
        <f>IF(A41=FALSE,"",Cotations!$AT$4)</f>
        <v/>
      </c>
      <c r="VO41" s="489" t="str">
        <f>IF(A41=FALSE,"",Cotations!$AU$4)</f>
        <v/>
      </c>
      <c r="VP41" s="494" t="str">
        <f>IF(A41=FALSE,"",IF(VM41="N/A",0,IF(INDEX(LISTES!$F$105:$F$109,MATCH(VM41,LISTES!$C$105:$C$109,0))="FIX",IF(INDEX(LISTES!$E$105:$E$109,MATCH(VM41,LISTES!$C$105:$C$109,0))=12,VN41/12*L41,VN41/365*M41),VO41*VL41)))</f>
        <v/>
      </c>
      <c r="VQ41" s="294" t="str">
        <f t="shared" si="403"/>
        <v/>
      </c>
      <c r="VR41" s="494" t="str">
        <f>IF(A41=FALSE,"",VQ41*Cotations!$AV$4)</f>
        <v/>
      </c>
      <c r="VS41" s="494" t="str">
        <f>IF(A41=FALSE,"",VQ41*Cotations!$AW$4)</f>
        <v/>
      </c>
      <c r="VT41" s="465" t="str">
        <f t="shared" si="404"/>
        <v/>
      </c>
      <c r="VU41" s="919" t="str">
        <f>IF(A41=FALSE,"",((VG41*TAXE)-(VG41*TAXE*VI41))+IF(VM41="N/A",0,IF(INDEX(LISTES!$F$105:$F$109,MATCH(VM41,LISTES!$C$105:$C$109,0))="FIX",VN41,VO41*VL41)))</f>
        <v/>
      </c>
      <c r="WA41" s="492" t="str">
        <f>IF(A41=FALSE,"",Cotations!D41)</f>
        <v/>
      </c>
      <c r="WB41" s="519" t="str">
        <f>IF(A41=FALSE,"",IF(LISTES!$A$17=1,Cotations!EW41,Cotations!EX41))</f>
        <v/>
      </c>
      <c r="WC41" s="291" t="str">
        <f t="shared" si="405"/>
        <v/>
      </c>
      <c r="WD41" s="291" t="str">
        <f t="shared" si="406"/>
        <v/>
      </c>
      <c r="WE41" s="291"/>
      <c r="WF41" s="463"/>
      <c r="WG41" s="463" t="str">
        <f t="shared" si="407"/>
        <v/>
      </c>
      <c r="WH41" s="522" t="str">
        <f>IF(A41=FALSE,"",IF(Cotations!$AQ$4="monthly",WG41/12*L41,WG41/365*M41))</f>
        <v/>
      </c>
      <c r="WI41" s="489" t="str">
        <f>IF(A41=FALSE,"",Cotations!$AR$4)</f>
        <v/>
      </c>
      <c r="WJ41" s="300" t="str">
        <f t="shared" si="408"/>
        <v/>
      </c>
      <c r="WK41" s="300" t="str">
        <f t="shared" si="409"/>
        <v/>
      </c>
      <c r="WL41" s="294" t="str">
        <f t="shared" si="410"/>
        <v/>
      </c>
      <c r="WM41" s="494" t="str">
        <f>IF(A41=FALSE,"",Cotations!$AS$4)</f>
        <v/>
      </c>
      <c r="WN41" s="494" t="str">
        <f>IF(A41=FALSE,"",Cotations!$AT$4)</f>
        <v/>
      </c>
      <c r="WO41" s="489" t="str">
        <f>IF(A41=FALSE,"",Cotations!$AU$4)</f>
        <v/>
      </c>
      <c r="WP41" s="494" t="str">
        <f>IF(A41=FALSE,"",IF(WM41="N/A",0,IF(INDEX(LISTES!$F$105:$F$109,MATCH(WM41,LISTES!$C$105:$C$109,0))="FIX",IF(INDEX(LISTES!$E$105:$E$109,MATCH(WM41,LISTES!$C$105:$C$109,0))=12,WN41/12*L41,WN41/365*M41),WO41*WL41)))</f>
        <v/>
      </c>
      <c r="WQ41" s="294" t="str">
        <f t="shared" si="411"/>
        <v/>
      </c>
      <c r="WR41" s="494" t="str">
        <f>IF(A41=FALSE,"",WQ41*Cotations!$AV$4)</f>
        <v/>
      </c>
      <c r="WS41" s="494" t="str">
        <f>IF(A41=FALSE,"",WQ41*Cotations!$AW$4)</f>
        <v/>
      </c>
      <c r="WT41" s="465" t="str">
        <f t="shared" si="412"/>
        <v/>
      </c>
      <c r="WU41" s="919" t="str">
        <f>IF(A41=FALSE,"",((WG41*TAXE)-(WG41*TAXE*WI41))+IF(WM41="N/A",0,IF(INDEX(LISTES!$F$105:$F$109,MATCH(WM41,LISTES!$C$105:$C$109,0))="FIX",WN41,WO41*WL41)))</f>
        <v/>
      </c>
    </row>
    <row r="42" spans="1:619">
      <c r="A42" s="942" t="b">
        <f t="shared" si="221"/>
        <v>0</v>
      </c>
      <c r="B42" s="942" t="b">
        <f>IF(NAMES!$B$9=TRUE,TRUE,FALSE)</f>
        <v>1</v>
      </c>
      <c r="C42" s="942" t="b">
        <f t="shared" si="413"/>
        <v>0</v>
      </c>
      <c r="D42" s="942" t="b">
        <f t="shared" si="414"/>
        <v>0</v>
      </c>
      <c r="E42" s="274" t="b">
        <f>IF(Cotations!C42="","",Cotations!C42)</f>
        <v>0</v>
      </c>
      <c r="F42" s="274" t="str">
        <f>IF(Cotations!D42="","",Cotations!D42)</f>
        <v>PROP</v>
      </c>
      <c r="G42" s="274" t="str">
        <f>IF(Cotations!E42="","",Cotations!E42)</f>
        <v>2016-2017!</v>
      </c>
      <c r="H42" s="274" t="str">
        <f>IF(Cotations!F42="","",Cotations!F42)</f>
        <v>SINGLE</v>
      </c>
      <c r="I42" s="274" t="str">
        <f>IF(Cotations!G42="","",Cotations!G42)</f>
        <v/>
      </c>
      <c r="J42" s="274" t="str">
        <f>IF(Cotations!H42="","",Cotations!H42)</f>
        <v/>
      </c>
      <c r="K42" s="274" t="str">
        <f>IF(Cotations!I42="","",Cotations!I42)</f>
        <v/>
      </c>
      <c r="L42" s="274" t="str">
        <f>IF(A42=FALSE,"",IF(Cotations!N42="","",Cotations!N42))</f>
        <v/>
      </c>
      <c r="M42" s="274" t="str">
        <f>IF(Cotations!P42="","",Cotations!P42)</f>
        <v/>
      </c>
      <c r="N42" s="724" t="str">
        <f>IF(NAMES!$B$10=TRUE,Cotations!J42,Cotations!L42)</f>
        <v/>
      </c>
      <c r="O42" s="724" t="str">
        <f>IF(NAMES!$B$10=TRUE,Cotations!K42,Cotations!M42)</f>
        <v/>
      </c>
      <c r="P42" s="943" t="str">
        <f t="shared" si="415"/>
        <v/>
      </c>
      <c r="Q42" s="724" t="str">
        <f>IF(A42=FALSE,"",IF(Crewlist!Y42="","",Crewlist!Y42))</f>
        <v/>
      </c>
      <c r="R42" s="78" t="str">
        <f>IF(Cotations!U42="","",Cotations!U42)</f>
        <v/>
      </c>
      <c r="S42" s="943" t="str">
        <f t="shared" si="416"/>
        <v/>
      </c>
      <c r="T42" s="919" t="str">
        <f>IF(A42=FALSE,"",VLOOKUP($U$15:$U$120,Currency!$A$2:$D$10,4,0)*Crewlist!N42)</f>
        <v/>
      </c>
      <c r="U42" s="1355" t="str">
        <f>IF(A42=FALSE,"",IF(IT42=0,Crewlist!M42&amp;"/"&amp;EX42,Crewlist!M42&amp;"/"&amp;IT42))</f>
        <v/>
      </c>
      <c r="V42" s="919" t="str">
        <f>IF(A42=FALSE,"",VLOOKUP($U$15:$U$120,Currency!$A$2:$D$10,4,0)*Detail!Q42)</f>
        <v/>
      </c>
      <c r="W42" s="1355" t="str">
        <f>IF(A42=FALSE,"",IF(IT42=0,Detail!R42&amp;"/"&amp;EX42,Detail!R42&amp;"/"&amp;IT42))</f>
        <v/>
      </c>
      <c r="X42" s="919" t="str">
        <f>IF(A42=FALSE,"",IF(LISTES!$C$17="Crewlist",Calcul!T42,Calcul!V42))</f>
        <v/>
      </c>
      <c r="Y42" s="758" t="str">
        <f t="shared" si="417"/>
        <v/>
      </c>
      <c r="Z42" s="758" t="str">
        <f>IF(A42=FALSE,"",IF(X42=0,0,IF((Cotations!BC42*12*X42)&lt;50000,50000,(12*X42))))</f>
        <v/>
      </c>
      <c r="AA42" s="758" t="str">
        <f t="shared" si="418"/>
        <v/>
      </c>
      <c r="AB42" s="758" t="str">
        <f>IF(A42=FALSE,"",IF(Crewlist!O42=0,"",Crewlist!O42))</f>
        <v/>
      </c>
      <c r="AC42" s="758" t="str">
        <f>IF(I42="","",VLOOKUP($AB$15:$AB$120,Currency!$A$15:$B$34,2,0))</f>
        <v/>
      </c>
      <c r="AD42" s="758" t="str">
        <f t="shared" si="419"/>
        <v/>
      </c>
      <c r="AE42" s="758" t="str">
        <f t="shared" si="420"/>
        <v/>
      </c>
      <c r="AF42" s="758" t="str">
        <f t="shared" si="421"/>
        <v/>
      </c>
      <c r="AG42" s="758" t="str">
        <f t="shared" si="422"/>
        <v/>
      </c>
      <c r="AH42" s="1355" t="str">
        <f t="shared" si="222"/>
        <v/>
      </c>
      <c r="AI42" s="919" t="str">
        <f t="shared" si="423"/>
        <v/>
      </c>
      <c r="AJ42" s="1382" t="str">
        <f t="shared" si="424"/>
        <v/>
      </c>
      <c r="AK42" s="1382" t="str">
        <f t="shared" si="425"/>
        <v/>
      </c>
      <c r="AL42" s="238" t="str">
        <f t="shared" si="223"/>
        <v/>
      </c>
      <c r="AM42" s="238" t="str">
        <f t="shared" si="224"/>
        <v/>
      </c>
      <c r="AN42" s="1374" t="str">
        <f t="shared" si="225"/>
        <v/>
      </c>
      <c r="AO42" s="238" t="str">
        <f t="shared" si="226"/>
        <v/>
      </c>
      <c r="AP42" s="342" t="str">
        <f>IF(A42=FALSE,"",INDEX(Rates!$Z$5:$Z$367,MATCH(EB42,colchoice,0)))</f>
        <v/>
      </c>
      <c r="AQ42" s="238" t="str">
        <f t="shared" si="227"/>
        <v/>
      </c>
      <c r="AR42" s="238" t="str">
        <f t="shared" si="426"/>
        <v/>
      </c>
      <c r="AS42" s="238" t="str">
        <f t="shared" si="427"/>
        <v/>
      </c>
      <c r="AT42" s="238" t="str">
        <f t="shared" si="428"/>
        <v/>
      </c>
      <c r="AU42" s="238" t="str">
        <f t="shared" si="228"/>
        <v/>
      </c>
      <c r="AV42" s="238" t="str">
        <f t="shared" si="429"/>
        <v/>
      </c>
      <c r="AW42" s="238" t="str">
        <f t="shared" si="229"/>
        <v/>
      </c>
      <c r="AX42" s="238" t="str">
        <f t="shared" si="230"/>
        <v/>
      </c>
      <c r="AY42" s="238" t="str">
        <f t="shared" si="231"/>
        <v/>
      </c>
      <c r="AZ42" s="238" t="str">
        <f t="shared" si="232"/>
        <v/>
      </c>
      <c r="BA42" s="238" t="str">
        <f t="shared" si="233"/>
        <v/>
      </c>
      <c r="BB42" s="552" t="str">
        <f t="shared" si="234"/>
        <v/>
      </c>
      <c r="BC42" s="347" t="str">
        <f t="shared" si="235"/>
        <v/>
      </c>
      <c r="BD42" s="239" t="str">
        <f t="shared" si="430"/>
        <v/>
      </c>
      <c r="BE42" s="239" t="str">
        <f>IF(A42=FALSE,"",IF(ALLTHESAME=TRUE,IF(DF42&lt;&gt;$BC$7,0,INDEX(DD42:DZ42,1,MATCH(Structure!$D$12,$DD$14:$DZ$14,0))),IF(EC42&lt;&gt;$BC$7,0,INDEX(EA42:EZ42,1,MATCH(Structure!$D$12,$EA$14:$EZ$14,0)))))</f>
        <v/>
      </c>
      <c r="BF42" s="239" t="str">
        <f>IF(A42=FALSE,"",IF(ALLTHESAME=TRUE,IF(FC42&lt;&gt;$BC$7,0,INDEX(FA42:FZ42,1,MATCH(Structure!$D$12,$FA$14:$FZ$14,0))),IF(GC42&lt;&gt;$BC$7,0,INDEX(GA42:GZ42,1,MATCH(Structure!$D$12,$GA$14:$GZ$14,0)))))</f>
        <v/>
      </c>
      <c r="BG42" s="239" t="str">
        <f>IF(A42=FALSE,"",IF(ALLTHESAME=TRUE,IF(VC42&lt;&gt;$BC$7,0,INDEX(VA42:VZ42,1,MATCH(Structure!$D$12,$VA$14:$VZ$14,0))),IF(VC42&lt;&gt;$BC$7,0,INDEX(VA42:VZ42,1,MATCH(Structure!$D$12,$VA$14:$VZ$14,0)))))</f>
        <v/>
      </c>
      <c r="BH42" s="239" t="str">
        <f>IF(A42=FALSE,"",IF(ALLTHESAME=TRUE,IF(WC42&lt;&gt;$BC$7,0,INDEX(WA42:WY42,1,MATCH(Structure!$D$12,$WA$14:$WZ$14,0))),IF(WC42&lt;&gt;$BC$7,0,INDEX(WA42:WZ42,1,MATCH(Structure!$D$12,$WA$14:$WZ$14,0)))))</f>
        <v/>
      </c>
      <c r="BI42" s="763" t="str">
        <f>IF(A42=FALSE,"",IF(ALLTHESAME=TRUE,IF(HC42&lt;&gt;$BC$7,0,INDEX(HA42:HZ42,1,MATCH(Structure!$D$12,$HA$14:$HZ$14,0)))+TK42,IF(IC42&lt;&gt;$BC$7,0,INDEX(IA42:IZ42,1,MATCH(Structure!$D$12,$IA$14:$IZ$14,0)))+TK42))</f>
        <v/>
      </c>
      <c r="BJ42" s="239" t="str">
        <f>IF(A42=FALSE,"",IF(ALLTHESAME=TRUE,IF(JC42&lt;&gt;$BC$7,0,INDEX(JA42:JZ42,1,MATCH(Structure!$D$12,$JA$14:$JZ$14,0))),IF(KC42&lt;&gt;$BC$7,0,INDEX(KA42:KZ42,1,MATCH(Structure!$D$12,$KA$14:$KZ$14,0)))))</f>
        <v/>
      </c>
      <c r="BK42" s="763" t="str">
        <f>IF(A42=FALSE,"",IF(ALLTHESAME=TRUE,IF(LC42&lt;&gt;$BC$7,0,INDEX(LA42:LZ42,1,MATCH(Structure!$D$12,$LA$14:$LZ$14,0)))+UK42,IF(MC42&lt;&gt;$BC$7,0,INDEX(MA42:MZ42,1,MATCH(Structure!$D$12,$MA$14:$MZ$14,0)))+UK42))</f>
        <v/>
      </c>
      <c r="BL42" s="239" t="str">
        <f>IF(A42=FALSE,"",IF(ALLTHESAME=TRUE,IF(NC42&lt;&gt;$BC$7,0,INDEX(NA42:NZ42,1,MATCH(Structure!$D$12,$NA$14:$NZ$14,0))),IF(OC42&lt;&gt;$BC$7,0,INDEX(OA42:OZ42,1,MATCH(Structure!$D$12,$OA$14:$OZ$14,0)))))</f>
        <v/>
      </c>
      <c r="BM42" s="239" t="str">
        <f>IF(A42=FALSE,"",IF(ALLTHESAME=TRUE,IF(PC42&lt;&gt;$BC$7,0,INDEX(PA42:PZ42,1,MATCH(Structure!$D$12,$PA$14:$PZ$14,0))),IF(QC42&lt;&gt;$BC$7,0,INDEX(QA42:QZ42,1,MATCH(Structure!$D$12,$QA$14:$QZ$14,0)))))</f>
        <v/>
      </c>
      <c r="BN42" s="341" t="str">
        <f>IF(A42=FALSE,"",IF(ALLTHESAME=TRUE,IF(RC42&lt;&gt;$BC$7,0,INDEX(RA42:RZ42,1,MATCH(Structure!$D$12,$RA$14:$RZ$14,0))),IF(SC42&lt;&gt;$BC$7,0,INDEX(SA42:TA42,1,MATCH(Structure!$D$12,$SA$14:$TA$14,0)))))</f>
        <v/>
      </c>
      <c r="BO42" s="507" t="str">
        <f t="shared" si="236"/>
        <v/>
      </c>
      <c r="BP42" s="239" t="str">
        <f t="shared" si="237"/>
        <v/>
      </c>
      <c r="BQ42" s="239" t="str">
        <f>IF(A42=FALSE,"",IF(ALLTHESAME=TRUE,IF(DF42&lt;&gt;$BO$7,0,INDEX(DD42:DZ42,1,MATCH(Structure!$D$12,$DD$14:$DZ$14,0))),IF(EC42&lt;&gt;$BO$7,0,INDEX(EA42:EZ42,1,MATCH(Structure!$D$12,$EA$14:$EZ$14,0)))))</f>
        <v/>
      </c>
      <c r="BR42" s="239" t="str">
        <f>IF(A42=FALSE,"",IF(ALLTHESAME=TRUE,IF(FC42&lt;&gt;$BO$7,0,INDEX(FA42:FZ42,1,MATCH(Structure!$D$12,$FA$14:$FZ$14,0))),IF(GC42&lt;&gt;$BO$7,0,INDEX(GA42:GZ42,1,MATCH(Structure!$D$12,$GA$14:$GZ$14,0)))))</f>
        <v/>
      </c>
      <c r="BS42" s="239" t="str">
        <f>IF(A42=FALSE,"",IF(ALLTHESAME=TRUE,IF(HC42&lt;&gt;$BO$7,0,INDEX(HA42:HZ42,1,MATCH(Structure!$D$12,$HA$14:$HZ$14,0))),IF(IC42&lt;&gt;$BO$7,0,INDEX(IA42:IZ42,1,MATCH(Structure!$D$12,$IA$14:$IZ$14,0)))))</f>
        <v/>
      </c>
      <c r="BT42" s="239" t="str">
        <f>IF(A42=FALSE,"",IF(ALLTHESAME=TRUE,IF(JC42&lt;&gt;$BO$7,0,INDEX(JA42:JZ42,1,MATCH(Structure!$D$12,$JA$14:$JZ$14,0))),IF(KC42&lt;&gt;$BO$7,0,INDEX(KA42:KZ42,1,MATCH(Structure!$D$12,$KA$14:$KZ$14,0)))))</f>
        <v/>
      </c>
      <c r="BU42" s="239" t="str">
        <f>IF(A42=FALSE,"",IF(ALLTHESAME=TRUE,IF(LC42&lt;&gt;$BO$7,0,INDEX(LA42:LZ42,1,MATCH(Structure!$D$12,$LA$14:$LZ$14,0))),IF(MC42&lt;&gt;$BO$7,0,INDEX(MA42:MZ42,1,MATCH(Structure!$D$12,$MA$14:$MZ$14,0)))))</f>
        <v/>
      </c>
      <c r="BV42" s="239" t="str">
        <f>IF(A42=FALSE,"",IF(ALLTHESAME=TRUE,IF(NC42&lt;&gt;$BO$7,0,INDEX(NA42:NZ42,1,MATCH(Structure!$D$12,$NA$14:$NZ$14,0))),IF(OC42&lt;&gt;$BO$7,0,INDEX(OA42:OZ42,1,MATCH(Structure!$D$12,$OA$14:$OZ$14,0)))))</f>
        <v/>
      </c>
      <c r="BW42" s="239" t="str">
        <f>IF(A42=FALSE,"",IF(ALLTHESAME=TRUE,IF(PC42&lt;&gt;$BO$7,0,INDEX(PA42:PZ42,1,MATCH(Structure!$D$12,$PA$14:$PZ$14,0))),IF(QC42&lt;&gt;$BO$7,0,INDEX(QA42:QZ42,1,MATCH(Structure!$D$12,$QA$14:$QZ$14,0)))))</f>
        <v/>
      </c>
      <c r="BX42" s="341" t="str">
        <f>IF(A42=FALSE,"",IF(ALLTHESAME=TRUE,IF(RC42&lt;&gt;$BO$7,0,INDEX(RA42:RZ42,1,MATCH(Structure!$D$12,$RA$14:$RZ$14,0))),IF(SC42&lt;&gt;$BO$7,0,INDEX(SA42:TA42,1,MATCH(Structure!$D$12,$SA$14:$TA$14,0)))))</f>
        <v/>
      </c>
      <c r="BY42" s="347" t="str">
        <f t="shared" si="238"/>
        <v/>
      </c>
      <c r="BZ42" s="507" t="str">
        <f t="shared" si="239"/>
        <v/>
      </c>
      <c r="CA42" s="239" t="str">
        <f t="shared" si="240"/>
        <v/>
      </c>
      <c r="CB42" s="239" t="str">
        <f>IF(A42=FALSE,"",IF(ALLTHESAME=TRUE,INDEX(DD42:DZ42,MATCH(DF42,DF42:DF147,0),MATCH(Structure!$D$17,$DD$14:$DZ$14,0)),INDEX(EA42:EZ42,MATCH(EC42,EC42:EC147,0),MATCH(Structure!$D$17,$EA$14:$EZ$14,0))))</f>
        <v/>
      </c>
      <c r="CC42" s="239" t="str">
        <f>IF(A42=FALSE,"",IF(ALLTHESAME=TRUE,INDEX(FA42:FZ42,MATCH(FC42,FC42:FC147,0),MATCH(Structure!$D$17,$FA$14:$FZ$14,0)),INDEX(GA42:GZ42,MATCH(GC42,GC42:GC147,0),MATCH(Structure!$D$17,$GA$14:$GZ$14,0))))</f>
        <v/>
      </c>
      <c r="CD42" s="239" t="str">
        <f>IF(A42=FALSE,"",IF(ALLTHESAME=TRUE,INDEX(HA42:HZ42,MATCH(HC42,HC42:HC147,0),MATCH(Structure!$D$17,$HA$14:$HZ$14,0)),INDEX(IA42:IZ42,MATCH(IC42,IC42:IC147,0),MATCH(Structure!$D$17,$IA$14:$IZ$14,0))))</f>
        <v/>
      </c>
      <c r="CE42" s="239" t="str">
        <f>IF(A42=FALSE,"",IF(ALLTHESAME=TRUE,INDEX(JA42:JZ42,MATCH(JC42,JC42:JC147,0),MATCH(Structure!$D$17,$JA$14:$JZ$14,0)),INDEX(KA42:KZ42,MATCH(KC42,KC42:KC147,0),MATCH(Structure!$D$17,$KA$14:$KZ$14,0))))</f>
        <v/>
      </c>
      <c r="CF42" s="239" t="str">
        <f>IF(A42=FALSE,"",IF(ALLTHESAME=TRUE,INDEX(LA42:LZ42,MATCH(LC42,LC42:LC147,0),MATCH(Structure!$D$17,$LA$14:$LZ$14,0)),INDEX(MA42:MZ42,MATCH(MC42,MC42:MC147,0),MATCH(Structure!$D$17,$MA$14:$MZ$14,0))))</f>
        <v/>
      </c>
      <c r="CG42" s="239" t="str">
        <f>IF(A42=FALSE,"",IF(ALLTHESAME=TRUE,INDEX(NA42:NZ42,MATCH(NC42,NC42:NC147,0),MATCH(Structure!$D$17,$NA$14:$NZ$14,0)),INDEX(OA42:OZ42,MATCH(OC42,OC42:OC147,0),MATCH(Structure!$D$17,$OA$14:$OZ$14,0))))</f>
        <v/>
      </c>
      <c r="CH42" s="239" t="str">
        <f>IF(A42=FALSE,"",IF(ALLTHESAME=TRUE,INDEX(PA42:PZ42,MATCH(PC42,PC42:PC147,0),MATCH(Structure!$D$17,$PA$14:$PZ$14,0)),INDEX(QA42:QZ42,MATCH(QC42,QC42:QC147,0),MATCH(Structure!$D$17,$QA$14:$QZ$14,0))))</f>
        <v/>
      </c>
      <c r="CI42" s="341" t="str">
        <f>IF(A42=FALSE,"",IF(ALLTHESAME=TRUE,INDEX(RA42:RZ42,MATCH(RC42,RC42:RC147,0),MATCH(Structure!$D$17,$RA$14:$RZ$14,0)),INDEX(SA42:TC42,MATCH(SC42,SC42:SC147,0),MATCH(Structure!$D$17,$SA$14:$TC$14,0))))</f>
        <v/>
      </c>
      <c r="CJ42" s="347"/>
      <c r="CK42" s="239" t="str">
        <f t="shared" si="241"/>
        <v/>
      </c>
      <c r="CL42" s="239" t="str">
        <f>IF(A42=FALSE,"",IF(ALLTHESAME=TRUE,INDEX(DD42:DZ42,MATCH(DF42,DF42:DF147,0),MATCH(Structure!$D$22,$DD$14:$DZ$14,0)),INDEX(EA42:EZ42,MATCH(EC42,EC42:EC147,0),MATCH(Structure!$D$22,$EA$14:$EZ$14,0))))</f>
        <v/>
      </c>
      <c r="CM42" s="239" t="str">
        <f>IF(A42=FALSE,"",IF(ALLTHESAME=TRUE,INDEX(FA42:FZ42,MATCH(FC42,FC42:FC147,0),MATCH(Structure!$D$22,$FA$14:$FZ$14,0)),INDEX(GA42:GZ42,MATCH(GC42,GC42:GC147,0),MATCH(Structure!$D$22,$GA$14:$GZ$14,0))))</f>
        <v/>
      </c>
      <c r="CN42" s="239" t="str">
        <f>IF(A42=FALSE,"",IF(ALLTHESAME=TRUE,INDEX(HA42:HZ42,MATCH(HC42,HC42:HC147,0),MATCH(Structure!$D$22,$HA$14:$HZ$14,0)),INDEX(IA42:IZ42,MATCH(IC42,IC42:IC147,0),MATCH(Structure!$D$22,$IA$14:$IZ$14,0))))</f>
        <v/>
      </c>
      <c r="CO42" s="239" t="str">
        <f>IF(A42=FALSE,"",IF(ALLTHESAME=TRUE,INDEX(JA42:JZ42,MATCH(JC42,JC42:JC147,0),MATCH(Structure!$D$22,$JA$14:$JZ$14,0)),INDEX(KA42:KZ42,MATCH(KC42,KC42:KC147,0),MATCH(Structure!$D$22,$KA$14:$KZ$14,0))))</f>
        <v/>
      </c>
      <c r="CP42" s="239" t="str">
        <f>IF(A42=FALSE,"",IF(ALLTHESAME=TRUE,INDEX(LA42:LZ42,MATCH(LC42,LC42:LC147,0),MATCH(Structure!$D$22,$LA$14:$LZ$14,0)),INDEX(MA42:MZ42,MATCH(MC42,MC42:MC147,0),MATCH(Structure!$D$22,$MA$14:$MZ$14,0))))</f>
        <v/>
      </c>
      <c r="CQ42" s="239" t="str">
        <f>IF(A42=FALSE,"",IF(ALLTHESAME=TRUE,INDEX(NA42:NZ42,MATCH(NC42,NC42:NC147,0),MATCH(Structure!$D$22,$NA$14:$NZ$14,0)),INDEX(OA42:OZ42,MATCH(OC42,OC42:OC147,0),MATCH(Structure!$D$22,$OA$14:$OZ$14,0))))</f>
        <v/>
      </c>
      <c r="CR42" s="239" t="str">
        <f>IF(A42=FALSE,"",IF(ALLTHESAME=TRUE,INDEX(PA42:PZ42,MATCH(PC42,PC42:PC147,0),MATCH(Structure!$D$22,$PA$14:$PZ$14,0)),INDEX(QA42:QZ42,MATCH(QC42,QC42:QC147,0),MATCH(Structure!$D$22,$QA$14:$QZ$14,0))))</f>
        <v/>
      </c>
      <c r="CS42" s="341" t="str">
        <f>IF(A42=FALSE,"",IF(ALLTHESAME=TRUE,INDEX(RA42:RZ42,MATCH(RC42,RC42:RC147,0),MATCH(Structure!$D$22,$RA$14:$RZ$14,0)),INDEX(SA42:TC42,MATCH(SC42,SC42:SC147,0),MATCH(Structure!$D$22,$SA$14:$TC$14,0))))</f>
        <v/>
      </c>
      <c r="CT42" s="347"/>
      <c r="CU42" s="239" t="str">
        <f t="shared" si="242"/>
        <v/>
      </c>
      <c r="CV42" s="239" t="str">
        <f>IF(A42=FALSE,"",IF(ALLTHESAME=TRUE,INDEX(DD42:DZ42,MATCH(DF42,DF42:DF147,0),MATCH(Structure!$D$8,$DD$14:$DZ$14,0)),INDEX(EA42:EZ42,MATCH(EC42,EC42:EC147,0),MATCH(Structure!$D$8,$EA$14:$EZ$14,0))))</f>
        <v/>
      </c>
      <c r="CW42" s="239" t="str">
        <f>IF(A42=FALSE,"",IF(ALLTHESAME=TRUE,INDEX(FA42:FZ42,MATCH(FC42,FC42:FC147,0),MATCH(Structure!$D$8,$FA$14:$FZ$14,0)),INDEX(GA42:GZ42,MATCH(GC42,GC42:GC147,0),MATCH(Structure!$D$8,$GA$14:$GZ$14,0))))</f>
        <v/>
      </c>
      <c r="CX42" s="239" t="str">
        <f>IF(A42=FALSE,"",IF(ALLTHESAME=TRUE,INDEX(HA42:HZ42,MATCH(HC42,HC42:HC147,0),MATCH(Structure!$D$8,$HA$14:$HZ$14,0)),INDEX(IA42:IZ42,MATCH(IC42,IC42:IC147,0),MATCH(Structure!$D$8,$IA$14:$IZ$14,0))))</f>
        <v/>
      </c>
      <c r="CY42" s="239" t="str">
        <f>IF(A42=FALSE,"",IF(ALLTHESAME=TRUE,INDEX(JA42:JZ42,MATCH(JC42,JC42:JC147,0),MATCH(Structure!$D$8,$JA$14:$JZ$14,0)),INDEX(KA42:KZ42,MATCH(KC42,KC42:KC147,0),MATCH(Structure!$D$8,$KA$14:$KZ$14,0))))</f>
        <v/>
      </c>
      <c r="CZ42" s="239" t="str">
        <f>IF(A42=FALSE,"",IF(ALLTHESAME=TRUE,INDEX(LA42:LZ42,MATCH(LC42,LC42:LC147,0),MATCH(Structure!$D$8,$LA$14:$LZ$14,0)),INDEX(MA42:MZ42,MATCH(MC42,MC42:MC147,0),MATCH(Structure!$D$8,$MA$14:$MZ$14,0))))</f>
        <v/>
      </c>
      <c r="DA42" s="239" t="str">
        <f>IF(A42=FALSE,"",IF(ALLTHESAME=TRUE,INDEX(NA42:NZ42,MATCH(NC42,NC42:NC147,0),MATCH(Structure!$D$8,$NA$14:$NZ$14,0)),INDEX(OA42:OZ42,MATCH(OC42,OC42:OC147,0),MATCH(Structure!$D$8,$OA$14:$OZ$14,0))))</f>
        <v/>
      </c>
      <c r="DB42" s="239" t="str">
        <f>IF(A42=FALSE,"",IF(ALLTHESAME=TRUE,INDEX(PA42:PZ42,MATCH(PC42,PC42:PC147,0),MATCH(Structure!$D$8,$PA$14:$PZ$14,0)),INDEX(QA42:QZ42,MATCH(QC42,QC42:QC147,0),MATCH(Structure!$D$8,$QA$14:$QZ$14,0))))</f>
        <v/>
      </c>
      <c r="DC42" s="341" t="str">
        <f>IF(A42=FALSE,"",IF(ALLTHESAME=TRUE,INDEX(RA42:RZ42,MATCH(RC42,RC42:RC147,0),MATCH(Structure!$D$8,$RA$14:$RZ$14,0)),INDEX(SA42:TC42,MATCH(SC42,SC42:SC147,0),MATCH(Structure!$D$8,$SA$14:$TC$14,0))))</f>
        <v/>
      </c>
      <c r="DD42" s="492" t="str">
        <f>IF(A42=FALSE,"",Cotations!D42)</f>
        <v/>
      </c>
      <c r="DE42" s="492" t="str">
        <f>IF(A42=FALSE,"",IF(LISTES!$A$17=1,Cotations!AF42,Cotations!$AG$4))</f>
        <v/>
      </c>
      <c r="DF42" s="291" t="str">
        <f t="shared" si="431"/>
        <v/>
      </c>
      <c r="DG42" s="291" t="str">
        <f t="shared" si="243"/>
        <v/>
      </c>
      <c r="DH42" s="291"/>
      <c r="DI42" s="463"/>
      <c r="DJ42" s="463" t="str">
        <f t="shared" si="244"/>
        <v/>
      </c>
      <c r="DK42" s="522" t="str">
        <f>IF(A42=FALSE,"",IF(Cotations!$AH$4="monthly",DJ42/12*L42,DJ42/365*M42))</f>
        <v/>
      </c>
      <c r="DL42" s="489" t="str">
        <f>IF(A42=FALSE,"",Cotations!$AI$4)</f>
        <v/>
      </c>
      <c r="DM42" s="300" t="str">
        <f t="shared" si="245"/>
        <v/>
      </c>
      <c r="DN42" s="300" t="str">
        <f t="shared" si="246"/>
        <v/>
      </c>
      <c r="DO42" s="294" t="str">
        <f t="shared" si="247"/>
        <v/>
      </c>
      <c r="DP42" s="494" t="str">
        <f>IF(A42=FALSE,"",Cotations!$AJ$4)</f>
        <v/>
      </c>
      <c r="DQ42" s="494" t="str">
        <f>IF(A42=FALSE,"",Cotations!$AK$4)</f>
        <v/>
      </c>
      <c r="DR42" s="489" t="str">
        <f>IF(A42=FALSE,"",Cotations!$AL$4)</f>
        <v/>
      </c>
      <c r="DS42" s="494" t="str">
        <f>IF(A42=FALSE,"",IF(DP42="N/A",0,IF(INDEX(LISTES!$F$105:$F$109,MATCH(DP42,LISTES!$C$105:$C$109,0))="FIX",IF(INDEX(LISTES!$E$105:$E$109,MATCH(DP42,LISTES!$C$105:$C$109,0))=12,DQ42/12*L42,DQ42/365*M42),DR42*DO42)))</f>
        <v/>
      </c>
      <c r="DT42" s="294" t="str">
        <f t="shared" si="248"/>
        <v/>
      </c>
      <c r="DU42" s="294" t="str">
        <f>IF(A42=FALSE,"",DT42*Cotations!$AM$4)</f>
        <v/>
      </c>
      <c r="DV42" s="294" t="str">
        <f>IF(A42=FALSE,"",DT42*Cotations!$AN$4)</f>
        <v/>
      </c>
      <c r="DW42" s="465" t="str">
        <f t="shared" si="249"/>
        <v/>
      </c>
      <c r="DX42" s="919" t="str">
        <f>IF(A42=FALSE,"",((DJ42*TAXE)-(DJ42*TAXE*DL42))+IF(DP42="N/A",0,IF(INDEX(LISTES!$F$105:$F$109,MATCH(DP42,LISTES!$C$105:$C$109,0))="FIX",DQ42,DR42*DO42)))</f>
        <v/>
      </c>
      <c r="DY42" s="466"/>
      <c r="DZ42" s="466"/>
      <c r="EA42" s="492" t="str">
        <f>IF(A42=FALSE,"",Cotations!D42)</f>
        <v/>
      </c>
      <c r="EB42" s="494" t="str">
        <f>IF(A42=FALSE,"",IF(LISTES!$A$17=1,Cotations!AF42,Cotations!AG42))</f>
        <v/>
      </c>
      <c r="EC42" s="284" t="str">
        <f t="shared" si="250"/>
        <v/>
      </c>
      <c r="ED42" s="284" t="str">
        <f t="shared" si="251"/>
        <v/>
      </c>
      <c r="EE42" s="284"/>
      <c r="EF42" s="284"/>
      <c r="EG42" s="284" t="str">
        <f t="shared" si="252"/>
        <v/>
      </c>
      <c r="EH42" s="1365" t="str">
        <f t="shared" si="253"/>
        <v/>
      </c>
      <c r="EI42" s="1365" t="str">
        <f t="shared" si="254"/>
        <v/>
      </c>
      <c r="EJ42" s="515" t="str">
        <f>IF(A42=FALSE,"",IF(Cotations!AH42="monthly",EG42/12*L42,EG42/365*M42))</f>
        <v/>
      </c>
      <c r="EK42" s="1364" t="str">
        <f>IF(A42=FALSE,"",IF(Cotations!AH42="monthly",EI42/12*L42,EI42/365*M42))</f>
        <v/>
      </c>
      <c r="EL42" s="493" t="str">
        <f>IF(A42=FALSE,"",IF(Cotations!AI42="","",Cotations!AI42))</f>
        <v/>
      </c>
      <c r="EM42" s="284" t="str">
        <f t="shared" si="255"/>
        <v/>
      </c>
      <c r="EN42" s="284" t="str">
        <f t="shared" si="256"/>
        <v/>
      </c>
      <c r="EO42" s="1365" t="str">
        <f t="shared" si="432"/>
        <v/>
      </c>
      <c r="EP42" s="284" t="str">
        <f t="shared" si="257"/>
        <v/>
      </c>
      <c r="EQ42" s="515" t="str">
        <f>IF(A42=FALSE,"",Cotations!AJ42)</f>
        <v/>
      </c>
      <c r="ER42" s="515" t="str">
        <f>IF(A42=FALSE,"",IF(Cotations!AK42="","",Cotations!AK42))</f>
        <v/>
      </c>
      <c r="ES42" s="493" t="str">
        <f>IF(A42=FALSE,"",Cotations!AL42)</f>
        <v/>
      </c>
      <c r="ET42" s="515" t="str">
        <f>IF(A42=FALSE,"",IF(EQ42="N/A",0,IF(INDEX(LISTES!$F$105:$F$109,MATCH(EQ42,LISTES!$C$105:$C$109,0))="FIX",IF(INDEX(LISTES!$E$105:$E$109,MATCH(EQ42,LISTES!$C$105:$C$109,0))=12,ER42/12*L42,ER42/365*M42),ES42*EP42)))</f>
        <v/>
      </c>
      <c r="EU42" s="294" t="str">
        <f t="shared" si="258"/>
        <v/>
      </c>
      <c r="EV42" s="494" t="str">
        <f>IF(A42=FALSE,"",EU42*Cotations!AM42)</f>
        <v/>
      </c>
      <c r="EW42" s="494" t="str">
        <f>IF(A42=FALSE,"",EU42*Cotations!AN42)</f>
        <v/>
      </c>
      <c r="EX42" s="334" t="str">
        <f t="shared" si="259"/>
        <v/>
      </c>
      <c r="EY42" s="919" t="str">
        <f>IF(A42=FALSE,"",((EG42*TAXE)-(EG42*TAXE*EL42)+EH42)+IF(EQ42="N/A",0,IF(INDEX(LISTES!$F$105:$F$109,MATCH(EQ42,LISTES!$C$105:$C$109,0))="FIX",ER42,ES42*EP42)))</f>
        <v/>
      </c>
      <c r="FA42" s="492" t="str">
        <f>IF(A42=FALSE,"",Cotations!D42)</f>
        <v/>
      </c>
      <c r="FB42" s="519" t="str">
        <f>IF(A42=FALSE,"",IF(LISTES!$A$17=1,Cotations!AO42,Cotations!$AP$4))</f>
        <v/>
      </c>
      <c r="FC42" s="291" t="str">
        <f t="shared" si="260"/>
        <v/>
      </c>
      <c r="FD42" s="291" t="str">
        <f t="shared" si="261"/>
        <v/>
      </c>
      <c r="FE42" s="291"/>
      <c r="FF42" s="463"/>
      <c r="FG42" s="463" t="str">
        <f t="shared" si="262"/>
        <v/>
      </c>
      <c r="FH42" s="522" t="str">
        <f>IF(A42=FALSE,"",IF(Cotations!$AQ$4="monthly",FG42/12*L42,FG42/365*M42))</f>
        <v/>
      </c>
      <c r="FI42" s="453" t="str">
        <f>IF(A42=FALSE,"",Cotations!$AR$4)</f>
        <v/>
      </c>
      <c r="FJ42" s="300" t="str">
        <f t="shared" si="263"/>
        <v/>
      </c>
      <c r="FK42" s="300" t="str">
        <f t="shared" si="264"/>
        <v/>
      </c>
      <c r="FL42" s="294" t="str">
        <f t="shared" si="265"/>
        <v/>
      </c>
      <c r="FM42" s="494" t="str">
        <f>IF(A42=FALSE,"",Cotations!$AS$4)</f>
        <v/>
      </c>
      <c r="FN42" s="494" t="str">
        <f>IF(A42=FALSE,"",Cotations!$AT$4)</f>
        <v/>
      </c>
      <c r="FO42" s="489" t="str">
        <f>IF(A42=FALSE,"",Cotations!$AU$4)</f>
        <v/>
      </c>
      <c r="FP42" s="494" t="str">
        <f>IF(A42=FALSE,"",IF(FM42="N/A",0,IF(INDEX(LISTES!$F$105:$F$109,MATCH(FM42,LISTES!$C$105:$C$109,0))="FIX",IF(INDEX(LISTES!$E$105:$E$109,MATCH(FM42,LISTES!$C$105:$C$109,0))=12,FN42/12*L42,FN42/365*M42),FO42*FL42)))</f>
        <v/>
      </c>
      <c r="FQ42" s="294" t="str">
        <f t="shared" si="266"/>
        <v/>
      </c>
      <c r="FR42" s="494" t="str">
        <f>IF(A42=FALSE,"",FQ42*Cotations!$AV$4)</f>
        <v/>
      </c>
      <c r="FS42" s="494" t="str">
        <f>IF(A42=FALSE,"",FQ42*Cotations!$AW$4)</f>
        <v/>
      </c>
      <c r="FT42" s="465" t="str">
        <f t="shared" si="267"/>
        <v/>
      </c>
      <c r="FU42" s="919" t="str">
        <f>IF(A42=FALSE,"",((FG42*TAXE)-(FG42*TAXE*FI42))+IF(FM42="N/A",0,IF(INDEX(LISTES!$F$105:$F$109,MATCH(FM42,LISTES!$C$105:$C$109,0))="FIX",FN42,FO42*FL42)))</f>
        <v/>
      </c>
      <c r="FV42" s="478"/>
      <c r="FW42" s="478"/>
      <c r="FX42" s="478"/>
      <c r="FY42" s="478"/>
      <c r="FZ42" s="478"/>
      <c r="GA42" s="492" t="str">
        <f>IF(A42=FALSE,"",Cotations!D42)</f>
        <v/>
      </c>
      <c r="GB42" s="494" t="str">
        <f>IF(A42=FALSE,"",IF(LISTES!$A$17=1,Cotations!AO42,Cotations!AP42))</f>
        <v/>
      </c>
      <c r="GC42" s="284" t="str">
        <f t="shared" si="268"/>
        <v/>
      </c>
      <c r="GD42" s="515" t="str">
        <f>IF(A42=FALSE,"",IF(Detail!AM42="","",Detail!AM42))</f>
        <v/>
      </c>
      <c r="GE42" s="284"/>
      <c r="GF42" s="284"/>
      <c r="GG42" s="284" t="str">
        <f t="shared" si="269"/>
        <v/>
      </c>
      <c r="GH42" s="515" t="str">
        <f>IF(A42=FALSE,"",IF(Cotations!AQ42="monthly",GG42/12*L42,GG42/365*M42))</f>
        <v/>
      </c>
      <c r="GI42" s="493" t="str">
        <f>IF(A42=FALSE,"",IF(Cotations!AR42="","",Cotations!AR42))</f>
        <v/>
      </c>
      <c r="GJ42" s="284" t="str">
        <f t="shared" si="270"/>
        <v/>
      </c>
      <c r="GK42" s="284" t="str">
        <f t="shared" si="271"/>
        <v/>
      </c>
      <c r="GL42" s="284" t="str">
        <f t="shared" si="272"/>
        <v/>
      </c>
      <c r="GM42" s="515" t="str">
        <f>IF(A42=FALSE,"",Cotations!AS42)</f>
        <v/>
      </c>
      <c r="GN42" s="515" t="str">
        <f>IF(A42=FALSE,"",Cotations!AT42)</f>
        <v/>
      </c>
      <c r="GO42" s="493" t="str">
        <f>IF(A42=FALSE,"",Cotations!AU42)</f>
        <v/>
      </c>
      <c r="GP42" s="515" t="str">
        <f>IF(A42=FALSE,"",IF(GM42="N/A",0,IF(INDEX(LISTES!$F$105:$F$109,MATCH(GM42,LISTES!$C$105:$C$109,0))="FIX",IF(INDEX(LISTES!$E$105:$E$109,MATCH(GM42,LISTES!$C$105:$C$109,0))=12,GN42/12*L42,GN42/365*M42),GO42*GL42)))</f>
        <v/>
      </c>
      <c r="GQ42" s="294" t="str">
        <f t="shared" si="273"/>
        <v/>
      </c>
      <c r="GR42" s="494" t="str">
        <f>IF(A42=FALSE,"",GQ42*Cotations!AV42)</f>
        <v/>
      </c>
      <c r="GS42" s="494" t="str">
        <f>IF(A42=FALSE,"",GQ42*Cotations!AW42)</f>
        <v/>
      </c>
      <c r="GT42" s="334" t="str">
        <f t="shared" si="274"/>
        <v/>
      </c>
      <c r="GU42" s="919" t="str">
        <f>IF(A42=FALSE,"",((GG42*TAXE)-(GG42*TAXE*GI42))+IF(GM42="N/A",0,IF(INDEX(LISTES!$F$105:$F$109,MATCH(GM42,LISTES!$C$105:$C$109,0))="FIX",GN42,GO42*GL42)))</f>
        <v/>
      </c>
      <c r="GV42" s="478"/>
      <c r="GW42" s="466"/>
      <c r="GX42" s="466"/>
      <c r="GY42" s="466"/>
      <c r="GZ42" s="466"/>
      <c r="HA42" s="492" t="str">
        <f>IF(A42=FALSE,"",Cotations!D42)</f>
        <v/>
      </c>
      <c r="HB42" s="495" t="str">
        <f>IF(A42=FALSE,"",IF(LISTES!$A$17=1,Cotations!AX42,Cotations!$AY$4))</f>
        <v/>
      </c>
      <c r="HC42" s="291" t="str">
        <f t="shared" si="275"/>
        <v/>
      </c>
      <c r="HD42" s="291" t="str">
        <f t="shared" si="276"/>
        <v/>
      </c>
      <c r="HE42" s="456" t="str">
        <f t="shared" si="277"/>
        <v/>
      </c>
      <c r="HF42" s="496" t="str">
        <f>IF(A42=FALSE,"",IF(HA42="POEA",Cotations!BA42,IF(HA42="FIXE",Cotations!$BA$4,Cotations!$BC$4*Y42)))</f>
        <v/>
      </c>
      <c r="HG42" s="300" t="str">
        <f t="shared" si="278"/>
        <v/>
      </c>
      <c r="HH42" s="522" t="str">
        <f>IF(A42=FALSE,"",IF(Cotations!$AZ$4="monthly",HG42/12*L42,HG42/365*M42))</f>
        <v/>
      </c>
      <c r="HI42" s="489" t="str">
        <f>IF(A42=FALSE,"",Cotations!$BD$4)</f>
        <v/>
      </c>
      <c r="HJ42" s="300" t="str">
        <f t="shared" si="279"/>
        <v/>
      </c>
      <c r="HK42" s="300" t="str">
        <f t="shared" si="280"/>
        <v/>
      </c>
      <c r="HL42" s="294" t="str">
        <f t="shared" si="281"/>
        <v/>
      </c>
      <c r="HM42" s="494" t="str">
        <f>IF(A42=FALSE,"",Cotations!$BE$4)</f>
        <v/>
      </c>
      <c r="HN42" s="522" t="str">
        <f>IF(A42=FALSE,"",Cotations!$BF$4)</f>
        <v/>
      </c>
      <c r="HO42" s="489" t="str">
        <f>IF(A42=FALSE,"",Cotations!$BG$4)</f>
        <v/>
      </c>
      <c r="HP42" s="494" t="str">
        <f>IF(A42=FALSE,"",IF(HM42="N/A",0,IF(INDEX(LISTES!$F$105:$F$109,MATCH(HM42,LISTES!$C$105:$C$109,0))="FIX",IF(INDEX(LISTES!$E$105:$E$109,MATCH(HM42,LISTES!$C$105:$C$109,0))=12,HN42/12*L42,HN42/365*M42),HO42*HL42)))</f>
        <v/>
      </c>
      <c r="HQ42" s="294" t="str">
        <f t="shared" si="282"/>
        <v/>
      </c>
      <c r="HR42" s="494" t="str">
        <f>IF(A42=FALSE,"",HQ42*Cotations!$BH$4)</f>
        <v/>
      </c>
      <c r="HS42" s="494" t="str">
        <f>IF(A42=FALSE,"",HQ42*Cotations!$BI$4)</f>
        <v/>
      </c>
      <c r="HT42" s="294" t="str">
        <f t="shared" si="283"/>
        <v/>
      </c>
      <c r="HU42" s="919" t="str">
        <f>IF(A42=FALSE,"",((HG42*TAXE)-(HG42*TAXE*HI42))+IF(HM42="N/A",0,IF(INDEX(LISTES!$F$105:$F$109,MATCH(HM42,LISTES!$C$105:$C$109,0))="FIX",HN42,HO42*HL42)))</f>
        <v/>
      </c>
      <c r="IA42" s="492" t="str">
        <f>IF(A42=FALSE,"",Cotations!D42)</f>
        <v/>
      </c>
      <c r="IB42" s="491" t="str">
        <f>IF(A42=FALSE,"",IF(LISTES!$A$17=1,Cotations!AX42,Cotations!AY42))</f>
        <v/>
      </c>
      <c r="IC42" s="285" t="str">
        <f t="shared" si="284"/>
        <v/>
      </c>
      <c r="ID42" s="300" t="str">
        <f>IF(A42=FALSE,"",IF(LISTES!$A$17=3,Detail!AU42,lig1_Formula_PREVOY))</f>
        <v/>
      </c>
      <c r="IE42" s="461" t="str">
        <f t="shared" si="285"/>
        <v/>
      </c>
      <c r="IF42" s="490" t="str">
        <f>IF(A42=FALSE,"",IF(IA42="POEA",Cotations!BA42,IF(HA42="FIXE",Cotations!BB42,IF(Cotations!BC42*Y42&lt;50000,Z42,Cotations!BC42*Y42))))</f>
        <v/>
      </c>
      <c r="IG42" s="300" t="str">
        <f t="shared" si="286"/>
        <v/>
      </c>
      <c r="IH42" s="522" t="str">
        <f>IF(A42=FALSE,"",IF(Cotations!AZ42="monthly",IG42/12*L42,IG42/365*M42))</f>
        <v/>
      </c>
      <c r="II42" s="489" t="str">
        <f>IF(A42=FALSE,"",IF(Cotations!BD42="","",Cotations!BD42))</f>
        <v/>
      </c>
      <c r="IJ42" s="300" t="str">
        <f t="shared" si="287"/>
        <v/>
      </c>
      <c r="IK42" s="300" t="str">
        <f t="shared" si="288"/>
        <v/>
      </c>
      <c r="IL42" s="919" t="str">
        <f t="shared" si="289"/>
        <v/>
      </c>
      <c r="IM42" s="517" t="str">
        <f>IF(A42=FALSE,"",Cotations!BE42)</f>
        <v/>
      </c>
      <c r="IN42" s="517" t="str">
        <f>IF(A42=FALSE,"",Cotations!BF42)</f>
        <v/>
      </c>
      <c r="IO42" s="493" t="str">
        <f>IF(A42=FALSE,"",Cotations!BG42)</f>
        <v/>
      </c>
      <c r="IP42" s="517" t="str">
        <f>IF(A42=FALSE,"",IF(IM42="N/A",0,IF(INDEX(LISTES!$F$105:$F$109,MATCH(IM42,LISTES!$C$105:$C$109,0))="FIX",IF(INDEX(LISTES!$E$105:$E$109,MATCH(IM42,LISTES!$C$105:$C$109,0))=12,IN42/12*L42,IN42/365*M42),IO42*IL42)))</f>
        <v/>
      </c>
      <c r="IQ42" s="294" t="str">
        <f t="shared" si="290"/>
        <v/>
      </c>
      <c r="IR42" s="494" t="str">
        <f>IF(A42=FALSE,"",IQ42*Cotations!BH42)</f>
        <v/>
      </c>
      <c r="IS42" s="494" t="str">
        <f>IF(A42=FALSE,"",IQ42*Cotations!BI42)</f>
        <v/>
      </c>
      <c r="IT42" s="338" t="str">
        <f t="shared" si="291"/>
        <v/>
      </c>
      <c r="IU42" s="919" t="str">
        <f>IF(A42=FALSE,"",((IG42*TAXE)-(IG42*TAXE*II42))+IF(IM42="N/A",0,IF(INDEX(LISTES!$F$105:$F$109,MATCH(IM42,LISTES!$C$105:$C$109,0))="FIX",IN42,IO42*IL42)))</f>
        <v/>
      </c>
      <c r="JA42" s="492" t="str">
        <f>IF(A42=FALSE,"",Cotations!D42)</f>
        <v/>
      </c>
      <c r="JB42" s="495" t="str">
        <f>IF(A42=FALSE,"",IF(LISTES!$A$17=1,Cotations!BJ42,Cotations!$BK$4))</f>
        <v/>
      </c>
      <c r="JC42" s="291" t="str">
        <f t="shared" si="292"/>
        <v/>
      </c>
      <c r="JD42" s="291" t="str">
        <f t="shared" si="293"/>
        <v/>
      </c>
      <c r="JE42" s="456" t="str">
        <f t="shared" si="294"/>
        <v/>
      </c>
      <c r="JF42" s="496" t="str">
        <f>IF(A42=FALSE,"",IF(JA42="POEA",Cotations!BM42,IF(JA42="FIXE",Cotations!$BM$4,Cotations!$BO$4*Y42)))</f>
        <v/>
      </c>
      <c r="JG42" s="300" t="str">
        <f t="shared" si="295"/>
        <v/>
      </c>
      <c r="JH42" s="522" t="str">
        <f>IF(A42=FALSE,"",IF(Cotations!$BL$4="monthly",JG42/12*L42,JG42/365*M42))</f>
        <v/>
      </c>
      <c r="JI42" s="489" t="str">
        <f>IF(A42=FALSE,"",Cotations!$BP$4)</f>
        <v/>
      </c>
      <c r="JJ42" s="300" t="str">
        <f t="shared" si="296"/>
        <v/>
      </c>
      <c r="JK42" s="300" t="str">
        <f t="shared" si="297"/>
        <v/>
      </c>
      <c r="JL42" s="294" t="str">
        <f t="shared" si="298"/>
        <v/>
      </c>
      <c r="JM42" s="494" t="str">
        <f>IF(A42=FALSE,"",Cotations!$BQ$4)</f>
        <v/>
      </c>
      <c r="JN42" s="522" t="str">
        <f>IF(A42=FALSE,"",Cotations!$BR$4)</f>
        <v/>
      </c>
      <c r="JO42" s="489" t="str">
        <f>IF(A42=FALSE,"",Cotations!$BS$4)</f>
        <v/>
      </c>
      <c r="JP42" s="494" t="str">
        <f>IF(A42=FALSE,"",IF(JM42="N/A",0,IF(INDEX(LISTES!$F$105:$F$109,MATCH(JM42,LISTES!$C$105:$C$109,0))="FIX",IF(INDEX(LISTES!$E$105:$E$109,MATCH(JM42,LISTES!$C$105:$C$109,0))=12,JN42/12*L42,JN42/365*M42),JO42*JL42)))</f>
        <v/>
      </c>
      <c r="JQ42" s="294" t="str">
        <f t="shared" si="299"/>
        <v/>
      </c>
      <c r="JR42" s="494" t="str">
        <f>IF(A42=FALSE,"",JQ42*Cotations!$BT$4)</f>
        <v/>
      </c>
      <c r="JS42" s="494" t="str">
        <f>IF(A42=FALSE,"",JQ42*Cotations!$BU$4)</f>
        <v/>
      </c>
      <c r="JT42" s="294" t="str">
        <f t="shared" si="300"/>
        <v/>
      </c>
      <c r="JU42" s="919" t="str">
        <f>IF(A42=FALSE,"",((JG42*TAXE)-(JG42*TAXE*JI42))+IF(JM42="N/A",0,IF(INDEX(LISTES!$F$105:$F$109,MATCH(JM42,LISTES!$C$105:$C$109,0))="FIX",JN42,JO42*JL42)))</f>
        <v/>
      </c>
      <c r="KA42" s="492" t="str">
        <f>IF(A42=FALSE,"",Cotations!D42)</f>
        <v/>
      </c>
      <c r="KB42" s="491" t="str">
        <f>IF(A42=FALSE,"",IF(LISTES!$A$17=1,Cotations!BJ42,Cotations!BK42))</f>
        <v/>
      </c>
      <c r="KC42" s="285" t="str">
        <f t="shared" si="301"/>
        <v/>
      </c>
      <c r="KD42" s="300"/>
      <c r="KE42" s="461" t="str">
        <f t="shared" si="302"/>
        <v/>
      </c>
      <c r="KF42" s="490" t="str">
        <f>IF(A42=FALSE,"",IF(KA42="POEA",Cotations!BM42,IF(KA42="FIXE",Cotations!BN42,IF(Cotations!BO42*Y42&lt;50000,Z42,Cotations!BO42*Y42))))</f>
        <v/>
      </c>
      <c r="KG42" s="300" t="str">
        <f t="shared" si="303"/>
        <v/>
      </c>
      <c r="KH42" s="522" t="str">
        <f>IF(A42=FALSE,"",IF(Cotations!BL42="monthly",KG42/12*L42,KG42/365*M42))</f>
        <v/>
      </c>
      <c r="KI42" s="489" t="str">
        <f>IF(A42=FALSE,"",IF(Cotations!BP42="","",Cotations!BP42))</f>
        <v/>
      </c>
      <c r="KJ42" s="300" t="str">
        <f t="shared" si="304"/>
        <v/>
      </c>
      <c r="KK42" s="300" t="str">
        <f t="shared" si="305"/>
        <v/>
      </c>
      <c r="KL42" s="919" t="str">
        <f t="shared" si="306"/>
        <v/>
      </c>
      <c r="KM42" s="517" t="str">
        <f>IF(A42=FALSE,"",Cotations!BQ42)</f>
        <v/>
      </c>
      <c r="KN42" s="515" t="str">
        <f>IF(A42=FALSE,"",Cotations!BR42)</f>
        <v/>
      </c>
      <c r="KO42" s="493" t="str">
        <f>IF(A42=FALSE,"",Cotations!BS42)</f>
        <v/>
      </c>
      <c r="KP42" s="517" t="str">
        <f>IF(A42=FALSE,"",IF(KM42="N/A",0,IF(INDEX(LISTES!$F$105:$F$109,MATCH(KM42,LISTES!$C$105:$C$109,0))="FIX",IF(INDEX(LISTES!$E$105:$E$109,MATCH(KM42,LISTES!$C$105:$C$109,0))=12,KN42/12*L42,KN42/365*M42),KO42*KL42)))</f>
        <v/>
      </c>
      <c r="KQ42" s="294" t="str">
        <f t="shared" si="307"/>
        <v/>
      </c>
      <c r="KR42" s="494" t="str">
        <f>IF(A42=FALSE,"",KQ42*Cotations!BT42)</f>
        <v/>
      </c>
      <c r="KS42" s="494" t="str">
        <f>IF(A42=FALSE,"",KQ42*Cotations!BU42)</f>
        <v/>
      </c>
      <c r="KT42" s="338" t="str">
        <f t="shared" si="308"/>
        <v/>
      </c>
      <c r="KU42" s="919" t="str">
        <f>IF(A42=FALSE,"",((KG42*TAXE)-(KG42*TAXE*KI42))+IF(KM42="N/A",0,IF(INDEX(LISTES!$F$105:$F$109,MATCH(KM42,LISTES!$C$105:$C$109,0))="FIX",KN42,KO42*KL42)))</f>
        <v/>
      </c>
      <c r="LA42" s="497" t="str">
        <f>IF(A42=FALSE,"",Cotations!D42)</f>
        <v/>
      </c>
      <c r="LB42" s="498" t="str">
        <f>IF(A42=FALSE,"",IF(LISTES!$A$17=1,Cotations!BV42,Cotations!$BW$4))</f>
        <v/>
      </c>
      <c r="LC42" s="499" t="str">
        <f t="shared" si="309"/>
        <v/>
      </c>
      <c r="LD42" s="499" t="str">
        <f t="shared" si="310"/>
        <v/>
      </c>
      <c r="LE42" s="500" t="str">
        <f t="shared" si="311"/>
        <v/>
      </c>
      <c r="LF42" s="501" t="str">
        <f>IF(A42=FALSE,"",IF(LA42="POEA",Cotations!EJ42,IF(LA42="FIXE",Cotations!$BY$4,Cotations!$CA$4*Y42)))</f>
        <v/>
      </c>
      <c r="LG42" s="502" t="str">
        <f t="shared" si="312"/>
        <v/>
      </c>
      <c r="LH42" s="520" t="str">
        <f>IF(A42=FALSE,"",IF(Cotations!$BX$4="monthly",LG42/12*L42,LG42/365*M42))</f>
        <v/>
      </c>
      <c r="LI42" s="503" t="str">
        <f>IF(A42=FALSE,"",Cotations!$CB$4)</f>
        <v/>
      </c>
      <c r="LJ42" s="502" t="str">
        <f t="shared" si="313"/>
        <v/>
      </c>
      <c r="LK42" s="502" t="str">
        <f t="shared" si="314"/>
        <v/>
      </c>
      <c r="LL42" s="504" t="str">
        <f t="shared" si="315"/>
        <v/>
      </c>
      <c r="LM42" s="505" t="str">
        <f>IF(A42=FALSE,"",Cotations!$CC$4)</f>
        <v/>
      </c>
      <c r="LN42" s="503" t="str">
        <f>IF(A42=FALSE,"",Cotations!$CD$4)</f>
        <v/>
      </c>
      <c r="LO42" s="503" t="str">
        <f>IF(A42=FALSE,"",Cotations!$CE$4)</f>
        <v/>
      </c>
      <c r="LP42" s="505" t="str">
        <f>IF(A42=FALSE,"",IF(LM42="N/A",0,IF(INDEX(LISTES!$F$105:$F$109,MATCH(LM42,LISTES!$C$105:$C$109,0))="FIX",IF(INDEX(LISTES!$E$105:$E$109,MATCH(LM42,LISTES!$C$105:$C$109,0))=12,LN42/12*L42,LN42/365*M42),LO42*LL42)))</f>
        <v/>
      </c>
      <c r="LQ42" s="504" t="str">
        <f t="shared" si="316"/>
        <v/>
      </c>
      <c r="LR42" s="505" t="str">
        <f>IF(A42=FALSE,"",LQ42*Cotations!$CF$4)</f>
        <v/>
      </c>
      <c r="LS42" s="505" t="str">
        <f>IF(A42=FALSE,"",LQ42*Cotations!$CG$4)</f>
        <v/>
      </c>
      <c r="LT42" s="506" t="str">
        <f t="shared" si="317"/>
        <v/>
      </c>
      <c r="LU42" s="919" t="str">
        <f>IF(A42=FALSE,"",((LG42*TAXE)-(LG42*TAXE*LI42))+IF(LM42="N/A",0,IF(INDEX(LISTES!$F$105:$F$109,MATCH(LM42,LISTES!$C$105:$C$109,0))="FIX",LN42,LO42*LL42)))</f>
        <v/>
      </c>
      <c r="MA42" s="492" t="str">
        <f>IF(A42=FALSE,"",Cotations!D42)</f>
        <v/>
      </c>
      <c r="MB42" s="491" t="str">
        <f>IF(A42=FALSE,"",IF(LISTES!$A$17=1,Cotations!BV42,Cotations!BW42))</f>
        <v/>
      </c>
      <c r="MC42" s="285" t="str">
        <f t="shared" si="318"/>
        <v/>
      </c>
      <c r="MD42" s="300"/>
      <c r="ME42" s="461" t="str">
        <f t="shared" si="319"/>
        <v/>
      </c>
      <c r="MF42" s="490" t="str">
        <f>IF(A42=FALSE,"",IF(MA42="POEA",Cotations!BY42,IF(MA42="FIXE",Cotations!BZ42,IF(Cotations!CA42*Y42&lt;50000,Z42,Cotations!CA42*Y42))))</f>
        <v/>
      </c>
      <c r="MG42" s="300" t="str">
        <f t="shared" si="320"/>
        <v/>
      </c>
      <c r="MH42" s="522" t="str">
        <f>IF(A42=FALSE,"",IF(Cotations!BX42="monthly",MG42/12*L42,MG42/365*M42))</f>
        <v/>
      </c>
      <c r="MI42" s="489" t="str">
        <f>IF(A42=FALSE,"",IF(Cotations!CB42="","",Cotations!CB42))</f>
        <v/>
      </c>
      <c r="MJ42" s="300" t="str">
        <f t="shared" si="321"/>
        <v/>
      </c>
      <c r="MK42" s="300" t="str">
        <f t="shared" si="322"/>
        <v/>
      </c>
      <c r="ML42" s="919" t="str">
        <f t="shared" si="323"/>
        <v/>
      </c>
      <c r="MM42" s="517" t="str">
        <f>IF(A42=FALSE,"",Cotations!CC42)</f>
        <v/>
      </c>
      <c r="MN42" s="515" t="str">
        <f>IF(A42=FALSE,"",Cotations!CD42)</f>
        <v/>
      </c>
      <c r="MO42" s="493" t="str">
        <f>IF(A42=FALSE,"",Cotations!CE42)</f>
        <v/>
      </c>
      <c r="MP42" s="517" t="str">
        <f>IF(A42=FALSE,"",IF(MM42="N/A",0,IF(INDEX(LISTES!$F$105:$F$109,MATCH(MM42,LISTES!$C$105:$C$109,0))="FIX",IF(INDEX(LISTES!$E$105:$E$109,MATCH(MM42,LISTES!$C$105:$C$109,0))=12,MN42/12*L42,MN42/365*M42),MO42*ML42)))</f>
        <v/>
      </c>
      <c r="MQ42" s="294" t="str">
        <f t="shared" si="324"/>
        <v/>
      </c>
      <c r="MR42" s="494" t="str">
        <f>IF(A42=FALSE,"",MQ42*Cotations!CF42)</f>
        <v/>
      </c>
      <c r="MS42" s="494" t="str">
        <f>IF(A42=FALSE,"",MQ42*Cotations!CG42)</f>
        <v/>
      </c>
      <c r="MT42" s="338" t="str">
        <f t="shared" si="325"/>
        <v/>
      </c>
      <c r="MU42" s="919" t="str">
        <f>IF(A42=FALSE,"",((MG42*TAXE)-(MG42*TAXE*MI42))+IF(MM42="N/A",0,IF(INDEX(LISTES!$F$105:$F$109,MATCH(MM42,LISTES!$C$105:$C$109,0))="FIX",MN42,MO42*ML42)))</f>
        <v/>
      </c>
      <c r="NA42" s="497" t="str">
        <f>IF(A42=FALSE,"",Cotations!D42)</f>
        <v/>
      </c>
      <c r="NB42" s="498" t="str">
        <f>IF(A42=FALSE,"",IF(LISTES!$A$17=1,Cotations!CH42,Cotations!$CI$4))</f>
        <v/>
      </c>
      <c r="NC42" s="499" t="str">
        <f t="shared" si="326"/>
        <v/>
      </c>
      <c r="ND42" s="499" t="str">
        <f t="shared" si="327"/>
        <v/>
      </c>
      <c r="NE42" s="500" t="str">
        <f t="shared" si="328"/>
        <v/>
      </c>
      <c r="NF42" s="501" t="str">
        <f>IF(A42=FALSE,"",IF(NA42="POEA",Cotations!CK42,IF(NA42="FIXE",Cotations!$CK$4,Cotations!$CM$4*Y42)))</f>
        <v/>
      </c>
      <c r="NG42" s="502" t="str">
        <f t="shared" si="329"/>
        <v/>
      </c>
      <c r="NH42" s="520" t="str">
        <f>IF(A42=FALSE,"",IF(Cotations!$CJ$4="monthly",NG42/12*L42,NG42/365*M42))</f>
        <v/>
      </c>
      <c r="NI42" s="503" t="str">
        <f>IF(A42=FALSE,"",Cotations!$CN$4)</f>
        <v/>
      </c>
      <c r="NJ42" s="502" t="str">
        <f t="shared" si="330"/>
        <v/>
      </c>
      <c r="NK42" s="502" t="str">
        <f t="shared" si="331"/>
        <v/>
      </c>
      <c r="NL42" s="504" t="str">
        <f t="shared" si="332"/>
        <v/>
      </c>
      <c r="NM42" s="505" t="str">
        <f>IF(A42=FALSE,"",Cotations!$CO$4)</f>
        <v/>
      </c>
      <c r="NN42" s="520" t="str">
        <f>IF(A42=FALSE,"",Cotations!$CP$4)</f>
        <v/>
      </c>
      <c r="NO42" s="503" t="str">
        <f>IF(A42=FALSE,"",Cotations!$CQ$4)</f>
        <v/>
      </c>
      <c r="NP42" s="505" t="str">
        <f>IF(A42=FALSE,"",IF(NM42="N/A",0,IF(INDEX(LISTES!$F$105:$F$109,MATCH(NM42,LISTES!$C$105:$C$109,0))="FIX",IF(INDEX(LISTES!$E$105:$E$109,MATCH(NM42,LISTES!$C$105:$C$109,0))=12,NN42/12*L42,NN42/365*M42),NO42*NL42)))</f>
        <v/>
      </c>
      <c r="NQ42" s="504" t="str">
        <f t="shared" si="333"/>
        <v/>
      </c>
      <c r="NR42" s="505" t="str">
        <f>IF(A42=FALSE,"",NQ42*Cotations!$CR$4)</f>
        <v/>
      </c>
      <c r="NS42" s="505" t="str">
        <f>IF(A42=FALSE,"",NQ42*Cotations!$CS$4)</f>
        <v/>
      </c>
      <c r="NT42" s="506" t="str">
        <f t="shared" si="334"/>
        <v/>
      </c>
      <c r="NU42" s="919" t="str">
        <f>IF(A42=FALSE,"",((NG42*TAXE)-(NG42*TAXE*NI42))+IF(NM42="N/A",0,IF(INDEX(LISTES!$F$105:$F$109,MATCH(NM42,LISTES!$C$105:$C$109,0))="FIX",NN42,NO42*NL42)))</f>
        <v/>
      </c>
      <c r="OA42" s="492" t="str">
        <f>IF(A42=FALSE,"",Cotations!D42)</f>
        <v/>
      </c>
      <c r="OB42" s="491" t="str">
        <f>IF(A42=FALSE,"",IF(LISTES!$A$17=1,Cotations!CH42,Cotations!CI42))</f>
        <v/>
      </c>
      <c r="OC42" s="285" t="str">
        <f t="shared" si="335"/>
        <v/>
      </c>
      <c r="OD42" s="300"/>
      <c r="OE42" s="461" t="str">
        <f t="shared" si="336"/>
        <v/>
      </c>
      <c r="OF42" s="490" t="str">
        <f>IF(A42=FALSE,"",IF(OA42="POEA",Cotations!CK42,IF(OA42="FIXE",Cotations!CL42,IF(Cotations!CM42*Y42&lt;50000,Z42,Cotations!CM42*Y42))))</f>
        <v/>
      </c>
      <c r="OG42" s="300" t="str">
        <f t="shared" si="337"/>
        <v/>
      </c>
      <c r="OH42" s="522" t="str">
        <f>IF(A42=FALSE,"",IF(Cotations!CJ42="monthly",OG42/12*L42,OG42/365*M42))</f>
        <v/>
      </c>
      <c r="OI42" s="489" t="str">
        <f>IF(A42=FALSE,"",IF(Cotations!CN42="","",Cotations!CN42))</f>
        <v/>
      </c>
      <c r="OJ42" s="300" t="str">
        <f t="shared" si="338"/>
        <v/>
      </c>
      <c r="OK42" s="300" t="str">
        <f t="shared" si="339"/>
        <v/>
      </c>
      <c r="OL42" s="919" t="str">
        <f t="shared" si="340"/>
        <v/>
      </c>
      <c r="OM42" s="517" t="str">
        <f>IF(A42=FALSE,"",Cotations!CO42)</f>
        <v/>
      </c>
      <c r="ON42" s="515" t="str">
        <f>IF(A42=FALSE,"",Cotations!CP42)</f>
        <v/>
      </c>
      <c r="OO42" s="493" t="str">
        <f>IF(A42=FALSE,"",Cotations!CQ42)</f>
        <v/>
      </c>
      <c r="OP42" s="517" t="str">
        <f>IF(A42=FALSE,"",IF(OM42="N/A",0,IF(INDEX(LISTES!$F$105:$F$109,MATCH(OM42,LISTES!$C$105:$C$109,0))="FIX",IF(INDEX(LISTES!$E$105:$E$109,MATCH(OM42,LISTES!$C$105:$C$109,0))=12,ON42/12*L42,ON42/365*M42),OO42*OL42)))</f>
        <v/>
      </c>
      <c r="OQ42" s="294" t="str">
        <f t="shared" si="341"/>
        <v/>
      </c>
      <c r="OR42" s="494" t="str">
        <f>IF(A42=FALSE,"",OQ42*Cotations!CR42)</f>
        <v/>
      </c>
      <c r="OS42" s="494" t="str">
        <f>IF(A42=FALSE,"",OQ42*Cotations!CS42)</f>
        <v/>
      </c>
      <c r="OT42" s="338" t="str">
        <f t="shared" si="342"/>
        <v/>
      </c>
      <c r="OU42" s="919" t="str">
        <f>IF(A42=FALSE,"",((OG42*TAXE)-(OG42*TAXE*OI42))+IF(OM42="N/A",0,IF(INDEX(LISTES!$F$105:$F$109,MATCH(OM42,LISTES!$C$105:$C$109,0))="FIX",ON42,OO42*OL42)))</f>
        <v/>
      </c>
      <c r="PA42" s="497" t="str">
        <f t="shared" si="343"/>
        <v/>
      </c>
      <c r="PB42" s="498" t="str">
        <f>IF(A42=FALSE,"",IF(LISTES!$A$17=1,Cotations!CT42,Cotations!$CU$4))</f>
        <v/>
      </c>
      <c r="PC42" s="499" t="str">
        <f t="shared" si="344"/>
        <v/>
      </c>
      <c r="PD42" s="499" t="str">
        <f t="shared" si="345"/>
        <v/>
      </c>
      <c r="PE42" s="500" t="str">
        <f t="shared" si="346"/>
        <v/>
      </c>
      <c r="PF42" s="501" t="str">
        <f>IF(A42=FALSE,"",Cotations!$CY$4*Y42)</f>
        <v/>
      </c>
      <c r="PG42" s="502" t="str">
        <f t="shared" si="347"/>
        <v/>
      </c>
      <c r="PH42" s="520" t="str">
        <f>IF(A42=FALSE,"",IF(Cotations!$CV$4="monthly",PG42/12*L42,PG42/365*M42))</f>
        <v/>
      </c>
      <c r="PI42" s="503" t="str">
        <f>IF(A42=FALSE,"",Cotations!$CZ$4)</f>
        <v/>
      </c>
      <c r="PJ42" s="502" t="str">
        <f t="shared" si="348"/>
        <v/>
      </c>
      <c r="PK42" s="502" t="str">
        <f t="shared" si="349"/>
        <v/>
      </c>
      <c r="PL42" s="504" t="str">
        <f t="shared" si="350"/>
        <v/>
      </c>
      <c r="PM42" s="505" t="str">
        <f>IF(A42=FALSE,"",Cotations!$DA$4)</f>
        <v/>
      </c>
      <c r="PN42" s="520" t="str">
        <f>IF(A42=FALSE,"",Cotations!$DB$4)</f>
        <v/>
      </c>
      <c r="PO42" s="503" t="str">
        <f>IF(A42=FALSE,"",Cotations!$DC$4)</f>
        <v/>
      </c>
      <c r="PP42" s="505" t="str">
        <f>IF(A42=FALSE,"",IF(PM42="N/A",0,IF(INDEX(LISTES!$F$105:$F$109,MATCH(PM42,LISTES!$C$105:$C$109,0))="FIX",IF(INDEX(LISTES!$E$105:$E$109,MATCH(PM42,LISTES!$C$105:$C$109,0))=12,PN42/12*L42,PN42/365*M42),PO42*PL42)))</f>
        <v/>
      </c>
      <c r="PQ42" s="504" t="str">
        <f t="shared" si="351"/>
        <v/>
      </c>
      <c r="PR42" s="505" t="str">
        <f>IF(A42=FALSE,"",PQ42*Cotations!$DD$4)</f>
        <v/>
      </c>
      <c r="PS42" s="505" t="str">
        <f>IF(A42=FALSE,"",PQ42*Cotations!$DE$4)</f>
        <v/>
      </c>
      <c r="PT42" s="506" t="str">
        <f t="shared" si="352"/>
        <v/>
      </c>
      <c r="PU42" s="919" t="str">
        <f>IF(A42=FALSE,"",((PG42*TAXE)-(PG42*TAXE*PI42))+IF(PM42="N/A",0,IF(INDEX(LISTES!$F$105:$F$109,MATCH(PM42,LISTES!$C$105:$C$109,0))="FIX",PN42,PO42*PL42)))</f>
        <v/>
      </c>
      <c r="QA42" s="492" t="str">
        <f t="shared" si="353"/>
        <v/>
      </c>
      <c r="QB42" s="491" t="str">
        <f>IF(A42=FALSE,"",IF(LISTES!$A$17=1,Cotations!CT42,Cotations!CU42))</f>
        <v/>
      </c>
      <c r="QC42" s="285" t="str">
        <f t="shared" si="354"/>
        <v/>
      </c>
      <c r="QD42" s="300"/>
      <c r="QE42" s="461" t="str">
        <f t="shared" si="355"/>
        <v/>
      </c>
      <c r="QF42" s="490" t="str">
        <f>IF(A42=FALSE,"",Cotations!CY42*AA42)</f>
        <v/>
      </c>
      <c r="QG42" s="300" t="str">
        <f t="shared" si="356"/>
        <v/>
      </c>
      <c r="QH42" s="522" t="str">
        <f>IF(A42=FALSE,"",IF(Cotations!CV42="monthly",QG42/12*L42,QG42/365*M42))</f>
        <v/>
      </c>
      <c r="QI42" s="489" t="str">
        <f>IF(A42=FALSE,"",IF(Cotations!CZ42="","",Cotations!CZ42))</f>
        <v/>
      </c>
      <c r="QJ42" s="300" t="str">
        <f t="shared" si="357"/>
        <v/>
      </c>
      <c r="QK42" s="300" t="str">
        <f t="shared" si="358"/>
        <v/>
      </c>
      <c r="QL42" s="919" t="str">
        <f t="shared" si="359"/>
        <v/>
      </c>
      <c r="QM42" s="517" t="str">
        <f>IF(A42=FALSE,"",Cotations!DA42)</f>
        <v/>
      </c>
      <c r="QN42" s="515" t="str">
        <f>IF(A42=FALSE,"",Cotations!DB42)</f>
        <v/>
      </c>
      <c r="QO42" s="493" t="str">
        <f>IF(A42=FALSE,"",Cotations!DC42)</f>
        <v/>
      </c>
      <c r="QP42" s="517" t="str">
        <f>IF(A42=FALSE,"",IF(QM42="N/A",0,IF(INDEX(LISTES!$F$105:$F$109,MATCH(QM42,LISTES!$C$105:$C$109,0))="FIX",IF(INDEX(LISTES!$E$105:$E$109,MATCH(QM42,LISTES!$C$105:$C$109,0))=12,QN42/12*L42,QN42/365*M42),QO42*QL42)))</f>
        <v/>
      </c>
      <c r="QQ42" s="294" t="str">
        <f t="shared" si="360"/>
        <v/>
      </c>
      <c r="QR42" s="494" t="str">
        <f>IF(A42=FALSE,"",QQ42*Cotations!DD42)</f>
        <v/>
      </c>
      <c r="QS42" s="494" t="str">
        <f>IF(A42=FALSE,"",QQ42*Cotations!DE42)</f>
        <v/>
      </c>
      <c r="QT42" s="338" t="str">
        <f t="shared" si="361"/>
        <v/>
      </c>
      <c r="QU42" s="919" t="str">
        <f>IF(A42=FALSE,"",((QG42*TAXE)-(QG42*TAXE*QI42))+IF(QM42="N/A",0,IF(INDEX(LISTES!$F$105:$F$109,MATCH(QM42,LISTES!$C$105:$C$109,0))="FIX",QN42,QO42*QL42)))</f>
        <v/>
      </c>
      <c r="RA42" s="497" t="str">
        <f t="shared" si="362"/>
        <v/>
      </c>
      <c r="RB42" s="498" t="str">
        <f>IF(A42=FALSE,"",IF(LISTES!$A$17=1,Cotations!DF42,Cotations!$DG$4))</f>
        <v/>
      </c>
      <c r="RC42" s="499" t="str">
        <f t="shared" si="363"/>
        <v/>
      </c>
      <c r="RD42" s="499" t="str">
        <f t="shared" si="364"/>
        <v/>
      </c>
      <c r="RE42" s="500" t="str">
        <f t="shared" si="365"/>
        <v/>
      </c>
      <c r="RF42" s="501" t="str">
        <f>IF(A42=FALSE,"",Cotations!$DK$4*Y42)</f>
        <v/>
      </c>
      <c r="RG42" s="502" t="str">
        <f t="shared" si="366"/>
        <v/>
      </c>
      <c r="RH42" s="520" t="str">
        <f>IF(A42=FALSE,"",IF(Cotations!$DH$4="monthly",RG42/12*L42,RG42/365*M42))</f>
        <v/>
      </c>
      <c r="RI42" s="503" t="str">
        <f>IF(A42=FALSE,"",Cotations!$DL$4)</f>
        <v/>
      </c>
      <c r="RJ42" s="502" t="str">
        <f t="shared" si="367"/>
        <v/>
      </c>
      <c r="RK42" s="502" t="str">
        <f t="shared" si="368"/>
        <v/>
      </c>
      <c r="RL42" s="504" t="str">
        <f t="shared" si="369"/>
        <v/>
      </c>
      <c r="RM42" s="505" t="str">
        <f>IF(A42=FALSE,"",Cotations!$DM$4)</f>
        <v/>
      </c>
      <c r="RN42" s="520" t="str">
        <f>IF(A42=FALSE,"",Cotations!$DN$4)</f>
        <v/>
      </c>
      <c r="RO42" s="503" t="str">
        <f>IF(A42=FALSE,"",Cotations!$DO$4)</f>
        <v/>
      </c>
      <c r="RP42" s="505" t="str">
        <f>IF(A42=FALSE,"",IF(RM42="N/A",0,IF(INDEX(LISTES!$F$105:$F$109,MATCH(RM42,LISTES!$C$105:$C$109,0))="FIX",IF(INDEX(LISTES!$E$105:$E$109,MATCH(RM42,LISTES!$C$105:$C$109,0))=12,RN42/12*L42,RN42/365*M42),RO42*RL42)))</f>
        <v/>
      </c>
      <c r="RQ42" s="504" t="str">
        <f t="shared" si="370"/>
        <v/>
      </c>
      <c r="RR42" s="505" t="str">
        <f>IF(A42=FALSE,"",RQ42*Cotations!$DP$4)</f>
        <v/>
      </c>
      <c r="RS42" s="505" t="str">
        <f>IF(A42=FALSE,"",RQ42*Cotations!$DQ$4)</f>
        <v/>
      </c>
      <c r="RT42" s="506" t="str">
        <f t="shared" si="371"/>
        <v/>
      </c>
      <c r="RU42" s="919" t="str">
        <f>IF(A42=FALSE,"",((RG42*TAXE)-(RG42*TAXE*RI42))+IF(RM42="N/A",0,IF(INDEX(LISTES!$F$105:$F$109,MATCH(RM42,LISTES!$C$105:$C$109,0))="FIX",RN42,RO42*RL42)))</f>
        <v/>
      </c>
      <c r="SA42" s="492" t="str">
        <f t="shared" si="372"/>
        <v/>
      </c>
      <c r="SB42" s="491" t="str">
        <f>IF(A42=FALSE,"",IF(LISTES!$A$17=1,Cotations!DF42,Cotations!DG42))</f>
        <v/>
      </c>
      <c r="SC42" s="285" t="str">
        <f t="shared" si="373"/>
        <v/>
      </c>
      <c r="SD42" s="300"/>
      <c r="SE42" s="461" t="str">
        <f t="shared" si="374"/>
        <v/>
      </c>
      <c r="SF42" s="490" t="str">
        <f>IF(A42=FALSE,"",Cotations!DK42*AA42)</f>
        <v/>
      </c>
      <c r="SG42" s="300" t="str">
        <f t="shared" si="375"/>
        <v/>
      </c>
      <c r="SH42" s="522" t="str">
        <f>IF(A42=FALSE,"",IF(Cotations!DH42="monthly",SG42/12*L42,SG42/365*M42))</f>
        <v/>
      </c>
      <c r="SI42" s="489" t="str">
        <f>IF(A42=FALSE,"",IF(Cotations!DL42="","",Cotations!DL42))</f>
        <v/>
      </c>
      <c r="SJ42" s="300" t="str">
        <f t="shared" si="376"/>
        <v/>
      </c>
      <c r="SK42" s="300" t="str">
        <f t="shared" si="377"/>
        <v/>
      </c>
      <c r="SL42" s="919" t="str">
        <f t="shared" si="378"/>
        <v/>
      </c>
      <c r="SM42" s="285" t="str">
        <f>IF(A42=FALSE,"",Cotations!DM42)</f>
        <v/>
      </c>
      <c r="SN42" s="515" t="str">
        <f>IF(A42=FALSE,"",Cotations!DN42)</f>
        <v/>
      </c>
      <c r="SO42" s="493" t="str">
        <f>IF(A42=FALSE,"",Cotations!DO42)</f>
        <v/>
      </c>
      <c r="SP42" s="517" t="str">
        <f>IF(A42=FALSE,"",IF(SM42="N/A",0,IF(INDEX(LISTES!$F$105:$F$109,MATCH(SM42,LISTES!$C$105:$C$109,0))="FIX",IF(INDEX(LISTES!$E$105:$E$109,MATCH(SM42,LISTES!$C$105:$C$109,0))=12,SN42/12*L42,SN42/365*M42),SO42*SL42)))</f>
        <v/>
      </c>
      <c r="SQ42" s="294" t="str">
        <f t="shared" si="379"/>
        <v/>
      </c>
      <c r="SR42" s="494" t="str">
        <f>IF(A42=FALSE,"",SQ42*Cotations!DP42)</f>
        <v/>
      </c>
      <c r="SS42" s="494" t="str">
        <f>IF(A42=FALSE,"",SQ42*Cotations!DQ42)</f>
        <v/>
      </c>
      <c r="ST42" s="338" t="str">
        <f t="shared" si="380"/>
        <v/>
      </c>
      <c r="SU42" s="919" t="str">
        <f>IF(A42=FALSE,"",((SG42*TAXE)-(SG42*TAXE*SI42))+IF(SM42="N/A",0,IF(INDEX(LISTES!$F$105:$F$109,MATCH(SM42,LISTES!$C$105:$C$109,0))="FIX",SN42,SO42*SL42)))</f>
        <v/>
      </c>
      <c r="TA42" s="492" t="str">
        <f>IF(A42=FALSE,"",Cotations!D42)</f>
        <v/>
      </c>
      <c r="TB42" s="491" t="str">
        <f>IF(A42=FALSE,"",IF(LISTES!$A$17=1,Cotations!DR42,Cotations!DS42))</f>
        <v/>
      </c>
      <c r="TC42" s="285" t="str">
        <f t="shared" si="381"/>
        <v/>
      </c>
      <c r="TD42" s="300" t="str">
        <f>IF(A42=FALSE,"",Detail!CQ42)</f>
        <v/>
      </c>
      <c r="TE42" s="461" t="str">
        <f t="shared" si="382"/>
        <v/>
      </c>
      <c r="TF42" s="490" t="str">
        <f>IF(A42=FALSE,"",IF(TA42="FIXE",Cotations!DU42,Cotations!DV42*Y42))</f>
        <v/>
      </c>
      <c r="TG42" s="300" t="str">
        <f t="shared" si="383"/>
        <v/>
      </c>
      <c r="TH42" s="522" t="str">
        <f>IF(A42=FALSE,"",IF(Cotations!DT42="monthly",TG42/12*L42,TG42/365*M42))</f>
        <v/>
      </c>
      <c r="TI42" s="489" t="str">
        <f>IF(A42=FALSE,"",IF(Cotations!DW42="","",Cotations!DW42))</f>
        <v/>
      </c>
      <c r="TJ42" s="300" t="str">
        <f t="shared" si="384"/>
        <v/>
      </c>
      <c r="TK42" s="300" t="str">
        <f t="shared" si="385"/>
        <v/>
      </c>
      <c r="TL42" s="919" t="str">
        <f t="shared" si="386"/>
        <v/>
      </c>
      <c r="TM42" s="517" t="str">
        <f>IF(A42=FALSE,"",Cotations!DX42)</f>
        <v/>
      </c>
      <c r="TN42" s="517" t="str">
        <f>IF(A42=FALSE,"",Cotations!DY42)</f>
        <v/>
      </c>
      <c r="TO42" s="493" t="str">
        <f>IF(A42=FALSE,"",Cotations!DZ42)</f>
        <v/>
      </c>
      <c r="TP42" s="517" t="str">
        <f>IF(A42=FALSE,"",IF(TM42="N/A",0,IF(INDEX(LISTES!$F$105:$F$109,MATCH(TM42,LISTES!$C$105:$C$109,0))="FIX",IF(INDEX(LISTES!$E$105:$E$109,MATCH(TM42,LISTES!$C$105:$C$109,0))=12,TN42/12*L42,TN42/365*M42),TO42*TL42)))</f>
        <v/>
      </c>
      <c r="TQ42" s="294" t="str">
        <f t="shared" si="387"/>
        <v/>
      </c>
      <c r="TR42" s="494" t="str">
        <f>IF(A42=FALSE,"",TQ42*Cotations!EA42)</f>
        <v/>
      </c>
      <c r="TS42" s="494" t="str">
        <f>IF(A42=FALSE,"",TQ42*Cotations!EB42)</f>
        <v/>
      </c>
      <c r="TT42" s="338" t="str">
        <f t="shared" si="388"/>
        <v/>
      </c>
      <c r="TU42" s="919" t="str">
        <f>IF(A42=FALSE,"",((TG42*(1+TAXE)-(TG42*(1+TAXE)*TI42))+IF(TM42="N/A",0,IF(INDEX(LISTES!$F$105:$F$109,MATCH(TM42,LISTES!$C$105:$C$109,0))="FIX",TN42,TO42*TL42))))</f>
        <v/>
      </c>
      <c r="UA42" s="492" t="str">
        <f>IF(A42=FALSE,"",Cotations!D42)</f>
        <v/>
      </c>
      <c r="UB42" s="491" t="str">
        <f>IF(A42=FALSE,"",IF(LISTES!$A$17=1,Cotations!EC42,Cotations!ED42))</f>
        <v/>
      </c>
      <c r="UC42" s="285" t="str">
        <f t="shared" si="389"/>
        <v/>
      </c>
      <c r="UD42" s="300" t="str">
        <f>IF(A42=FALSE,"",Detail!CY42)</f>
        <v/>
      </c>
      <c r="UE42" s="461" t="str">
        <f t="shared" si="390"/>
        <v/>
      </c>
      <c r="UF42" s="490" t="str">
        <f>IF(A42=FALSE,"",IF(UA42="FIXE",Cotations!EF42,Cotations!EG42*Y42))</f>
        <v/>
      </c>
      <c r="UG42" s="300" t="str">
        <f t="shared" si="391"/>
        <v/>
      </c>
      <c r="UH42" s="522" t="str">
        <f>IF(A42=FALSE,"",IF(Cotations!EE42="monthly",UG42/12*L42,UG42/365*M42))</f>
        <v/>
      </c>
      <c r="UI42" s="489" t="str">
        <f>IF(A42=FALSE,"",IF(Cotations!EH42="","",Cotations!EH42))</f>
        <v/>
      </c>
      <c r="UJ42" s="300" t="str">
        <f t="shared" si="392"/>
        <v/>
      </c>
      <c r="UK42" s="300" t="str">
        <f t="shared" si="393"/>
        <v/>
      </c>
      <c r="UL42" s="919" t="str">
        <f t="shared" si="394"/>
        <v/>
      </c>
      <c r="UM42" s="517" t="str">
        <f>IF(A42=FALSE,"",Cotations!EI42)</f>
        <v/>
      </c>
      <c r="UN42" s="517" t="str">
        <f>IF(A42=FALSE,"",Cotations!EJ42)</f>
        <v/>
      </c>
      <c r="UO42" s="493" t="str">
        <f>IF(A42=FALSE,"",Cotations!EK42)</f>
        <v/>
      </c>
      <c r="UP42" s="517" t="str">
        <f>IF(A42=FALSE,"",IF(UM42="N/A",0,IF(INDEX(LISTES!$F$105:$F$109,MATCH(UM42,LISTES!$C$105:$C$109,0))="FIX",IF(INDEX(LISTES!$E$105:$E$109,MATCH(UM42,LISTES!$C$105:$C$109,0))=12,UN42/12*L42,UN42/365*M42),UO42*UL42)))</f>
        <v/>
      </c>
      <c r="UQ42" s="294" t="str">
        <f t="shared" si="395"/>
        <v/>
      </c>
      <c r="UR42" s="494" t="str">
        <f>IF(A42=FALSE,"",UQ42*Cotations!EL42)</f>
        <v/>
      </c>
      <c r="US42" s="494" t="str">
        <f>IF(A42=FALSE,"",UQ42*Cotations!EM42)</f>
        <v/>
      </c>
      <c r="UT42" s="338" t="str">
        <f t="shared" si="396"/>
        <v/>
      </c>
      <c r="UU42" s="919" t="str">
        <f>IF(A42=FALSE,"",((UG42*(1+TAXE)-(UG42*(1+TAXE)*UI42))+IF(UM42="N/A",0,IF(INDEX(LISTES!$F$105:$F$109,MATCH(UM42,LISTES!$C$105:$C$109,0))="FIX",UN42,UO42*UL42))))</f>
        <v/>
      </c>
      <c r="VA42" s="492" t="str">
        <f>IF(A42=FALSE,"",Cotations!D42)</f>
        <v/>
      </c>
      <c r="VB42" s="519" t="str">
        <f>IF(A42=FALSE,"",IF(LISTES!$A$17=1,Cotations!EN42,Cotations!EO42))</f>
        <v/>
      </c>
      <c r="VC42" s="291" t="str">
        <f t="shared" si="397"/>
        <v/>
      </c>
      <c r="VD42" s="291" t="str">
        <f t="shared" si="398"/>
        <v/>
      </c>
      <c r="VE42" s="291"/>
      <c r="VF42" s="463"/>
      <c r="VG42" s="463" t="str">
        <f t="shared" si="399"/>
        <v/>
      </c>
      <c r="VH42" s="522" t="str">
        <f>IF(A42=FALSE,"",IF(Cotations!$AQ$4="monthly",VG42/12*L42,VG42/365*M42))</f>
        <v/>
      </c>
      <c r="VI42" s="489" t="str">
        <f>IF(A42=FALSE,"",Cotations!$AR$4)</f>
        <v/>
      </c>
      <c r="VJ42" s="300" t="str">
        <f t="shared" si="400"/>
        <v/>
      </c>
      <c r="VK42" s="300" t="str">
        <f t="shared" si="401"/>
        <v/>
      </c>
      <c r="VL42" s="294" t="str">
        <f t="shared" si="402"/>
        <v/>
      </c>
      <c r="VM42" s="494" t="str">
        <f>IF(A42=FALSE,"",Cotations!$AS$4)</f>
        <v/>
      </c>
      <c r="VN42" s="494" t="str">
        <f>IF(A42=FALSE,"",Cotations!$AT$4)</f>
        <v/>
      </c>
      <c r="VO42" s="489" t="str">
        <f>IF(A42=FALSE,"",Cotations!$AU$4)</f>
        <v/>
      </c>
      <c r="VP42" s="494" t="str">
        <f>IF(A42=FALSE,"",IF(VM42="N/A",0,IF(INDEX(LISTES!$F$105:$F$109,MATCH(VM42,LISTES!$C$105:$C$109,0))="FIX",IF(INDEX(LISTES!$E$105:$E$109,MATCH(VM42,LISTES!$C$105:$C$109,0))=12,VN42/12*L42,VN42/365*M42),VO42*VL42)))</f>
        <v/>
      </c>
      <c r="VQ42" s="294" t="str">
        <f t="shared" si="403"/>
        <v/>
      </c>
      <c r="VR42" s="494" t="str">
        <f>IF(A42=FALSE,"",VQ42*Cotations!$AV$4)</f>
        <v/>
      </c>
      <c r="VS42" s="494" t="str">
        <f>IF(A42=FALSE,"",VQ42*Cotations!$AW$4)</f>
        <v/>
      </c>
      <c r="VT42" s="465" t="str">
        <f t="shared" si="404"/>
        <v/>
      </c>
      <c r="VU42" s="919" t="str">
        <f>IF(A42=FALSE,"",((VG42*TAXE)-(VG42*TAXE*VI42))+IF(VM42="N/A",0,IF(INDEX(LISTES!$F$105:$F$109,MATCH(VM42,LISTES!$C$105:$C$109,0))="FIX",VN42,VO42*VL42)))</f>
        <v/>
      </c>
      <c r="WA42" s="492" t="str">
        <f>IF(A42=FALSE,"",Cotations!D42)</f>
        <v/>
      </c>
      <c r="WB42" s="519" t="str">
        <f>IF(A42=FALSE,"",IF(LISTES!$A$17=1,Cotations!EW42,Cotations!EX42))</f>
        <v/>
      </c>
      <c r="WC42" s="291" t="str">
        <f t="shared" si="405"/>
        <v/>
      </c>
      <c r="WD42" s="291" t="str">
        <f t="shared" si="406"/>
        <v/>
      </c>
      <c r="WE42" s="291"/>
      <c r="WF42" s="463"/>
      <c r="WG42" s="463" t="str">
        <f t="shared" si="407"/>
        <v/>
      </c>
      <c r="WH42" s="522" t="str">
        <f>IF(A42=FALSE,"",IF(Cotations!$AQ$4="monthly",WG42/12*L42,WG42/365*M42))</f>
        <v/>
      </c>
      <c r="WI42" s="489" t="str">
        <f>IF(A42=FALSE,"",Cotations!$AR$4)</f>
        <v/>
      </c>
      <c r="WJ42" s="300" t="str">
        <f t="shared" si="408"/>
        <v/>
      </c>
      <c r="WK42" s="300" t="str">
        <f t="shared" si="409"/>
        <v/>
      </c>
      <c r="WL42" s="294" t="str">
        <f t="shared" si="410"/>
        <v/>
      </c>
      <c r="WM42" s="494" t="str">
        <f>IF(A42=FALSE,"",Cotations!$AS$4)</f>
        <v/>
      </c>
      <c r="WN42" s="494" t="str">
        <f>IF(A42=FALSE,"",Cotations!$AT$4)</f>
        <v/>
      </c>
      <c r="WO42" s="489" t="str">
        <f>IF(A42=FALSE,"",Cotations!$AU$4)</f>
        <v/>
      </c>
      <c r="WP42" s="494" t="str">
        <f>IF(A42=FALSE,"",IF(WM42="N/A",0,IF(INDEX(LISTES!$F$105:$F$109,MATCH(WM42,LISTES!$C$105:$C$109,0))="FIX",IF(INDEX(LISTES!$E$105:$E$109,MATCH(WM42,LISTES!$C$105:$C$109,0))=12,WN42/12*L42,WN42/365*M42),WO42*WL42)))</f>
        <v/>
      </c>
      <c r="WQ42" s="294" t="str">
        <f t="shared" si="411"/>
        <v/>
      </c>
      <c r="WR42" s="494" t="str">
        <f>IF(A42=FALSE,"",WQ42*Cotations!$AV$4)</f>
        <v/>
      </c>
      <c r="WS42" s="494" t="str">
        <f>IF(A42=FALSE,"",WQ42*Cotations!$AW$4)</f>
        <v/>
      </c>
      <c r="WT42" s="465" t="str">
        <f t="shared" si="412"/>
        <v/>
      </c>
      <c r="WU42" s="919" t="str">
        <f>IF(A42=FALSE,"",((WG42*TAXE)-(WG42*TAXE*WI42))+IF(WM42="N/A",0,IF(INDEX(LISTES!$F$105:$F$109,MATCH(WM42,LISTES!$C$105:$C$109,0))="FIX",WN42,WO42*WL42)))</f>
        <v/>
      </c>
    </row>
    <row r="43" spans="1:619">
      <c r="A43" s="942" t="b">
        <f t="shared" si="221"/>
        <v>0</v>
      </c>
      <c r="B43" s="942" t="b">
        <f>IF(NAMES!$B$9=TRUE,TRUE,FALSE)</f>
        <v>1</v>
      </c>
      <c r="C43" s="942" t="b">
        <f t="shared" si="413"/>
        <v>0</v>
      </c>
      <c r="D43" s="942" t="b">
        <f t="shared" si="414"/>
        <v>0</v>
      </c>
      <c r="E43" s="274" t="b">
        <f>IF(Cotations!C43="","",Cotations!C43)</f>
        <v>0</v>
      </c>
      <c r="F43" s="274" t="str">
        <f>IF(Cotations!D43="","",Cotations!D43)</f>
        <v>PROP</v>
      </c>
      <c r="G43" s="274" t="str">
        <f>IF(Cotations!E43="","",Cotations!E43)</f>
        <v>2016-2017!</v>
      </c>
      <c r="H43" s="274" t="str">
        <f>IF(Cotations!F43="","",Cotations!F43)</f>
        <v>SINGLE</v>
      </c>
      <c r="I43" s="274" t="str">
        <f>IF(Cotations!G43="","",Cotations!G43)</f>
        <v/>
      </c>
      <c r="J43" s="274" t="str">
        <f>IF(Cotations!H43="","",Cotations!H43)</f>
        <v/>
      </c>
      <c r="K43" s="274" t="str">
        <f>IF(Cotations!I43="","",Cotations!I43)</f>
        <v/>
      </c>
      <c r="L43" s="274" t="str">
        <f>IF(A43=FALSE,"",IF(Cotations!N43="","",Cotations!N43))</f>
        <v/>
      </c>
      <c r="M43" s="274" t="str">
        <f>IF(Cotations!P43="","",Cotations!P43)</f>
        <v/>
      </c>
      <c r="N43" s="724" t="str">
        <f>IF(NAMES!$B$10=TRUE,Cotations!J43,Cotations!L43)</f>
        <v/>
      </c>
      <c r="O43" s="724" t="str">
        <f>IF(NAMES!$B$10=TRUE,Cotations!K43,Cotations!M43)</f>
        <v/>
      </c>
      <c r="P43" s="943" t="str">
        <f t="shared" si="415"/>
        <v/>
      </c>
      <c r="Q43" s="724" t="str">
        <f>IF(A43=FALSE,"",IF(Crewlist!Y43="","",Crewlist!Y43))</f>
        <v/>
      </c>
      <c r="R43" s="78" t="str">
        <f>IF(Cotations!U43="","",Cotations!U43)</f>
        <v/>
      </c>
      <c r="S43" s="943" t="str">
        <f t="shared" si="416"/>
        <v/>
      </c>
      <c r="T43" s="919" t="str">
        <f>IF(A43=FALSE,"",VLOOKUP($U$15:$U$120,Currency!$A$2:$D$10,4,0)*Crewlist!N43)</f>
        <v/>
      </c>
      <c r="U43" s="1355" t="str">
        <f>IF(A43=FALSE,"",IF(IT43=0,Crewlist!M43&amp;"/"&amp;EX43,Crewlist!M43&amp;"/"&amp;IT43))</f>
        <v/>
      </c>
      <c r="V43" s="919" t="str">
        <f>IF(A43=FALSE,"",VLOOKUP($U$15:$U$120,Currency!$A$2:$D$10,4,0)*Detail!Q43)</f>
        <v/>
      </c>
      <c r="W43" s="1355" t="str">
        <f>IF(A43=FALSE,"",IF(IT43=0,Detail!R43&amp;"/"&amp;EX43,Detail!R43&amp;"/"&amp;IT43))</f>
        <v/>
      </c>
      <c r="X43" s="919" t="str">
        <f>IF(A43=FALSE,"",IF(LISTES!$C$17="Crewlist",Calcul!T43,Calcul!V43))</f>
        <v/>
      </c>
      <c r="Y43" s="758" t="str">
        <f t="shared" si="417"/>
        <v/>
      </c>
      <c r="Z43" s="758" t="str">
        <f>IF(A43=FALSE,"",IF(X43=0,0,IF((Cotations!BC43*12*X43)&lt;50000,50000,(12*X43))))</f>
        <v/>
      </c>
      <c r="AA43" s="758" t="str">
        <f t="shared" si="418"/>
        <v/>
      </c>
      <c r="AB43" s="758" t="str">
        <f>IF(A43=FALSE,"",IF(Crewlist!O43=0,"",Crewlist!O43))</f>
        <v/>
      </c>
      <c r="AC43" s="758" t="str">
        <f>IF(I43="","",VLOOKUP($AB$15:$AB$120,Currency!$A$15:$B$34,2,0))</f>
        <v/>
      </c>
      <c r="AD43" s="758" t="str">
        <f t="shared" si="419"/>
        <v/>
      </c>
      <c r="AE43" s="758" t="str">
        <f t="shared" si="420"/>
        <v/>
      </c>
      <c r="AF43" s="758" t="str">
        <f t="shared" si="421"/>
        <v/>
      </c>
      <c r="AG43" s="758" t="str">
        <f t="shared" si="422"/>
        <v/>
      </c>
      <c r="AH43" s="1355" t="str">
        <f t="shared" si="222"/>
        <v/>
      </c>
      <c r="AI43" s="919" t="str">
        <f t="shared" si="423"/>
        <v/>
      </c>
      <c r="AJ43" s="1382" t="str">
        <f t="shared" si="424"/>
        <v/>
      </c>
      <c r="AK43" s="1382" t="str">
        <f t="shared" si="425"/>
        <v/>
      </c>
      <c r="AL43" s="238" t="str">
        <f t="shared" si="223"/>
        <v/>
      </c>
      <c r="AM43" s="238" t="str">
        <f t="shared" si="224"/>
        <v/>
      </c>
      <c r="AN43" s="1374" t="str">
        <f t="shared" si="225"/>
        <v/>
      </c>
      <c r="AO43" s="238" t="str">
        <f t="shared" si="226"/>
        <v/>
      </c>
      <c r="AP43" s="342" t="str">
        <f>IF(A43=FALSE,"",INDEX(Rates!$Z$5:$Z$367,MATCH(EB43,colchoice,0)))</f>
        <v/>
      </c>
      <c r="AQ43" s="238" t="str">
        <f t="shared" si="227"/>
        <v/>
      </c>
      <c r="AR43" s="238" t="str">
        <f t="shared" si="426"/>
        <v/>
      </c>
      <c r="AS43" s="238" t="str">
        <f t="shared" si="427"/>
        <v/>
      </c>
      <c r="AT43" s="238" t="str">
        <f t="shared" si="428"/>
        <v/>
      </c>
      <c r="AU43" s="238" t="str">
        <f t="shared" si="228"/>
        <v/>
      </c>
      <c r="AV43" s="238" t="str">
        <f t="shared" si="429"/>
        <v/>
      </c>
      <c r="AW43" s="238" t="str">
        <f t="shared" si="229"/>
        <v/>
      </c>
      <c r="AX43" s="238" t="str">
        <f t="shared" si="230"/>
        <v/>
      </c>
      <c r="AY43" s="238" t="str">
        <f t="shared" si="231"/>
        <v/>
      </c>
      <c r="AZ43" s="238" t="str">
        <f t="shared" si="232"/>
        <v/>
      </c>
      <c r="BA43" s="238" t="str">
        <f t="shared" si="233"/>
        <v/>
      </c>
      <c r="BB43" s="552" t="str">
        <f t="shared" si="234"/>
        <v/>
      </c>
      <c r="BC43" s="347" t="str">
        <f t="shared" si="235"/>
        <v/>
      </c>
      <c r="BD43" s="239" t="str">
        <f t="shared" si="430"/>
        <v/>
      </c>
      <c r="BE43" s="239" t="str">
        <f>IF(A43=FALSE,"",IF(ALLTHESAME=TRUE,IF(DF43&lt;&gt;$BC$7,0,INDEX(DD43:DZ43,1,MATCH(Structure!$D$12,$DD$14:$DZ$14,0))),IF(EC43&lt;&gt;$BC$7,0,INDEX(EA43:EZ43,1,MATCH(Structure!$D$12,$EA$14:$EZ$14,0)))))</f>
        <v/>
      </c>
      <c r="BF43" s="239" t="str">
        <f>IF(A43=FALSE,"",IF(ALLTHESAME=TRUE,IF(FC43&lt;&gt;$BC$7,0,INDEX(FA43:FZ43,1,MATCH(Structure!$D$12,$FA$14:$FZ$14,0))),IF(GC43&lt;&gt;$BC$7,0,INDEX(GA43:GZ43,1,MATCH(Structure!$D$12,$GA$14:$GZ$14,0)))))</f>
        <v/>
      </c>
      <c r="BG43" s="239" t="str">
        <f>IF(A43=FALSE,"",IF(ALLTHESAME=TRUE,IF(VC43&lt;&gt;$BC$7,0,INDEX(VA43:VZ43,1,MATCH(Structure!$D$12,$VA$14:$VZ$14,0))),IF(VC43&lt;&gt;$BC$7,0,INDEX(VA43:VZ43,1,MATCH(Structure!$D$12,$VA$14:$VZ$14,0)))))</f>
        <v/>
      </c>
      <c r="BH43" s="239" t="str">
        <f>IF(A43=FALSE,"",IF(ALLTHESAME=TRUE,IF(WC43&lt;&gt;$BC$7,0,INDEX(WA43:WY43,1,MATCH(Structure!$D$12,$WA$14:$WZ$14,0))),IF(WC43&lt;&gt;$BC$7,0,INDEX(WA43:WZ43,1,MATCH(Structure!$D$12,$WA$14:$WZ$14,0)))))</f>
        <v/>
      </c>
      <c r="BI43" s="763" t="str">
        <f>IF(A43=FALSE,"",IF(ALLTHESAME=TRUE,IF(HC43&lt;&gt;$BC$7,0,INDEX(HA43:HZ43,1,MATCH(Structure!$D$12,$HA$14:$HZ$14,0)))+TK43,IF(IC43&lt;&gt;$BC$7,0,INDEX(IA43:IZ43,1,MATCH(Structure!$D$12,$IA$14:$IZ$14,0)))+TK43))</f>
        <v/>
      </c>
      <c r="BJ43" s="239" t="str">
        <f>IF(A43=FALSE,"",IF(ALLTHESAME=TRUE,IF(JC43&lt;&gt;$BC$7,0,INDEX(JA43:JZ43,1,MATCH(Structure!$D$12,$JA$14:$JZ$14,0))),IF(KC43&lt;&gt;$BC$7,0,INDEX(KA43:KZ43,1,MATCH(Structure!$D$12,$KA$14:$KZ$14,0)))))</f>
        <v/>
      </c>
      <c r="BK43" s="763" t="str">
        <f>IF(A43=FALSE,"",IF(ALLTHESAME=TRUE,IF(LC43&lt;&gt;$BC$7,0,INDEX(LA43:LZ43,1,MATCH(Structure!$D$12,$LA$14:$LZ$14,0)))+UK43,IF(MC43&lt;&gt;$BC$7,0,INDEX(MA43:MZ43,1,MATCH(Structure!$D$12,$MA$14:$MZ$14,0)))+UK43))</f>
        <v/>
      </c>
      <c r="BL43" s="239" t="str">
        <f>IF(A43=FALSE,"",IF(ALLTHESAME=TRUE,IF(NC43&lt;&gt;$BC$7,0,INDEX(NA43:NZ43,1,MATCH(Structure!$D$12,$NA$14:$NZ$14,0))),IF(OC43&lt;&gt;$BC$7,0,INDEX(OA43:OZ43,1,MATCH(Structure!$D$12,$OA$14:$OZ$14,0)))))</f>
        <v/>
      </c>
      <c r="BM43" s="239" t="str">
        <f>IF(A43=FALSE,"",IF(ALLTHESAME=TRUE,IF(PC43&lt;&gt;$BC$7,0,INDEX(PA43:PZ43,1,MATCH(Structure!$D$12,$PA$14:$PZ$14,0))),IF(QC43&lt;&gt;$BC$7,0,INDEX(QA43:QZ43,1,MATCH(Structure!$D$12,$QA$14:$QZ$14,0)))))</f>
        <v/>
      </c>
      <c r="BN43" s="341" t="str">
        <f>IF(A43=FALSE,"",IF(ALLTHESAME=TRUE,IF(RC43&lt;&gt;$BC$7,0,INDEX(RA43:RZ43,1,MATCH(Structure!$D$12,$RA$14:$RZ$14,0))),IF(SC43&lt;&gt;$BC$7,0,INDEX(SA43:TA43,1,MATCH(Structure!$D$12,$SA$14:$TA$14,0)))))</f>
        <v/>
      </c>
      <c r="BO43" s="507" t="str">
        <f t="shared" si="236"/>
        <v/>
      </c>
      <c r="BP43" s="239" t="str">
        <f t="shared" si="237"/>
        <v/>
      </c>
      <c r="BQ43" s="239" t="str">
        <f>IF(A43=FALSE,"",IF(ALLTHESAME=TRUE,IF(DF43&lt;&gt;$BO$7,0,INDEX(DD43:DZ43,1,MATCH(Structure!$D$12,$DD$14:$DZ$14,0))),IF(EC43&lt;&gt;$BO$7,0,INDEX(EA43:EZ43,1,MATCH(Structure!$D$12,$EA$14:$EZ$14,0)))))</f>
        <v/>
      </c>
      <c r="BR43" s="239" t="str">
        <f>IF(A43=FALSE,"",IF(ALLTHESAME=TRUE,IF(FC43&lt;&gt;$BO$7,0,INDEX(FA43:FZ43,1,MATCH(Structure!$D$12,$FA$14:$FZ$14,0))),IF(GC43&lt;&gt;$BO$7,0,INDEX(GA43:GZ43,1,MATCH(Structure!$D$12,$GA$14:$GZ$14,0)))))</f>
        <v/>
      </c>
      <c r="BS43" s="239" t="str">
        <f>IF(A43=FALSE,"",IF(ALLTHESAME=TRUE,IF(HC43&lt;&gt;$BO$7,0,INDEX(HA43:HZ43,1,MATCH(Structure!$D$12,$HA$14:$HZ$14,0))),IF(IC43&lt;&gt;$BO$7,0,INDEX(IA43:IZ43,1,MATCH(Structure!$D$12,$IA$14:$IZ$14,0)))))</f>
        <v/>
      </c>
      <c r="BT43" s="239" t="str">
        <f>IF(A43=FALSE,"",IF(ALLTHESAME=TRUE,IF(JC43&lt;&gt;$BO$7,0,INDEX(JA43:JZ43,1,MATCH(Structure!$D$12,$JA$14:$JZ$14,0))),IF(KC43&lt;&gt;$BO$7,0,INDEX(KA43:KZ43,1,MATCH(Structure!$D$12,$KA$14:$KZ$14,0)))))</f>
        <v/>
      </c>
      <c r="BU43" s="239" t="str">
        <f>IF(A43=FALSE,"",IF(ALLTHESAME=TRUE,IF(LC43&lt;&gt;$BO$7,0,INDEX(LA43:LZ43,1,MATCH(Structure!$D$12,$LA$14:$LZ$14,0))),IF(MC43&lt;&gt;$BO$7,0,INDEX(MA43:MZ43,1,MATCH(Structure!$D$12,$MA$14:$MZ$14,0)))))</f>
        <v/>
      </c>
      <c r="BV43" s="239" t="str">
        <f>IF(A43=FALSE,"",IF(ALLTHESAME=TRUE,IF(NC43&lt;&gt;$BO$7,0,INDEX(NA43:NZ43,1,MATCH(Structure!$D$12,$NA$14:$NZ$14,0))),IF(OC43&lt;&gt;$BO$7,0,INDEX(OA43:OZ43,1,MATCH(Structure!$D$12,$OA$14:$OZ$14,0)))))</f>
        <v/>
      </c>
      <c r="BW43" s="239" t="str">
        <f>IF(A43=FALSE,"",IF(ALLTHESAME=TRUE,IF(PC43&lt;&gt;$BO$7,0,INDEX(PA43:PZ43,1,MATCH(Structure!$D$12,$PA$14:$PZ$14,0))),IF(QC43&lt;&gt;$BO$7,0,INDEX(QA43:QZ43,1,MATCH(Structure!$D$12,$QA$14:$QZ$14,0)))))</f>
        <v/>
      </c>
      <c r="BX43" s="341" t="str">
        <f>IF(A43=FALSE,"",IF(ALLTHESAME=TRUE,IF(RC43&lt;&gt;$BO$7,0,INDEX(RA43:RZ43,1,MATCH(Structure!$D$12,$RA$14:$RZ$14,0))),IF(SC43&lt;&gt;$BO$7,0,INDEX(SA43:TA43,1,MATCH(Structure!$D$12,$SA$14:$TA$14,0)))))</f>
        <v/>
      </c>
      <c r="BY43" s="347" t="str">
        <f t="shared" si="238"/>
        <v/>
      </c>
      <c r="BZ43" s="507" t="str">
        <f t="shared" si="239"/>
        <v/>
      </c>
      <c r="CA43" s="239" t="str">
        <f t="shared" si="240"/>
        <v/>
      </c>
      <c r="CB43" s="239" t="str">
        <f>IF(A43=FALSE,"",IF(ALLTHESAME=TRUE,INDEX(DD43:DZ43,MATCH(DF43,DF43:DF148,0),MATCH(Structure!$D$17,$DD$14:$DZ$14,0)),INDEX(EA43:EZ43,MATCH(EC43,EC43:EC148,0),MATCH(Structure!$D$17,$EA$14:$EZ$14,0))))</f>
        <v/>
      </c>
      <c r="CC43" s="239" t="str">
        <f>IF(A43=FALSE,"",IF(ALLTHESAME=TRUE,INDEX(FA43:FZ43,MATCH(FC43,FC43:FC148,0),MATCH(Structure!$D$17,$FA$14:$FZ$14,0)),INDEX(GA43:GZ43,MATCH(GC43,GC43:GC148,0),MATCH(Structure!$D$17,$GA$14:$GZ$14,0))))</f>
        <v/>
      </c>
      <c r="CD43" s="239" t="str">
        <f>IF(A43=FALSE,"",IF(ALLTHESAME=TRUE,INDEX(HA43:HZ43,MATCH(HC43,HC43:HC148,0),MATCH(Structure!$D$17,$HA$14:$HZ$14,0)),INDEX(IA43:IZ43,MATCH(IC43,IC43:IC148,0),MATCH(Structure!$D$17,$IA$14:$IZ$14,0))))</f>
        <v/>
      </c>
      <c r="CE43" s="239" t="str">
        <f>IF(A43=FALSE,"",IF(ALLTHESAME=TRUE,INDEX(JA43:JZ43,MATCH(JC43,JC43:JC148,0),MATCH(Structure!$D$17,$JA$14:$JZ$14,0)),INDEX(KA43:KZ43,MATCH(KC43,KC43:KC148,0),MATCH(Structure!$D$17,$KA$14:$KZ$14,0))))</f>
        <v/>
      </c>
      <c r="CF43" s="239" t="str">
        <f>IF(A43=FALSE,"",IF(ALLTHESAME=TRUE,INDEX(LA43:LZ43,MATCH(LC43,LC43:LC148,0),MATCH(Structure!$D$17,$LA$14:$LZ$14,0)),INDEX(MA43:MZ43,MATCH(MC43,MC43:MC148,0),MATCH(Structure!$D$17,$MA$14:$MZ$14,0))))</f>
        <v/>
      </c>
      <c r="CG43" s="239" t="str">
        <f>IF(A43=FALSE,"",IF(ALLTHESAME=TRUE,INDEX(NA43:NZ43,MATCH(NC43,NC43:NC148,0),MATCH(Structure!$D$17,$NA$14:$NZ$14,0)),INDEX(OA43:OZ43,MATCH(OC43,OC43:OC148,0),MATCH(Structure!$D$17,$OA$14:$OZ$14,0))))</f>
        <v/>
      </c>
      <c r="CH43" s="239" t="str">
        <f>IF(A43=FALSE,"",IF(ALLTHESAME=TRUE,INDEX(PA43:PZ43,MATCH(PC43,PC43:PC148,0),MATCH(Structure!$D$17,$PA$14:$PZ$14,0)),INDEX(QA43:QZ43,MATCH(QC43,QC43:QC148,0),MATCH(Structure!$D$17,$QA$14:$QZ$14,0))))</f>
        <v/>
      </c>
      <c r="CI43" s="341" t="str">
        <f>IF(A43=FALSE,"",IF(ALLTHESAME=TRUE,INDEX(RA43:RZ43,MATCH(RC43,RC43:RC148,0),MATCH(Structure!$D$17,$RA$14:$RZ$14,0)),INDEX(SA43:TC43,MATCH(SC43,SC43:SC148,0),MATCH(Structure!$D$17,$SA$14:$TC$14,0))))</f>
        <v/>
      </c>
      <c r="CJ43" s="347"/>
      <c r="CK43" s="239" t="str">
        <f t="shared" si="241"/>
        <v/>
      </c>
      <c r="CL43" s="239" t="str">
        <f>IF(A43=FALSE,"",IF(ALLTHESAME=TRUE,INDEX(DD43:DZ43,MATCH(DF43,DF43:DF148,0),MATCH(Structure!$D$22,$DD$14:$DZ$14,0)),INDEX(EA43:EZ43,MATCH(EC43,EC43:EC148,0),MATCH(Structure!$D$22,$EA$14:$EZ$14,0))))</f>
        <v/>
      </c>
      <c r="CM43" s="239" t="str">
        <f>IF(A43=FALSE,"",IF(ALLTHESAME=TRUE,INDEX(FA43:FZ43,MATCH(FC43,FC43:FC148,0),MATCH(Structure!$D$22,$FA$14:$FZ$14,0)),INDEX(GA43:GZ43,MATCH(GC43,GC43:GC148,0),MATCH(Structure!$D$22,$GA$14:$GZ$14,0))))</f>
        <v/>
      </c>
      <c r="CN43" s="239" t="str">
        <f>IF(A43=FALSE,"",IF(ALLTHESAME=TRUE,INDEX(HA43:HZ43,MATCH(HC43,HC43:HC148,0),MATCH(Structure!$D$22,$HA$14:$HZ$14,0)),INDEX(IA43:IZ43,MATCH(IC43,IC43:IC148,0),MATCH(Structure!$D$22,$IA$14:$IZ$14,0))))</f>
        <v/>
      </c>
      <c r="CO43" s="239" t="str">
        <f>IF(A43=FALSE,"",IF(ALLTHESAME=TRUE,INDEX(JA43:JZ43,MATCH(JC43,JC43:JC148,0),MATCH(Structure!$D$22,$JA$14:$JZ$14,0)),INDEX(KA43:KZ43,MATCH(KC43,KC43:KC148,0),MATCH(Structure!$D$22,$KA$14:$KZ$14,0))))</f>
        <v/>
      </c>
      <c r="CP43" s="239" t="str">
        <f>IF(A43=FALSE,"",IF(ALLTHESAME=TRUE,INDEX(LA43:LZ43,MATCH(LC43,LC43:LC148,0),MATCH(Structure!$D$22,$LA$14:$LZ$14,0)),INDEX(MA43:MZ43,MATCH(MC43,MC43:MC148,0),MATCH(Structure!$D$22,$MA$14:$MZ$14,0))))</f>
        <v/>
      </c>
      <c r="CQ43" s="239" t="str">
        <f>IF(A43=FALSE,"",IF(ALLTHESAME=TRUE,INDEX(NA43:NZ43,MATCH(NC43,NC43:NC148,0),MATCH(Structure!$D$22,$NA$14:$NZ$14,0)),INDEX(OA43:OZ43,MATCH(OC43,OC43:OC148,0),MATCH(Structure!$D$22,$OA$14:$OZ$14,0))))</f>
        <v/>
      </c>
      <c r="CR43" s="239" t="str">
        <f>IF(A43=FALSE,"",IF(ALLTHESAME=TRUE,INDEX(PA43:PZ43,MATCH(PC43,PC43:PC148,0),MATCH(Structure!$D$22,$PA$14:$PZ$14,0)),INDEX(QA43:QZ43,MATCH(QC43,QC43:QC148,0),MATCH(Structure!$D$22,$QA$14:$QZ$14,0))))</f>
        <v/>
      </c>
      <c r="CS43" s="341" t="str">
        <f>IF(A43=FALSE,"",IF(ALLTHESAME=TRUE,INDEX(RA43:RZ43,MATCH(RC43,RC43:RC148,0),MATCH(Structure!$D$22,$RA$14:$RZ$14,0)),INDEX(SA43:TC43,MATCH(SC43,SC43:SC148,0),MATCH(Structure!$D$22,$SA$14:$TC$14,0))))</f>
        <v/>
      </c>
      <c r="CT43" s="347"/>
      <c r="CU43" s="239" t="str">
        <f t="shared" si="242"/>
        <v/>
      </c>
      <c r="CV43" s="239" t="str">
        <f>IF(A43=FALSE,"",IF(ALLTHESAME=TRUE,INDEX(DD43:DZ43,MATCH(DF43,DF43:DF148,0),MATCH(Structure!$D$8,$DD$14:$DZ$14,0)),INDEX(EA43:EZ43,MATCH(EC43,EC43:EC148,0),MATCH(Structure!$D$8,$EA$14:$EZ$14,0))))</f>
        <v/>
      </c>
      <c r="CW43" s="239" t="str">
        <f>IF(A43=FALSE,"",IF(ALLTHESAME=TRUE,INDEX(FA43:FZ43,MATCH(FC43,FC43:FC148,0),MATCH(Structure!$D$8,$FA$14:$FZ$14,0)),INDEX(GA43:GZ43,MATCH(GC43,GC43:GC148,0),MATCH(Structure!$D$8,$GA$14:$GZ$14,0))))</f>
        <v/>
      </c>
      <c r="CX43" s="239" t="str">
        <f>IF(A43=FALSE,"",IF(ALLTHESAME=TRUE,INDEX(HA43:HZ43,MATCH(HC43,HC43:HC148,0),MATCH(Structure!$D$8,$HA$14:$HZ$14,0)),INDEX(IA43:IZ43,MATCH(IC43,IC43:IC148,0),MATCH(Structure!$D$8,$IA$14:$IZ$14,0))))</f>
        <v/>
      </c>
      <c r="CY43" s="239" t="str">
        <f>IF(A43=FALSE,"",IF(ALLTHESAME=TRUE,INDEX(JA43:JZ43,MATCH(JC43,JC43:JC148,0),MATCH(Structure!$D$8,$JA$14:$JZ$14,0)),INDEX(KA43:KZ43,MATCH(KC43,KC43:KC148,0),MATCH(Structure!$D$8,$KA$14:$KZ$14,0))))</f>
        <v/>
      </c>
      <c r="CZ43" s="239" t="str">
        <f>IF(A43=FALSE,"",IF(ALLTHESAME=TRUE,INDEX(LA43:LZ43,MATCH(LC43,LC43:LC148,0),MATCH(Structure!$D$8,$LA$14:$LZ$14,0)),INDEX(MA43:MZ43,MATCH(MC43,MC43:MC148,0),MATCH(Structure!$D$8,$MA$14:$MZ$14,0))))</f>
        <v/>
      </c>
      <c r="DA43" s="239" t="str">
        <f>IF(A43=FALSE,"",IF(ALLTHESAME=TRUE,INDEX(NA43:NZ43,MATCH(NC43,NC43:NC148,0),MATCH(Structure!$D$8,$NA$14:$NZ$14,0)),INDEX(OA43:OZ43,MATCH(OC43,OC43:OC148,0),MATCH(Structure!$D$8,$OA$14:$OZ$14,0))))</f>
        <v/>
      </c>
      <c r="DB43" s="239" t="str">
        <f>IF(A43=FALSE,"",IF(ALLTHESAME=TRUE,INDEX(PA43:PZ43,MATCH(PC43,PC43:PC148,0),MATCH(Structure!$D$8,$PA$14:$PZ$14,0)),INDEX(QA43:QZ43,MATCH(QC43,QC43:QC148,0),MATCH(Structure!$D$8,$QA$14:$QZ$14,0))))</f>
        <v/>
      </c>
      <c r="DC43" s="341" t="str">
        <f>IF(A43=FALSE,"",IF(ALLTHESAME=TRUE,INDEX(RA43:RZ43,MATCH(RC43,RC43:RC148,0),MATCH(Structure!$D$8,$RA$14:$RZ$14,0)),INDEX(SA43:TC43,MATCH(SC43,SC43:SC148,0),MATCH(Structure!$D$8,$SA$14:$TC$14,0))))</f>
        <v/>
      </c>
      <c r="DD43" s="492" t="str">
        <f>IF(A43=FALSE,"",Cotations!D43)</f>
        <v/>
      </c>
      <c r="DE43" s="492" t="str">
        <f>IF(A43=FALSE,"",IF(LISTES!$A$17=1,Cotations!AF43,Cotations!$AG$4))</f>
        <v/>
      </c>
      <c r="DF43" s="291" t="str">
        <f t="shared" si="431"/>
        <v/>
      </c>
      <c r="DG43" s="291" t="str">
        <f t="shared" si="243"/>
        <v/>
      </c>
      <c r="DH43" s="291"/>
      <c r="DI43" s="463"/>
      <c r="DJ43" s="463" t="str">
        <f t="shared" si="244"/>
        <v/>
      </c>
      <c r="DK43" s="522" t="str">
        <f>IF(A43=FALSE,"",IF(Cotations!$AH$4="monthly",DJ43/12*L43,DJ43/365*M43))</f>
        <v/>
      </c>
      <c r="DL43" s="489" t="str">
        <f>IF(A43=FALSE,"",Cotations!$AI$4)</f>
        <v/>
      </c>
      <c r="DM43" s="300" t="str">
        <f t="shared" si="245"/>
        <v/>
      </c>
      <c r="DN43" s="300" t="str">
        <f t="shared" si="246"/>
        <v/>
      </c>
      <c r="DO43" s="294" t="str">
        <f t="shared" si="247"/>
        <v/>
      </c>
      <c r="DP43" s="494" t="str">
        <f>IF(A43=FALSE,"",Cotations!$AJ$4)</f>
        <v/>
      </c>
      <c r="DQ43" s="494" t="str">
        <f>IF(A43=FALSE,"",Cotations!$AK$4)</f>
        <v/>
      </c>
      <c r="DR43" s="489" t="str">
        <f>IF(A43=FALSE,"",Cotations!$AL$4)</f>
        <v/>
      </c>
      <c r="DS43" s="494" t="str">
        <f>IF(A43=FALSE,"",IF(DP43="N/A",0,IF(INDEX(LISTES!$F$105:$F$109,MATCH(DP43,LISTES!$C$105:$C$109,0))="FIX",IF(INDEX(LISTES!$E$105:$E$109,MATCH(DP43,LISTES!$C$105:$C$109,0))=12,DQ43/12*L43,DQ43/365*M43),DR43*DO43)))</f>
        <v/>
      </c>
      <c r="DT43" s="294" t="str">
        <f t="shared" si="248"/>
        <v/>
      </c>
      <c r="DU43" s="294" t="str">
        <f>IF(A43=FALSE,"",DT43*Cotations!$AM$4)</f>
        <v/>
      </c>
      <c r="DV43" s="294" t="str">
        <f>IF(A43=FALSE,"",DT43*Cotations!$AN$4)</f>
        <v/>
      </c>
      <c r="DW43" s="465" t="str">
        <f t="shared" si="249"/>
        <v/>
      </c>
      <c r="DX43" s="919" t="str">
        <f>IF(A43=FALSE,"",((DJ43*TAXE)-(DJ43*TAXE*DL43))+IF(DP43="N/A",0,IF(INDEX(LISTES!$F$105:$F$109,MATCH(DP43,LISTES!$C$105:$C$109,0))="FIX",DQ43,DR43*DO43)))</f>
        <v/>
      </c>
      <c r="DY43" s="466"/>
      <c r="DZ43" s="466"/>
      <c r="EA43" s="492" t="str">
        <f>IF(A43=FALSE,"",Cotations!D43)</f>
        <v/>
      </c>
      <c r="EB43" s="494" t="str">
        <f>IF(A43=FALSE,"",IF(LISTES!$A$17=1,Cotations!AF43,Cotations!AG43))</f>
        <v/>
      </c>
      <c r="EC43" s="284" t="str">
        <f t="shared" si="250"/>
        <v/>
      </c>
      <c r="ED43" s="284" t="str">
        <f t="shared" si="251"/>
        <v/>
      </c>
      <c r="EE43" s="284"/>
      <c r="EF43" s="284"/>
      <c r="EG43" s="284" t="str">
        <f t="shared" si="252"/>
        <v/>
      </c>
      <c r="EH43" s="1365" t="str">
        <f t="shared" si="253"/>
        <v/>
      </c>
      <c r="EI43" s="1365" t="str">
        <f t="shared" si="254"/>
        <v/>
      </c>
      <c r="EJ43" s="515" t="str">
        <f>IF(A43=FALSE,"",IF(Cotations!AH43="monthly",EG43/12*L43,EG43/365*M43))</f>
        <v/>
      </c>
      <c r="EK43" s="1364" t="str">
        <f>IF(A43=FALSE,"",IF(Cotations!AH43="monthly",EI43/12*L43,EI43/365*M43))</f>
        <v/>
      </c>
      <c r="EL43" s="493" t="str">
        <f>IF(A43=FALSE,"",IF(Cotations!AI43="","",Cotations!AI43))</f>
        <v/>
      </c>
      <c r="EM43" s="284" t="str">
        <f t="shared" si="255"/>
        <v/>
      </c>
      <c r="EN43" s="284" t="str">
        <f t="shared" si="256"/>
        <v/>
      </c>
      <c r="EO43" s="1365" t="str">
        <f t="shared" si="432"/>
        <v/>
      </c>
      <c r="EP43" s="284" t="str">
        <f t="shared" si="257"/>
        <v/>
      </c>
      <c r="EQ43" s="515" t="str">
        <f>IF(A43=FALSE,"",Cotations!AJ43)</f>
        <v/>
      </c>
      <c r="ER43" s="515" t="str">
        <f>IF(A43=FALSE,"",IF(Cotations!AK43="","",Cotations!AK43))</f>
        <v/>
      </c>
      <c r="ES43" s="493" t="str">
        <f>IF(A43=FALSE,"",Cotations!AL43)</f>
        <v/>
      </c>
      <c r="ET43" s="515" t="str">
        <f>IF(A43=FALSE,"",IF(EQ43="N/A",0,IF(INDEX(LISTES!$F$105:$F$109,MATCH(EQ43,LISTES!$C$105:$C$109,0))="FIX",IF(INDEX(LISTES!$E$105:$E$109,MATCH(EQ43,LISTES!$C$105:$C$109,0))=12,ER43/12*L43,ER43/365*M43),ES43*EP43)))</f>
        <v/>
      </c>
      <c r="EU43" s="294" t="str">
        <f t="shared" si="258"/>
        <v/>
      </c>
      <c r="EV43" s="494" t="str">
        <f>IF(A43=FALSE,"",EU43*Cotations!AM43)</f>
        <v/>
      </c>
      <c r="EW43" s="494" t="str">
        <f>IF(A43=FALSE,"",EU43*Cotations!AN43)</f>
        <v/>
      </c>
      <c r="EX43" s="334" t="str">
        <f t="shared" si="259"/>
        <v/>
      </c>
      <c r="EY43" s="919" t="str">
        <f>IF(A43=FALSE,"",((EG43*TAXE)-(EG43*TAXE*EL43)+EH43)+IF(EQ43="N/A",0,IF(INDEX(LISTES!$F$105:$F$109,MATCH(EQ43,LISTES!$C$105:$C$109,0))="FIX",ER43,ES43*EP43)))</f>
        <v/>
      </c>
      <c r="FA43" s="492" t="str">
        <f>IF(A43=FALSE,"",Cotations!D43)</f>
        <v/>
      </c>
      <c r="FB43" s="519" t="str">
        <f>IF(A43=FALSE,"",IF(LISTES!$A$17=1,Cotations!AO43,Cotations!$AP$4))</f>
        <v/>
      </c>
      <c r="FC43" s="291" t="str">
        <f t="shared" si="260"/>
        <v/>
      </c>
      <c r="FD43" s="291" t="str">
        <f t="shared" si="261"/>
        <v/>
      </c>
      <c r="FE43" s="291"/>
      <c r="FF43" s="463"/>
      <c r="FG43" s="463" t="str">
        <f t="shared" si="262"/>
        <v/>
      </c>
      <c r="FH43" s="522" t="str">
        <f>IF(A43=FALSE,"",IF(Cotations!$AQ$4="monthly",FG43/12*L43,FG43/365*M43))</f>
        <v/>
      </c>
      <c r="FI43" s="453" t="str">
        <f>IF(A43=FALSE,"",Cotations!$AR$4)</f>
        <v/>
      </c>
      <c r="FJ43" s="300" t="str">
        <f t="shared" si="263"/>
        <v/>
      </c>
      <c r="FK43" s="300" t="str">
        <f t="shared" si="264"/>
        <v/>
      </c>
      <c r="FL43" s="294" t="str">
        <f t="shared" si="265"/>
        <v/>
      </c>
      <c r="FM43" s="494" t="str">
        <f>IF(A43=FALSE,"",Cotations!$AS$4)</f>
        <v/>
      </c>
      <c r="FN43" s="494" t="str">
        <f>IF(A43=FALSE,"",Cotations!$AT$4)</f>
        <v/>
      </c>
      <c r="FO43" s="489" t="str">
        <f>IF(A43=FALSE,"",Cotations!$AU$4)</f>
        <v/>
      </c>
      <c r="FP43" s="494" t="str">
        <f>IF(A43=FALSE,"",IF(FM43="N/A",0,IF(INDEX(LISTES!$F$105:$F$109,MATCH(FM43,LISTES!$C$105:$C$109,0))="FIX",IF(INDEX(LISTES!$E$105:$E$109,MATCH(FM43,LISTES!$C$105:$C$109,0))=12,FN43/12*L43,FN43/365*M43),FO43*FL43)))</f>
        <v/>
      </c>
      <c r="FQ43" s="294" t="str">
        <f t="shared" si="266"/>
        <v/>
      </c>
      <c r="FR43" s="494" t="str">
        <f>IF(A43=FALSE,"",FQ43*Cotations!$AV$4)</f>
        <v/>
      </c>
      <c r="FS43" s="494" t="str">
        <f>IF(A43=FALSE,"",FQ43*Cotations!$AW$4)</f>
        <v/>
      </c>
      <c r="FT43" s="465" t="str">
        <f t="shared" si="267"/>
        <v/>
      </c>
      <c r="FU43" s="919" t="str">
        <f>IF(A43=FALSE,"",((FG43*TAXE)-(FG43*TAXE*FI43))+IF(FM43="N/A",0,IF(INDEX(LISTES!$F$105:$F$109,MATCH(FM43,LISTES!$C$105:$C$109,0))="FIX",FN43,FO43*FL43)))</f>
        <v/>
      </c>
      <c r="FV43" s="478"/>
      <c r="FW43" s="478"/>
      <c r="FX43" s="478"/>
      <c r="FY43" s="478"/>
      <c r="FZ43" s="478"/>
      <c r="GA43" s="492" t="str">
        <f>IF(A43=FALSE,"",Cotations!D43)</f>
        <v/>
      </c>
      <c r="GB43" s="494" t="str">
        <f>IF(A43=FALSE,"",IF(LISTES!$A$17=1,Cotations!AO43,Cotations!AP43))</f>
        <v/>
      </c>
      <c r="GC43" s="284" t="str">
        <f t="shared" si="268"/>
        <v/>
      </c>
      <c r="GD43" s="515" t="str">
        <f>IF(A43=FALSE,"",IF(Detail!AM43="","",Detail!AM43))</f>
        <v/>
      </c>
      <c r="GE43" s="284"/>
      <c r="GF43" s="284"/>
      <c r="GG43" s="284" t="str">
        <f t="shared" si="269"/>
        <v/>
      </c>
      <c r="GH43" s="515" t="str">
        <f>IF(A43=FALSE,"",IF(Cotations!AQ43="monthly",GG43/12*L43,GG43/365*M43))</f>
        <v/>
      </c>
      <c r="GI43" s="493" t="str">
        <f>IF(A43=FALSE,"",IF(Cotations!AR43="","",Cotations!AR43))</f>
        <v/>
      </c>
      <c r="GJ43" s="284" t="str">
        <f t="shared" si="270"/>
        <v/>
      </c>
      <c r="GK43" s="284" t="str">
        <f t="shared" si="271"/>
        <v/>
      </c>
      <c r="GL43" s="284" t="str">
        <f t="shared" si="272"/>
        <v/>
      </c>
      <c r="GM43" s="515" t="str">
        <f>IF(A43=FALSE,"",Cotations!AS43)</f>
        <v/>
      </c>
      <c r="GN43" s="515" t="str">
        <f>IF(A43=FALSE,"",Cotations!AT43)</f>
        <v/>
      </c>
      <c r="GO43" s="493" t="str">
        <f>IF(A43=FALSE,"",Cotations!AU43)</f>
        <v/>
      </c>
      <c r="GP43" s="515" t="str">
        <f>IF(A43=FALSE,"",IF(GM43="N/A",0,IF(INDEX(LISTES!$F$105:$F$109,MATCH(GM43,LISTES!$C$105:$C$109,0))="FIX",IF(INDEX(LISTES!$E$105:$E$109,MATCH(GM43,LISTES!$C$105:$C$109,0))=12,GN43/12*L43,GN43/365*M43),GO43*GL43)))</f>
        <v/>
      </c>
      <c r="GQ43" s="294" t="str">
        <f t="shared" si="273"/>
        <v/>
      </c>
      <c r="GR43" s="494" t="str">
        <f>IF(A43=FALSE,"",GQ43*Cotations!AV43)</f>
        <v/>
      </c>
      <c r="GS43" s="494" t="str">
        <f>IF(A43=FALSE,"",GQ43*Cotations!AW43)</f>
        <v/>
      </c>
      <c r="GT43" s="334" t="str">
        <f t="shared" si="274"/>
        <v/>
      </c>
      <c r="GU43" s="919" t="str">
        <f>IF(A43=FALSE,"",((GG43*TAXE)-(GG43*TAXE*GI43))+IF(GM43="N/A",0,IF(INDEX(LISTES!$F$105:$F$109,MATCH(GM43,LISTES!$C$105:$C$109,0))="FIX",GN43,GO43*GL43)))</f>
        <v/>
      </c>
      <c r="GV43" s="478"/>
      <c r="GW43" s="466"/>
      <c r="GX43" s="466"/>
      <c r="GY43" s="466"/>
      <c r="GZ43" s="466"/>
      <c r="HA43" s="492" t="str">
        <f>IF(A43=FALSE,"",Cotations!D43)</f>
        <v/>
      </c>
      <c r="HB43" s="495" t="str">
        <f>IF(A43=FALSE,"",IF(LISTES!$A$17=1,Cotations!AX43,Cotations!$AY$4))</f>
        <v/>
      </c>
      <c r="HC43" s="291" t="str">
        <f t="shared" si="275"/>
        <v/>
      </c>
      <c r="HD43" s="291" t="str">
        <f t="shared" si="276"/>
        <v/>
      </c>
      <c r="HE43" s="456" t="str">
        <f t="shared" si="277"/>
        <v/>
      </c>
      <c r="HF43" s="496" t="str">
        <f>IF(A43=FALSE,"",IF(HA43="POEA",Cotations!BA43,IF(HA43="FIXE",Cotations!$BA$4,Cotations!$BC$4*Y43)))</f>
        <v/>
      </c>
      <c r="HG43" s="300" t="str">
        <f t="shared" si="278"/>
        <v/>
      </c>
      <c r="HH43" s="522" t="str">
        <f>IF(A43=FALSE,"",IF(Cotations!$AZ$4="monthly",HG43/12*L43,HG43/365*M43))</f>
        <v/>
      </c>
      <c r="HI43" s="489" t="str">
        <f>IF(A43=FALSE,"",Cotations!$BD$4)</f>
        <v/>
      </c>
      <c r="HJ43" s="300" t="str">
        <f t="shared" si="279"/>
        <v/>
      </c>
      <c r="HK43" s="300" t="str">
        <f t="shared" si="280"/>
        <v/>
      </c>
      <c r="HL43" s="294" t="str">
        <f t="shared" si="281"/>
        <v/>
      </c>
      <c r="HM43" s="494" t="str">
        <f>IF(A43=FALSE,"",Cotations!$BE$4)</f>
        <v/>
      </c>
      <c r="HN43" s="522" t="str">
        <f>IF(A43=FALSE,"",Cotations!$BF$4)</f>
        <v/>
      </c>
      <c r="HO43" s="489" t="str">
        <f>IF(A43=FALSE,"",Cotations!$BG$4)</f>
        <v/>
      </c>
      <c r="HP43" s="494" t="str">
        <f>IF(A43=FALSE,"",IF(HM43="N/A",0,IF(INDEX(LISTES!$F$105:$F$109,MATCH(HM43,LISTES!$C$105:$C$109,0))="FIX",IF(INDEX(LISTES!$E$105:$E$109,MATCH(HM43,LISTES!$C$105:$C$109,0))=12,HN43/12*L43,HN43/365*M43),HO43*HL43)))</f>
        <v/>
      </c>
      <c r="HQ43" s="294" t="str">
        <f t="shared" si="282"/>
        <v/>
      </c>
      <c r="HR43" s="494" t="str">
        <f>IF(A43=FALSE,"",HQ43*Cotations!$BH$4)</f>
        <v/>
      </c>
      <c r="HS43" s="494" t="str">
        <f>IF(A43=FALSE,"",HQ43*Cotations!$BI$4)</f>
        <v/>
      </c>
      <c r="HT43" s="294" t="str">
        <f t="shared" si="283"/>
        <v/>
      </c>
      <c r="HU43" s="919" t="str">
        <f>IF(A43=FALSE,"",((HG43*TAXE)-(HG43*TAXE*HI43))+IF(HM43="N/A",0,IF(INDEX(LISTES!$F$105:$F$109,MATCH(HM43,LISTES!$C$105:$C$109,0))="FIX",HN43,HO43*HL43)))</f>
        <v/>
      </c>
      <c r="IA43" s="492" t="str">
        <f>IF(A43=FALSE,"",Cotations!D43)</f>
        <v/>
      </c>
      <c r="IB43" s="491" t="str">
        <f>IF(A43=FALSE,"",IF(LISTES!$A$17=1,Cotations!AX43,Cotations!AY43))</f>
        <v/>
      </c>
      <c r="IC43" s="285" t="str">
        <f t="shared" si="284"/>
        <v/>
      </c>
      <c r="ID43" s="300" t="str">
        <f>IF(A43=FALSE,"",IF(LISTES!$A$17=3,Detail!AU43,lig1_Formula_PREVOY))</f>
        <v/>
      </c>
      <c r="IE43" s="461" t="str">
        <f t="shared" si="285"/>
        <v/>
      </c>
      <c r="IF43" s="490" t="str">
        <f>IF(A43=FALSE,"",IF(IA43="POEA",Cotations!BA43,IF(HA43="FIXE",Cotations!BB43,IF(Cotations!BC43*Y43&lt;50000,Z43,Cotations!BC43*Y43))))</f>
        <v/>
      </c>
      <c r="IG43" s="300" t="str">
        <f t="shared" si="286"/>
        <v/>
      </c>
      <c r="IH43" s="522" t="str">
        <f>IF(A43=FALSE,"",IF(Cotations!AZ43="monthly",IG43/12*L43,IG43/365*M43))</f>
        <v/>
      </c>
      <c r="II43" s="489" t="str">
        <f>IF(A43=FALSE,"",IF(Cotations!BD43="","",Cotations!BD43))</f>
        <v/>
      </c>
      <c r="IJ43" s="300" t="str">
        <f t="shared" si="287"/>
        <v/>
      </c>
      <c r="IK43" s="300" t="str">
        <f t="shared" si="288"/>
        <v/>
      </c>
      <c r="IL43" s="919" t="str">
        <f t="shared" si="289"/>
        <v/>
      </c>
      <c r="IM43" s="517" t="str">
        <f>IF(A43=FALSE,"",Cotations!BE43)</f>
        <v/>
      </c>
      <c r="IN43" s="517" t="str">
        <f>IF(A43=FALSE,"",Cotations!BF43)</f>
        <v/>
      </c>
      <c r="IO43" s="493" t="str">
        <f>IF(A43=FALSE,"",Cotations!BG43)</f>
        <v/>
      </c>
      <c r="IP43" s="517" t="str">
        <f>IF(A43=FALSE,"",IF(IM43="N/A",0,IF(INDEX(LISTES!$F$105:$F$109,MATCH(IM43,LISTES!$C$105:$C$109,0))="FIX",IF(INDEX(LISTES!$E$105:$E$109,MATCH(IM43,LISTES!$C$105:$C$109,0))=12,IN43/12*L43,IN43/365*M43),IO43*IL43)))</f>
        <v/>
      </c>
      <c r="IQ43" s="294" t="str">
        <f t="shared" si="290"/>
        <v/>
      </c>
      <c r="IR43" s="494" t="str">
        <f>IF(A43=FALSE,"",IQ43*Cotations!BH43)</f>
        <v/>
      </c>
      <c r="IS43" s="494" t="str">
        <f>IF(A43=FALSE,"",IQ43*Cotations!BI43)</f>
        <v/>
      </c>
      <c r="IT43" s="338" t="str">
        <f t="shared" si="291"/>
        <v/>
      </c>
      <c r="IU43" s="919" t="str">
        <f>IF(A43=FALSE,"",((IG43*TAXE)-(IG43*TAXE*II43))+IF(IM43="N/A",0,IF(INDEX(LISTES!$F$105:$F$109,MATCH(IM43,LISTES!$C$105:$C$109,0))="FIX",IN43,IO43*IL43)))</f>
        <v/>
      </c>
      <c r="JA43" s="492" t="str">
        <f>IF(A43=FALSE,"",Cotations!D43)</f>
        <v/>
      </c>
      <c r="JB43" s="495" t="str">
        <f>IF(A43=FALSE,"",IF(LISTES!$A$17=1,Cotations!BJ43,Cotations!$BK$4))</f>
        <v/>
      </c>
      <c r="JC43" s="291" t="str">
        <f t="shared" si="292"/>
        <v/>
      </c>
      <c r="JD43" s="291" t="str">
        <f t="shared" si="293"/>
        <v/>
      </c>
      <c r="JE43" s="456" t="str">
        <f t="shared" si="294"/>
        <v/>
      </c>
      <c r="JF43" s="496" t="str">
        <f>IF(A43=FALSE,"",IF(JA43="POEA",Cotations!BM43,IF(JA43="FIXE",Cotations!$BM$4,Cotations!$BO$4*Y43)))</f>
        <v/>
      </c>
      <c r="JG43" s="300" t="str">
        <f t="shared" si="295"/>
        <v/>
      </c>
      <c r="JH43" s="522" t="str">
        <f>IF(A43=FALSE,"",IF(Cotations!$BL$4="monthly",JG43/12*L43,JG43/365*M43))</f>
        <v/>
      </c>
      <c r="JI43" s="489" t="str">
        <f>IF(A43=FALSE,"",Cotations!$BP$4)</f>
        <v/>
      </c>
      <c r="JJ43" s="300" t="str">
        <f t="shared" si="296"/>
        <v/>
      </c>
      <c r="JK43" s="300" t="str">
        <f t="shared" si="297"/>
        <v/>
      </c>
      <c r="JL43" s="294" t="str">
        <f t="shared" si="298"/>
        <v/>
      </c>
      <c r="JM43" s="494" t="str">
        <f>IF(A43=FALSE,"",Cotations!$BQ$4)</f>
        <v/>
      </c>
      <c r="JN43" s="522" t="str">
        <f>IF(A43=FALSE,"",Cotations!$BR$4)</f>
        <v/>
      </c>
      <c r="JO43" s="489" t="str">
        <f>IF(A43=FALSE,"",Cotations!$BS$4)</f>
        <v/>
      </c>
      <c r="JP43" s="494" t="str">
        <f>IF(A43=FALSE,"",IF(JM43="N/A",0,IF(INDEX(LISTES!$F$105:$F$109,MATCH(JM43,LISTES!$C$105:$C$109,0))="FIX",IF(INDEX(LISTES!$E$105:$E$109,MATCH(JM43,LISTES!$C$105:$C$109,0))=12,JN43/12*L43,JN43/365*M43),JO43*JL43)))</f>
        <v/>
      </c>
      <c r="JQ43" s="294" t="str">
        <f t="shared" si="299"/>
        <v/>
      </c>
      <c r="JR43" s="494" t="str">
        <f>IF(A43=FALSE,"",JQ43*Cotations!$BT$4)</f>
        <v/>
      </c>
      <c r="JS43" s="494" t="str">
        <f>IF(A43=FALSE,"",JQ43*Cotations!$BU$4)</f>
        <v/>
      </c>
      <c r="JT43" s="294" t="str">
        <f t="shared" si="300"/>
        <v/>
      </c>
      <c r="JU43" s="919" t="str">
        <f>IF(A43=FALSE,"",((JG43*TAXE)-(JG43*TAXE*JI43))+IF(JM43="N/A",0,IF(INDEX(LISTES!$F$105:$F$109,MATCH(JM43,LISTES!$C$105:$C$109,0))="FIX",JN43,JO43*JL43)))</f>
        <v/>
      </c>
      <c r="KA43" s="492" t="str">
        <f>IF(A43=FALSE,"",Cotations!D43)</f>
        <v/>
      </c>
      <c r="KB43" s="491" t="str">
        <f>IF(A43=FALSE,"",IF(LISTES!$A$17=1,Cotations!BJ43,Cotations!BK43))</f>
        <v/>
      </c>
      <c r="KC43" s="285" t="str">
        <f t="shared" si="301"/>
        <v/>
      </c>
      <c r="KD43" s="300"/>
      <c r="KE43" s="461" t="str">
        <f t="shared" si="302"/>
        <v/>
      </c>
      <c r="KF43" s="490" t="str">
        <f>IF(A43=FALSE,"",IF(KA43="POEA",Cotations!BM43,IF(KA43="FIXE",Cotations!BN43,IF(Cotations!BO43*Y43&lt;50000,Z43,Cotations!BO43*Y43))))</f>
        <v/>
      </c>
      <c r="KG43" s="300" t="str">
        <f t="shared" si="303"/>
        <v/>
      </c>
      <c r="KH43" s="522" t="str">
        <f>IF(A43=FALSE,"",IF(Cotations!BL43="monthly",KG43/12*L43,KG43/365*M43))</f>
        <v/>
      </c>
      <c r="KI43" s="489" t="str">
        <f>IF(A43=FALSE,"",IF(Cotations!BP43="","",Cotations!BP43))</f>
        <v/>
      </c>
      <c r="KJ43" s="300" t="str">
        <f t="shared" si="304"/>
        <v/>
      </c>
      <c r="KK43" s="300" t="str">
        <f t="shared" si="305"/>
        <v/>
      </c>
      <c r="KL43" s="919" t="str">
        <f t="shared" si="306"/>
        <v/>
      </c>
      <c r="KM43" s="517" t="str">
        <f>IF(A43=FALSE,"",Cotations!BQ43)</f>
        <v/>
      </c>
      <c r="KN43" s="515" t="str">
        <f>IF(A43=FALSE,"",Cotations!BR43)</f>
        <v/>
      </c>
      <c r="KO43" s="493" t="str">
        <f>IF(A43=FALSE,"",Cotations!BS43)</f>
        <v/>
      </c>
      <c r="KP43" s="517" t="str">
        <f>IF(A43=FALSE,"",IF(KM43="N/A",0,IF(INDEX(LISTES!$F$105:$F$109,MATCH(KM43,LISTES!$C$105:$C$109,0))="FIX",IF(INDEX(LISTES!$E$105:$E$109,MATCH(KM43,LISTES!$C$105:$C$109,0))=12,KN43/12*L43,KN43/365*M43),KO43*KL43)))</f>
        <v/>
      </c>
      <c r="KQ43" s="294" t="str">
        <f t="shared" si="307"/>
        <v/>
      </c>
      <c r="KR43" s="494" t="str">
        <f>IF(A43=FALSE,"",KQ43*Cotations!BT43)</f>
        <v/>
      </c>
      <c r="KS43" s="494" t="str">
        <f>IF(A43=FALSE,"",KQ43*Cotations!BU43)</f>
        <v/>
      </c>
      <c r="KT43" s="338" t="str">
        <f t="shared" si="308"/>
        <v/>
      </c>
      <c r="KU43" s="919" t="str">
        <f>IF(A43=FALSE,"",((KG43*TAXE)-(KG43*TAXE*KI43))+IF(KM43="N/A",0,IF(INDEX(LISTES!$F$105:$F$109,MATCH(KM43,LISTES!$C$105:$C$109,0))="FIX",KN43,KO43*KL43)))</f>
        <v/>
      </c>
      <c r="LA43" s="497" t="str">
        <f>IF(A43=FALSE,"",Cotations!D43)</f>
        <v/>
      </c>
      <c r="LB43" s="498" t="str">
        <f>IF(A43=FALSE,"",IF(LISTES!$A$17=1,Cotations!BV43,Cotations!$BW$4))</f>
        <v/>
      </c>
      <c r="LC43" s="499" t="str">
        <f t="shared" si="309"/>
        <v/>
      </c>
      <c r="LD43" s="499" t="str">
        <f t="shared" si="310"/>
        <v/>
      </c>
      <c r="LE43" s="500" t="str">
        <f t="shared" si="311"/>
        <v/>
      </c>
      <c r="LF43" s="501" t="str">
        <f>IF(A43=FALSE,"",IF(LA43="POEA",Cotations!EJ43,IF(LA43="FIXE",Cotations!$BY$4,Cotations!$CA$4*Y43)))</f>
        <v/>
      </c>
      <c r="LG43" s="502" t="str">
        <f t="shared" si="312"/>
        <v/>
      </c>
      <c r="LH43" s="520" t="str">
        <f>IF(A43=FALSE,"",IF(Cotations!$BX$4="monthly",LG43/12*L43,LG43/365*M43))</f>
        <v/>
      </c>
      <c r="LI43" s="503" t="str">
        <f>IF(A43=FALSE,"",Cotations!$CB$4)</f>
        <v/>
      </c>
      <c r="LJ43" s="502" t="str">
        <f t="shared" si="313"/>
        <v/>
      </c>
      <c r="LK43" s="502" t="str">
        <f t="shared" si="314"/>
        <v/>
      </c>
      <c r="LL43" s="504" t="str">
        <f t="shared" si="315"/>
        <v/>
      </c>
      <c r="LM43" s="505" t="str">
        <f>IF(A43=FALSE,"",Cotations!$CC$4)</f>
        <v/>
      </c>
      <c r="LN43" s="503" t="str">
        <f>IF(A43=FALSE,"",Cotations!$CD$4)</f>
        <v/>
      </c>
      <c r="LO43" s="503" t="str">
        <f>IF(A43=FALSE,"",Cotations!$CE$4)</f>
        <v/>
      </c>
      <c r="LP43" s="505" t="str">
        <f>IF(A43=FALSE,"",IF(LM43="N/A",0,IF(INDEX(LISTES!$F$105:$F$109,MATCH(LM43,LISTES!$C$105:$C$109,0))="FIX",IF(INDEX(LISTES!$E$105:$E$109,MATCH(LM43,LISTES!$C$105:$C$109,0))=12,LN43/12*L43,LN43/365*M43),LO43*LL43)))</f>
        <v/>
      </c>
      <c r="LQ43" s="504" t="str">
        <f t="shared" si="316"/>
        <v/>
      </c>
      <c r="LR43" s="505" t="str">
        <f>IF(A43=FALSE,"",LQ43*Cotations!$CF$4)</f>
        <v/>
      </c>
      <c r="LS43" s="505" t="str">
        <f>IF(A43=FALSE,"",LQ43*Cotations!$CG$4)</f>
        <v/>
      </c>
      <c r="LT43" s="506" t="str">
        <f t="shared" si="317"/>
        <v/>
      </c>
      <c r="LU43" s="919" t="str">
        <f>IF(A43=FALSE,"",((LG43*TAXE)-(LG43*TAXE*LI43))+IF(LM43="N/A",0,IF(INDEX(LISTES!$F$105:$F$109,MATCH(LM43,LISTES!$C$105:$C$109,0))="FIX",LN43,LO43*LL43)))</f>
        <v/>
      </c>
      <c r="MA43" s="492" t="str">
        <f>IF(A43=FALSE,"",Cotations!D43)</f>
        <v/>
      </c>
      <c r="MB43" s="491" t="str">
        <f>IF(A43=FALSE,"",IF(LISTES!$A$17=1,Cotations!BV43,Cotations!BW43))</f>
        <v/>
      </c>
      <c r="MC43" s="285" t="str">
        <f t="shared" si="318"/>
        <v/>
      </c>
      <c r="MD43" s="300"/>
      <c r="ME43" s="461" t="str">
        <f t="shared" si="319"/>
        <v/>
      </c>
      <c r="MF43" s="490" t="str">
        <f>IF(A43=FALSE,"",IF(MA43="POEA",Cotations!BY43,IF(MA43="FIXE",Cotations!BZ43,IF(Cotations!CA43*Y43&lt;50000,Z43,Cotations!CA43*Y43))))</f>
        <v/>
      </c>
      <c r="MG43" s="300" t="str">
        <f t="shared" si="320"/>
        <v/>
      </c>
      <c r="MH43" s="522" t="str">
        <f>IF(A43=FALSE,"",IF(Cotations!BX43="monthly",MG43/12*L43,MG43/365*M43))</f>
        <v/>
      </c>
      <c r="MI43" s="489" t="str">
        <f>IF(A43=FALSE,"",IF(Cotations!CB43="","",Cotations!CB43))</f>
        <v/>
      </c>
      <c r="MJ43" s="300" t="str">
        <f t="shared" si="321"/>
        <v/>
      </c>
      <c r="MK43" s="300" t="str">
        <f t="shared" si="322"/>
        <v/>
      </c>
      <c r="ML43" s="919" t="str">
        <f t="shared" si="323"/>
        <v/>
      </c>
      <c r="MM43" s="517" t="str">
        <f>IF(A43=FALSE,"",Cotations!CC43)</f>
        <v/>
      </c>
      <c r="MN43" s="515" t="str">
        <f>IF(A43=FALSE,"",Cotations!CD43)</f>
        <v/>
      </c>
      <c r="MO43" s="493" t="str">
        <f>IF(A43=FALSE,"",Cotations!CE43)</f>
        <v/>
      </c>
      <c r="MP43" s="517" t="str">
        <f>IF(A43=FALSE,"",IF(MM43="N/A",0,IF(INDEX(LISTES!$F$105:$F$109,MATCH(MM43,LISTES!$C$105:$C$109,0))="FIX",IF(INDEX(LISTES!$E$105:$E$109,MATCH(MM43,LISTES!$C$105:$C$109,0))=12,MN43/12*L43,MN43/365*M43),MO43*ML43)))</f>
        <v/>
      </c>
      <c r="MQ43" s="294" t="str">
        <f t="shared" si="324"/>
        <v/>
      </c>
      <c r="MR43" s="494" t="str">
        <f>IF(A43=FALSE,"",MQ43*Cotations!CF43)</f>
        <v/>
      </c>
      <c r="MS43" s="494" t="str">
        <f>IF(A43=FALSE,"",MQ43*Cotations!CG43)</f>
        <v/>
      </c>
      <c r="MT43" s="338" t="str">
        <f t="shared" si="325"/>
        <v/>
      </c>
      <c r="MU43" s="919" t="str">
        <f>IF(A43=FALSE,"",((MG43*TAXE)-(MG43*TAXE*MI43))+IF(MM43="N/A",0,IF(INDEX(LISTES!$F$105:$F$109,MATCH(MM43,LISTES!$C$105:$C$109,0))="FIX",MN43,MO43*ML43)))</f>
        <v/>
      </c>
      <c r="NA43" s="497" t="str">
        <f>IF(A43=FALSE,"",Cotations!D43)</f>
        <v/>
      </c>
      <c r="NB43" s="498" t="str">
        <f>IF(A43=FALSE,"",IF(LISTES!$A$17=1,Cotations!CH43,Cotations!$CI$4))</f>
        <v/>
      </c>
      <c r="NC43" s="499" t="str">
        <f t="shared" si="326"/>
        <v/>
      </c>
      <c r="ND43" s="499" t="str">
        <f t="shared" si="327"/>
        <v/>
      </c>
      <c r="NE43" s="500" t="str">
        <f t="shared" si="328"/>
        <v/>
      </c>
      <c r="NF43" s="501" t="str">
        <f>IF(A43=FALSE,"",IF(NA43="POEA",Cotations!CK43,IF(NA43="FIXE",Cotations!$CK$4,Cotations!$CM$4*Y43)))</f>
        <v/>
      </c>
      <c r="NG43" s="502" t="str">
        <f t="shared" si="329"/>
        <v/>
      </c>
      <c r="NH43" s="520" t="str">
        <f>IF(A43=FALSE,"",IF(Cotations!$CJ$4="monthly",NG43/12*L43,NG43/365*M43))</f>
        <v/>
      </c>
      <c r="NI43" s="503" t="str">
        <f>IF(A43=FALSE,"",Cotations!$CN$4)</f>
        <v/>
      </c>
      <c r="NJ43" s="502" t="str">
        <f t="shared" si="330"/>
        <v/>
      </c>
      <c r="NK43" s="502" t="str">
        <f t="shared" si="331"/>
        <v/>
      </c>
      <c r="NL43" s="504" t="str">
        <f t="shared" si="332"/>
        <v/>
      </c>
      <c r="NM43" s="505" t="str">
        <f>IF(A43=FALSE,"",Cotations!$CO$4)</f>
        <v/>
      </c>
      <c r="NN43" s="520" t="str">
        <f>IF(A43=FALSE,"",Cotations!$CP$4)</f>
        <v/>
      </c>
      <c r="NO43" s="503" t="str">
        <f>IF(A43=FALSE,"",Cotations!$CQ$4)</f>
        <v/>
      </c>
      <c r="NP43" s="505" t="str">
        <f>IF(A43=FALSE,"",IF(NM43="N/A",0,IF(INDEX(LISTES!$F$105:$F$109,MATCH(NM43,LISTES!$C$105:$C$109,0))="FIX",IF(INDEX(LISTES!$E$105:$E$109,MATCH(NM43,LISTES!$C$105:$C$109,0))=12,NN43/12*L43,NN43/365*M43),NO43*NL43)))</f>
        <v/>
      </c>
      <c r="NQ43" s="504" t="str">
        <f t="shared" si="333"/>
        <v/>
      </c>
      <c r="NR43" s="505" t="str">
        <f>IF(A43=FALSE,"",NQ43*Cotations!$CR$4)</f>
        <v/>
      </c>
      <c r="NS43" s="505" t="str">
        <f>IF(A43=FALSE,"",NQ43*Cotations!$CS$4)</f>
        <v/>
      </c>
      <c r="NT43" s="506" t="str">
        <f t="shared" si="334"/>
        <v/>
      </c>
      <c r="NU43" s="919" t="str">
        <f>IF(A43=FALSE,"",((NG43*TAXE)-(NG43*TAXE*NI43))+IF(NM43="N/A",0,IF(INDEX(LISTES!$F$105:$F$109,MATCH(NM43,LISTES!$C$105:$C$109,0))="FIX",NN43,NO43*NL43)))</f>
        <v/>
      </c>
      <c r="OA43" s="492" t="str">
        <f>IF(A43=FALSE,"",Cotations!D43)</f>
        <v/>
      </c>
      <c r="OB43" s="491" t="str">
        <f>IF(A43=FALSE,"",IF(LISTES!$A$17=1,Cotations!CH43,Cotations!CI43))</f>
        <v/>
      </c>
      <c r="OC43" s="285" t="str">
        <f t="shared" si="335"/>
        <v/>
      </c>
      <c r="OD43" s="300"/>
      <c r="OE43" s="461" t="str">
        <f t="shared" si="336"/>
        <v/>
      </c>
      <c r="OF43" s="490" t="str">
        <f>IF(A43=FALSE,"",IF(OA43="POEA",Cotations!CK43,IF(OA43="FIXE",Cotations!CL43,IF(Cotations!CM43*Y43&lt;50000,Z43,Cotations!CM43*Y43))))</f>
        <v/>
      </c>
      <c r="OG43" s="300" t="str">
        <f t="shared" si="337"/>
        <v/>
      </c>
      <c r="OH43" s="522" t="str">
        <f>IF(A43=FALSE,"",IF(Cotations!CJ43="monthly",OG43/12*L43,OG43/365*M43))</f>
        <v/>
      </c>
      <c r="OI43" s="489" t="str">
        <f>IF(A43=FALSE,"",IF(Cotations!CN43="","",Cotations!CN43))</f>
        <v/>
      </c>
      <c r="OJ43" s="300" t="str">
        <f t="shared" si="338"/>
        <v/>
      </c>
      <c r="OK43" s="300" t="str">
        <f t="shared" si="339"/>
        <v/>
      </c>
      <c r="OL43" s="919" t="str">
        <f t="shared" si="340"/>
        <v/>
      </c>
      <c r="OM43" s="517" t="str">
        <f>IF(A43=FALSE,"",Cotations!CO43)</f>
        <v/>
      </c>
      <c r="ON43" s="515" t="str">
        <f>IF(A43=FALSE,"",Cotations!CP43)</f>
        <v/>
      </c>
      <c r="OO43" s="493" t="str">
        <f>IF(A43=FALSE,"",Cotations!CQ43)</f>
        <v/>
      </c>
      <c r="OP43" s="517" t="str">
        <f>IF(A43=FALSE,"",IF(OM43="N/A",0,IF(INDEX(LISTES!$F$105:$F$109,MATCH(OM43,LISTES!$C$105:$C$109,0))="FIX",IF(INDEX(LISTES!$E$105:$E$109,MATCH(OM43,LISTES!$C$105:$C$109,0))=12,ON43/12*L43,ON43/365*M43),OO43*OL43)))</f>
        <v/>
      </c>
      <c r="OQ43" s="294" t="str">
        <f t="shared" si="341"/>
        <v/>
      </c>
      <c r="OR43" s="494" t="str">
        <f>IF(A43=FALSE,"",OQ43*Cotations!CR43)</f>
        <v/>
      </c>
      <c r="OS43" s="494" t="str">
        <f>IF(A43=FALSE,"",OQ43*Cotations!CS43)</f>
        <v/>
      </c>
      <c r="OT43" s="338" t="str">
        <f t="shared" si="342"/>
        <v/>
      </c>
      <c r="OU43" s="919" t="str">
        <f>IF(A43=FALSE,"",((OG43*TAXE)-(OG43*TAXE*OI43))+IF(OM43="N/A",0,IF(INDEX(LISTES!$F$105:$F$109,MATCH(OM43,LISTES!$C$105:$C$109,0))="FIX",ON43,OO43*OL43)))</f>
        <v/>
      </c>
      <c r="PA43" s="497" t="str">
        <f t="shared" si="343"/>
        <v/>
      </c>
      <c r="PB43" s="498" t="str">
        <f>IF(A43=FALSE,"",IF(LISTES!$A$17=1,Cotations!CT43,Cotations!$CU$4))</f>
        <v/>
      </c>
      <c r="PC43" s="499" t="str">
        <f t="shared" si="344"/>
        <v/>
      </c>
      <c r="PD43" s="499" t="str">
        <f t="shared" si="345"/>
        <v/>
      </c>
      <c r="PE43" s="500" t="str">
        <f t="shared" si="346"/>
        <v/>
      </c>
      <c r="PF43" s="501" t="str">
        <f>IF(A43=FALSE,"",Cotations!$CY$4*Y43)</f>
        <v/>
      </c>
      <c r="PG43" s="502" t="str">
        <f t="shared" si="347"/>
        <v/>
      </c>
      <c r="PH43" s="520" t="str">
        <f>IF(A43=FALSE,"",IF(Cotations!$CV$4="monthly",PG43/12*L43,PG43/365*M43))</f>
        <v/>
      </c>
      <c r="PI43" s="503" t="str">
        <f>IF(A43=FALSE,"",Cotations!$CZ$4)</f>
        <v/>
      </c>
      <c r="PJ43" s="502" t="str">
        <f t="shared" si="348"/>
        <v/>
      </c>
      <c r="PK43" s="502" t="str">
        <f t="shared" si="349"/>
        <v/>
      </c>
      <c r="PL43" s="504" t="str">
        <f t="shared" si="350"/>
        <v/>
      </c>
      <c r="PM43" s="505" t="str">
        <f>IF(A43=FALSE,"",Cotations!$DA$4)</f>
        <v/>
      </c>
      <c r="PN43" s="520" t="str">
        <f>IF(A43=FALSE,"",Cotations!$DB$4)</f>
        <v/>
      </c>
      <c r="PO43" s="503" t="str">
        <f>IF(A43=FALSE,"",Cotations!$DC$4)</f>
        <v/>
      </c>
      <c r="PP43" s="505" t="str">
        <f>IF(A43=FALSE,"",IF(PM43="N/A",0,IF(INDEX(LISTES!$F$105:$F$109,MATCH(PM43,LISTES!$C$105:$C$109,0))="FIX",IF(INDEX(LISTES!$E$105:$E$109,MATCH(PM43,LISTES!$C$105:$C$109,0))=12,PN43/12*L43,PN43/365*M43),PO43*PL43)))</f>
        <v/>
      </c>
      <c r="PQ43" s="504" t="str">
        <f t="shared" si="351"/>
        <v/>
      </c>
      <c r="PR43" s="505" t="str">
        <f>IF(A43=FALSE,"",PQ43*Cotations!$DD$4)</f>
        <v/>
      </c>
      <c r="PS43" s="505" t="str">
        <f>IF(A43=FALSE,"",PQ43*Cotations!$DE$4)</f>
        <v/>
      </c>
      <c r="PT43" s="506" t="str">
        <f t="shared" si="352"/>
        <v/>
      </c>
      <c r="PU43" s="919" t="str">
        <f>IF(A43=FALSE,"",((PG43*TAXE)-(PG43*TAXE*PI43))+IF(PM43="N/A",0,IF(INDEX(LISTES!$F$105:$F$109,MATCH(PM43,LISTES!$C$105:$C$109,0))="FIX",PN43,PO43*PL43)))</f>
        <v/>
      </c>
      <c r="QA43" s="492" t="str">
        <f t="shared" si="353"/>
        <v/>
      </c>
      <c r="QB43" s="491" t="str">
        <f>IF(A43=FALSE,"",IF(LISTES!$A$17=1,Cotations!CT43,Cotations!CU43))</f>
        <v/>
      </c>
      <c r="QC43" s="285" t="str">
        <f t="shared" si="354"/>
        <v/>
      </c>
      <c r="QD43" s="300"/>
      <c r="QE43" s="461" t="str">
        <f t="shared" si="355"/>
        <v/>
      </c>
      <c r="QF43" s="490" t="str">
        <f>IF(A43=FALSE,"",Cotations!CY43*AA43)</f>
        <v/>
      </c>
      <c r="QG43" s="300" t="str">
        <f t="shared" si="356"/>
        <v/>
      </c>
      <c r="QH43" s="522" t="str">
        <f>IF(A43=FALSE,"",IF(Cotations!CV43="monthly",QG43/12*L43,QG43/365*M43))</f>
        <v/>
      </c>
      <c r="QI43" s="489" t="str">
        <f>IF(A43=FALSE,"",IF(Cotations!CZ43="","",Cotations!CZ43))</f>
        <v/>
      </c>
      <c r="QJ43" s="300" t="str">
        <f t="shared" si="357"/>
        <v/>
      </c>
      <c r="QK43" s="300" t="str">
        <f t="shared" si="358"/>
        <v/>
      </c>
      <c r="QL43" s="919" t="str">
        <f t="shared" si="359"/>
        <v/>
      </c>
      <c r="QM43" s="517" t="str">
        <f>IF(A43=FALSE,"",Cotations!DA43)</f>
        <v/>
      </c>
      <c r="QN43" s="515" t="str">
        <f>IF(A43=FALSE,"",Cotations!DB43)</f>
        <v/>
      </c>
      <c r="QO43" s="493" t="str">
        <f>IF(A43=FALSE,"",Cotations!DC43)</f>
        <v/>
      </c>
      <c r="QP43" s="517" t="str">
        <f>IF(A43=FALSE,"",IF(QM43="N/A",0,IF(INDEX(LISTES!$F$105:$F$109,MATCH(QM43,LISTES!$C$105:$C$109,0))="FIX",IF(INDEX(LISTES!$E$105:$E$109,MATCH(QM43,LISTES!$C$105:$C$109,0))=12,QN43/12*L43,QN43/365*M43),QO43*QL43)))</f>
        <v/>
      </c>
      <c r="QQ43" s="294" t="str">
        <f t="shared" si="360"/>
        <v/>
      </c>
      <c r="QR43" s="494" t="str">
        <f>IF(A43=FALSE,"",QQ43*Cotations!DD43)</f>
        <v/>
      </c>
      <c r="QS43" s="494" t="str">
        <f>IF(A43=FALSE,"",QQ43*Cotations!DE43)</f>
        <v/>
      </c>
      <c r="QT43" s="338" t="str">
        <f t="shared" si="361"/>
        <v/>
      </c>
      <c r="QU43" s="919" t="str">
        <f>IF(A43=FALSE,"",((QG43*TAXE)-(QG43*TAXE*QI43))+IF(QM43="N/A",0,IF(INDEX(LISTES!$F$105:$F$109,MATCH(QM43,LISTES!$C$105:$C$109,0))="FIX",QN43,QO43*QL43)))</f>
        <v/>
      </c>
      <c r="RA43" s="497" t="str">
        <f t="shared" si="362"/>
        <v/>
      </c>
      <c r="RB43" s="498" t="str">
        <f>IF(A43=FALSE,"",IF(LISTES!$A$17=1,Cotations!DF43,Cotations!$DG$4))</f>
        <v/>
      </c>
      <c r="RC43" s="499" t="str">
        <f t="shared" si="363"/>
        <v/>
      </c>
      <c r="RD43" s="499" t="str">
        <f t="shared" si="364"/>
        <v/>
      </c>
      <c r="RE43" s="500" t="str">
        <f t="shared" si="365"/>
        <v/>
      </c>
      <c r="RF43" s="501" t="str">
        <f>IF(A43=FALSE,"",Cotations!$DK$4*Y43)</f>
        <v/>
      </c>
      <c r="RG43" s="502" t="str">
        <f t="shared" si="366"/>
        <v/>
      </c>
      <c r="RH43" s="520" t="str">
        <f>IF(A43=FALSE,"",IF(Cotations!$DH$4="monthly",RG43/12*L43,RG43/365*M43))</f>
        <v/>
      </c>
      <c r="RI43" s="503" t="str">
        <f>IF(A43=FALSE,"",Cotations!$DL$4)</f>
        <v/>
      </c>
      <c r="RJ43" s="502" t="str">
        <f t="shared" si="367"/>
        <v/>
      </c>
      <c r="RK43" s="502" t="str">
        <f t="shared" si="368"/>
        <v/>
      </c>
      <c r="RL43" s="504" t="str">
        <f t="shared" si="369"/>
        <v/>
      </c>
      <c r="RM43" s="505" t="str">
        <f>IF(A43=FALSE,"",Cotations!$DM$4)</f>
        <v/>
      </c>
      <c r="RN43" s="520" t="str">
        <f>IF(A43=FALSE,"",Cotations!$DN$4)</f>
        <v/>
      </c>
      <c r="RO43" s="503" t="str">
        <f>IF(A43=FALSE,"",Cotations!$DO$4)</f>
        <v/>
      </c>
      <c r="RP43" s="505" t="str">
        <f>IF(A43=FALSE,"",IF(RM43="N/A",0,IF(INDEX(LISTES!$F$105:$F$109,MATCH(RM43,LISTES!$C$105:$C$109,0))="FIX",IF(INDEX(LISTES!$E$105:$E$109,MATCH(RM43,LISTES!$C$105:$C$109,0))=12,RN43/12*L43,RN43/365*M43),RO43*RL43)))</f>
        <v/>
      </c>
      <c r="RQ43" s="504" t="str">
        <f t="shared" si="370"/>
        <v/>
      </c>
      <c r="RR43" s="505" t="str">
        <f>IF(A43=FALSE,"",RQ43*Cotations!$DP$4)</f>
        <v/>
      </c>
      <c r="RS43" s="505" t="str">
        <f>IF(A43=FALSE,"",RQ43*Cotations!$DQ$4)</f>
        <v/>
      </c>
      <c r="RT43" s="506" t="str">
        <f t="shared" si="371"/>
        <v/>
      </c>
      <c r="RU43" s="919" t="str">
        <f>IF(A43=FALSE,"",((RG43*TAXE)-(RG43*TAXE*RI43))+IF(RM43="N/A",0,IF(INDEX(LISTES!$F$105:$F$109,MATCH(RM43,LISTES!$C$105:$C$109,0))="FIX",RN43,RO43*RL43)))</f>
        <v/>
      </c>
      <c r="SA43" s="492" t="str">
        <f t="shared" si="372"/>
        <v/>
      </c>
      <c r="SB43" s="491" t="str">
        <f>IF(A43=FALSE,"",IF(LISTES!$A$17=1,Cotations!DF43,Cotations!DG43))</f>
        <v/>
      </c>
      <c r="SC43" s="285" t="str">
        <f t="shared" si="373"/>
        <v/>
      </c>
      <c r="SD43" s="300"/>
      <c r="SE43" s="461" t="str">
        <f t="shared" si="374"/>
        <v/>
      </c>
      <c r="SF43" s="490" t="str">
        <f>IF(A43=FALSE,"",Cotations!DK43*AA43)</f>
        <v/>
      </c>
      <c r="SG43" s="300" t="str">
        <f t="shared" si="375"/>
        <v/>
      </c>
      <c r="SH43" s="522" t="str">
        <f>IF(A43=FALSE,"",IF(Cotations!DH43="monthly",SG43/12*L43,SG43/365*M43))</f>
        <v/>
      </c>
      <c r="SI43" s="489" t="str">
        <f>IF(A43=FALSE,"",IF(Cotations!DL43="","",Cotations!DL43))</f>
        <v/>
      </c>
      <c r="SJ43" s="300" t="str">
        <f t="shared" si="376"/>
        <v/>
      </c>
      <c r="SK43" s="300" t="str">
        <f t="shared" si="377"/>
        <v/>
      </c>
      <c r="SL43" s="919" t="str">
        <f t="shared" si="378"/>
        <v/>
      </c>
      <c r="SM43" s="285" t="str">
        <f>IF(A43=FALSE,"",Cotations!DM43)</f>
        <v/>
      </c>
      <c r="SN43" s="515" t="str">
        <f>IF(A43=FALSE,"",Cotations!DN43)</f>
        <v/>
      </c>
      <c r="SO43" s="493" t="str">
        <f>IF(A43=FALSE,"",Cotations!DO43)</f>
        <v/>
      </c>
      <c r="SP43" s="517" t="str">
        <f>IF(A43=FALSE,"",IF(SM43="N/A",0,IF(INDEX(LISTES!$F$105:$F$109,MATCH(SM43,LISTES!$C$105:$C$109,0))="FIX",IF(INDEX(LISTES!$E$105:$E$109,MATCH(SM43,LISTES!$C$105:$C$109,0))=12,SN43/12*L43,SN43/365*M43),SO43*SL43)))</f>
        <v/>
      </c>
      <c r="SQ43" s="294" t="str">
        <f t="shared" si="379"/>
        <v/>
      </c>
      <c r="SR43" s="494" t="str">
        <f>IF(A43=FALSE,"",SQ43*Cotations!DP43)</f>
        <v/>
      </c>
      <c r="SS43" s="494" t="str">
        <f>IF(A43=FALSE,"",SQ43*Cotations!DQ43)</f>
        <v/>
      </c>
      <c r="ST43" s="338" t="str">
        <f t="shared" si="380"/>
        <v/>
      </c>
      <c r="SU43" s="919" t="str">
        <f>IF(A43=FALSE,"",((SG43*TAXE)-(SG43*TAXE*SI43))+IF(SM43="N/A",0,IF(INDEX(LISTES!$F$105:$F$109,MATCH(SM43,LISTES!$C$105:$C$109,0))="FIX",SN43,SO43*SL43)))</f>
        <v/>
      </c>
      <c r="TA43" s="492" t="str">
        <f>IF(A43=FALSE,"",Cotations!D43)</f>
        <v/>
      </c>
      <c r="TB43" s="491" t="str">
        <f>IF(A43=FALSE,"",IF(LISTES!$A$17=1,Cotations!DR43,Cotations!DS43))</f>
        <v/>
      </c>
      <c r="TC43" s="285" t="str">
        <f t="shared" si="381"/>
        <v/>
      </c>
      <c r="TD43" s="300" t="str">
        <f>IF(A43=FALSE,"",Detail!CQ43)</f>
        <v/>
      </c>
      <c r="TE43" s="461" t="str">
        <f t="shared" si="382"/>
        <v/>
      </c>
      <c r="TF43" s="490" t="str">
        <f>IF(A43=FALSE,"",IF(TA43="FIXE",Cotations!DU43,Cotations!DV43*Y43))</f>
        <v/>
      </c>
      <c r="TG43" s="300" t="str">
        <f t="shared" si="383"/>
        <v/>
      </c>
      <c r="TH43" s="522" t="str">
        <f>IF(A43=FALSE,"",IF(Cotations!DT43="monthly",TG43/12*L43,TG43/365*M43))</f>
        <v/>
      </c>
      <c r="TI43" s="489" t="str">
        <f>IF(A43=FALSE,"",IF(Cotations!DW43="","",Cotations!DW43))</f>
        <v/>
      </c>
      <c r="TJ43" s="300" t="str">
        <f t="shared" si="384"/>
        <v/>
      </c>
      <c r="TK43" s="300" t="str">
        <f t="shared" si="385"/>
        <v/>
      </c>
      <c r="TL43" s="919" t="str">
        <f t="shared" si="386"/>
        <v/>
      </c>
      <c r="TM43" s="517" t="str">
        <f>IF(A43=FALSE,"",Cotations!DX43)</f>
        <v/>
      </c>
      <c r="TN43" s="517" t="str">
        <f>IF(A43=FALSE,"",Cotations!DY43)</f>
        <v/>
      </c>
      <c r="TO43" s="493" t="str">
        <f>IF(A43=FALSE,"",Cotations!DZ43)</f>
        <v/>
      </c>
      <c r="TP43" s="517" t="str">
        <f>IF(A43=FALSE,"",IF(TM43="N/A",0,IF(INDEX(LISTES!$F$105:$F$109,MATCH(TM43,LISTES!$C$105:$C$109,0))="FIX",IF(INDEX(LISTES!$E$105:$E$109,MATCH(TM43,LISTES!$C$105:$C$109,0))=12,TN43/12*L43,TN43/365*M43),TO43*TL43)))</f>
        <v/>
      </c>
      <c r="TQ43" s="294" t="str">
        <f t="shared" si="387"/>
        <v/>
      </c>
      <c r="TR43" s="494" t="str">
        <f>IF(A43=FALSE,"",TQ43*Cotations!EA43)</f>
        <v/>
      </c>
      <c r="TS43" s="494" t="str">
        <f>IF(A43=FALSE,"",TQ43*Cotations!EB43)</f>
        <v/>
      </c>
      <c r="TT43" s="338" t="str">
        <f t="shared" si="388"/>
        <v/>
      </c>
      <c r="TU43" s="919" t="str">
        <f>IF(A43=FALSE,"",((TG43*(1+TAXE)-(TG43*(1+TAXE)*TI43))+IF(TM43="N/A",0,IF(INDEX(LISTES!$F$105:$F$109,MATCH(TM43,LISTES!$C$105:$C$109,0))="FIX",TN43,TO43*TL43))))</f>
        <v/>
      </c>
      <c r="UA43" s="492" t="str">
        <f>IF(A43=FALSE,"",Cotations!D43)</f>
        <v/>
      </c>
      <c r="UB43" s="491" t="str">
        <f>IF(A43=FALSE,"",IF(LISTES!$A$17=1,Cotations!EC43,Cotations!ED43))</f>
        <v/>
      </c>
      <c r="UC43" s="285" t="str">
        <f t="shared" si="389"/>
        <v/>
      </c>
      <c r="UD43" s="300" t="str">
        <f>IF(A43=FALSE,"",Detail!CY43)</f>
        <v/>
      </c>
      <c r="UE43" s="461" t="str">
        <f t="shared" si="390"/>
        <v/>
      </c>
      <c r="UF43" s="490" t="str">
        <f>IF(A43=FALSE,"",IF(UA43="FIXE",Cotations!EF43,Cotations!EG43*Y43))</f>
        <v/>
      </c>
      <c r="UG43" s="300" t="str">
        <f t="shared" si="391"/>
        <v/>
      </c>
      <c r="UH43" s="522" t="str">
        <f>IF(A43=FALSE,"",IF(Cotations!EE43="monthly",UG43/12*L43,UG43/365*M43))</f>
        <v/>
      </c>
      <c r="UI43" s="489" t="str">
        <f>IF(A43=FALSE,"",IF(Cotations!EH43="","",Cotations!EH43))</f>
        <v/>
      </c>
      <c r="UJ43" s="300" t="str">
        <f t="shared" si="392"/>
        <v/>
      </c>
      <c r="UK43" s="300" t="str">
        <f t="shared" si="393"/>
        <v/>
      </c>
      <c r="UL43" s="919" t="str">
        <f t="shared" si="394"/>
        <v/>
      </c>
      <c r="UM43" s="517" t="str">
        <f>IF(A43=FALSE,"",Cotations!EI43)</f>
        <v/>
      </c>
      <c r="UN43" s="517" t="str">
        <f>IF(A43=FALSE,"",Cotations!EJ43)</f>
        <v/>
      </c>
      <c r="UO43" s="493" t="str">
        <f>IF(A43=FALSE,"",Cotations!EK43)</f>
        <v/>
      </c>
      <c r="UP43" s="517" t="str">
        <f>IF(A43=FALSE,"",IF(UM43="N/A",0,IF(INDEX(LISTES!$F$105:$F$109,MATCH(UM43,LISTES!$C$105:$C$109,0))="FIX",IF(INDEX(LISTES!$E$105:$E$109,MATCH(UM43,LISTES!$C$105:$C$109,0))=12,UN43/12*L43,UN43/365*M43),UO43*UL43)))</f>
        <v/>
      </c>
      <c r="UQ43" s="294" t="str">
        <f t="shared" si="395"/>
        <v/>
      </c>
      <c r="UR43" s="494" t="str">
        <f>IF(A43=FALSE,"",UQ43*Cotations!EL43)</f>
        <v/>
      </c>
      <c r="US43" s="494" t="str">
        <f>IF(A43=FALSE,"",UQ43*Cotations!EM43)</f>
        <v/>
      </c>
      <c r="UT43" s="338" t="str">
        <f t="shared" si="396"/>
        <v/>
      </c>
      <c r="UU43" s="919" t="str">
        <f>IF(A43=FALSE,"",((UG43*(1+TAXE)-(UG43*(1+TAXE)*UI43))+IF(UM43="N/A",0,IF(INDEX(LISTES!$F$105:$F$109,MATCH(UM43,LISTES!$C$105:$C$109,0))="FIX",UN43,UO43*UL43))))</f>
        <v/>
      </c>
      <c r="VA43" s="492" t="str">
        <f>IF(A43=FALSE,"",Cotations!D43)</f>
        <v/>
      </c>
      <c r="VB43" s="519" t="str">
        <f>IF(A43=FALSE,"",IF(LISTES!$A$17=1,Cotations!EN43,Cotations!EO43))</f>
        <v/>
      </c>
      <c r="VC43" s="291" t="str">
        <f t="shared" si="397"/>
        <v/>
      </c>
      <c r="VD43" s="291" t="str">
        <f t="shared" si="398"/>
        <v/>
      </c>
      <c r="VE43" s="291"/>
      <c r="VF43" s="463"/>
      <c r="VG43" s="463" t="str">
        <f t="shared" si="399"/>
        <v/>
      </c>
      <c r="VH43" s="522" t="str">
        <f>IF(A43=FALSE,"",IF(Cotations!$AQ$4="monthly",VG43/12*L43,VG43/365*M43))</f>
        <v/>
      </c>
      <c r="VI43" s="489" t="str">
        <f>IF(A43=FALSE,"",Cotations!$AR$4)</f>
        <v/>
      </c>
      <c r="VJ43" s="300" t="str">
        <f t="shared" si="400"/>
        <v/>
      </c>
      <c r="VK43" s="300" t="str">
        <f t="shared" si="401"/>
        <v/>
      </c>
      <c r="VL43" s="294" t="str">
        <f t="shared" si="402"/>
        <v/>
      </c>
      <c r="VM43" s="494" t="str">
        <f>IF(A43=FALSE,"",Cotations!$AS$4)</f>
        <v/>
      </c>
      <c r="VN43" s="494" t="str">
        <f>IF(A43=FALSE,"",Cotations!$AT$4)</f>
        <v/>
      </c>
      <c r="VO43" s="489" t="str">
        <f>IF(A43=FALSE,"",Cotations!$AU$4)</f>
        <v/>
      </c>
      <c r="VP43" s="494" t="str">
        <f>IF(A43=FALSE,"",IF(VM43="N/A",0,IF(INDEX(LISTES!$F$105:$F$109,MATCH(VM43,LISTES!$C$105:$C$109,0))="FIX",IF(INDEX(LISTES!$E$105:$E$109,MATCH(VM43,LISTES!$C$105:$C$109,0))=12,VN43/12*L43,VN43/365*M43),VO43*VL43)))</f>
        <v/>
      </c>
      <c r="VQ43" s="294" t="str">
        <f t="shared" si="403"/>
        <v/>
      </c>
      <c r="VR43" s="494" t="str">
        <f>IF(A43=FALSE,"",VQ43*Cotations!$AV$4)</f>
        <v/>
      </c>
      <c r="VS43" s="494" t="str">
        <f>IF(A43=FALSE,"",VQ43*Cotations!$AW$4)</f>
        <v/>
      </c>
      <c r="VT43" s="465" t="str">
        <f t="shared" si="404"/>
        <v/>
      </c>
      <c r="VU43" s="919" t="str">
        <f>IF(A43=FALSE,"",((VG43*TAXE)-(VG43*TAXE*VI43))+IF(VM43="N/A",0,IF(INDEX(LISTES!$F$105:$F$109,MATCH(VM43,LISTES!$C$105:$C$109,0))="FIX",VN43,VO43*VL43)))</f>
        <v/>
      </c>
      <c r="WA43" s="492" t="str">
        <f>IF(A43=FALSE,"",Cotations!D43)</f>
        <v/>
      </c>
      <c r="WB43" s="519" t="str">
        <f>IF(A43=FALSE,"",IF(LISTES!$A$17=1,Cotations!EW43,Cotations!EX43))</f>
        <v/>
      </c>
      <c r="WC43" s="291" t="str">
        <f t="shared" si="405"/>
        <v/>
      </c>
      <c r="WD43" s="291" t="str">
        <f t="shared" si="406"/>
        <v/>
      </c>
      <c r="WE43" s="291"/>
      <c r="WF43" s="463"/>
      <c r="WG43" s="463" t="str">
        <f t="shared" si="407"/>
        <v/>
      </c>
      <c r="WH43" s="522" t="str">
        <f>IF(A43=FALSE,"",IF(Cotations!$AQ$4="monthly",WG43/12*L43,WG43/365*M43))</f>
        <v/>
      </c>
      <c r="WI43" s="489" t="str">
        <f>IF(A43=FALSE,"",Cotations!$AR$4)</f>
        <v/>
      </c>
      <c r="WJ43" s="300" t="str">
        <f t="shared" si="408"/>
        <v/>
      </c>
      <c r="WK43" s="300" t="str">
        <f t="shared" si="409"/>
        <v/>
      </c>
      <c r="WL43" s="294" t="str">
        <f t="shared" si="410"/>
        <v/>
      </c>
      <c r="WM43" s="494" t="str">
        <f>IF(A43=FALSE,"",Cotations!$AS$4)</f>
        <v/>
      </c>
      <c r="WN43" s="494" t="str">
        <f>IF(A43=FALSE,"",Cotations!$AT$4)</f>
        <v/>
      </c>
      <c r="WO43" s="489" t="str">
        <f>IF(A43=FALSE,"",Cotations!$AU$4)</f>
        <v/>
      </c>
      <c r="WP43" s="494" t="str">
        <f>IF(A43=FALSE,"",IF(WM43="N/A",0,IF(INDEX(LISTES!$F$105:$F$109,MATCH(WM43,LISTES!$C$105:$C$109,0))="FIX",IF(INDEX(LISTES!$E$105:$E$109,MATCH(WM43,LISTES!$C$105:$C$109,0))=12,WN43/12*L43,WN43/365*M43),WO43*WL43)))</f>
        <v/>
      </c>
      <c r="WQ43" s="294" t="str">
        <f t="shared" si="411"/>
        <v/>
      </c>
      <c r="WR43" s="494" t="str">
        <f>IF(A43=FALSE,"",WQ43*Cotations!$AV$4)</f>
        <v/>
      </c>
      <c r="WS43" s="494" t="str">
        <f>IF(A43=FALSE,"",WQ43*Cotations!$AW$4)</f>
        <v/>
      </c>
      <c r="WT43" s="465" t="str">
        <f t="shared" si="412"/>
        <v/>
      </c>
      <c r="WU43" s="919" t="str">
        <f>IF(A43=FALSE,"",((WG43*TAXE)-(WG43*TAXE*WI43))+IF(WM43="N/A",0,IF(INDEX(LISTES!$F$105:$F$109,MATCH(WM43,LISTES!$C$105:$C$109,0))="FIX",WN43,WO43*WL43)))</f>
        <v/>
      </c>
    </row>
    <row r="44" spans="1:619">
      <c r="A44" s="942" t="b">
        <f t="shared" si="221"/>
        <v>0</v>
      </c>
      <c r="B44" s="942" t="b">
        <f>IF(NAMES!$B$9=TRUE,TRUE,FALSE)</f>
        <v>1</v>
      </c>
      <c r="C44" s="942" t="b">
        <f t="shared" si="413"/>
        <v>0</v>
      </c>
      <c r="D44" s="942" t="b">
        <f t="shared" si="414"/>
        <v>0</v>
      </c>
      <c r="E44" s="274" t="b">
        <f>IF(Cotations!C44="","",Cotations!C44)</f>
        <v>0</v>
      </c>
      <c r="F44" s="274" t="str">
        <f>IF(Cotations!D44="","",Cotations!D44)</f>
        <v>PROP</v>
      </c>
      <c r="G44" s="274" t="str">
        <f>IF(Cotations!E44="","",Cotations!E44)</f>
        <v>2016-2017!</v>
      </c>
      <c r="H44" s="274" t="str">
        <f>IF(Cotations!F44="","",Cotations!F44)</f>
        <v>SINGLE</v>
      </c>
      <c r="I44" s="274" t="str">
        <f>IF(Cotations!G44="","",Cotations!G44)</f>
        <v/>
      </c>
      <c r="J44" s="274" t="str">
        <f>IF(Cotations!H44="","",Cotations!H44)</f>
        <v/>
      </c>
      <c r="K44" s="274" t="str">
        <f>IF(Cotations!I44="","",Cotations!I44)</f>
        <v/>
      </c>
      <c r="L44" s="274" t="str">
        <f>IF(A44=FALSE,"",IF(Cotations!N44="","",Cotations!N44))</f>
        <v/>
      </c>
      <c r="M44" s="274" t="str">
        <f>IF(Cotations!P44="","",Cotations!P44)</f>
        <v/>
      </c>
      <c r="N44" s="724" t="str">
        <f>IF(NAMES!$B$10=TRUE,Cotations!J44,Cotations!L44)</f>
        <v/>
      </c>
      <c r="O44" s="724" t="str">
        <f>IF(NAMES!$B$10=TRUE,Cotations!K44,Cotations!M44)</f>
        <v/>
      </c>
      <c r="P44" s="943" t="str">
        <f t="shared" si="415"/>
        <v/>
      </c>
      <c r="Q44" s="724" t="str">
        <f>IF(A44=FALSE,"",IF(Crewlist!Y44="","",Crewlist!Y44))</f>
        <v/>
      </c>
      <c r="R44" s="78" t="str">
        <f>IF(Cotations!U44="","",Cotations!U44)</f>
        <v/>
      </c>
      <c r="S44" s="943" t="str">
        <f t="shared" si="416"/>
        <v/>
      </c>
      <c r="T44" s="919" t="str">
        <f>IF(A44=FALSE,"",VLOOKUP($U$15:$U$120,Currency!$A$2:$D$10,4,0)*Crewlist!N44)</f>
        <v/>
      </c>
      <c r="U44" s="1355" t="str">
        <f>IF(A44=FALSE,"",IF(IT44=0,Crewlist!M44&amp;"/"&amp;EX44,Crewlist!M44&amp;"/"&amp;IT44))</f>
        <v/>
      </c>
      <c r="V44" s="919" t="str">
        <f>IF(A44=FALSE,"",VLOOKUP($U$15:$U$120,Currency!$A$2:$D$10,4,0)*Detail!Q44)</f>
        <v/>
      </c>
      <c r="W44" s="1355" t="str">
        <f>IF(A44=FALSE,"",IF(IT44=0,Detail!R44&amp;"/"&amp;EX44,Detail!R44&amp;"/"&amp;IT44))</f>
        <v/>
      </c>
      <c r="X44" s="919" t="str">
        <f>IF(A44=FALSE,"",IF(LISTES!$C$17="Crewlist",Calcul!T44,Calcul!V44))</f>
        <v/>
      </c>
      <c r="Y44" s="758" t="str">
        <f t="shared" si="417"/>
        <v/>
      </c>
      <c r="Z44" s="758" t="str">
        <f>IF(A44=FALSE,"",IF(X44=0,0,IF((Cotations!BC44*12*X44)&lt;50000,50000,(12*X44))))</f>
        <v/>
      </c>
      <c r="AA44" s="758" t="str">
        <f t="shared" si="418"/>
        <v/>
      </c>
      <c r="AB44" s="758" t="str">
        <f>IF(A44=FALSE,"",IF(Crewlist!O44=0,"",Crewlist!O44))</f>
        <v/>
      </c>
      <c r="AC44" s="758" t="str">
        <f>IF(I44="","",VLOOKUP($AB$15:$AB$120,Currency!$A$15:$B$34,2,0))</f>
        <v/>
      </c>
      <c r="AD44" s="758" t="str">
        <f t="shared" si="419"/>
        <v/>
      </c>
      <c r="AE44" s="758" t="str">
        <f t="shared" si="420"/>
        <v/>
      </c>
      <c r="AF44" s="758" t="str">
        <f t="shared" si="421"/>
        <v/>
      </c>
      <c r="AG44" s="758" t="str">
        <f t="shared" si="422"/>
        <v/>
      </c>
      <c r="AH44" s="1355" t="str">
        <f t="shared" si="222"/>
        <v/>
      </c>
      <c r="AI44" s="919" t="str">
        <f t="shared" si="423"/>
        <v/>
      </c>
      <c r="AJ44" s="1382" t="str">
        <f t="shared" si="424"/>
        <v/>
      </c>
      <c r="AK44" s="1382" t="str">
        <f t="shared" si="425"/>
        <v/>
      </c>
      <c r="AL44" s="238" t="str">
        <f t="shared" si="223"/>
        <v/>
      </c>
      <c r="AM44" s="238" t="str">
        <f t="shared" si="224"/>
        <v/>
      </c>
      <c r="AN44" s="1374" t="str">
        <f t="shared" si="225"/>
        <v/>
      </c>
      <c r="AO44" s="238" t="str">
        <f t="shared" si="226"/>
        <v/>
      </c>
      <c r="AP44" s="342" t="str">
        <f>IF(A44=FALSE,"",INDEX(Rates!$Z$5:$Z$367,MATCH(EB44,colchoice,0)))</f>
        <v/>
      </c>
      <c r="AQ44" s="238" t="str">
        <f t="shared" si="227"/>
        <v/>
      </c>
      <c r="AR44" s="238" t="str">
        <f t="shared" si="426"/>
        <v/>
      </c>
      <c r="AS44" s="238" t="str">
        <f t="shared" si="427"/>
        <v/>
      </c>
      <c r="AT44" s="238" t="str">
        <f t="shared" si="428"/>
        <v/>
      </c>
      <c r="AU44" s="238" t="str">
        <f t="shared" si="228"/>
        <v/>
      </c>
      <c r="AV44" s="238" t="str">
        <f t="shared" si="429"/>
        <v/>
      </c>
      <c r="AW44" s="238" t="str">
        <f t="shared" si="229"/>
        <v/>
      </c>
      <c r="AX44" s="238" t="str">
        <f t="shared" si="230"/>
        <v/>
      </c>
      <c r="AY44" s="238" t="str">
        <f t="shared" si="231"/>
        <v/>
      </c>
      <c r="AZ44" s="238" t="str">
        <f t="shared" si="232"/>
        <v/>
      </c>
      <c r="BA44" s="238" t="str">
        <f t="shared" si="233"/>
        <v/>
      </c>
      <c r="BB44" s="552" t="str">
        <f t="shared" si="234"/>
        <v/>
      </c>
      <c r="BC44" s="347" t="str">
        <f t="shared" si="235"/>
        <v/>
      </c>
      <c r="BD44" s="239" t="str">
        <f t="shared" si="430"/>
        <v/>
      </c>
      <c r="BE44" s="239" t="str">
        <f>IF(A44=FALSE,"",IF(ALLTHESAME=TRUE,IF(DF44&lt;&gt;$BC$7,0,INDEX(DD44:DZ44,1,MATCH(Structure!$D$12,$DD$14:$DZ$14,0))),IF(EC44&lt;&gt;$BC$7,0,INDEX(EA44:EZ44,1,MATCH(Structure!$D$12,$EA$14:$EZ$14,0)))))</f>
        <v/>
      </c>
      <c r="BF44" s="239" t="str">
        <f>IF(A44=FALSE,"",IF(ALLTHESAME=TRUE,IF(FC44&lt;&gt;$BC$7,0,INDEX(FA44:FZ44,1,MATCH(Structure!$D$12,$FA$14:$FZ$14,0))),IF(GC44&lt;&gt;$BC$7,0,INDEX(GA44:GZ44,1,MATCH(Structure!$D$12,$GA$14:$GZ$14,0)))))</f>
        <v/>
      </c>
      <c r="BG44" s="239" t="str">
        <f>IF(A44=FALSE,"",IF(ALLTHESAME=TRUE,IF(VC44&lt;&gt;$BC$7,0,INDEX(VA44:VZ44,1,MATCH(Structure!$D$12,$VA$14:$VZ$14,0))),IF(VC44&lt;&gt;$BC$7,0,INDEX(VA44:VZ44,1,MATCH(Structure!$D$12,$VA$14:$VZ$14,0)))))</f>
        <v/>
      </c>
      <c r="BH44" s="239" t="str">
        <f>IF(A44=FALSE,"",IF(ALLTHESAME=TRUE,IF(WC44&lt;&gt;$BC$7,0,INDEX(WA44:WY44,1,MATCH(Structure!$D$12,$WA$14:$WZ$14,0))),IF(WC44&lt;&gt;$BC$7,0,INDEX(WA44:WZ44,1,MATCH(Structure!$D$12,$WA$14:$WZ$14,0)))))</f>
        <v/>
      </c>
      <c r="BI44" s="763" t="str">
        <f>IF(A44=FALSE,"",IF(ALLTHESAME=TRUE,IF(HC44&lt;&gt;$BC$7,0,INDEX(HA44:HZ44,1,MATCH(Structure!$D$12,$HA$14:$HZ$14,0)))+TK44,IF(IC44&lt;&gt;$BC$7,0,INDEX(IA44:IZ44,1,MATCH(Structure!$D$12,$IA$14:$IZ$14,0)))+TK44))</f>
        <v/>
      </c>
      <c r="BJ44" s="239" t="str">
        <f>IF(A44=FALSE,"",IF(ALLTHESAME=TRUE,IF(JC44&lt;&gt;$BC$7,0,INDEX(JA44:JZ44,1,MATCH(Structure!$D$12,$JA$14:$JZ$14,0))),IF(KC44&lt;&gt;$BC$7,0,INDEX(KA44:KZ44,1,MATCH(Structure!$D$12,$KA$14:$KZ$14,0)))))</f>
        <v/>
      </c>
      <c r="BK44" s="763" t="str">
        <f>IF(A44=FALSE,"",IF(ALLTHESAME=TRUE,IF(LC44&lt;&gt;$BC$7,0,INDEX(LA44:LZ44,1,MATCH(Structure!$D$12,$LA$14:$LZ$14,0)))+UK44,IF(MC44&lt;&gt;$BC$7,0,INDEX(MA44:MZ44,1,MATCH(Structure!$D$12,$MA$14:$MZ$14,0)))+UK44))</f>
        <v/>
      </c>
      <c r="BL44" s="239" t="str">
        <f>IF(A44=FALSE,"",IF(ALLTHESAME=TRUE,IF(NC44&lt;&gt;$BC$7,0,INDEX(NA44:NZ44,1,MATCH(Structure!$D$12,$NA$14:$NZ$14,0))),IF(OC44&lt;&gt;$BC$7,0,INDEX(OA44:OZ44,1,MATCH(Structure!$D$12,$OA$14:$OZ$14,0)))))</f>
        <v/>
      </c>
      <c r="BM44" s="239" t="str">
        <f>IF(A44=FALSE,"",IF(ALLTHESAME=TRUE,IF(PC44&lt;&gt;$BC$7,0,INDEX(PA44:PZ44,1,MATCH(Structure!$D$12,$PA$14:$PZ$14,0))),IF(QC44&lt;&gt;$BC$7,0,INDEX(QA44:QZ44,1,MATCH(Structure!$D$12,$QA$14:$QZ$14,0)))))</f>
        <v/>
      </c>
      <c r="BN44" s="341" t="str">
        <f>IF(A44=FALSE,"",IF(ALLTHESAME=TRUE,IF(RC44&lt;&gt;$BC$7,0,INDEX(RA44:RZ44,1,MATCH(Structure!$D$12,$RA$14:$RZ$14,0))),IF(SC44&lt;&gt;$BC$7,0,INDEX(SA44:TA44,1,MATCH(Structure!$D$12,$SA$14:$TA$14,0)))))</f>
        <v/>
      </c>
      <c r="BO44" s="507" t="str">
        <f t="shared" si="236"/>
        <v/>
      </c>
      <c r="BP44" s="239" t="str">
        <f t="shared" si="237"/>
        <v/>
      </c>
      <c r="BQ44" s="239" t="str">
        <f>IF(A44=FALSE,"",IF(ALLTHESAME=TRUE,IF(DF44&lt;&gt;$BO$7,0,INDEX(DD44:DZ44,1,MATCH(Structure!$D$12,$DD$14:$DZ$14,0))),IF(EC44&lt;&gt;$BO$7,0,INDEX(EA44:EZ44,1,MATCH(Structure!$D$12,$EA$14:$EZ$14,0)))))</f>
        <v/>
      </c>
      <c r="BR44" s="239" t="str">
        <f>IF(A44=FALSE,"",IF(ALLTHESAME=TRUE,IF(FC44&lt;&gt;$BO$7,0,INDEX(FA44:FZ44,1,MATCH(Structure!$D$12,$FA$14:$FZ$14,0))),IF(GC44&lt;&gt;$BO$7,0,INDEX(GA44:GZ44,1,MATCH(Structure!$D$12,$GA$14:$GZ$14,0)))))</f>
        <v/>
      </c>
      <c r="BS44" s="239" t="str">
        <f>IF(A44=FALSE,"",IF(ALLTHESAME=TRUE,IF(HC44&lt;&gt;$BO$7,0,INDEX(HA44:HZ44,1,MATCH(Structure!$D$12,$HA$14:$HZ$14,0))),IF(IC44&lt;&gt;$BO$7,0,INDEX(IA44:IZ44,1,MATCH(Structure!$D$12,$IA$14:$IZ$14,0)))))</f>
        <v/>
      </c>
      <c r="BT44" s="239" t="str">
        <f>IF(A44=FALSE,"",IF(ALLTHESAME=TRUE,IF(JC44&lt;&gt;$BO$7,0,INDEX(JA44:JZ44,1,MATCH(Structure!$D$12,$JA$14:$JZ$14,0))),IF(KC44&lt;&gt;$BO$7,0,INDEX(KA44:KZ44,1,MATCH(Structure!$D$12,$KA$14:$KZ$14,0)))))</f>
        <v/>
      </c>
      <c r="BU44" s="239" t="str">
        <f>IF(A44=FALSE,"",IF(ALLTHESAME=TRUE,IF(LC44&lt;&gt;$BO$7,0,INDEX(LA44:LZ44,1,MATCH(Structure!$D$12,$LA$14:$LZ$14,0))),IF(MC44&lt;&gt;$BO$7,0,INDEX(MA44:MZ44,1,MATCH(Structure!$D$12,$MA$14:$MZ$14,0)))))</f>
        <v/>
      </c>
      <c r="BV44" s="239" t="str">
        <f>IF(A44=FALSE,"",IF(ALLTHESAME=TRUE,IF(NC44&lt;&gt;$BO$7,0,INDEX(NA44:NZ44,1,MATCH(Structure!$D$12,$NA$14:$NZ$14,0))),IF(OC44&lt;&gt;$BO$7,0,INDEX(OA44:OZ44,1,MATCH(Structure!$D$12,$OA$14:$OZ$14,0)))))</f>
        <v/>
      </c>
      <c r="BW44" s="239" t="str">
        <f>IF(A44=FALSE,"",IF(ALLTHESAME=TRUE,IF(PC44&lt;&gt;$BO$7,0,INDEX(PA44:PZ44,1,MATCH(Structure!$D$12,$PA$14:$PZ$14,0))),IF(QC44&lt;&gt;$BO$7,0,INDEX(QA44:QZ44,1,MATCH(Structure!$D$12,$QA$14:$QZ$14,0)))))</f>
        <v/>
      </c>
      <c r="BX44" s="341" t="str">
        <f>IF(A44=FALSE,"",IF(ALLTHESAME=TRUE,IF(RC44&lt;&gt;$BO$7,0,INDEX(RA44:RZ44,1,MATCH(Structure!$D$12,$RA$14:$RZ$14,0))),IF(SC44&lt;&gt;$BO$7,0,INDEX(SA44:TA44,1,MATCH(Structure!$D$12,$SA$14:$TA$14,0)))))</f>
        <v/>
      </c>
      <c r="BY44" s="347" t="str">
        <f t="shared" si="238"/>
        <v/>
      </c>
      <c r="BZ44" s="507" t="str">
        <f t="shared" si="239"/>
        <v/>
      </c>
      <c r="CA44" s="239" t="str">
        <f t="shared" si="240"/>
        <v/>
      </c>
      <c r="CB44" s="239" t="str">
        <f>IF(A44=FALSE,"",IF(ALLTHESAME=TRUE,INDEX(DD44:DZ44,MATCH(DF44,DF44:DF149,0),MATCH(Structure!$D$17,$DD$14:$DZ$14,0)),INDEX(EA44:EZ44,MATCH(EC44,EC44:EC149,0),MATCH(Structure!$D$17,$EA$14:$EZ$14,0))))</f>
        <v/>
      </c>
      <c r="CC44" s="239" t="str">
        <f>IF(A44=FALSE,"",IF(ALLTHESAME=TRUE,INDEX(FA44:FZ44,MATCH(FC44,FC44:FC149,0),MATCH(Structure!$D$17,$FA$14:$FZ$14,0)),INDEX(GA44:GZ44,MATCH(GC44,GC44:GC149,0),MATCH(Structure!$D$17,$GA$14:$GZ$14,0))))</f>
        <v/>
      </c>
      <c r="CD44" s="239" t="str">
        <f>IF(A44=FALSE,"",IF(ALLTHESAME=TRUE,INDEX(HA44:HZ44,MATCH(HC44,HC44:HC149,0),MATCH(Structure!$D$17,$HA$14:$HZ$14,0)),INDEX(IA44:IZ44,MATCH(IC44,IC44:IC149,0),MATCH(Structure!$D$17,$IA$14:$IZ$14,0))))</f>
        <v/>
      </c>
      <c r="CE44" s="239" t="str">
        <f>IF(A44=FALSE,"",IF(ALLTHESAME=TRUE,INDEX(JA44:JZ44,MATCH(JC44,JC44:JC149,0),MATCH(Structure!$D$17,$JA$14:$JZ$14,0)),INDEX(KA44:KZ44,MATCH(KC44,KC44:KC149,0),MATCH(Structure!$D$17,$KA$14:$KZ$14,0))))</f>
        <v/>
      </c>
      <c r="CF44" s="239" t="str">
        <f>IF(A44=FALSE,"",IF(ALLTHESAME=TRUE,INDEX(LA44:LZ44,MATCH(LC44,LC44:LC149,0),MATCH(Structure!$D$17,$LA$14:$LZ$14,0)),INDEX(MA44:MZ44,MATCH(MC44,MC44:MC149,0),MATCH(Structure!$D$17,$MA$14:$MZ$14,0))))</f>
        <v/>
      </c>
      <c r="CG44" s="239" t="str">
        <f>IF(A44=FALSE,"",IF(ALLTHESAME=TRUE,INDEX(NA44:NZ44,MATCH(NC44,NC44:NC149,0),MATCH(Structure!$D$17,$NA$14:$NZ$14,0)),INDEX(OA44:OZ44,MATCH(OC44,OC44:OC149,0),MATCH(Structure!$D$17,$OA$14:$OZ$14,0))))</f>
        <v/>
      </c>
      <c r="CH44" s="239" t="str">
        <f>IF(A44=FALSE,"",IF(ALLTHESAME=TRUE,INDEX(PA44:PZ44,MATCH(PC44,PC44:PC149,0),MATCH(Structure!$D$17,$PA$14:$PZ$14,0)),INDEX(QA44:QZ44,MATCH(QC44,QC44:QC149,0),MATCH(Structure!$D$17,$QA$14:$QZ$14,0))))</f>
        <v/>
      </c>
      <c r="CI44" s="341" t="str">
        <f>IF(A44=FALSE,"",IF(ALLTHESAME=TRUE,INDEX(RA44:RZ44,MATCH(RC44,RC44:RC149,0),MATCH(Structure!$D$17,$RA$14:$RZ$14,0)),INDEX(SA44:TC44,MATCH(SC44,SC44:SC149,0),MATCH(Structure!$D$17,$SA$14:$TC$14,0))))</f>
        <v/>
      </c>
      <c r="CJ44" s="347"/>
      <c r="CK44" s="239" t="str">
        <f t="shared" si="241"/>
        <v/>
      </c>
      <c r="CL44" s="239" t="str">
        <f>IF(A44=FALSE,"",IF(ALLTHESAME=TRUE,INDEX(DD44:DZ44,MATCH(DF44,DF44:DF149,0),MATCH(Structure!$D$22,$DD$14:$DZ$14,0)),INDEX(EA44:EZ44,MATCH(EC44,EC44:EC149,0),MATCH(Structure!$D$22,$EA$14:$EZ$14,0))))</f>
        <v/>
      </c>
      <c r="CM44" s="239" t="str">
        <f>IF(A44=FALSE,"",IF(ALLTHESAME=TRUE,INDEX(FA44:FZ44,MATCH(FC44,FC44:FC149,0),MATCH(Structure!$D$22,$FA$14:$FZ$14,0)),INDEX(GA44:GZ44,MATCH(GC44,GC44:GC149,0),MATCH(Structure!$D$22,$GA$14:$GZ$14,0))))</f>
        <v/>
      </c>
      <c r="CN44" s="239" t="str">
        <f>IF(A44=FALSE,"",IF(ALLTHESAME=TRUE,INDEX(HA44:HZ44,MATCH(HC44,HC44:HC149,0),MATCH(Structure!$D$22,$HA$14:$HZ$14,0)),INDEX(IA44:IZ44,MATCH(IC44,IC44:IC149,0),MATCH(Structure!$D$22,$IA$14:$IZ$14,0))))</f>
        <v/>
      </c>
      <c r="CO44" s="239" t="str">
        <f>IF(A44=FALSE,"",IF(ALLTHESAME=TRUE,INDEX(JA44:JZ44,MATCH(JC44,JC44:JC149,0),MATCH(Structure!$D$22,$JA$14:$JZ$14,0)),INDEX(KA44:KZ44,MATCH(KC44,KC44:KC149,0),MATCH(Structure!$D$22,$KA$14:$KZ$14,0))))</f>
        <v/>
      </c>
      <c r="CP44" s="239" t="str">
        <f>IF(A44=FALSE,"",IF(ALLTHESAME=TRUE,INDEX(LA44:LZ44,MATCH(LC44,LC44:LC149,0),MATCH(Structure!$D$22,$LA$14:$LZ$14,0)),INDEX(MA44:MZ44,MATCH(MC44,MC44:MC149,0),MATCH(Structure!$D$22,$MA$14:$MZ$14,0))))</f>
        <v/>
      </c>
      <c r="CQ44" s="239" t="str">
        <f>IF(A44=FALSE,"",IF(ALLTHESAME=TRUE,INDEX(NA44:NZ44,MATCH(NC44,NC44:NC149,0),MATCH(Structure!$D$22,$NA$14:$NZ$14,0)),INDEX(OA44:OZ44,MATCH(OC44,OC44:OC149,0),MATCH(Structure!$D$22,$OA$14:$OZ$14,0))))</f>
        <v/>
      </c>
      <c r="CR44" s="239" t="str">
        <f>IF(A44=FALSE,"",IF(ALLTHESAME=TRUE,INDEX(PA44:PZ44,MATCH(PC44,PC44:PC149,0),MATCH(Structure!$D$22,$PA$14:$PZ$14,0)),INDEX(QA44:QZ44,MATCH(QC44,QC44:QC149,0),MATCH(Structure!$D$22,$QA$14:$QZ$14,0))))</f>
        <v/>
      </c>
      <c r="CS44" s="341" t="str">
        <f>IF(A44=FALSE,"",IF(ALLTHESAME=TRUE,INDEX(RA44:RZ44,MATCH(RC44,RC44:RC149,0),MATCH(Structure!$D$22,$RA$14:$RZ$14,0)),INDEX(SA44:TC44,MATCH(SC44,SC44:SC149,0),MATCH(Structure!$D$22,$SA$14:$TC$14,0))))</f>
        <v/>
      </c>
      <c r="CT44" s="347"/>
      <c r="CU44" s="239" t="str">
        <f t="shared" si="242"/>
        <v/>
      </c>
      <c r="CV44" s="239" t="str">
        <f>IF(A44=FALSE,"",IF(ALLTHESAME=TRUE,INDEX(DD44:DZ44,MATCH(DF44,DF44:DF149,0),MATCH(Structure!$D$8,$DD$14:$DZ$14,0)),INDEX(EA44:EZ44,MATCH(EC44,EC44:EC149,0),MATCH(Structure!$D$8,$EA$14:$EZ$14,0))))</f>
        <v/>
      </c>
      <c r="CW44" s="239" t="str">
        <f>IF(A44=FALSE,"",IF(ALLTHESAME=TRUE,INDEX(FA44:FZ44,MATCH(FC44,FC44:FC149,0),MATCH(Structure!$D$8,$FA$14:$FZ$14,0)),INDEX(GA44:GZ44,MATCH(GC44,GC44:GC149,0),MATCH(Structure!$D$8,$GA$14:$GZ$14,0))))</f>
        <v/>
      </c>
      <c r="CX44" s="239" t="str">
        <f>IF(A44=FALSE,"",IF(ALLTHESAME=TRUE,INDEX(HA44:HZ44,MATCH(HC44,HC44:HC149,0),MATCH(Structure!$D$8,$HA$14:$HZ$14,0)),INDEX(IA44:IZ44,MATCH(IC44,IC44:IC149,0),MATCH(Structure!$D$8,$IA$14:$IZ$14,0))))</f>
        <v/>
      </c>
      <c r="CY44" s="239" t="str">
        <f>IF(A44=FALSE,"",IF(ALLTHESAME=TRUE,INDEX(JA44:JZ44,MATCH(JC44,JC44:JC149,0),MATCH(Structure!$D$8,$JA$14:$JZ$14,0)),INDEX(KA44:KZ44,MATCH(KC44,KC44:KC149,0),MATCH(Structure!$D$8,$KA$14:$KZ$14,0))))</f>
        <v/>
      </c>
      <c r="CZ44" s="239" t="str">
        <f>IF(A44=FALSE,"",IF(ALLTHESAME=TRUE,INDEX(LA44:LZ44,MATCH(LC44,LC44:LC149,0),MATCH(Structure!$D$8,$LA$14:$LZ$14,0)),INDEX(MA44:MZ44,MATCH(MC44,MC44:MC149,0),MATCH(Structure!$D$8,$MA$14:$MZ$14,0))))</f>
        <v/>
      </c>
      <c r="DA44" s="239" t="str">
        <f>IF(A44=FALSE,"",IF(ALLTHESAME=TRUE,INDEX(NA44:NZ44,MATCH(NC44,NC44:NC149,0),MATCH(Structure!$D$8,$NA$14:$NZ$14,0)),INDEX(OA44:OZ44,MATCH(OC44,OC44:OC149,0),MATCH(Structure!$D$8,$OA$14:$OZ$14,0))))</f>
        <v/>
      </c>
      <c r="DB44" s="239" t="str">
        <f>IF(A44=FALSE,"",IF(ALLTHESAME=TRUE,INDEX(PA44:PZ44,MATCH(PC44,PC44:PC149,0),MATCH(Structure!$D$8,$PA$14:$PZ$14,0)),INDEX(QA44:QZ44,MATCH(QC44,QC44:QC149,0),MATCH(Structure!$D$8,$QA$14:$QZ$14,0))))</f>
        <v/>
      </c>
      <c r="DC44" s="341" t="str">
        <f>IF(A44=FALSE,"",IF(ALLTHESAME=TRUE,INDEX(RA44:RZ44,MATCH(RC44,RC44:RC149,0),MATCH(Structure!$D$8,$RA$14:$RZ$14,0)),INDEX(SA44:TC44,MATCH(SC44,SC44:SC149,0),MATCH(Structure!$D$8,$SA$14:$TC$14,0))))</f>
        <v/>
      </c>
      <c r="DD44" s="492" t="str">
        <f>IF(A44=FALSE,"",Cotations!D44)</f>
        <v/>
      </c>
      <c r="DE44" s="492" t="str">
        <f>IF(A44=FALSE,"",IF(LISTES!$A$17=1,Cotations!AF44,Cotations!$AG$4))</f>
        <v/>
      </c>
      <c r="DF44" s="291" t="str">
        <f t="shared" si="431"/>
        <v/>
      </c>
      <c r="DG44" s="291" t="str">
        <f t="shared" si="243"/>
        <v/>
      </c>
      <c r="DH44" s="291"/>
      <c r="DI44" s="463"/>
      <c r="DJ44" s="463" t="str">
        <f t="shared" si="244"/>
        <v/>
      </c>
      <c r="DK44" s="522" t="str">
        <f>IF(A44=FALSE,"",IF(Cotations!$AH$4="monthly",DJ44/12*L44,DJ44/365*M44))</f>
        <v/>
      </c>
      <c r="DL44" s="489" t="str">
        <f>IF(A44=FALSE,"",Cotations!$AI$4)</f>
        <v/>
      </c>
      <c r="DM44" s="300" t="str">
        <f t="shared" si="245"/>
        <v/>
      </c>
      <c r="DN44" s="300" t="str">
        <f t="shared" si="246"/>
        <v/>
      </c>
      <c r="DO44" s="294" t="str">
        <f t="shared" si="247"/>
        <v/>
      </c>
      <c r="DP44" s="494" t="str">
        <f>IF(A44=FALSE,"",Cotations!$AJ$4)</f>
        <v/>
      </c>
      <c r="DQ44" s="494" t="str">
        <f>IF(A44=FALSE,"",Cotations!$AK$4)</f>
        <v/>
      </c>
      <c r="DR44" s="489" t="str">
        <f>IF(A44=FALSE,"",Cotations!$AL$4)</f>
        <v/>
      </c>
      <c r="DS44" s="494" t="str">
        <f>IF(A44=FALSE,"",IF(DP44="N/A",0,IF(INDEX(LISTES!$F$105:$F$109,MATCH(DP44,LISTES!$C$105:$C$109,0))="FIX",IF(INDEX(LISTES!$E$105:$E$109,MATCH(DP44,LISTES!$C$105:$C$109,0))=12,DQ44/12*L44,DQ44/365*M44),DR44*DO44)))</f>
        <v/>
      </c>
      <c r="DT44" s="294" t="str">
        <f t="shared" si="248"/>
        <v/>
      </c>
      <c r="DU44" s="294" t="str">
        <f>IF(A44=FALSE,"",DT44*Cotations!$AM$4)</f>
        <v/>
      </c>
      <c r="DV44" s="294" t="str">
        <f>IF(A44=FALSE,"",DT44*Cotations!$AN$4)</f>
        <v/>
      </c>
      <c r="DW44" s="465" t="str">
        <f t="shared" si="249"/>
        <v/>
      </c>
      <c r="DX44" s="919" t="str">
        <f>IF(A44=FALSE,"",((DJ44*TAXE)-(DJ44*TAXE*DL44))+IF(DP44="N/A",0,IF(INDEX(LISTES!$F$105:$F$109,MATCH(DP44,LISTES!$C$105:$C$109,0))="FIX",DQ44,DR44*DO44)))</f>
        <v/>
      </c>
      <c r="DY44" s="466"/>
      <c r="DZ44" s="466"/>
      <c r="EA44" s="492" t="str">
        <f>IF(A44=FALSE,"",Cotations!D44)</f>
        <v/>
      </c>
      <c r="EB44" s="494" t="str">
        <f>IF(A44=FALSE,"",IF(LISTES!$A$17=1,Cotations!AF44,Cotations!AG44))</f>
        <v/>
      </c>
      <c r="EC44" s="284" t="str">
        <f t="shared" si="250"/>
        <v/>
      </c>
      <c r="ED44" s="284" t="str">
        <f t="shared" si="251"/>
        <v/>
      </c>
      <c r="EE44" s="284"/>
      <c r="EF44" s="284"/>
      <c r="EG44" s="284" t="str">
        <f t="shared" si="252"/>
        <v/>
      </c>
      <c r="EH44" s="1365" t="str">
        <f t="shared" si="253"/>
        <v/>
      </c>
      <c r="EI44" s="1365" t="str">
        <f t="shared" si="254"/>
        <v/>
      </c>
      <c r="EJ44" s="515" t="str">
        <f>IF(A44=FALSE,"",IF(Cotations!AH44="monthly",EG44/12*L44,EG44/365*M44))</f>
        <v/>
      </c>
      <c r="EK44" s="1364" t="str">
        <f>IF(A44=FALSE,"",IF(Cotations!AH44="monthly",EI44/12*L44,EI44/365*M44))</f>
        <v/>
      </c>
      <c r="EL44" s="493" t="str">
        <f>IF(A44=FALSE,"",IF(Cotations!AI44="","",Cotations!AI44))</f>
        <v/>
      </c>
      <c r="EM44" s="284" t="str">
        <f t="shared" si="255"/>
        <v/>
      </c>
      <c r="EN44" s="284" t="str">
        <f t="shared" si="256"/>
        <v/>
      </c>
      <c r="EO44" s="1365" t="str">
        <f t="shared" si="432"/>
        <v/>
      </c>
      <c r="EP44" s="284" t="str">
        <f t="shared" si="257"/>
        <v/>
      </c>
      <c r="EQ44" s="515" t="str">
        <f>IF(A44=FALSE,"",Cotations!AJ44)</f>
        <v/>
      </c>
      <c r="ER44" s="515" t="str">
        <f>IF(A44=FALSE,"",IF(Cotations!AK44="","",Cotations!AK44))</f>
        <v/>
      </c>
      <c r="ES44" s="493" t="str">
        <f>IF(A44=FALSE,"",Cotations!AL44)</f>
        <v/>
      </c>
      <c r="ET44" s="515" t="str">
        <f>IF(A44=FALSE,"",IF(EQ44="N/A",0,IF(INDEX(LISTES!$F$105:$F$109,MATCH(EQ44,LISTES!$C$105:$C$109,0))="FIX",IF(INDEX(LISTES!$E$105:$E$109,MATCH(EQ44,LISTES!$C$105:$C$109,0))=12,ER44/12*L44,ER44/365*M44),ES44*EP44)))</f>
        <v/>
      </c>
      <c r="EU44" s="294" t="str">
        <f t="shared" si="258"/>
        <v/>
      </c>
      <c r="EV44" s="494" t="str">
        <f>IF(A44=FALSE,"",EU44*Cotations!AM44)</f>
        <v/>
      </c>
      <c r="EW44" s="494" t="str">
        <f>IF(A44=FALSE,"",EU44*Cotations!AN44)</f>
        <v/>
      </c>
      <c r="EX44" s="334" t="str">
        <f t="shared" si="259"/>
        <v/>
      </c>
      <c r="EY44" s="919" t="str">
        <f>IF(A44=FALSE,"",((EG44*TAXE)-(EG44*TAXE*EL44)+EH44)+IF(EQ44="N/A",0,IF(INDEX(LISTES!$F$105:$F$109,MATCH(EQ44,LISTES!$C$105:$C$109,0))="FIX",ER44,ES44*EP44)))</f>
        <v/>
      </c>
      <c r="FA44" s="492" t="str">
        <f>IF(A44=FALSE,"",Cotations!D44)</f>
        <v/>
      </c>
      <c r="FB44" s="519" t="str">
        <f>IF(A44=FALSE,"",IF(LISTES!$A$17=1,Cotations!AO44,Cotations!$AP$4))</f>
        <v/>
      </c>
      <c r="FC44" s="291" t="str">
        <f t="shared" si="260"/>
        <v/>
      </c>
      <c r="FD44" s="291" t="str">
        <f t="shared" si="261"/>
        <v/>
      </c>
      <c r="FE44" s="291"/>
      <c r="FF44" s="463"/>
      <c r="FG44" s="463" t="str">
        <f t="shared" si="262"/>
        <v/>
      </c>
      <c r="FH44" s="522" t="str">
        <f>IF(A44=FALSE,"",IF(Cotations!$AQ$4="monthly",FG44/12*L44,FG44/365*M44))</f>
        <v/>
      </c>
      <c r="FI44" s="453" t="str">
        <f>IF(A44=FALSE,"",Cotations!$AR$4)</f>
        <v/>
      </c>
      <c r="FJ44" s="300" t="str">
        <f t="shared" si="263"/>
        <v/>
      </c>
      <c r="FK44" s="300" t="str">
        <f t="shared" si="264"/>
        <v/>
      </c>
      <c r="FL44" s="294" t="str">
        <f t="shared" si="265"/>
        <v/>
      </c>
      <c r="FM44" s="494" t="str">
        <f>IF(A44=FALSE,"",Cotations!$AS$4)</f>
        <v/>
      </c>
      <c r="FN44" s="494" t="str">
        <f>IF(A44=FALSE,"",Cotations!$AT$4)</f>
        <v/>
      </c>
      <c r="FO44" s="489" t="str">
        <f>IF(A44=FALSE,"",Cotations!$AU$4)</f>
        <v/>
      </c>
      <c r="FP44" s="494" t="str">
        <f>IF(A44=FALSE,"",IF(FM44="N/A",0,IF(INDEX(LISTES!$F$105:$F$109,MATCH(FM44,LISTES!$C$105:$C$109,0))="FIX",IF(INDEX(LISTES!$E$105:$E$109,MATCH(FM44,LISTES!$C$105:$C$109,0))=12,FN44/12*L44,FN44/365*M44),FO44*FL44)))</f>
        <v/>
      </c>
      <c r="FQ44" s="294" t="str">
        <f t="shared" si="266"/>
        <v/>
      </c>
      <c r="FR44" s="494" t="str">
        <f>IF(A44=FALSE,"",FQ44*Cotations!$AV$4)</f>
        <v/>
      </c>
      <c r="FS44" s="494" t="str">
        <f>IF(A44=FALSE,"",FQ44*Cotations!$AW$4)</f>
        <v/>
      </c>
      <c r="FT44" s="465" t="str">
        <f t="shared" si="267"/>
        <v/>
      </c>
      <c r="FU44" s="919" t="str">
        <f>IF(A44=FALSE,"",((FG44*TAXE)-(FG44*TAXE*FI44))+IF(FM44="N/A",0,IF(INDEX(LISTES!$F$105:$F$109,MATCH(FM44,LISTES!$C$105:$C$109,0))="FIX",FN44,FO44*FL44)))</f>
        <v/>
      </c>
      <c r="FV44" s="478"/>
      <c r="FW44" s="478"/>
      <c r="FX44" s="478"/>
      <c r="FY44" s="478"/>
      <c r="FZ44" s="478"/>
      <c r="GA44" s="492" t="str">
        <f>IF(A44=FALSE,"",Cotations!D44)</f>
        <v/>
      </c>
      <c r="GB44" s="494" t="str">
        <f>IF(A44=FALSE,"",IF(LISTES!$A$17=1,Cotations!AO44,Cotations!AP44))</f>
        <v/>
      </c>
      <c r="GC44" s="284" t="str">
        <f t="shared" si="268"/>
        <v/>
      </c>
      <c r="GD44" s="515" t="str">
        <f>IF(A44=FALSE,"",IF(Detail!AM44="","",Detail!AM44))</f>
        <v/>
      </c>
      <c r="GE44" s="284"/>
      <c r="GF44" s="284"/>
      <c r="GG44" s="284" t="str">
        <f t="shared" si="269"/>
        <v/>
      </c>
      <c r="GH44" s="515" t="str">
        <f>IF(A44=FALSE,"",IF(Cotations!AQ44="monthly",GG44/12*L44,GG44/365*M44))</f>
        <v/>
      </c>
      <c r="GI44" s="493" t="str">
        <f>IF(A44=FALSE,"",IF(Cotations!AR44="","",Cotations!AR44))</f>
        <v/>
      </c>
      <c r="GJ44" s="284" t="str">
        <f t="shared" si="270"/>
        <v/>
      </c>
      <c r="GK44" s="284" t="str">
        <f t="shared" si="271"/>
        <v/>
      </c>
      <c r="GL44" s="284" t="str">
        <f t="shared" si="272"/>
        <v/>
      </c>
      <c r="GM44" s="515" t="str">
        <f>IF(A44=FALSE,"",Cotations!AS44)</f>
        <v/>
      </c>
      <c r="GN44" s="515" t="str">
        <f>IF(A44=FALSE,"",Cotations!AT44)</f>
        <v/>
      </c>
      <c r="GO44" s="493" t="str">
        <f>IF(A44=FALSE,"",Cotations!AU44)</f>
        <v/>
      </c>
      <c r="GP44" s="515" t="str">
        <f>IF(A44=FALSE,"",IF(GM44="N/A",0,IF(INDEX(LISTES!$F$105:$F$109,MATCH(GM44,LISTES!$C$105:$C$109,0))="FIX",IF(INDEX(LISTES!$E$105:$E$109,MATCH(GM44,LISTES!$C$105:$C$109,0))=12,GN44/12*L44,GN44/365*M44),GO44*GL44)))</f>
        <v/>
      </c>
      <c r="GQ44" s="294" t="str">
        <f t="shared" si="273"/>
        <v/>
      </c>
      <c r="GR44" s="494" t="str">
        <f>IF(A44=FALSE,"",GQ44*Cotations!AV44)</f>
        <v/>
      </c>
      <c r="GS44" s="494" t="str">
        <f>IF(A44=FALSE,"",GQ44*Cotations!AW44)</f>
        <v/>
      </c>
      <c r="GT44" s="334" t="str">
        <f t="shared" si="274"/>
        <v/>
      </c>
      <c r="GU44" s="919" t="str">
        <f>IF(A44=FALSE,"",((GG44*TAXE)-(GG44*TAXE*GI44))+IF(GM44="N/A",0,IF(INDEX(LISTES!$F$105:$F$109,MATCH(GM44,LISTES!$C$105:$C$109,0))="FIX",GN44,GO44*GL44)))</f>
        <v/>
      </c>
      <c r="GV44" s="478"/>
      <c r="GW44" s="466"/>
      <c r="GX44" s="466"/>
      <c r="GY44" s="466"/>
      <c r="GZ44" s="466"/>
      <c r="HA44" s="492" t="str">
        <f>IF(A44=FALSE,"",Cotations!D44)</f>
        <v/>
      </c>
      <c r="HB44" s="495" t="str">
        <f>IF(A44=FALSE,"",IF(LISTES!$A$17=1,Cotations!AX44,Cotations!$AY$4))</f>
        <v/>
      </c>
      <c r="HC44" s="291" t="str">
        <f t="shared" si="275"/>
        <v/>
      </c>
      <c r="HD44" s="291" t="str">
        <f t="shared" si="276"/>
        <v/>
      </c>
      <c r="HE44" s="456" t="str">
        <f t="shared" si="277"/>
        <v/>
      </c>
      <c r="HF44" s="496" t="str">
        <f>IF(A44=FALSE,"",IF(HA44="POEA",Cotations!BA44,IF(HA44="FIXE",Cotations!$BA$4,Cotations!$BC$4*Y44)))</f>
        <v/>
      </c>
      <c r="HG44" s="300" t="str">
        <f t="shared" si="278"/>
        <v/>
      </c>
      <c r="HH44" s="522" t="str">
        <f>IF(A44=FALSE,"",IF(Cotations!$AZ$4="monthly",HG44/12*L44,HG44/365*M44))</f>
        <v/>
      </c>
      <c r="HI44" s="489" t="str">
        <f>IF(A44=FALSE,"",Cotations!$BD$4)</f>
        <v/>
      </c>
      <c r="HJ44" s="300" t="str">
        <f t="shared" si="279"/>
        <v/>
      </c>
      <c r="HK44" s="300" t="str">
        <f t="shared" si="280"/>
        <v/>
      </c>
      <c r="HL44" s="294" t="str">
        <f t="shared" si="281"/>
        <v/>
      </c>
      <c r="HM44" s="494" t="str">
        <f>IF(A44=FALSE,"",Cotations!$BE$4)</f>
        <v/>
      </c>
      <c r="HN44" s="522" t="str">
        <f>IF(A44=FALSE,"",Cotations!$BF$4)</f>
        <v/>
      </c>
      <c r="HO44" s="489" t="str">
        <f>IF(A44=FALSE,"",Cotations!$BG$4)</f>
        <v/>
      </c>
      <c r="HP44" s="494" t="str">
        <f>IF(A44=FALSE,"",IF(HM44="N/A",0,IF(INDEX(LISTES!$F$105:$F$109,MATCH(HM44,LISTES!$C$105:$C$109,0))="FIX",IF(INDEX(LISTES!$E$105:$E$109,MATCH(HM44,LISTES!$C$105:$C$109,0))=12,HN44/12*L44,HN44/365*M44),HO44*HL44)))</f>
        <v/>
      </c>
      <c r="HQ44" s="294" t="str">
        <f t="shared" si="282"/>
        <v/>
      </c>
      <c r="HR44" s="494" t="str">
        <f>IF(A44=FALSE,"",HQ44*Cotations!$BH$4)</f>
        <v/>
      </c>
      <c r="HS44" s="494" t="str">
        <f>IF(A44=FALSE,"",HQ44*Cotations!$BI$4)</f>
        <v/>
      </c>
      <c r="HT44" s="294" t="str">
        <f t="shared" si="283"/>
        <v/>
      </c>
      <c r="HU44" s="919" t="str">
        <f>IF(A44=FALSE,"",((HG44*TAXE)-(HG44*TAXE*HI44))+IF(HM44="N/A",0,IF(INDEX(LISTES!$F$105:$F$109,MATCH(HM44,LISTES!$C$105:$C$109,0))="FIX",HN44,HO44*HL44)))</f>
        <v/>
      </c>
      <c r="IA44" s="492" t="str">
        <f>IF(A44=FALSE,"",Cotations!D44)</f>
        <v/>
      </c>
      <c r="IB44" s="491" t="str">
        <f>IF(A44=FALSE,"",IF(LISTES!$A$17=1,Cotations!AX44,Cotations!AY44))</f>
        <v/>
      </c>
      <c r="IC44" s="285" t="str">
        <f t="shared" si="284"/>
        <v/>
      </c>
      <c r="ID44" s="300" t="str">
        <f>IF(A44=FALSE,"",IF(LISTES!$A$17=3,Detail!AU44,lig1_Formula_PREVOY))</f>
        <v/>
      </c>
      <c r="IE44" s="461" t="str">
        <f t="shared" si="285"/>
        <v/>
      </c>
      <c r="IF44" s="490" t="str">
        <f>IF(A44=FALSE,"",IF(IA44="POEA",Cotations!BA44,IF(HA44="FIXE",Cotations!BB44,IF(Cotations!BC44*Y44&lt;50000,Z44,Cotations!BC44*Y44))))</f>
        <v/>
      </c>
      <c r="IG44" s="300" t="str">
        <f t="shared" si="286"/>
        <v/>
      </c>
      <c r="IH44" s="522" t="str">
        <f>IF(A44=FALSE,"",IF(Cotations!AZ44="monthly",IG44/12*L44,IG44/365*M44))</f>
        <v/>
      </c>
      <c r="II44" s="489" t="str">
        <f>IF(A44=FALSE,"",IF(Cotations!BD44="","",Cotations!BD44))</f>
        <v/>
      </c>
      <c r="IJ44" s="300" t="str">
        <f t="shared" si="287"/>
        <v/>
      </c>
      <c r="IK44" s="300" t="str">
        <f t="shared" si="288"/>
        <v/>
      </c>
      <c r="IL44" s="919" t="str">
        <f t="shared" si="289"/>
        <v/>
      </c>
      <c r="IM44" s="517" t="str">
        <f>IF(A44=FALSE,"",Cotations!BE44)</f>
        <v/>
      </c>
      <c r="IN44" s="517" t="str">
        <f>IF(A44=FALSE,"",Cotations!BF44)</f>
        <v/>
      </c>
      <c r="IO44" s="493" t="str">
        <f>IF(A44=FALSE,"",Cotations!BG44)</f>
        <v/>
      </c>
      <c r="IP44" s="517" t="str">
        <f>IF(A44=FALSE,"",IF(IM44="N/A",0,IF(INDEX(LISTES!$F$105:$F$109,MATCH(IM44,LISTES!$C$105:$C$109,0))="FIX",IF(INDEX(LISTES!$E$105:$E$109,MATCH(IM44,LISTES!$C$105:$C$109,0))=12,IN44/12*L44,IN44/365*M44),IO44*IL44)))</f>
        <v/>
      </c>
      <c r="IQ44" s="294" t="str">
        <f t="shared" si="290"/>
        <v/>
      </c>
      <c r="IR44" s="494" t="str">
        <f>IF(A44=FALSE,"",IQ44*Cotations!BH44)</f>
        <v/>
      </c>
      <c r="IS44" s="494" t="str">
        <f>IF(A44=FALSE,"",IQ44*Cotations!BI44)</f>
        <v/>
      </c>
      <c r="IT44" s="338" t="str">
        <f t="shared" si="291"/>
        <v/>
      </c>
      <c r="IU44" s="919" t="str">
        <f>IF(A44=FALSE,"",((IG44*TAXE)-(IG44*TAXE*II44))+IF(IM44="N/A",0,IF(INDEX(LISTES!$F$105:$F$109,MATCH(IM44,LISTES!$C$105:$C$109,0))="FIX",IN44,IO44*IL44)))</f>
        <v/>
      </c>
      <c r="JA44" s="492" t="str">
        <f>IF(A44=FALSE,"",Cotations!D44)</f>
        <v/>
      </c>
      <c r="JB44" s="495" t="str">
        <f>IF(A44=FALSE,"",IF(LISTES!$A$17=1,Cotations!BJ44,Cotations!$BK$4))</f>
        <v/>
      </c>
      <c r="JC44" s="291" t="str">
        <f t="shared" si="292"/>
        <v/>
      </c>
      <c r="JD44" s="291" t="str">
        <f t="shared" si="293"/>
        <v/>
      </c>
      <c r="JE44" s="456" t="str">
        <f t="shared" si="294"/>
        <v/>
      </c>
      <c r="JF44" s="496" t="str">
        <f>IF(A44=FALSE,"",IF(JA44="POEA",Cotations!BM44,IF(JA44="FIXE",Cotations!$BM$4,Cotations!$BO$4*Y44)))</f>
        <v/>
      </c>
      <c r="JG44" s="300" t="str">
        <f t="shared" si="295"/>
        <v/>
      </c>
      <c r="JH44" s="522" t="str">
        <f>IF(A44=FALSE,"",IF(Cotations!$BL$4="monthly",JG44/12*L44,JG44/365*M44))</f>
        <v/>
      </c>
      <c r="JI44" s="489" t="str">
        <f>IF(A44=FALSE,"",Cotations!$BP$4)</f>
        <v/>
      </c>
      <c r="JJ44" s="300" t="str">
        <f t="shared" si="296"/>
        <v/>
      </c>
      <c r="JK44" s="300" t="str">
        <f t="shared" si="297"/>
        <v/>
      </c>
      <c r="JL44" s="294" t="str">
        <f t="shared" si="298"/>
        <v/>
      </c>
      <c r="JM44" s="494" t="str">
        <f>IF(A44=FALSE,"",Cotations!$BQ$4)</f>
        <v/>
      </c>
      <c r="JN44" s="522" t="str">
        <f>IF(A44=FALSE,"",Cotations!$BR$4)</f>
        <v/>
      </c>
      <c r="JO44" s="489" t="str">
        <f>IF(A44=FALSE,"",Cotations!$BS$4)</f>
        <v/>
      </c>
      <c r="JP44" s="494" t="str">
        <f>IF(A44=FALSE,"",IF(JM44="N/A",0,IF(INDEX(LISTES!$F$105:$F$109,MATCH(JM44,LISTES!$C$105:$C$109,0))="FIX",IF(INDEX(LISTES!$E$105:$E$109,MATCH(JM44,LISTES!$C$105:$C$109,0))=12,JN44/12*L44,JN44/365*M44),JO44*JL44)))</f>
        <v/>
      </c>
      <c r="JQ44" s="294" t="str">
        <f t="shared" si="299"/>
        <v/>
      </c>
      <c r="JR44" s="494" t="str">
        <f>IF(A44=FALSE,"",JQ44*Cotations!$BT$4)</f>
        <v/>
      </c>
      <c r="JS44" s="494" t="str">
        <f>IF(A44=FALSE,"",JQ44*Cotations!$BU$4)</f>
        <v/>
      </c>
      <c r="JT44" s="294" t="str">
        <f t="shared" si="300"/>
        <v/>
      </c>
      <c r="JU44" s="919" t="str">
        <f>IF(A44=FALSE,"",((JG44*TAXE)-(JG44*TAXE*JI44))+IF(JM44="N/A",0,IF(INDEX(LISTES!$F$105:$F$109,MATCH(JM44,LISTES!$C$105:$C$109,0))="FIX",JN44,JO44*JL44)))</f>
        <v/>
      </c>
      <c r="KA44" s="492" t="str">
        <f>IF(A44=FALSE,"",Cotations!D44)</f>
        <v/>
      </c>
      <c r="KB44" s="491" t="str">
        <f>IF(A44=FALSE,"",IF(LISTES!$A$17=1,Cotations!BJ44,Cotations!BK44))</f>
        <v/>
      </c>
      <c r="KC44" s="285" t="str">
        <f t="shared" si="301"/>
        <v/>
      </c>
      <c r="KD44" s="300"/>
      <c r="KE44" s="461" t="str">
        <f t="shared" si="302"/>
        <v/>
      </c>
      <c r="KF44" s="490" t="str">
        <f>IF(A44=FALSE,"",IF(KA44="POEA",Cotations!BM44,IF(KA44="FIXE",Cotations!BN44,IF(Cotations!BO44*Y44&lt;50000,Z44,Cotations!BO44*Y44))))</f>
        <v/>
      </c>
      <c r="KG44" s="300" t="str">
        <f t="shared" si="303"/>
        <v/>
      </c>
      <c r="KH44" s="522" t="str">
        <f>IF(A44=FALSE,"",IF(Cotations!BL44="monthly",KG44/12*L44,KG44/365*M44))</f>
        <v/>
      </c>
      <c r="KI44" s="489" t="str">
        <f>IF(A44=FALSE,"",IF(Cotations!BP44="","",Cotations!BP44))</f>
        <v/>
      </c>
      <c r="KJ44" s="300" t="str">
        <f t="shared" si="304"/>
        <v/>
      </c>
      <c r="KK44" s="300" t="str">
        <f t="shared" si="305"/>
        <v/>
      </c>
      <c r="KL44" s="919" t="str">
        <f t="shared" si="306"/>
        <v/>
      </c>
      <c r="KM44" s="517" t="str">
        <f>IF(A44=FALSE,"",Cotations!BQ44)</f>
        <v/>
      </c>
      <c r="KN44" s="515" t="str">
        <f>IF(A44=FALSE,"",Cotations!BR44)</f>
        <v/>
      </c>
      <c r="KO44" s="493" t="str">
        <f>IF(A44=FALSE,"",Cotations!BS44)</f>
        <v/>
      </c>
      <c r="KP44" s="517" t="str">
        <f>IF(A44=FALSE,"",IF(KM44="N/A",0,IF(INDEX(LISTES!$F$105:$F$109,MATCH(KM44,LISTES!$C$105:$C$109,0))="FIX",IF(INDEX(LISTES!$E$105:$E$109,MATCH(KM44,LISTES!$C$105:$C$109,0))=12,KN44/12*L44,KN44/365*M44),KO44*KL44)))</f>
        <v/>
      </c>
      <c r="KQ44" s="294" t="str">
        <f t="shared" si="307"/>
        <v/>
      </c>
      <c r="KR44" s="494" t="str">
        <f>IF(A44=FALSE,"",KQ44*Cotations!BT44)</f>
        <v/>
      </c>
      <c r="KS44" s="494" t="str">
        <f>IF(A44=FALSE,"",KQ44*Cotations!BU44)</f>
        <v/>
      </c>
      <c r="KT44" s="338" t="str">
        <f t="shared" si="308"/>
        <v/>
      </c>
      <c r="KU44" s="919" t="str">
        <f>IF(A44=FALSE,"",((KG44*TAXE)-(KG44*TAXE*KI44))+IF(KM44="N/A",0,IF(INDEX(LISTES!$F$105:$F$109,MATCH(KM44,LISTES!$C$105:$C$109,0))="FIX",KN44,KO44*KL44)))</f>
        <v/>
      </c>
      <c r="LA44" s="497" t="str">
        <f>IF(A44=FALSE,"",Cotations!D44)</f>
        <v/>
      </c>
      <c r="LB44" s="498" t="str">
        <f>IF(A44=FALSE,"",IF(LISTES!$A$17=1,Cotations!BV44,Cotations!$BW$4))</f>
        <v/>
      </c>
      <c r="LC44" s="499" t="str">
        <f t="shared" si="309"/>
        <v/>
      </c>
      <c r="LD44" s="499" t="str">
        <f t="shared" si="310"/>
        <v/>
      </c>
      <c r="LE44" s="500" t="str">
        <f t="shared" si="311"/>
        <v/>
      </c>
      <c r="LF44" s="501" t="str">
        <f>IF(A44=FALSE,"",IF(LA44="POEA",Cotations!EJ44,IF(LA44="FIXE",Cotations!$BY$4,Cotations!$CA$4*Y44)))</f>
        <v/>
      </c>
      <c r="LG44" s="502" t="str">
        <f t="shared" si="312"/>
        <v/>
      </c>
      <c r="LH44" s="520" t="str">
        <f>IF(A44=FALSE,"",IF(Cotations!$BX$4="monthly",LG44/12*L44,LG44/365*M44))</f>
        <v/>
      </c>
      <c r="LI44" s="503" t="str">
        <f>IF(A44=FALSE,"",Cotations!$CB$4)</f>
        <v/>
      </c>
      <c r="LJ44" s="502" t="str">
        <f t="shared" si="313"/>
        <v/>
      </c>
      <c r="LK44" s="502" t="str">
        <f t="shared" si="314"/>
        <v/>
      </c>
      <c r="LL44" s="504" t="str">
        <f t="shared" si="315"/>
        <v/>
      </c>
      <c r="LM44" s="505" t="str">
        <f>IF(A44=FALSE,"",Cotations!$CC$4)</f>
        <v/>
      </c>
      <c r="LN44" s="503" t="str">
        <f>IF(A44=FALSE,"",Cotations!$CD$4)</f>
        <v/>
      </c>
      <c r="LO44" s="503" t="str">
        <f>IF(A44=FALSE,"",Cotations!$CE$4)</f>
        <v/>
      </c>
      <c r="LP44" s="505" t="str">
        <f>IF(A44=FALSE,"",IF(LM44="N/A",0,IF(INDEX(LISTES!$F$105:$F$109,MATCH(LM44,LISTES!$C$105:$C$109,0))="FIX",IF(INDEX(LISTES!$E$105:$E$109,MATCH(LM44,LISTES!$C$105:$C$109,0))=12,LN44/12*L44,LN44/365*M44),LO44*LL44)))</f>
        <v/>
      </c>
      <c r="LQ44" s="504" t="str">
        <f t="shared" si="316"/>
        <v/>
      </c>
      <c r="LR44" s="505" t="str">
        <f>IF(A44=FALSE,"",LQ44*Cotations!$CF$4)</f>
        <v/>
      </c>
      <c r="LS44" s="505" t="str">
        <f>IF(A44=FALSE,"",LQ44*Cotations!$CG$4)</f>
        <v/>
      </c>
      <c r="LT44" s="506" t="str">
        <f t="shared" si="317"/>
        <v/>
      </c>
      <c r="LU44" s="919" t="str">
        <f>IF(A44=FALSE,"",((LG44*TAXE)-(LG44*TAXE*LI44))+IF(LM44="N/A",0,IF(INDEX(LISTES!$F$105:$F$109,MATCH(LM44,LISTES!$C$105:$C$109,0))="FIX",LN44,LO44*LL44)))</f>
        <v/>
      </c>
      <c r="MA44" s="492" t="str">
        <f>IF(A44=FALSE,"",Cotations!D44)</f>
        <v/>
      </c>
      <c r="MB44" s="491" t="str">
        <f>IF(A44=FALSE,"",IF(LISTES!$A$17=1,Cotations!BV44,Cotations!BW44))</f>
        <v/>
      </c>
      <c r="MC44" s="285" t="str">
        <f t="shared" si="318"/>
        <v/>
      </c>
      <c r="MD44" s="300"/>
      <c r="ME44" s="461" t="str">
        <f t="shared" si="319"/>
        <v/>
      </c>
      <c r="MF44" s="490" t="str">
        <f>IF(A44=FALSE,"",IF(MA44="POEA",Cotations!BY44,IF(MA44="FIXE",Cotations!BZ44,IF(Cotations!CA44*Y44&lt;50000,Z44,Cotations!CA44*Y44))))</f>
        <v/>
      </c>
      <c r="MG44" s="300" t="str">
        <f t="shared" si="320"/>
        <v/>
      </c>
      <c r="MH44" s="522" t="str">
        <f>IF(A44=FALSE,"",IF(Cotations!BX44="monthly",MG44/12*L44,MG44/365*M44))</f>
        <v/>
      </c>
      <c r="MI44" s="489" t="str">
        <f>IF(A44=FALSE,"",IF(Cotations!CB44="","",Cotations!CB44))</f>
        <v/>
      </c>
      <c r="MJ44" s="300" t="str">
        <f t="shared" si="321"/>
        <v/>
      </c>
      <c r="MK44" s="300" t="str">
        <f t="shared" si="322"/>
        <v/>
      </c>
      <c r="ML44" s="919" t="str">
        <f t="shared" si="323"/>
        <v/>
      </c>
      <c r="MM44" s="517" t="str">
        <f>IF(A44=FALSE,"",Cotations!CC44)</f>
        <v/>
      </c>
      <c r="MN44" s="515" t="str">
        <f>IF(A44=FALSE,"",Cotations!CD44)</f>
        <v/>
      </c>
      <c r="MO44" s="493" t="str">
        <f>IF(A44=FALSE,"",Cotations!CE44)</f>
        <v/>
      </c>
      <c r="MP44" s="517" t="str">
        <f>IF(A44=FALSE,"",IF(MM44="N/A",0,IF(INDEX(LISTES!$F$105:$F$109,MATCH(MM44,LISTES!$C$105:$C$109,0))="FIX",IF(INDEX(LISTES!$E$105:$E$109,MATCH(MM44,LISTES!$C$105:$C$109,0))=12,MN44/12*L44,MN44/365*M44),MO44*ML44)))</f>
        <v/>
      </c>
      <c r="MQ44" s="294" t="str">
        <f t="shared" si="324"/>
        <v/>
      </c>
      <c r="MR44" s="494" t="str">
        <f>IF(A44=FALSE,"",MQ44*Cotations!CF44)</f>
        <v/>
      </c>
      <c r="MS44" s="494" t="str">
        <f>IF(A44=FALSE,"",MQ44*Cotations!CG44)</f>
        <v/>
      </c>
      <c r="MT44" s="338" t="str">
        <f t="shared" si="325"/>
        <v/>
      </c>
      <c r="MU44" s="919" t="str">
        <f>IF(A44=FALSE,"",((MG44*TAXE)-(MG44*TAXE*MI44))+IF(MM44="N/A",0,IF(INDEX(LISTES!$F$105:$F$109,MATCH(MM44,LISTES!$C$105:$C$109,0))="FIX",MN44,MO44*ML44)))</f>
        <v/>
      </c>
      <c r="NA44" s="497" t="str">
        <f>IF(A44=FALSE,"",Cotations!D44)</f>
        <v/>
      </c>
      <c r="NB44" s="498" t="str">
        <f>IF(A44=FALSE,"",IF(LISTES!$A$17=1,Cotations!CH44,Cotations!$CI$4))</f>
        <v/>
      </c>
      <c r="NC44" s="499" t="str">
        <f t="shared" si="326"/>
        <v/>
      </c>
      <c r="ND44" s="499" t="str">
        <f t="shared" si="327"/>
        <v/>
      </c>
      <c r="NE44" s="500" t="str">
        <f t="shared" si="328"/>
        <v/>
      </c>
      <c r="NF44" s="501" t="str">
        <f>IF(A44=FALSE,"",IF(NA44="POEA",Cotations!CK44,IF(NA44="FIXE",Cotations!$CK$4,Cotations!$CM$4*Y44)))</f>
        <v/>
      </c>
      <c r="NG44" s="502" t="str">
        <f t="shared" si="329"/>
        <v/>
      </c>
      <c r="NH44" s="520" t="str">
        <f>IF(A44=FALSE,"",IF(Cotations!$CJ$4="monthly",NG44/12*L44,NG44/365*M44))</f>
        <v/>
      </c>
      <c r="NI44" s="503" t="str">
        <f>IF(A44=FALSE,"",Cotations!$CN$4)</f>
        <v/>
      </c>
      <c r="NJ44" s="502" t="str">
        <f t="shared" si="330"/>
        <v/>
      </c>
      <c r="NK44" s="502" t="str">
        <f t="shared" si="331"/>
        <v/>
      </c>
      <c r="NL44" s="504" t="str">
        <f t="shared" si="332"/>
        <v/>
      </c>
      <c r="NM44" s="505" t="str">
        <f>IF(A44=FALSE,"",Cotations!$CO$4)</f>
        <v/>
      </c>
      <c r="NN44" s="520" t="str">
        <f>IF(A44=FALSE,"",Cotations!$CP$4)</f>
        <v/>
      </c>
      <c r="NO44" s="503" t="str">
        <f>IF(A44=FALSE,"",Cotations!$CQ$4)</f>
        <v/>
      </c>
      <c r="NP44" s="505" t="str">
        <f>IF(A44=FALSE,"",IF(NM44="N/A",0,IF(INDEX(LISTES!$F$105:$F$109,MATCH(NM44,LISTES!$C$105:$C$109,0))="FIX",IF(INDEX(LISTES!$E$105:$E$109,MATCH(NM44,LISTES!$C$105:$C$109,0))=12,NN44/12*L44,NN44/365*M44),NO44*NL44)))</f>
        <v/>
      </c>
      <c r="NQ44" s="504" t="str">
        <f t="shared" si="333"/>
        <v/>
      </c>
      <c r="NR44" s="505" t="str">
        <f>IF(A44=FALSE,"",NQ44*Cotations!$CR$4)</f>
        <v/>
      </c>
      <c r="NS44" s="505" t="str">
        <f>IF(A44=FALSE,"",NQ44*Cotations!$CS$4)</f>
        <v/>
      </c>
      <c r="NT44" s="506" t="str">
        <f t="shared" si="334"/>
        <v/>
      </c>
      <c r="NU44" s="919" t="str">
        <f>IF(A44=FALSE,"",((NG44*TAXE)-(NG44*TAXE*NI44))+IF(NM44="N/A",0,IF(INDEX(LISTES!$F$105:$F$109,MATCH(NM44,LISTES!$C$105:$C$109,0))="FIX",NN44,NO44*NL44)))</f>
        <v/>
      </c>
      <c r="OA44" s="492" t="str">
        <f>IF(A44=FALSE,"",Cotations!D44)</f>
        <v/>
      </c>
      <c r="OB44" s="491" t="str">
        <f>IF(A44=FALSE,"",IF(LISTES!$A$17=1,Cotations!CH44,Cotations!CI44))</f>
        <v/>
      </c>
      <c r="OC44" s="285" t="str">
        <f t="shared" si="335"/>
        <v/>
      </c>
      <c r="OD44" s="300"/>
      <c r="OE44" s="461" t="str">
        <f t="shared" si="336"/>
        <v/>
      </c>
      <c r="OF44" s="490" t="str">
        <f>IF(A44=FALSE,"",IF(OA44="POEA",Cotations!CK44,IF(OA44="FIXE",Cotations!CL44,IF(Cotations!CM44*Y44&lt;50000,Z44,Cotations!CM44*Y44))))</f>
        <v/>
      </c>
      <c r="OG44" s="300" t="str">
        <f t="shared" si="337"/>
        <v/>
      </c>
      <c r="OH44" s="522" t="str">
        <f>IF(A44=FALSE,"",IF(Cotations!CJ44="monthly",OG44/12*L44,OG44/365*M44))</f>
        <v/>
      </c>
      <c r="OI44" s="489" t="str">
        <f>IF(A44=FALSE,"",IF(Cotations!CN44="","",Cotations!CN44))</f>
        <v/>
      </c>
      <c r="OJ44" s="300" t="str">
        <f t="shared" si="338"/>
        <v/>
      </c>
      <c r="OK44" s="300" t="str">
        <f t="shared" si="339"/>
        <v/>
      </c>
      <c r="OL44" s="919" t="str">
        <f t="shared" si="340"/>
        <v/>
      </c>
      <c r="OM44" s="517" t="str">
        <f>IF(A44=FALSE,"",Cotations!CO44)</f>
        <v/>
      </c>
      <c r="ON44" s="515" t="str">
        <f>IF(A44=FALSE,"",Cotations!CP44)</f>
        <v/>
      </c>
      <c r="OO44" s="493" t="str">
        <f>IF(A44=FALSE,"",Cotations!CQ44)</f>
        <v/>
      </c>
      <c r="OP44" s="517" t="str">
        <f>IF(A44=FALSE,"",IF(OM44="N/A",0,IF(INDEX(LISTES!$F$105:$F$109,MATCH(OM44,LISTES!$C$105:$C$109,0))="FIX",IF(INDEX(LISTES!$E$105:$E$109,MATCH(OM44,LISTES!$C$105:$C$109,0))=12,ON44/12*L44,ON44/365*M44),OO44*OL44)))</f>
        <v/>
      </c>
      <c r="OQ44" s="294" t="str">
        <f t="shared" si="341"/>
        <v/>
      </c>
      <c r="OR44" s="494" t="str">
        <f>IF(A44=FALSE,"",OQ44*Cotations!CR44)</f>
        <v/>
      </c>
      <c r="OS44" s="494" t="str">
        <f>IF(A44=FALSE,"",OQ44*Cotations!CS44)</f>
        <v/>
      </c>
      <c r="OT44" s="338" t="str">
        <f t="shared" si="342"/>
        <v/>
      </c>
      <c r="OU44" s="919" t="str">
        <f>IF(A44=FALSE,"",((OG44*TAXE)-(OG44*TAXE*OI44))+IF(OM44="N/A",0,IF(INDEX(LISTES!$F$105:$F$109,MATCH(OM44,LISTES!$C$105:$C$109,0))="FIX",ON44,OO44*OL44)))</f>
        <v/>
      </c>
      <c r="PA44" s="497" t="str">
        <f t="shared" si="343"/>
        <v/>
      </c>
      <c r="PB44" s="498" t="str">
        <f>IF(A44=FALSE,"",IF(LISTES!$A$17=1,Cotations!CT44,Cotations!$CU$4))</f>
        <v/>
      </c>
      <c r="PC44" s="499" t="str">
        <f t="shared" si="344"/>
        <v/>
      </c>
      <c r="PD44" s="499" t="str">
        <f t="shared" si="345"/>
        <v/>
      </c>
      <c r="PE44" s="500" t="str">
        <f t="shared" si="346"/>
        <v/>
      </c>
      <c r="PF44" s="501" t="str">
        <f>IF(A44=FALSE,"",Cotations!$CY$4*Y44)</f>
        <v/>
      </c>
      <c r="PG44" s="502" t="str">
        <f t="shared" si="347"/>
        <v/>
      </c>
      <c r="PH44" s="520" t="str">
        <f>IF(A44=FALSE,"",IF(Cotations!$CV$4="monthly",PG44/12*L44,PG44/365*M44))</f>
        <v/>
      </c>
      <c r="PI44" s="503" t="str">
        <f>IF(A44=FALSE,"",Cotations!$CZ$4)</f>
        <v/>
      </c>
      <c r="PJ44" s="502" t="str">
        <f t="shared" si="348"/>
        <v/>
      </c>
      <c r="PK44" s="502" t="str">
        <f t="shared" si="349"/>
        <v/>
      </c>
      <c r="PL44" s="504" t="str">
        <f t="shared" si="350"/>
        <v/>
      </c>
      <c r="PM44" s="505" t="str">
        <f>IF(A44=FALSE,"",Cotations!$DA$4)</f>
        <v/>
      </c>
      <c r="PN44" s="520" t="str">
        <f>IF(A44=FALSE,"",Cotations!$DB$4)</f>
        <v/>
      </c>
      <c r="PO44" s="503" t="str">
        <f>IF(A44=FALSE,"",Cotations!$DC$4)</f>
        <v/>
      </c>
      <c r="PP44" s="505" t="str">
        <f>IF(A44=FALSE,"",IF(PM44="N/A",0,IF(INDEX(LISTES!$F$105:$F$109,MATCH(PM44,LISTES!$C$105:$C$109,0))="FIX",IF(INDEX(LISTES!$E$105:$E$109,MATCH(PM44,LISTES!$C$105:$C$109,0))=12,PN44/12*L44,PN44/365*M44),PO44*PL44)))</f>
        <v/>
      </c>
      <c r="PQ44" s="504" t="str">
        <f t="shared" si="351"/>
        <v/>
      </c>
      <c r="PR44" s="505" t="str">
        <f>IF(A44=FALSE,"",PQ44*Cotations!$DD$4)</f>
        <v/>
      </c>
      <c r="PS44" s="505" t="str">
        <f>IF(A44=FALSE,"",PQ44*Cotations!$DE$4)</f>
        <v/>
      </c>
      <c r="PT44" s="506" t="str">
        <f t="shared" si="352"/>
        <v/>
      </c>
      <c r="PU44" s="919" t="str">
        <f>IF(A44=FALSE,"",((PG44*TAXE)-(PG44*TAXE*PI44))+IF(PM44="N/A",0,IF(INDEX(LISTES!$F$105:$F$109,MATCH(PM44,LISTES!$C$105:$C$109,0))="FIX",PN44,PO44*PL44)))</f>
        <v/>
      </c>
      <c r="QA44" s="492" t="str">
        <f t="shared" si="353"/>
        <v/>
      </c>
      <c r="QB44" s="491" t="str">
        <f>IF(A44=FALSE,"",IF(LISTES!$A$17=1,Cotations!CT44,Cotations!CU44))</f>
        <v/>
      </c>
      <c r="QC44" s="285" t="str">
        <f t="shared" si="354"/>
        <v/>
      </c>
      <c r="QD44" s="300"/>
      <c r="QE44" s="461" t="str">
        <f t="shared" si="355"/>
        <v/>
      </c>
      <c r="QF44" s="490" t="str">
        <f>IF(A44=FALSE,"",Cotations!CY44*AA44)</f>
        <v/>
      </c>
      <c r="QG44" s="300" t="str">
        <f t="shared" si="356"/>
        <v/>
      </c>
      <c r="QH44" s="522" t="str">
        <f>IF(A44=FALSE,"",IF(Cotations!CV44="monthly",QG44/12*L44,QG44/365*M44))</f>
        <v/>
      </c>
      <c r="QI44" s="489" t="str">
        <f>IF(A44=FALSE,"",IF(Cotations!CZ44="","",Cotations!CZ44))</f>
        <v/>
      </c>
      <c r="QJ44" s="300" t="str">
        <f t="shared" si="357"/>
        <v/>
      </c>
      <c r="QK44" s="300" t="str">
        <f t="shared" si="358"/>
        <v/>
      </c>
      <c r="QL44" s="919" t="str">
        <f t="shared" si="359"/>
        <v/>
      </c>
      <c r="QM44" s="517" t="str">
        <f>IF(A44=FALSE,"",Cotations!DA44)</f>
        <v/>
      </c>
      <c r="QN44" s="515" t="str">
        <f>IF(A44=FALSE,"",Cotations!DB44)</f>
        <v/>
      </c>
      <c r="QO44" s="493" t="str">
        <f>IF(A44=FALSE,"",Cotations!DC44)</f>
        <v/>
      </c>
      <c r="QP44" s="517" t="str">
        <f>IF(A44=FALSE,"",IF(QM44="N/A",0,IF(INDEX(LISTES!$F$105:$F$109,MATCH(QM44,LISTES!$C$105:$C$109,0))="FIX",IF(INDEX(LISTES!$E$105:$E$109,MATCH(QM44,LISTES!$C$105:$C$109,0))=12,QN44/12*L44,QN44/365*M44),QO44*QL44)))</f>
        <v/>
      </c>
      <c r="QQ44" s="294" t="str">
        <f t="shared" si="360"/>
        <v/>
      </c>
      <c r="QR44" s="494" t="str">
        <f>IF(A44=FALSE,"",QQ44*Cotations!DD44)</f>
        <v/>
      </c>
      <c r="QS44" s="494" t="str">
        <f>IF(A44=FALSE,"",QQ44*Cotations!DE44)</f>
        <v/>
      </c>
      <c r="QT44" s="338" t="str">
        <f t="shared" si="361"/>
        <v/>
      </c>
      <c r="QU44" s="919" t="str">
        <f>IF(A44=FALSE,"",((QG44*TAXE)-(QG44*TAXE*QI44))+IF(QM44="N/A",0,IF(INDEX(LISTES!$F$105:$F$109,MATCH(QM44,LISTES!$C$105:$C$109,0))="FIX",QN44,QO44*QL44)))</f>
        <v/>
      </c>
      <c r="RA44" s="497" t="str">
        <f t="shared" si="362"/>
        <v/>
      </c>
      <c r="RB44" s="498" t="str">
        <f>IF(A44=FALSE,"",IF(LISTES!$A$17=1,Cotations!DF44,Cotations!$DG$4))</f>
        <v/>
      </c>
      <c r="RC44" s="499" t="str">
        <f t="shared" si="363"/>
        <v/>
      </c>
      <c r="RD44" s="499" t="str">
        <f t="shared" si="364"/>
        <v/>
      </c>
      <c r="RE44" s="500" t="str">
        <f t="shared" si="365"/>
        <v/>
      </c>
      <c r="RF44" s="501" t="str">
        <f>IF(A44=FALSE,"",Cotations!$DK$4*Y44)</f>
        <v/>
      </c>
      <c r="RG44" s="502" t="str">
        <f t="shared" si="366"/>
        <v/>
      </c>
      <c r="RH44" s="520" t="str">
        <f>IF(A44=FALSE,"",IF(Cotations!$DH$4="monthly",RG44/12*L44,RG44/365*M44))</f>
        <v/>
      </c>
      <c r="RI44" s="503" t="str">
        <f>IF(A44=FALSE,"",Cotations!$DL$4)</f>
        <v/>
      </c>
      <c r="RJ44" s="502" t="str">
        <f t="shared" si="367"/>
        <v/>
      </c>
      <c r="RK44" s="502" t="str">
        <f t="shared" si="368"/>
        <v/>
      </c>
      <c r="RL44" s="504" t="str">
        <f t="shared" si="369"/>
        <v/>
      </c>
      <c r="RM44" s="505" t="str">
        <f>IF(A44=FALSE,"",Cotations!$DM$4)</f>
        <v/>
      </c>
      <c r="RN44" s="520" t="str">
        <f>IF(A44=FALSE,"",Cotations!$DN$4)</f>
        <v/>
      </c>
      <c r="RO44" s="503" t="str">
        <f>IF(A44=FALSE,"",Cotations!$DO$4)</f>
        <v/>
      </c>
      <c r="RP44" s="505" t="str">
        <f>IF(A44=FALSE,"",IF(RM44="N/A",0,IF(INDEX(LISTES!$F$105:$F$109,MATCH(RM44,LISTES!$C$105:$C$109,0))="FIX",IF(INDEX(LISTES!$E$105:$E$109,MATCH(RM44,LISTES!$C$105:$C$109,0))=12,RN44/12*L44,RN44/365*M44),RO44*RL44)))</f>
        <v/>
      </c>
      <c r="RQ44" s="504" t="str">
        <f t="shared" si="370"/>
        <v/>
      </c>
      <c r="RR44" s="505" t="str">
        <f>IF(A44=FALSE,"",RQ44*Cotations!$DP$4)</f>
        <v/>
      </c>
      <c r="RS44" s="505" t="str">
        <f>IF(A44=FALSE,"",RQ44*Cotations!$DQ$4)</f>
        <v/>
      </c>
      <c r="RT44" s="506" t="str">
        <f t="shared" si="371"/>
        <v/>
      </c>
      <c r="RU44" s="919" t="str">
        <f>IF(A44=FALSE,"",((RG44*TAXE)-(RG44*TAXE*RI44))+IF(RM44="N/A",0,IF(INDEX(LISTES!$F$105:$F$109,MATCH(RM44,LISTES!$C$105:$C$109,0))="FIX",RN44,RO44*RL44)))</f>
        <v/>
      </c>
      <c r="SA44" s="492" t="str">
        <f t="shared" si="372"/>
        <v/>
      </c>
      <c r="SB44" s="491" t="str">
        <f>IF(A44=FALSE,"",IF(LISTES!$A$17=1,Cotations!DF44,Cotations!DG44))</f>
        <v/>
      </c>
      <c r="SC44" s="285" t="str">
        <f t="shared" si="373"/>
        <v/>
      </c>
      <c r="SD44" s="300"/>
      <c r="SE44" s="461" t="str">
        <f t="shared" si="374"/>
        <v/>
      </c>
      <c r="SF44" s="490" t="str">
        <f>IF(A44=FALSE,"",Cotations!DK44*AA44)</f>
        <v/>
      </c>
      <c r="SG44" s="300" t="str">
        <f t="shared" si="375"/>
        <v/>
      </c>
      <c r="SH44" s="522" t="str">
        <f>IF(A44=FALSE,"",IF(Cotations!DH44="monthly",SG44/12*L44,SG44/365*M44))</f>
        <v/>
      </c>
      <c r="SI44" s="489" t="str">
        <f>IF(A44=FALSE,"",IF(Cotations!DL44="","",Cotations!DL44))</f>
        <v/>
      </c>
      <c r="SJ44" s="300" t="str">
        <f t="shared" si="376"/>
        <v/>
      </c>
      <c r="SK44" s="300" t="str">
        <f t="shared" si="377"/>
        <v/>
      </c>
      <c r="SL44" s="919" t="str">
        <f t="shared" si="378"/>
        <v/>
      </c>
      <c r="SM44" s="285" t="str">
        <f>IF(A44=FALSE,"",Cotations!DM44)</f>
        <v/>
      </c>
      <c r="SN44" s="515" t="str">
        <f>IF(A44=FALSE,"",Cotations!DN44)</f>
        <v/>
      </c>
      <c r="SO44" s="493" t="str">
        <f>IF(A44=FALSE,"",Cotations!DO44)</f>
        <v/>
      </c>
      <c r="SP44" s="517" t="str">
        <f>IF(A44=FALSE,"",IF(SM44="N/A",0,IF(INDEX(LISTES!$F$105:$F$109,MATCH(SM44,LISTES!$C$105:$C$109,0))="FIX",IF(INDEX(LISTES!$E$105:$E$109,MATCH(SM44,LISTES!$C$105:$C$109,0))=12,SN44/12*L44,SN44/365*M44),SO44*SL44)))</f>
        <v/>
      </c>
      <c r="SQ44" s="294" t="str">
        <f t="shared" si="379"/>
        <v/>
      </c>
      <c r="SR44" s="494" t="str">
        <f>IF(A44=FALSE,"",SQ44*Cotations!DP44)</f>
        <v/>
      </c>
      <c r="SS44" s="494" t="str">
        <f>IF(A44=FALSE,"",SQ44*Cotations!DQ44)</f>
        <v/>
      </c>
      <c r="ST44" s="338" t="str">
        <f t="shared" si="380"/>
        <v/>
      </c>
      <c r="SU44" s="919" t="str">
        <f>IF(A44=FALSE,"",((SG44*TAXE)-(SG44*TAXE*SI44))+IF(SM44="N/A",0,IF(INDEX(LISTES!$F$105:$F$109,MATCH(SM44,LISTES!$C$105:$C$109,0))="FIX",SN44,SO44*SL44)))</f>
        <v/>
      </c>
      <c r="TA44" s="492" t="str">
        <f>IF(A44=FALSE,"",Cotations!D44)</f>
        <v/>
      </c>
      <c r="TB44" s="491" t="str">
        <f>IF(A44=FALSE,"",IF(LISTES!$A$17=1,Cotations!DR44,Cotations!DS44))</f>
        <v/>
      </c>
      <c r="TC44" s="285" t="str">
        <f t="shared" si="381"/>
        <v/>
      </c>
      <c r="TD44" s="300" t="str">
        <f>IF(A44=FALSE,"",Detail!CQ44)</f>
        <v/>
      </c>
      <c r="TE44" s="461" t="str">
        <f t="shared" si="382"/>
        <v/>
      </c>
      <c r="TF44" s="490" t="str">
        <f>IF(A44=FALSE,"",IF(TA44="FIXE",Cotations!DU44,Cotations!DV44*Y44))</f>
        <v/>
      </c>
      <c r="TG44" s="300" t="str">
        <f t="shared" si="383"/>
        <v/>
      </c>
      <c r="TH44" s="522" t="str">
        <f>IF(A44=FALSE,"",IF(Cotations!DT44="monthly",TG44/12*L44,TG44/365*M44))</f>
        <v/>
      </c>
      <c r="TI44" s="489" t="str">
        <f>IF(A44=FALSE,"",IF(Cotations!DW44="","",Cotations!DW44))</f>
        <v/>
      </c>
      <c r="TJ44" s="300" t="str">
        <f t="shared" si="384"/>
        <v/>
      </c>
      <c r="TK44" s="300" t="str">
        <f t="shared" si="385"/>
        <v/>
      </c>
      <c r="TL44" s="919" t="str">
        <f t="shared" si="386"/>
        <v/>
      </c>
      <c r="TM44" s="517" t="str">
        <f>IF(A44=FALSE,"",Cotations!DX44)</f>
        <v/>
      </c>
      <c r="TN44" s="517" t="str">
        <f>IF(A44=FALSE,"",Cotations!DY44)</f>
        <v/>
      </c>
      <c r="TO44" s="493" t="str">
        <f>IF(A44=FALSE,"",Cotations!DZ44)</f>
        <v/>
      </c>
      <c r="TP44" s="517" t="str">
        <f>IF(A44=FALSE,"",IF(TM44="N/A",0,IF(INDEX(LISTES!$F$105:$F$109,MATCH(TM44,LISTES!$C$105:$C$109,0))="FIX",IF(INDEX(LISTES!$E$105:$E$109,MATCH(TM44,LISTES!$C$105:$C$109,0))=12,TN44/12*L44,TN44/365*M44),TO44*TL44)))</f>
        <v/>
      </c>
      <c r="TQ44" s="294" t="str">
        <f t="shared" si="387"/>
        <v/>
      </c>
      <c r="TR44" s="494" t="str">
        <f>IF(A44=FALSE,"",TQ44*Cotations!EA44)</f>
        <v/>
      </c>
      <c r="TS44" s="494" t="str">
        <f>IF(A44=FALSE,"",TQ44*Cotations!EB44)</f>
        <v/>
      </c>
      <c r="TT44" s="338" t="str">
        <f t="shared" si="388"/>
        <v/>
      </c>
      <c r="TU44" s="919" t="str">
        <f>IF(A44=FALSE,"",((TG44*(1+TAXE)-(TG44*(1+TAXE)*TI44))+IF(TM44="N/A",0,IF(INDEX(LISTES!$F$105:$F$109,MATCH(TM44,LISTES!$C$105:$C$109,0))="FIX",TN44,TO44*TL44))))</f>
        <v/>
      </c>
      <c r="UA44" s="492" t="str">
        <f>IF(A44=FALSE,"",Cotations!D44)</f>
        <v/>
      </c>
      <c r="UB44" s="491" t="str">
        <f>IF(A44=FALSE,"",IF(LISTES!$A$17=1,Cotations!EC44,Cotations!ED44))</f>
        <v/>
      </c>
      <c r="UC44" s="285" t="str">
        <f t="shared" si="389"/>
        <v/>
      </c>
      <c r="UD44" s="300" t="str">
        <f>IF(A44=FALSE,"",Detail!CY44)</f>
        <v/>
      </c>
      <c r="UE44" s="461" t="str">
        <f t="shared" si="390"/>
        <v/>
      </c>
      <c r="UF44" s="490" t="str">
        <f>IF(A44=FALSE,"",IF(UA44="FIXE",Cotations!EF44,Cotations!EG44*Y44))</f>
        <v/>
      </c>
      <c r="UG44" s="300" t="str">
        <f t="shared" si="391"/>
        <v/>
      </c>
      <c r="UH44" s="522" t="str">
        <f>IF(A44=FALSE,"",IF(Cotations!EE44="monthly",UG44/12*L44,UG44/365*M44))</f>
        <v/>
      </c>
      <c r="UI44" s="489" t="str">
        <f>IF(A44=FALSE,"",IF(Cotations!EH44="","",Cotations!EH44))</f>
        <v/>
      </c>
      <c r="UJ44" s="300" t="str">
        <f t="shared" si="392"/>
        <v/>
      </c>
      <c r="UK44" s="300" t="str">
        <f t="shared" si="393"/>
        <v/>
      </c>
      <c r="UL44" s="919" t="str">
        <f t="shared" si="394"/>
        <v/>
      </c>
      <c r="UM44" s="517" t="str">
        <f>IF(A44=FALSE,"",Cotations!EI44)</f>
        <v/>
      </c>
      <c r="UN44" s="517" t="str">
        <f>IF(A44=FALSE,"",Cotations!EJ44)</f>
        <v/>
      </c>
      <c r="UO44" s="493" t="str">
        <f>IF(A44=FALSE,"",Cotations!EK44)</f>
        <v/>
      </c>
      <c r="UP44" s="517" t="str">
        <f>IF(A44=FALSE,"",IF(UM44="N/A",0,IF(INDEX(LISTES!$F$105:$F$109,MATCH(UM44,LISTES!$C$105:$C$109,0))="FIX",IF(INDEX(LISTES!$E$105:$E$109,MATCH(UM44,LISTES!$C$105:$C$109,0))=12,UN44/12*L44,UN44/365*M44),UO44*UL44)))</f>
        <v/>
      </c>
      <c r="UQ44" s="294" t="str">
        <f t="shared" si="395"/>
        <v/>
      </c>
      <c r="UR44" s="494" t="str">
        <f>IF(A44=FALSE,"",UQ44*Cotations!EL44)</f>
        <v/>
      </c>
      <c r="US44" s="494" t="str">
        <f>IF(A44=FALSE,"",UQ44*Cotations!EM44)</f>
        <v/>
      </c>
      <c r="UT44" s="338" t="str">
        <f t="shared" si="396"/>
        <v/>
      </c>
      <c r="UU44" s="919" t="str">
        <f>IF(A44=FALSE,"",((UG44*(1+TAXE)-(UG44*(1+TAXE)*UI44))+IF(UM44="N/A",0,IF(INDEX(LISTES!$F$105:$F$109,MATCH(UM44,LISTES!$C$105:$C$109,0))="FIX",UN44,UO44*UL44))))</f>
        <v/>
      </c>
      <c r="VA44" s="492" t="str">
        <f>IF(A44=FALSE,"",Cotations!D44)</f>
        <v/>
      </c>
      <c r="VB44" s="519" t="str">
        <f>IF(A44=FALSE,"",IF(LISTES!$A$17=1,Cotations!EN44,Cotations!EO44))</f>
        <v/>
      </c>
      <c r="VC44" s="291" t="str">
        <f t="shared" si="397"/>
        <v/>
      </c>
      <c r="VD44" s="291" t="str">
        <f t="shared" si="398"/>
        <v/>
      </c>
      <c r="VE44" s="291"/>
      <c r="VF44" s="463"/>
      <c r="VG44" s="463" t="str">
        <f t="shared" si="399"/>
        <v/>
      </c>
      <c r="VH44" s="522" t="str">
        <f>IF(A44=FALSE,"",IF(Cotations!$AQ$4="monthly",VG44/12*L44,VG44/365*M44))</f>
        <v/>
      </c>
      <c r="VI44" s="489" t="str">
        <f>IF(A44=FALSE,"",Cotations!$AR$4)</f>
        <v/>
      </c>
      <c r="VJ44" s="300" t="str">
        <f t="shared" si="400"/>
        <v/>
      </c>
      <c r="VK44" s="300" t="str">
        <f t="shared" si="401"/>
        <v/>
      </c>
      <c r="VL44" s="294" t="str">
        <f t="shared" si="402"/>
        <v/>
      </c>
      <c r="VM44" s="494" t="str">
        <f>IF(A44=FALSE,"",Cotations!$AS$4)</f>
        <v/>
      </c>
      <c r="VN44" s="494" t="str">
        <f>IF(A44=FALSE,"",Cotations!$AT$4)</f>
        <v/>
      </c>
      <c r="VO44" s="489" t="str">
        <f>IF(A44=FALSE,"",Cotations!$AU$4)</f>
        <v/>
      </c>
      <c r="VP44" s="494" t="str">
        <f>IF(A44=FALSE,"",IF(VM44="N/A",0,IF(INDEX(LISTES!$F$105:$F$109,MATCH(VM44,LISTES!$C$105:$C$109,0))="FIX",IF(INDEX(LISTES!$E$105:$E$109,MATCH(VM44,LISTES!$C$105:$C$109,0))=12,VN44/12*L44,VN44/365*M44),VO44*VL44)))</f>
        <v/>
      </c>
      <c r="VQ44" s="294" t="str">
        <f t="shared" si="403"/>
        <v/>
      </c>
      <c r="VR44" s="494" t="str">
        <f>IF(A44=FALSE,"",VQ44*Cotations!$AV$4)</f>
        <v/>
      </c>
      <c r="VS44" s="494" t="str">
        <f>IF(A44=FALSE,"",VQ44*Cotations!$AW$4)</f>
        <v/>
      </c>
      <c r="VT44" s="465" t="str">
        <f t="shared" si="404"/>
        <v/>
      </c>
      <c r="VU44" s="919" t="str">
        <f>IF(A44=FALSE,"",((VG44*TAXE)-(VG44*TAXE*VI44))+IF(VM44="N/A",0,IF(INDEX(LISTES!$F$105:$F$109,MATCH(VM44,LISTES!$C$105:$C$109,0))="FIX",VN44,VO44*VL44)))</f>
        <v/>
      </c>
      <c r="WA44" s="492" t="str">
        <f>IF(A44=FALSE,"",Cotations!D44)</f>
        <v/>
      </c>
      <c r="WB44" s="519" t="str">
        <f>IF(A44=FALSE,"",IF(LISTES!$A$17=1,Cotations!EW44,Cotations!EX44))</f>
        <v/>
      </c>
      <c r="WC44" s="291" t="str">
        <f t="shared" si="405"/>
        <v/>
      </c>
      <c r="WD44" s="291" t="str">
        <f t="shared" si="406"/>
        <v/>
      </c>
      <c r="WE44" s="291"/>
      <c r="WF44" s="463"/>
      <c r="WG44" s="463" t="str">
        <f t="shared" si="407"/>
        <v/>
      </c>
      <c r="WH44" s="522" t="str">
        <f>IF(A44=FALSE,"",IF(Cotations!$AQ$4="monthly",WG44/12*L44,WG44/365*M44))</f>
        <v/>
      </c>
      <c r="WI44" s="489" t="str">
        <f>IF(A44=FALSE,"",Cotations!$AR$4)</f>
        <v/>
      </c>
      <c r="WJ44" s="300" t="str">
        <f t="shared" si="408"/>
        <v/>
      </c>
      <c r="WK44" s="300" t="str">
        <f t="shared" si="409"/>
        <v/>
      </c>
      <c r="WL44" s="294" t="str">
        <f t="shared" si="410"/>
        <v/>
      </c>
      <c r="WM44" s="494" t="str">
        <f>IF(A44=FALSE,"",Cotations!$AS$4)</f>
        <v/>
      </c>
      <c r="WN44" s="494" t="str">
        <f>IF(A44=FALSE,"",Cotations!$AT$4)</f>
        <v/>
      </c>
      <c r="WO44" s="489" t="str">
        <f>IF(A44=FALSE,"",Cotations!$AU$4)</f>
        <v/>
      </c>
      <c r="WP44" s="494" t="str">
        <f>IF(A44=FALSE,"",IF(WM44="N/A",0,IF(INDEX(LISTES!$F$105:$F$109,MATCH(WM44,LISTES!$C$105:$C$109,0))="FIX",IF(INDEX(LISTES!$E$105:$E$109,MATCH(WM44,LISTES!$C$105:$C$109,0))=12,WN44/12*L44,WN44/365*M44),WO44*WL44)))</f>
        <v/>
      </c>
      <c r="WQ44" s="294" t="str">
        <f t="shared" si="411"/>
        <v/>
      </c>
      <c r="WR44" s="494" t="str">
        <f>IF(A44=FALSE,"",WQ44*Cotations!$AV$4)</f>
        <v/>
      </c>
      <c r="WS44" s="494" t="str">
        <f>IF(A44=FALSE,"",WQ44*Cotations!$AW$4)</f>
        <v/>
      </c>
      <c r="WT44" s="465" t="str">
        <f t="shared" si="412"/>
        <v/>
      </c>
      <c r="WU44" s="919" t="str">
        <f>IF(A44=FALSE,"",((WG44*TAXE)-(WG44*TAXE*WI44))+IF(WM44="N/A",0,IF(INDEX(LISTES!$F$105:$F$109,MATCH(WM44,LISTES!$C$105:$C$109,0))="FIX",WN44,WO44*WL44)))</f>
        <v/>
      </c>
    </row>
    <row r="45" spans="1:619">
      <c r="A45" s="942" t="b">
        <f t="shared" si="221"/>
        <v>0</v>
      </c>
      <c r="B45" s="942" t="b">
        <f>IF(NAMES!$B$9=TRUE,TRUE,FALSE)</f>
        <v>1</v>
      </c>
      <c r="C45" s="942" t="b">
        <f t="shared" si="413"/>
        <v>0</v>
      </c>
      <c r="D45" s="942" t="b">
        <f t="shared" si="414"/>
        <v>0</v>
      </c>
      <c r="E45" s="274" t="b">
        <f>IF(Cotations!C45="","",Cotations!C45)</f>
        <v>0</v>
      </c>
      <c r="F45" s="274" t="str">
        <f>IF(Cotations!D45="","",Cotations!D45)</f>
        <v>PROP</v>
      </c>
      <c r="G45" s="274" t="str">
        <f>IF(Cotations!E45="","",Cotations!E45)</f>
        <v>2016-2017!</v>
      </c>
      <c r="H45" s="274" t="str">
        <f>IF(Cotations!F45="","",Cotations!F45)</f>
        <v>SINGLE</v>
      </c>
      <c r="I45" s="274" t="str">
        <f>IF(Cotations!G45="","",Cotations!G45)</f>
        <v/>
      </c>
      <c r="J45" s="274" t="str">
        <f>IF(Cotations!H45="","",Cotations!H45)</f>
        <v/>
      </c>
      <c r="K45" s="274" t="str">
        <f>IF(Cotations!I45="","",Cotations!I45)</f>
        <v/>
      </c>
      <c r="L45" s="274" t="str">
        <f>IF(A45=FALSE,"",IF(Cotations!N45="","",Cotations!N45))</f>
        <v/>
      </c>
      <c r="M45" s="274" t="str">
        <f>IF(Cotations!P45="","",Cotations!P45)</f>
        <v/>
      </c>
      <c r="N45" s="724" t="str">
        <f>IF(NAMES!$B$10=TRUE,Cotations!J45,Cotations!L45)</f>
        <v/>
      </c>
      <c r="O45" s="724" t="str">
        <f>IF(NAMES!$B$10=TRUE,Cotations!K45,Cotations!M45)</f>
        <v/>
      </c>
      <c r="P45" s="943" t="str">
        <f t="shared" si="415"/>
        <v/>
      </c>
      <c r="Q45" s="724" t="str">
        <f>IF(A45=FALSE,"",IF(Crewlist!Y45="","",Crewlist!Y45))</f>
        <v/>
      </c>
      <c r="R45" s="78" t="str">
        <f>IF(Cotations!U45="","",Cotations!U45)</f>
        <v/>
      </c>
      <c r="S45" s="943" t="str">
        <f t="shared" si="416"/>
        <v/>
      </c>
      <c r="T45" s="919" t="str">
        <f>IF(A45=FALSE,"",VLOOKUP($U$15:$U$120,Currency!$A$2:$D$10,4,0)*Crewlist!N45)</f>
        <v/>
      </c>
      <c r="U45" s="1355" t="str">
        <f>IF(A45=FALSE,"",IF(IT45=0,Crewlist!M45&amp;"/"&amp;EX45,Crewlist!M45&amp;"/"&amp;IT45))</f>
        <v/>
      </c>
      <c r="V45" s="919" t="str">
        <f>IF(A45=FALSE,"",VLOOKUP($U$15:$U$120,Currency!$A$2:$D$10,4,0)*Detail!Q45)</f>
        <v/>
      </c>
      <c r="W45" s="1355" t="str">
        <f>IF(A45=FALSE,"",IF(IT45=0,Detail!R45&amp;"/"&amp;EX45,Detail!R45&amp;"/"&amp;IT45))</f>
        <v/>
      </c>
      <c r="X45" s="919" t="str">
        <f>IF(A45=FALSE,"",IF(LISTES!$C$17="Crewlist",Calcul!T45,Calcul!V45))</f>
        <v/>
      </c>
      <c r="Y45" s="758" t="str">
        <f t="shared" si="417"/>
        <v/>
      </c>
      <c r="Z45" s="758" t="str">
        <f>IF(A45=FALSE,"",IF(X45=0,0,IF((Cotations!BC45*12*X45)&lt;50000,50000,(12*X45))))</f>
        <v/>
      </c>
      <c r="AA45" s="758" t="str">
        <f t="shared" si="418"/>
        <v/>
      </c>
      <c r="AB45" s="758" t="str">
        <f>IF(A45=FALSE,"",IF(Crewlist!O45=0,"",Crewlist!O45))</f>
        <v/>
      </c>
      <c r="AC45" s="758" t="str">
        <f>IF(I45="","",VLOOKUP($AB$15:$AB$120,Currency!$A$15:$B$34,2,0))</f>
        <v/>
      </c>
      <c r="AD45" s="758" t="str">
        <f t="shared" si="419"/>
        <v/>
      </c>
      <c r="AE45" s="758" t="str">
        <f t="shared" si="420"/>
        <v/>
      </c>
      <c r="AF45" s="758" t="str">
        <f t="shared" si="421"/>
        <v/>
      </c>
      <c r="AG45" s="758" t="str">
        <f t="shared" si="422"/>
        <v/>
      </c>
      <c r="AH45" s="1355" t="str">
        <f t="shared" si="222"/>
        <v/>
      </c>
      <c r="AI45" s="919" t="str">
        <f t="shared" si="423"/>
        <v/>
      </c>
      <c r="AJ45" s="1382" t="str">
        <f t="shared" si="424"/>
        <v/>
      </c>
      <c r="AK45" s="1382" t="str">
        <f t="shared" si="425"/>
        <v/>
      </c>
      <c r="AL45" s="238" t="str">
        <f t="shared" si="223"/>
        <v/>
      </c>
      <c r="AM45" s="238" t="str">
        <f t="shared" si="224"/>
        <v/>
      </c>
      <c r="AN45" s="1374" t="str">
        <f t="shared" si="225"/>
        <v/>
      </c>
      <c r="AO45" s="238" t="str">
        <f t="shared" si="226"/>
        <v/>
      </c>
      <c r="AP45" s="342" t="str">
        <f>IF(A45=FALSE,"",INDEX(Rates!$Z$5:$Z$367,MATCH(EB45,colchoice,0)))</f>
        <v/>
      </c>
      <c r="AQ45" s="238" t="str">
        <f t="shared" si="227"/>
        <v/>
      </c>
      <c r="AR45" s="238" t="str">
        <f t="shared" si="426"/>
        <v/>
      </c>
      <c r="AS45" s="238" t="str">
        <f t="shared" si="427"/>
        <v/>
      </c>
      <c r="AT45" s="238" t="str">
        <f t="shared" si="428"/>
        <v/>
      </c>
      <c r="AU45" s="238" t="str">
        <f t="shared" si="228"/>
        <v/>
      </c>
      <c r="AV45" s="238" t="str">
        <f t="shared" si="429"/>
        <v/>
      </c>
      <c r="AW45" s="238" t="str">
        <f t="shared" si="229"/>
        <v/>
      </c>
      <c r="AX45" s="238" t="str">
        <f t="shared" si="230"/>
        <v/>
      </c>
      <c r="AY45" s="238" t="str">
        <f t="shared" si="231"/>
        <v/>
      </c>
      <c r="AZ45" s="238" t="str">
        <f t="shared" si="232"/>
        <v/>
      </c>
      <c r="BA45" s="238" t="str">
        <f t="shared" si="233"/>
        <v/>
      </c>
      <c r="BB45" s="552" t="str">
        <f t="shared" si="234"/>
        <v/>
      </c>
      <c r="BC45" s="347" t="str">
        <f t="shared" si="235"/>
        <v/>
      </c>
      <c r="BD45" s="239" t="str">
        <f t="shared" si="430"/>
        <v/>
      </c>
      <c r="BE45" s="239" t="str">
        <f>IF(A45=FALSE,"",IF(ALLTHESAME=TRUE,IF(DF45&lt;&gt;$BC$7,0,INDEX(DD45:DZ45,1,MATCH(Structure!$D$12,$DD$14:$DZ$14,0))),IF(EC45&lt;&gt;$BC$7,0,INDEX(EA45:EZ45,1,MATCH(Structure!$D$12,$EA$14:$EZ$14,0)))))</f>
        <v/>
      </c>
      <c r="BF45" s="239" t="str">
        <f>IF(A45=FALSE,"",IF(ALLTHESAME=TRUE,IF(FC45&lt;&gt;$BC$7,0,INDEX(FA45:FZ45,1,MATCH(Structure!$D$12,$FA$14:$FZ$14,0))),IF(GC45&lt;&gt;$BC$7,0,INDEX(GA45:GZ45,1,MATCH(Structure!$D$12,$GA$14:$GZ$14,0)))))</f>
        <v/>
      </c>
      <c r="BG45" s="239" t="str">
        <f>IF(A45=FALSE,"",IF(ALLTHESAME=TRUE,IF(VC45&lt;&gt;$BC$7,0,INDEX(VA45:VZ45,1,MATCH(Structure!$D$12,$VA$14:$VZ$14,0))),IF(VC45&lt;&gt;$BC$7,0,INDEX(VA45:VZ45,1,MATCH(Structure!$D$12,$VA$14:$VZ$14,0)))))</f>
        <v/>
      </c>
      <c r="BH45" s="239" t="str">
        <f>IF(A45=FALSE,"",IF(ALLTHESAME=TRUE,IF(WC45&lt;&gt;$BC$7,0,INDEX(WA45:WY45,1,MATCH(Structure!$D$12,$WA$14:$WZ$14,0))),IF(WC45&lt;&gt;$BC$7,0,INDEX(WA45:WZ45,1,MATCH(Structure!$D$12,$WA$14:$WZ$14,0)))))</f>
        <v/>
      </c>
      <c r="BI45" s="763" t="str">
        <f>IF(A45=FALSE,"",IF(ALLTHESAME=TRUE,IF(HC45&lt;&gt;$BC$7,0,INDEX(HA45:HZ45,1,MATCH(Structure!$D$12,$HA$14:$HZ$14,0)))+TK45,IF(IC45&lt;&gt;$BC$7,0,INDEX(IA45:IZ45,1,MATCH(Structure!$D$12,$IA$14:$IZ$14,0)))+TK45))</f>
        <v/>
      </c>
      <c r="BJ45" s="239" t="str">
        <f>IF(A45=FALSE,"",IF(ALLTHESAME=TRUE,IF(JC45&lt;&gt;$BC$7,0,INDEX(JA45:JZ45,1,MATCH(Structure!$D$12,$JA$14:$JZ$14,0))),IF(KC45&lt;&gt;$BC$7,0,INDEX(KA45:KZ45,1,MATCH(Structure!$D$12,$KA$14:$KZ$14,0)))))</f>
        <v/>
      </c>
      <c r="BK45" s="763" t="str">
        <f>IF(A45=FALSE,"",IF(ALLTHESAME=TRUE,IF(LC45&lt;&gt;$BC$7,0,INDEX(LA45:LZ45,1,MATCH(Structure!$D$12,$LA$14:$LZ$14,0)))+UK45,IF(MC45&lt;&gt;$BC$7,0,INDEX(MA45:MZ45,1,MATCH(Structure!$D$12,$MA$14:$MZ$14,0)))+UK45))</f>
        <v/>
      </c>
      <c r="BL45" s="239" t="str">
        <f>IF(A45=FALSE,"",IF(ALLTHESAME=TRUE,IF(NC45&lt;&gt;$BC$7,0,INDEX(NA45:NZ45,1,MATCH(Structure!$D$12,$NA$14:$NZ$14,0))),IF(OC45&lt;&gt;$BC$7,0,INDEX(OA45:OZ45,1,MATCH(Structure!$D$12,$OA$14:$OZ$14,0)))))</f>
        <v/>
      </c>
      <c r="BM45" s="239" t="str">
        <f>IF(A45=FALSE,"",IF(ALLTHESAME=TRUE,IF(PC45&lt;&gt;$BC$7,0,INDEX(PA45:PZ45,1,MATCH(Structure!$D$12,$PA$14:$PZ$14,0))),IF(QC45&lt;&gt;$BC$7,0,INDEX(QA45:QZ45,1,MATCH(Structure!$D$12,$QA$14:$QZ$14,0)))))</f>
        <v/>
      </c>
      <c r="BN45" s="341" t="str">
        <f>IF(A45=FALSE,"",IF(ALLTHESAME=TRUE,IF(RC45&lt;&gt;$BC$7,0,INDEX(RA45:RZ45,1,MATCH(Structure!$D$12,$RA$14:$RZ$14,0))),IF(SC45&lt;&gt;$BC$7,0,INDEX(SA45:TA45,1,MATCH(Structure!$D$12,$SA$14:$TA$14,0)))))</f>
        <v/>
      </c>
      <c r="BO45" s="507" t="str">
        <f t="shared" si="236"/>
        <v/>
      </c>
      <c r="BP45" s="239" t="str">
        <f t="shared" si="237"/>
        <v/>
      </c>
      <c r="BQ45" s="239" t="str">
        <f>IF(A45=FALSE,"",IF(ALLTHESAME=TRUE,IF(DF45&lt;&gt;$BO$7,0,INDEX(DD45:DZ45,1,MATCH(Structure!$D$12,$DD$14:$DZ$14,0))),IF(EC45&lt;&gt;$BO$7,0,INDEX(EA45:EZ45,1,MATCH(Structure!$D$12,$EA$14:$EZ$14,0)))))</f>
        <v/>
      </c>
      <c r="BR45" s="239" t="str">
        <f>IF(A45=FALSE,"",IF(ALLTHESAME=TRUE,IF(FC45&lt;&gt;$BO$7,0,INDEX(FA45:FZ45,1,MATCH(Structure!$D$12,$FA$14:$FZ$14,0))),IF(GC45&lt;&gt;$BO$7,0,INDEX(GA45:GZ45,1,MATCH(Structure!$D$12,$GA$14:$GZ$14,0)))))</f>
        <v/>
      </c>
      <c r="BS45" s="239" t="str">
        <f>IF(A45=FALSE,"",IF(ALLTHESAME=TRUE,IF(HC45&lt;&gt;$BO$7,0,INDEX(HA45:HZ45,1,MATCH(Structure!$D$12,$HA$14:$HZ$14,0))),IF(IC45&lt;&gt;$BO$7,0,INDEX(IA45:IZ45,1,MATCH(Structure!$D$12,$IA$14:$IZ$14,0)))))</f>
        <v/>
      </c>
      <c r="BT45" s="239" t="str">
        <f>IF(A45=FALSE,"",IF(ALLTHESAME=TRUE,IF(JC45&lt;&gt;$BO$7,0,INDEX(JA45:JZ45,1,MATCH(Structure!$D$12,$JA$14:$JZ$14,0))),IF(KC45&lt;&gt;$BO$7,0,INDEX(KA45:KZ45,1,MATCH(Structure!$D$12,$KA$14:$KZ$14,0)))))</f>
        <v/>
      </c>
      <c r="BU45" s="239" t="str">
        <f>IF(A45=FALSE,"",IF(ALLTHESAME=TRUE,IF(LC45&lt;&gt;$BO$7,0,INDEX(LA45:LZ45,1,MATCH(Structure!$D$12,$LA$14:$LZ$14,0))),IF(MC45&lt;&gt;$BO$7,0,INDEX(MA45:MZ45,1,MATCH(Structure!$D$12,$MA$14:$MZ$14,0)))))</f>
        <v/>
      </c>
      <c r="BV45" s="239" t="str">
        <f>IF(A45=FALSE,"",IF(ALLTHESAME=TRUE,IF(NC45&lt;&gt;$BO$7,0,INDEX(NA45:NZ45,1,MATCH(Structure!$D$12,$NA$14:$NZ$14,0))),IF(OC45&lt;&gt;$BO$7,0,INDEX(OA45:OZ45,1,MATCH(Structure!$D$12,$OA$14:$OZ$14,0)))))</f>
        <v/>
      </c>
      <c r="BW45" s="239" t="str">
        <f>IF(A45=FALSE,"",IF(ALLTHESAME=TRUE,IF(PC45&lt;&gt;$BO$7,0,INDEX(PA45:PZ45,1,MATCH(Structure!$D$12,$PA$14:$PZ$14,0))),IF(QC45&lt;&gt;$BO$7,0,INDEX(QA45:QZ45,1,MATCH(Structure!$D$12,$QA$14:$QZ$14,0)))))</f>
        <v/>
      </c>
      <c r="BX45" s="341" t="str">
        <f>IF(A45=FALSE,"",IF(ALLTHESAME=TRUE,IF(RC45&lt;&gt;$BO$7,0,INDEX(RA45:RZ45,1,MATCH(Structure!$D$12,$RA$14:$RZ$14,0))),IF(SC45&lt;&gt;$BO$7,0,INDEX(SA45:TA45,1,MATCH(Structure!$D$12,$SA$14:$TA$14,0)))))</f>
        <v/>
      </c>
      <c r="BY45" s="347" t="str">
        <f t="shared" si="238"/>
        <v/>
      </c>
      <c r="BZ45" s="507" t="str">
        <f t="shared" si="239"/>
        <v/>
      </c>
      <c r="CA45" s="239" t="str">
        <f t="shared" si="240"/>
        <v/>
      </c>
      <c r="CB45" s="239" t="str">
        <f>IF(A45=FALSE,"",IF(ALLTHESAME=TRUE,INDEX(DD45:DZ45,MATCH(DF45,DF45:DF150,0),MATCH(Structure!$D$17,$DD$14:$DZ$14,0)),INDEX(EA45:EZ45,MATCH(EC45,EC45:EC150,0),MATCH(Structure!$D$17,$EA$14:$EZ$14,0))))</f>
        <v/>
      </c>
      <c r="CC45" s="239" t="str">
        <f>IF(A45=FALSE,"",IF(ALLTHESAME=TRUE,INDEX(FA45:FZ45,MATCH(FC45,FC45:FC150,0),MATCH(Structure!$D$17,$FA$14:$FZ$14,0)),INDEX(GA45:GZ45,MATCH(GC45,GC45:GC150,0),MATCH(Structure!$D$17,$GA$14:$GZ$14,0))))</f>
        <v/>
      </c>
      <c r="CD45" s="239" t="str">
        <f>IF(A45=FALSE,"",IF(ALLTHESAME=TRUE,INDEX(HA45:HZ45,MATCH(HC45,HC45:HC150,0),MATCH(Structure!$D$17,$HA$14:$HZ$14,0)),INDEX(IA45:IZ45,MATCH(IC45,IC45:IC150,0),MATCH(Structure!$D$17,$IA$14:$IZ$14,0))))</f>
        <v/>
      </c>
      <c r="CE45" s="239" t="str">
        <f>IF(A45=FALSE,"",IF(ALLTHESAME=TRUE,INDEX(JA45:JZ45,MATCH(JC45,JC45:JC150,0),MATCH(Structure!$D$17,$JA$14:$JZ$14,0)),INDEX(KA45:KZ45,MATCH(KC45,KC45:KC150,0),MATCH(Structure!$D$17,$KA$14:$KZ$14,0))))</f>
        <v/>
      </c>
      <c r="CF45" s="239" t="str">
        <f>IF(A45=FALSE,"",IF(ALLTHESAME=TRUE,INDEX(LA45:LZ45,MATCH(LC45,LC45:LC150,0),MATCH(Structure!$D$17,$LA$14:$LZ$14,0)),INDEX(MA45:MZ45,MATCH(MC45,MC45:MC150,0),MATCH(Structure!$D$17,$MA$14:$MZ$14,0))))</f>
        <v/>
      </c>
      <c r="CG45" s="239" t="str">
        <f>IF(A45=FALSE,"",IF(ALLTHESAME=TRUE,INDEX(NA45:NZ45,MATCH(NC45,NC45:NC150,0),MATCH(Structure!$D$17,$NA$14:$NZ$14,0)),INDEX(OA45:OZ45,MATCH(OC45,OC45:OC150,0),MATCH(Structure!$D$17,$OA$14:$OZ$14,0))))</f>
        <v/>
      </c>
      <c r="CH45" s="239" t="str">
        <f>IF(A45=FALSE,"",IF(ALLTHESAME=TRUE,INDEX(PA45:PZ45,MATCH(PC45,PC45:PC150,0),MATCH(Structure!$D$17,$PA$14:$PZ$14,0)),INDEX(QA45:QZ45,MATCH(QC45,QC45:QC150,0),MATCH(Structure!$D$17,$QA$14:$QZ$14,0))))</f>
        <v/>
      </c>
      <c r="CI45" s="341" t="str">
        <f>IF(A45=FALSE,"",IF(ALLTHESAME=TRUE,INDEX(RA45:RZ45,MATCH(RC45,RC45:RC150,0),MATCH(Structure!$D$17,$RA$14:$RZ$14,0)),INDEX(SA45:TC45,MATCH(SC45,SC45:SC150,0),MATCH(Structure!$D$17,$SA$14:$TC$14,0))))</f>
        <v/>
      </c>
      <c r="CJ45" s="347"/>
      <c r="CK45" s="239" t="str">
        <f t="shared" si="241"/>
        <v/>
      </c>
      <c r="CL45" s="239" t="str">
        <f>IF(A45=FALSE,"",IF(ALLTHESAME=TRUE,INDEX(DD45:DZ45,MATCH(DF45,DF45:DF150,0),MATCH(Structure!$D$22,$DD$14:$DZ$14,0)),INDEX(EA45:EZ45,MATCH(EC45,EC45:EC150,0),MATCH(Structure!$D$22,$EA$14:$EZ$14,0))))</f>
        <v/>
      </c>
      <c r="CM45" s="239" t="str">
        <f>IF(A45=FALSE,"",IF(ALLTHESAME=TRUE,INDEX(FA45:FZ45,MATCH(FC45,FC45:FC150,0),MATCH(Structure!$D$22,$FA$14:$FZ$14,0)),INDEX(GA45:GZ45,MATCH(GC45,GC45:GC150,0),MATCH(Structure!$D$22,$GA$14:$GZ$14,0))))</f>
        <v/>
      </c>
      <c r="CN45" s="239" t="str">
        <f>IF(A45=FALSE,"",IF(ALLTHESAME=TRUE,INDEX(HA45:HZ45,MATCH(HC45,HC45:HC150,0),MATCH(Structure!$D$22,$HA$14:$HZ$14,0)),INDEX(IA45:IZ45,MATCH(IC45,IC45:IC150,0),MATCH(Structure!$D$22,$IA$14:$IZ$14,0))))</f>
        <v/>
      </c>
      <c r="CO45" s="239" t="str">
        <f>IF(A45=FALSE,"",IF(ALLTHESAME=TRUE,INDEX(JA45:JZ45,MATCH(JC45,JC45:JC150,0),MATCH(Structure!$D$22,$JA$14:$JZ$14,0)),INDEX(KA45:KZ45,MATCH(KC45,KC45:KC150,0),MATCH(Structure!$D$22,$KA$14:$KZ$14,0))))</f>
        <v/>
      </c>
      <c r="CP45" s="239" t="str">
        <f>IF(A45=FALSE,"",IF(ALLTHESAME=TRUE,INDEX(LA45:LZ45,MATCH(LC45,LC45:LC150,0),MATCH(Structure!$D$22,$LA$14:$LZ$14,0)),INDEX(MA45:MZ45,MATCH(MC45,MC45:MC150,0),MATCH(Structure!$D$22,$MA$14:$MZ$14,0))))</f>
        <v/>
      </c>
      <c r="CQ45" s="239" t="str">
        <f>IF(A45=FALSE,"",IF(ALLTHESAME=TRUE,INDEX(NA45:NZ45,MATCH(NC45,NC45:NC150,0),MATCH(Structure!$D$22,$NA$14:$NZ$14,0)),INDEX(OA45:OZ45,MATCH(OC45,OC45:OC150,0),MATCH(Structure!$D$22,$OA$14:$OZ$14,0))))</f>
        <v/>
      </c>
      <c r="CR45" s="239" t="str">
        <f>IF(A45=FALSE,"",IF(ALLTHESAME=TRUE,INDEX(PA45:PZ45,MATCH(PC45,PC45:PC150,0),MATCH(Structure!$D$22,$PA$14:$PZ$14,0)),INDEX(QA45:QZ45,MATCH(QC45,QC45:QC150,0),MATCH(Structure!$D$22,$QA$14:$QZ$14,0))))</f>
        <v/>
      </c>
      <c r="CS45" s="341" t="str">
        <f>IF(A45=FALSE,"",IF(ALLTHESAME=TRUE,INDEX(RA45:RZ45,MATCH(RC45,RC45:RC150,0),MATCH(Structure!$D$22,$RA$14:$RZ$14,0)),INDEX(SA45:TC45,MATCH(SC45,SC45:SC150,0),MATCH(Structure!$D$22,$SA$14:$TC$14,0))))</f>
        <v/>
      </c>
      <c r="CT45" s="347"/>
      <c r="CU45" s="239" t="str">
        <f t="shared" si="242"/>
        <v/>
      </c>
      <c r="CV45" s="239" t="str">
        <f>IF(A45=FALSE,"",IF(ALLTHESAME=TRUE,INDEX(DD45:DZ45,MATCH(DF45,DF45:DF150,0),MATCH(Structure!$D$8,$DD$14:$DZ$14,0)),INDEX(EA45:EZ45,MATCH(EC45,EC45:EC150,0),MATCH(Structure!$D$8,$EA$14:$EZ$14,0))))</f>
        <v/>
      </c>
      <c r="CW45" s="239" t="str">
        <f>IF(A45=FALSE,"",IF(ALLTHESAME=TRUE,INDEX(FA45:FZ45,MATCH(FC45,FC45:FC150,0),MATCH(Structure!$D$8,$FA$14:$FZ$14,0)),INDEX(GA45:GZ45,MATCH(GC45,GC45:GC150,0),MATCH(Structure!$D$8,$GA$14:$GZ$14,0))))</f>
        <v/>
      </c>
      <c r="CX45" s="239" t="str">
        <f>IF(A45=FALSE,"",IF(ALLTHESAME=TRUE,INDEX(HA45:HZ45,MATCH(HC45,HC45:HC150,0),MATCH(Structure!$D$8,$HA$14:$HZ$14,0)),INDEX(IA45:IZ45,MATCH(IC45,IC45:IC150,0),MATCH(Structure!$D$8,$IA$14:$IZ$14,0))))</f>
        <v/>
      </c>
      <c r="CY45" s="239" t="str">
        <f>IF(A45=FALSE,"",IF(ALLTHESAME=TRUE,INDEX(JA45:JZ45,MATCH(JC45,JC45:JC150,0),MATCH(Structure!$D$8,$JA$14:$JZ$14,0)),INDEX(KA45:KZ45,MATCH(KC45,KC45:KC150,0),MATCH(Structure!$D$8,$KA$14:$KZ$14,0))))</f>
        <v/>
      </c>
      <c r="CZ45" s="239" t="str">
        <f>IF(A45=FALSE,"",IF(ALLTHESAME=TRUE,INDEX(LA45:LZ45,MATCH(LC45,LC45:LC150,0),MATCH(Structure!$D$8,$LA$14:$LZ$14,0)),INDEX(MA45:MZ45,MATCH(MC45,MC45:MC150,0),MATCH(Structure!$D$8,$MA$14:$MZ$14,0))))</f>
        <v/>
      </c>
      <c r="DA45" s="239" t="str">
        <f>IF(A45=FALSE,"",IF(ALLTHESAME=TRUE,INDEX(NA45:NZ45,MATCH(NC45,NC45:NC150,0),MATCH(Structure!$D$8,$NA$14:$NZ$14,0)),INDEX(OA45:OZ45,MATCH(OC45,OC45:OC150,0),MATCH(Structure!$D$8,$OA$14:$OZ$14,0))))</f>
        <v/>
      </c>
      <c r="DB45" s="239" t="str">
        <f>IF(A45=FALSE,"",IF(ALLTHESAME=TRUE,INDEX(PA45:PZ45,MATCH(PC45,PC45:PC150,0),MATCH(Structure!$D$8,$PA$14:$PZ$14,0)),INDEX(QA45:QZ45,MATCH(QC45,QC45:QC150,0),MATCH(Structure!$D$8,$QA$14:$QZ$14,0))))</f>
        <v/>
      </c>
      <c r="DC45" s="341" t="str">
        <f>IF(A45=FALSE,"",IF(ALLTHESAME=TRUE,INDEX(RA45:RZ45,MATCH(RC45,RC45:RC150,0),MATCH(Structure!$D$8,$RA$14:$RZ$14,0)),INDEX(SA45:TC45,MATCH(SC45,SC45:SC150,0),MATCH(Structure!$D$8,$SA$14:$TC$14,0))))</f>
        <v/>
      </c>
      <c r="DD45" s="492" t="str">
        <f>IF(A45=FALSE,"",Cotations!D45)</f>
        <v/>
      </c>
      <c r="DE45" s="492" t="str">
        <f>IF(A45=FALSE,"",IF(LISTES!$A$17=1,Cotations!AF45,Cotations!$AG$4))</f>
        <v/>
      </c>
      <c r="DF45" s="291" t="str">
        <f t="shared" si="431"/>
        <v/>
      </c>
      <c r="DG45" s="291" t="str">
        <f t="shared" si="243"/>
        <v/>
      </c>
      <c r="DH45" s="291"/>
      <c r="DI45" s="463"/>
      <c r="DJ45" s="463" t="str">
        <f t="shared" si="244"/>
        <v/>
      </c>
      <c r="DK45" s="522" t="str">
        <f>IF(A45=FALSE,"",IF(Cotations!$AH$4="monthly",DJ45/12*L45,DJ45/365*M45))</f>
        <v/>
      </c>
      <c r="DL45" s="489" t="str">
        <f>IF(A45=FALSE,"",Cotations!$AI$4)</f>
        <v/>
      </c>
      <c r="DM45" s="300" t="str">
        <f t="shared" si="245"/>
        <v/>
      </c>
      <c r="DN45" s="300" t="str">
        <f t="shared" si="246"/>
        <v/>
      </c>
      <c r="DO45" s="294" t="str">
        <f t="shared" si="247"/>
        <v/>
      </c>
      <c r="DP45" s="494" t="str">
        <f>IF(A45=FALSE,"",Cotations!$AJ$4)</f>
        <v/>
      </c>
      <c r="DQ45" s="494" t="str">
        <f>IF(A45=FALSE,"",Cotations!$AK$4)</f>
        <v/>
      </c>
      <c r="DR45" s="489" t="str">
        <f>IF(A45=FALSE,"",Cotations!$AL$4)</f>
        <v/>
      </c>
      <c r="DS45" s="494" t="str">
        <f>IF(A45=FALSE,"",IF(DP45="N/A",0,IF(INDEX(LISTES!$F$105:$F$109,MATCH(DP45,LISTES!$C$105:$C$109,0))="FIX",IF(INDEX(LISTES!$E$105:$E$109,MATCH(DP45,LISTES!$C$105:$C$109,0))=12,DQ45/12*L45,DQ45/365*M45),DR45*DO45)))</f>
        <v/>
      </c>
      <c r="DT45" s="294" t="str">
        <f t="shared" si="248"/>
        <v/>
      </c>
      <c r="DU45" s="294" t="str">
        <f>IF(A45=FALSE,"",DT45*Cotations!$AM$4)</f>
        <v/>
      </c>
      <c r="DV45" s="294" t="str">
        <f>IF(A45=FALSE,"",DT45*Cotations!$AN$4)</f>
        <v/>
      </c>
      <c r="DW45" s="465" t="str">
        <f t="shared" si="249"/>
        <v/>
      </c>
      <c r="DX45" s="919" t="str">
        <f>IF(A45=FALSE,"",((DJ45*TAXE)-(DJ45*TAXE*DL45))+IF(DP45="N/A",0,IF(INDEX(LISTES!$F$105:$F$109,MATCH(DP45,LISTES!$C$105:$C$109,0))="FIX",DQ45,DR45*DO45)))</f>
        <v/>
      </c>
      <c r="DY45" s="466"/>
      <c r="DZ45" s="466"/>
      <c r="EA45" s="492" t="str">
        <f>IF(A45=FALSE,"",Cotations!D45)</f>
        <v/>
      </c>
      <c r="EB45" s="494" t="str">
        <f>IF(A45=FALSE,"",IF(LISTES!$A$17=1,Cotations!AF45,Cotations!AG45))</f>
        <v/>
      </c>
      <c r="EC45" s="284" t="str">
        <f t="shared" si="250"/>
        <v/>
      </c>
      <c r="ED45" s="284" t="str">
        <f t="shared" si="251"/>
        <v/>
      </c>
      <c r="EE45" s="284"/>
      <c r="EF45" s="284"/>
      <c r="EG45" s="284" t="str">
        <f t="shared" si="252"/>
        <v/>
      </c>
      <c r="EH45" s="1365" t="str">
        <f t="shared" si="253"/>
        <v/>
      </c>
      <c r="EI45" s="1365" t="str">
        <f t="shared" si="254"/>
        <v/>
      </c>
      <c r="EJ45" s="515" t="str">
        <f>IF(A45=FALSE,"",IF(Cotations!AH45="monthly",EG45/12*L45,EG45/365*M45))</f>
        <v/>
      </c>
      <c r="EK45" s="1364" t="str">
        <f>IF(A45=FALSE,"",IF(Cotations!AH45="monthly",EI45/12*L45,EI45/365*M45))</f>
        <v/>
      </c>
      <c r="EL45" s="493" t="str">
        <f>IF(A45=FALSE,"",IF(Cotations!AI45="","",Cotations!AI45))</f>
        <v/>
      </c>
      <c r="EM45" s="284" t="str">
        <f t="shared" si="255"/>
        <v/>
      </c>
      <c r="EN45" s="284" t="str">
        <f t="shared" si="256"/>
        <v/>
      </c>
      <c r="EO45" s="1365" t="str">
        <f t="shared" si="432"/>
        <v/>
      </c>
      <c r="EP45" s="284" t="str">
        <f t="shared" si="257"/>
        <v/>
      </c>
      <c r="EQ45" s="515" t="str">
        <f>IF(A45=FALSE,"",Cotations!AJ45)</f>
        <v/>
      </c>
      <c r="ER45" s="515" t="str">
        <f>IF(A45=FALSE,"",IF(Cotations!AK45="","",Cotations!AK45))</f>
        <v/>
      </c>
      <c r="ES45" s="493" t="str">
        <f>IF(A45=FALSE,"",Cotations!AL45)</f>
        <v/>
      </c>
      <c r="ET45" s="515" t="str">
        <f>IF(A45=FALSE,"",IF(EQ45="N/A",0,IF(INDEX(LISTES!$F$105:$F$109,MATCH(EQ45,LISTES!$C$105:$C$109,0))="FIX",IF(INDEX(LISTES!$E$105:$E$109,MATCH(EQ45,LISTES!$C$105:$C$109,0))=12,ER45/12*L45,ER45/365*M45),ES45*EP45)))</f>
        <v/>
      </c>
      <c r="EU45" s="294" t="str">
        <f t="shared" si="258"/>
        <v/>
      </c>
      <c r="EV45" s="494" t="str">
        <f>IF(A45=FALSE,"",EU45*Cotations!AM45)</f>
        <v/>
      </c>
      <c r="EW45" s="494" t="str">
        <f>IF(A45=FALSE,"",EU45*Cotations!AN45)</f>
        <v/>
      </c>
      <c r="EX45" s="334" t="str">
        <f t="shared" si="259"/>
        <v/>
      </c>
      <c r="EY45" s="919" t="str">
        <f>IF(A45=FALSE,"",((EG45*TAXE)-(EG45*TAXE*EL45)+EH45)+IF(EQ45="N/A",0,IF(INDEX(LISTES!$F$105:$F$109,MATCH(EQ45,LISTES!$C$105:$C$109,0))="FIX",ER45,ES45*EP45)))</f>
        <v/>
      </c>
      <c r="FA45" s="492" t="str">
        <f>IF(A45=FALSE,"",Cotations!D45)</f>
        <v/>
      </c>
      <c r="FB45" s="519" t="str">
        <f>IF(A45=FALSE,"",IF(LISTES!$A$17=1,Cotations!AO45,Cotations!$AP$4))</f>
        <v/>
      </c>
      <c r="FC45" s="291" t="str">
        <f t="shared" si="260"/>
        <v/>
      </c>
      <c r="FD45" s="291" t="str">
        <f t="shared" si="261"/>
        <v/>
      </c>
      <c r="FE45" s="291"/>
      <c r="FF45" s="463"/>
      <c r="FG45" s="463" t="str">
        <f t="shared" si="262"/>
        <v/>
      </c>
      <c r="FH45" s="522" t="str">
        <f>IF(A45=FALSE,"",IF(Cotations!$AQ$4="monthly",FG45/12*L45,FG45/365*M45))</f>
        <v/>
      </c>
      <c r="FI45" s="453" t="str">
        <f>IF(A45=FALSE,"",Cotations!$AR$4)</f>
        <v/>
      </c>
      <c r="FJ45" s="300" t="str">
        <f t="shared" si="263"/>
        <v/>
      </c>
      <c r="FK45" s="300" t="str">
        <f t="shared" si="264"/>
        <v/>
      </c>
      <c r="FL45" s="294" t="str">
        <f t="shared" si="265"/>
        <v/>
      </c>
      <c r="FM45" s="494" t="str">
        <f>IF(A45=FALSE,"",Cotations!$AS$4)</f>
        <v/>
      </c>
      <c r="FN45" s="494" t="str">
        <f>IF(A45=FALSE,"",Cotations!$AT$4)</f>
        <v/>
      </c>
      <c r="FO45" s="489" t="str">
        <f>IF(A45=FALSE,"",Cotations!$AU$4)</f>
        <v/>
      </c>
      <c r="FP45" s="494" t="str">
        <f>IF(A45=FALSE,"",IF(FM45="N/A",0,IF(INDEX(LISTES!$F$105:$F$109,MATCH(FM45,LISTES!$C$105:$C$109,0))="FIX",IF(INDEX(LISTES!$E$105:$E$109,MATCH(FM45,LISTES!$C$105:$C$109,0))=12,FN45/12*L45,FN45/365*M45),FO45*FL45)))</f>
        <v/>
      </c>
      <c r="FQ45" s="294" t="str">
        <f t="shared" si="266"/>
        <v/>
      </c>
      <c r="FR45" s="494" t="str">
        <f>IF(A45=FALSE,"",FQ45*Cotations!$AV$4)</f>
        <v/>
      </c>
      <c r="FS45" s="494" t="str">
        <f>IF(A45=FALSE,"",FQ45*Cotations!$AW$4)</f>
        <v/>
      </c>
      <c r="FT45" s="465" t="str">
        <f t="shared" si="267"/>
        <v/>
      </c>
      <c r="FU45" s="919" t="str">
        <f>IF(A45=FALSE,"",((FG45*TAXE)-(FG45*TAXE*FI45))+IF(FM45="N/A",0,IF(INDEX(LISTES!$F$105:$F$109,MATCH(FM45,LISTES!$C$105:$C$109,0))="FIX",FN45,FO45*FL45)))</f>
        <v/>
      </c>
      <c r="FV45" s="478"/>
      <c r="FW45" s="478"/>
      <c r="FX45" s="478"/>
      <c r="FY45" s="478"/>
      <c r="FZ45" s="478"/>
      <c r="GA45" s="492" t="str">
        <f>IF(A45=FALSE,"",Cotations!D45)</f>
        <v/>
      </c>
      <c r="GB45" s="494" t="str">
        <f>IF(A45=FALSE,"",IF(LISTES!$A$17=1,Cotations!AO45,Cotations!AP45))</f>
        <v/>
      </c>
      <c r="GC45" s="284" t="str">
        <f t="shared" si="268"/>
        <v/>
      </c>
      <c r="GD45" s="515" t="str">
        <f>IF(A45=FALSE,"",IF(Detail!AM45="","",Detail!AM45))</f>
        <v/>
      </c>
      <c r="GE45" s="284"/>
      <c r="GF45" s="284"/>
      <c r="GG45" s="284" t="str">
        <f t="shared" si="269"/>
        <v/>
      </c>
      <c r="GH45" s="515" t="str">
        <f>IF(A45=FALSE,"",IF(Cotations!AQ45="monthly",GG45/12*L45,GG45/365*M45))</f>
        <v/>
      </c>
      <c r="GI45" s="493" t="str">
        <f>IF(A45=FALSE,"",IF(Cotations!AR45="","",Cotations!AR45))</f>
        <v/>
      </c>
      <c r="GJ45" s="284" t="str">
        <f t="shared" si="270"/>
        <v/>
      </c>
      <c r="GK45" s="284" t="str">
        <f t="shared" si="271"/>
        <v/>
      </c>
      <c r="GL45" s="284" t="str">
        <f t="shared" si="272"/>
        <v/>
      </c>
      <c r="GM45" s="515" t="str">
        <f>IF(A45=FALSE,"",Cotations!AS45)</f>
        <v/>
      </c>
      <c r="GN45" s="515" t="str">
        <f>IF(A45=FALSE,"",Cotations!AT45)</f>
        <v/>
      </c>
      <c r="GO45" s="493" t="str">
        <f>IF(A45=FALSE,"",Cotations!AU45)</f>
        <v/>
      </c>
      <c r="GP45" s="515" t="str">
        <f>IF(A45=FALSE,"",IF(GM45="N/A",0,IF(INDEX(LISTES!$F$105:$F$109,MATCH(GM45,LISTES!$C$105:$C$109,0))="FIX",IF(INDEX(LISTES!$E$105:$E$109,MATCH(GM45,LISTES!$C$105:$C$109,0))=12,GN45/12*L45,GN45/365*M45),GO45*GL45)))</f>
        <v/>
      </c>
      <c r="GQ45" s="294" t="str">
        <f t="shared" si="273"/>
        <v/>
      </c>
      <c r="GR45" s="494" t="str">
        <f>IF(A45=FALSE,"",GQ45*Cotations!AV45)</f>
        <v/>
      </c>
      <c r="GS45" s="494" t="str">
        <f>IF(A45=FALSE,"",GQ45*Cotations!AW45)</f>
        <v/>
      </c>
      <c r="GT45" s="334" t="str">
        <f t="shared" si="274"/>
        <v/>
      </c>
      <c r="GU45" s="919" t="str">
        <f>IF(A45=FALSE,"",((GG45*TAXE)-(GG45*TAXE*GI45))+IF(GM45="N/A",0,IF(INDEX(LISTES!$F$105:$F$109,MATCH(GM45,LISTES!$C$105:$C$109,0))="FIX",GN45,GO45*GL45)))</f>
        <v/>
      </c>
      <c r="GV45" s="478"/>
      <c r="GW45" s="466"/>
      <c r="GX45" s="466"/>
      <c r="GY45" s="466"/>
      <c r="GZ45" s="466"/>
      <c r="HA45" s="492" t="str">
        <f>IF(A45=FALSE,"",Cotations!D45)</f>
        <v/>
      </c>
      <c r="HB45" s="495" t="str">
        <f>IF(A45=FALSE,"",IF(LISTES!$A$17=1,Cotations!AX45,Cotations!$AY$4))</f>
        <v/>
      </c>
      <c r="HC45" s="291" t="str">
        <f t="shared" si="275"/>
        <v/>
      </c>
      <c r="HD45" s="291" t="str">
        <f t="shared" si="276"/>
        <v/>
      </c>
      <c r="HE45" s="456" t="str">
        <f t="shared" si="277"/>
        <v/>
      </c>
      <c r="HF45" s="496" t="str">
        <f>IF(A45=FALSE,"",IF(HA45="POEA",Cotations!BA45,IF(HA45="FIXE",Cotations!$BA$4,Cotations!$BC$4*Y45)))</f>
        <v/>
      </c>
      <c r="HG45" s="300" t="str">
        <f t="shared" si="278"/>
        <v/>
      </c>
      <c r="HH45" s="522" t="str">
        <f>IF(A45=FALSE,"",IF(Cotations!$AZ$4="monthly",HG45/12*L45,HG45/365*M45))</f>
        <v/>
      </c>
      <c r="HI45" s="489" t="str">
        <f>IF(A45=FALSE,"",Cotations!$BD$4)</f>
        <v/>
      </c>
      <c r="HJ45" s="300" t="str">
        <f t="shared" si="279"/>
        <v/>
      </c>
      <c r="HK45" s="300" t="str">
        <f t="shared" si="280"/>
        <v/>
      </c>
      <c r="HL45" s="294" t="str">
        <f t="shared" si="281"/>
        <v/>
      </c>
      <c r="HM45" s="494" t="str">
        <f>IF(A45=FALSE,"",Cotations!$BE$4)</f>
        <v/>
      </c>
      <c r="HN45" s="522" t="str">
        <f>IF(A45=FALSE,"",Cotations!$BF$4)</f>
        <v/>
      </c>
      <c r="HO45" s="489" t="str">
        <f>IF(A45=FALSE,"",Cotations!$BG$4)</f>
        <v/>
      </c>
      <c r="HP45" s="494" t="str">
        <f>IF(A45=FALSE,"",IF(HM45="N/A",0,IF(INDEX(LISTES!$F$105:$F$109,MATCH(HM45,LISTES!$C$105:$C$109,0))="FIX",IF(INDEX(LISTES!$E$105:$E$109,MATCH(HM45,LISTES!$C$105:$C$109,0))=12,HN45/12*L45,HN45/365*M45),HO45*HL45)))</f>
        <v/>
      </c>
      <c r="HQ45" s="294" t="str">
        <f t="shared" si="282"/>
        <v/>
      </c>
      <c r="HR45" s="494" t="str">
        <f>IF(A45=FALSE,"",HQ45*Cotations!$BH$4)</f>
        <v/>
      </c>
      <c r="HS45" s="494" t="str">
        <f>IF(A45=FALSE,"",HQ45*Cotations!$BI$4)</f>
        <v/>
      </c>
      <c r="HT45" s="294" t="str">
        <f t="shared" si="283"/>
        <v/>
      </c>
      <c r="HU45" s="919" t="str">
        <f>IF(A45=FALSE,"",((HG45*TAXE)-(HG45*TAXE*HI45))+IF(HM45="N/A",0,IF(INDEX(LISTES!$F$105:$F$109,MATCH(HM45,LISTES!$C$105:$C$109,0))="FIX",HN45,HO45*HL45)))</f>
        <v/>
      </c>
      <c r="IA45" s="492" t="str">
        <f>IF(A45=FALSE,"",Cotations!D45)</f>
        <v/>
      </c>
      <c r="IB45" s="491" t="str">
        <f>IF(A45=FALSE,"",IF(LISTES!$A$17=1,Cotations!AX45,Cotations!AY45))</f>
        <v/>
      </c>
      <c r="IC45" s="285" t="str">
        <f t="shared" si="284"/>
        <v/>
      </c>
      <c r="ID45" s="300" t="str">
        <f>IF(A45=FALSE,"",IF(LISTES!$A$17=3,Detail!AU45,lig1_Formula_PREVOY))</f>
        <v/>
      </c>
      <c r="IE45" s="461" t="str">
        <f t="shared" si="285"/>
        <v/>
      </c>
      <c r="IF45" s="490" t="str">
        <f>IF(A45=FALSE,"",IF(IA45="POEA",Cotations!BA45,IF(HA45="FIXE",Cotations!BB45,IF(Cotations!BC45*Y45&lt;50000,Z45,Cotations!BC45*Y45))))</f>
        <v/>
      </c>
      <c r="IG45" s="300" t="str">
        <f t="shared" si="286"/>
        <v/>
      </c>
      <c r="IH45" s="522" t="str">
        <f>IF(A45=FALSE,"",IF(Cotations!AZ45="monthly",IG45/12*L45,IG45/365*M45))</f>
        <v/>
      </c>
      <c r="II45" s="489" t="str">
        <f>IF(A45=FALSE,"",IF(Cotations!BD45="","",Cotations!BD45))</f>
        <v/>
      </c>
      <c r="IJ45" s="300" t="str">
        <f t="shared" si="287"/>
        <v/>
      </c>
      <c r="IK45" s="300" t="str">
        <f t="shared" si="288"/>
        <v/>
      </c>
      <c r="IL45" s="919" t="str">
        <f t="shared" si="289"/>
        <v/>
      </c>
      <c r="IM45" s="517" t="str">
        <f>IF(A45=FALSE,"",Cotations!BE45)</f>
        <v/>
      </c>
      <c r="IN45" s="517" t="str">
        <f>IF(A45=FALSE,"",Cotations!BF45)</f>
        <v/>
      </c>
      <c r="IO45" s="493" t="str">
        <f>IF(A45=FALSE,"",Cotations!BG45)</f>
        <v/>
      </c>
      <c r="IP45" s="517" t="str">
        <f>IF(A45=FALSE,"",IF(IM45="N/A",0,IF(INDEX(LISTES!$F$105:$F$109,MATCH(IM45,LISTES!$C$105:$C$109,0))="FIX",IF(INDEX(LISTES!$E$105:$E$109,MATCH(IM45,LISTES!$C$105:$C$109,0))=12,IN45/12*L45,IN45/365*M45),IO45*IL45)))</f>
        <v/>
      </c>
      <c r="IQ45" s="294" t="str">
        <f t="shared" si="290"/>
        <v/>
      </c>
      <c r="IR45" s="494" t="str">
        <f>IF(A45=FALSE,"",IQ45*Cotations!BH45)</f>
        <v/>
      </c>
      <c r="IS45" s="494" t="str">
        <f>IF(A45=FALSE,"",IQ45*Cotations!BI45)</f>
        <v/>
      </c>
      <c r="IT45" s="338" t="str">
        <f t="shared" si="291"/>
        <v/>
      </c>
      <c r="IU45" s="919" t="str">
        <f>IF(A45=FALSE,"",((IG45*TAXE)-(IG45*TAXE*II45))+IF(IM45="N/A",0,IF(INDEX(LISTES!$F$105:$F$109,MATCH(IM45,LISTES!$C$105:$C$109,0))="FIX",IN45,IO45*IL45)))</f>
        <v/>
      </c>
      <c r="JA45" s="492" t="str">
        <f>IF(A45=FALSE,"",Cotations!D45)</f>
        <v/>
      </c>
      <c r="JB45" s="495" t="str">
        <f>IF(A45=FALSE,"",IF(LISTES!$A$17=1,Cotations!BJ45,Cotations!$BK$4))</f>
        <v/>
      </c>
      <c r="JC45" s="291" t="str">
        <f t="shared" si="292"/>
        <v/>
      </c>
      <c r="JD45" s="291" t="str">
        <f t="shared" si="293"/>
        <v/>
      </c>
      <c r="JE45" s="456" t="str">
        <f t="shared" si="294"/>
        <v/>
      </c>
      <c r="JF45" s="496" t="str">
        <f>IF(A45=FALSE,"",IF(JA45="POEA",Cotations!BM45,IF(JA45="FIXE",Cotations!$BM$4,Cotations!$BO$4*Y45)))</f>
        <v/>
      </c>
      <c r="JG45" s="300" t="str">
        <f t="shared" si="295"/>
        <v/>
      </c>
      <c r="JH45" s="522" t="str">
        <f>IF(A45=FALSE,"",IF(Cotations!$BL$4="monthly",JG45/12*L45,JG45/365*M45))</f>
        <v/>
      </c>
      <c r="JI45" s="489" t="str">
        <f>IF(A45=FALSE,"",Cotations!$BP$4)</f>
        <v/>
      </c>
      <c r="JJ45" s="300" t="str">
        <f t="shared" si="296"/>
        <v/>
      </c>
      <c r="JK45" s="300" t="str">
        <f t="shared" si="297"/>
        <v/>
      </c>
      <c r="JL45" s="294" t="str">
        <f t="shared" si="298"/>
        <v/>
      </c>
      <c r="JM45" s="494" t="str">
        <f>IF(A45=FALSE,"",Cotations!$BQ$4)</f>
        <v/>
      </c>
      <c r="JN45" s="522" t="str">
        <f>IF(A45=FALSE,"",Cotations!$BR$4)</f>
        <v/>
      </c>
      <c r="JO45" s="489" t="str">
        <f>IF(A45=FALSE,"",Cotations!$BS$4)</f>
        <v/>
      </c>
      <c r="JP45" s="494" t="str">
        <f>IF(A45=FALSE,"",IF(JM45="N/A",0,IF(INDEX(LISTES!$F$105:$F$109,MATCH(JM45,LISTES!$C$105:$C$109,0))="FIX",IF(INDEX(LISTES!$E$105:$E$109,MATCH(JM45,LISTES!$C$105:$C$109,0))=12,JN45/12*L45,JN45/365*M45),JO45*JL45)))</f>
        <v/>
      </c>
      <c r="JQ45" s="294" t="str">
        <f t="shared" si="299"/>
        <v/>
      </c>
      <c r="JR45" s="494" t="str">
        <f>IF(A45=FALSE,"",JQ45*Cotations!$BT$4)</f>
        <v/>
      </c>
      <c r="JS45" s="494" t="str">
        <f>IF(A45=FALSE,"",JQ45*Cotations!$BU$4)</f>
        <v/>
      </c>
      <c r="JT45" s="294" t="str">
        <f t="shared" si="300"/>
        <v/>
      </c>
      <c r="JU45" s="919" t="str">
        <f>IF(A45=FALSE,"",((JG45*TAXE)-(JG45*TAXE*JI45))+IF(JM45="N/A",0,IF(INDEX(LISTES!$F$105:$F$109,MATCH(JM45,LISTES!$C$105:$C$109,0))="FIX",JN45,JO45*JL45)))</f>
        <v/>
      </c>
      <c r="KA45" s="492" t="str">
        <f>IF(A45=FALSE,"",Cotations!D45)</f>
        <v/>
      </c>
      <c r="KB45" s="491" t="str">
        <f>IF(A45=FALSE,"",IF(LISTES!$A$17=1,Cotations!BJ45,Cotations!BK45))</f>
        <v/>
      </c>
      <c r="KC45" s="285" t="str">
        <f t="shared" si="301"/>
        <v/>
      </c>
      <c r="KD45" s="300"/>
      <c r="KE45" s="461" t="str">
        <f t="shared" si="302"/>
        <v/>
      </c>
      <c r="KF45" s="490" t="str">
        <f>IF(A45=FALSE,"",IF(KA45="POEA",Cotations!BM45,IF(KA45="FIXE",Cotations!BN45,IF(Cotations!BO45*Y45&lt;50000,Z45,Cotations!BO45*Y45))))</f>
        <v/>
      </c>
      <c r="KG45" s="300" t="str">
        <f t="shared" si="303"/>
        <v/>
      </c>
      <c r="KH45" s="522" t="str">
        <f>IF(A45=FALSE,"",IF(Cotations!BL45="monthly",KG45/12*L45,KG45/365*M45))</f>
        <v/>
      </c>
      <c r="KI45" s="489" t="str">
        <f>IF(A45=FALSE,"",IF(Cotations!BP45="","",Cotations!BP45))</f>
        <v/>
      </c>
      <c r="KJ45" s="300" t="str">
        <f t="shared" si="304"/>
        <v/>
      </c>
      <c r="KK45" s="300" t="str">
        <f t="shared" si="305"/>
        <v/>
      </c>
      <c r="KL45" s="919" t="str">
        <f t="shared" si="306"/>
        <v/>
      </c>
      <c r="KM45" s="517" t="str">
        <f>IF(A45=FALSE,"",Cotations!BQ45)</f>
        <v/>
      </c>
      <c r="KN45" s="515" t="str">
        <f>IF(A45=FALSE,"",Cotations!BR45)</f>
        <v/>
      </c>
      <c r="KO45" s="493" t="str">
        <f>IF(A45=FALSE,"",Cotations!BS45)</f>
        <v/>
      </c>
      <c r="KP45" s="517" t="str">
        <f>IF(A45=FALSE,"",IF(KM45="N/A",0,IF(INDEX(LISTES!$F$105:$F$109,MATCH(KM45,LISTES!$C$105:$C$109,0))="FIX",IF(INDEX(LISTES!$E$105:$E$109,MATCH(KM45,LISTES!$C$105:$C$109,0))=12,KN45/12*L45,KN45/365*M45),KO45*KL45)))</f>
        <v/>
      </c>
      <c r="KQ45" s="294" t="str">
        <f t="shared" si="307"/>
        <v/>
      </c>
      <c r="KR45" s="494" t="str">
        <f>IF(A45=FALSE,"",KQ45*Cotations!BT45)</f>
        <v/>
      </c>
      <c r="KS45" s="494" t="str">
        <f>IF(A45=FALSE,"",KQ45*Cotations!BU45)</f>
        <v/>
      </c>
      <c r="KT45" s="338" t="str">
        <f t="shared" si="308"/>
        <v/>
      </c>
      <c r="KU45" s="919" t="str">
        <f>IF(A45=FALSE,"",((KG45*TAXE)-(KG45*TAXE*KI45))+IF(KM45="N/A",0,IF(INDEX(LISTES!$F$105:$F$109,MATCH(KM45,LISTES!$C$105:$C$109,0))="FIX",KN45,KO45*KL45)))</f>
        <v/>
      </c>
      <c r="LA45" s="497" t="str">
        <f>IF(A45=FALSE,"",Cotations!D45)</f>
        <v/>
      </c>
      <c r="LB45" s="498" t="str">
        <f>IF(A45=FALSE,"",IF(LISTES!$A$17=1,Cotations!BV45,Cotations!$BW$4))</f>
        <v/>
      </c>
      <c r="LC45" s="499" t="str">
        <f t="shared" si="309"/>
        <v/>
      </c>
      <c r="LD45" s="499" t="str">
        <f t="shared" si="310"/>
        <v/>
      </c>
      <c r="LE45" s="500" t="str">
        <f t="shared" si="311"/>
        <v/>
      </c>
      <c r="LF45" s="501" t="str">
        <f>IF(A45=FALSE,"",IF(LA45="POEA",Cotations!EJ45,IF(LA45="FIXE",Cotations!$BY$4,Cotations!$CA$4*Y45)))</f>
        <v/>
      </c>
      <c r="LG45" s="502" t="str">
        <f t="shared" si="312"/>
        <v/>
      </c>
      <c r="LH45" s="520" t="str">
        <f>IF(A45=FALSE,"",IF(Cotations!$BX$4="monthly",LG45/12*L45,LG45/365*M45))</f>
        <v/>
      </c>
      <c r="LI45" s="503" t="str">
        <f>IF(A45=FALSE,"",Cotations!$CB$4)</f>
        <v/>
      </c>
      <c r="LJ45" s="502" t="str">
        <f t="shared" si="313"/>
        <v/>
      </c>
      <c r="LK45" s="502" t="str">
        <f t="shared" si="314"/>
        <v/>
      </c>
      <c r="LL45" s="504" t="str">
        <f t="shared" si="315"/>
        <v/>
      </c>
      <c r="LM45" s="505" t="str">
        <f>IF(A45=FALSE,"",Cotations!$CC$4)</f>
        <v/>
      </c>
      <c r="LN45" s="503" t="str">
        <f>IF(A45=FALSE,"",Cotations!$CD$4)</f>
        <v/>
      </c>
      <c r="LO45" s="503" t="str">
        <f>IF(A45=FALSE,"",Cotations!$CE$4)</f>
        <v/>
      </c>
      <c r="LP45" s="505" t="str">
        <f>IF(A45=FALSE,"",IF(LM45="N/A",0,IF(INDEX(LISTES!$F$105:$F$109,MATCH(LM45,LISTES!$C$105:$C$109,0))="FIX",IF(INDEX(LISTES!$E$105:$E$109,MATCH(LM45,LISTES!$C$105:$C$109,0))=12,LN45/12*L45,LN45/365*M45),LO45*LL45)))</f>
        <v/>
      </c>
      <c r="LQ45" s="504" t="str">
        <f t="shared" si="316"/>
        <v/>
      </c>
      <c r="LR45" s="505" t="str">
        <f>IF(A45=FALSE,"",LQ45*Cotations!$CF$4)</f>
        <v/>
      </c>
      <c r="LS45" s="505" t="str">
        <f>IF(A45=FALSE,"",LQ45*Cotations!$CG$4)</f>
        <v/>
      </c>
      <c r="LT45" s="506" t="str">
        <f t="shared" si="317"/>
        <v/>
      </c>
      <c r="LU45" s="919" t="str">
        <f>IF(A45=FALSE,"",((LG45*TAXE)-(LG45*TAXE*LI45))+IF(LM45="N/A",0,IF(INDEX(LISTES!$F$105:$F$109,MATCH(LM45,LISTES!$C$105:$C$109,0))="FIX",LN45,LO45*LL45)))</f>
        <v/>
      </c>
      <c r="MA45" s="492" t="str">
        <f>IF(A45=FALSE,"",Cotations!D45)</f>
        <v/>
      </c>
      <c r="MB45" s="491" t="str">
        <f>IF(A45=FALSE,"",IF(LISTES!$A$17=1,Cotations!BV45,Cotations!BW45))</f>
        <v/>
      </c>
      <c r="MC45" s="285" t="str">
        <f t="shared" si="318"/>
        <v/>
      </c>
      <c r="MD45" s="300"/>
      <c r="ME45" s="461" t="str">
        <f t="shared" si="319"/>
        <v/>
      </c>
      <c r="MF45" s="490" t="str">
        <f>IF(A45=FALSE,"",IF(MA45="POEA",Cotations!BY45,IF(MA45="FIXE",Cotations!BZ45,IF(Cotations!CA45*Y45&lt;50000,Z45,Cotations!CA45*Y45))))</f>
        <v/>
      </c>
      <c r="MG45" s="300" t="str">
        <f t="shared" si="320"/>
        <v/>
      </c>
      <c r="MH45" s="522" t="str">
        <f>IF(A45=FALSE,"",IF(Cotations!BX45="monthly",MG45/12*L45,MG45/365*M45))</f>
        <v/>
      </c>
      <c r="MI45" s="489" t="str">
        <f>IF(A45=FALSE,"",IF(Cotations!CB45="","",Cotations!CB45))</f>
        <v/>
      </c>
      <c r="MJ45" s="300" t="str">
        <f t="shared" si="321"/>
        <v/>
      </c>
      <c r="MK45" s="300" t="str">
        <f t="shared" si="322"/>
        <v/>
      </c>
      <c r="ML45" s="919" t="str">
        <f t="shared" si="323"/>
        <v/>
      </c>
      <c r="MM45" s="517" t="str">
        <f>IF(A45=FALSE,"",Cotations!CC45)</f>
        <v/>
      </c>
      <c r="MN45" s="515" t="str">
        <f>IF(A45=FALSE,"",Cotations!CD45)</f>
        <v/>
      </c>
      <c r="MO45" s="493" t="str">
        <f>IF(A45=FALSE,"",Cotations!CE45)</f>
        <v/>
      </c>
      <c r="MP45" s="517" t="str">
        <f>IF(A45=FALSE,"",IF(MM45="N/A",0,IF(INDEX(LISTES!$F$105:$F$109,MATCH(MM45,LISTES!$C$105:$C$109,0))="FIX",IF(INDEX(LISTES!$E$105:$E$109,MATCH(MM45,LISTES!$C$105:$C$109,0))=12,MN45/12*L45,MN45/365*M45),MO45*ML45)))</f>
        <v/>
      </c>
      <c r="MQ45" s="294" t="str">
        <f t="shared" si="324"/>
        <v/>
      </c>
      <c r="MR45" s="494" t="str">
        <f>IF(A45=FALSE,"",MQ45*Cotations!CF45)</f>
        <v/>
      </c>
      <c r="MS45" s="494" t="str">
        <f>IF(A45=FALSE,"",MQ45*Cotations!CG45)</f>
        <v/>
      </c>
      <c r="MT45" s="338" t="str">
        <f t="shared" si="325"/>
        <v/>
      </c>
      <c r="MU45" s="919" t="str">
        <f>IF(A45=FALSE,"",((MG45*TAXE)-(MG45*TAXE*MI45))+IF(MM45="N/A",0,IF(INDEX(LISTES!$F$105:$F$109,MATCH(MM45,LISTES!$C$105:$C$109,0))="FIX",MN45,MO45*ML45)))</f>
        <v/>
      </c>
      <c r="NA45" s="497" t="str">
        <f>IF(A45=FALSE,"",Cotations!D45)</f>
        <v/>
      </c>
      <c r="NB45" s="498" t="str">
        <f>IF(A45=FALSE,"",IF(LISTES!$A$17=1,Cotations!CH45,Cotations!$CI$4))</f>
        <v/>
      </c>
      <c r="NC45" s="499" t="str">
        <f t="shared" si="326"/>
        <v/>
      </c>
      <c r="ND45" s="499" t="str">
        <f t="shared" si="327"/>
        <v/>
      </c>
      <c r="NE45" s="500" t="str">
        <f t="shared" si="328"/>
        <v/>
      </c>
      <c r="NF45" s="501" t="str">
        <f>IF(A45=FALSE,"",IF(NA45="POEA",Cotations!CK45,IF(NA45="FIXE",Cotations!$CK$4,Cotations!$CM$4*Y45)))</f>
        <v/>
      </c>
      <c r="NG45" s="502" t="str">
        <f t="shared" si="329"/>
        <v/>
      </c>
      <c r="NH45" s="520" t="str">
        <f>IF(A45=FALSE,"",IF(Cotations!$CJ$4="monthly",NG45/12*L45,NG45/365*M45))</f>
        <v/>
      </c>
      <c r="NI45" s="503" t="str">
        <f>IF(A45=FALSE,"",Cotations!$CN$4)</f>
        <v/>
      </c>
      <c r="NJ45" s="502" t="str">
        <f t="shared" si="330"/>
        <v/>
      </c>
      <c r="NK45" s="502" t="str">
        <f t="shared" si="331"/>
        <v/>
      </c>
      <c r="NL45" s="504" t="str">
        <f t="shared" si="332"/>
        <v/>
      </c>
      <c r="NM45" s="505" t="str">
        <f>IF(A45=FALSE,"",Cotations!$CO$4)</f>
        <v/>
      </c>
      <c r="NN45" s="520" t="str">
        <f>IF(A45=FALSE,"",Cotations!$CP$4)</f>
        <v/>
      </c>
      <c r="NO45" s="503" t="str">
        <f>IF(A45=FALSE,"",Cotations!$CQ$4)</f>
        <v/>
      </c>
      <c r="NP45" s="505" t="str">
        <f>IF(A45=FALSE,"",IF(NM45="N/A",0,IF(INDEX(LISTES!$F$105:$F$109,MATCH(NM45,LISTES!$C$105:$C$109,0))="FIX",IF(INDEX(LISTES!$E$105:$E$109,MATCH(NM45,LISTES!$C$105:$C$109,0))=12,NN45/12*L45,NN45/365*M45),NO45*NL45)))</f>
        <v/>
      </c>
      <c r="NQ45" s="504" t="str">
        <f t="shared" si="333"/>
        <v/>
      </c>
      <c r="NR45" s="505" t="str">
        <f>IF(A45=FALSE,"",NQ45*Cotations!$CR$4)</f>
        <v/>
      </c>
      <c r="NS45" s="505" t="str">
        <f>IF(A45=FALSE,"",NQ45*Cotations!$CS$4)</f>
        <v/>
      </c>
      <c r="NT45" s="506" t="str">
        <f t="shared" si="334"/>
        <v/>
      </c>
      <c r="NU45" s="919" t="str">
        <f>IF(A45=FALSE,"",((NG45*TAXE)-(NG45*TAXE*NI45))+IF(NM45="N/A",0,IF(INDEX(LISTES!$F$105:$F$109,MATCH(NM45,LISTES!$C$105:$C$109,0))="FIX",NN45,NO45*NL45)))</f>
        <v/>
      </c>
      <c r="OA45" s="492" t="str">
        <f>IF(A45=FALSE,"",Cotations!D45)</f>
        <v/>
      </c>
      <c r="OB45" s="491" t="str">
        <f>IF(A45=FALSE,"",IF(LISTES!$A$17=1,Cotations!CH45,Cotations!CI45))</f>
        <v/>
      </c>
      <c r="OC45" s="285" t="str">
        <f t="shared" si="335"/>
        <v/>
      </c>
      <c r="OD45" s="300"/>
      <c r="OE45" s="461" t="str">
        <f t="shared" si="336"/>
        <v/>
      </c>
      <c r="OF45" s="490" t="str">
        <f>IF(A45=FALSE,"",IF(OA45="POEA",Cotations!CK45,IF(OA45="FIXE",Cotations!CL45,IF(Cotations!CM45*Y45&lt;50000,Z45,Cotations!CM45*Y45))))</f>
        <v/>
      </c>
      <c r="OG45" s="300" t="str">
        <f t="shared" si="337"/>
        <v/>
      </c>
      <c r="OH45" s="522" t="str">
        <f>IF(A45=FALSE,"",IF(Cotations!CJ45="monthly",OG45/12*L45,OG45/365*M45))</f>
        <v/>
      </c>
      <c r="OI45" s="489" t="str">
        <f>IF(A45=FALSE,"",IF(Cotations!CN45="","",Cotations!CN45))</f>
        <v/>
      </c>
      <c r="OJ45" s="300" t="str">
        <f t="shared" si="338"/>
        <v/>
      </c>
      <c r="OK45" s="300" t="str">
        <f t="shared" si="339"/>
        <v/>
      </c>
      <c r="OL45" s="919" t="str">
        <f t="shared" si="340"/>
        <v/>
      </c>
      <c r="OM45" s="517" t="str">
        <f>IF(A45=FALSE,"",Cotations!CO45)</f>
        <v/>
      </c>
      <c r="ON45" s="515" t="str">
        <f>IF(A45=FALSE,"",Cotations!CP45)</f>
        <v/>
      </c>
      <c r="OO45" s="493" t="str">
        <f>IF(A45=FALSE,"",Cotations!CQ45)</f>
        <v/>
      </c>
      <c r="OP45" s="517" t="str">
        <f>IF(A45=FALSE,"",IF(OM45="N/A",0,IF(INDEX(LISTES!$F$105:$F$109,MATCH(OM45,LISTES!$C$105:$C$109,0))="FIX",IF(INDEX(LISTES!$E$105:$E$109,MATCH(OM45,LISTES!$C$105:$C$109,0))=12,ON45/12*L45,ON45/365*M45),OO45*OL45)))</f>
        <v/>
      </c>
      <c r="OQ45" s="294" t="str">
        <f t="shared" si="341"/>
        <v/>
      </c>
      <c r="OR45" s="494" t="str">
        <f>IF(A45=FALSE,"",OQ45*Cotations!CR45)</f>
        <v/>
      </c>
      <c r="OS45" s="494" t="str">
        <f>IF(A45=FALSE,"",OQ45*Cotations!CS45)</f>
        <v/>
      </c>
      <c r="OT45" s="338" t="str">
        <f t="shared" si="342"/>
        <v/>
      </c>
      <c r="OU45" s="919" t="str">
        <f>IF(A45=FALSE,"",((OG45*TAXE)-(OG45*TAXE*OI45))+IF(OM45="N/A",0,IF(INDEX(LISTES!$F$105:$F$109,MATCH(OM45,LISTES!$C$105:$C$109,0))="FIX",ON45,OO45*OL45)))</f>
        <v/>
      </c>
      <c r="PA45" s="497" t="str">
        <f t="shared" si="343"/>
        <v/>
      </c>
      <c r="PB45" s="498" t="str">
        <f>IF(A45=FALSE,"",IF(LISTES!$A$17=1,Cotations!CT45,Cotations!$CU$4))</f>
        <v/>
      </c>
      <c r="PC45" s="499" t="str">
        <f t="shared" si="344"/>
        <v/>
      </c>
      <c r="PD45" s="499" t="str">
        <f t="shared" si="345"/>
        <v/>
      </c>
      <c r="PE45" s="500" t="str">
        <f t="shared" si="346"/>
        <v/>
      </c>
      <c r="PF45" s="501" t="str">
        <f>IF(A45=FALSE,"",Cotations!$CY$4*Y45)</f>
        <v/>
      </c>
      <c r="PG45" s="502" t="str">
        <f t="shared" si="347"/>
        <v/>
      </c>
      <c r="PH45" s="520" t="str">
        <f>IF(A45=FALSE,"",IF(Cotations!$CV$4="monthly",PG45/12*L45,PG45/365*M45))</f>
        <v/>
      </c>
      <c r="PI45" s="503" t="str">
        <f>IF(A45=FALSE,"",Cotations!$CZ$4)</f>
        <v/>
      </c>
      <c r="PJ45" s="502" t="str">
        <f t="shared" si="348"/>
        <v/>
      </c>
      <c r="PK45" s="502" t="str">
        <f t="shared" si="349"/>
        <v/>
      </c>
      <c r="PL45" s="504" t="str">
        <f t="shared" si="350"/>
        <v/>
      </c>
      <c r="PM45" s="505" t="str">
        <f>IF(A45=FALSE,"",Cotations!$DA$4)</f>
        <v/>
      </c>
      <c r="PN45" s="520" t="str">
        <f>IF(A45=FALSE,"",Cotations!$DB$4)</f>
        <v/>
      </c>
      <c r="PO45" s="503" t="str">
        <f>IF(A45=FALSE,"",Cotations!$DC$4)</f>
        <v/>
      </c>
      <c r="PP45" s="505" t="str">
        <f>IF(A45=FALSE,"",IF(PM45="N/A",0,IF(INDEX(LISTES!$F$105:$F$109,MATCH(PM45,LISTES!$C$105:$C$109,0))="FIX",IF(INDEX(LISTES!$E$105:$E$109,MATCH(PM45,LISTES!$C$105:$C$109,0))=12,PN45/12*L45,PN45/365*M45),PO45*PL45)))</f>
        <v/>
      </c>
      <c r="PQ45" s="504" t="str">
        <f t="shared" si="351"/>
        <v/>
      </c>
      <c r="PR45" s="505" t="str">
        <f>IF(A45=FALSE,"",PQ45*Cotations!$DD$4)</f>
        <v/>
      </c>
      <c r="PS45" s="505" t="str">
        <f>IF(A45=FALSE,"",PQ45*Cotations!$DE$4)</f>
        <v/>
      </c>
      <c r="PT45" s="506" t="str">
        <f t="shared" si="352"/>
        <v/>
      </c>
      <c r="PU45" s="919" t="str">
        <f>IF(A45=FALSE,"",((PG45*TAXE)-(PG45*TAXE*PI45))+IF(PM45="N/A",0,IF(INDEX(LISTES!$F$105:$F$109,MATCH(PM45,LISTES!$C$105:$C$109,0))="FIX",PN45,PO45*PL45)))</f>
        <v/>
      </c>
      <c r="QA45" s="492" t="str">
        <f t="shared" si="353"/>
        <v/>
      </c>
      <c r="QB45" s="491" t="str">
        <f>IF(A45=FALSE,"",IF(LISTES!$A$17=1,Cotations!CT45,Cotations!CU45))</f>
        <v/>
      </c>
      <c r="QC45" s="285" t="str">
        <f t="shared" si="354"/>
        <v/>
      </c>
      <c r="QD45" s="300"/>
      <c r="QE45" s="461" t="str">
        <f t="shared" si="355"/>
        <v/>
      </c>
      <c r="QF45" s="490" t="str">
        <f>IF(A45=FALSE,"",Cotations!CY45*AA45)</f>
        <v/>
      </c>
      <c r="QG45" s="300" t="str">
        <f t="shared" si="356"/>
        <v/>
      </c>
      <c r="QH45" s="522" t="str">
        <f>IF(A45=FALSE,"",IF(Cotations!CV45="monthly",QG45/12*L45,QG45/365*M45))</f>
        <v/>
      </c>
      <c r="QI45" s="489" t="str">
        <f>IF(A45=FALSE,"",IF(Cotations!CZ45="","",Cotations!CZ45))</f>
        <v/>
      </c>
      <c r="QJ45" s="300" t="str">
        <f t="shared" si="357"/>
        <v/>
      </c>
      <c r="QK45" s="300" t="str">
        <f t="shared" si="358"/>
        <v/>
      </c>
      <c r="QL45" s="919" t="str">
        <f t="shared" si="359"/>
        <v/>
      </c>
      <c r="QM45" s="517" t="str">
        <f>IF(A45=FALSE,"",Cotations!DA45)</f>
        <v/>
      </c>
      <c r="QN45" s="515" t="str">
        <f>IF(A45=FALSE,"",Cotations!DB45)</f>
        <v/>
      </c>
      <c r="QO45" s="493" t="str">
        <f>IF(A45=FALSE,"",Cotations!DC45)</f>
        <v/>
      </c>
      <c r="QP45" s="517" t="str">
        <f>IF(A45=FALSE,"",IF(QM45="N/A",0,IF(INDEX(LISTES!$F$105:$F$109,MATCH(QM45,LISTES!$C$105:$C$109,0))="FIX",IF(INDEX(LISTES!$E$105:$E$109,MATCH(QM45,LISTES!$C$105:$C$109,0))=12,QN45/12*L45,QN45/365*M45),QO45*QL45)))</f>
        <v/>
      </c>
      <c r="QQ45" s="294" t="str">
        <f t="shared" si="360"/>
        <v/>
      </c>
      <c r="QR45" s="494" t="str">
        <f>IF(A45=FALSE,"",QQ45*Cotations!DD45)</f>
        <v/>
      </c>
      <c r="QS45" s="494" t="str">
        <f>IF(A45=FALSE,"",QQ45*Cotations!DE45)</f>
        <v/>
      </c>
      <c r="QT45" s="338" t="str">
        <f t="shared" si="361"/>
        <v/>
      </c>
      <c r="QU45" s="919" t="str">
        <f>IF(A45=FALSE,"",((QG45*TAXE)-(QG45*TAXE*QI45))+IF(QM45="N/A",0,IF(INDEX(LISTES!$F$105:$F$109,MATCH(QM45,LISTES!$C$105:$C$109,0))="FIX",QN45,QO45*QL45)))</f>
        <v/>
      </c>
      <c r="RA45" s="497" t="str">
        <f t="shared" si="362"/>
        <v/>
      </c>
      <c r="RB45" s="498" t="str">
        <f>IF(A45=FALSE,"",IF(LISTES!$A$17=1,Cotations!DF45,Cotations!$DG$4))</f>
        <v/>
      </c>
      <c r="RC45" s="499" t="str">
        <f t="shared" si="363"/>
        <v/>
      </c>
      <c r="RD45" s="499" t="str">
        <f t="shared" si="364"/>
        <v/>
      </c>
      <c r="RE45" s="500" t="str">
        <f t="shared" si="365"/>
        <v/>
      </c>
      <c r="RF45" s="501" t="str">
        <f>IF(A45=FALSE,"",Cotations!$DK$4*Y45)</f>
        <v/>
      </c>
      <c r="RG45" s="502" t="str">
        <f t="shared" si="366"/>
        <v/>
      </c>
      <c r="RH45" s="520" t="str">
        <f>IF(A45=FALSE,"",IF(Cotations!$DH$4="monthly",RG45/12*L45,RG45/365*M45))</f>
        <v/>
      </c>
      <c r="RI45" s="503" t="str">
        <f>IF(A45=FALSE,"",Cotations!$DL$4)</f>
        <v/>
      </c>
      <c r="RJ45" s="502" t="str">
        <f t="shared" si="367"/>
        <v/>
      </c>
      <c r="RK45" s="502" t="str">
        <f t="shared" si="368"/>
        <v/>
      </c>
      <c r="RL45" s="504" t="str">
        <f t="shared" si="369"/>
        <v/>
      </c>
      <c r="RM45" s="505" t="str">
        <f>IF(A45=FALSE,"",Cotations!$DM$4)</f>
        <v/>
      </c>
      <c r="RN45" s="520" t="str">
        <f>IF(A45=FALSE,"",Cotations!$DN$4)</f>
        <v/>
      </c>
      <c r="RO45" s="503" t="str">
        <f>IF(A45=FALSE,"",Cotations!$DO$4)</f>
        <v/>
      </c>
      <c r="RP45" s="505" t="str">
        <f>IF(A45=FALSE,"",IF(RM45="N/A",0,IF(INDEX(LISTES!$F$105:$F$109,MATCH(RM45,LISTES!$C$105:$C$109,0))="FIX",IF(INDEX(LISTES!$E$105:$E$109,MATCH(RM45,LISTES!$C$105:$C$109,0))=12,RN45/12*L45,RN45/365*M45),RO45*RL45)))</f>
        <v/>
      </c>
      <c r="RQ45" s="504" t="str">
        <f t="shared" si="370"/>
        <v/>
      </c>
      <c r="RR45" s="505" t="str">
        <f>IF(A45=FALSE,"",RQ45*Cotations!$DP$4)</f>
        <v/>
      </c>
      <c r="RS45" s="505" t="str">
        <f>IF(A45=FALSE,"",RQ45*Cotations!$DQ$4)</f>
        <v/>
      </c>
      <c r="RT45" s="506" t="str">
        <f t="shared" si="371"/>
        <v/>
      </c>
      <c r="RU45" s="919" t="str">
        <f>IF(A45=FALSE,"",((RG45*TAXE)-(RG45*TAXE*RI45))+IF(RM45="N/A",0,IF(INDEX(LISTES!$F$105:$F$109,MATCH(RM45,LISTES!$C$105:$C$109,0))="FIX",RN45,RO45*RL45)))</f>
        <v/>
      </c>
      <c r="SA45" s="492" t="str">
        <f t="shared" si="372"/>
        <v/>
      </c>
      <c r="SB45" s="491" t="str">
        <f>IF(A45=FALSE,"",IF(LISTES!$A$17=1,Cotations!DF45,Cotations!DG45))</f>
        <v/>
      </c>
      <c r="SC45" s="285" t="str">
        <f t="shared" si="373"/>
        <v/>
      </c>
      <c r="SD45" s="300"/>
      <c r="SE45" s="461" t="str">
        <f t="shared" si="374"/>
        <v/>
      </c>
      <c r="SF45" s="490" t="str">
        <f>IF(A45=FALSE,"",Cotations!DK45*AA45)</f>
        <v/>
      </c>
      <c r="SG45" s="300" t="str">
        <f t="shared" si="375"/>
        <v/>
      </c>
      <c r="SH45" s="522" t="str">
        <f>IF(A45=FALSE,"",IF(Cotations!DH45="monthly",SG45/12*L45,SG45/365*M45))</f>
        <v/>
      </c>
      <c r="SI45" s="489" t="str">
        <f>IF(A45=FALSE,"",IF(Cotations!DL45="","",Cotations!DL45))</f>
        <v/>
      </c>
      <c r="SJ45" s="300" t="str">
        <f t="shared" si="376"/>
        <v/>
      </c>
      <c r="SK45" s="300" t="str">
        <f t="shared" si="377"/>
        <v/>
      </c>
      <c r="SL45" s="919" t="str">
        <f t="shared" si="378"/>
        <v/>
      </c>
      <c r="SM45" s="285" t="str">
        <f>IF(A45=FALSE,"",Cotations!DM45)</f>
        <v/>
      </c>
      <c r="SN45" s="515" t="str">
        <f>IF(A45=FALSE,"",Cotations!DN45)</f>
        <v/>
      </c>
      <c r="SO45" s="493" t="str">
        <f>IF(A45=FALSE,"",Cotations!DO45)</f>
        <v/>
      </c>
      <c r="SP45" s="517" t="str">
        <f>IF(A45=FALSE,"",IF(SM45="N/A",0,IF(INDEX(LISTES!$F$105:$F$109,MATCH(SM45,LISTES!$C$105:$C$109,0))="FIX",IF(INDEX(LISTES!$E$105:$E$109,MATCH(SM45,LISTES!$C$105:$C$109,0))=12,SN45/12*L45,SN45/365*M45),SO45*SL45)))</f>
        <v/>
      </c>
      <c r="SQ45" s="294" t="str">
        <f t="shared" si="379"/>
        <v/>
      </c>
      <c r="SR45" s="494" t="str">
        <f>IF(A45=FALSE,"",SQ45*Cotations!DP45)</f>
        <v/>
      </c>
      <c r="SS45" s="494" t="str">
        <f>IF(A45=FALSE,"",SQ45*Cotations!DQ45)</f>
        <v/>
      </c>
      <c r="ST45" s="338" t="str">
        <f t="shared" si="380"/>
        <v/>
      </c>
      <c r="SU45" s="919" t="str">
        <f>IF(A45=FALSE,"",((SG45*TAXE)-(SG45*TAXE*SI45))+IF(SM45="N/A",0,IF(INDEX(LISTES!$F$105:$F$109,MATCH(SM45,LISTES!$C$105:$C$109,0))="FIX",SN45,SO45*SL45)))</f>
        <v/>
      </c>
      <c r="TA45" s="492" t="str">
        <f>IF(A45=FALSE,"",Cotations!D45)</f>
        <v/>
      </c>
      <c r="TB45" s="491" t="str">
        <f>IF(A45=FALSE,"",IF(LISTES!$A$17=1,Cotations!DR45,Cotations!DS45))</f>
        <v/>
      </c>
      <c r="TC45" s="285" t="str">
        <f t="shared" si="381"/>
        <v/>
      </c>
      <c r="TD45" s="300" t="str">
        <f>IF(A45=FALSE,"",Detail!CQ45)</f>
        <v/>
      </c>
      <c r="TE45" s="461" t="str">
        <f t="shared" si="382"/>
        <v/>
      </c>
      <c r="TF45" s="490" t="str">
        <f>IF(A45=FALSE,"",IF(TA45="FIXE",Cotations!DU45,Cotations!DV45*Y45))</f>
        <v/>
      </c>
      <c r="TG45" s="300" t="str">
        <f t="shared" si="383"/>
        <v/>
      </c>
      <c r="TH45" s="522" t="str">
        <f>IF(A45=FALSE,"",IF(Cotations!DT45="monthly",TG45/12*L45,TG45/365*M45))</f>
        <v/>
      </c>
      <c r="TI45" s="489" t="str">
        <f>IF(A45=FALSE,"",IF(Cotations!DW45="","",Cotations!DW45))</f>
        <v/>
      </c>
      <c r="TJ45" s="300" t="str">
        <f t="shared" si="384"/>
        <v/>
      </c>
      <c r="TK45" s="300" t="str">
        <f t="shared" si="385"/>
        <v/>
      </c>
      <c r="TL45" s="919" t="str">
        <f t="shared" si="386"/>
        <v/>
      </c>
      <c r="TM45" s="517" t="str">
        <f>IF(A45=FALSE,"",Cotations!DX45)</f>
        <v/>
      </c>
      <c r="TN45" s="517" t="str">
        <f>IF(A45=FALSE,"",Cotations!DY45)</f>
        <v/>
      </c>
      <c r="TO45" s="493" t="str">
        <f>IF(A45=FALSE,"",Cotations!DZ45)</f>
        <v/>
      </c>
      <c r="TP45" s="517" t="str">
        <f>IF(A45=FALSE,"",IF(TM45="N/A",0,IF(INDEX(LISTES!$F$105:$F$109,MATCH(TM45,LISTES!$C$105:$C$109,0))="FIX",IF(INDEX(LISTES!$E$105:$E$109,MATCH(TM45,LISTES!$C$105:$C$109,0))=12,TN45/12*L45,TN45/365*M45),TO45*TL45)))</f>
        <v/>
      </c>
      <c r="TQ45" s="294" t="str">
        <f t="shared" si="387"/>
        <v/>
      </c>
      <c r="TR45" s="494" t="str">
        <f>IF(A45=FALSE,"",TQ45*Cotations!EA45)</f>
        <v/>
      </c>
      <c r="TS45" s="494" t="str">
        <f>IF(A45=FALSE,"",TQ45*Cotations!EB45)</f>
        <v/>
      </c>
      <c r="TT45" s="338" t="str">
        <f t="shared" si="388"/>
        <v/>
      </c>
      <c r="TU45" s="919" t="str">
        <f>IF(A45=FALSE,"",((TG45*(1+TAXE)-(TG45*(1+TAXE)*TI45))+IF(TM45="N/A",0,IF(INDEX(LISTES!$F$105:$F$109,MATCH(TM45,LISTES!$C$105:$C$109,0))="FIX",TN45,TO45*TL45))))</f>
        <v/>
      </c>
      <c r="UA45" s="492" t="str">
        <f>IF(A45=FALSE,"",Cotations!D45)</f>
        <v/>
      </c>
      <c r="UB45" s="491" t="str">
        <f>IF(A45=FALSE,"",IF(LISTES!$A$17=1,Cotations!EC45,Cotations!ED45))</f>
        <v/>
      </c>
      <c r="UC45" s="285" t="str">
        <f t="shared" si="389"/>
        <v/>
      </c>
      <c r="UD45" s="300" t="str">
        <f>IF(A45=FALSE,"",Detail!CY45)</f>
        <v/>
      </c>
      <c r="UE45" s="461" t="str">
        <f t="shared" si="390"/>
        <v/>
      </c>
      <c r="UF45" s="490" t="str">
        <f>IF(A45=FALSE,"",IF(UA45="FIXE",Cotations!EF45,Cotations!EG45*Y45))</f>
        <v/>
      </c>
      <c r="UG45" s="300" t="str">
        <f t="shared" si="391"/>
        <v/>
      </c>
      <c r="UH45" s="522" t="str">
        <f>IF(A45=FALSE,"",IF(Cotations!EE45="monthly",UG45/12*L45,UG45/365*M45))</f>
        <v/>
      </c>
      <c r="UI45" s="489" t="str">
        <f>IF(A45=FALSE,"",IF(Cotations!EH45="","",Cotations!EH45))</f>
        <v/>
      </c>
      <c r="UJ45" s="300" t="str">
        <f t="shared" si="392"/>
        <v/>
      </c>
      <c r="UK45" s="300" t="str">
        <f t="shared" si="393"/>
        <v/>
      </c>
      <c r="UL45" s="919" t="str">
        <f t="shared" si="394"/>
        <v/>
      </c>
      <c r="UM45" s="517" t="str">
        <f>IF(A45=FALSE,"",Cotations!EI45)</f>
        <v/>
      </c>
      <c r="UN45" s="517" t="str">
        <f>IF(A45=FALSE,"",Cotations!EJ45)</f>
        <v/>
      </c>
      <c r="UO45" s="493" t="str">
        <f>IF(A45=FALSE,"",Cotations!EK45)</f>
        <v/>
      </c>
      <c r="UP45" s="517" t="str">
        <f>IF(A45=FALSE,"",IF(UM45="N/A",0,IF(INDEX(LISTES!$F$105:$F$109,MATCH(UM45,LISTES!$C$105:$C$109,0))="FIX",IF(INDEX(LISTES!$E$105:$E$109,MATCH(UM45,LISTES!$C$105:$C$109,0))=12,UN45/12*L45,UN45/365*M45),UO45*UL45)))</f>
        <v/>
      </c>
      <c r="UQ45" s="294" t="str">
        <f t="shared" si="395"/>
        <v/>
      </c>
      <c r="UR45" s="494" t="str">
        <f>IF(A45=FALSE,"",UQ45*Cotations!EL45)</f>
        <v/>
      </c>
      <c r="US45" s="494" t="str">
        <f>IF(A45=FALSE,"",UQ45*Cotations!EM45)</f>
        <v/>
      </c>
      <c r="UT45" s="338" t="str">
        <f t="shared" si="396"/>
        <v/>
      </c>
      <c r="UU45" s="919" t="str">
        <f>IF(A45=FALSE,"",((UG45*(1+TAXE)-(UG45*(1+TAXE)*UI45))+IF(UM45="N/A",0,IF(INDEX(LISTES!$F$105:$F$109,MATCH(UM45,LISTES!$C$105:$C$109,0))="FIX",UN45,UO45*UL45))))</f>
        <v/>
      </c>
      <c r="VA45" s="492" t="str">
        <f>IF(A45=FALSE,"",Cotations!D45)</f>
        <v/>
      </c>
      <c r="VB45" s="519" t="str">
        <f>IF(A45=FALSE,"",IF(LISTES!$A$17=1,Cotations!EN45,Cotations!EO45))</f>
        <v/>
      </c>
      <c r="VC45" s="291" t="str">
        <f t="shared" si="397"/>
        <v/>
      </c>
      <c r="VD45" s="291" t="str">
        <f t="shared" si="398"/>
        <v/>
      </c>
      <c r="VE45" s="291"/>
      <c r="VF45" s="463"/>
      <c r="VG45" s="463" t="str">
        <f t="shared" si="399"/>
        <v/>
      </c>
      <c r="VH45" s="522" t="str">
        <f>IF(A45=FALSE,"",IF(Cotations!$AQ$4="monthly",VG45/12*L45,VG45/365*M45))</f>
        <v/>
      </c>
      <c r="VI45" s="489" t="str">
        <f>IF(A45=FALSE,"",Cotations!$AR$4)</f>
        <v/>
      </c>
      <c r="VJ45" s="300" t="str">
        <f t="shared" si="400"/>
        <v/>
      </c>
      <c r="VK45" s="300" t="str">
        <f t="shared" si="401"/>
        <v/>
      </c>
      <c r="VL45" s="294" t="str">
        <f t="shared" si="402"/>
        <v/>
      </c>
      <c r="VM45" s="494" t="str">
        <f>IF(A45=FALSE,"",Cotations!$AS$4)</f>
        <v/>
      </c>
      <c r="VN45" s="494" t="str">
        <f>IF(A45=FALSE,"",Cotations!$AT$4)</f>
        <v/>
      </c>
      <c r="VO45" s="489" t="str">
        <f>IF(A45=FALSE,"",Cotations!$AU$4)</f>
        <v/>
      </c>
      <c r="VP45" s="494" t="str">
        <f>IF(A45=FALSE,"",IF(VM45="N/A",0,IF(INDEX(LISTES!$F$105:$F$109,MATCH(VM45,LISTES!$C$105:$C$109,0))="FIX",IF(INDEX(LISTES!$E$105:$E$109,MATCH(VM45,LISTES!$C$105:$C$109,0))=12,VN45/12*L45,VN45/365*M45),VO45*VL45)))</f>
        <v/>
      </c>
      <c r="VQ45" s="294" t="str">
        <f t="shared" si="403"/>
        <v/>
      </c>
      <c r="VR45" s="494" t="str">
        <f>IF(A45=FALSE,"",VQ45*Cotations!$AV$4)</f>
        <v/>
      </c>
      <c r="VS45" s="494" t="str">
        <f>IF(A45=FALSE,"",VQ45*Cotations!$AW$4)</f>
        <v/>
      </c>
      <c r="VT45" s="465" t="str">
        <f t="shared" si="404"/>
        <v/>
      </c>
      <c r="VU45" s="919" t="str">
        <f>IF(A45=FALSE,"",((VG45*TAXE)-(VG45*TAXE*VI45))+IF(VM45="N/A",0,IF(INDEX(LISTES!$F$105:$F$109,MATCH(VM45,LISTES!$C$105:$C$109,0))="FIX",VN45,VO45*VL45)))</f>
        <v/>
      </c>
      <c r="WA45" s="492" t="str">
        <f>IF(A45=FALSE,"",Cotations!D45)</f>
        <v/>
      </c>
      <c r="WB45" s="519" t="str">
        <f>IF(A45=FALSE,"",IF(LISTES!$A$17=1,Cotations!EW45,Cotations!EX45))</f>
        <v/>
      </c>
      <c r="WC45" s="291" t="str">
        <f t="shared" si="405"/>
        <v/>
      </c>
      <c r="WD45" s="291" t="str">
        <f t="shared" si="406"/>
        <v/>
      </c>
      <c r="WE45" s="291"/>
      <c r="WF45" s="463"/>
      <c r="WG45" s="463" t="str">
        <f t="shared" si="407"/>
        <v/>
      </c>
      <c r="WH45" s="522" t="str">
        <f>IF(A45=FALSE,"",IF(Cotations!$AQ$4="monthly",WG45/12*L45,WG45/365*M45))</f>
        <v/>
      </c>
      <c r="WI45" s="489" t="str">
        <f>IF(A45=FALSE,"",Cotations!$AR$4)</f>
        <v/>
      </c>
      <c r="WJ45" s="300" t="str">
        <f t="shared" si="408"/>
        <v/>
      </c>
      <c r="WK45" s="300" t="str">
        <f t="shared" si="409"/>
        <v/>
      </c>
      <c r="WL45" s="294" t="str">
        <f t="shared" si="410"/>
        <v/>
      </c>
      <c r="WM45" s="494" t="str">
        <f>IF(A45=FALSE,"",Cotations!$AS$4)</f>
        <v/>
      </c>
      <c r="WN45" s="494" t="str">
        <f>IF(A45=FALSE,"",Cotations!$AT$4)</f>
        <v/>
      </c>
      <c r="WO45" s="489" t="str">
        <f>IF(A45=FALSE,"",Cotations!$AU$4)</f>
        <v/>
      </c>
      <c r="WP45" s="494" t="str">
        <f>IF(A45=FALSE,"",IF(WM45="N/A",0,IF(INDEX(LISTES!$F$105:$F$109,MATCH(WM45,LISTES!$C$105:$C$109,0))="FIX",IF(INDEX(LISTES!$E$105:$E$109,MATCH(WM45,LISTES!$C$105:$C$109,0))=12,WN45/12*L45,WN45/365*M45),WO45*WL45)))</f>
        <v/>
      </c>
      <c r="WQ45" s="294" t="str">
        <f t="shared" si="411"/>
        <v/>
      </c>
      <c r="WR45" s="494" t="str">
        <f>IF(A45=FALSE,"",WQ45*Cotations!$AV$4)</f>
        <v/>
      </c>
      <c r="WS45" s="494" t="str">
        <f>IF(A45=FALSE,"",WQ45*Cotations!$AW$4)</f>
        <v/>
      </c>
      <c r="WT45" s="465" t="str">
        <f t="shared" si="412"/>
        <v/>
      </c>
      <c r="WU45" s="919" t="str">
        <f>IF(A45=FALSE,"",((WG45*TAXE)-(WG45*TAXE*WI45))+IF(WM45="N/A",0,IF(INDEX(LISTES!$F$105:$F$109,MATCH(WM45,LISTES!$C$105:$C$109,0))="FIX",WN45,WO45*WL45)))</f>
        <v/>
      </c>
    </row>
    <row r="46" spans="1:619">
      <c r="A46" s="942" t="b">
        <f t="shared" si="221"/>
        <v>0</v>
      </c>
      <c r="B46" s="942" t="b">
        <f>IF(NAMES!$B$9=TRUE,TRUE,FALSE)</f>
        <v>1</v>
      </c>
      <c r="C46" s="942" t="b">
        <f t="shared" si="413"/>
        <v>0</v>
      </c>
      <c r="D46" s="942" t="b">
        <f t="shared" si="414"/>
        <v>0</v>
      </c>
      <c r="E46" s="274" t="b">
        <f>IF(Cotations!C46="","",Cotations!C46)</f>
        <v>0</v>
      </c>
      <c r="F46" s="274" t="str">
        <f>IF(Cotations!D46="","",Cotations!D46)</f>
        <v>PROP</v>
      </c>
      <c r="G46" s="274" t="str">
        <f>IF(Cotations!E46="","",Cotations!E46)</f>
        <v>2016-2017!</v>
      </c>
      <c r="H46" s="274" t="str">
        <f>IF(Cotations!F46="","",Cotations!F46)</f>
        <v>SINGLE</v>
      </c>
      <c r="I46" s="274" t="str">
        <f>IF(Cotations!G46="","",Cotations!G46)</f>
        <v/>
      </c>
      <c r="J46" s="274" t="str">
        <f>IF(Cotations!H46="","",Cotations!H46)</f>
        <v/>
      </c>
      <c r="K46" s="274" t="str">
        <f>IF(Cotations!I46="","",Cotations!I46)</f>
        <v/>
      </c>
      <c r="L46" s="274" t="str">
        <f>IF(A46=FALSE,"",IF(Cotations!N46="","",Cotations!N46))</f>
        <v/>
      </c>
      <c r="M46" s="274" t="str">
        <f>IF(Cotations!P46="","",Cotations!P46)</f>
        <v/>
      </c>
      <c r="N46" s="724" t="str">
        <f>IF(NAMES!$B$10=TRUE,Cotations!J46,Cotations!L46)</f>
        <v/>
      </c>
      <c r="O46" s="724" t="str">
        <f>IF(NAMES!$B$10=TRUE,Cotations!K46,Cotations!M46)</f>
        <v/>
      </c>
      <c r="P46" s="943" t="str">
        <f t="shared" si="415"/>
        <v/>
      </c>
      <c r="Q46" s="724" t="str">
        <f>IF(A46=FALSE,"",IF(Crewlist!Y46="","",Crewlist!Y46))</f>
        <v/>
      </c>
      <c r="R46" s="78" t="str">
        <f>IF(Cotations!U46="","",Cotations!U46)</f>
        <v/>
      </c>
      <c r="S46" s="943" t="str">
        <f t="shared" si="416"/>
        <v/>
      </c>
      <c r="T46" s="919" t="str">
        <f>IF(A46=FALSE,"",VLOOKUP($U$15:$U$120,Currency!$A$2:$D$10,4,0)*Crewlist!N46)</f>
        <v/>
      </c>
      <c r="U46" s="1355" t="str">
        <f>IF(A46=FALSE,"",IF(IT46=0,Crewlist!M46&amp;"/"&amp;EX46,Crewlist!M46&amp;"/"&amp;IT46))</f>
        <v/>
      </c>
      <c r="V46" s="919" t="str">
        <f>IF(A46=FALSE,"",VLOOKUP($U$15:$U$120,Currency!$A$2:$D$10,4,0)*Detail!Q46)</f>
        <v/>
      </c>
      <c r="W46" s="1355" t="str">
        <f>IF(A46=FALSE,"",IF(IT46=0,Detail!R46&amp;"/"&amp;EX46,Detail!R46&amp;"/"&amp;IT46))</f>
        <v/>
      </c>
      <c r="X46" s="919" t="str">
        <f>IF(A46=FALSE,"",IF(LISTES!$C$17="Crewlist",Calcul!T46,Calcul!V46))</f>
        <v/>
      </c>
      <c r="Y46" s="758" t="str">
        <f t="shared" si="417"/>
        <v/>
      </c>
      <c r="Z46" s="758" t="str">
        <f>IF(A46=FALSE,"",IF(X46=0,0,IF((Cotations!BC46*12*X46)&lt;50000,50000,(12*X46))))</f>
        <v/>
      </c>
      <c r="AA46" s="758" t="str">
        <f t="shared" si="418"/>
        <v/>
      </c>
      <c r="AB46" s="758" t="str">
        <f>IF(A46=FALSE,"",IF(Crewlist!O46=0,"",Crewlist!O46))</f>
        <v/>
      </c>
      <c r="AC46" s="758" t="str">
        <f>IF(I46="","",VLOOKUP($AB$15:$AB$120,Currency!$A$15:$B$34,2,0))</f>
        <v/>
      </c>
      <c r="AD46" s="758" t="str">
        <f t="shared" si="419"/>
        <v/>
      </c>
      <c r="AE46" s="758" t="str">
        <f t="shared" si="420"/>
        <v/>
      </c>
      <c r="AF46" s="758" t="str">
        <f t="shared" si="421"/>
        <v/>
      </c>
      <c r="AG46" s="758" t="str">
        <f t="shared" si="422"/>
        <v/>
      </c>
      <c r="AH46" s="1355" t="str">
        <f t="shared" si="222"/>
        <v/>
      </c>
      <c r="AI46" s="919" t="str">
        <f t="shared" si="423"/>
        <v/>
      </c>
      <c r="AJ46" s="1382" t="str">
        <f t="shared" si="424"/>
        <v/>
      </c>
      <c r="AK46" s="1382" t="str">
        <f t="shared" si="425"/>
        <v/>
      </c>
      <c r="AL46" s="238" t="str">
        <f t="shared" si="223"/>
        <v/>
      </c>
      <c r="AM46" s="238" t="str">
        <f t="shared" si="224"/>
        <v/>
      </c>
      <c r="AN46" s="1374" t="str">
        <f t="shared" si="225"/>
        <v/>
      </c>
      <c r="AO46" s="238" t="str">
        <f t="shared" si="226"/>
        <v/>
      </c>
      <c r="AP46" s="342" t="str">
        <f>IF(A46=FALSE,"",INDEX(Rates!$Z$5:$Z$367,MATCH(EB46,colchoice,0)))</f>
        <v/>
      </c>
      <c r="AQ46" s="238" t="str">
        <f t="shared" si="227"/>
        <v/>
      </c>
      <c r="AR46" s="238" t="str">
        <f t="shared" si="426"/>
        <v/>
      </c>
      <c r="AS46" s="238" t="str">
        <f t="shared" si="427"/>
        <v/>
      </c>
      <c r="AT46" s="238" t="str">
        <f t="shared" si="428"/>
        <v/>
      </c>
      <c r="AU46" s="238" t="str">
        <f t="shared" si="228"/>
        <v/>
      </c>
      <c r="AV46" s="238" t="str">
        <f t="shared" si="429"/>
        <v/>
      </c>
      <c r="AW46" s="238" t="str">
        <f t="shared" si="229"/>
        <v/>
      </c>
      <c r="AX46" s="238" t="str">
        <f t="shared" si="230"/>
        <v/>
      </c>
      <c r="AY46" s="238" t="str">
        <f t="shared" si="231"/>
        <v/>
      </c>
      <c r="AZ46" s="238" t="str">
        <f t="shared" si="232"/>
        <v/>
      </c>
      <c r="BA46" s="238" t="str">
        <f t="shared" si="233"/>
        <v/>
      </c>
      <c r="BB46" s="552" t="str">
        <f t="shared" si="234"/>
        <v/>
      </c>
      <c r="BC46" s="347" t="str">
        <f t="shared" si="235"/>
        <v/>
      </c>
      <c r="BD46" s="239" t="str">
        <f t="shared" si="430"/>
        <v/>
      </c>
      <c r="BE46" s="239" t="str">
        <f>IF(A46=FALSE,"",IF(ALLTHESAME=TRUE,IF(DF46&lt;&gt;$BC$7,0,INDEX(DD46:DZ46,1,MATCH(Structure!$D$12,$DD$14:$DZ$14,0))),IF(EC46&lt;&gt;$BC$7,0,INDEX(EA46:EZ46,1,MATCH(Structure!$D$12,$EA$14:$EZ$14,0)))))</f>
        <v/>
      </c>
      <c r="BF46" s="239" t="str">
        <f>IF(A46=FALSE,"",IF(ALLTHESAME=TRUE,IF(FC46&lt;&gt;$BC$7,0,INDEX(FA46:FZ46,1,MATCH(Structure!$D$12,$FA$14:$FZ$14,0))),IF(GC46&lt;&gt;$BC$7,0,INDEX(GA46:GZ46,1,MATCH(Structure!$D$12,$GA$14:$GZ$14,0)))))</f>
        <v/>
      </c>
      <c r="BG46" s="239" t="str">
        <f>IF(A46=FALSE,"",IF(ALLTHESAME=TRUE,IF(VC46&lt;&gt;$BC$7,0,INDEX(VA46:VZ46,1,MATCH(Structure!$D$12,$VA$14:$VZ$14,0))),IF(VC46&lt;&gt;$BC$7,0,INDEX(VA46:VZ46,1,MATCH(Structure!$D$12,$VA$14:$VZ$14,0)))))</f>
        <v/>
      </c>
      <c r="BH46" s="239" t="str">
        <f>IF(A46=FALSE,"",IF(ALLTHESAME=TRUE,IF(WC46&lt;&gt;$BC$7,0,INDEX(WA46:WY46,1,MATCH(Structure!$D$12,$WA$14:$WZ$14,0))),IF(WC46&lt;&gt;$BC$7,0,INDEX(WA46:WZ46,1,MATCH(Structure!$D$12,$WA$14:$WZ$14,0)))))</f>
        <v/>
      </c>
      <c r="BI46" s="763" t="str">
        <f>IF(A46=FALSE,"",IF(ALLTHESAME=TRUE,IF(HC46&lt;&gt;$BC$7,0,INDEX(HA46:HZ46,1,MATCH(Structure!$D$12,$HA$14:$HZ$14,0)))+TK46,IF(IC46&lt;&gt;$BC$7,0,INDEX(IA46:IZ46,1,MATCH(Structure!$D$12,$IA$14:$IZ$14,0)))+TK46))</f>
        <v/>
      </c>
      <c r="BJ46" s="239" t="str">
        <f>IF(A46=FALSE,"",IF(ALLTHESAME=TRUE,IF(JC46&lt;&gt;$BC$7,0,INDEX(JA46:JZ46,1,MATCH(Structure!$D$12,$JA$14:$JZ$14,0))),IF(KC46&lt;&gt;$BC$7,0,INDEX(KA46:KZ46,1,MATCH(Structure!$D$12,$KA$14:$KZ$14,0)))))</f>
        <v/>
      </c>
      <c r="BK46" s="763" t="str">
        <f>IF(A46=FALSE,"",IF(ALLTHESAME=TRUE,IF(LC46&lt;&gt;$BC$7,0,INDEX(LA46:LZ46,1,MATCH(Structure!$D$12,$LA$14:$LZ$14,0)))+UK46,IF(MC46&lt;&gt;$BC$7,0,INDEX(MA46:MZ46,1,MATCH(Structure!$D$12,$MA$14:$MZ$14,0)))+UK46))</f>
        <v/>
      </c>
      <c r="BL46" s="239" t="str">
        <f>IF(A46=FALSE,"",IF(ALLTHESAME=TRUE,IF(NC46&lt;&gt;$BC$7,0,INDEX(NA46:NZ46,1,MATCH(Structure!$D$12,$NA$14:$NZ$14,0))),IF(OC46&lt;&gt;$BC$7,0,INDEX(OA46:OZ46,1,MATCH(Structure!$D$12,$OA$14:$OZ$14,0)))))</f>
        <v/>
      </c>
      <c r="BM46" s="239" t="str">
        <f>IF(A46=FALSE,"",IF(ALLTHESAME=TRUE,IF(PC46&lt;&gt;$BC$7,0,INDEX(PA46:PZ46,1,MATCH(Structure!$D$12,$PA$14:$PZ$14,0))),IF(QC46&lt;&gt;$BC$7,0,INDEX(QA46:QZ46,1,MATCH(Structure!$D$12,$QA$14:$QZ$14,0)))))</f>
        <v/>
      </c>
      <c r="BN46" s="341" t="str">
        <f>IF(A46=FALSE,"",IF(ALLTHESAME=TRUE,IF(RC46&lt;&gt;$BC$7,0,INDEX(RA46:RZ46,1,MATCH(Structure!$D$12,$RA$14:$RZ$14,0))),IF(SC46&lt;&gt;$BC$7,0,INDEX(SA46:TA46,1,MATCH(Structure!$D$12,$SA$14:$TA$14,0)))))</f>
        <v/>
      </c>
      <c r="BO46" s="507" t="str">
        <f t="shared" si="236"/>
        <v/>
      </c>
      <c r="BP46" s="239" t="str">
        <f t="shared" si="237"/>
        <v/>
      </c>
      <c r="BQ46" s="239" t="str">
        <f>IF(A46=FALSE,"",IF(ALLTHESAME=TRUE,IF(DF46&lt;&gt;$BO$7,0,INDEX(DD46:DZ46,1,MATCH(Structure!$D$12,$DD$14:$DZ$14,0))),IF(EC46&lt;&gt;$BO$7,0,INDEX(EA46:EZ46,1,MATCH(Structure!$D$12,$EA$14:$EZ$14,0)))))</f>
        <v/>
      </c>
      <c r="BR46" s="239" t="str">
        <f>IF(A46=FALSE,"",IF(ALLTHESAME=TRUE,IF(FC46&lt;&gt;$BO$7,0,INDEX(FA46:FZ46,1,MATCH(Structure!$D$12,$FA$14:$FZ$14,0))),IF(GC46&lt;&gt;$BO$7,0,INDEX(GA46:GZ46,1,MATCH(Structure!$D$12,$GA$14:$GZ$14,0)))))</f>
        <v/>
      </c>
      <c r="BS46" s="239" t="str">
        <f>IF(A46=FALSE,"",IF(ALLTHESAME=TRUE,IF(HC46&lt;&gt;$BO$7,0,INDEX(HA46:HZ46,1,MATCH(Structure!$D$12,$HA$14:$HZ$14,0))),IF(IC46&lt;&gt;$BO$7,0,INDEX(IA46:IZ46,1,MATCH(Structure!$D$12,$IA$14:$IZ$14,0)))))</f>
        <v/>
      </c>
      <c r="BT46" s="239" t="str">
        <f>IF(A46=FALSE,"",IF(ALLTHESAME=TRUE,IF(JC46&lt;&gt;$BO$7,0,INDEX(JA46:JZ46,1,MATCH(Structure!$D$12,$JA$14:$JZ$14,0))),IF(KC46&lt;&gt;$BO$7,0,INDEX(KA46:KZ46,1,MATCH(Structure!$D$12,$KA$14:$KZ$14,0)))))</f>
        <v/>
      </c>
      <c r="BU46" s="239" t="str">
        <f>IF(A46=FALSE,"",IF(ALLTHESAME=TRUE,IF(LC46&lt;&gt;$BO$7,0,INDEX(LA46:LZ46,1,MATCH(Structure!$D$12,$LA$14:$LZ$14,0))),IF(MC46&lt;&gt;$BO$7,0,INDEX(MA46:MZ46,1,MATCH(Structure!$D$12,$MA$14:$MZ$14,0)))))</f>
        <v/>
      </c>
      <c r="BV46" s="239" t="str">
        <f>IF(A46=FALSE,"",IF(ALLTHESAME=TRUE,IF(NC46&lt;&gt;$BO$7,0,INDEX(NA46:NZ46,1,MATCH(Structure!$D$12,$NA$14:$NZ$14,0))),IF(OC46&lt;&gt;$BO$7,0,INDEX(OA46:OZ46,1,MATCH(Structure!$D$12,$OA$14:$OZ$14,0)))))</f>
        <v/>
      </c>
      <c r="BW46" s="239" t="str">
        <f>IF(A46=FALSE,"",IF(ALLTHESAME=TRUE,IF(PC46&lt;&gt;$BO$7,0,INDEX(PA46:PZ46,1,MATCH(Structure!$D$12,$PA$14:$PZ$14,0))),IF(QC46&lt;&gt;$BO$7,0,INDEX(QA46:QZ46,1,MATCH(Structure!$D$12,$QA$14:$QZ$14,0)))))</f>
        <v/>
      </c>
      <c r="BX46" s="341" t="str">
        <f>IF(A46=FALSE,"",IF(ALLTHESAME=TRUE,IF(RC46&lt;&gt;$BO$7,0,INDEX(RA46:RZ46,1,MATCH(Structure!$D$12,$RA$14:$RZ$14,0))),IF(SC46&lt;&gt;$BO$7,0,INDEX(SA46:TA46,1,MATCH(Structure!$D$12,$SA$14:$TA$14,0)))))</f>
        <v/>
      </c>
      <c r="BY46" s="347" t="str">
        <f t="shared" si="238"/>
        <v/>
      </c>
      <c r="BZ46" s="507" t="str">
        <f t="shared" si="239"/>
        <v/>
      </c>
      <c r="CA46" s="239" t="str">
        <f t="shared" si="240"/>
        <v/>
      </c>
      <c r="CB46" s="239" t="str">
        <f>IF(A46=FALSE,"",IF(ALLTHESAME=TRUE,INDEX(DD46:DZ46,MATCH(DF46,DF46:DF151,0),MATCH(Structure!$D$17,$DD$14:$DZ$14,0)),INDEX(EA46:EZ46,MATCH(EC46,EC46:EC151,0),MATCH(Structure!$D$17,$EA$14:$EZ$14,0))))</f>
        <v/>
      </c>
      <c r="CC46" s="239" t="str">
        <f>IF(A46=FALSE,"",IF(ALLTHESAME=TRUE,INDEX(FA46:FZ46,MATCH(FC46,FC46:FC151,0),MATCH(Structure!$D$17,$FA$14:$FZ$14,0)),INDEX(GA46:GZ46,MATCH(GC46,GC46:GC151,0),MATCH(Structure!$D$17,$GA$14:$GZ$14,0))))</f>
        <v/>
      </c>
      <c r="CD46" s="239" t="str">
        <f>IF(A46=FALSE,"",IF(ALLTHESAME=TRUE,INDEX(HA46:HZ46,MATCH(HC46,HC46:HC151,0),MATCH(Structure!$D$17,$HA$14:$HZ$14,0)),INDEX(IA46:IZ46,MATCH(IC46,IC46:IC151,0),MATCH(Structure!$D$17,$IA$14:$IZ$14,0))))</f>
        <v/>
      </c>
      <c r="CE46" s="239" t="str">
        <f>IF(A46=FALSE,"",IF(ALLTHESAME=TRUE,INDEX(JA46:JZ46,MATCH(JC46,JC46:JC151,0),MATCH(Structure!$D$17,$JA$14:$JZ$14,0)),INDEX(KA46:KZ46,MATCH(KC46,KC46:KC151,0),MATCH(Structure!$D$17,$KA$14:$KZ$14,0))))</f>
        <v/>
      </c>
      <c r="CF46" s="239" t="str">
        <f>IF(A46=FALSE,"",IF(ALLTHESAME=TRUE,INDEX(LA46:LZ46,MATCH(LC46,LC46:LC151,0),MATCH(Structure!$D$17,$LA$14:$LZ$14,0)),INDEX(MA46:MZ46,MATCH(MC46,MC46:MC151,0),MATCH(Structure!$D$17,$MA$14:$MZ$14,0))))</f>
        <v/>
      </c>
      <c r="CG46" s="239" t="str">
        <f>IF(A46=FALSE,"",IF(ALLTHESAME=TRUE,INDEX(NA46:NZ46,MATCH(NC46,NC46:NC151,0),MATCH(Structure!$D$17,$NA$14:$NZ$14,0)),INDEX(OA46:OZ46,MATCH(OC46,OC46:OC151,0),MATCH(Structure!$D$17,$OA$14:$OZ$14,0))))</f>
        <v/>
      </c>
      <c r="CH46" s="239" t="str">
        <f>IF(A46=FALSE,"",IF(ALLTHESAME=TRUE,INDEX(PA46:PZ46,MATCH(PC46,PC46:PC151,0),MATCH(Structure!$D$17,$PA$14:$PZ$14,0)),INDEX(QA46:QZ46,MATCH(QC46,QC46:QC151,0),MATCH(Structure!$D$17,$QA$14:$QZ$14,0))))</f>
        <v/>
      </c>
      <c r="CI46" s="341" t="str">
        <f>IF(A46=FALSE,"",IF(ALLTHESAME=TRUE,INDEX(RA46:RZ46,MATCH(RC46,RC46:RC151,0),MATCH(Structure!$D$17,$RA$14:$RZ$14,0)),INDEX(SA46:TC46,MATCH(SC46,SC46:SC151,0),MATCH(Structure!$D$17,$SA$14:$TC$14,0))))</f>
        <v/>
      </c>
      <c r="CJ46" s="347"/>
      <c r="CK46" s="239" t="str">
        <f t="shared" si="241"/>
        <v/>
      </c>
      <c r="CL46" s="239" t="str">
        <f>IF(A46=FALSE,"",IF(ALLTHESAME=TRUE,INDEX(DD46:DZ46,MATCH(DF46,DF46:DF151,0),MATCH(Structure!$D$22,$DD$14:$DZ$14,0)),INDEX(EA46:EZ46,MATCH(EC46,EC46:EC151,0),MATCH(Structure!$D$22,$EA$14:$EZ$14,0))))</f>
        <v/>
      </c>
      <c r="CM46" s="239" t="str">
        <f>IF(A46=FALSE,"",IF(ALLTHESAME=TRUE,INDEX(FA46:FZ46,MATCH(FC46,FC46:FC151,0),MATCH(Structure!$D$22,$FA$14:$FZ$14,0)),INDEX(GA46:GZ46,MATCH(GC46,GC46:GC151,0),MATCH(Structure!$D$22,$GA$14:$GZ$14,0))))</f>
        <v/>
      </c>
      <c r="CN46" s="239" t="str">
        <f>IF(A46=FALSE,"",IF(ALLTHESAME=TRUE,INDEX(HA46:HZ46,MATCH(HC46,HC46:HC151,0),MATCH(Structure!$D$22,$HA$14:$HZ$14,0)),INDEX(IA46:IZ46,MATCH(IC46,IC46:IC151,0),MATCH(Structure!$D$22,$IA$14:$IZ$14,0))))</f>
        <v/>
      </c>
      <c r="CO46" s="239" t="str">
        <f>IF(A46=FALSE,"",IF(ALLTHESAME=TRUE,INDEX(JA46:JZ46,MATCH(JC46,JC46:JC151,0),MATCH(Structure!$D$22,$JA$14:$JZ$14,0)),INDEX(KA46:KZ46,MATCH(KC46,KC46:KC151,0),MATCH(Structure!$D$22,$KA$14:$KZ$14,0))))</f>
        <v/>
      </c>
      <c r="CP46" s="239" t="str">
        <f>IF(A46=FALSE,"",IF(ALLTHESAME=TRUE,INDEX(LA46:LZ46,MATCH(LC46,LC46:LC151,0),MATCH(Structure!$D$22,$LA$14:$LZ$14,0)),INDEX(MA46:MZ46,MATCH(MC46,MC46:MC151,0),MATCH(Structure!$D$22,$MA$14:$MZ$14,0))))</f>
        <v/>
      </c>
      <c r="CQ46" s="239" t="str">
        <f>IF(A46=FALSE,"",IF(ALLTHESAME=TRUE,INDEX(NA46:NZ46,MATCH(NC46,NC46:NC151,0),MATCH(Structure!$D$22,$NA$14:$NZ$14,0)),INDEX(OA46:OZ46,MATCH(OC46,OC46:OC151,0),MATCH(Structure!$D$22,$OA$14:$OZ$14,0))))</f>
        <v/>
      </c>
      <c r="CR46" s="239" t="str">
        <f>IF(A46=FALSE,"",IF(ALLTHESAME=TRUE,INDEX(PA46:PZ46,MATCH(PC46,PC46:PC151,0),MATCH(Structure!$D$22,$PA$14:$PZ$14,0)),INDEX(QA46:QZ46,MATCH(QC46,QC46:QC151,0),MATCH(Structure!$D$22,$QA$14:$QZ$14,0))))</f>
        <v/>
      </c>
      <c r="CS46" s="341" t="str">
        <f>IF(A46=FALSE,"",IF(ALLTHESAME=TRUE,INDEX(RA46:RZ46,MATCH(RC46,RC46:RC151,0),MATCH(Structure!$D$22,$RA$14:$RZ$14,0)),INDEX(SA46:TC46,MATCH(SC46,SC46:SC151,0),MATCH(Structure!$D$22,$SA$14:$TC$14,0))))</f>
        <v/>
      </c>
      <c r="CT46" s="347"/>
      <c r="CU46" s="239" t="str">
        <f t="shared" si="242"/>
        <v/>
      </c>
      <c r="CV46" s="239" t="str">
        <f>IF(A46=FALSE,"",IF(ALLTHESAME=TRUE,INDEX(DD46:DZ46,MATCH(DF46,DF46:DF151,0),MATCH(Structure!$D$8,$DD$14:$DZ$14,0)),INDEX(EA46:EZ46,MATCH(EC46,EC46:EC151,0),MATCH(Structure!$D$8,$EA$14:$EZ$14,0))))</f>
        <v/>
      </c>
      <c r="CW46" s="239" t="str">
        <f>IF(A46=FALSE,"",IF(ALLTHESAME=TRUE,INDEX(FA46:FZ46,MATCH(FC46,FC46:FC151,0),MATCH(Structure!$D$8,$FA$14:$FZ$14,0)),INDEX(GA46:GZ46,MATCH(GC46,GC46:GC151,0),MATCH(Structure!$D$8,$GA$14:$GZ$14,0))))</f>
        <v/>
      </c>
      <c r="CX46" s="239" t="str">
        <f>IF(A46=FALSE,"",IF(ALLTHESAME=TRUE,INDEX(HA46:HZ46,MATCH(HC46,HC46:HC151,0),MATCH(Structure!$D$8,$HA$14:$HZ$14,0)),INDEX(IA46:IZ46,MATCH(IC46,IC46:IC151,0),MATCH(Structure!$D$8,$IA$14:$IZ$14,0))))</f>
        <v/>
      </c>
      <c r="CY46" s="239" t="str">
        <f>IF(A46=FALSE,"",IF(ALLTHESAME=TRUE,INDEX(JA46:JZ46,MATCH(JC46,JC46:JC151,0),MATCH(Structure!$D$8,$JA$14:$JZ$14,0)),INDEX(KA46:KZ46,MATCH(KC46,KC46:KC151,0),MATCH(Structure!$D$8,$KA$14:$KZ$14,0))))</f>
        <v/>
      </c>
      <c r="CZ46" s="239" t="str">
        <f>IF(A46=FALSE,"",IF(ALLTHESAME=TRUE,INDEX(LA46:LZ46,MATCH(LC46,LC46:LC151,0),MATCH(Structure!$D$8,$LA$14:$LZ$14,0)),INDEX(MA46:MZ46,MATCH(MC46,MC46:MC151,0),MATCH(Structure!$D$8,$MA$14:$MZ$14,0))))</f>
        <v/>
      </c>
      <c r="DA46" s="239" t="str">
        <f>IF(A46=FALSE,"",IF(ALLTHESAME=TRUE,INDEX(NA46:NZ46,MATCH(NC46,NC46:NC151,0),MATCH(Structure!$D$8,$NA$14:$NZ$14,0)),INDEX(OA46:OZ46,MATCH(OC46,OC46:OC151,0),MATCH(Structure!$D$8,$OA$14:$OZ$14,0))))</f>
        <v/>
      </c>
      <c r="DB46" s="239" t="str">
        <f>IF(A46=FALSE,"",IF(ALLTHESAME=TRUE,INDEX(PA46:PZ46,MATCH(PC46,PC46:PC151,0),MATCH(Structure!$D$8,$PA$14:$PZ$14,0)),INDEX(QA46:QZ46,MATCH(QC46,QC46:QC151,0),MATCH(Structure!$D$8,$QA$14:$QZ$14,0))))</f>
        <v/>
      </c>
      <c r="DC46" s="341" t="str">
        <f>IF(A46=FALSE,"",IF(ALLTHESAME=TRUE,INDEX(RA46:RZ46,MATCH(RC46,RC46:RC151,0),MATCH(Structure!$D$8,$RA$14:$RZ$14,0)),INDEX(SA46:TC46,MATCH(SC46,SC46:SC151,0),MATCH(Structure!$D$8,$SA$14:$TC$14,0))))</f>
        <v/>
      </c>
      <c r="DD46" s="492" t="str">
        <f>IF(A46=FALSE,"",Cotations!D46)</f>
        <v/>
      </c>
      <c r="DE46" s="492" t="str">
        <f>IF(A46=FALSE,"",IF(LISTES!$A$17=1,Cotations!AF46,Cotations!$AG$4))</f>
        <v/>
      </c>
      <c r="DF46" s="291" t="str">
        <f t="shared" si="431"/>
        <v/>
      </c>
      <c r="DG46" s="291" t="str">
        <f t="shared" si="243"/>
        <v/>
      </c>
      <c r="DH46" s="291"/>
      <c r="DI46" s="463"/>
      <c r="DJ46" s="463" t="str">
        <f t="shared" si="244"/>
        <v/>
      </c>
      <c r="DK46" s="522" t="str">
        <f>IF(A46=FALSE,"",IF(Cotations!$AH$4="monthly",DJ46/12*L46,DJ46/365*M46))</f>
        <v/>
      </c>
      <c r="DL46" s="489" t="str">
        <f>IF(A46=FALSE,"",Cotations!$AI$4)</f>
        <v/>
      </c>
      <c r="DM46" s="300" t="str">
        <f t="shared" si="245"/>
        <v/>
      </c>
      <c r="DN46" s="300" t="str">
        <f t="shared" si="246"/>
        <v/>
      </c>
      <c r="DO46" s="294" t="str">
        <f t="shared" si="247"/>
        <v/>
      </c>
      <c r="DP46" s="494" t="str">
        <f>IF(A46=FALSE,"",Cotations!$AJ$4)</f>
        <v/>
      </c>
      <c r="DQ46" s="494" t="str">
        <f>IF(A46=FALSE,"",Cotations!$AK$4)</f>
        <v/>
      </c>
      <c r="DR46" s="489" t="str">
        <f>IF(A46=FALSE,"",Cotations!$AL$4)</f>
        <v/>
      </c>
      <c r="DS46" s="494" t="str">
        <f>IF(A46=FALSE,"",IF(DP46="N/A",0,IF(INDEX(LISTES!$F$105:$F$109,MATCH(DP46,LISTES!$C$105:$C$109,0))="FIX",IF(INDEX(LISTES!$E$105:$E$109,MATCH(DP46,LISTES!$C$105:$C$109,0))=12,DQ46/12*L46,DQ46/365*M46),DR46*DO46)))</f>
        <v/>
      </c>
      <c r="DT46" s="294" t="str">
        <f t="shared" si="248"/>
        <v/>
      </c>
      <c r="DU46" s="294" t="str">
        <f>IF(A46=FALSE,"",DT46*Cotations!$AM$4)</f>
        <v/>
      </c>
      <c r="DV46" s="294" t="str">
        <f>IF(A46=FALSE,"",DT46*Cotations!$AN$4)</f>
        <v/>
      </c>
      <c r="DW46" s="465" t="str">
        <f t="shared" si="249"/>
        <v/>
      </c>
      <c r="DX46" s="919" t="str">
        <f>IF(A46=FALSE,"",((DJ46*TAXE)-(DJ46*TAXE*DL46))+IF(DP46="N/A",0,IF(INDEX(LISTES!$F$105:$F$109,MATCH(DP46,LISTES!$C$105:$C$109,0))="FIX",DQ46,DR46*DO46)))</f>
        <v/>
      </c>
      <c r="DY46" s="466"/>
      <c r="DZ46" s="466"/>
      <c r="EA46" s="492" t="str">
        <f>IF(A46=FALSE,"",Cotations!D46)</f>
        <v/>
      </c>
      <c r="EB46" s="494" t="str">
        <f>IF(A46=FALSE,"",IF(LISTES!$A$17=1,Cotations!AF46,Cotations!AG46))</f>
        <v/>
      </c>
      <c r="EC46" s="284" t="str">
        <f t="shared" si="250"/>
        <v/>
      </c>
      <c r="ED46" s="284" t="str">
        <f t="shared" si="251"/>
        <v/>
      </c>
      <c r="EE46" s="284"/>
      <c r="EF46" s="284"/>
      <c r="EG46" s="284" t="str">
        <f t="shared" si="252"/>
        <v/>
      </c>
      <c r="EH46" s="1365" t="str">
        <f t="shared" si="253"/>
        <v/>
      </c>
      <c r="EI46" s="1365" t="str">
        <f t="shared" si="254"/>
        <v/>
      </c>
      <c r="EJ46" s="515" t="str">
        <f>IF(A46=FALSE,"",IF(Cotations!AH46="monthly",EG46/12*L46,EG46/365*M46))</f>
        <v/>
      </c>
      <c r="EK46" s="1364" t="str">
        <f>IF(A46=FALSE,"",IF(Cotations!AH46="monthly",EI46/12*L46,EI46/365*M46))</f>
        <v/>
      </c>
      <c r="EL46" s="493" t="str">
        <f>IF(A46=FALSE,"",IF(Cotations!AI46="","",Cotations!AI46))</f>
        <v/>
      </c>
      <c r="EM46" s="284" t="str">
        <f t="shared" si="255"/>
        <v/>
      </c>
      <c r="EN46" s="284" t="str">
        <f t="shared" si="256"/>
        <v/>
      </c>
      <c r="EO46" s="1365" t="str">
        <f t="shared" si="432"/>
        <v/>
      </c>
      <c r="EP46" s="284" t="str">
        <f t="shared" si="257"/>
        <v/>
      </c>
      <c r="EQ46" s="515" t="str">
        <f>IF(A46=FALSE,"",Cotations!AJ46)</f>
        <v/>
      </c>
      <c r="ER46" s="515" t="str">
        <f>IF(A46=FALSE,"",IF(Cotations!AK46="","",Cotations!AK46))</f>
        <v/>
      </c>
      <c r="ES46" s="493" t="str">
        <f>IF(A46=FALSE,"",Cotations!AL46)</f>
        <v/>
      </c>
      <c r="ET46" s="515" t="str">
        <f>IF(A46=FALSE,"",IF(EQ46="N/A",0,IF(INDEX(LISTES!$F$105:$F$109,MATCH(EQ46,LISTES!$C$105:$C$109,0))="FIX",IF(INDEX(LISTES!$E$105:$E$109,MATCH(EQ46,LISTES!$C$105:$C$109,0))=12,ER46/12*L46,ER46/365*M46),ES46*EP46)))</f>
        <v/>
      </c>
      <c r="EU46" s="294" t="str">
        <f t="shared" si="258"/>
        <v/>
      </c>
      <c r="EV46" s="494" t="str">
        <f>IF(A46=FALSE,"",EU46*Cotations!AM46)</f>
        <v/>
      </c>
      <c r="EW46" s="494" t="str">
        <f>IF(A46=FALSE,"",EU46*Cotations!AN46)</f>
        <v/>
      </c>
      <c r="EX46" s="334" t="str">
        <f t="shared" si="259"/>
        <v/>
      </c>
      <c r="EY46" s="919" t="str">
        <f>IF(A46=FALSE,"",((EG46*TAXE)-(EG46*TAXE*EL46)+EH46)+IF(EQ46="N/A",0,IF(INDEX(LISTES!$F$105:$F$109,MATCH(EQ46,LISTES!$C$105:$C$109,0))="FIX",ER46,ES46*EP46)))</f>
        <v/>
      </c>
      <c r="FA46" s="492" t="str">
        <f>IF(A46=FALSE,"",Cotations!D46)</f>
        <v/>
      </c>
      <c r="FB46" s="519" t="str">
        <f>IF(A46=FALSE,"",IF(LISTES!$A$17=1,Cotations!AO46,Cotations!$AP$4))</f>
        <v/>
      </c>
      <c r="FC46" s="291" t="str">
        <f t="shared" si="260"/>
        <v/>
      </c>
      <c r="FD46" s="291" t="str">
        <f t="shared" si="261"/>
        <v/>
      </c>
      <c r="FE46" s="291"/>
      <c r="FF46" s="463"/>
      <c r="FG46" s="463" t="str">
        <f t="shared" si="262"/>
        <v/>
      </c>
      <c r="FH46" s="522" t="str">
        <f>IF(A46=FALSE,"",IF(Cotations!$AQ$4="monthly",FG46/12*L46,FG46/365*M46))</f>
        <v/>
      </c>
      <c r="FI46" s="453" t="str">
        <f>IF(A46=FALSE,"",Cotations!$AR$4)</f>
        <v/>
      </c>
      <c r="FJ46" s="300" t="str">
        <f t="shared" si="263"/>
        <v/>
      </c>
      <c r="FK46" s="300" t="str">
        <f t="shared" si="264"/>
        <v/>
      </c>
      <c r="FL46" s="294" t="str">
        <f t="shared" si="265"/>
        <v/>
      </c>
      <c r="FM46" s="494" t="str">
        <f>IF(A46=FALSE,"",Cotations!$AS$4)</f>
        <v/>
      </c>
      <c r="FN46" s="494" t="str">
        <f>IF(A46=FALSE,"",Cotations!$AT$4)</f>
        <v/>
      </c>
      <c r="FO46" s="489" t="str">
        <f>IF(A46=FALSE,"",Cotations!$AU$4)</f>
        <v/>
      </c>
      <c r="FP46" s="494" t="str">
        <f>IF(A46=FALSE,"",IF(FM46="N/A",0,IF(INDEX(LISTES!$F$105:$F$109,MATCH(FM46,LISTES!$C$105:$C$109,0))="FIX",IF(INDEX(LISTES!$E$105:$E$109,MATCH(FM46,LISTES!$C$105:$C$109,0))=12,FN46/12*L46,FN46/365*M46),FO46*FL46)))</f>
        <v/>
      </c>
      <c r="FQ46" s="294" t="str">
        <f t="shared" si="266"/>
        <v/>
      </c>
      <c r="FR46" s="494" t="str">
        <f>IF(A46=FALSE,"",FQ46*Cotations!$AV$4)</f>
        <v/>
      </c>
      <c r="FS46" s="494" t="str">
        <f>IF(A46=FALSE,"",FQ46*Cotations!$AW$4)</f>
        <v/>
      </c>
      <c r="FT46" s="465" t="str">
        <f t="shared" si="267"/>
        <v/>
      </c>
      <c r="FU46" s="919" t="str">
        <f>IF(A46=FALSE,"",((FG46*TAXE)-(FG46*TAXE*FI46))+IF(FM46="N/A",0,IF(INDEX(LISTES!$F$105:$F$109,MATCH(FM46,LISTES!$C$105:$C$109,0))="FIX",FN46,FO46*FL46)))</f>
        <v/>
      </c>
      <c r="FV46" s="478"/>
      <c r="FW46" s="478"/>
      <c r="FX46" s="478"/>
      <c r="FY46" s="478"/>
      <c r="FZ46" s="478"/>
      <c r="GA46" s="492" t="str">
        <f>IF(A46=FALSE,"",Cotations!D46)</f>
        <v/>
      </c>
      <c r="GB46" s="494" t="str">
        <f>IF(A46=FALSE,"",IF(LISTES!$A$17=1,Cotations!AO46,Cotations!AP46))</f>
        <v/>
      </c>
      <c r="GC46" s="284" t="str">
        <f t="shared" si="268"/>
        <v/>
      </c>
      <c r="GD46" s="515" t="str">
        <f>IF(A46=FALSE,"",IF(Detail!AM46="","",Detail!AM46))</f>
        <v/>
      </c>
      <c r="GE46" s="284"/>
      <c r="GF46" s="284"/>
      <c r="GG46" s="284" t="str">
        <f t="shared" si="269"/>
        <v/>
      </c>
      <c r="GH46" s="515" t="str">
        <f>IF(A46=FALSE,"",IF(Cotations!AQ46="monthly",GG46/12*L46,GG46/365*M46))</f>
        <v/>
      </c>
      <c r="GI46" s="493" t="str">
        <f>IF(A46=FALSE,"",IF(Cotations!AR46="","",Cotations!AR46))</f>
        <v/>
      </c>
      <c r="GJ46" s="284" t="str">
        <f t="shared" si="270"/>
        <v/>
      </c>
      <c r="GK46" s="284" t="str">
        <f t="shared" si="271"/>
        <v/>
      </c>
      <c r="GL46" s="284" t="str">
        <f t="shared" si="272"/>
        <v/>
      </c>
      <c r="GM46" s="515" t="str">
        <f>IF(A46=FALSE,"",Cotations!AS46)</f>
        <v/>
      </c>
      <c r="GN46" s="515" t="str">
        <f>IF(A46=FALSE,"",Cotations!AT46)</f>
        <v/>
      </c>
      <c r="GO46" s="493" t="str">
        <f>IF(A46=FALSE,"",Cotations!AU46)</f>
        <v/>
      </c>
      <c r="GP46" s="515" t="str">
        <f>IF(A46=FALSE,"",IF(GM46="N/A",0,IF(INDEX(LISTES!$F$105:$F$109,MATCH(GM46,LISTES!$C$105:$C$109,0))="FIX",IF(INDEX(LISTES!$E$105:$E$109,MATCH(GM46,LISTES!$C$105:$C$109,0))=12,GN46/12*L46,GN46/365*M46),GO46*GL46)))</f>
        <v/>
      </c>
      <c r="GQ46" s="294" t="str">
        <f t="shared" si="273"/>
        <v/>
      </c>
      <c r="GR46" s="494" t="str">
        <f>IF(A46=FALSE,"",GQ46*Cotations!AV46)</f>
        <v/>
      </c>
      <c r="GS46" s="494" t="str">
        <f>IF(A46=FALSE,"",GQ46*Cotations!AW46)</f>
        <v/>
      </c>
      <c r="GT46" s="334" t="str">
        <f t="shared" si="274"/>
        <v/>
      </c>
      <c r="GU46" s="919" t="str">
        <f>IF(A46=FALSE,"",((GG46*TAXE)-(GG46*TAXE*GI46))+IF(GM46="N/A",0,IF(INDEX(LISTES!$F$105:$F$109,MATCH(GM46,LISTES!$C$105:$C$109,0))="FIX",GN46,GO46*GL46)))</f>
        <v/>
      </c>
      <c r="GV46" s="478"/>
      <c r="GW46" s="466"/>
      <c r="GX46" s="466"/>
      <c r="GY46" s="466"/>
      <c r="GZ46" s="466"/>
      <c r="HA46" s="492" t="str">
        <f>IF(A46=FALSE,"",Cotations!D46)</f>
        <v/>
      </c>
      <c r="HB46" s="495" t="str">
        <f>IF(A46=FALSE,"",IF(LISTES!$A$17=1,Cotations!AX46,Cotations!$AY$4))</f>
        <v/>
      </c>
      <c r="HC46" s="291" t="str">
        <f t="shared" si="275"/>
        <v/>
      </c>
      <c r="HD46" s="291" t="str">
        <f t="shared" si="276"/>
        <v/>
      </c>
      <c r="HE46" s="456" t="str">
        <f t="shared" si="277"/>
        <v/>
      </c>
      <c r="HF46" s="496" t="str">
        <f>IF(A46=FALSE,"",IF(HA46="POEA",Cotations!BA46,IF(HA46="FIXE",Cotations!$BA$4,Cotations!$BC$4*Y46)))</f>
        <v/>
      </c>
      <c r="HG46" s="300" t="str">
        <f t="shared" si="278"/>
        <v/>
      </c>
      <c r="HH46" s="522" t="str">
        <f>IF(A46=FALSE,"",IF(Cotations!$AZ$4="monthly",HG46/12*L46,HG46/365*M46))</f>
        <v/>
      </c>
      <c r="HI46" s="489" t="str">
        <f>IF(A46=FALSE,"",Cotations!$BD$4)</f>
        <v/>
      </c>
      <c r="HJ46" s="300" t="str">
        <f t="shared" si="279"/>
        <v/>
      </c>
      <c r="HK46" s="300" t="str">
        <f t="shared" si="280"/>
        <v/>
      </c>
      <c r="HL46" s="294" t="str">
        <f t="shared" si="281"/>
        <v/>
      </c>
      <c r="HM46" s="494" t="str">
        <f>IF(A46=FALSE,"",Cotations!$BE$4)</f>
        <v/>
      </c>
      <c r="HN46" s="522" t="str">
        <f>IF(A46=FALSE,"",Cotations!$BF$4)</f>
        <v/>
      </c>
      <c r="HO46" s="489" t="str">
        <f>IF(A46=FALSE,"",Cotations!$BG$4)</f>
        <v/>
      </c>
      <c r="HP46" s="494" t="str">
        <f>IF(A46=FALSE,"",IF(HM46="N/A",0,IF(INDEX(LISTES!$F$105:$F$109,MATCH(HM46,LISTES!$C$105:$C$109,0))="FIX",IF(INDEX(LISTES!$E$105:$E$109,MATCH(HM46,LISTES!$C$105:$C$109,0))=12,HN46/12*L46,HN46/365*M46),HO46*HL46)))</f>
        <v/>
      </c>
      <c r="HQ46" s="294" t="str">
        <f t="shared" si="282"/>
        <v/>
      </c>
      <c r="HR46" s="494" t="str">
        <f>IF(A46=FALSE,"",HQ46*Cotations!$BH$4)</f>
        <v/>
      </c>
      <c r="HS46" s="494" t="str">
        <f>IF(A46=FALSE,"",HQ46*Cotations!$BI$4)</f>
        <v/>
      </c>
      <c r="HT46" s="294" t="str">
        <f t="shared" si="283"/>
        <v/>
      </c>
      <c r="HU46" s="919" t="str">
        <f>IF(A46=FALSE,"",((HG46*TAXE)-(HG46*TAXE*HI46))+IF(HM46="N/A",0,IF(INDEX(LISTES!$F$105:$F$109,MATCH(HM46,LISTES!$C$105:$C$109,0))="FIX",HN46,HO46*HL46)))</f>
        <v/>
      </c>
      <c r="IA46" s="492" t="str">
        <f>IF(A46=FALSE,"",Cotations!D46)</f>
        <v/>
      </c>
      <c r="IB46" s="491" t="str">
        <f>IF(A46=FALSE,"",IF(LISTES!$A$17=1,Cotations!AX46,Cotations!AY46))</f>
        <v/>
      </c>
      <c r="IC46" s="285" t="str">
        <f t="shared" si="284"/>
        <v/>
      </c>
      <c r="ID46" s="300" t="str">
        <f>IF(A46=FALSE,"",IF(LISTES!$A$17=3,Detail!AU46,lig1_Formula_PREVOY))</f>
        <v/>
      </c>
      <c r="IE46" s="461" t="str">
        <f t="shared" si="285"/>
        <v/>
      </c>
      <c r="IF46" s="490" t="str">
        <f>IF(A46=FALSE,"",IF(IA46="POEA",Cotations!BA46,IF(HA46="FIXE",Cotations!BB46,IF(Cotations!BC46*Y46&lt;50000,Z46,Cotations!BC46*Y46))))</f>
        <v/>
      </c>
      <c r="IG46" s="300" t="str">
        <f t="shared" si="286"/>
        <v/>
      </c>
      <c r="IH46" s="522" t="str">
        <f>IF(A46=FALSE,"",IF(Cotations!AZ46="monthly",IG46/12*L46,IG46/365*M46))</f>
        <v/>
      </c>
      <c r="II46" s="489" t="str">
        <f>IF(A46=FALSE,"",IF(Cotations!BD46="","",Cotations!BD46))</f>
        <v/>
      </c>
      <c r="IJ46" s="300" t="str">
        <f t="shared" si="287"/>
        <v/>
      </c>
      <c r="IK46" s="300" t="str">
        <f t="shared" si="288"/>
        <v/>
      </c>
      <c r="IL46" s="919" t="str">
        <f t="shared" si="289"/>
        <v/>
      </c>
      <c r="IM46" s="517" t="str">
        <f>IF(A46=FALSE,"",Cotations!BE46)</f>
        <v/>
      </c>
      <c r="IN46" s="517" t="str">
        <f>IF(A46=FALSE,"",Cotations!BF46)</f>
        <v/>
      </c>
      <c r="IO46" s="493" t="str">
        <f>IF(A46=FALSE,"",Cotations!BG46)</f>
        <v/>
      </c>
      <c r="IP46" s="517" t="str">
        <f>IF(A46=FALSE,"",IF(IM46="N/A",0,IF(INDEX(LISTES!$F$105:$F$109,MATCH(IM46,LISTES!$C$105:$C$109,0))="FIX",IF(INDEX(LISTES!$E$105:$E$109,MATCH(IM46,LISTES!$C$105:$C$109,0))=12,IN46/12*L46,IN46/365*M46),IO46*IL46)))</f>
        <v/>
      </c>
      <c r="IQ46" s="294" t="str">
        <f t="shared" si="290"/>
        <v/>
      </c>
      <c r="IR46" s="494" t="str">
        <f>IF(A46=FALSE,"",IQ46*Cotations!BH46)</f>
        <v/>
      </c>
      <c r="IS46" s="494" t="str">
        <f>IF(A46=FALSE,"",IQ46*Cotations!BI46)</f>
        <v/>
      </c>
      <c r="IT46" s="338" t="str">
        <f t="shared" si="291"/>
        <v/>
      </c>
      <c r="IU46" s="919" t="str">
        <f>IF(A46=FALSE,"",((IG46*TAXE)-(IG46*TAXE*II46))+IF(IM46="N/A",0,IF(INDEX(LISTES!$F$105:$F$109,MATCH(IM46,LISTES!$C$105:$C$109,0))="FIX",IN46,IO46*IL46)))</f>
        <v/>
      </c>
      <c r="JA46" s="492" t="str">
        <f>IF(A46=FALSE,"",Cotations!D46)</f>
        <v/>
      </c>
      <c r="JB46" s="495" t="str">
        <f>IF(A46=FALSE,"",IF(LISTES!$A$17=1,Cotations!BJ46,Cotations!$BK$4))</f>
        <v/>
      </c>
      <c r="JC46" s="291" t="str">
        <f t="shared" si="292"/>
        <v/>
      </c>
      <c r="JD46" s="291" t="str">
        <f t="shared" si="293"/>
        <v/>
      </c>
      <c r="JE46" s="456" t="str">
        <f t="shared" si="294"/>
        <v/>
      </c>
      <c r="JF46" s="496" t="str">
        <f>IF(A46=FALSE,"",IF(JA46="POEA",Cotations!BM46,IF(JA46="FIXE",Cotations!$BM$4,Cotations!$BO$4*Y46)))</f>
        <v/>
      </c>
      <c r="JG46" s="300" t="str">
        <f t="shared" si="295"/>
        <v/>
      </c>
      <c r="JH46" s="522" t="str">
        <f>IF(A46=FALSE,"",IF(Cotations!$BL$4="monthly",JG46/12*L46,JG46/365*M46))</f>
        <v/>
      </c>
      <c r="JI46" s="489" t="str">
        <f>IF(A46=FALSE,"",Cotations!$BP$4)</f>
        <v/>
      </c>
      <c r="JJ46" s="300" t="str">
        <f t="shared" si="296"/>
        <v/>
      </c>
      <c r="JK46" s="300" t="str">
        <f t="shared" si="297"/>
        <v/>
      </c>
      <c r="JL46" s="294" t="str">
        <f t="shared" si="298"/>
        <v/>
      </c>
      <c r="JM46" s="494" t="str">
        <f>IF(A46=FALSE,"",Cotations!$BQ$4)</f>
        <v/>
      </c>
      <c r="JN46" s="522" t="str">
        <f>IF(A46=FALSE,"",Cotations!$BR$4)</f>
        <v/>
      </c>
      <c r="JO46" s="489" t="str">
        <f>IF(A46=FALSE,"",Cotations!$BS$4)</f>
        <v/>
      </c>
      <c r="JP46" s="494" t="str">
        <f>IF(A46=FALSE,"",IF(JM46="N/A",0,IF(INDEX(LISTES!$F$105:$F$109,MATCH(JM46,LISTES!$C$105:$C$109,0))="FIX",IF(INDEX(LISTES!$E$105:$E$109,MATCH(JM46,LISTES!$C$105:$C$109,0))=12,JN46/12*L46,JN46/365*M46),JO46*JL46)))</f>
        <v/>
      </c>
      <c r="JQ46" s="294" t="str">
        <f t="shared" si="299"/>
        <v/>
      </c>
      <c r="JR46" s="494" t="str">
        <f>IF(A46=FALSE,"",JQ46*Cotations!$BT$4)</f>
        <v/>
      </c>
      <c r="JS46" s="494" t="str">
        <f>IF(A46=FALSE,"",JQ46*Cotations!$BU$4)</f>
        <v/>
      </c>
      <c r="JT46" s="294" t="str">
        <f t="shared" si="300"/>
        <v/>
      </c>
      <c r="JU46" s="919" t="str">
        <f>IF(A46=FALSE,"",((JG46*TAXE)-(JG46*TAXE*JI46))+IF(JM46="N/A",0,IF(INDEX(LISTES!$F$105:$F$109,MATCH(JM46,LISTES!$C$105:$C$109,0))="FIX",JN46,JO46*JL46)))</f>
        <v/>
      </c>
      <c r="KA46" s="492" t="str">
        <f>IF(A46=FALSE,"",Cotations!D46)</f>
        <v/>
      </c>
      <c r="KB46" s="491" t="str">
        <f>IF(A46=FALSE,"",IF(LISTES!$A$17=1,Cotations!BJ46,Cotations!BK46))</f>
        <v/>
      </c>
      <c r="KC46" s="285" t="str">
        <f t="shared" si="301"/>
        <v/>
      </c>
      <c r="KD46" s="300"/>
      <c r="KE46" s="461" t="str">
        <f t="shared" si="302"/>
        <v/>
      </c>
      <c r="KF46" s="490" t="str">
        <f>IF(A46=FALSE,"",IF(KA46="POEA",Cotations!BM46,IF(KA46="FIXE",Cotations!BN46,IF(Cotations!BO46*Y46&lt;50000,Z46,Cotations!BO46*Y46))))</f>
        <v/>
      </c>
      <c r="KG46" s="300" t="str">
        <f t="shared" si="303"/>
        <v/>
      </c>
      <c r="KH46" s="522" t="str">
        <f>IF(A46=FALSE,"",IF(Cotations!BL46="monthly",KG46/12*L46,KG46/365*M46))</f>
        <v/>
      </c>
      <c r="KI46" s="489" t="str">
        <f>IF(A46=FALSE,"",IF(Cotations!BP46="","",Cotations!BP46))</f>
        <v/>
      </c>
      <c r="KJ46" s="300" t="str">
        <f t="shared" si="304"/>
        <v/>
      </c>
      <c r="KK46" s="300" t="str">
        <f t="shared" si="305"/>
        <v/>
      </c>
      <c r="KL46" s="919" t="str">
        <f t="shared" si="306"/>
        <v/>
      </c>
      <c r="KM46" s="517" t="str">
        <f>IF(A46=FALSE,"",Cotations!BQ46)</f>
        <v/>
      </c>
      <c r="KN46" s="515" t="str">
        <f>IF(A46=FALSE,"",Cotations!BR46)</f>
        <v/>
      </c>
      <c r="KO46" s="493" t="str">
        <f>IF(A46=FALSE,"",Cotations!BS46)</f>
        <v/>
      </c>
      <c r="KP46" s="517" t="str">
        <f>IF(A46=FALSE,"",IF(KM46="N/A",0,IF(INDEX(LISTES!$F$105:$F$109,MATCH(KM46,LISTES!$C$105:$C$109,0))="FIX",IF(INDEX(LISTES!$E$105:$E$109,MATCH(KM46,LISTES!$C$105:$C$109,0))=12,KN46/12*L46,KN46/365*M46),KO46*KL46)))</f>
        <v/>
      </c>
      <c r="KQ46" s="294" t="str">
        <f t="shared" si="307"/>
        <v/>
      </c>
      <c r="KR46" s="494" t="str">
        <f>IF(A46=FALSE,"",KQ46*Cotations!BT46)</f>
        <v/>
      </c>
      <c r="KS46" s="494" t="str">
        <f>IF(A46=FALSE,"",KQ46*Cotations!BU46)</f>
        <v/>
      </c>
      <c r="KT46" s="338" t="str">
        <f t="shared" si="308"/>
        <v/>
      </c>
      <c r="KU46" s="919" t="str">
        <f>IF(A46=FALSE,"",((KG46*TAXE)-(KG46*TAXE*KI46))+IF(KM46="N/A",0,IF(INDEX(LISTES!$F$105:$F$109,MATCH(KM46,LISTES!$C$105:$C$109,0))="FIX",KN46,KO46*KL46)))</f>
        <v/>
      </c>
      <c r="LA46" s="497" t="str">
        <f>IF(A46=FALSE,"",Cotations!D46)</f>
        <v/>
      </c>
      <c r="LB46" s="498" t="str">
        <f>IF(A46=FALSE,"",IF(LISTES!$A$17=1,Cotations!BV46,Cotations!$BW$4))</f>
        <v/>
      </c>
      <c r="LC46" s="499" t="str">
        <f t="shared" si="309"/>
        <v/>
      </c>
      <c r="LD46" s="499" t="str">
        <f t="shared" si="310"/>
        <v/>
      </c>
      <c r="LE46" s="500" t="str">
        <f t="shared" si="311"/>
        <v/>
      </c>
      <c r="LF46" s="501" t="str">
        <f>IF(A46=FALSE,"",IF(LA46="POEA",Cotations!EJ46,IF(LA46="FIXE",Cotations!$BY$4,Cotations!$CA$4*Y46)))</f>
        <v/>
      </c>
      <c r="LG46" s="502" t="str">
        <f t="shared" si="312"/>
        <v/>
      </c>
      <c r="LH46" s="520" t="str">
        <f>IF(A46=FALSE,"",IF(Cotations!$BX$4="monthly",LG46/12*L46,LG46/365*M46))</f>
        <v/>
      </c>
      <c r="LI46" s="503" t="str">
        <f>IF(A46=FALSE,"",Cotations!$CB$4)</f>
        <v/>
      </c>
      <c r="LJ46" s="502" t="str">
        <f t="shared" si="313"/>
        <v/>
      </c>
      <c r="LK46" s="502" t="str">
        <f t="shared" si="314"/>
        <v/>
      </c>
      <c r="LL46" s="504" t="str">
        <f t="shared" si="315"/>
        <v/>
      </c>
      <c r="LM46" s="505" t="str">
        <f>IF(A46=FALSE,"",Cotations!$CC$4)</f>
        <v/>
      </c>
      <c r="LN46" s="503" t="str">
        <f>IF(A46=FALSE,"",Cotations!$CD$4)</f>
        <v/>
      </c>
      <c r="LO46" s="503" t="str">
        <f>IF(A46=FALSE,"",Cotations!$CE$4)</f>
        <v/>
      </c>
      <c r="LP46" s="505" t="str">
        <f>IF(A46=FALSE,"",IF(LM46="N/A",0,IF(INDEX(LISTES!$F$105:$F$109,MATCH(LM46,LISTES!$C$105:$C$109,0))="FIX",IF(INDEX(LISTES!$E$105:$E$109,MATCH(LM46,LISTES!$C$105:$C$109,0))=12,LN46/12*L46,LN46/365*M46),LO46*LL46)))</f>
        <v/>
      </c>
      <c r="LQ46" s="504" t="str">
        <f t="shared" si="316"/>
        <v/>
      </c>
      <c r="LR46" s="505" t="str">
        <f>IF(A46=FALSE,"",LQ46*Cotations!$CF$4)</f>
        <v/>
      </c>
      <c r="LS46" s="505" t="str">
        <f>IF(A46=FALSE,"",LQ46*Cotations!$CG$4)</f>
        <v/>
      </c>
      <c r="LT46" s="506" t="str">
        <f t="shared" si="317"/>
        <v/>
      </c>
      <c r="LU46" s="919" t="str">
        <f>IF(A46=FALSE,"",((LG46*TAXE)-(LG46*TAXE*LI46))+IF(LM46="N/A",0,IF(INDEX(LISTES!$F$105:$F$109,MATCH(LM46,LISTES!$C$105:$C$109,0))="FIX",LN46,LO46*LL46)))</f>
        <v/>
      </c>
      <c r="MA46" s="492" t="str">
        <f>IF(A46=FALSE,"",Cotations!D46)</f>
        <v/>
      </c>
      <c r="MB46" s="491" t="str">
        <f>IF(A46=FALSE,"",IF(LISTES!$A$17=1,Cotations!BV46,Cotations!BW46))</f>
        <v/>
      </c>
      <c r="MC46" s="285" t="str">
        <f t="shared" si="318"/>
        <v/>
      </c>
      <c r="MD46" s="300"/>
      <c r="ME46" s="461" t="str">
        <f t="shared" si="319"/>
        <v/>
      </c>
      <c r="MF46" s="490" t="str">
        <f>IF(A46=FALSE,"",IF(MA46="POEA",Cotations!BY46,IF(MA46="FIXE",Cotations!BZ46,IF(Cotations!CA46*Y46&lt;50000,Z46,Cotations!CA46*Y46))))</f>
        <v/>
      </c>
      <c r="MG46" s="300" t="str">
        <f t="shared" si="320"/>
        <v/>
      </c>
      <c r="MH46" s="522" t="str">
        <f>IF(A46=FALSE,"",IF(Cotations!BX46="monthly",MG46/12*L46,MG46/365*M46))</f>
        <v/>
      </c>
      <c r="MI46" s="489" t="str">
        <f>IF(A46=FALSE,"",IF(Cotations!CB46="","",Cotations!CB46))</f>
        <v/>
      </c>
      <c r="MJ46" s="300" t="str">
        <f t="shared" si="321"/>
        <v/>
      </c>
      <c r="MK46" s="300" t="str">
        <f t="shared" si="322"/>
        <v/>
      </c>
      <c r="ML46" s="919" t="str">
        <f t="shared" si="323"/>
        <v/>
      </c>
      <c r="MM46" s="517" t="str">
        <f>IF(A46=FALSE,"",Cotations!CC46)</f>
        <v/>
      </c>
      <c r="MN46" s="515" t="str">
        <f>IF(A46=FALSE,"",Cotations!CD46)</f>
        <v/>
      </c>
      <c r="MO46" s="493" t="str">
        <f>IF(A46=FALSE,"",Cotations!CE46)</f>
        <v/>
      </c>
      <c r="MP46" s="517" t="str">
        <f>IF(A46=FALSE,"",IF(MM46="N/A",0,IF(INDEX(LISTES!$F$105:$F$109,MATCH(MM46,LISTES!$C$105:$C$109,0))="FIX",IF(INDEX(LISTES!$E$105:$E$109,MATCH(MM46,LISTES!$C$105:$C$109,0))=12,MN46/12*L46,MN46/365*M46),MO46*ML46)))</f>
        <v/>
      </c>
      <c r="MQ46" s="294" t="str">
        <f t="shared" si="324"/>
        <v/>
      </c>
      <c r="MR46" s="494" t="str">
        <f>IF(A46=FALSE,"",MQ46*Cotations!CF46)</f>
        <v/>
      </c>
      <c r="MS46" s="494" t="str">
        <f>IF(A46=FALSE,"",MQ46*Cotations!CG46)</f>
        <v/>
      </c>
      <c r="MT46" s="338" t="str">
        <f t="shared" si="325"/>
        <v/>
      </c>
      <c r="MU46" s="919" t="str">
        <f>IF(A46=FALSE,"",((MG46*TAXE)-(MG46*TAXE*MI46))+IF(MM46="N/A",0,IF(INDEX(LISTES!$F$105:$F$109,MATCH(MM46,LISTES!$C$105:$C$109,0))="FIX",MN46,MO46*ML46)))</f>
        <v/>
      </c>
      <c r="NA46" s="497" t="str">
        <f>IF(A46=FALSE,"",Cotations!D46)</f>
        <v/>
      </c>
      <c r="NB46" s="498" t="str">
        <f>IF(A46=FALSE,"",IF(LISTES!$A$17=1,Cotations!CH46,Cotations!$CI$4))</f>
        <v/>
      </c>
      <c r="NC46" s="499" t="str">
        <f t="shared" si="326"/>
        <v/>
      </c>
      <c r="ND46" s="499" t="str">
        <f t="shared" si="327"/>
        <v/>
      </c>
      <c r="NE46" s="500" t="str">
        <f t="shared" si="328"/>
        <v/>
      </c>
      <c r="NF46" s="501" t="str">
        <f>IF(A46=FALSE,"",IF(NA46="POEA",Cotations!CK46,IF(NA46="FIXE",Cotations!$CK$4,Cotations!$CM$4*Y46)))</f>
        <v/>
      </c>
      <c r="NG46" s="502" t="str">
        <f t="shared" si="329"/>
        <v/>
      </c>
      <c r="NH46" s="520" t="str">
        <f>IF(A46=FALSE,"",IF(Cotations!$CJ$4="monthly",NG46/12*L46,NG46/365*M46))</f>
        <v/>
      </c>
      <c r="NI46" s="503" t="str">
        <f>IF(A46=FALSE,"",Cotations!$CN$4)</f>
        <v/>
      </c>
      <c r="NJ46" s="502" t="str">
        <f t="shared" si="330"/>
        <v/>
      </c>
      <c r="NK46" s="502" t="str">
        <f t="shared" si="331"/>
        <v/>
      </c>
      <c r="NL46" s="504" t="str">
        <f t="shared" si="332"/>
        <v/>
      </c>
      <c r="NM46" s="505" t="str">
        <f>IF(A46=FALSE,"",Cotations!$CO$4)</f>
        <v/>
      </c>
      <c r="NN46" s="520" t="str">
        <f>IF(A46=FALSE,"",Cotations!$CP$4)</f>
        <v/>
      </c>
      <c r="NO46" s="503" t="str">
        <f>IF(A46=FALSE,"",Cotations!$CQ$4)</f>
        <v/>
      </c>
      <c r="NP46" s="505" t="str">
        <f>IF(A46=FALSE,"",IF(NM46="N/A",0,IF(INDEX(LISTES!$F$105:$F$109,MATCH(NM46,LISTES!$C$105:$C$109,0))="FIX",IF(INDEX(LISTES!$E$105:$E$109,MATCH(NM46,LISTES!$C$105:$C$109,0))=12,NN46/12*L46,NN46/365*M46),NO46*NL46)))</f>
        <v/>
      </c>
      <c r="NQ46" s="504" t="str">
        <f t="shared" si="333"/>
        <v/>
      </c>
      <c r="NR46" s="505" t="str">
        <f>IF(A46=FALSE,"",NQ46*Cotations!$CR$4)</f>
        <v/>
      </c>
      <c r="NS46" s="505" t="str">
        <f>IF(A46=FALSE,"",NQ46*Cotations!$CS$4)</f>
        <v/>
      </c>
      <c r="NT46" s="506" t="str">
        <f t="shared" si="334"/>
        <v/>
      </c>
      <c r="NU46" s="919" t="str">
        <f>IF(A46=FALSE,"",((NG46*TAXE)-(NG46*TAXE*NI46))+IF(NM46="N/A",0,IF(INDEX(LISTES!$F$105:$F$109,MATCH(NM46,LISTES!$C$105:$C$109,0))="FIX",NN46,NO46*NL46)))</f>
        <v/>
      </c>
      <c r="OA46" s="492" t="str">
        <f>IF(A46=FALSE,"",Cotations!D46)</f>
        <v/>
      </c>
      <c r="OB46" s="491" t="str">
        <f>IF(A46=FALSE,"",IF(LISTES!$A$17=1,Cotations!CH46,Cotations!CI46))</f>
        <v/>
      </c>
      <c r="OC46" s="285" t="str">
        <f t="shared" si="335"/>
        <v/>
      </c>
      <c r="OD46" s="300"/>
      <c r="OE46" s="461" t="str">
        <f t="shared" si="336"/>
        <v/>
      </c>
      <c r="OF46" s="490" t="str">
        <f>IF(A46=FALSE,"",IF(OA46="POEA",Cotations!CK46,IF(OA46="FIXE",Cotations!CL46,IF(Cotations!CM46*Y46&lt;50000,Z46,Cotations!CM46*Y46))))</f>
        <v/>
      </c>
      <c r="OG46" s="300" t="str">
        <f t="shared" si="337"/>
        <v/>
      </c>
      <c r="OH46" s="522" t="str">
        <f>IF(A46=FALSE,"",IF(Cotations!CJ46="monthly",OG46/12*L46,OG46/365*M46))</f>
        <v/>
      </c>
      <c r="OI46" s="489" t="str">
        <f>IF(A46=FALSE,"",IF(Cotations!CN46="","",Cotations!CN46))</f>
        <v/>
      </c>
      <c r="OJ46" s="300" t="str">
        <f t="shared" si="338"/>
        <v/>
      </c>
      <c r="OK46" s="300" t="str">
        <f t="shared" si="339"/>
        <v/>
      </c>
      <c r="OL46" s="919" t="str">
        <f t="shared" si="340"/>
        <v/>
      </c>
      <c r="OM46" s="517" t="str">
        <f>IF(A46=FALSE,"",Cotations!CO46)</f>
        <v/>
      </c>
      <c r="ON46" s="515" t="str">
        <f>IF(A46=FALSE,"",Cotations!CP46)</f>
        <v/>
      </c>
      <c r="OO46" s="493" t="str">
        <f>IF(A46=FALSE,"",Cotations!CQ46)</f>
        <v/>
      </c>
      <c r="OP46" s="517" t="str">
        <f>IF(A46=FALSE,"",IF(OM46="N/A",0,IF(INDEX(LISTES!$F$105:$F$109,MATCH(OM46,LISTES!$C$105:$C$109,0))="FIX",IF(INDEX(LISTES!$E$105:$E$109,MATCH(OM46,LISTES!$C$105:$C$109,0))=12,ON46/12*L46,ON46/365*M46),OO46*OL46)))</f>
        <v/>
      </c>
      <c r="OQ46" s="294" t="str">
        <f t="shared" si="341"/>
        <v/>
      </c>
      <c r="OR46" s="494" t="str">
        <f>IF(A46=FALSE,"",OQ46*Cotations!CR46)</f>
        <v/>
      </c>
      <c r="OS46" s="494" t="str">
        <f>IF(A46=FALSE,"",OQ46*Cotations!CS46)</f>
        <v/>
      </c>
      <c r="OT46" s="338" t="str">
        <f t="shared" si="342"/>
        <v/>
      </c>
      <c r="OU46" s="919" t="str">
        <f>IF(A46=FALSE,"",((OG46*TAXE)-(OG46*TAXE*OI46))+IF(OM46="N/A",0,IF(INDEX(LISTES!$F$105:$F$109,MATCH(OM46,LISTES!$C$105:$C$109,0))="FIX",ON46,OO46*OL46)))</f>
        <v/>
      </c>
      <c r="PA46" s="497" t="str">
        <f t="shared" si="343"/>
        <v/>
      </c>
      <c r="PB46" s="498" t="str">
        <f>IF(A46=FALSE,"",IF(LISTES!$A$17=1,Cotations!CT46,Cotations!$CU$4))</f>
        <v/>
      </c>
      <c r="PC46" s="499" t="str">
        <f t="shared" si="344"/>
        <v/>
      </c>
      <c r="PD46" s="499" t="str">
        <f t="shared" si="345"/>
        <v/>
      </c>
      <c r="PE46" s="500" t="str">
        <f t="shared" si="346"/>
        <v/>
      </c>
      <c r="PF46" s="501" t="str">
        <f>IF(A46=FALSE,"",Cotations!$CY$4*Y46)</f>
        <v/>
      </c>
      <c r="PG46" s="502" t="str">
        <f t="shared" si="347"/>
        <v/>
      </c>
      <c r="PH46" s="520" t="str">
        <f>IF(A46=FALSE,"",IF(Cotations!$CV$4="monthly",PG46/12*L46,PG46/365*M46))</f>
        <v/>
      </c>
      <c r="PI46" s="503" t="str">
        <f>IF(A46=FALSE,"",Cotations!$CZ$4)</f>
        <v/>
      </c>
      <c r="PJ46" s="502" t="str">
        <f t="shared" si="348"/>
        <v/>
      </c>
      <c r="PK46" s="502" t="str">
        <f t="shared" si="349"/>
        <v/>
      </c>
      <c r="PL46" s="504" t="str">
        <f t="shared" si="350"/>
        <v/>
      </c>
      <c r="PM46" s="505" t="str">
        <f>IF(A46=FALSE,"",Cotations!$DA$4)</f>
        <v/>
      </c>
      <c r="PN46" s="520" t="str">
        <f>IF(A46=FALSE,"",Cotations!$DB$4)</f>
        <v/>
      </c>
      <c r="PO46" s="503" t="str">
        <f>IF(A46=FALSE,"",Cotations!$DC$4)</f>
        <v/>
      </c>
      <c r="PP46" s="505" t="str">
        <f>IF(A46=FALSE,"",IF(PM46="N/A",0,IF(INDEX(LISTES!$F$105:$F$109,MATCH(PM46,LISTES!$C$105:$C$109,0))="FIX",IF(INDEX(LISTES!$E$105:$E$109,MATCH(PM46,LISTES!$C$105:$C$109,0))=12,PN46/12*L46,PN46/365*M46),PO46*PL46)))</f>
        <v/>
      </c>
      <c r="PQ46" s="504" t="str">
        <f t="shared" si="351"/>
        <v/>
      </c>
      <c r="PR46" s="505" t="str">
        <f>IF(A46=FALSE,"",PQ46*Cotations!$DD$4)</f>
        <v/>
      </c>
      <c r="PS46" s="505" t="str">
        <f>IF(A46=FALSE,"",PQ46*Cotations!$DE$4)</f>
        <v/>
      </c>
      <c r="PT46" s="506" t="str">
        <f t="shared" si="352"/>
        <v/>
      </c>
      <c r="PU46" s="919" t="str">
        <f>IF(A46=FALSE,"",((PG46*TAXE)-(PG46*TAXE*PI46))+IF(PM46="N/A",0,IF(INDEX(LISTES!$F$105:$F$109,MATCH(PM46,LISTES!$C$105:$C$109,0))="FIX",PN46,PO46*PL46)))</f>
        <v/>
      </c>
      <c r="QA46" s="492" t="str">
        <f t="shared" si="353"/>
        <v/>
      </c>
      <c r="QB46" s="491" t="str">
        <f>IF(A46=FALSE,"",IF(LISTES!$A$17=1,Cotations!CT46,Cotations!CU46))</f>
        <v/>
      </c>
      <c r="QC46" s="285" t="str">
        <f t="shared" si="354"/>
        <v/>
      </c>
      <c r="QD46" s="300"/>
      <c r="QE46" s="461" t="str">
        <f t="shared" si="355"/>
        <v/>
      </c>
      <c r="QF46" s="490" t="str">
        <f>IF(A46=FALSE,"",Cotations!CY46*AA46)</f>
        <v/>
      </c>
      <c r="QG46" s="300" t="str">
        <f t="shared" si="356"/>
        <v/>
      </c>
      <c r="QH46" s="522" t="str">
        <f>IF(A46=FALSE,"",IF(Cotations!CV46="monthly",QG46/12*L46,QG46/365*M46))</f>
        <v/>
      </c>
      <c r="QI46" s="489" t="str">
        <f>IF(A46=FALSE,"",IF(Cotations!CZ46="","",Cotations!CZ46))</f>
        <v/>
      </c>
      <c r="QJ46" s="300" t="str">
        <f t="shared" si="357"/>
        <v/>
      </c>
      <c r="QK46" s="300" t="str">
        <f t="shared" si="358"/>
        <v/>
      </c>
      <c r="QL46" s="919" t="str">
        <f t="shared" si="359"/>
        <v/>
      </c>
      <c r="QM46" s="517" t="str">
        <f>IF(A46=FALSE,"",Cotations!DA46)</f>
        <v/>
      </c>
      <c r="QN46" s="515" t="str">
        <f>IF(A46=FALSE,"",Cotations!DB46)</f>
        <v/>
      </c>
      <c r="QO46" s="493" t="str">
        <f>IF(A46=FALSE,"",Cotations!DC46)</f>
        <v/>
      </c>
      <c r="QP46" s="517" t="str">
        <f>IF(A46=FALSE,"",IF(QM46="N/A",0,IF(INDEX(LISTES!$F$105:$F$109,MATCH(QM46,LISTES!$C$105:$C$109,0))="FIX",IF(INDEX(LISTES!$E$105:$E$109,MATCH(QM46,LISTES!$C$105:$C$109,0))=12,QN46/12*L46,QN46/365*M46),QO46*QL46)))</f>
        <v/>
      </c>
      <c r="QQ46" s="294" t="str">
        <f t="shared" si="360"/>
        <v/>
      </c>
      <c r="QR46" s="494" t="str">
        <f>IF(A46=FALSE,"",QQ46*Cotations!DD46)</f>
        <v/>
      </c>
      <c r="QS46" s="494" t="str">
        <f>IF(A46=FALSE,"",QQ46*Cotations!DE46)</f>
        <v/>
      </c>
      <c r="QT46" s="338" t="str">
        <f t="shared" si="361"/>
        <v/>
      </c>
      <c r="QU46" s="919" t="str">
        <f>IF(A46=FALSE,"",((QG46*TAXE)-(QG46*TAXE*QI46))+IF(QM46="N/A",0,IF(INDEX(LISTES!$F$105:$F$109,MATCH(QM46,LISTES!$C$105:$C$109,0))="FIX",QN46,QO46*QL46)))</f>
        <v/>
      </c>
      <c r="RA46" s="497" t="str">
        <f t="shared" si="362"/>
        <v/>
      </c>
      <c r="RB46" s="498" t="str">
        <f>IF(A46=FALSE,"",IF(LISTES!$A$17=1,Cotations!DF46,Cotations!$DG$4))</f>
        <v/>
      </c>
      <c r="RC46" s="499" t="str">
        <f t="shared" si="363"/>
        <v/>
      </c>
      <c r="RD46" s="499" t="str">
        <f t="shared" si="364"/>
        <v/>
      </c>
      <c r="RE46" s="500" t="str">
        <f t="shared" si="365"/>
        <v/>
      </c>
      <c r="RF46" s="501" t="str">
        <f>IF(A46=FALSE,"",Cotations!$DK$4*Y46)</f>
        <v/>
      </c>
      <c r="RG46" s="502" t="str">
        <f t="shared" si="366"/>
        <v/>
      </c>
      <c r="RH46" s="520" t="str">
        <f>IF(A46=FALSE,"",IF(Cotations!$DH$4="monthly",RG46/12*L46,RG46/365*M46))</f>
        <v/>
      </c>
      <c r="RI46" s="503" t="str">
        <f>IF(A46=FALSE,"",Cotations!$DL$4)</f>
        <v/>
      </c>
      <c r="RJ46" s="502" t="str">
        <f t="shared" si="367"/>
        <v/>
      </c>
      <c r="RK46" s="502" t="str">
        <f t="shared" si="368"/>
        <v/>
      </c>
      <c r="RL46" s="504" t="str">
        <f t="shared" si="369"/>
        <v/>
      </c>
      <c r="RM46" s="505" t="str">
        <f>IF(A46=FALSE,"",Cotations!$DM$4)</f>
        <v/>
      </c>
      <c r="RN46" s="520" t="str">
        <f>IF(A46=FALSE,"",Cotations!$DN$4)</f>
        <v/>
      </c>
      <c r="RO46" s="503" t="str">
        <f>IF(A46=FALSE,"",Cotations!$DO$4)</f>
        <v/>
      </c>
      <c r="RP46" s="505" t="str">
        <f>IF(A46=FALSE,"",IF(RM46="N/A",0,IF(INDEX(LISTES!$F$105:$F$109,MATCH(RM46,LISTES!$C$105:$C$109,0))="FIX",IF(INDEX(LISTES!$E$105:$E$109,MATCH(RM46,LISTES!$C$105:$C$109,0))=12,RN46/12*L46,RN46/365*M46),RO46*RL46)))</f>
        <v/>
      </c>
      <c r="RQ46" s="504" t="str">
        <f t="shared" si="370"/>
        <v/>
      </c>
      <c r="RR46" s="505" t="str">
        <f>IF(A46=FALSE,"",RQ46*Cotations!$DP$4)</f>
        <v/>
      </c>
      <c r="RS46" s="505" t="str">
        <f>IF(A46=FALSE,"",RQ46*Cotations!$DQ$4)</f>
        <v/>
      </c>
      <c r="RT46" s="506" t="str">
        <f t="shared" si="371"/>
        <v/>
      </c>
      <c r="RU46" s="919" t="str">
        <f>IF(A46=FALSE,"",((RG46*TAXE)-(RG46*TAXE*RI46))+IF(RM46="N/A",0,IF(INDEX(LISTES!$F$105:$F$109,MATCH(RM46,LISTES!$C$105:$C$109,0))="FIX",RN46,RO46*RL46)))</f>
        <v/>
      </c>
      <c r="SA46" s="492" t="str">
        <f t="shared" si="372"/>
        <v/>
      </c>
      <c r="SB46" s="491" t="str">
        <f>IF(A46=FALSE,"",IF(LISTES!$A$17=1,Cotations!DF46,Cotations!DG46))</f>
        <v/>
      </c>
      <c r="SC46" s="285" t="str">
        <f t="shared" si="373"/>
        <v/>
      </c>
      <c r="SD46" s="300"/>
      <c r="SE46" s="461" t="str">
        <f t="shared" si="374"/>
        <v/>
      </c>
      <c r="SF46" s="490" t="str">
        <f>IF(A46=FALSE,"",Cotations!DK46*AA46)</f>
        <v/>
      </c>
      <c r="SG46" s="300" t="str">
        <f t="shared" si="375"/>
        <v/>
      </c>
      <c r="SH46" s="522" t="str">
        <f>IF(A46=FALSE,"",IF(Cotations!DH46="monthly",SG46/12*L46,SG46/365*M46))</f>
        <v/>
      </c>
      <c r="SI46" s="489" t="str">
        <f>IF(A46=FALSE,"",IF(Cotations!DL46="","",Cotations!DL46))</f>
        <v/>
      </c>
      <c r="SJ46" s="300" t="str">
        <f t="shared" si="376"/>
        <v/>
      </c>
      <c r="SK46" s="300" t="str">
        <f t="shared" si="377"/>
        <v/>
      </c>
      <c r="SL46" s="919" t="str">
        <f t="shared" si="378"/>
        <v/>
      </c>
      <c r="SM46" s="285" t="str">
        <f>IF(A46=FALSE,"",Cotations!DM46)</f>
        <v/>
      </c>
      <c r="SN46" s="515" t="str">
        <f>IF(A46=FALSE,"",Cotations!DN46)</f>
        <v/>
      </c>
      <c r="SO46" s="493" t="str">
        <f>IF(A46=FALSE,"",Cotations!DO46)</f>
        <v/>
      </c>
      <c r="SP46" s="517" t="str">
        <f>IF(A46=FALSE,"",IF(SM46="N/A",0,IF(INDEX(LISTES!$F$105:$F$109,MATCH(SM46,LISTES!$C$105:$C$109,0))="FIX",IF(INDEX(LISTES!$E$105:$E$109,MATCH(SM46,LISTES!$C$105:$C$109,0))=12,SN46/12*L46,SN46/365*M46),SO46*SL46)))</f>
        <v/>
      </c>
      <c r="SQ46" s="294" t="str">
        <f t="shared" si="379"/>
        <v/>
      </c>
      <c r="SR46" s="494" t="str">
        <f>IF(A46=FALSE,"",SQ46*Cotations!DP46)</f>
        <v/>
      </c>
      <c r="SS46" s="494" t="str">
        <f>IF(A46=FALSE,"",SQ46*Cotations!DQ46)</f>
        <v/>
      </c>
      <c r="ST46" s="338" t="str">
        <f t="shared" si="380"/>
        <v/>
      </c>
      <c r="SU46" s="919" t="str">
        <f>IF(A46=FALSE,"",((SG46*TAXE)-(SG46*TAXE*SI46))+IF(SM46="N/A",0,IF(INDEX(LISTES!$F$105:$F$109,MATCH(SM46,LISTES!$C$105:$C$109,0))="FIX",SN46,SO46*SL46)))</f>
        <v/>
      </c>
      <c r="TA46" s="492" t="str">
        <f>IF(A46=FALSE,"",Cotations!D46)</f>
        <v/>
      </c>
      <c r="TB46" s="491" t="str">
        <f>IF(A46=FALSE,"",IF(LISTES!$A$17=1,Cotations!DR46,Cotations!DS46))</f>
        <v/>
      </c>
      <c r="TC46" s="285" t="str">
        <f t="shared" si="381"/>
        <v/>
      </c>
      <c r="TD46" s="300" t="str">
        <f>IF(A46=FALSE,"",Detail!CQ46)</f>
        <v/>
      </c>
      <c r="TE46" s="461" t="str">
        <f t="shared" si="382"/>
        <v/>
      </c>
      <c r="TF46" s="490" t="str">
        <f>IF(A46=FALSE,"",IF(TA46="FIXE",Cotations!DU46,Cotations!DV46*Y46))</f>
        <v/>
      </c>
      <c r="TG46" s="300" t="str">
        <f t="shared" si="383"/>
        <v/>
      </c>
      <c r="TH46" s="522" t="str">
        <f>IF(A46=FALSE,"",IF(Cotations!DT46="monthly",TG46/12*L46,TG46/365*M46))</f>
        <v/>
      </c>
      <c r="TI46" s="489" t="str">
        <f>IF(A46=FALSE,"",IF(Cotations!DW46="","",Cotations!DW46))</f>
        <v/>
      </c>
      <c r="TJ46" s="300" t="str">
        <f t="shared" si="384"/>
        <v/>
      </c>
      <c r="TK46" s="300" t="str">
        <f t="shared" si="385"/>
        <v/>
      </c>
      <c r="TL46" s="919" t="str">
        <f t="shared" si="386"/>
        <v/>
      </c>
      <c r="TM46" s="517" t="str">
        <f>IF(A46=FALSE,"",Cotations!DX46)</f>
        <v/>
      </c>
      <c r="TN46" s="517" t="str">
        <f>IF(A46=FALSE,"",Cotations!DY46)</f>
        <v/>
      </c>
      <c r="TO46" s="493" t="str">
        <f>IF(A46=FALSE,"",Cotations!DZ46)</f>
        <v/>
      </c>
      <c r="TP46" s="517" t="str">
        <f>IF(A46=FALSE,"",IF(TM46="N/A",0,IF(INDEX(LISTES!$F$105:$F$109,MATCH(TM46,LISTES!$C$105:$C$109,0))="FIX",IF(INDEX(LISTES!$E$105:$E$109,MATCH(TM46,LISTES!$C$105:$C$109,0))=12,TN46/12*L46,TN46/365*M46),TO46*TL46)))</f>
        <v/>
      </c>
      <c r="TQ46" s="294" t="str">
        <f t="shared" si="387"/>
        <v/>
      </c>
      <c r="TR46" s="494" t="str">
        <f>IF(A46=FALSE,"",TQ46*Cotations!EA46)</f>
        <v/>
      </c>
      <c r="TS46" s="494" t="str">
        <f>IF(A46=FALSE,"",TQ46*Cotations!EB46)</f>
        <v/>
      </c>
      <c r="TT46" s="338" t="str">
        <f t="shared" si="388"/>
        <v/>
      </c>
      <c r="TU46" s="919" t="str">
        <f>IF(A46=FALSE,"",((TG46*(1+TAXE)-(TG46*(1+TAXE)*TI46))+IF(TM46="N/A",0,IF(INDEX(LISTES!$F$105:$F$109,MATCH(TM46,LISTES!$C$105:$C$109,0))="FIX",TN46,TO46*TL46))))</f>
        <v/>
      </c>
      <c r="UA46" s="492" t="str">
        <f>IF(A46=FALSE,"",Cotations!D46)</f>
        <v/>
      </c>
      <c r="UB46" s="491" t="str">
        <f>IF(A46=FALSE,"",IF(LISTES!$A$17=1,Cotations!EC46,Cotations!ED46))</f>
        <v/>
      </c>
      <c r="UC46" s="285" t="str">
        <f t="shared" si="389"/>
        <v/>
      </c>
      <c r="UD46" s="300" t="str">
        <f>IF(A46=FALSE,"",Detail!CY46)</f>
        <v/>
      </c>
      <c r="UE46" s="461" t="str">
        <f t="shared" si="390"/>
        <v/>
      </c>
      <c r="UF46" s="490" t="str">
        <f>IF(A46=FALSE,"",IF(UA46="FIXE",Cotations!EF46,Cotations!EG46*Y46))</f>
        <v/>
      </c>
      <c r="UG46" s="300" t="str">
        <f t="shared" si="391"/>
        <v/>
      </c>
      <c r="UH46" s="522" t="str">
        <f>IF(A46=FALSE,"",IF(Cotations!EE46="monthly",UG46/12*L46,UG46/365*M46))</f>
        <v/>
      </c>
      <c r="UI46" s="489" t="str">
        <f>IF(A46=FALSE,"",IF(Cotations!EH46="","",Cotations!EH46))</f>
        <v/>
      </c>
      <c r="UJ46" s="300" t="str">
        <f t="shared" si="392"/>
        <v/>
      </c>
      <c r="UK46" s="300" t="str">
        <f t="shared" si="393"/>
        <v/>
      </c>
      <c r="UL46" s="919" t="str">
        <f t="shared" si="394"/>
        <v/>
      </c>
      <c r="UM46" s="517" t="str">
        <f>IF(A46=FALSE,"",Cotations!EI46)</f>
        <v/>
      </c>
      <c r="UN46" s="517" t="str">
        <f>IF(A46=FALSE,"",Cotations!EJ46)</f>
        <v/>
      </c>
      <c r="UO46" s="493" t="str">
        <f>IF(A46=FALSE,"",Cotations!EK46)</f>
        <v/>
      </c>
      <c r="UP46" s="517" t="str">
        <f>IF(A46=FALSE,"",IF(UM46="N/A",0,IF(INDEX(LISTES!$F$105:$F$109,MATCH(UM46,LISTES!$C$105:$C$109,0))="FIX",IF(INDEX(LISTES!$E$105:$E$109,MATCH(UM46,LISTES!$C$105:$C$109,0))=12,UN46/12*L46,UN46/365*M46),UO46*UL46)))</f>
        <v/>
      </c>
      <c r="UQ46" s="294" t="str">
        <f t="shared" si="395"/>
        <v/>
      </c>
      <c r="UR46" s="494" t="str">
        <f>IF(A46=FALSE,"",UQ46*Cotations!EL46)</f>
        <v/>
      </c>
      <c r="US46" s="494" t="str">
        <f>IF(A46=FALSE,"",UQ46*Cotations!EM46)</f>
        <v/>
      </c>
      <c r="UT46" s="338" t="str">
        <f t="shared" si="396"/>
        <v/>
      </c>
      <c r="UU46" s="919" t="str">
        <f>IF(A46=FALSE,"",((UG46*(1+TAXE)-(UG46*(1+TAXE)*UI46))+IF(UM46="N/A",0,IF(INDEX(LISTES!$F$105:$F$109,MATCH(UM46,LISTES!$C$105:$C$109,0))="FIX",UN46,UO46*UL46))))</f>
        <v/>
      </c>
      <c r="VA46" s="492" t="str">
        <f>IF(A46=FALSE,"",Cotations!D46)</f>
        <v/>
      </c>
      <c r="VB46" s="519" t="str">
        <f>IF(A46=FALSE,"",IF(LISTES!$A$17=1,Cotations!EN46,Cotations!EO46))</f>
        <v/>
      </c>
      <c r="VC46" s="291" t="str">
        <f t="shared" si="397"/>
        <v/>
      </c>
      <c r="VD46" s="291" t="str">
        <f t="shared" si="398"/>
        <v/>
      </c>
      <c r="VE46" s="291"/>
      <c r="VF46" s="463"/>
      <c r="VG46" s="463" t="str">
        <f t="shared" si="399"/>
        <v/>
      </c>
      <c r="VH46" s="522" t="str">
        <f>IF(A46=FALSE,"",IF(Cotations!$AQ$4="monthly",VG46/12*L46,VG46/365*M46))</f>
        <v/>
      </c>
      <c r="VI46" s="489" t="str">
        <f>IF(A46=FALSE,"",Cotations!$AR$4)</f>
        <v/>
      </c>
      <c r="VJ46" s="300" t="str">
        <f t="shared" si="400"/>
        <v/>
      </c>
      <c r="VK46" s="300" t="str">
        <f t="shared" si="401"/>
        <v/>
      </c>
      <c r="VL46" s="294" t="str">
        <f t="shared" si="402"/>
        <v/>
      </c>
      <c r="VM46" s="494" t="str">
        <f>IF(A46=FALSE,"",Cotations!$AS$4)</f>
        <v/>
      </c>
      <c r="VN46" s="494" t="str">
        <f>IF(A46=FALSE,"",Cotations!$AT$4)</f>
        <v/>
      </c>
      <c r="VO46" s="489" t="str">
        <f>IF(A46=FALSE,"",Cotations!$AU$4)</f>
        <v/>
      </c>
      <c r="VP46" s="494" t="str">
        <f>IF(A46=FALSE,"",IF(VM46="N/A",0,IF(INDEX(LISTES!$F$105:$F$109,MATCH(VM46,LISTES!$C$105:$C$109,0))="FIX",IF(INDEX(LISTES!$E$105:$E$109,MATCH(VM46,LISTES!$C$105:$C$109,0))=12,VN46/12*L46,VN46/365*M46),VO46*VL46)))</f>
        <v/>
      </c>
      <c r="VQ46" s="294" t="str">
        <f t="shared" si="403"/>
        <v/>
      </c>
      <c r="VR46" s="494" t="str">
        <f>IF(A46=FALSE,"",VQ46*Cotations!$AV$4)</f>
        <v/>
      </c>
      <c r="VS46" s="494" t="str">
        <f>IF(A46=FALSE,"",VQ46*Cotations!$AW$4)</f>
        <v/>
      </c>
      <c r="VT46" s="465" t="str">
        <f t="shared" si="404"/>
        <v/>
      </c>
      <c r="VU46" s="919" t="str">
        <f>IF(A46=FALSE,"",((VG46*TAXE)-(VG46*TAXE*VI46))+IF(VM46="N/A",0,IF(INDEX(LISTES!$F$105:$F$109,MATCH(VM46,LISTES!$C$105:$C$109,0))="FIX",VN46,VO46*VL46)))</f>
        <v/>
      </c>
      <c r="WA46" s="492" t="str">
        <f>IF(A46=FALSE,"",Cotations!D46)</f>
        <v/>
      </c>
      <c r="WB46" s="519" t="str">
        <f>IF(A46=FALSE,"",IF(LISTES!$A$17=1,Cotations!EW46,Cotations!EX46))</f>
        <v/>
      </c>
      <c r="WC46" s="291" t="str">
        <f t="shared" si="405"/>
        <v/>
      </c>
      <c r="WD46" s="291" t="str">
        <f t="shared" si="406"/>
        <v/>
      </c>
      <c r="WE46" s="291"/>
      <c r="WF46" s="463"/>
      <c r="WG46" s="463" t="str">
        <f t="shared" si="407"/>
        <v/>
      </c>
      <c r="WH46" s="522" t="str">
        <f>IF(A46=FALSE,"",IF(Cotations!$AQ$4="monthly",WG46/12*L46,WG46/365*M46))</f>
        <v/>
      </c>
      <c r="WI46" s="489" t="str">
        <f>IF(A46=FALSE,"",Cotations!$AR$4)</f>
        <v/>
      </c>
      <c r="WJ46" s="300" t="str">
        <f t="shared" si="408"/>
        <v/>
      </c>
      <c r="WK46" s="300" t="str">
        <f t="shared" si="409"/>
        <v/>
      </c>
      <c r="WL46" s="294" t="str">
        <f t="shared" si="410"/>
        <v/>
      </c>
      <c r="WM46" s="494" t="str">
        <f>IF(A46=FALSE,"",Cotations!$AS$4)</f>
        <v/>
      </c>
      <c r="WN46" s="494" t="str">
        <f>IF(A46=FALSE,"",Cotations!$AT$4)</f>
        <v/>
      </c>
      <c r="WO46" s="489" t="str">
        <f>IF(A46=FALSE,"",Cotations!$AU$4)</f>
        <v/>
      </c>
      <c r="WP46" s="494" t="str">
        <f>IF(A46=FALSE,"",IF(WM46="N/A",0,IF(INDEX(LISTES!$F$105:$F$109,MATCH(WM46,LISTES!$C$105:$C$109,0))="FIX",IF(INDEX(LISTES!$E$105:$E$109,MATCH(WM46,LISTES!$C$105:$C$109,0))=12,WN46/12*L46,WN46/365*M46),WO46*WL46)))</f>
        <v/>
      </c>
      <c r="WQ46" s="294" t="str">
        <f t="shared" si="411"/>
        <v/>
      </c>
      <c r="WR46" s="494" t="str">
        <f>IF(A46=FALSE,"",WQ46*Cotations!$AV$4)</f>
        <v/>
      </c>
      <c r="WS46" s="494" t="str">
        <f>IF(A46=FALSE,"",WQ46*Cotations!$AW$4)</f>
        <v/>
      </c>
      <c r="WT46" s="465" t="str">
        <f t="shared" si="412"/>
        <v/>
      </c>
      <c r="WU46" s="919" t="str">
        <f>IF(A46=FALSE,"",((WG46*TAXE)-(WG46*TAXE*WI46))+IF(WM46="N/A",0,IF(INDEX(LISTES!$F$105:$F$109,MATCH(WM46,LISTES!$C$105:$C$109,0))="FIX",WN46,WO46*WL46)))</f>
        <v/>
      </c>
    </row>
    <row r="47" spans="1:619">
      <c r="A47" s="942" t="b">
        <f t="shared" ref="A47:A78" si="433">IF(B47=FALSE,FALSE,IF(C47=FALSE,FALSE,IF(D47=FALSE,FALSE,TRUE)))</f>
        <v>0</v>
      </c>
      <c r="B47" s="942" t="b">
        <f>IF(NAMES!$B$9=TRUE,TRUE,FALSE)</f>
        <v>1</v>
      </c>
      <c r="C47" s="942" t="b">
        <f t="shared" si="413"/>
        <v>0</v>
      </c>
      <c r="D47" s="942" t="b">
        <f t="shared" si="414"/>
        <v>0</v>
      </c>
      <c r="E47" s="274" t="b">
        <f>IF(Cotations!C47="","",Cotations!C47)</f>
        <v>0</v>
      </c>
      <c r="F47" s="274" t="str">
        <f>IF(Cotations!D47="","",Cotations!D47)</f>
        <v>PROP</v>
      </c>
      <c r="G47" s="274" t="str">
        <f>IF(Cotations!E47="","",Cotations!E47)</f>
        <v>2016-2017!</v>
      </c>
      <c r="H47" s="274" t="str">
        <f>IF(Cotations!F47="","",Cotations!F47)</f>
        <v>SINGLE</v>
      </c>
      <c r="I47" s="274" t="str">
        <f>IF(Cotations!G47="","",Cotations!G47)</f>
        <v/>
      </c>
      <c r="J47" s="274" t="str">
        <f>IF(Cotations!H47="","",Cotations!H47)</f>
        <v/>
      </c>
      <c r="K47" s="274" t="str">
        <f>IF(Cotations!I47="","",Cotations!I47)</f>
        <v/>
      </c>
      <c r="L47" s="274" t="str">
        <f>IF(A47=FALSE,"",IF(Cotations!N47="","",Cotations!N47))</f>
        <v/>
      </c>
      <c r="M47" s="274" t="str">
        <f>IF(Cotations!P47="","",Cotations!P47)</f>
        <v/>
      </c>
      <c r="N47" s="724" t="str">
        <f>IF(NAMES!$B$10=TRUE,Cotations!J47,Cotations!L47)</f>
        <v/>
      </c>
      <c r="O47" s="724" t="str">
        <f>IF(NAMES!$B$10=TRUE,Cotations!K47,Cotations!M47)</f>
        <v/>
      </c>
      <c r="P47" s="943" t="str">
        <f t="shared" si="415"/>
        <v/>
      </c>
      <c r="Q47" s="724" t="str">
        <f>IF(A47=FALSE,"",IF(Crewlist!Y47="","",Crewlist!Y47))</f>
        <v/>
      </c>
      <c r="R47" s="78" t="str">
        <f>IF(Cotations!U47="","",Cotations!U47)</f>
        <v/>
      </c>
      <c r="S47" s="943" t="str">
        <f t="shared" si="416"/>
        <v/>
      </c>
      <c r="T47" s="919" t="str">
        <f>IF(A47=FALSE,"",VLOOKUP($U$15:$U$120,Currency!$A$2:$D$10,4,0)*Crewlist!N47)</f>
        <v/>
      </c>
      <c r="U47" s="1355" t="str">
        <f>IF(A47=FALSE,"",IF(IT47=0,Crewlist!M47&amp;"/"&amp;EX47,Crewlist!M47&amp;"/"&amp;IT47))</f>
        <v/>
      </c>
      <c r="V47" s="919" t="str">
        <f>IF(A47=FALSE,"",VLOOKUP($U$15:$U$120,Currency!$A$2:$D$10,4,0)*Detail!Q47)</f>
        <v/>
      </c>
      <c r="W47" s="1355" t="str">
        <f>IF(A47=FALSE,"",IF(IT47=0,Detail!R47&amp;"/"&amp;EX47,Detail!R47&amp;"/"&amp;IT47))</f>
        <v/>
      </c>
      <c r="X47" s="919" t="str">
        <f>IF(A47=FALSE,"",IF(LISTES!$C$17="Crewlist",Calcul!T47,Calcul!V47))</f>
        <v/>
      </c>
      <c r="Y47" s="758" t="str">
        <f t="shared" si="417"/>
        <v/>
      </c>
      <c r="Z47" s="758" t="str">
        <f>IF(A47=FALSE,"",IF(X47=0,0,IF((Cotations!BC47*12*X47)&lt;50000,50000,(12*X47))))</f>
        <v/>
      </c>
      <c r="AA47" s="758" t="str">
        <f t="shared" si="418"/>
        <v/>
      </c>
      <c r="AB47" s="758" t="str">
        <f>IF(A47=FALSE,"",IF(Crewlist!O47=0,"",Crewlist!O47))</f>
        <v/>
      </c>
      <c r="AC47" s="758" t="str">
        <f>IF(I47="","",VLOOKUP($AB$15:$AB$120,Currency!$A$15:$B$34,2,0))</f>
        <v/>
      </c>
      <c r="AD47" s="758" t="str">
        <f t="shared" si="419"/>
        <v/>
      </c>
      <c r="AE47" s="758" t="str">
        <f t="shared" si="420"/>
        <v/>
      </c>
      <c r="AF47" s="758" t="str">
        <f t="shared" si="421"/>
        <v/>
      </c>
      <c r="AG47" s="758" t="str">
        <f t="shared" si="422"/>
        <v/>
      </c>
      <c r="AH47" s="1355" t="str">
        <f t="shared" ref="AH47:AH78" si="434">IF(A47=FALSE,"",EX47)</f>
        <v/>
      </c>
      <c r="AI47" s="919" t="str">
        <f t="shared" si="423"/>
        <v/>
      </c>
      <c r="AJ47" s="1382" t="str">
        <f t="shared" si="424"/>
        <v/>
      </c>
      <c r="AK47" s="1382" t="str">
        <f t="shared" si="425"/>
        <v/>
      </c>
      <c r="AL47" s="238" t="str">
        <f t="shared" ref="AL47:AL78" si="435">IF(A47=FALSE,"",BZ47+CA47)</f>
        <v/>
      </c>
      <c r="AM47" s="238" t="str">
        <f t="shared" ref="AM47:AM78" si="436">IF(A47=FALSE,"",AR47*(TAXE-1))</f>
        <v/>
      </c>
      <c r="AN47" s="1374" t="str">
        <f t="shared" ref="AN47:AN78" si="437">IF(A47=FALSE,"",EO47)</f>
        <v/>
      </c>
      <c r="AO47" s="238" t="str">
        <f t="shared" ref="AO47:AO78" si="438">IF(A47=FALSE,"",AL47+AM47)</f>
        <v/>
      </c>
      <c r="AP47" s="342" t="str">
        <f>IF(A47=FALSE,"",INDEX(Rates!$Z$5:$Z$367,MATCH(EB47,colchoice,0)))</f>
        <v/>
      </c>
      <c r="AQ47" s="238" t="str">
        <f t="shared" ref="AQ47:AQ78" si="439">IF(A47=FALSE,"",IF(AP47="NO",0,IF(AP47="WCA",L47,15/12*L47)))</f>
        <v/>
      </c>
      <c r="AR47" s="238" t="str">
        <f t="shared" ref="AR47:AR78" si="440">IF(A47=FALSE,"",BD47+BP47)</f>
        <v/>
      </c>
      <c r="AS47" s="238" t="str">
        <f t="shared" ref="AS47:AS78" si="441">IF(A47=FALSE,"",SUM(AU47:AV47)*TAXE)</f>
        <v/>
      </c>
      <c r="AT47" s="238" t="str">
        <f t="shared" ref="AT47:AT78" si="442">IF(A47=FALSE,"",SUM(AW47:BB47)*TAXE)</f>
        <v/>
      </c>
      <c r="AU47" s="238" t="str">
        <f t="shared" ref="AU47:AU78" si="443">IF(A47=FALSE,"",BE47+BQ47)</f>
        <v/>
      </c>
      <c r="AV47" s="238" t="str">
        <f t="shared" si="429"/>
        <v/>
      </c>
      <c r="AW47" s="238" t="str">
        <f t="shared" ref="AW47:AW78" si="444">IF(A47=FALSE,"",BI47+BS47)</f>
        <v/>
      </c>
      <c r="AX47" s="238" t="str">
        <f t="shared" ref="AX47:AX78" si="445">IF(A47=FALSE,"",BJ47+BT47)</f>
        <v/>
      </c>
      <c r="AY47" s="238" t="str">
        <f t="shared" ref="AY47:AY78" si="446">IF(A47=FALSE,"",BK47+BU47)</f>
        <v/>
      </c>
      <c r="AZ47" s="238" t="str">
        <f t="shared" ref="AZ47:AZ78" si="447">IF(A47=FALSE,"",BL47+BV47)</f>
        <v/>
      </c>
      <c r="BA47" s="238" t="str">
        <f t="shared" ref="BA47:BA78" si="448">IF(A47=FALSE,"",BM47+BW47)</f>
        <v/>
      </c>
      <c r="BB47" s="552" t="str">
        <f t="shared" ref="BB47:BB78" si="449">IF(A47=FALSE,"",BN47+BX47)</f>
        <v/>
      </c>
      <c r="BC47" s="347" t="str">
        <f t="shared" ref="BC47:BC78" si="450">IF(A47=FALSE,"",BD47*TAXE)</f>
        <v/>
      </c>
      <c r="BD47" s="239" t="str">
        <f t="shared" si="430"/>
        <v/>
      </c>
      <c r="BE47" s="239" t="str">
        <f>IF(A47=FALSE,"",IF(ALLTHESAME=TRUE,IF(DF47&lt;&gt;$BC$7,0,INDEX(DD47:DZ47,1,MATCH(Structure!$D$12,$DD$14:$DZ$14,0))),IF(EC47&lt;&gt;$BC$7,0,INDEX(EA47:EZ47,1,MATCH(Structure!$D$12,$EA$14:$EZ$14,0)))))</f>
        <v/>
      </c>
      <c r="BF47" s="239" t="str">
        <f>IF(A47=FALSE,"",IF(ALLTHESAME=TRUE,IF(FC47&lt;&gt;$BC$7,0,INDEX(FA47:FZ47,1,MATCH(Structure!$D$12,$FA$14:$FZ$14,0))),IF(GC47&lt;&gt;$BC$7,0,INDEX(GA47:GZ47,1,MATCH(Structure!$D$12,$GA$14:$GZ$14,0)))))</f>
        <v/>
      </c>
      <c r="BG47" s="239" t="str">
        <f>IF(A47=FALSE,"",IF(ALLTHESAME=TRUE,IF(VC47&lt;&gt;$BC$7,0,INDEX(VA47:VZ47,1,MATCH(Structure!$D$12,$VA$14:$VZ$14,0))),IF(VC47&lt;&gt;$BC$7,0,INDEX(VA47:VZ47,1,MATCH(Structure!$D$12,$VA$14:$VZ$14,0)))))</f>
        <v/>
      </c>
      <c r="BH47" s="239" t="str">
        <f>IF(A47=FALSE,"",IF(ALLTHESAME=TRUE,IF(WC47&lt;&gt;$BC$7,0,INDEX(WA47:WY47,1,MATCH(Structure!$D$12,$WA$14:$WZ$14,0))),IF(WC47&lt;&gt;$BC$7,0,INDEX(WA47:WZ47,1,MATCH(Structure!$D$12,$WA$14:$WZ$14,0)))))</f>
        <v/>
      </c>
      <c r="BI47" s="763" t="str">
        <f>IF(A47=FALSE,"",IF(ALLTHESAME=TRUE,IF(HC47&lt;&gt;$BC$7,0,INDEX(HA47:HZ47,1,MATCH(Structure!$D$12,$HA$14:$HZ$14,0)))+TK47,IF(IC47&lt;&gt;$BC$7,0,INDEX(IA47:IZ47,1,MATCH(Structure!$D$12,$IA$14:$IZ$14,0)))+TK47))</f>
        <v/>
      </c>
      <c r="BJ47" s="239" t="str">
        <f>IF(A47=FALSE,"",IF(ALLTHESAME=TRUE,IF(JC47&lt;&gt;$BC$7,0,INDEX(JA47:JZ47,1,MATCH(Structure!$D$12,$JA$14:$JZ$14,0))),IF(KC47&lt;&gt;$BC$7,0,INDEX(KA47:KZ47,1,MATCH(Structure!$D$12,$KA$14:$KZ$14,0)))))</f>
        <v/>
      </c>
      <c r="BK47" s="763" t="str">
        <f>IF(A47=FALSE,"",IF(ALLTHESAME=TRUE,IF(LC47&lt;&gt;$BC$7,0,INDEX(LA47:LZ47,1,MATCH(Structure!$D$12,$LA$14:$LZ$14,0)))+UK47,IF(MC47&lt;&gt;$BC$7,0,INDEX(MA47:MZ47,1,MATCH(Structure!$D$12,$MA$14:$MZ$14,0)))+UK47))</f>
        <v/>
      </c>
      <c r="BL47" s="239" t="str">
        <f>IF(A47=FALSE,"",IF(ALLTHESAME=TRUE,IF(NC47&lt;&gt;$BC$7,0,INDEX(NA47:NZ47,1,MATCH(Structure!$D$12,$NA$14:$NZ$14,0))),IF(OC47&lt;&gt;$BC$7,0,INDEX(OA47:OZ47,1,MATCH(Structure!$D$12,$OA$14:$OZ$14,0)))))</f>
        <v/>
      </c>
      <c r="BM47" s="239" t="str">
        <f>IF(A47=FALSE,"",IF(ALLTHESAME=TRUE,IF(PC47&lt;&gt;$BC$7,0,INDEX(PA47:PZ47,1,MATCH(Structure!$D$12,$PA$14:$PZ$14,0))),IF(QC47&lt;&gt;$BC$7,0,INDEX(QA47:QZ47,1,MATCH(Structure!$D$12,$QA$14:$QZ$14,0)))))</f>
        <v/>
      </c>
      <c r="BN47" s="341" t="str">
        <f>IF(A47=FALSE,"",IF(ALLTHESAME=TRUE,IF(RC47&lt;&gt;$BC$7,0,INDEX(RA47:RZ47,1,MATCH(Structure!$D$12,$RA$14:$RZ$14,0))),IF(SC47&lt;&gt;$BC$7,0,INDEX(SA47:TA47,1,MATCH(Structure!$D$12,$SA$14:$TA$14,0)))))</f>
        <v/>
      </c>
      <c r="BO47" s="507" t="str">
        <f t="shared" ref="BO47:BO78" si="451">IF(A47=FALSE,"",BP47*TAXE)</f>
        <v/>
      </c>
      <c r="BP47" s="239" t="str">
        <f t="shared" ref="BP47:BP78" si="452">IF(A47=FALSE,"",SUM(BQ47:BX47))</f>
        <v/>
      </c>
      <c r="BQ47" s="239" t="str">
        <f>IF(A47=FALSE,"",IF(ALLTHESAME=TRUE,IF(DF47&lt;&gt;$BO$7,0,INDEX(DD47:DZ47,1,MATCH(Structure!$D$12,$DD$14:$DZ$14,0))),IF(EC47&lt;&gt;$BO$7,0,INDEX(EA47:EZ47,1,MATCH(Structure!$D$12,$EA$14:$EZ$14,0)))))</f>
        <v/>
      </c>
      <c r="BR47" s="239" t="str">
        <f>IF(A47=FALSE,"",IF(ALLTHESAME=TRUE,IF(FC47&lt;&gt;$BO$7,0,INDEX(FA47:FZ47,1,MATCH(Structure!$D$12,$FA$14:$FZ$14,0))),IF(GC47&lt;&gt;$BO$7,0,INDEX(GA47:GZ47,1,MATCH(Structure!$D$12,$GA$14:$GZ$14,0)))))</f>
        <v/>
      </c>
      <c r="BS47" s="239" t="str">
        <f>IF(A47=FALSE,"",IF(ALLTHESAME=TRUE,IF(HC47&lt;&gt;$BO$7,0,INDEX(HA47:HZ47,1,MATCH(Structure!$D$12,$HA$14:$HZ$14,0))),IF(IC47&lt;&gt;$BO$7,0,INDEX(IA47:IZ47,1,MATCH(Structure!$D$12,$IA$14:$IZ$14,0)))))</f>
        <v/>
      </c>
      <c r="BT47" s="239" t="str">
        <f>IF(A47=FALSE,"",IF(ALLTHESAME=TRUE,IF(JC47&lt;&gt;$BO$7,0,INDEX(JA47:JZ47,1,MATCH(Structure!$D$12,$JA$14:$JZ$14,0))),IF(KC47&lt;&gt;$BO$7,0,INDEX(KA47:KZ47,1,MATCH(Structure!$D$12,$KA$14:$KZ$14,0)))))</f>
        <v/>
      </c>
      <c r="BU47" s="239" t="str">
        <f>IF(A47=FALSE,"",IF(ALLTHESAME=TRUE,IF(LC47&lt;&gt;$BO$7,0,INDEX(LA47:LZ47,1,MATCH(Structure!$D$12,$LA$14:$LZ$14,0))),IF(MC47&lt;&gt;$BO$7,0,INDEX(MA47:MZ47,1,MATCH(Structure!$D$12,$MA$14:$MZ$14,0)))))</f>
        <v/>
      </c>
      <c r="BV47" s="239" t="str">
        <f>IF(A47=FALSE,"",IF(ALLTHESAME=TRUE,IF(NC47&lt;&gt;$BO$7,0,INDEX(NA47:NZ47,1,MATCH(Structure!$D$12,$NA$14:$NZ$14,0))),IF(OC47&lt;&gt;$BO$7,0,INDEX(OA47:OZ47,1,MATCH(Structure!$D$12,$OA$14:$OZ$14,0)))))</f>
        <v/>
      </c>
      <c r="BW47" s="239" t="str">
        <f>IF(A47=FALSE,"",IF(ALLTHESAME=TRUE,IF(PC47&lt;&gt;$BO$7,0,INDEX(PA47:PZ47,1,MATCH(Structure!$D$12,$PA$14:$PZ$14,0))),IF(QC47&lt;&gt;$BO$7,0,INDEX(QA47:QZ47,1,MATCH(Structure!$D$12,$QA$14:$QZ$14,0)))))</f>
        <v/>
      </c>
      <c r="BX47" s="341" t="str">
        <f>IF(A47=FALSE,"",IF(ALLTHESAME=TRUE,IF(RC47&lt;&gt;$BO$7,0,INDEX(RA47:RZ47,1,MATCH(Structure!$D$12,$RA$14:$RZ$14,0))),IF(SC47&lt;&gt;$BO$7,0,INDEX(SA47:TA47,1,MATCH(Structure!$D$12,$SA$14:$TA$14,0)))))</f>
        <v/>
      </c>
      <c r="BY47" s="347" t="str">
        <f t="shared" ref="BY47:BY78" si="453">IF(A47=FALSE,"",IF(SUM(CD47:CI47)&gt;0,"PREV","MEDI"))</f>
        <v/>
      </c>
      <c r="BZ47" s="507" t="str">
        <f t="shared" ref="BZ47:BZ78" si="454">IF(A47=FALSE,"",SUM(CB47:CC47))</f>
        <v/>
      </c>
      <c r="CA47" s="239" t="str">
        <f t="shared" ref="CA47:CA78" si="455">IF(A47=FALSE,"",SUM(CD47:CI47))</f>
        <v/>
      </c>
      <c r="CB47" s="239" t="str">
        <f>IF(A47=FALSE,"",IF(ALLTHESAME=TRUE,INDEX(DD47:DZ47,MATCH(DF47,DF47:DF152,0),MATCH(Structure!$D$17,$DD$14:$DZ$14,0)),INDEX(EA47:EZ47,MATCH(EC47,EC47:EC152,0),MATCH(Structure!$D$17,$EA$14:$EZ$14,0))))</f>
        <v/>
      </c>
      <c r="CC47" s="239" t="str">
        <f>IF(A47=FALSE,"",IF(ALLTHESAME=TRUE,INDEX(FA47:FZ47,MATCH(FC47,FC47:FC152,0),MATCH(Structure!$D$17,$FA$14:$FZ$14,0)),INDEX(GA47:GZ47,MATCH(GC47,GC47:GC152,0),MATCH(Structure!$D$17,$GA$14:$GZ$14,0))))</f>
        <v/>
      </c>
      <c r="CD47" s="239" t="str">
        <f>IF(A47=FALSE,"",IF(ALLTHESAME=TRUE,INDEX(HA47:HZ47,MATCH(HC47,HC47:HC152,0),MATCH(Structure!$D$17,$HA$14:$HZ$14,0)),INDEX(IA47:IZ47,MATCH(IC47,IC47:IC152,0),MATCH(Structure!$D$17,$IA$14:$IZ$14,0))))</f>
        <v/>
      </c>
      <c r="CE47" s="239" t="str">
        <f>IF(A47=FALSE,"",IF(ALLTHESAME=TRUE,INDEX(JA47:JZ47,MATCH(JC47,JC47:JC152,0),MATCH(Structure!$D$17,$JA$14:$JZ$14,0)),INDEX(KA47:KZ47,MATCH(KC47,KC47:KC152,0),MATCH(Structure!$D$17,$KA$14:$KZ$14,0))))</f>
        <v/>
      </c>
      <c r="CF47" s="239" t="str">
        <f>IF(A47=FALSE,"",IF(ALLTHESAME=TRUE,INDEX(LA47:LZ47,MATCH(LC47,LC47:LC152,0),MATCH(Structure!$D$17,$LA$14:$LZ$14,0)),INDEX(MA47:MZ47,MATCH(MC47,MC47:MC152,0),MATCH(Structure!$D$17,$MA$14:$MZ$14,0))))</f>
        <v/>
      </c>
      <c r="CG47" s="239" t="str">
        <f>IF(A47=FALSE,"",IF(ALLTHESAME=TRUE,INDEX(NA47:NZ47,MATCH(NC47,NC47:NC152,0),MATCH(Structure!$D$17,$NA$14:$NZ$14,0)),INDEX(OA47:OZ47,MATCH(OC47,OC47:OC152,0),MATCH(Structure!$D$17,$OA$14:$OZ$14,0))))</f>
        <v/>
      </c>
      <c r="CH47" s="239" t="str">
        <f>IF(A47=FALSE,"",IF(ALLTHESAME=TRUE,INDEX(PA47:PZ47,MATCH(PC47,PC47:PC152,0),MATCH(Structure!$D$17,$PA$14:$PZ$14,0)),INDEX(QA47:QZ47,MATCH(QC47,QC47:QC152,0),MATCH(Structure!$D$17,$QA$14:$QZ$14,0))))</f>
        <v/>
      </c>
      <c r="CI47" s="341" t="str">
        <f>IF(A47=FALSE,"",IF(ALLTHESAME=TRUE,INDEX(RA47:RZ47,MATCH(RC47,RC47:RC152,0),MATCH(Structure!$D$17,$RA$14:$RZ$14,0)),INDEX(SA47:TC47,MATCH(SC47,SC47:SC152,0),MATCH(Structure!$D$17,$SA$14:$TC$14,0))))</f>
        <v/>
      </c>
      <c r="CJ47" s="347"/>
      <c r="CK47" s="239" t="str">
        <f t="shared" ref="CK47:CK78" si="456">IF(A47=FALSE,"",SUM(CL47:CS47))</f>
        <v/>
      </c>
      <c r="CL47" s="239" t="str">
        <f>IF(A47=FALSE,"",IF(ALLTHESAME=TRUE,INDEX(DD47:DZ47,MATCH(DF47,DF47:DF152,0),MATCH(Structure!$D$22,$DD$14:$DZ$14,0)),INDEX(EA47:EZ47,MATCH(EC47,EC47:EC152,0),MATCH(Structure!$D$22,$EA$14:$EZ$14,0))))</f>
        <v/>
      </c>
      <c r="CM47" s="239" t="str">
        <f>IF(A47=FALSE,"",IF(ALLTHESAME=TRUE,INDEX(FA47:FZ47,MATCH(FC47,FC47:FC152,0),MATCH(Structure!$D$22,$FA$14:$FZ$14,0)),INDEX(GA47:GZ47,MATCH(GC47,GC47:GC152,0),MATCH(Structure!$D$22,$GA$14:$GZ$14,0))))</f>
        <v/>
      </c>
      <c r="CN47" s="239" t="str">
        <f>IF(A47=FALSE,"",IF(ALLTHESAME=TRUE,INDEX(HA47:HZ47,MATCH(HC47,HC47:HC152,0),MATCH(Structure!$D$22,$HA$14:$HZ$14,0)),INDEX(IA47:IZ47,MATCH(IC47,IC47:IC152,0),MATCH(Structure!$D$22,$IA$14:$IZ$14,0))))</f>
        <v/>
      </c>
      <c r="CO47" s="239" t="str">
        <f>IF(A47=FALSE,"",IF(ALLTHESAME=TRUE,INDEX(JA47:JZ47,MATCH(JC47,JC47:JC152,0),MATCH(Structure!$D$22,$JA$14:$JZ$14,0)),INDEX(KA47:KZ47,MATCH(KC47,KC47:KC152,0),MATCH(Structure!$D$22,$KA$14:$KZ$14,0))))</f>
        <v/>
      </c>
      <c r="CP47" s="239" t="str">
        <f>IF(A47=FALSE,"",IF(ALLTHESAME=TRUE,INDEX(LA47:LZ47,MATCH(LC47,LC47:LC152,0),MATCH(Structure!$D$22,$LA$14:$LZ$14,0)),INDEX(MA47:MZ47,MATCH(MC47,MC47:MC152,0),MATCH(Structure!$D$22,$MA$14:$MZ$14,0))))</f>
        <v/>
      </c>
      <c r="CQ47" s="239" t="str">
        <f>IF(A47=FALSE,"",IF(ALLTHESAME=TRUE,INDEX(NA47:NZ47,MATCH(NC47,NC47:NC152,0),MATCH(Structure!$D$22,$NA$14:$NZ$14,0)),INDEX(OA47:OZ47,MATCH(OC47,OC47:OC152,0),MATCH(Structure!$D$22,$OA$14:$OZ$14,0))))</f>
        <v/>
      </c>
      <c r="CR47" s="239" t="str">
        <f>IF(A47=FALSE,"",IF(ALLTHESAME=TRUE,INDEX(PA47:PZ47,MATCH(PC47,PC47:PC152,0),MATCH(Structure!$D$22,$PA$14:$PZ$14,0)),INDEX(QA47:QZ47,MATCH(QC47,QC47:QC152,0),MATCH(Structure!$D$22,$QA$14:$QZ$14,0))))</f>
        <v/>
      </c>
      <c r="CS47" s="341" t="str">
        <f>IF(A47=FALSE,"",IF(ALLTHESAME=TRUE,INDEX(RA47:RZ47,MATCH(RC47,RC47:RC152,0),MATCH(Structure!$D$22,$RA$14:$RZ$14,0)),INDEX(SA47:TC47,MATCH(SC47,SC47:SC152,0),MATCH(Structure!$D$22,$SA$14:$TC$14,0))))</f>
        <v/>
      </c>
      <c r="CT47" s="347"/>
      <c r="CU47" s="239" t="str">
        <f t="shared" ref="CU47:CU78" si="457">IF(A47=FALSE,"",SUM(CV47:DC47))</f>
        <v/>
      </c>
      <c r="CV47" s="239" t="str">
        <f>IF(A47=FALSE,"",IF(ALLTHESAME=TRUE,INDEX(DD47:DZ47,MATCH(DF47,DF47:DF152,0),MATCH(Structure!$D$8,$DD$14:$DZ$14,0)),INDEX(EA47:EZ47,MATCH(EC47,EC47:EC152,0),MATCH(Structure!$D$8,$EA$14:$EZ$14,0))))</f>
        <v/>
      </c>
      <c r="CW47" s="239" t="str">
        <f>IF(A47=FALSE,"",IF(ALLTHESAME=TRUE,INDEX(FA47:FZ47,MATCH(FC47,FC47:FC152,0),MATCH(Structure!$D$8,$FA$14:$FZ$14,0)),INDEX(GA47:GZ47,MATCH(GC47,GC47:GC152,0),MATCH(Structure!$D$8,$GA$14:$GZ$14,0))))</f>
        <v/>
      </c>
      <c r="CX47" s="239" t="str">
        <f>IF(A47=FALSE,"",IF(ALLTHESAME=TRUE,INDEX(HA47:HZ47,MATCH(HC47,HC47:HC152,0),MATCH(Structure!$D$8,$HA$14:$HZ$14,0)),INDEX(IA47:IZ47,MATCH(IC47,IC47:IC152,0),MATCH(Structure!$D$8,$IA$14:$IZ$14,0))))</f>
        <v/>
      </c>
      <c r="CY47" s="239" t="str">
        <f>IF(A47=FALSE,"",IF(ALLTHESAME=TRUE,INDEX(JA47:JZ47,MATCH(JC47,JC47:JC152,0),MATCH(Structure!$D$8,$JA$14:$JZ$14,0)),INDEX(KA47:KZ47,MATCH(KC47,KC47:KC152,0),MATCH(Structure!$D$8,$KA$14:$KZ$14,0))))</f>
        <v/>
      </c>
      <c r="CZ47" s="239" t="str">
        <f>IF(A47=FALSE,"",IF(ALLTHESAME=TRUE,INDEX(LA47:LZ47,MATCH(LC47,LC47:LC152,0),MATCH(Structure!$D$8,$LA$14:$LZ$14,0)),INDEX(MA47:MZ47,MATCH(MC47,MC47:MC152,0),MATCH(Structure!$D$8,$MA$14:$MZ$14,0))))</f>
        <v/>
      </c>
      <c r="DA47" s="239" t="str">
        <f>IF(A47=FALSE,"",IF(ALLTHESAME=TRUE,INDEX(NA47:NZ47,MATCH(NC47,NC47:NC152,0),MATCH(Structure!$D$8,$NA$14:$NZ$14,0)),INDEX(OA47:OZ47,MATCH(OC47,OC47:OC152,0),MATCH(Structure!$D$8,$OA$14:$OZ$14,0))))</f>
        <v/>
      </c>
      <c r="DB47" s="239" t="str">
        <f>IF(A47=FALSE,"",IF(ALLTHESAME=TRUE,INDEX(PA47:PZ47,MATCH(PC47,PC47:PC152,0),MATCH(Structure!$D$8,$PA$14:$PZ$14,0)),INDEX(QA47:QZ47,MATCH(QC47,QC47:QC152,0),MATCH(Structure!$D$8,$QA$14:$QZ$14,0))))</f>
        <v/>
      </c>
      <c r="DC47" s="341" t="str">
        <f>IF(A47=FALSE,"",IF(ALLTHESAME=TRUE,INDEX(RA47:RZ47,MATCH(RC47,RC47:RC152,0),MATCH(Structure!$D$8,$RA$14:$RZ$14,0)),INDEX(SA47:TC47,MATCH(SC47,SC47:SC152,0),MATCH(Structure!$D$8,$SA$14:$TC$14,0))))</f>
        <v/>
      </c>
      <c r="DD47" s="492" t="str">
        <f>IF(A47=FALSE,"",Cotations!D47)</f>
        <v/>
      </c>
      <c r="DE47" s="492" t="str">
        <f>IF(A47=FALSE,"",IF(LISTES!$A$17=1,Cotations!AF47,Cotations!$AG$4))</f>
        <v/>
      </c>
      <c r="DF47" s="291" t="str">
        <f t="shared" ref="DF47:DF78" si="458">IF(A47=FALSE,"",INDEX(colAssureur,MATCH(DE47,colchoice,0)))</f>
        <v/>
      </c>
      <c r="DG47" s="291" t="str">
        <f t="shared" ref="DG47:DG78" si="459">IF(A47=FALSE,"",INDEX(colProduct,MATCH(DE47,colchoice,0)))</f>
        <v/>
      </c>
      <c r="DH47" s="291"/>
      <c r="DI47" s="463"/>
      <c r="DJ47" s="463" t="str">
        <f t="shared" ref="DJ47:DJ78" si="460">IF(A47=FALSE,"",INDEX(colRatesHT,MATCH(DE47,colchoice,0)))</f>
        <v/>
      </c>
      <c r="DK47" s="522" t="str">
        <f>IF(A47=FALSE,"",IF(Cotations!$AH$4="monthly",DJ47/12*L47,DJ47/365*M47))</f>
        <v/>
      </c>
      <c r="DL47" s="489" t="str">
        <f>IF(A47=FALSE,"",Cotations!$AI$4)</f>
        <v/>
      </c>
      <c r="DM47" s="300" t="str">
        <f t="shared" ref="DM47:DM78" si="461">IF(A47=FALSE,"",DK47*DL47)</f>
        <v/>
      </c>
      <c r="DN47" s="300" t="str">
        <f t="shared" ref="DN47:DN78" si="462">IF(A47=FALSE,"",DK47-DM47)</f>
        <v/>
      </c>
      <c r="DO47" s="294" t="str">
        <f t="shared" ref="DO47:DO78" si="463">IF(A47=FALSE,"",DN47*TAXE)</f>
        <v/>
      </c>
      <c r="DP47" s="494" t="str">
        <f>IF(A47=FALSE,"",Cotations!$AJ$4)</f>
        <v/>
      </c>
      <c r="DQ47" s="494" t="str">
        <f>IF(A47=FALSE,"",Cotations!$AK$4)</f>
        <v/>
      </c>
      <c r="DR47" s="489" t="str">
        <f>IF(A47=FALSE,"",Cotations!$AL$4)</f>
        <v/>
      </c>
      <c r="DS47" s="494" t="str">
        <f>IF(A47=FALSE,"",IF(DP47="N/A",0,IF(INDEX(LISTES!$F$105:$F$109,MATCH(DP47,LISTES!$C$105:$C$109,0))="FIX",IF(INDEX(LISTES!$E$105:$E$109,MATCH(DP47,LISTES!$C$105:$C$109,0))=12,DQ47/12*L47,DQ47/365*M47),DR47*DO47)))</f>
        <v/>
      </c>
      <c r="DT47" s="294" t="str">
        <f t="shared" ref="DT47:DT78" si="464">IF(A47=FALSE,"",DO47+DS47)</f>
        <v/>
      </c>
      <c r="DU47" s="294" t="str">
        <f>IF(A47=FALSE,"",DT47*Cotations!$AM$4)</f>
        <v/>
      </c>
      <c r="DV47" s="294" t="str">
        <f>IF(A47=FALSE,"",DT47*Cotations!$AN$4)</f>
        <v/>
      </c>
      <c r="DW47" s="465" t="str">
        <f t="shared" ref="DW47:DW78" si="465">IF(A47=FALSE,"",INDEX(colCurrency,MATCH(DE47,colchoice,0)))</f>
        <v/>
      </c>
      <c r="DX47" s="919" t="str">
        <f>IF(A47=FALSE,"",((DJ47*TAXE)-(DJ47*TAXE*DL47))+IF(DP47="N/A",0,IF(INDEX(LISTES!$F$105:$F$109,MATCH(DP47,LISTES!$C$105:$C$109,0))="FIX",DQ47,DR47*DO47)))</f>
        <v/>
      </c>
      <c r="DY47" s="466"/>
      <c r="DZ47" s="466"/>
      <c r="EA47" s="492" t="str">
        <f>IF(A47=FALSE,"",Cotations!D47)</f>
        <v/>
      </c>
      <c r="EB47" s="494" t="str">
        <f>IF(A47=FALSE,"",IF(LISTES!$A$17=1,Cotations!AF47,Cotations!AG47))</f>
        <v/>
      </c>
      <c r="EC47" s="284" t="str">
        <f t="shared" ref="EC47:EC78" si="466">IF(A47=FALSE,"",INDEX(colAssureur,MATCH(EB47,colchoice,0)))</f>
        <v/>
      </c>
      <c r="ED47" s="284" t="str">
        <f t="shared" ref="ED47:ED78" si="467">IF(A47=FALSE,"",IF(N47="","",INDEX(colProduct,MATCH(EB47,colchoice,0))))</f>
        <v/>
      </c>
      <c r="EE47" s="284"/>
      <c r="EF47" s="284"/>
      <c r="EG47" s="284" t="str">
        <f t="shared" ref="EG47:EG78" si="468">IF(A47=FALSE,"",INDEX(colRatesHT,MATCH(EB47,colchoice,0)))</f>
        <v/>
      </c>
      <c r="EH47" s="1365" t="str">
        <f t="shared" ref="EH47:EH78" si="469">IF(A47=FALSE,"",INDEX(colSURCOM,MATCH(EB47,colchoice,0)))</f>
        <v/>
      </c>
      <c r="EI47" s="1365" t="str">
        <f t="shared" ref="EI47:EI78" si="470">IF(A47=FALSE,"",INDEX(colRatesHTsurcom,MATCH(EB47,colchoice,0)))</f>
        <v/>
      </c>
      <c r="EJ47" s="515" t="str">
        <f>IF(A47=FALSE,"",IF(Cotations!AH47="monthly",EG47/12*L47,EG47/365*M47))</f>
        <v/>
      </c>
      <c r="EK47" s="1364" t="str">
        <f>IF(A47=FALSE,"",IF(Cotations!AH47="monthly",EI47/12*L47,EI47/365*M47))</f>
        <v/>
      </c>
      <c r="EL47" s="493" t="str">
        <f>IF(A47=FALSE,"",IF(Cotations!AI47="","",Cotations!AI47))</f>
        <v/>
      </c>
      <c r="EM47" s="284" t="str">
        <f t="shared" ref="EM47:EM78" si="471">IF(A47=FALSE,"",EJ47*EL47)</f>
        <v/>
      </c>
      <c r="EN47" s="284" t="str">
        <f t="shared" ref="EN47:EN78" si="472">IF(A47=FALSE,"",EJ47-EM47)</f>
        <v/>
      </c>
      <c r="EO47" s="1365" t="str">
        <f t="shared" si="432"/>
        <v/>
      </c>
      <c r="EP47" s="284" t="str">
        <f t="shared" ref="EP47:EP78" si="473">IF(A47=FALSE,"",(EN47*TAXE)+EO47)</f>
        <v/>
      </c>
      <c r="EQ47" s="515" t="str">
        <f>IF(A47=FALSE,"",Cotations!AJ47)</f>
        <v/>
      </c>
      <c r="ER47" s="515" t="str">
        <f>IF(A47=FALSE,"",IF(Cotations!AK47="","",Cotations!AK47))</f>
        <v/>
      </c>
      <c r="ES47" s="493" t="str">
        <f>IF(A47=FALSE,"",Cotations!AL47)</f>
        <v/>
      </c>
      <c r="ET47" s="515" t="str">
        <f>IF(A47=FALSE,"",IF(EQ47="N/A",0,IF(INDEX(LISTES!$F$105:$F$109,MATCH(EQ47,LISTES!$C$105:$C$109,0))="FIX",IF(INDEX(LISTES!$E$105:$E$109,MATCH(EQ47,LISTES!$C$105:$C$109,0))=12,ER47/12*L47,ER47/365*M47),ES47*EP47)))</f>
        <v/>
      </c>
      <c r="EU47" s="294" t="str">
        <f t="shared" ref="EU47:EU78" si="474">IF(A47=FALSE,"",EP47+ET47)</f>
        <v/>
      </c>
      <c r="EV47" s="494" t="str">
        <f>IF(A47=FALSE,"",EU47*Cotations!AM47)</f>
        <v/>
      </c>
      <c r="EW47" s="494" t="str">
        <f>IF(A47=FALSE,"",EU47*Cotations!AN47)</f>
        <v/>
      </c>
      <c r="EX47" s="334" t="str">
        <f t="shared" ref="EX47:EX78" si="475">IF(A47=FALSE,"",INDEX(colCurrency,MATCH(EB47,colchoice,0)))</f>
        <v/>
      </c>
      <c r="EY47" s="919" t="str">
        <f>IF(A47=FALSE,"",((EG47*TAXE)-(EG47*TAXE*EL47)+EH47)+IF(EQ47="N/A",0,IF(INDEX(LISTES!$F$105:$F$109,MATCH(EQ47,LISTES!$C$105:$C$109,0))="FIX",ER47,ES47*EP47)))</f>
        <v/>
      </c>
      <c r="FA47" s="492" t="str">
        <f>IF(A47=FALSE,"",Cotations!D47)</f>
        <v/>
      </c>
      <c r="FB47" s="519" t="str">
        <f>IF(A47=FALSE,"",IF(LISTES!$A$17=1,Cotations!AO47,Cotations!$AP$4))</f>
        <v/>
      </c>
      <c r="FC47" s="291" t="str">
        <f t="shared" ref="FC47:FC78" si="476">IF(A47=FALSE,"",INDEX(colAssureur,MATCH(FB47,colchoice,0)))</f>
        <v/>
      </c>
      <c r="FD47" s="291" t="str">
        <f t="shared" ref="FD47:FD78" si="477">IF(A47=FALSE,"",INDEX(colProduct,MATCH(FB47,colchoice,0)))</f>
        <v/>
      </c>
      <c r="FE47" s="291"/>
      <c r="FF47" s="463"/>
      <c r="FG47" s="463" t="str">
        <f t="shared" ref="FG47:FG78" si="478">IF(A47=FALSE,"",INDEX(colRatesHT,MATCH(FB47,colchoice,0)))</f>
        <v/>
      </c>
      <c r="FH47" s="522" t="str">
        <f>IF(A47=FALSE,"",IF(Cotations!$AQ$4="monthly",FG47/12*L47,FG47/365*M47))</f>
        <v/>
      </c>
      <c r="FI47" s="453" t="str">
        <f>IF(A47=FALSE,"",Cotations!$AR$4)</f>
        <v/>
      </c>
      <c r="FJ47" s="300" t="str">
        <f t="shared" ref="FJ47:FJ78" si="479">IF(A47=FALSE,"",FH47*FI47)</f>
        <v/>
      </c>
      <c r="FK47" s="300" t="str">
        <f t="shared" ref="FK47:FK78" si="480">IF(A47=FALSE,"",FH47-FJ47)</f>
        <v/>
      </c>
      <c r="FL47" s="294" t="str">
        <f t="shared" ref="FL47:FL78" si="481">IF(A47=FALSE,"",FK47*TAXE)</f>
        <v/>
      </c>
      <c r="FM47" s="494" t="str">
        <f>IF(A47=FALSE,"",Cotations!$AS$4)</f>
        <v/>
      </c>
      <c r="FN47" s="494" t="str">
        <f>IF(A47=FALSE,"",Cotations!$AT$4)</f>
        <v/>
      </c>
      <c r="FO47" s="489" t="str">
        <f>IF(A47=FALSE,"",Cotations!$AU$4)</f>
        <v/>
      </c>
      <c r="FP47" s="494" t="str">
        <f>IF(A47=FALSE,"",IF(FM47="N/A",0,IF(INDEX(LISTES!$F$105:$F$109,MATCH(FM47,LISTES!$C$105:$C$109,0))="FIX",IF(INDEX(LISTES!$E$105:$E$109,MATCH(FM47,LISTES!$C$105:$C$109,0))=12,FN47/12*L47,FN47/365*M47),FO47*FL47)))</f>
        <v/>
      </c>
      <c r="FQ47" s="294" t="str">
        <f t="shared" ref="FQ47:FQ78" si="482">IF(A47=FALSE,"",FL47+FP47)</f>
        <v/>
      </c>
      <c r="FR47" s="494" t="str">
        <f>IF(A47=FALSE,"",FQ47*Cotations!$AV$4)</f>
        <v/>
      </c>
      <c r="FS47" s="494" t="str">
        <f>IF(A47=FALSE,"",FQ47*Cotations!$AW$4)</f>
        <v/>
      </c>
      <c r="FT47" s="465" t="str">
        <f t="shared" ref="FT47:FT78" si="483">IF(A47=FALSE,"",INDEX(colCurrency,MATCH(FB47,colchoice,0)))</f>
        <v/>
      </c>
      <c r="FU47" s="919" t="str">
        <f>IF(A47=FALSE,"",((FG47*TAXE)-(FG47*TAXE*FI47))+IF(FM47="N/A",0,IF(INDEX(LISTES!$F$105:$F$109,MATCH(FM47,LISTES!$C$105:$C$109,0))="FIX",FN47,FO47*FL47)))</f>
        <v/>
      </c>
      <c r="FV47" s="478"/>
      <c r="FW47" s="478"/>
      <c r="FX47" s="478"/>
      <c r="FY47" s="478"/>
      <c r="FZ47" s="478"/>
      <c r="GA47" s="492" t="str">
        <f>IF(A47=FALSE,"",Cotations!D47)</f>
        <v/>
      </c>
      <c r="GB47" s="494" t="str">
        <f>IF(A47=FALSE,"",IF(LISTES!$A$17=1,Cotations!AO47,Cotations!AP47))</f>
        <v/>
      </c>
      <c r="GC47" s="284" t="str">
        <f t="shared" ref="GC47:GC78" si="484">IF(A47=FALSE,"",INDEX(colAssureur,MATCH(GB47,colchoice,0)))</f>
        <v/>
      </c>
      <c r="GD47" s="515" t="str">
        <f>IF(A47=FALSE,"",IF(Detail!AM47="","",Detail!AM47))</f>
        <v/>
      </c>
      <c r="GE47" s="284"/>
      <c r="GF47" s="284"/>
      <c r="GG47" s="284" t="str">
        <f t="shared" ref="GG47:GG78" si="485">IF(A47=FALSE,"",INDEX(colRatesHT,MATCH(GB47,colchoice,0)))</f>
        <v/>
      </c>
      <c r="GH47" s="515" t="str">
        <f>IF(A47=FALSE,"",IF(Cotations!AQ47="monthly",GG47/12*L47,GG47/365*M47))</f>
        <v/>
      </c>
      <c r="GI47" s="493" t="str">
        <f>IF(A47=FALSE,"",IF(Cotations!AR47="","",Cotations!AR47))</f>
        <v/>
      </c>
      <c r="GJ47" s="284" t="str">
        <f t="shared" ref="GJ47:GJ78" si="486">IF(A47=FALSE,"",GH47*GI47)</f>
        <v/>
      </c>
      <c r="GK47" s="284" t="str">
        <f t="shared" ref="GK47:GK78" si="487">IF(A47=FALSE,"",GH47-GJ47)</f>
        <v/>
      </c>
      <c r="GL47" s="284" t="str">
        <f t="shared" ref="GL47:GL78" si="488">IF(A47=FALSE,"",GK47*TAXE)</f>
        <v/>
      </c>
      <c r="GM47" s="515" t="str">
        <f>IF(A47=FALSE,"",Cotations!AS47)</f>
        <v/>
      </c>
      <c r="GN47" s="515" t="str">
        <f>IF(A47=FALSE,"",Cotations!AT47)</f>
        <v/>
      </c>
      <c r="GO47" s="493" t="str">
        <f>IF(A47=FALSE,"",Cotations!AU47)</f>
        <v/>
      </c>
      <c r="GP47" s="515" t="str">
        <f>IF(A47=FALSE,"",IF(GM47="N/A",0,IF(INDEX(LISTES!$F$105:$F$109,MATCH(GM47,LISTES!$C$105:$C$109,0))="FIX",IF(INDEX(LISTES!$E$105:$E$109,MATCH(GM47,LISTES!$C$105:$C$109,0))=12,GN47/12*L47,GN47/365*M47),GO47*GL47)))</f>
        <v/>
      </c>
      <c r="GQ47" s="294" t="str">
        <f t="shared" ref="GQ47:GQ78" si="489">IF(A47=FALSE,"",GL47+GP47)</f>
        <v/>
      </c>
      <c r="GR47" s="494" t="str">
        <f>IF(A47=FALSE,"",GQ47*Cotations!AV47)</f>
        <v/>
      </c>
      <c r="GS47" s="494" t="str">
        <f>IF(A47=FALSE,"",GQ47*Cotations!AW47)</f>
        <v/>
      </c>
      <c r="GT47" s="334" t="str">
        <f t="shared" ref="GT47:GT78" si="490">IF(A47=FALSE,"",INDEX(colCurrency,MATCH(GB47,colchoice,0)))</f>
        <v/>
      </c>
      <c r="GU47" s="919" t="str">
        <f>IF(A47=FALSE,"",((GG47*TAXE)-(GG47*TAXE*GI47))+IF(GM47="N/A",0,IF(INDEX(LISTES!$F$105:$F$109,MATCH(GM47,LISTES!$C$105:$C$109,0))="FIX",GN47,GO47*GL47)))</f>
        <v/>
      </c>
      <c r="GV47" s="478"/>
      <c r="GW47" s="466"/>
      <c r="GX47" s="466"/>
      <c r="GY47" s="466"/>
      <c r="GZ47" s="466"/>
      <c r="HA47" s="492" t="str">
        <f>IF(A47=FALSE,"",Cotations!D47)</f>
        <v/>
      </c>
      <c r="HB47" s="495" t="str">
        <f>IF(A47=FALSE,"",IF(LISTES!$A$17=1,Cotations!AX47,Cotations!$AY$4))</f>
        <v/>
      </c>
      <c r="HC47" s="291" t="str">
        <f t="shared" ref="HC47:HC78" si="491">IF(A47=FALSE,"",INDEX(colAssureur,MATCH(HB47,colchoice,0)))</f>
        <v/>
      </c>
      <c r="HD47" s="291" t="str">
        <f t="shared" ref="HD47:HD78" si="492">IF(A47=FALSE,"",INDEX(colProduct,MATCH(HB47,colchoice,0)))</f>
        <v/>
      </c>
      <c r="HE47" s="456" t="str">
        <f t="shared" ref="HE47:HE78" si="493">IF(A47=FALSE,"",IF(HA47="POEA",$HA$2,INDEX(colRatesHT,MATCH(HB47,colchoice,0))))</f>
        <v/>
      </c>
      <c r="HF47" s="496" t="str">
        <f>IF(A47=FALSE,"",IF(HA47="POEA",Cotations!BA47,IF(HA47="FIXE",Cotations!$BA$4,Cotations!$BC$4*Y47)))</f>
        <v/>
      </c>
      <c r="HG47" s="300" t="str">
        <f t="shared" ref="HG47:HG78" si="494">IF(A47=FALSE,"",IF(HB47="N/A",0,IF(HA47="POEA",HF47*$HA$2,HF47*HE47)))</f>
        <v/>
      </c>
      <c r="HH47" s="522" t="str">
        <f>IF(A47=FALSE,"",IF(Cotations!$AZ$4="monthly",HG47/12*L47,HG47/365*M47))</f>
        <v/>
      </c>
      <c r="HI47" s="489" t="str">
        <f>IF(A47=FALSE,"",Cotations!$BD$4)</f>
        <v/>
      </c>
      <c r="HJ47" s="300" t="str">
        <f t="shared" ref="HJ47:HJ78" si="495">IF(A47=FALSE,"",HH47*HI47)</f>
        <v/>
      </c>
      <c r="HK47" s="300" t="str">
        <f t="shared" ref="HK47:HK78" si="496">IF(A47=FALSE,"",HH47-HJ47)</f>
        <v/>
      </c>
      <c r="HL47" s="294" t="str">
        <f t="shared" ref="HL47:HL78" si="497">IF(A47=FALSE,"",HK47*TAXE)</f>
        <v/>
      </c>
      <c r="HM47" s="494" t="str">
        <f>IF(A47=FALSE,"",Cotations!$BE$4)</f>
        <v/>
      </c>
      <c r="HN47" s="522" t="str">
        <f>IF(A47=FALSE,"",Cotations!$BF$4)</f>
        <v/>
      </c>
      <c r="HO47" s="489" t="str">
        <f>IF(A47=FALSE,"",Cotations!$BG$4)</f>
        <v/>
      </c>
      <c r="HP47" s="494" t="str">
        <f>IF(A47=FALSE,"",IF(HM47="N/A",0,IF(INDEX(LISTES!$F$105:$F$109,MATCH(HM47,LISTES!$C$105:$C$109,0))="FIX",IF(INDEX(LISTES!$E$105:$E$109,MATCH(HM47,LISTES!$C$105:$C$109,0))=12,HN47/12*L47,HN47/365*M47),HO47*HL47)))</f>
        <v/>
      </c>
      <c r="HQ47" s="294" t="str">
        <f t="shared" ref="HQ47:HQ78" si="498">IF(A47=FALSE,"",HL47+HP47)</f>
        <v/>
      </c>
      <c r="HR47" s="494" t="str">
        <f>IF(A47=FALSE,"",HQ47*Cotations!$BH$4)</f>
        <v/>
      </c>
      <c r="HS47" s="494" t="str">
        <f>IF(A47=FALSE,"",HQ47*Cotations!$BI$4)</f>
        <v/>
      </c>
      <c r="HT47" s="294" t="str">
        <f t="shared" ref="HT47:HT78" si="499">IF(A47=FALSE,"",INDEX(colCurrency,MATCH(HB47,colchoice,0)))</f>
        <v/>
      </c>
      <c r="HU47" s="919" t="str">
        <f>IF(A47=FALSE,"",((HG47*TAXE)-(HG47*TAXE*HI47))+IF(HM47="N/A",0,IF(INDEX(LISTES!$F$105:$F$109,MATCH(HM47,LISTES!$C$105:$C$109,0))="FIX",HN47,HO47*HL47)))</f>
        <v/>
      </c>
      <c r="IA47" s="492" t="str">
        <f>IF(A47=FALSE,"",Cotations!D47)</f>
        <v/>
      </c>
      <c r="IB47" s="491" t="str">
        <f>IF(A47=FALSE,"",IF(LISTES!$A$17=1,Cotations!AX47,Cotations!AY47))</f>
        <v/>
      </c>
      <c r="IC47" s="285" t="str">
        <f t="shared" ref="IC47:IC78" si="500">IF(A47=FALSE,"",INDEX(colAssureur,MATCH(IB47,colchoice,0)))</f>
        <v/>
      </c>
      <c r="ID47" s="300" t="str">
        <f>IF(A47=FALSE,"",IF(LISTES!$A$17=3,Detail!AU47,lig1_Formula_PREVOY))</f>
        <v/>
      </c>
      <c r="IE47" s="461" t="str">
        <f t="shared" ref="IE47:IE78" si="501">IF(A47=FALSE,"",IF(IA47="POEA",$IA$2,INDEX(colRatesHT,MATCH(IB47,colchoice,0))))</f>
        <v/>
      </c>
      <c r="IF47" s="490" t="str">
        <f>IF(A47=FALSE,"",IF(IA47="POEA",Cotations!BA47,IF(HA47="FIXE",Cotations!BB47,IF(Cotations!BC47*Y47&lt;50000,Z47,Cotations!BC47*Y47))))</f>
        <v/>
      </c>
      <c r="IG47" s="300" t="str">
        <f t="shared" ref="IG47:IG78" si="502">IF(A47=FALSE,"",IF(IB47="N/A",0,IF47*IE47))</f>
        <v/>
      </c>
      <c r="IH47" s="522" t="str">
        <f>IF(A47=FALSE,"",IF(Cotations!AZ47="monthly",IG47/12*L47,IG47/365*M47))</f>
        <v/>
      </c>
      <c r="II47" s="489" t="str">
        <f>IF(A47=FALSE,"",IF(Cotations!BD47="","",Cotations!BD47))</f>
        <v/>
      </c>
      <c r="IJ47" s="300" t="str">
        <f t="shared" ref="IJ47:IJ78" si="503">IF(A47=FALSE,"",IH47*II47)</f>
        <v/>
      </c>
      <c r="IK47" s="300" t="str">
        <f t="shared" ref="IK47:IK78" si="504">IF(A47=FALSE,"",IH47-IJ47)</f>
        <v/>
      </c>
      <c r="IL47" s="919" t="str">
        <f t="shared" ref="IL47:IL78" si="505">IF(A47=FALSE,"",IK47*TAXE)</f>
        <v/>
      </c>
      <c r="IM47" s="517" t="str">
        <f>IF(A47=FALSE,"",Cotations!BE47)</f>
        <v/>
      </c>
      <c r="IN47" s="517" t="str">
        <f>IF(A47=FALSE,"",Cotations!BF47)</f>
        <v/>
      </c>
      <c r="IO47" s="493" t="str">
        <f>IF(A47=FALSE,"",Cotations!BG47)</f>
        <v/>
      </c>
      <c r="IP47" s="517" t="str">
        <f>IF(A47=FALSE,"",IF(IM47="N/A",0,IF(INDEX(LISTES!$F$105:$F$109,MATCH(IM47,LISTES!$C$105:$C$109,0))="FIX",IF(INDEX(LISTES!$E$105:$E$109,MATCH(IM47,LISTES!$C$105:$C$109,0))=12,IN47/12*L47,IN47/365*M47),IO47*IL47)))</f>
        <v/>
      </c>
      <c r="IQ47" s="294" t="str">
        <f t="shared" ref="IQ47:IQ78" si="506">IF(A47=FALSE,"",IL47+IP47)</f>
        <v/>
      </c>
      <c r="IR47" s="494" t="str">
        <f>IF(A47=FALSE,"",IQ47*Cotations!BH47)</f>
        <v/>
      </c>
      <c r="IS47" s="494" t="str">
        <f>IF(A47=FALSE,"",IQ47*Cotations!BI47)</f>
        <v/>
      </c>
      <c r="IT47" s="338" t="str">
        <f t="shared" ref="IT47:IT78" si="507">IF(A47=FALSE,"",INDEX(colCurrency,MATCH(IB47,colchoice,0)))</f>
        <v/>
      </c>
      <c r="IU47" s="919" t="str">
        <f>IF(A47=FALSE,"",((IG47*TAXE)-(IG47*TAXE*II47))+IF(IM47="N/A",0,IF(INDEX(LISTES!$F$105:$F$109,MATCH(IM47,LISTES!$C$105:$C$109,0))="FIX",IN47,IO47*IL47)))</f>
        <v/>
      </c>
      <c r="JA47" s="492" t="str">
        <f>IF(A47=FALSE,"",Cotations!D47)</f>
        <v/>
      </c>
      <c r="JB47" s="495" t="str">
        <f>IF(A47=FALSE,"",IF(LISTES!$A$17=1,Cotations!BJ47,Cotations!$BK$4))</f>
        <v/>
      </c>
      <c r="JC47" s="291" t="str">
        <f t="shared" ref="JC47:JC78" si="508">IF(A47=FALSE,"",INDEX(colAssureur,MATCH(JB47,colchoice,0)))</f>
        <v/>
      </c>
      <c r="JD47" s="291" t="str">
        <f t="shared" ref="JD47:JD78" si="509">IF(A47=FALSE,"",INDEX(colProduct,MATCH(JB47,colchoice,0)))</f>
        <v/>
      </c>
      <c r="JE47" s="456" t="str">
        <f t="shared" ref="JE47:JE78" si="510">IF(A47=FALSE,"",IF(JA47="POEA",$JA$2,INDEX(colRatesHT,MATCH(JB47,colchoice,0))))</f>
        <v/>
      </c>
      <c r="JF47" s="496" t="str">
        <f>IF(A47=FALSE,"",IF(JA47="POEA",Cotations!BM47,IF(JA47="FIXE",Cotations!$BM$4,Cotations!$BO$4*Y47)))</f>
        <v/>
      </c>
      <c r="JG47" s="300" t="str">
        <f t="shared" ref="JG47:JG78" si="511">IF(A47=FALSE,"",IF(JB47="N/A",0,IF(JA47="POEA",JF47*$JA$2,JF47*JE47)))</f>
        <v/>
      </c>
      <c r="JH47" s="522" t="str">
        <f>IF(A47=FALSE,"",IF(Cotations!$BL$4="monthly",JG47/12*L47,JG47/365*M47))</f>
        <v/>
      </c>
      <c r="JI47" s="489" t="str">
        <f>IF(A47=FALSE,"",Cotations!$BP$4)</f>
        <v/>
      </c>
      <c r="JJ47" s="300" t="str">
        <f t="shared" ref="JJ47:JJ78" si="512">IF(A47=FALSE,"",JH47*JI47)</f>
        <v/>
      </c>
      <c r="JK47" s="300" t="str">
        <f t="shared" ref="JK47:JK78" si="513">IF(A47=FALSE,"",JH47-JJ47)</f>
        <v/>
      </c>
      <c r="JL47" s="294" t="str">
        <f t="shared" ref="JL47:JL78" si="514">IF(A47=FALSE,"",JK47*TAXE)</f>
        <v/>
      </c>
      <c r="JM47" s="494" t="str">
        <f>IF(A47=FALSE,"",Cotations!$BQ$4)</f>
        <v/>
      </c>
      <c r="JN47" s="522" t="str">
        <f>IF(A47=FALSE,"",Cotations!$BR$4)</f>
        <v/>
      </c>
      <c r="JO47" s="489" t="str">
        <f>IF(A47=FALSE,"",Cotations!$BS$4)</f>
        <v/>
      </c>
      <c r="JP47" s="494" t="str">
        <f>IF(A47=FALSE,"",IF(JM47="N/A",0,IF(INDEX(LISTES!$F$105:$F$109,MATCH(JM47,LISTES!$C$105:$C$109,0))="FIX",IF(INDEX(LISTES!$E$105:$E$109,MATCH(JM47,LISTES!$C$105:$C$109,0))=12,JN47/12*L47,JN47/365*M47),JO47*JL47)))</f>
        <v/>
      </c>
      <c r="JQ47" s="294" t="str">
        <f t="shared" ref="JQ47:JQ78" si="515">IF(A47=FALSE,"",JL47+JP47)</f>
        <v/>
      </c>
      <c r="JR47" s="494" t="str">
        <f>IF(A47=FALSE,"",JQ47*Cotations!$BT$4)</f>
        <v/>
      </c>
      <c r="JS47" s="494" t="str">
        <f>IF(A47=FALSE,"",JQ47*Cotations!$BU$4)</f>
        <v/>
      </c>
      <c r="JT47" s="294" t="str">
        <f t="shared" ref="JT47:JT78" si="516">IF(A47=FALSE,"",INDEX(colCurrency,MATCH(JB47,colchoice,0)))</f>
        <v/>
      </c>
      <c r="JU47" s="919" t="str">
        <f>IF(A47=FALSE,"",((JG47*TAXE)-(JG47*TAXE*JI47))+IF(JM47="N/A",0,IF(INDEX(LISTES!$F$105:$F$109,MATCH(JM47,LISTES!$C$105:$C$109,0))="FIX",JN47,JO47*JL47)))</f>
        <v/>
      </c>
      <c r="KA47" s="492" t="str">
        <f>IF(A47=FALSE,"",Cotations!D47)</f>
        <v/>
      </c>
      <c r="KB47" s="491" t="str">
        <f>IF(A47=FALSE,"",IF(LISTES!$A$17=1,Cotations!BJ47,Cotations!BK47))</f>
        <v/>
      </c>
      <c r="KC47" s="285" t="str">
        <f t="shared" ref="KC47:KC78" si="517">IF(A47=FALSE,"",INDEX(colAssureur,MATCH(KB47,colchoice,0)))</f>
        <v/>
      </c>
      <c r="KD47" s="300"/>
      <c r="KE47" s="461" t="str">
        <f t="shared" ref="KE47:KE78" si="518">IF(A47=FALSE,"",IF(KA47="POEA",$KA$2,INDEX(colRatesHT,MATCH(KB47,colchoice,0))))</f>
        <v/>
      </c>
      <c r="KF47" s="490" t="str">
        <f>IF(A47=FALSE,"",IF(KA47="POEA",Cotations!BM47,IF(KA47="FIXE",Cotations!BN47,IF(Cotations!BO47*Y47&lt;50000,Z47,Cotations!BO47*Y47))))</f>
        <v/>
      </c>
      <c r="KG47" s="300" t="str">
        <f t="shared" ref="KG47:KG78" si="519">IF(A47=FALSE,"",IF(KB47="N/A",0,KF47*INDEX(colRatesHT,MATCH(KB47,colchoice,0))))</f>
        <v/>
      </c>
      <c r="KH47" s="522" t="str">
        <f>IF(A47=FALSE,"",IF(Cotations!BL47="monthly",KG47/12*L47,KG47/365*M47))</f>
        <v/>
      </c>
      <c r="KI47" s="489" t="str">
        <f>IF(A47=FALSE,"",IF(Cotations!BP47="","",Cotations!BP47))</f>
        <v/>
      </c>
      <c r="KJ47" s="300" t="str">
        <f t="shared" ref="KJ47:KJ78" si="520">IF(A47=FALSE,"",KH47*KI47)</f>
        <v/>
      </c>
      <c r="KK47" s="300" t="str">
        <f t="shared" ref="KK47:KK78" si="521">IF(A47=FALSE,"",KH47-KJ47)</f>
        <v/>
      </c>
      <c r="KL47" s="919" t="str">
        <f t="shared" ref="KL47:KL78" si="522">IF(A47=FALSE,"",KK47*TAXE)</f>
        <v/>
      </c>
      <c r="KM47" s="517" t="str">
        <f>IF(A47=FALSE,"",Cotations!BQ47)</f>
        <v/>
      </c>
      <c r="KN47" s="515" t="str">
        <f>IF(A47=FALSE,"",Cotations!BR47)</f>
        <v/>
      </c>
      <c r="KO47" s="493" t="str">
        <f>IF(A47=FALSE,"",Cotations!BS47)</f>
        <v/>
      </c>
      <c r="KP47" s="517" t="str">
        <f>IF(A47=FALSE,"",IF(KM47="N/A",0,IF(INDEX(LISTES!$F$105:$F$109,MATCH(KM47,LISTES!$C$105:$C$109,0))="FIX",IF(INDEX(LISTES!$E$105:$E$109,MATCH(KM47,LISTES!$C$105:$C$109,0))=12,KN47/12*L47,KN47/365*M47),KO47*KL47)))</f>
        <v/>
      </c>
      <c r="KQ47" s="294" t="str">
        <f t="shared" ref="KQ47:KQ78" si="523">IF(A47=FALSE,"",KL47+KP47)</f>
        <v/>
      </c>
      <c r="KR47" s="494" t="str">
        <f>IF(A47=FALSE,"",KQ47*Cotations!BT47)</f>
        <v/>
      </c>
      <c r="KS47" s="494" t="str">
        <f>IF(A47=FALSE,"",KQ47*Cotations!BU47)</f>
        <v/>
      </c>
      <c r="KT47" s="338" t="str">
        <f t="shared" ref="KT47:KT78" si="524">IF(A47=FALSE,"",INDEX(colCurrency,MATCH(KB47,colchoice,0)))</f>
        <v/>
      </c>
      <c r="KU47" s="919" t="str">
        <f>IF(A47=FALSE,"",((KG47*TAXE)-(KG47*TAXE*KI47))+IF(KM47="N/A",0,IF(INDEX(LISTES!$F$105:$F$109,MATCH(KM47,LISTES!$C$105:$C$109,0))="FIX",KN47,KO47*KL47)))</f>
        <v/>
      </c>
      <c r="LA47" s="497" t="str">
        <f>IF(A47=FALSE,"",Cotations!D47)</f>
        <v/>
      </c>
      <c r="LB47" s="498" t="str">
        <f>IF(A47=FALSE,"",IF(LISTES!$A$17=1,Cotations!BV47,Cotations!$BW$4))</f>
        <v/>
      </c>
      <c r="LC47" s="499" t="str">
        <f t="shared" ref="LC47:LC78" si="525">IF(A47=FALSE,"",INDEX(colAssureur,MATCH(LB47,colchoice,0)))</f>
        <v/>
      </c>
      <c r="LD47" s="499" t="str">
        <f t="shared" ref="LD47:LD78" si="526">IF(A47=FALSE,"",INDEX(colProduct,MATCH(LB47,colchoice,0)))</f>
        <v/>
      </c>
      <c r="LE47" s="500" t="str">
        <f t="shared" ref="LE47:LE78" si="527">IF(A47=FALSE,"",IF(LA47="POEA",$KA$2,INDEX(colRatesHT,MATCH(LB47,colchoice,0))))</f>
        <v/>
      </c>
      <c r="LF47" s="501" t="str">
        <f>IF(A47=FALSE,"",IF(LA47="POEA",Cotations!EJ47,IF(LA47="FIXE",Cotations!$BY$4,Cotations!$CA$4*Y47)))</f>
        <v/>
      </c>
      <c r="LG47" s="502" t="str">
        <f t="shared" ref="LG47:LG78" si="528">IF(A47=FALSE,"",IF(LB47="N/A",0,IF(LA47="POEA",LF47*$LA$2,LF47*LE47)))</f>
        <v/>
      </c>
      <c r="LH47" s="520" t="str">
        <f>IF(A47=FALSE,"",IF(Cotations!$BX$4="monthly",LG47/12*L47,LG47/365*M47))</f>
        <v/>
      </c>
      <c r="LI47" s="503" t="str">
        <f>IF(A47=FALSE,"",Cotations!$CB$4)</f>
        <v/>
      </c>
      <c r="LJ47" s="502" t="str">
        <f t="shared" ref="LJ47:LJ78" si="529">IF(A47=FALSE,"",LH47*LI47)</f>
        <v/>
      </c>
      <c r="LK47" s="502" t="str">
        <f t="shared" ref="LK47:LK78" si="530">IF(A47=FALSE,"",LH47-LJ47)</f>
        <v/>
      </c>
      <c r="LL47" s="504" t="str">
        <f t="shared" ref="LL47:LL78" si="531">IF(A47=FALSE,"",LK47*TAXE)</f>
        <v/>
      </c>
      <c r="LM47" s="505" t="str">
        <f>IF(A47=FALSE,"",Cotations!$CC$4)</f>
        <v/>
      </c>
      <c r="LN47" s="503" t="str">
        <f>IF(A47=FALSE,"",Cotations!$CD$4)</f>
        <v/>
      </c>
      <c r="LO47" s="503" t="str">
        <f>IF(A47=FALSE,"",Cotations!$CE$4)</f>
        <v/>
      </c>
      <c r="LP47" s="505" t="str">
        <f>IF(A47=FALSE,"",IF(LM47="N/A",0,IF(INDEX(LISTES!$F$105:$F$109,MATCH(LM47,LISTES!$C$105:$C$109,0))="FIX",IF(INDEX(LISTES!$E$105:$E$109,MATCH(LM47,LISTES!$C$105:$C$109,0))=12,LN47/12*L47,LN47/365*M47),LO47*LL47)))</f>
        <v/>
      </c>
      <c r="LQ47" s="504" t="str">
        <f t="shared" ref="LQ47:LQ78" si="532">IF(A47=FALSE,"",LL47+LP47)</f>
        <v/>
      </c>
      <c r="LR47" s="505" t="str">
        <f>IF(A47=FALSE,"",LQ47*Cotations!$CF$4)</f>
        <v/>
      </c>
      <c r="LS47" s="505" t="str">
        <f>IF(A47=FALSE,"",LQ47*Cotations!$CG$4)</f>
        <v/>
      </c>
      <c r="LT47" s="506" t="str">
        <f t="shared" ref="LT47:LT78" si="533">IF(A47=FALSE,"",INDEX(colCurrency,MATCH(LB47,colchoice,0)))</f>
        <v/>
      </c>
      <c r="LU47" s="919" t="str">
        <f>IF(A47=FALSE,"",((LG47*TAXE)-(LG47*TAXE*LI47))+IF(LM47="N/A",0,IF(INDEX(LISTES!$F$105:$F$109,MATCH(LM47,LISTES!$C$105:$C$109,0))="FIX",LN47,LO47*LL47)))</f>
        <v/>
      </c>
      <c r="MA47" s="492" t="str">
        <f>IF(A47=FALSE,"",Cotations!D47)</f>
        <v/>
      </c>
      <c r="MB47" s="491" t="str">
        <f>IF(A47=FALSE,"",IF(LISTES!$A$17=1,Cotations!BV47,Cotations!BW47))</f>
        <v/>
      </c>
      <c r="MC47" s="285" t="str">
        <f t="shared" ref="MC47:MC78" si="534">IF(A47=FALSE,"",INDEX(colAssureur,MATCH(MB47,colchoice,0)))</f>
        <v/>
      </c>
      <c r="MD47" s="300"/>
      <c r="ME47" s="461" t="str">
        <f t="shared" ref="ME47:ME78" si="535">IF(A47=FALSE,"",IF(MA47="POEA",$MA$2,INDEX(colRatesHT,MATCH(MB47,colchoice,0))))</f>
        <v/>
      </c>
      <c r="MF47" s="490" t="str">
        <f>IF(A47=FALSE,"",IF(MA47="POEA",Cotations!BY47,IF(MA47="FIXE",Cotations!BZ47,IF(Cotations!CA47*Y47&lt;50000,Z47,Cotations!CA47*Y47))))</f>
        <v/>
      </c>
      <c r="MG47" s="300" t="str">
        <f t="shared" ref="MG47:MG78" si="536">IF(A47=FALSE,"",IF(MB47="N/A",0,MF47*INDEX(colRatesHT,MATCH(MB47,colchoice,0))))</f>
        <v/>
      </c>
      <c r="MH47" s="522" t="str">
        <f>IF(A47=FALSE,"",IF(Cotations!BX47="monthly",MG47/12*L47,MG47/365*M47))</f>
        <v/>
      </c>
      <c r="MI47" s="489" t="str">
        <f>IF(A47=FALSE,"",IF(Cotations!CB47="","",Cotations!CB47))</f>
        <v/>
      </c>
      <c r="MJ47" s="300" t="str">
        <f t="shared" ref="MJ47:MJ78" si="537">IF(A47=FALSE,"",MH47*MI47)</f>
        <v/>
      </c>
      <c r="MK47" s="300" t="str">
        <f t="shared" ref="MK47:MK78" si="538">IF(A47=FALSE,"",MH47-MJ47)</f>
        <v/>
      </c>
      <c r="ML47" s="919" t="str">
        <f t="shared" ref="ML47:ML78" si="539">IF(A47=FALSE,"",MK47*TAXE)</f>
        <v/>
      </c>
      <c r="MM47" s="517" t="str">
        <f>IF(A47=FALSE,"",Cotations!CC47)</f>
        <v/>
      </c>
      <c r="MN47" s="515" t="str">
        <f>IF(A47=FALSE,"",Cotations!CD47)</f>
        <v/>
      </c>
      <c r="MO47" s="493" t="str">
        <f>IF(A47=FALSE,"",Cotations!CE47)</f>
        <v/>
      </c>
      <c r="MP47" s="517" t="str">
        <f>IF(A47=FALSE,"",IF(MM47="N/A",0,IF(INDEX(LISTES!$F$105:$F$109,MATCH(MM47,LISTES!$C$105:$C$109,0))="FIX",IF(INDEX(LISTES!$E$105:$E$109,MATCH(MM47,LISTES!$C$105:$C$109,0))=12,MN47/12*L47,MN47/365*M47),MO47*ML47)))</f>
        <v/>
      </c>
      <c r="MQ47" s="294" t="str">
        <f t="shared" ref="MQ47:MQ78" si="540">IF(A47=FALSE,"",ML47+MP47)</f>
        <v/>
      </c>
      <c r="MR47" s="494" t="str">
        <f>IF(A47=FALSE,"",MQ47*Cotations!CF47)</f>
        <v/>
      </c>
      <c r="MS47" s="494" t="str">
        <f>IF(A47=FALSE,"",MQ47*Cotations!CG47)</f>
        <v/>
      </c>
      <c r="MT47" s="338" t="str">
        <f t="shared" ref="MT47:MT78" si="541">IF(A47=FALSE,"",INDEX(colCurrency,MATCH(MB47,colchoice,0)))</f>
        <v/>
      </c>
      <c r="MU47" s="919" t="str">
        <f>IF(A47=FALSE,"",((MG47*TAXE)-(MG47*TAXE*MI47))+IF(MM47="N/A",0,IF(INDEX(LISTES!$F$105:$F$109,MATCH(MM47,LISTES!$C$105:$C$109,0))="FIX",MN47,MO47*ML47)))</f>
        <v/>
      </c>
      <c r="NA47" s="497" t="str">
        <f>IF(A47=FALSE,"",Cotations!D47)</f>
        <v/>
      </c>
      <c r="NB47" s="498" t="str">
        <f>IF(A47=FALSE,"",IF(LISTES!$A$17=1,Cotations!CH47,Cotations!$CI$4))</f>
        <v/>
      </c>
      <c r="NC47" s="499" t="str">
        <f t="shared" ref="NC47:NC78" si="542">IF(A47=FALSE,"",INDEX(colAssureur,MATCH(NB47,colchoice,0)))</f>
        <v/>
      </c>
      <c r="ND47" s="499" t="str">
        <f t="shared" ref="ND47:ND78" si="543">IF(A47=FALSE,"",INDEX(colProduct,MATCH(NB47,colchoice,0)))</f>
        <v/>
      </c>
      <c r="NE47" s="500" t="str">
        <f t="shared" ref="NE47:NE78" si="544">IF(A47=FALSE,"",IF(NA47="POEA",$NA$2,INDEX(colRatesHT,MATCH(NB47,colchoice,0))))</f>
        <v/>
      </c>
      <c r="NF47" s="501" t="str">
        <f>IF(A47=FALSE,"",IF(NA47="POEA",Cotations!CK47,IF(NA47="FIXE",Cotations!$CK$4,Cotations!$CM$4*Y47)))</f>
        <v/>
      </c>
      <c r="NG47" s="502" t="str">
        <f t="shared" ref="NG47:NG78" si="545">IF(A47=FALSE,"",IF(NB47="N/A",0,IF(NA47="POEA",NF47*$NA$2,NF47*NE47)))</f>
        <v/>
      </c>
      <c r="NH47" s="520" t="str">
        <f>IF(A47=FALSE,"",IF(Cotations!$CJ$4="monthly",NG47/12*L47,NG47/365*M47))</f>
        <v/>
      </c>
      <c r="NI47" s="503" t="str">
        <f>IF(A47=FALSE,"",Cotations!$CN$4)</f>
        <v/>
      </c>
      <c r="NJ47" s="502" t="str">
        <f t="shared" ref="NJ47:NJ78" si="546">IF(A47=FALSE,"",NH47*NI47)</f>
        <v/>
      </c>
      <c r="NK47" s="502" t="str">
        <f t="shared" ref="NK47:NK78" si="547">IF(A47=FALSE,"",NH47-NJ47)</f>
        <v/>
      </c>
      <c r="NL47" s="504" t="str">
        <f t="shared" ref="NL47:NL78" si="548">IF(A47=FALSE,"",NK47*TAXE)</f>
        <v/>
      </c>
      <c r="NM47" s="505" t="str">
        <f>IF(A47=FALSE,"",Cotations!$CO$4)</f>
        <v/>
      </c>
      <c r="NN47" s="520" t="str">
        <f>IF(A47=FALSE,"",Cotations!$CP$4)</f>
        <v/>
      </c>
      <c r="NO47" s="503" t="str">
        <f>IF(A47=FALSE,"",Cotations!$CQ$4)</f>
        <v/>
      </c>
      <c r="NP47" s="505" t="str">
        <f>IF(A47=FALSE,"",IF(NM47="N/A",0,IF(INDEX(LISTES!$F$105:$F$109,MATCH(NM47,LISTES!$C$105:$C$109,0))="FIX",IF(INDEX(LISTES!$E$105:$E$109,MATCH(NM47,LISTES!$C$105:$C$109,0))=12,NN47/12*L47,NN47/365*M47),NO47*NL47)))</f>
        <v/>
      </c>
      <c r="NQ47" s="504" t="str">
        <f t="shared" ref="NQ47:NQ78" si="549">IF(A47=FALSE,"",NL47+NP47)</f>
        <v/>
      </c>
      <c r="NR47" s="505" t="str">
        <f>IF(A47=FALSE,"",NQ47*Cotations!$CR$4)</f>
        <v/>
      </c>
      <c r="NS47" s="505" t="str">
        <f>IF(A47=FALSE,"",NQ47*Cotations!$CS$4)</f>
        <v/>
      </c>
      <c r="NT47" s="506" t="str">
        <f t="shared" ref="NT47:NT78" si="550">IF(A47=FALSE,"",INDEX(colCurrency,MATCH(NB47,colchoice,0)))</f>
        <v/>
      </c>
      <c r="NU47" s="919" t="str">
        <f>IF(A47=FALSE,"",((NG47*TAXE)-(NG47*TAXE*NI47))+IF(NM47="N/A",0,IF(INDEX(LISTES!$F$105:$F$109,MATCH(NM47,LISTES!$C$105:$C$109,0))="FIX",NN47,NO47*NL47)))</f>
        <v/>
      </c>
      <c r="OA47" s="492" t="str">
        <f>IF(A47=FALSE,"",Cotations!D47)</f>
        <v/>
      </c>
      <c r="OB47" s="491" t="str">
        <f>IF(A47=FALSE,"",IF(LISTES!$A$17=1,Cotations!CH47,Cotations!CI47))</f>
        <v/>
      </c>
      <c r="OC47" s="285" t="str">
        <f t="shared" ref="OC47:OC78" si="551">IF(A47=FALSE,"",INDEX(colAssureur,MATCH(OB47,colchoice,0)))</f>
        <v/>
      </c>
      <c r="OD47" s="300"/>
      <c r="OE47" s="461" t="str">
        <f t="shared" ref="OE47:OE78" si="552">IF(A47=FALSE,"",IF(OA47="POEA",$OA$2,INDEX(colRatesHT,MATCH(OB47,colchoice,0))))</f>
        <v/>
      </c>
      <c r="OF47" s="490" t="str">
        <f>IF(A47=FALSE,"",IF(OA47="POEA",Cotations!CK47,IF(OA47="FIXE",Cotations!CL47,IF(Cotations!CM47*Y47&lt;50000,Z47,Cotations!CM47*Y47))))</f>
        <v/>
      </c>
      <c r="OG47" s="300" t="str">
        <f t="shared" ref="OG47:OG78" si="553">IF(A47=FALSE,"",IF(OB47="N/A",0,OF47*INDEX(colRatesHT,MATCH(OB47,colchoice,0))))</f>
        <v/>
      </c>
      <c r="OH47" s="522" t="str">
        <f>IF(A47=FALSE,"",IF(Cotations!CJ47="monthly",OG47/12*L47,OG47/365*M47))</f>
        <v/>
      </c>
      <c r="OI47" s="489" t="str">
        <f>IF(A47=FALSE,"",IF(Cotations!CN47="","",Cotations!CN47))</f>
        <v/>
      </c>
      <c r="OJ47" s="300" t="str">
        <f t="shared" ref="OJ47:OJ78" si="554">IF(A47=FALSE,"",OH47*OI47)</f>
        <v/>
      </c>
      <c r="OK47" s="300" t="str">
        <f t="shared" ref="OK47:OK78" si="555">IF(A47=FALSE,"",OH47-OJ47)</f>
        <v/>
      </c>
      <c r="OL47" s="919" t="str">
        <f t="shared" ref="OL47:OL78" si="556">IF(A47=FALSE,"",OK47*TAXE)</f>
        <v/>
      </c>
      <c r="OM47" s="517" t="str">
        <f>IF(A47=FALSE,"",Cotations!CO47)</f>
        <v/>
      </c>
      <c r="ON47" s="515" t="str">
        <f>IF(A47=FALSE,"",Cotations!CP47)</f>
        <v/>
      </c>
      <c r="OO47" s="493" t="str">
        <f>IF(A47=FALSE,"",Cotations!CQ47)</f>
        <v/>
      </c>
      <c r="OP47" s="517" t="str">
        <f>IF(A47=FALSE,"",IF(OM47="N/A",0,IF(INDEX(LISTES!$F$105:$F$109,MATCH(OM47,LISTES!$C$105:$C$109,0))="FIX",IF(INDEX(LISTES!$E$105:$E$109,MATCH(OM47,LISTES!$C$105:$C$109,0))=12,ON47/12*L47,ON47/365*M47),OO47*OL47)))</f>
        <v/>
      </c>
      <c r="OQ47" s="294" t="str">
        <f t="shared" ref="OQ47:OQ78" si="557">IF(A47=FALSE,"",OL47+OP47)</f>
        <v/>
      </c>
      <c r="OR47" s="494" t="str">
        <f>IF(A47=FALSE,"",OQ47*Cotations!CR47)</f>
        <v/>
      </c>
      <c r="OS47" s="494" t="str">
        <f>IF(A47=FALSE,"",OQ47*Cotations!CS47)</f>
        <v/>
      </c>
      <c r="OT47" s="338" t="str">
        <f t="shared" ref="OT47:OT78" si="558">IF(A47=FALSE,"",INDEX(colCurrency,MATCH(OB47,colchoice,0)))</f>
        <v/>
      </c>
      <c r="OU47" s="919" t="str">
        <f>IF(A47=FALSE,"",((OG47*TAXE)-(OG47*TAXE*OI47))+IF(OM47="N/A",0,IF(INDEX(LISTES!$F$105:$F$109,MATCH(OM47,LISTES!$C$105:$C$109,0))="FIX",ON47,OO47*OL47)))</f>
        <v/>
      </c>
      <c r="PA47" s="497" t="str">
        <f t="shared" ref="PA47:PA78" si="559">IF(A47=FALSE,"","PROP")</f>
        <v/>
      </c>
      <c r="PB47" s="498" t="str">
        <f>IF(A47=FALSE,"",IF(LISTES!$A$17=1,Cotations!CT47,Cotations!$CU$4))</f>
        <v/>
      </c>
      <c r="PC47" s="499" t="str">
        <f t="shared" ref="PC47:PC78" si="560">IF(A47=FALSE,"",INDEX(colAssureur,MATCH(PB47,colchoice,0)))</f>
        <v/>
      </c>
      <c r="PD47" s="499" t="str">
        <f t="shared" ref="PD47:PD78" si="561">IF(A47=FALSE,"",INDEX(colProduct,MATCH(PB47,colchoice,0)))</f>
        <v/>
      </c>
      <c r="PE47" s="500" t="str">
        <f t="shared" ref="PE47:PE78" si="562">IF(A47=FALSE,"",IF(PA47="POEA",$PA$2,INDEX(colRatesHT,MATCH(PB47,colchoice,0))))</f>
        <v/>
      </c>
      <c r="PF47" s="501" t="str">
        <f>IF(A47=FALSE,"",Cotations!$CY$4*Y47)</f>
        <v/>
      </c>
      <c r="PG47" s="502" t="str">
        <f t="shared" ref="PG47:PG78" si="563">IF(A47=FALSE,"",IF(PB47="N/A",0,IF(PA47="POEA",PF47*$PA$2,PF47*PE47)))</f>
        <v/>
      </c>
      <c r="PH47" s="520" t="str">
        <f>IF(A47=FALSE,"",IF(Cotations!$CV$4="monthly",PG47/12*L47,PG47/365*M47))</f>
        <v/>
      </c>
      <c r="PI47" s="503" t="str">
        <f>IF(A47=FALSE,"",Cotations!$CZ$4)</f>
        <v/>
      </c>
      <c r="PJ47" s="502" t="str">
        <f t="shared" ref="PJ47:PJ78" si="564">IF(A47=FALSE,"",PH47*PI47)</f>
        <v/>
      </c>
      <c r="PK47" s="502" t="str">
        <f t="shared" ref="PK47:PK78" si="565">IF(A47=FALSE,"",PH47-PJ47)</f>
        <v/>
      </c>
      <c r="PL47" s="504" t="str">
        <f t="shared" ref="PL47:PL78" si="566">IF(A47=FALSE,"",PK47*TAXE)</f>
        <v/>
      </c>
      <c r="PM47" s="505" t="str">
        <f>IF(A47=FALSE,"",Cotations!$DA$4)</f>
        <v/>
      </c>
      <c r="PN47" s="520" t="str">
        <f>IF(A47=FALSE,"",Cotations!$DB$4)</f>
        <v/>
      </c>
      <c r="PO47" s="503" t="str">
        <f>IF(A47=FALSE,"",Cotations!$DC$4)</f>
        <v/>
      </c>
      <c r="PP47" s="505" t="str">
        <f>IF(A47=FALSE,"",IF(PM47="N/A",0,IF(INDEX(LISTES!$F$105:$F$109,MATCH(PM47,LISTES!$C$105:$C$109,0))="FIX",IF(INDEX(LISTES!$E$105:$E$109,MATCH(PM47,LISTES!$C$105:$C$109,0))=12,PN47/12*L47,PN47/365*M47),PO47*PL47)))</f>
        <v/>
      </c>
      <c r="PQ47" s="504" t="str">
        <f t="shared" ref="PQ47:PQ78" si="567">IF(A47=FALSE,"",PL47+PP47)</f>
        <v/>
      </c>
      <c r="PR47" s="505" t="str">
        <f>IF(A47=FALSE,"",PQ47*Cotations!$DD$4)</f>
        <v/>
      </c>
      <c r="PS47" s="505" t="str">
        <f>IF(A47=FALSE,"",PQ47*Cotations!$DE$4)</f>
        <v/>
      </c>
      <c r="PT47" s="506" t="str">
        <f t="shared" ref="PT47:PT78" si="568">IF(A47=FALSE,"",INDEX(colCurrency,MATCH(PB47,colchoice,0)))</f>
        <v/>
      </c>
      <c r="PU47" s="919" t="str">
        <f>IF(A47=FALSE,"",((PG47*TAXE)-(PG47*TAXE*PI47))+IF(PM47="N/A",0,IF(INDEX(LISTES!$F$105:$F$109,MATCH(PM47,LISTES!$C$105:$C$109,0))="FIX",PN47,PO47*PL47)))</f>
        <v/>
      </c>
      <c r="QA47" s="492" t="str">
        <f t="shared" ref="QA47:QA78" si="569">IF(A47=FALSE,"","PROP")</f>
        <v/>
      </c>
      <c r="QB47" s="491" t="str">
        <f>IF(A47=FALSE,"",IF(LISTES!$A$17=1,Cotations!CT47,Cotations!CU47))</f>
        <v/>
      </c>
      <c r="QC47" s="285" t="str">
        <f t="shared" ref="QC47:QC78" si="570">IF(A47=FALSE,"",INDEX(colAssureur,MATCH(QB47,colchoice,0)))</f>
        <v/>
      </c>
      <c r="QD47" s="300"/>
      <c r="QE47" s="461" t="str">
        <f t="shared" ref="QE47:QE78" si="571">IF(A47=FALSE,"",IF(QA47="POEA",$QA$2,INDEX(colRatesHT,MATCH(QB47,colchoice,0))))</f>
        <v/>
      </c>
      <c r="QF47" s="490" t="str">
        <f>IF(A47=FALSE,"",Cotations!CY47*AA47)</f>
        <v/>
      </c>
      <c r="QG47" s="300" t="str">
        <f t="shared" ref="QG47:QG78" si="572">IF(A47=FALSE,"",IF(QB47="N/A",0,QF47*INDEX(colRatesHT,MATCH(QB47,colchoice,0))))</f>
        <v/>
      </c>
      <c r="QH47" s="522" t="str">
        <f>IF(A47=FALSE,"",IF(Cotations!CV47="monthly",QG47/12*L47,QG47/365*M47))</f>
        <v/>
      </c>
      <c r="QI47" s="489" t="str">
        <f>IF(A47=FALSE,"",IF(Cotations!CZ47="","",Cotations!CZ47))</f>
        <v/>
      </c>
      <c r="QJ47" s="300" t="str">
        <f t="shared" ref="QJ47:QJ78" si="573">IF(A47=FALSE,"",QH47*QI47)</f>
        <v/>
      </c>
      <c r="QK47" s="300" t="str">
        <f t="shared" ref="QK47:QK78" si="574">IF(A47=FALSE,"",QH47-QJ47)</f>
        <v/>
      </c>
      <c r="QL47" s="919" t="str">
        <f t="shared" ref="QL47:QL78" si="575">IF(A47=FALSE,"",QK47*TAXE)</f>
        <v/>
      </c>
      <c r="QM47" s="517" t="str">
        <f>IF(A47=FALSE,"",Cotations!DA47)</f>
        <v/>
      </c>
      <c r="QN47" s="515" t="str">
        <f>IF(A47=FALSE,"",Cotations!DB47)</f>
        <v/>
      </c>
      <c r="QO47" s="493" t="str">
        <f>IF(A47=FALSE,"",Cotations!DC47)</f>
        <v/>
      </c>
      <c r="QP47" s="517" t="str">
        <f>IF(A47=FALSE,"",IF(QM47="N/A",0,IF(INDEX(LISTES!$F$105:$F$109,MATCH(QM47,LISTES!$C$105:$C$109,0))="FIX",IF(INDEX(LISTES!$E$105:$E$109,MATCH(QM47,LISTES!$C$105:$C$109,0))=12,QN47/12*L47,QN47/365*M47),QO47*QL47)))</f>
        <v/>
      </c>
      <c r="QQ47" s="294" t="str">
        <f t="shared" ref="QQ47:QQ78" si="576">IF(A47=FALSE,"",QL47+QP47)</f>
        <v/>
      </c>
      <c r="QR47" s="494" t="str">
        <f>IF(A47=FALSE,"",QQ47*Cotations!DD47)</f>
        <v/>
      </c>
      <c r="QS47" s="494" t="str">
        <f>IF(A47=FALSE,"",QQ47*Cotations!DE47)</f>
        <v/>
      </c>
      <c r="QT47" s="338" t="str">
        <f t="shared" ref="QT47:QT78" si="577">IF(A47=FALSE,"",INDEX(colCurrency,MATCH(QB47,colchoice,0)))</f>
        <v/>
      </c>
      <c r="QU47" s="919" t="str">
        <f>IF(A47=FALSE,"",((QG47*TAXE)-(QG47*TAXE*QI47))+IF(QM47="N/A",0,IF(INDEX(LISTES!$F$105:$F$109,MATCH(QM47,LISTES!$C$105:$C$109,0))="FIX",QN47,QO47*QL47)))</f>
        <v/>
      </c>
      <c r="RA47" s="497" t="str">
        <f t="shared" ref="RA47:RA78" si="578">IF(A47=FALSE,"","PROP")</f>
        <v/>
      </c>
      <c r="RB47" s="498" t="str">
        <f>IF(A47=FALSE,"",IF(LISTES!$A$17=1,Cotations!DF47,Cotations!$DG$4))</f>
        <v/>
      </c>
      <c r="RC47" s="499" t="str">
        <f t="shared" ref="RC47:RC78" si="579">IF(A47=FALSE,"",INDEX(colAssureur,MATCH(RB47,colchoice,0)))</f>
        <v/>
      </c>
      <c r="RD47" s="499" t="str">
        <f t="shared" ref="RD47:RD78" si="580">IF(A47=FALSE,"",INDEX(colProduct,MATCH(RB47,colchoice,0)))</f>
        <v/>
      </c>
      <c r="RE47" s="500" t="str">
        <f t="shared" ref="RE47:RE78" si="581">IF(A47=FALSE,"",IF(RA47="POEA",$RA$2,INDEX(colRatesHT,MATCH(RB47,colchoice,0))))</f>
        <v/>
      </c>
      <c r="RF47" s="501" t="str">
        <f>IF(A47=FALSE,"",Cotations!$DK$4*Y47)</f>
        <v/>
      </c>
      <c r="RG47" s="502" t="str">
        <f t="shared" ref="RG47:RG78" si="582">IF(A47=FALSE,"",IF(RB47="N/A",0,IF(RA47="POEA",RF47*$RA$2,RF47*RE47)))</f>
        <v/>
      </c>
      <c r="RH47" s="520" t="str">
        <f>IF(A47=FALSE,"",IF(Cotations!$DH$4="monthly",RG47/12*L47,RG47/365*M47))</f>
        <v/>
      </c>
      <c r="RI47" s="503" t="str">
        <f>IF(A47=FALSE,"",Cotations!$DL$4)</f>
        <v/>
      </c>
      <c r="RJ47" s="502" t="str">
        <f t="shared" ref="RJ47:RJ78" si="583">IF(A47=FALSE,"",RH47*RI47)</f>
        <v/>
      </c>
      <c r="RK47" s="502" t="str">
        <f t="shared" ref="RK47:RK78" si="584">IF(A47=FALSE,"",RH47-RJ47)</f>
        <v/>
      </c>
      <c r="RL47" s="504" t="str">
        <f t="shared" ref="RL47:RL78" si="585">IF(A47=FALSE,"",RK47*TAXE)</f>
        <v/>
      </c>
      <c r="RM47" s="505" t="str">
        <f>IF(A47=FALSE,"",Cotations!$DM$4)</f>
        <v/>
      </c>
      <c r="RN47" s="520" t="str">
        <f>IF(A47=FALSE,"",Cotations!$DN$4)</f>
        <v/>
      </c>
      <c r="RO47" s="503" t="str">
        <f>IF(A47=FALSE,"",Cotations!$DO$4)</f>
        <v/>
      </c>
      <c r="RP47" s="505" t="str">
        <f>IF(A47=FALSE,"",IF(RM47="N/A",0,IF(INDEX(LISTES!$F$105:$F$109,MATCH(RM47,LISTES!$C$105:$C$109,0))="FIX",IF(INDEX(LISTES!$E$105:$E$109,MATCH(RM47,LISTES!$C$105:$C$109,0))=12,RN47/12*L47,RN47/365*M47),RO47*RL47)))</f>
        <v/>
      </c>
      <c r="RQ47" s="504" t="str">
        <f t="shared" ref="RQ47:RQ78" si="586">IF(A47=FALSE,"",RL47+RP47)</f>
        <v/>
      </c>
      <c r="RR47" s="505" t="str">
        <f>IF(A47=FALSE,"",RQ47*Cotations!$DP$4)</f>
        <v/>
      </c>
      <c r="RS47" s="505" t="str">
        <f>IF(A47=FALSE,"",RQ47*Cotations!$DQ$4)</f>
        <v/>
      </c>
      <c r="RT47" s="506" t="str">
        <f t="shared" ref="RT47:RT78" si="587">IF(A47=FALSE,"",INDEX(colCurrency,MATCH(RB47,colchoice,0)))</f>
        <v/>
      </c>
      <c r="RU47" s="919" t="str">
        <f>IF(A47=FALSE,"",((RG47*TAXE)-(RG47*TAXE*RI47))+IF(RM47="N/A",0,IF(INDEX(LISTES!$F$105:$F$109,MATCH(RM47,LISTES!$C$105:$C$109,0))="FIX",RN47,RO47*RL47)))</f>
        <v/>
      </c>
      <c r="SA47" s="492" t="str">
        <f t="shared" ref="SA47:SA78" si="588">IF(A47=FALSE,"","PROP")</f>
        <v/>
      </c>
      <c r="SB47" s="491" t="str">
        <f>IF(A47=FALSE,"",IF(LISTES!$A$17=1,Cotations!DF47,Cotations!DG47))</f>
        <v/>
      </c>
      <c r="SC47" s="285" t="str">
        <f t="shared" ref="SC47:SC78" si="589">IF(A47=FALSE,"",INDEX(colAssureur,MATCH(SB47,colchoice,0)))</f>
        <v/>
      </c>
      <c r="SD47" s="300"/>
      <c r="SE47" s="461" t="str">
        <f t="shared" ref="SE47:SE78" si="590">IF(A47=FALSE,"",IF(SA47="POEA",$SA$2,INDEX(colRatesHT,MATCH(SB47,colchoice,0))))</f>
        <v/>
      </c>
      <c r="SF47" s="490" t="str">
        <f>IF(A47=FALSE,"",Cotations!DK47*AA47)</f>
        <v/>
      </c>
      <c r="SG47" s="300" t="str">
        <f t="shared" ref="SG47:SG78" si="591">IF(A47=FALSE,"",IF(SB47="N/A",0,SF47*INDEX(colRatesHT,MATCH(SB47,colchoice,0))))</f>
        <v/>
      </c>
      <c r="SH47" s="522" t="str">
        <f>IF(A47=FALSE,"",IF(Cotations!DH47="monthly",SG47/12*L47,SG47/365*M47))</f>
        <v/>
      </c>
      <c r="SI47" s="489" t="str">
        <f>IF(A47=FALSE,"",IF(Cotations!DL47="","",Cotations!DL47))</f>
        <v/>
      </c>
      <c r="SJ47" s="300" t="str">
        <f t="shared" ref="SJ47:SJ78" si="592">IF(A47=FALSE,"",SH47*SI47)</f>
        <v/>
      </c>
      <c r="SK47" s="300" t="str">
        <f t="shared" ref="SK47:SK78" si="593">IF(A47=FALSE,"",SH47-SJ47)</f>
        <v/>
      </c>
      <c r="SL47" s="919" t="str">
        <f t="shared" ref="SL47:SL78" si="594">IF(A47=FALSE,"",SK47*TAXE)</f>
        <v/>
      </c>
      <c r="SM47" s="285" t="str">
        <f>IF(A47=FALSE,"",Cotations!DM47)</f>
        <v/>
      </c>
      <c r="SN47" s="515" t="str">
        <f>IF(A47=FALSE,"",Cotations!DN47)</f>
        <v/>
      </c>
      <c r="SO47" s="493" t="str">
        <f>IF(A47=FALSE,"",Cotations!DO47)</f>
        <v/>
      </c>
      <c r="SP47" s="517" t="str">
        <f>IF(A47=FALSE,"",IF(SM47="N/A",0,IF(INDEX(LISTES!$F$105:$F$109,MATCH(SM47,LISTES!$C$105:$C$109,0))="FIX",IF(INDEX(LISTES!$E$105:$E$109,MATCH(SM47,LISTES!$C$105:$C$109,0))=12,SN47/12*L47,SN47/365*M47),SO47*SL47)))</f>
        <v/>
      </c>
      <c r="SQ47" s="294" t="str">
        <f t="shared" ref="SQ47:SQ78" si="595">IF(A47=FALSE,"",SL47+SP47)</f>
        <v/>
      </c>
      <c r="SR47" s="494" t="str">
        <f>IF(A47=FALSE,"",SQ47*Cotations!DP47)</f>
        <v/>
      </c>
      <c r="SS47" s="494" t="str">
        <f>IF(A47=FALSE,"",SQ47*Cotations!DQ47)</f>
        <v/>
      </c>
      <c r="ST47" s="338" t="str">
        <f t="shared" ref="ST47:ST78" si="596">IF(A47=FALSE,"",INDEX(colCurrency,MATCH(SB47,colchoice,0)))</f>
        <v/>
      </c>
      <c r="SU47" s="919" t="str">
        <f>IF(A47=FALSE,"",((SG47*TAXE)-(SG47*TAXE*SI47))+IF(SM47="N/A",0,IF(INDEX(LISTES!$F$105:$F$109,MATCH(SM47,LISTES!$C$105:$C$109,0))="FIX",SN47,SO47*SL47)))</f>
        <v/>
      </c>
      <c r="TA47" s="492" t="str">
        <f>IF(A47=FALSE,"",Cotations!D47)</f>
        <v/>
      </c>
      <c r="TB47" s="491" t="str">
        <f>IF(A47=FALSE,"",IF(LISTES!$A$17=1,Cotations!DR47,Cotations!DS47))</f>
        <v/>
      </c>
      <c r="TC47" s="285" t="str">
        <f t="shared" ref="TC47:TC78" si="597">IF(A47=FALSE,"",INDEX(colAssureur,MATCH(TB47,colchoice,0)))</f>
        <v/>
      </c>
      <c r="TD47" s="300" t="str">
        <f>IF(A47=FALSE,"",Detail!CQ47)</f>
        <v/>
      </c>
      <c r="TE47" s="461" t="str">
        <f t="shared" ref="TE47:TE78" si="598">IF(A47=FALSE,"",IF(TB47="",0,INDEX(colRatesHT,MATCH(TB47,colchoice,0))))</f>
        <v/>
      </c>
      <c r="TF47" s="490" t="str">
        <f>IF(A47=FALSE,"",IF(TA47="FIXE",Cotations!DU47,Cotations!DV47*Y47))</f>
        <v/>
      </c>
      <c r="TG47" s="300" t="str">
        <f t="shared" ref="TG47:TG78" si="599">IF(A47=FALSE,"",IF(TB47="N/A",0,TF47*INDEX(colRatesHT,MATCH(TB47,colchoice,0))))</f>
        <v/>
      </c>
      <c r="TH47" s="522" t="str">
        <f>IF(A47=FALSE,"",IF(Cotations!DT47="monthly",TG47/12*L47,TG47/365*M47))</f>
        <v/>
      </c>
      <c r="TI47" s="489" t="str">
        <f>IF(A47=FALSE,"",IF(Cotations!DW47="","",Cotations!DW47))</f>
        <v/>
      </c>
      <c r="TJ47" s="300" t="str">
        <f t="shared" ref="TJ47:TJ78" si="600">IF(A47=FALSE,"",TH47*TI47)</f>
        <v/>
      </c>
      <c r="TK47" s="300" t="str">
        <f t="shared" ref="TK47:TK78" si="601">IF(A47=FALSE,"",TH47-TJ47)</f>
        <v/>
      </c>
      <c r="TL47" s="919" t="str">
        <f t="shared" ref="TL47:TL78" si="602">IF(A47=FALSE,"",TK47*(1+TAXE))</f>
        <v/>
      </c>
      <c r="TM47" s="517" t="str">
        <f>IF(A47=FALSE,"",Cotations!DX47)</f>
        <v/>
      </c>
      <c r="TN47" s="517" t="str">
        <f>IF(A47=FALSE,"",Cotations!DY47)</f>
        <v/>
      </c>
      <c r="TO47" s="493" t="str">
        <f>IF(A47=FALSE,"",Cotations!DZ47)</f>
        <v/>
      </c>
      <c r="TP47" s="517" t="str">
        <f>IF(A47=FALSE,"",IF(TM47="N/A",0,IF(INDEX(LISTES!$F$105:$F$109,MATCH(TM47,LISTES!$C$105:$C$109,0))="FIX",IF(INDEX(LISTES!$E$105:$E$109,MATCH(TM47,LISTES!$C$105:$C$109,0))=12,TN47/12*L47,TN47/365*M47),TO47*TL47)))</f>
        <v/>
      </c>
      <c r="TQ47" s="294" t="str">
        <f t="shared" ref="TQ47:TQ78" si="603">IF(A47=FALSE,"",TL47+TP47)</f>
        <v/>
      </c>
      <c r="TR47" s="494" t="str">
        <f>IF(A47=FALSE,"",TQ47*Cotations!EA47)</f>
        <v/>
      </c>
      <c r="TS47" s="494" t="str">
        <f>IF(A47=FALSE,"",TQ47*Cotations!EB47)</f>
        <v/>
      </c>
      <c r="TT47" s="338" t="str">
        <f t="shared" ref="TT47:TT78" si="604">IF(A47=FALSE,"",INDEX(colCurrency,MATCH(TB47,colchoice,0)))</f>
        <v/>
      </c>
      <c r="TU47" s="919" t="str">
        <f>IF(A47=FALSE,"",((TG47*(1+TAXE)-(TG47*(1+TAXE)*TI47))+IF(TM47="N/A",0,IF(INDEX(LISTES!$F$105:$F$109,MATCH(TM47,LISTES!$C$105:$C$109,0))="FIX",TN47,TO47*TL47))))</f>
        <v/>
      </c>
      <c r="UA47" s="492" t="str">
        <f>IF(A47=FALSE,"",Cotations!D47)</f>
        <v/>
      </c>
      <c r="UB47" s="491" t="str">
        <f>IF(A47=FALSE,"",IF(LISTES!$A$17=1,Cotations!EC47,Cotations!ED47))</f>
        <v/>
      </c>
      <c r="UC47" s="285" t="str">
        <f t="shared" ref="UC47:UC78" si="605">IF(A47=FALSE,"",INDEX(colAssureur,MATCH(UB47,colchoice,0)))</f>
        <v/>
      </c>
      <c r="UD47" s="300" t="str">
        <f>IF(A47=FALSE,"",Detail!CY47)</f>
        <v/>
      </c>
      <c r="UE47" s="461" t="str">
        <f t="shared" ref="UE47:UE78" si="606">IF(A47=FALSE,"",INDEX(colRatesHT,MATCH(UB47,colchoice,0)))</f>
        <v/>
      </c>
      <c r="UF47" s="490" t="str">
        <f>IF(A47=FALSE,"",IF(UA47="FIXE",Cotations!EF47,Cotations!EG47*Y47))</f>
        <v/>
      </c>
      <c r="UG47" s="300" t="str">
        <f t="shared" ref="UG47:UG78" si="607">IF(A47=FALSE,"",IF(UB47="N/A",0,UF47*INDEX(colRatesHT,MATCH(UB47,colchoice,0))))</f>
        <v/>
      </c>
      <c r="UH47" s="522" t="str">
        <f>IF(A47=FALSE,"",IF(Cotations!EE47="monthly",UG47/12*L47,UG47/365*M47))</f>
        <v/>
      </c>
      <c r="UI47" s="489" t="str">
        <f>IF(A47=FALSE,"",IF(Cotations!EH47="","",Cotations!EH47))</f>
        <v/>
      </c>
      <c r="UJ47" s="300" t="str">
        <f t="shared" ref="UJ47:UJ78" si="608">IF(A47=FALSE,"",UH47*UI47)</f>
        <v/>
      </c>
      <c r="UK47" s="300" t="str">
        <f t="shared" ref="UK47:UK78" si="609">IF(A47=FALSE,"",UH47-UJ47)</f>
        <v/>
      </c>
      <c r="UL47" s="919" t="str">
        <f t="shared" ref="UL47:UL78" si="610">IF(A47=FALSE,"",UK47*(1+TAXE))</f>
        <v/>
      </c>
      <c r="UM47" s="517" t="str">
        <f>IF(A47=FALSE,"",Cotations!EI47)</f>
        <v/>
      </c>
      <c r="UN47" s="517" t="str">
        <f>IF(A47=FALSE,"",Cotations!EJ47)</f>
        <v/>
      </c>
      <c r="UO47" s="493" t="str">
        <f>IF(A47=FALSE,"",Cotations!EK47)</f>
        <v/>
      </c>
      <c r="UP47" s="517" t="str">
        <f>IF(A47=FALSE,"",IF(UM47="N/A",0,IF(INDEX(LISTES!$F$105:$F$109,MATCH(UM47,LISTES!$C$105:$C$109,0))="FIX",IF(INDEX(LISTES!$E$105:$E$109,MATCH(UM47,LISTES!$C$105:$C$109,0))=12,UN47/12*L47,UN47/365*M47),UO47*UL47)))</f>
        <v/>
      </c>
      <c r="UQ47" s="294" t="str">
        <f t="shared" ref="UQ47:UQ78" si="611">IF(A47=FALSE,"",UL47+UP47)</f>
        <v/>
      </c>
      <c r="UR47" s="494" t="str">
        <f>IF(A47=FALSE,"",UQ47*Cotations!EL47)</f>
        <v/>
      </c>
      <c r="US47" s="494" t="str">
        <f>IF(A47=FALSE,"",UQ47*Cotations!EM47)</f>
        <v/>
      </c>
      <c r="UT47" s="338" t="str">
        <f t="shared" ref="UT47:UT78" si="612">IF(A47=FALSE,"",INDEX(colCurrency,MATCH(UB47,colchoice,0)))</f>
        <v/>
      </c>
      <c r="UU47" s="919" t="str">
        <f>IF(A47=FALSE,"",((UG47*(1+TAXE)-(UG47*(1+TAXE)*UI47))+IF(UM47="N/A",0,IF(INDEX(LISTES!$F$105:$F$109,MATCH(UM47,LISTES!$C$105:$C$109,0))="FIX",UN47,UO47*UL47))))</f>
        <v/>
      </c>
      <c r="VA47" s="492" t="str">
        <f>IF(A47=FALSE,"",Cotations!D47)</f>
        <v/>
      </c>
      <c r="VB47" s="519" t="str">
        <f>IF(A47=FALSE,"",IF(LISTES!$A$17=1,Cotations!EN47,Cotations!EO47))</f>
        <v/>
      </c>
      <c r="VC47" s="291" t="str">
        <f t="shared" ref="VC47:VC78" si="613">IF(A47=FALSE,"",INDEX(colAssureur,MATCH(VB47,colchoice,0)))</f>
        <v/>
      </c>
      <c r="VD47" s="291" t="str">
        <f t="shared" ref="VD47:VD78" si="614">IF(A47=FALSE,"",INDEX(colProduct,MATCH(VB47,colchoice,0)))</f>
        <v/>
      </c>
      <c r="VE47" s="291"/>
      <c r="VF47" s="463"/>
      <c r="VG47" s="463" t="str">
        <f t="shared" ref="VG47:VG78" si="615">IF(A47=FALSE,"",INDEX(colRatesHT,MATCH(VB47,colchoice,0)))</f>
        <v/>
      </c>
      <c r="VH47" s="522" t="str">
        <f>IF(A47=FALSE,"",IF(Cotations!$AQ$4="monthly",VG47/12*L47,VG47/365*M47))</f>
        <v/>
      </c>
      <c r="VI47" s="489" t="str">
        <f>IF(A47=FALSE,"",Cotations!$AR$4)</f>
        <v/>
      </c>
      <c r="VJ47" s="300" t="str">
        <f t="shared" ref="VJ47:VJ78" si="616">IF(A47=FALSE,"",VH47*VI47)</f>
        <v/>
      </c>
      <c r="VK47" s="300" t="str">
        <f t="shared" ref="VK47:VK78" si="617">IF(A47=FALSE,"",VH47-VJ47)</f>
        <v/>
      </c>
      <c r="VL47" s="294" t="str">
        <f t="shared" ref="VL47:VL78" si="618">IF(A47=FALSE,"",VK47*TAXE)</f>
        <v/>
      </c>
      <c r="VM47" s="494" t="str">
        <f>IF(A47=FALSE,"",Cotations!$AS$4)</f>
        <v/>
      </c>
      <c r="VN47" s="494" t="str">
        <f>IF(A47=FALSE,"",Cotations!$AT$4)</f>
        <v/>
      </c>
      <c r="VO47" s="489" t="str">
        <f>IF(A47=FALSE,"",Cotations!$AU$4)</f>
        <v/>
      </c>
      <c r="VP47" s="494" t="str">
        <f>IF(A47=FALSE,"",IF(VM47="N/A",0,IF(INDEX(LISTES!$F$105:$F$109,MATCH(VM47,LISTES!$C$105:$C$109,0))="FIX",IF(INDEX(LISTES!$E$105:$E$109,MATCH(VM47,LISTES!$C$105:$C$109,0))=12,VN47/12*L47,VN47/365*M47),VO47*VL47)))</f>
        <v/>
      </c>
      <c r="VQ47" s="294" t="str">
        <f t="shared" ref="VQ47:VQ78" si="619">IF(A47=FALSE,"",VL47+VP47)</f>
        <v/>
      </c>
      <c r="VR47" s="494" t="str">
        <f>IF(A47=FALSE,"",VQ47*Cotations!$AV$4)</f>
        <v/>
      </c>
      <c r="VS47" s="494" t="str">
        <f>IF(A47=FALSE,"",VQ47*Cotations!$AW$4)</f>
        <v/>
      </c>
      <c r="VT47" s="465" t="str">
        <f t="shared" ref="VT47:VT78" si="620">IF(A47=FALSE,"",INDEX(colCurrency,MATCH(VB47,colchoice,0)))</f>
        <v/>
      </c>
      <c r="VU47" s="919" t="str">
        <f>IF(A47=FALSE,"",((VG47*TAXE)-(VG47*TAXE*VI47))+IF(VM47="N/A",0,IF(INDEX(LISTES!$F$105:$F$109,MATCH(VM47,LISTES!$C$105:$C$109,0))="FIX",VN47,VO47*VL47)))</f>
        <v/>
      </c>
      <c r="WA47" s="492" t="str">
        <f>IF(A47=FALSE,"",Cotations!D47)</f>
        <v/>
      </c>
      <c r="WB47" s="519" t="str">
        <f>IF(A47=FALSE,"",IF(LISTES!$A$17=1,Cotations!EW47,Cotations!EX47))</f>
        <v/>
      </c>
      <c r="WC47" s="291" t="str">
        <f t="shared" ref="WC47:WC78" si="621">IF(A47=FALSE,"",INDEX(colAssureur,MATCH(WB47,colchoice,0)))</f>
        <v/>
      </c>
      <c r="WD47" s="291" t="str">
        <f t="shared" ref="WD47:WD78" si="622">IF(A47=FALSE,"",INDEX(colProduct,MATCH(WB47,colchoice,0)))</f>
        <v/>
      </c>
      <c r="WE47" s="291"/>
      <c r="WF47" s="463"/>
      <c r="WG47" s="463" t="str">
        <f t="shared" ref="WG47:WG78" si="623">IF(A47=FALSE,"",INDEX(colRatesHT,MATCH(WB47,colchoice,0)))</f>
        <v/>
      </c>
      <c r="WH47" s="522" t="str">
        <f>IF(A47=FALSE,"",IF(Cotations!$AQ$4="monthly",WG47/12*L47,WG47/365*M47))</f>
        <v/>
      </c>
      <c r="WI47" s="489" t="str">
        <f>IF(A47=FALSE,"",Cotations!$AR$4)</f>
        <v/>
      </c>
      <c r="WJ47" s="300" t="str">
        <f t="shared" ref="WJ47:WJ78" si="624">IF(A47=FALSE,"",WH47*WI47)</f>
        <v/>
      </c>
      <c r="WK47" s="300" t="str">
        <f t="shared" ref="WK47:WK78" si="625">IF(A47=FALSE,"",WH47-WJ47)</f>
        <v/>
      </c>
      <c r="WL47" s="294" t="str">
        <f t="shared" ref="WL47:WL78" si="626">IF(A47=FALSE,"",WK47*TAXE)</f>
        <v/>
      </c>
      <c r="WM47" s="494" t="str">
        <f>IF(A47=FALSE,"",Cotations!$AS$4)</f>
        <v/>
      </c>
      <c r="WN47" s="494" t="str">
        <f>IF(A47=FALSE,"",Cotations!$AT$4)</f>
        <v/>
      </c>
      <c r="WO47" s="489" t="str">
        <f>IF(A47=FALSE,"",Cotations!$AU$4)</f>
        <v/>
      </c>
      <c r="WP47" s="494" t="str">
        <f>IF(A47=FALSE,"",IF(WM47="N/A",0,IF(INDEX(LISTES!$F$105:$F$109,MATCH(WM47,LISTES!$C$105:$C$109,0))="FIX",IF(INDEX(LISTES!$E$105:$E$109,MATCH(WM47,LISTES!$C$105:$C$109,0))=12,WN47/12*L47,WN47/365*M47),WO47*WL47)))</f>
        <v/>
      </c>
      <c r="WQ47" s="294" t="str">
        <f t="shared" ref="WQ47:WQ78" si="627">IF(A47=FALSE,"",WL47+WP47)</f>
        <v/>
      </c>
      <c r="WR47" s="494" t="str">
        <f>IF(A47=FALSE,"",WQ47*Cotations!$AV$4)</f>
        <v/>
      </c>
      <c r="WS47" s="494" t="str">
        <f>IF(A47=FALSE,"",WQ47*Cotations!$AW$4)</f>
        <v/>
      </c>
      <c r="WT47" s="465" t="str">
        <f t="shared" ref="WT47:WT78" si="628">IF(A47=FALSE,"",INDEX(colCurrency,MATCH(WB47,colchoice,0)))</f>
        <v/>
      </c>
      <c r="WU47" s="919" t="str">
        <f>IF(A47=FALSE,"",((WG47*TAXE)-(WG47*TAXE*WI47))+IF(WM47="N/A",0,IF(INDEX(LISTES!$F$105:$F$109,MATCH(WM47,LISTES!$C$105:$C$109,0))="FIX",WN47,WO47*WL47)))</f>
        <v/>
      </c>
    </row>
    <row r="48" spans="1:619">
      <c r="A48" s="942" t="b">
        <f t="shared" si="433"/>
        <v>0</v>
      </c>
      <c r="B48" s="942" t="b">
        <f>IF(NAMES!$B$9=TRUE,TRUE,FALSE)</f>
        <v>1</v>
      </c>
      <c r="C48" s="942" t="b">
        <f t="shared" si="413"/>
        <v>0</v>
      </c>
      <c r="D48" s="942" t="b">
        <f t="shared" si="414"/>
        <v>0</v>
      </c>
      <c r="E48" s="274" t="b">
        <f>IF(Cotations!C48="","",Cotations!C48)</f>
        <v>0</v>
      </c>
      <c r="F48" s="274" t="str">
        <f>IF(Cotations!D48="","",Cotations!D48)</f>
        <v>PROP</v>
      </c>
      <c r="G48" s="274" t="str">
        <f>IF(Cotations!E48="","",Cotations!E48)</f>
        <v>2016-2017!</v>
      </c>
      <c r="H48" s="274" t="str">
        <f>IF(Cotations!F48="","",Cotations!F48)</f>
        <v>SINGLE</v>
      </c>
      <c r="I48" s="274" t="str">
        <f>IF(Cotations!G48="","",Cotations!G48)</f>
        <v/>
      </c>
      <c r="J48" s="274" t="str">
        <f>IF(Cotations!H48="","",Cotations!H48)</f>
        <v/>
      </c>
      <c r="K48" s="274" t="str">
        <f>IF(Cotations!I48="","",Cotations!I48)</f>
        <v/>
      </c>
      <c r="L48" s="274" t="str">
        <f>IF(A48=FALSE,"",IF(Cotations!N48="","",Cotations!N48))</f>
        <v/>
      </c>
      <c r="M48" s="274" t="str">
        <f>IF(Cotations!P48="","",Cotations!P48)</f>
        <v/>
      </c>
      <c r="N48" s="724" t="str">
        <f>IF(NAMES!$B$10=TRUE,Cotations!J48,Cotations!L48)</f>
        <v/>
      </c>
      <c r="O48" s="724" t="str">
        <f>IF(NAMES!$B$10=TRUE,Cotations!K48,Cotations!M48)</f>
        <v/>
      </c>
      <c r="P48" s="943" t="str">
        <f t="shared" si="415"/>
        <v/>
      </c>
      <c r="Q48" s="724" t="str">
        <f>IF(A48=FALSE,"",IF(Crewlist!Y48="","",Crewlist!Y48))</f>
        <v/>
      </c>
      <c r="R48" s="78" t="str">
        <f>IF(Cotations!U48="","",Cotations!U48)</f>
        <v/>
      </c>
      <c r="S48" s="943" t="str">
        <f t="shared" si="416"/>
        <v/>
      </c>
      <c r="T48" s="919" t="str">
        <f>IF(A48=FALSE,"",VLOOKUP($U$15:$U$120,Currency!$A$2:$D$10,4,0)*Crewlist!N48)</f>
        <v/>
      </c>
      <c r="U48" s="1355" t="str">
        <f>IF(A48=FALSE,"",IF(IT48=0,Crewlist!M48&amp;"/"&amp;EX48,Crewlist!M48&amp;"/"&amp;IT48))</f>
        <v/>
      </c>
      <c r="V48" s="919" t="str">
        <f>IF(A48=FALSE,"",VLOOKUP($U$15:$U$120,Currency!$A$2:$D$10,4,0)*Detail!Q48)</f>
        <v/>
      </c>
      <c r="W48" s="1355" t="str">
        <f>IF(A48=FALSE,"",IF(IT48=0,Detail!R48&amp;"/"&amp;EX48,Detail!R48&amp;"/"&amp;IT48))</f>
        <v/>
      </c>
      <c r="X48" s="919" t="str">
        <f>IF(A48=FALSE,"",IF(LISTES!$C$17="Crewlist",Calcul!T48,Calcul!V48))</f>
        <v/>
      </c>
      <c r="Y48" s="758" t="str">
        <f t="shared" si="417"/>
        <v/>
      </c>
      <c r="Z48" s="758" t="str">
        <f>IF(A48=FALSE,"",IF(X48=0,0,IF((Cotations!BC48*12*X48)&lt;50000,50000,(12*X48))))</f>
        <v/>
      </c>
      <c r="AA48" s="758" t="str">
        <f t="shared" si="418"/>
        <v/>
      </c>
      <c r="AB48" s="758" t="str">
        <f>IF(A48=FALSE,"",IF(Crewlist!O48=0,"",Crewlist!O48))</f>
        <v/>
      </c>
      <c r="AC48" s="758" t="str">
        <f>IF(I48="","",VLOOKUP($AB$15:$AB$120,Currency!$A$15:$B$34,2,0))</f>
        <v/>
      </c>
      <c r="AD48" s="758" t="str">
        <f t="shared" si="419"/>
        <v/>
      </c>
      <c r="AE48" s="758" t="str">
        <f t="shared" si="420"/>
        <v/>
      </c>
      <c r="AF48" s="758" t="str">
        <f t="shared" si="421"/>
        <v/>
      </c>
      <c r="AG48" s="758" t="str">
        <f t="shared" si="422"/>
        <v/>
      </c>
      <c r="AH48" s="1355" t="str">
        <f t="shared" si="434"/>
        <v/>
      </c>
      <c r="AI48" s="919" t="str">
        <f t="shared" si="423"/>
        <v/>
      </c>
      <c r="AJ48" s="1382" t="str">
        <f t="shared" si="424"/>
        <v/>
      </c>
      <c r="AK48" s="1382" t="str">
        <f t="shared" si="425"/>
        <v/>
      </c>
      <c r="AL48" s="238" t="str">
        <f t="shared" si="435"/>
        <v/>
      </c>
      <c r="AM48" s="238" t="str">
        <f t="shared" si="436"/>
        <v/>
      </c>
      <c r="AN48" s="1374" t="str">
        <f t="shared" si="437"/>
        <v/>
      </c>
      <c r="AO48" s="238" t="str">
        <f t="shared" si="438"/>
        <v/>
      </c>
      <c r="AP48" s="342" t="str">
        <f>IF(A48=FALSE,"",INDEX(Rates!$Z$5:$Z$367,MATCH(EB48,colchoice,0)))</f>
        <v/>
      </c>
      <c r="AQ48" s="238" t="str">
        <f t="shared" si="439"/>
        <v/>
      </c>
      <c r="AR48" s="238" t="str">
        <f t="shared" si="440"/>
        <v/>
      </c>
      <c r="AS48" s="238" t="str">
        <f t="shared" si="441"/>
        <v/>
      </c>
      <c r="AT48" s="238" t="str">
        <f t="shared" si="442"/>
        <v/>
      </c>
      <c r="AU48" s="238" t="str">
        <f t="shared" si="443"/>
        <v/>
      </c>
      <c r="AV48" s="238" t="str">
        <f t="shared" si="429"/>
        <v/>
      </c>
      <c r="AW48" s="238" t="str">
        <f t="shared" si="444"/>
        <v/>
      </c>
      <c r="AX48" s="238" t="str">
        <f t="shared" si="445"/>
        <v/>
      </c>
      <c r="AY48" s="238" t="str">
        <f t="shared" si="446"/>
        <v/>
      </c>
      <c r="AZ48" s="238" t="str">
        <f t="shared" si="447"/>
        <v/>
      </c>
      <c r="BA48" s="238" t="str">
        <f t="shared" si="448"/>
        <v/>
      </c>
      <c r="BB48" s="552" t="str">
        <f t="shared" si="449"/>
        <v/>
      </c>
      <c r="BC48" s="347" t="str">
        <f t="shared" si="450"/>
        <v/>
      </c>
      <c r="BD48" s="239" t="str">
        <f t="shared" si="430"/>
        <v/>
      </c>
      <c r="BE48" s="239" t="str">
        <f>IF(A48=FALSE,"",IF(ALLTHESAME=TRUE,IF(DF48&lt;&gt;$BC$7,0,INDEX(DD48:DZ48,1,MATCH(Structure!$D$12,$DD$14:$DZ$14,0))),IF(EC48&lt;&gt;$BC$7,0,INDEX(EA48:EZ48,1,MATCH(Structure!$D$12,$EA$14:$EZ$14,0)))))</f>
        <v/>
      </c>
      <c r="BF48" s="239" t="str">
        <f>IF(A48=FALSE,"",IF(ALLTHESAME=TRUE,IF(FC48&lt;&gt;$BC$7,0,INDEX(FA48:FZ48,1,MATCH(Structure!$D$12,$FA$14:$FZ$14,0))),IF(GC48&lt;&gt;$BC$7,0,INDEX(GA48:GZ48,1,MATCH(Structure!$D$12,$GA$14:$GZ$14,0)))))</f>
        <v/>
      </c>
      <c r="BG48" s="239" t="str">
        <f>IF(A48=FALSE,"",IF(ALLTHESAME=TRUE,IF(VC48&lt;&gt;$BC$7,0,INDEX(VA48:VZ48,1,MATCH(Structure!$D$12,$VA$14:$VZ$14,0))),IF(VC48&lt;&gt;$BC$7,0,INDEX(VA48:VZ48,1,MATCH(Structure!$D$12,$VA$14:$VZ$14,0)))))</f>
        <v/>
      </c>
      <c r="BH48" s="239" t="str">
        <f>IF(A48=FALSE,"",IF(ALLTHESAME=TRUE,IF(WC48&lt;&gt;$BC$7,0,INDEX(WA48:WY48,1,MATCH(Structure!$D$12,$WA$14:$WZ$14,0))),IF(WC48&lt;&gt;$BC$7,0,INDEX(WA48:WZ48,1,MATCH(Structure!$D$12,$WA$14:$WZ$14,0)))))</f>
        <v/>
      </c>
      <c r="BI48" s="763" t="str">
        <f>IF(A48=FALSE,"",IF(ALLTHESAME=TRUE,IF(HC48&lt;&gt;$BC$7,0,INDEX(HA48:HZ48,1,MATCH(Structure!$D$12,$HA$14:$HZ$14,0)))+TK48,IF(IC48&lt;&gt;$BC$7,0,INDEX(IA48:IZ48,1,MATCH(Structure!$D$12,$IA$14:$IZ$14,0)))+TK48))</f>
        <v/>
      </c>
      <c r="BJ48" s="239" t="str">
        <f>IF(A48=FALSE,"",IF(ALLTHESAME=TRUE,IF(JC48&lt;&gt;$BC$7,0,INDEX(JA48:JZ48,1,MATCH(Structure!$D$12,$JA$14:$JZ$14,0))),IF(KC48&lt;&gt;$BC$7,0,INDEX(KA48:KZ48,1,MATCH(Structure!$D$12,$KA$14:$KZ$14,0)))))</f>
        <v/>
      </c>
      <c r="BK48" s="763" t="str">
        <f>IF(A48=FALSE,"",IF(ALLTHESAME=TRUE,IF(LC48&lt;&gt;$BC$7,0,INDEX(LA48:LZ48,1,MATCH(Structure!$D$12,$LA$14:$LZ$14,0)))+UK48,IF(MC48&lt;&gt;$BC$7,0,INDEX(MA48:MZ48,1,MATCH(Structure!$D$12,$MA$14:$MZ$14,0)))+UK48))</f>
        <v/>
      </c>
      <c r="BL48" s="239" t="str">
        <f>IF(A48=FALSE,"",IF(ALLTHESAME=TRUE,IF(NC48&lt;&gt;$BC$7,0,INDEX(NA48:NZ48,1,MATCH(Structure!$D$12,$NA$14:$NZ$14,0))),IF(OC48&lt;&gt;$BC$7,0,INDEX(OA48:OZ48,1,MATCH(Structure!$D$12,$OA$14:$OZ$14,0)))))</f>
        <v/>
      </c>
      <c r="BM48" s="239" t="str">
        <f>IF(A48=FALSE,"",IF(ALLTHESAME=TRUE,IF(PC48&lt;&gt;$BC$7,0,INDEX(PA48:PZ48,1,MATCH(Structure!$D$12,$PA$14:$PZ$14,0))),IF(QC48&lt;&gt;$BC$7,0,INDEX(QA48:QZ48,1,MATCH(Structure!$D$12,$QA$14:$QZ$14,0)))))</f>
        <v/>
      </c>
      <c r="BN48" s="341" t="str">
        <f>IF(A48=FALSE,"",IF(ALLTHESAME=TRUE,IF(RC48&lt;&gt;$BC$7,0,INDEX(RA48:RZ48,1,MATCH(Structure!$D$12,$RA$14:$RZ$14,0))),IF(SC48&lt;&gt;$BC$7,0,INDEX(SA48:TA48,1,MATCH(Structure!$D$12,$SA$14:$TA$14,0)))))</f>
        <v/>
      </c>
      <c r="BO48" s="507" t="str">
        <f t="shared" si="451"/>
        <v/>
      </c>
      <c r="BP48" s="239" t="str">
        <f t="shared" si="452"/>
        <v/>
      </c>
      <c r="BQ48" s="239" t="str">
        <f>IF(A48=FALSE,"",IF(ALLTHESAME=TRUE,IF(DF48&lt;&gt;$BO$7,0,INDEX(DD48:DZ48,1,MATCH(Structure!$D$12,$DD$14:$DZ$14,0))),IF(EC48&lt;&gt;$BO$7,0,INDEX(EA48:EZ48,1,MATCH(Structure!$D$12,$EA$14:$EZ$14,0)))))</f>
        <v/>
      </c>
      <c r="BR48" s="239" t="str">
        <f>IF(A48=FALSE,"",IF(ALLTHESAME=TRUE,IF(FC48&lt;&gt;$BO$7,0,INDEX(FA48:FZ48,1,MATCH(Structure!$D$12,$FA$14:$FZ$14,0))),IF(GC48&lt;&gt;$BO$7,0,INDEX(GA48:GZ48,1,MATCH(Structure!$D$12,$GA$14:$GZ$14,0)))))</f>
        <v/>
      </c>
      <c r="BS48" s="239" t="str">
        <f>IF(A48=FALSE,"",IF(ALLTHESAME=TRUE,IF(HC48&lt;&gt;$BO$7,0,INDEX(HA48:HZ48,1,MATCH(Structure!$D$12,$HA$14:$HZ$14,0))),IF(IC48&lt;&gt;$BO$7,0,INDEX(IA48:IZ48,1,MATCH(Structure!$D$12,$IA$14:$IZ$14,0)))))</f>
        <v/>
      </c>
      <c r="BT48" s="239" t="str">
        <f>IF(A48=FALSE,"",IF(ALLTHESAME=TRUE,IF(JC48&lt;&gt;$BO$7,0,INDEX(JA48:JZ48,1,MATCH(Structure!$D$12,$JA$14:$JZ$14,0))),IF(KC48&lt;&gt;$BO$7,0,INDEX(KA48:KZ48,1,MATCH(Structure!$D$12,$KA$14:$KZ$14,0)))))</f>
        <v/>
      </c>
      <c r="BU48" s="239" t="str">
        <f>IF(A48=FALSE,"",IF(ALLTHESAME=TRUE,IF(LC48&lt;&gt;$BO$7,0,INDEX(LA48:LZ48,1,MATCH(Structure!$D$12,$LA$14:$LZ$14,0))),IF(MC48&lt;&gt;$BO$7,0,INDEX(MA48:MZ48,1,MATCH(Structure!$D$12,$MA$14:$MZ$14,0)))))</f>
        <v/>
      </c>
      <c r="BV48" s="239" t="str">
        <f>IF(A48=FALSE,"",IF(ALLTHESAME=TRUE,IF(NC48&lt;&gt;$BO$7,0,INDEX(NA48:NZ48,1,MATCH(Structure!$D$12,$NA$14:$NZ$14,0))),IF(OC48&lt;&gt;$BO$7,0,INDEX(OA48:OZ48,1,MATCH(Structure!$D$12,$OA$14:$OZ$14,0)))))</f>
        <v/>
      </c>
      <c r="BW48" s="239" t="str">
        <f>IF(A48=FALSE,"",IF(ALLTHESAME=TRUE,IF(PC48&lt;&gt;$BO$7,0,INDEX(PA48:PZ48,1,MATCH(Structure!$D$12,$PA$14:$PZ$14,0))),IF(QC48&lt;&gt;$BO$7,0,INDEX(QA48:QZ48,1,MATCH(Structure!$D$12,$QA$14:$QZ$14,0)))))</f>
        <v/>
      </c>
      <c r="BX48" s="341" t="str">
        <f>IF(A48=FALSE,"",IF(ALLTHESAME=TRUE,IF(RC48&lt;&gt;$BO$7,0,INDEX(RA48:RZ48,1,MATCH(Structure!$D$12,$RA$14:$RZ$14,0))),IF(SC48&lt;&gt;$BO$7,0,INDEX(SA48:TA48,1,MATCH(Structure!$D$12,$SA$14:$TA$14,0)))))</f>
        <v/>
      </c>
      <c r="BY48" s="347" t="str">
        <f t="shared" si="453"/>
        <v/>
      </c>
      <c r="BZ48" s="507" t="str">
        <f t="shared" si="454"/>
        <v/>
      </c>
      <c r="CA48" s="239" t="str">
        <f t="shared" si="455"/>
        <v/>
      </c>
      <c r="CB48" s="239" t="str">
        <f>IF(A48=FALSE,"",IF(ALLTHESAME=TRUE,INDEX(DD48:DZ48,MATCH(DF48,DF48:DF153,0),MATCH(Structure!$D$17,$DD$14:$DZ$14,0)),INDEX(EA48:EZ48,MATCH(EC48,EC48:EC153,0),MATCH(Structure!$D$17,$EA$14:$EZ$14,0))))</f>
        <v/>
      </c>
      <c r="CC48" s="239" t="str">
        <f>IF(A48=FALSE,"",IF(ALLTHESAME=TRUE,INDEX(FA48:FZ48,MATCH(FC48,FC48:FC153,0),MATCH(Structure!$D$17,$FA$14:$FZ$14,0)),INDEX(GA48:GZ48,MATCH(GC48,GC48:GC153,0),MATCH(Structure!$D$17,$GA$14:$GZ$14,0))))</f>
        <v/>
      </c>
      <c r="CD48" s="239" t="str">
        <f>IF(A48=FALSE,"",IF(ALLTHESAME=TRUE,INDEX(HA48:HZ48,MATCH(HC48,HC48:HC153,0),MATCH(Structure!$D$17,$HA$14:$HZ$14,0)),INDEX(IA48:IZ48,MATCH(IC48,IC48:IC153,0),MATCH(Structure!$D$17,$IA$14:$IZ$14,0))))</f>
        <v/>
      </c>
      <c r="CE48" s="239" t="str">
        <f>IF(A48=FALSE,"",IF(ALLTHESAME=TRUE,INDEX(JA48:JZ48,MATCH(JC48,JC48:JC153,0),MATCH(Structure!$D$17,$JA$14:$JZ$14,0)),INDEX(KA48:KZ48,MATCH(KC48,KC48:KC153,0),MATCH(Structure!$D$17,$KA$14:$KZ$14,0))))</f>
        <v/>
      </c>
      <c r="CF48" s="239" t="str">
        <f>IF(A48=FALSE,"",IF(ALLTHESAME=TRUE,INDEX(LA48:LZ48,MATCH(LC48,LC48:LC153,0),MATCH(Structure!$D$17,$LA$14:$LZ$14,0)),INDEX(MA48:MZ48,MATCH(MC48,MC48:MC153,0),MATCH(Structure!$D$17,$MA$14:$MZ$14,0))))</f>
        <v/>
      </c>
      <c r="CG48" s="239" t="str">
        <f>IF(A48=FALSE,"",IF(ALLTHESAME=TRUE,INDEX(NA48:NZ48,MATCH(NC48,NC48:NC153,0),MATCH(Structure!$D$17,$NA$14:$NZ$14,0)),INDEX(OA48:OZ48,MATCH(OC48,OC48:OC153,0),MATCH(Structure!$D$17,$OA$14:$OZ$14,0))))</f>
        <v/>
      </c>
      <c r="CH48" s="239" t="str">
        <f>IF(A48=FALSE,"",IF(ALLTHESAME=TRUE,INDEX(PA48:PZ48,MATCH(PC48,PC48:PC153,0),MATCH(Structure!$D$17,$PA$14:$PZ$14,0)),INDEX(QA48:QZ48,MATCH(QC48,QC48:QC153,0),MATCH(Structure!$D$17,$QA$14:$QZ$14,0))))</f>
        <v/>
      </c>
      <c r="CI48" s="341" t="str">
        <f>IF(A48=FALSE,"",IF(ALLTHESAME=TRUE,INDEX(RA48:RZ48,MATCH(RC48,RC48:RC153,0),MATCH(Structure!$D$17,$RA$14:$RZ$14,0)),INDEX(SA48:TC48,MATCH(SC48,SC48:SC153,0),MATCH(Structure!$D$17,$SA$14:$TC$14,0))))</f>
        <v/>
      </c>
      <c r="CJ48" s="347"/>
      <c r="CK48" s="239" t="str">
        <f t="shared" si="456"/>
        <v/>
      </c>
      <c r="CL48" s="239" t="str">
        <f>IF(A48=FALSE,"",IF(ALLTHESAME=TRUE,INDEX(DD48:DZ48,MATCH(DF48,DF48:DF153,0),MATCH(Structure!$D$22,$DD$14:$DZ$14,0)),INDEX(EA48:EZ48,MATCH(EC48,EC48:EC153,0),MATCH(Structure!$D$22,$EA$14:$EZ$14,0))))</f>
        <v/>
      </c>
      <c r="CM48" s="239" t="str">
        <f>IF(A48=FALSE,"",IF(ALLTHESAME=TRUE,INDEX(FA48:FZ48,MATCH(FC48,FC48:FC153,0),MATCH(Structure!$D$22,$FA$14:$FZ$14,0)),INDEX(GA48:GZ48,MATCH(GC48,GC48:GC153,0),MATCH(Structure!$D$22,$GA$14:$GZ$14,0))))</f>
        <v/>
      </c>
      <c r="CN48" s="239" t="str">
        <f>IF(A48=FALSE,"",IF(ALLTHESAME=TRUE,INDEX(HA48:HZ48,MATCH(HC48,HC48:HC153,0),MATCH(Structure!$D$22,$HA$14:$HZ$14,0)),INDEX(IA48:IZ48,MATCH(IC48,IC48:IC153,0),MATCH(Structure!$D$22,$IA$14:$IZ$14,0))))</f>
        <v/>
      </c>
      <c r="CO48" s="239" t="str">
        <f>IF(A48=FALSE,"",IF(ALLTHESAME=TRUE,INDEX(JA48:JZ48,MATCH(JC48,JC48:JC153,0),MATCH(Structure!$D$22,$JA$14:$JZ$14,0)),INDEX(KA48:KZ48,MATCH(KC48,KC48:KC153,0),MATCH(Structure!$D$22,$KA$14:$KZ$14,0))))</f>
        <v/>
      </c>
      <c r="CP48" s="239" t="str">
        <f>IF(A48=FALSE,"",IF(ALLTHESAME=TRUE,INDEX(LA48:LZ48,MATCH(LC48,LC48:LC153,0),MATCH(Structure!$D$22,$LA$14:$LZ$14,0)),INDEX(MA48:MZ48,MATCH(MC48,MC48:MC153,0),MATCH(Structure!$D$22,$MA$14:$MZ$14,0))))</f>
        <v/>
      </c>
      <c r="CQ48" s="239" t="str">
        <f>IF(A48=FALSE,"",IF(ALLTHESAME=TRUE,INDEX(NA48:NZ48,MATCH(NC48,NC48:NC153,0),MATCH(Structure!$D$22,$NA$14:$NZ$14,0)),INDEX(OA48:OZ48,MATCH(OC48,OC48:OC153,0),MATCH(Structure!$D$22,$OA$14:$OZ$14,0))))</f>
        <v/>
      </c>
      <c r="CR48" s="239" t="str">
        <f>IF(A48=FALSE,"",IF(ALLTHESAME=TRUE,INDEX(PA48:PZ48,MATCH(PC48,PC48:PC153,0),MATCH(Structure!$D$22,$PA$14:$PZ$14,0)),INDEX(QA48:QZ48,MATCH(QC48,QC48:QC153,0),MATCH(Structure!$D$22,$QA$14:$QZ$14,0))))</f>
        <v/>
      </c>
      <c r="CS48" s="341" t="str">
        <f>IF(A48=FALSE,"",IF(ALLTHESAME=TRUE,INDEX(RA48:RZ48,MATCH(RC48,RC48:RC153,0),MATCH(Structure!$D$22,$RA$14:$RZ$14,0)),INDEX(SA48:TC48,MATCH(SC48,SC48:SC153,0),MATCH(Structure!$D$22,$SA$14:$TC$14,0))))</f>
        <v/>
      </c>
      <c r="CT48" s="347"/>
      <c r="CU48" s="239" t="str">
        <f t="shared" si="457"/>
        <v/>
      </c>
      <c r="CV48" s="239" t="str">
        <f>IF(A48=FALSE,"",IF(ALLTHESAME=TRUE,INDEX(DD48:DZ48,MATCH(DF48,DF48:DF153,0),MATCH(Structure!$D$8,$DD$14:$DZ$14,0)),INDEX(EA48:EZ48,MATCH(EC48,EC48:EC153,0),MATCH(Structure!$D$8,$EA$14:$EZ$14,0))))</f>
        <v/>
      </c>
      <c r="CW48" s="239" t="str">
        <f>IF(A48=FALSE,"",IF(ALLTHESAME=TRUE,INDEX(FA48:FZ48,MATCH(FC48,FC48:FC153,0),MATCH(Structure!$D$8,$FA$14:$FZ$14,0)),INDEX(GA48:GZ48,MATCH(GC48,GC48:GC153,0),MATCH(Structure!$D$8,$GA$14:$GZ$14,0))))</f>
        <v/>
      </c>
      <c r="CX48" s="239" t="str">
        <f>IF(A48=FALSE,"",IF(ALLTHESAME=TRUE,INDEX(HA48:HZ48,MATCH(HC48,HC48:HC153,0),MATCH(Structure!$D$8,$HA$14:$HZ$14,0)),INDEX(IA48:IZ48,MATCH(IC48,IC48:IC153,0),MATCH(Structure!$D$8,$IA$14:$IZ$14,0))))</f>
        <v/>
      </c>
      <c r="CY48" s="239" t="str">
        <f>IF(A48=FALSE,"",IF(ALLTHESAME=TRUE,INDEX(JA48:JZ48,MATCH(JC48,JC48:JC153,0),MATCH(Structure!$D$8,$JA$14:$JZ$14,0)),INDEX(KA48:KZ48,MATCH(KC48,KC48:KC153,0),MATCH(Structure!$D$8,$KA$14:$KZ$14,0))))</f>
        <v/>
      </c>
      <c r="CZ48" s="239" t="str">
        <f>IF(A48=FALSE,"",IF(ALLTHESAME=TRUE,INDEX(LA48:LZ48,MATCH(LC48,LC48:LC153,0),MATCH(Structure!$D$8,$LA$14:$LZ$14,0)),INDEX(MA48:MZ48,MATCH(MC48,MC48:MC153,0),MATCH(Structure!$D$8,$MA$14:$MZ$14,0))))</f>
        <v/>
      </c>
      <c r="DA48" s="239" t="str">
        <f>IF(A48=FALSE,"",IF(ALLTHESAME=TRUE,INDEX(NA48:NZ48,MATCH(NC48,NC48:NC153,0),MATCH(Structure!$D$8,$NA$14:$NZ$14,0)),INDEX(OA48:OZ48,MATCH(OC48,OC48:OC153,0),MATCH(Structure!$D$8,$OA$14:$OZ$14,0))))</f>
        <v/>
      </c>
      <c r="DB48" s="239" t="str">
        <f>IF(A48=FALSE,"",IF(ALLTHESAME=TRUE,INDEX(PA48:PZ48,MATCH(PC48,PC48:PC153,0),MATCH(Structure!$D$8,$PA$14:$PZ$14,0)),INDEX(QA48:QZ48,MATCH(QC48,QC48:QC153,0),MATCH(Structure!$D$8,$QA$14:$QZ$14,0))))</f>
        <v/>
      </c>
      <c r="DC48" s="341" t="str">
        <f>IF(A48=FALSE,"",IF(ALLTHESAME=TRUE,INDEX(RA48:RZ48,MATCH(RC48,RC48:RC153,0),MATCH(Structure!$D$8,$RA$14:$RZ$14,0)),INDEX(SA48:TC48,MATCH(SC48,SC48:SC153,0),MATCH(Structure!$D$8,$SA$14:$TC$14,0))))</f>
        <v/>
      </c>
      <c r="DD48" s="492" t="str">
        <f>IF(A48=FALSE,"",Cotations!D48)</f>
        <v/>
      </c>
      <c r="DE48" s="492" t="str">
        <f>IF(A48=FALSE,"",IF(LISTES!$A$17=1,Cotations!AF48,Cotations!$AG$4))</f>
        <v/>
      </c>
      <c r="DF48" s="291" t="str">
        <f t="shared" si="458"/>
        <v/>
      </c>
      <c r="DG48" s="291" t="str">
        <f t="shared" si="459"/>
        <v/>
      </c>
      <c r="DH48" s="291"/>
      <c r="DI48" s="463"/>
      <c r="DJ48" s="463" t="str">
        <f t="shared" si="460"/>
        <v/>
      </c>
      <c r="DK48" s="522" t="str">
        <f>IF(A48=FALSE,"",IF(Cotations!$AH$4="monthly",DJ48/12*L48,DJ48/365*M48))</f>
        <v/>
      </c>
      <c r="DL48" s="489" t="str">
        <f>IF(A48=FALSE,"",Cotations!$AI$4)</f>
        <v/>
      </c>
      <c r="DM48" s="300" t="str">
        <f t="shared" si="461"/>
        <v/>
      </c>
      <c r="DN48" s="300" t="str">
        <f t="shared" si="462"/>
        <v/>
      </c>
      <c r="DO48" s="294" t="str">
        <f t="shared" si="463"/>
        <v/>
      </c>
      <c r="DP48" s="494" t="str">
        <f>IF(A48=FALSE,"",Cotations!$AJ$4)</f>
        <v/>
      </c>
      <c r="DQ48" s="494" t="str">
        <f>IF(A48=FALSE,"",Cotations!$AK$4)</f>
        <v/>
      </c>
      <c r="DR48" s="489" t="str">
        <f>IF(A48=FALSE,"",Cotations!$AL$4)</f>
        <v/>
      </c>
      <c r="DS48" s="494" t="str">
        <f>IF(A48=FALSE,"",IF(DP48="N/A",0,IF(INDEX(LISTES!$F$105:$F$109,MATCH(DP48,LISTES!$C$105:$C$109,0))="FIX",IF(INDEX(LISTES!$E$105:$E$109,MATCH(DP48,LISTES!$C$105:$C$109,0))=12,DQ48/12*L48,DQ48/365*M48),DR48*DO48)))</f>
        <v/>
      </c>
      <c r="DT48" s="294" t="str">
        <f t="shared" si="464"/>
        <v/>
      </c>
      <c r="DU48" s="294" t="str">
        <f>IF(A48=FALSE,"",DT48*Cotations!$AM$4)</f>
        <v/>
      </c>
      <c r="DV48" s="294" t="str">
        <f>IF(A48=FALSE,"",DT48*Cotations!$AN$4)</f>
        <v/>
      </c>
      <c r="DW48" s="465" t="str">
        <f t="shared" si="465"/>
        <v/>
      </c>
      <c r="DX48" s="919" t="str">
        <f>IF(A48=FALSE,"",((DJ48*TAXE)-(DJ48*TAXE*DL48))+IF(DP48="N/A",0,IF(INDEX(LISTES!$F$105:$F$109,MATCH(DP48,LISTES!$C$105:$C$109,0))="FIX",DQ48,DR48*DO48)))</f>
        <v/>
      </c>
      <c r="DY48" s="466"/>
      <c r="DZ48" s="466"/>
      <c r="EA48" s="492" t="str">
        <f>IF(A48=FALSE,"",Cotations!D48)</f>
        <v/>
      </c>
      <c r="EB48" s="494" t="str">
        <f>IF(A48=FALSE,"",IF(LISTES!$A$17=1,Cotations!AF48,Cotations!AG48))</f>
        <v/>
      </c>
      <c r="EC48" s="284" t="str">
        <f t="shared" si="466"/>
        <v/>
      </c>
      <c r="ED48" s="284" t="str">
        <f t="shared" si="467"/>
        <v/>
      </c>
      <c r="EE48" s="284"/>
      <c r="EF48" s="284"/>
      <c r="EG48" s="284" t="str">
        <f t="shared" si="468"/>
        <v/>
      </c>
      <c r="EH48" s="1365" t="str">
        <f t="shared" si="469"/>
        <v/>
      </c>
      <c r="EI48" s="1365" t="str">
        <f t="shared" si="470"/>
        <v/>
      </c>
      <c r="EJ48" s="515" t="str">
        <f>IF(A48=FALSE,"",IF(Cotations!AH48="monthly",EG48/12*L48,EG48/365*M48))</f>
        <v/>
      </c>
      <c r="EK48" s="1364" t="str">
        <f>IF(A48=FALSE,"",IF(Cotations!AH48="monthly",EI48/12*L48,EI48/365*M48))</f>
        <v/>
      </c>
      <c r="EL48" s="493" t="str">
        <f>IF(A48=FALSE,"",IF(Cotations!AI48="","",Cotations!AI48))</f>
        <v/>
      </c>
      <c r="EM48" s="284" t="str">
        <f t="shared" si="471"/>
        <v/>
      </c>
      <c r="EN48" s="284" t="str">
        <f t="shared" si="472"/>
        <v/>
      </c>
      <c r="EO48" s="1365" t="str">
        <f t="shared" si="432"/>
        <v/>
      </c>
      <c r="EP48" s="284" t="str">
        <f t="shared" si="473"/>
        <v/>
      </c>
      <c r="EQ48" s="515" t="str">
        <f>IF(A48=FALSE,"",Cotations!AJ48)</f>
        <v/>
      </c>
      <c r="ER48" s="515" t="str">
        <f>IF(A48=FALSE,"",IF(Cotations!AK48="","",Cotations!AK48))</f>
        <v/>
      </c>
      <c r="ES48" s="493" t="str">
        <f>IF(A48=FALSE,"",Cotations!AL48)</f>
        <v/>
      </c>
      <c r="ET48" s="515" t="str">
        <f>IF(A48=FALSE,"",IF(EQ48="N/A",0,IF(INDEX(LISTES!$F$105:$F$109,MATCH(EQ48,LISTES!$C$105:$C$109,0))="FIX",IF(INDEX(LISTES!$E$105:$E$109,MATCH(EQ48,LISTES!$C$105:$C$109,0))=12,ER48/12*L48,ER48/365*M48),ES48*EP48)))</f>
        <v/>
      </c>
      <c r="EU48" s="294" t="str">
        <f t="shared" si="474"/>
        <v/>
      </c>
      <c r="EV48" s="494" t="str">
        <f>IF(A48=FALSE,"",EU48*Cotations!AM48)</f>
        <v/>
      </c>
      <c r="EW48" s="494" t="str">
        <f>IF(A48=FALSE,"",EU48*Cotations!AN48)</f>
        <v/>
      </c>
      <c r="EX48" s="334" t="str">
        <f t="shared" si="475"/>
        <v/>
      </c>
      <c r="EY48" s="919" t="str">
        <f>IF(A48=FALSE,"",((EG48*TAXE)-(EG48*TAXE*EL48)+EH48)+IF(EQ48="N/A",0,IF(INDEX(LISTES!$F$105:$F$109,MATCH(EQ48,LISTES!$C$105:$C$109,0))="FIX",ER48,ES48*EP48)))</f>
        <v/>
      </c>
      <c r="FA48" s="492" t="str">
        <f>IF(A48=FALSE,"",Cotations!D48)</f>
        <v/>
      </c>
      <c r="FB48" s="519" t="str">
        <f>IF(A48=FALSE,"",IF(LISTES!$A$17=1,Cotations!AO48,Cotations!$AP$4))</f>
        <v/>
      </c>
      <c r="FC48" s="291" t="str">
        <f t="shared" si="476"/>
        <v/>
      </c>
      <c r="FD48" s="291" t="str">
        <f t="shared" si="477"/>
        <v/>
      </c>
      <c r="FE48" s="291"/>
      <c r="FF48" s="463"/>
      <c r="FG48" s="463" t="str">
        <f t="shared" si="478"/>
        <v/>
      </c>
      <c r="FH48" s="522" t="str">
        <f>IF(A48=FALSE,"",IF(Cotations!$AQ$4="monthly",FG48/12*L48,FG48/365*M48))</f>
        <v/>
      </c>
      <c r="FI48" s="453" t="str">
        <f>IF(A48=FALSE,"",Cotations!$AR$4)</f>
        <v/>
      </c>
      <c r="FJ48" s="300" t="str">
        <f t="shared" si="479"/>
        <v/>
      </c>
      <c r="FK48" s="300" t="str">
        <f t="shared" si="480"/>
        <v/>
      </c>
      <c r="FL48" s="294" t="str">
        <f t="shared" si="481"/>
        <v/>
      </c>
      <c r="FM48" s="494" t="str">
        <f>IF(A48=FALSE,"",Cotations!$AS$4)</f>
        <v/>
      </c>
      <c r="FN48" s="494" t="str">
        <f>IF(A48=FALSE,"",Cotations!$AT$4)</f>
        <v/>
      </c>
      <c r="FO48" s="489" t="str">
        <f>IF(A48=FALSE,"",Cotations!$AU$4)</f>
        <v/>
      </c>
      <c r="FP48" s="494" t="str">
        <f>IF(A48=FALSE,"",IF(FM48="N/A",0,IF(INDEX(LISTES!$F$105:$F$109,MATCH(FM48,LISTES!$C$105:$C$109,0))="FIX",IF(INDEX(LISTES!$E$105:$E$109,MATCH(FM48,LISTES!$C$105:$C$109,0))=12,FN48/12*L48,FN48/365*M48),FO48*FL48)))</f>
        <v/>
      </c>
      <c r="FQ48" s="294" t="str">
        <f t="shared" si="482"/>
        <v/>
      </c>
      <c r="FR48" s="494" t="str">
        <f>IF(A48=FALSE,"",FQ48*Cotations!$AV$4)</f>
        <v/>
      </c>
      <c r="FS48" s="494" t="str">
        <f>IF(A48=FALSE,"",FQ48*Cotations!$AW$4)</f>
        <v/>
      </c>
      <c r="FT48" s="465" t="str">
        <f t="shared" si="483"/>
        <v/>
      </c>
      <c r="FU48" s="919" t="str">
        <f>IF(A48=FALSE,"",((FG48*TAXE)-(FG48*TAXE*FI48))+IF(FM48="N/A",0,IF(INDEX(LISTES!$F$105:$F$109,MATCH(FM48,LISTES!$C$105:$C$109,0))="FIX",FN48,FO48*FL48)))</f>
        <v/>
      </c>
      <c r="FV48" s="478"/>
      <c r="FW48" s="478"/>
      <c r="FX48" s="478"/>
      <c r="FY48" s="478"/>
      <c r="FZ48" s="478"/>
      <c r="GA48" s="492" t="str">
        <f>IF(A48=FALSE,"",Cotations!D48)</f>
        <v/>
      </c>
      <c r="GB48" s="494" t="str">
        <f>IF(A48=FALSE,"",IF(LISTES!$A$17=1,Cotations!AO48,Cotations!AP48))</f>
        <v/>
      </c>
      <c r="GC48" s="284" t="str">
        <f t="shared" si="484"/>
        <v/>
      </c>
      <c r="GD48" s="515" t="str">
        <f>IF(A48=FALSE,"",IF(Detail!AM48="","",Detail!AM48))</f>
        <v/>
      </c>
      <c r="GE48" s="284"/>
      <c r="GF48" s="284"/>
      <c r="GG48" s="284" t="str">
        <f t="shared" si="485"/>
        <v/>
      </c>
      <c r="GH48" s="515" t="str">
        <f>IF(A48=FALSE,"",IF(Cotations!AQ48="monthly",GG48/12*L48,GG48/365*M48))</f>
        <v/>
      </c>
      <c r="GI48" s="493" t="str">
        <f>IF(A48=FALSE,"",IF(Cotations!AR48="","",Cotations!AR48))</f>
        <v/>
      </c>
      <c r="GJ48" s="284" t="str">
        <f t="shared" si="486"/>
        <v/>
      </c>
      <c r="GK48" s="284" t="str">
        <f t="shared" si="487"/>
        <v/>
      </c>
      <c r="GL48" s="284" t="str">
        <f t="shared" si="488"/>
        <v/>
      </c>
      <c r="GM48" s="515" t="str">
        <f>IF(A48=FALSE,"",Cotations!AS48)</f>
        <v/>
      </c>
      <c r="GN48" s="515" t="str">
        <f>IF(A48=FALSE,"",Cotations!AT48)</f>
        <v/>
      </c>
      <c r="GO48" s="493" t="str">
        <f>IF(A48=FALSE,"",Cotations!AU48)</f>
        <v/>
      </c>
      <c r="GP48" s="515" t="str">
        <f>IF(A48=FALSE,"",IF(GM48="N/A",0,IF(INDEX(LISTES!$F$105:$F$109,MATCH(GM48,LISTES!$C$105:$C$109,0))="FIX",IF(INDEX(LISTES!$E$105:$E$109,MATCH(GM48,LISTES!$C$105:$C$109,0))=12,GN48/12*L48,GN48/365*M48),GO48*GL48)))</f>
        <v/>
      </c>
      <c r="GQ48" s="294" t="str">
        <f t="shared" si="489"/>
        <v/>
      </c>
      <c r="GR48" s="494" t="str">
        <f>IF(A48=FALSE,"",GQ48*Cotations!AV48)</f>
        <v/>
      </c>
      <c r="GS48" s="494" t="str">
        <f>IF(A48=FALSE,"",GQ48*Cotations!AW48)</f>
        <v/>
      </c>
      <c r="GT48" s="334" t="str">
        <f t="shared" si="490"/>
        <v/>
      </c>
      <c r="GU48" s="919" t="str">
        <f>IF(A48=FALSE,"",((GG48*TAXE)-(GG48*TAXE*GI48))+IF(GM48="N/A",0,IF(INDEX(LISTES!$F$105:$F$109,MATCH(GM48,LISTES!$C$105:$C$109,0))="FIX",GN48,GO48*GL48)))</f>
        <v/>
      </c>
      <c r="GV48" s="478"/>
      <c r="GW48" s="466"/>
      <c r="GX48" s="466"/>
      <c r="GY48" s="466"/>
      <c r="GZ48" s="466"/>
      <c r="HA48" s="492" t="str">
        <f>IF(A48=FALSE,"",Cotations!D48)</f>
        <v/>
      </c>
      <c r="HB48" s="495" t="str">
        <f>IF(A48=FALSE,"",IF(LISTES!$A$17=1,Cotations!AX48,Cotations!$AY$4))</f>
        <v/>
      </c>
      <c r="HC48" s="291" t="str">
        <f t="shared" si="491"/>
        <v/>
      </c>
      <c r="HD48" s="291" t="str">
        <f t="shared" si="492"/>
        <v/>
      </c>
      <c r="HE48" s="456" t="str">
        <f t="shared" si="493"/>
        <v/>
      </c>
      <c r="HF48" s="496" t="str">
        <f>IF(A48=FALSE,"",IF(HA48="POEA",Cotations!BA48,IF(HA48="FIXE",Cotations!$BA$4,Cotations!$BC$4*Y48)))</f>
        <v/>
      </c>
      <c r="HG48" s="300" t="str">
        <f t="shared" si="494"/>
        <v/>
      </c>
      <c r="HH48" s="522" t="str">
        <f>IF(A48=FALSE,"",IF(Cotations!$AZ$4="monthly",HG48/12*L48,HG48/365*M48))</f>
        <v/>
      </c>
      <c r="HI48" s="489" t="str">
        <f>IF(A48=FALSE,"",Cotations!$BD$4)</f>
        <v/>
      </c>
      <c r="HJ48" s="300" t="str">
        <f t="shared" si="495"/>
        <v/>
      </c>
      <c r="HK48" s="300" t="str">
        <f t="shared" si="496"/>
        <v/>
      </c>
      <c r="HL48" s="294" t="str">
        <f t="shared" si="497"/>
        <v/>
      </c>
      <c r="HM48" s="494" t="str">
        <f>IF(A48=FALSE,"",Cotations!$BE$4)</f>
        <v/>
      </c>
      <c r="HN48" s="522" t="str">
        <f>IF(A48=FALSE,"",Cotations!$BF$4)</f>
        <v/>
      </c>
      <c r="HO48" s="489" t="str">
        <f>IF(A48=FALSE,"",Cotations!$BG$4)</f>
        <v/>
      </c>
      <c r="HP48" s="494" t="str">
        <f>IF(A48=FALSE,"",IF(HM48="N/A",0,IF(INDEX(LISTES!$F$105:$F$109,MATCH(HM48,LISTES!$C$105:$C$109,0))="FIX",IF(INDEX(LISTES!$E$105:$E$109,MATCH(HM48,LISTES!$C$105:$C$109,0))=12,HN48/12*L48,HN48/365*M48),HO48*HL48)))</f>
        <v/>
      </c>
      <c r="HQ48" s="294" t="str">
        <f t="shared" si="498"/>
        <v/>
      </c>
      <c r="HR48" s="494" t="str">
        <f>IF(A48=FALSE,"",HQ48*Cotations!$BH$4)</f>
        <v/>
      </c>
      <c r="HS48" s="494" t="str">
        <f>IF(A48=FALSE,"",HQ48*Cotations!$BI$4)</f>
        <v/>
      </c>
      <c r="HT48" s="294" t="str">
        <f t="shared" si="499"/>
        <v/>
      </c>
      <c r="HU48" s="919" t="str">
        <f>IF(A48=FALSE,"",((HG48*TAXE)-(HG48*TAXE*HI48))+IF(HM48="N/A",0,IF(INDEX(LISTES!$F$105:$F$109,MATCH(HM48,LISTES!$C$105:$C$109,0))="FIX",HN48,HO48*HL48)))</f>
        <v/>
      </c>
      <c r="IA48" s="492" t="str">
        <f>IF(A48=FALSE,"",Cotations!D48)</f>
        <v/>
      </c>
      <c r="IB48" s="491" t="str">
        <f>IF(A48=FALSE,"",IF(LISTES!$A$17=1,Cotations!AX48,Cotations!AY48))</f>
        <v/>
      </c>
      <c r="IC48" s="285" t="str">
        <f t="shared" si="500"/>
        <v/>
      </c>
      <c r="ID48" s="300" t="str">
        <f>IF(A48=FALSE,"",IF(LISTES!$A$17=3,Detail!AU48,lig1_Formula_PREVOY))</f>
        <v/>
      </c>
      <c r="IE48" s="461" t="str">
        <f t="shared" si="501"/>
        <v/>
      </c>
      <c r="IF48" s="490" t="str">
        <f>IF(A48=FALSE,"",IF(IA48="POEA",Cotations!BA48,IF(HA48="FIXE",Cotations!BB48,IF(Cotations!BC48*Y48&lt;50000,Z48,Cotations!BC48*Y48))))</f>
        <v/>
      </c>
      <c r="IG48" s="300" t="str">
        <f t="shared" si="502"/>
        <v/>
      </c>
      <c r="IH48" s="522" t="str">
        <f>IF(A48=FALSE,"",IF(Cotations!AZ48="monthly",IG48/12*L48,IG48/365*M48))</f>
        <v/>
      </c>
      <c r="II48" s="489" t="str">
        <f>IF(A48=FALSE,"",IF(Cotations!BD48="","",Cotations!BD48))</f>
        <v/>
      </c>
      <c r="IJ48" s="300" t="str">
        <f t="shared" si="503"/>
        <v/>
      </c>
      <c r="IK48" s="300" t="str">
        <f t="shared" si="504"/>
        <v/>
      </c>
      <c r="IL48" s="919" t="str">
        <f t="shared" si="505"/>
        <v/>
      </c>
      <c r="IM48" s="517" t="str">
        <f>IF(A48=FALSE,"",Cotations!BE48)</f>
        <v/>
      </c>
      <c r="IN48" s="517" t="str">
        <f>IF(A48=FALSE,"",Cotations!BF48)</f>
        <v/>
      </c>
      <c r="IO48" s="493" t="str">
        <f>IF(A48=FALSE,"",Cotations!BG48)</f>
        <v/>
      </c>
      <c r="IP48" s="517" t="str">
        <f>IF(A48=FALSE,"",IF(IM48="N/A",0,IF(INDEX(LISTES!$F$105:$F$109,MATCH(IM48,LISTES!$C$105:$C$109,0))="FIX",IF(INDEX(LISTES!$E$105:$E$109,MATCH(IM48,LISTES!$C$105:$C$109,0))=12,IN48/12*L48,IN48/365*M48),IO48*IL48)))</f>
        <v/>
      </c>
      <c r="IQ48" s="294" t="str">
        <f t="shared" si="506"/>
        <v/>
      </c>
      <c r="IR48" s="494" t="str">
        <f>IF(A48=FALSE,"",IQ48*Cotations!BH48)</f>
        <v/>
      </c>
      <c r="IS48" s="494" t="str">
        <f>IF(A48=FALSE,"",IQ48*Cotations!BI48)</f>
        <v/>
      </c>
      <c r="IT48" s="338" t="str">
        <f t="shared" si="507"/>
        <v/>
      </c>
      <c r="IU48" s="919" t="str">
        <f>IF(A48=FALSE,"",((IG48*TAXE)-(IG48*TAXE*II48))+IF(IM48="N/A",0,IF(INDEX(LISTES!$F$105:$F$109,MATCH(IM48,LISTES!$C$105:$C$109,0))="FIX",IN48,IO48*IL48)))</f>
        <v/>
      </c>
      <c r="JA48" s="492" t="str">
        <f>IF(A48=FALSE,"",Cotations!D48)</f>
        <v/>
      </c>
      <c r="JB48" s="495" t="str">
        <f>IF(A48=FALSE,"",IF(LISTES!$A$17=1,Cotations!BJ48,Cotations!$BK$4))</f>
        <v/>
      </c>
      <c r="JC48" s="291" t="str">
        <f t="shared" si="508"/>
        <v/>
      </c>
      <c r="JD48" s="291" t="str">
        <f t="shared" si="509"/>
        <v/>
      </c>
      <c r="JE48" s="456" t="str">
        <f t="shared" si="510"/>
        <v/>
      </c>
      <c r="JF48" s="496" t="str">
        <f>IF(A48=FALSE,"",IF(JA48="POEA",Cotations!BM48,IF(JA48="FIXE",Cotations!$BM$4,Cotations!$BO$4*Y48)))</f>
        <v/>
      </c>
      <c r="JG48" s="300" t="str">
        <f t="shared" si="511"/>
        <v/>
      </c>
      <c r="JH48" s="522" t="str">
        <f>IF(A48=FALSE,"",IF(Cotations!$BL$4="monthly",JG48/12*L48,JG48/365*M48))</f>
        <v/>
      </c>
      <c r="JI48" s="489" t="str">
        <f>IF(A48=FALSE,"",Cotations!$BP$4)</f>
        <v/>
      </c>
      <c r="JJ48" s="300" t="str">
        <f t="shared" si="512"/>
        <v/>
      </c>
      <c r="JK48" s="300" t="str">
        <f t="shared" si="513"/>
        <v/>
      </c>
      <c r="JL48" s="294" t="str">
        <f t="shared" si="514"/>
        <v/>
      </c>
      <c r="JM48" s="494" t="str">
        <f>IF(A48=FALSE,"",Cotations!$BQ$4)</f>
        <v/>
      </c>
      <c r="JN48" s="522" t="str">
        <f>IF(A48=FALSE,"",Cotations!$BR$4)</f>
        <v/>
      </c>
      <c r="JO48" s="489" t="str">
        <f>IF(A48=FALSE,"",Cotations!$BS$4)</f>
        <v/>
      </c>
      <c r="JP48" s="494" t="str">
        <f>IF(A48=FALSE,"",IF(JM48="N/A",0,IF(INDEX(LISTES!$F$105:$F$109,MATCH(JM48,LISTES!$C$105:$C$109,0))="FIX",IF(INDEX(LISTES!$E$105:$E$109,MATCH(JM48,LISTES!$C$105:$C$109,0))=12,JN48/12*L48,JN48/365*M48),JO48*JL48)))</f>
        <v/>
      </c>
      <c r="JQ48" s="294" t="str">
        <f t="shared" si="515"/>
        <v/>
      </c>
      <c r="JR48" s="494" t="str">
        <f>IF(A48=FALSE,"",JQ48*Cotations!$BT$4)</f>
        <v/>
      </c>
      <c r="JS48" s="494" t="str">
        <f>IF(A48=FALSE,"",JQ48*Cotations!$BU$4)</f>
        <v/>
      </c>
      <c r="JT48" s="294" t="str">
        <f t="shared" si="516"/>
        <v/>
      </c>
      <c r="JU48" s="919" t="str">
        <f>IF(A48=FALSE,"",((JG48*TAXE)-(JG48*TAXE*JI48))+IF(JM48="N/A",0,IF(INDEX(LISTES!$F$105:$F$109,MATCH(JM48,LISTES!$C$105:$C$109,0))="FIX",JN48,JO48*JL48)))</f>
        <v/>
      </c>
      <c r="KA48" s="492" t="str">
        <f>IF(A48=FALSE,"",Cotations!D48)</f>
        <v/>
      </c>
      <c r="KB48" s="491" t="str">
        <f>IF(A48=FALSE,"",IF(LISTES!$A$17=1,Cotations!BJ48,Cotations!BK48))</f>
        <v/>
      </c>
      <c r="KC48" s="285" t="str">
        <f t="shared" si="517"/>
        <v/>
      </c>
      <c r="KD48" s="300"/>
      <c r="KE48" s="461" t="str">
        <f t="shared" si="518"/>
        <v/>
      </c>
      <c r="KF48" s="490" t="str">
        <f>IF(A48=FALSE,"",IF(KA48="POEA",Cotations!BM48,IF(KA48="FIXE",Cotations!BN48,IF(Cotations!BO48*Y48&lt;50000,Z48,Cotations!BO48*Y48))))</f>
        <v/>
      </c>
      <c r="KG48" s="300" t="str">
        <f t="shared" si="519"/>
        <v/>
      </c>
      <c r="KH48" s="522" t="str">
        <f>IF(A48=FALSE,"",IF(Cotations!BL48="monthly",KG48/12*L48,KG48/365*M48))</f>
        <v/>
      </c>
      <c r="KI48" s="489" t="str">
        <f>IF(A48=FALSE,"",IF(Cotations!BP48="","",Cotations!BP48))</f>
        <v/>
      </c>
      <c r="KJ48" s="300" t="str">
        <f t="shared" si="520"/>
        <v/>
      </c>
      <c r="KK48" s="300" t="str">
        <f t="shared" si="521"/>
        <v/>
      </c>
      <c r="KL48" s="919" t="str">
        <f t="shared" si="522"/>
        <v/>
      </c>
      <c r="KM48" s="517" t="str">
        <f>IF(A48=FALSE,"",Cotations!BQ48)</f>
        <v/>
      </c>
      <c r="KN48" s="515" t="str">
        <f>IF(A48=FALSE,"",Cotations!BR48)</f>
        <v/>
      </c>
      <c r="KO48" s="493" t="str">
        <f>IF(A48=FALSE,"",Cotations!BS48)</f>
        <v/>
      </c>
      <c r="KP48" s="517" t="str">
        <f>IF(A48=FALSE,"",IF(KM48="N/A",0,IF(INDEX(LISTES!$F$105:$F$109,MATCH(KM48,LISTES!$C$105:$C$109,0))="FIX",IF(INDEX(LISTES!$E$105:$E$109,MATCH(KM48,LISTES!$C$105:$C$109,0))=12,KN48/12*L48,KN48/365*M48),KO48*KL48)))</f>
        <v/>
      </c>
      <c r="KQ48" s="294" t="str">
        <f t="shared" si="523"/>
        <v/>
      </c>
      <c r="KR48" s="494" t="str">
        <f>IF(A48=FALSE,"",KQ48*Cotations!BT48)</f>
        <v/>
      </c>
      <c r="KS48" s="494" t="str">
        <f>IF(A48=FALSE,"",KQ48*Cotations!BU48)</f>
        <v/>
      </c>
      <c r="KT48" s="338" t="str">
        <f t="shared" si="524"/>
        <v/>
      </c>
      <c r="KU48" s="919" t="str">
        <f>IF(A48=FALSE,"",((KG48*TAXE)-(KG48*TAXE*KI48))+IF(KM48="N/A",0,IF(INDEX(LISTES!$F$105:$F$109,MATCH(KM48,LISTES!$C$105:$C$109,0))="FIX",KN48,KO48*KL48)))</f>
        <v/>
      </c>
      <c r="LA48" s="497" t="str">
        <f>IF(A48=FALSE,"",Cotations!D48)</f>
        <v/>
      </c>
      <c r="LB48" s="498" t="str">
        <f>IF(A48=FALSE,"",IF(LISTES!$A$17=1,Cotations!BV48,Cotations!$BW$4))</f>
        <v/>
      </c>
      <c r="LC48" s="499" t="str">
        <f t="shared" si="525"/>
        <v/>
      </c>
      <c r="LD48" s="499" t="str">
        <f t="shared" si="526"/>
        <v/>
      </c>
      <c r="LE48" s="500" t="str">
        <f t="shared" si="527"/>
        <v/>
      </c>
      <c r="LF48" s="501" t="str">
        <f>IF(A48=FALSE,"",IF(LA48="POEA",Cotations!EJ48,IF(LA48="FIXE",Cotations!$BY$4,Cotations!$CA$4*Y48)))</f>
        <v/>
      </c>
      <c r="LG48" s="502" t="str">
        <f t="shared" si="528"/>
        <v/>
      </c>
      <c r="LH48" s="520" t="str">
        <f>IF(A48=FALSE,"",IF(Cotations!$BX$4="monthly",LG48/12*L48,LG48/365*M48))</f>
        <v/>
      </c>
      <c r="LI48" s="503" t="str">
        <f>IF(A48=FALSE,"",Cotations!$CB$4)</f>
        <v/>
      </c>
      <c r="LJ48" s="502" t="str">
        <f t="shared" si="529"/>
        <v/>
      </c>
      <c r="LK48" s="502" t="str">
        <f t="shared" si="530"/>
        <v/>
      </c>
      <c r="LL48" s="504" t="str">
        <f t="shared" si="531"/>
        <v/>
      </c>
      <c r="LM48" s="505" t="str">
        <f>IF(A48=FALSE,"",Cotations!$CC$4)</f>
        <v/>
      </c>
      <c r="LN48" s="503" t="str">
        <f>IF(A48=FALSE,"",Cotations!$CD$4)</f>
        <v/>
      </c>
      <c r="LO48" s="503" t="str">
        <f>IF(A48=FALSE,"",Cotations!$CE$4)</f>
        <v/>
      </c>
      <c r="LP48" s="505" t="str">
        <f>IF(A48=FALSE,"",IF(LM48="N/A",0,IF(INDEX(LISTES!$F$105:$F$109,MATCH(LM48,LISTES!$C$105:$C$109,0))="FIX",IF(INDEX(LISTES!$E$105:$E$109,MATCH(LM48,LISTES!$C$105:$C$109,0))=12,LN48/12*L48,LN48/365*M48),LO48*LL48)))</f>
        <v/>
      </c>
      <c r="LQ48" s="504" t="str">
        <f t="shared" si="532"/>
        <v/>
      </c>
      <c r="LR48" s="505" t="str">
        <f>IF(A48=FALSE,"",LQ48*Cotations!$CF$4)</f>
        <v/>
      </c>
      <c r="LS48" s="505" t="str">
        <f>IF(A48=FALSE,"",LQ48*Cotations!$CG$4)</f>
        <v/>
      </c>
      <c r="LT48" s="506" t="str">
        <f t="shared" si="533"/>
        <v/>
      </c>
      <c r="LU48" s="919" t="str">
        <f>IF(A48=FALSE,"",((LG48*TAXE)-(LG48*TAXE*LI48))+IF(LM48="N/A",0,IF(INDEX(LISTES!$F$105:$F$109,MATCH(LM48,LISTES!$C$105:$C$109,0))="FIX",LN48,LO48*LL48)))</f>
        <v/>
      </c>
      <c r="MA48" s="492" t="str">
        <f>IF(A48=FALSE,"",Cotations!D48)</f>
        <v/>
      </c>
      <c r="MB48" s="491" t="str">
        <f>IF(A48=FALSE,"",IF(LISTES!$A$17=1,Cotations!BV48,Cotations!BW48))</f>
        <v/>
      </c>
      <c r="MC48" s="285" t="str">
        <f t="shared" si="534"/>
        <v/>
      </c>
      <c r="MD48" s="300"/>
      <c r="ME48" s="461" t="str">
        <f t="shared" si="535"/>
        <v/>
      </c>
      <c r="MF48" s="490" t="str">
        <f>IF(A48=FALSE,"",IF(MA48="POEA",Cotations!BY48,IF(MA48="FIXE",Cotations!BZ48,IF(Cotations!CA48*Y48&lt;50000,Z48,Cotations!CA48*Y48))))</f>
        <v/>
      </c>
      <c r="MG48" s="300" t="str">
        <f t="shared" si="536"/>
        <v/>
      </c>
      <c r="MH48" s="522" t="str">
        <f>IF(A48=FALSE,"",IF(Cotations!BX48="monthly",MG48/12*L48,MG48/365*M48))</f>
        <v/>
      </c>
      <c r="MI48" s="489" t="str">
        <f>IF(A48=FALSE,"",IF(Cotations!CB48="","",Cotations!CB48))</f>
        <v/>
      </c>
      <c r="MJ48" s="300" t="str">
        <f t="shared" si="537"/>
        <v/>
      </c>
      <c r="MK48" s="300" t="str">
        <f t="shared" si="538"/>
        <v/>
      </c>
      <c r="ML48" s="919" t="str">
        <f t="shared" si="539"/>
        <v/>
      </c>
      <c r="MM48" s="517" t="str">
        <f>IF(A48=FALSE,"",Cotations!CC48)</f>
        <v/>
      </c>
      <c r="MN48" s="515" t="str">
        <f>IF(A48=FALSE,"",Cotations!CD48)</f>
        <v/>
      </c>
      <c r="MO48" s="493" t="str">
        <f>IF(A48=FALSE,"",Cotations!CE48)</f>
        <v/>
      </c>
      <c r="MP48" s="517" t="str">
        <f>IF(A48=FALSE,"",IF(MM48="N/A",0,IF(INDEX(LISTES!$F$105:$F$109,MATCH(MM48,LISTES!$C$105:$C$109,0))="FIX",IF(INDEX(LISTES!$E$105:$E$109,MATCH(MM48,LISTES!$C$105:$C$109,0))=12,MN48/12*L48,MN48/365*M48),MO48*ML48)))</f>
        <v/>
      </c>
      <c r="MQ48" s="294" t="str">
        <f t="shared" si="540"/>
        <v/>
      </c>
      <c r="MR48" s="494" t="str">
        <f>IF(A48=FALSE,"",MQ48*Cotations!CF48)</f>
        <v/>
      </c>
      <c r="MS48" s="494" t="str">
        <f>IF(A48=FALSE,"",MQ48*Cotations!CG48)</f>
        <v/>
      </c>
      <c r="MT48" s="338" t="str">
        <f t="shared" si="541"/>
        <v/>
      </c>
      <c r="MU48" s="919" t="str">
        <f>IF(A48=FALSE,"",((MG48*TAXE)-(MG48*TAXE*MI48))+IF(MM48="N/A",0,IF(INDEX(LISTES!$F$105:$F$109,MATCH(MM48,LISTES!$C$105:$C$109,0))="FIX",MN48,MO48*ML48)))</f>
        <v/>
      </c>
      <c r="NA48" s="497" t="str">
        <f>IF(A48=FALSE,"",Cotations!D48)</f>
        <v/>
      </c>
      <c r="NB48" s="498" t="str">
        <f>IF(A48=FALSE,"",IF(LISTES!$A$17=1,Cotations!CH48,Cotations!$CI$4))</f>
        <v/>
      </c>
      <c r="NC48" s="499" t="str">
        <f t="shared" si="542"/>
        <v/>
      </c>
      <c r="ND48" s="499" t="str">
        <f t="shared" si="543"/>
        <v/>
      </c>
      <c r="NE48" s="500" t="str">
        <f t="shared" si="544"/>
        <v/>
      </c>
      <c r="NF48" s="501" t="str">
        <f>IF(A48=FALSE,"",IF(NA48="POEA",Cotations!CK48,IF(NA48="FIXE",Cotations!$CK$4,Cotations!$CM$4*Y48)))</f>
        <v/>
      </c>
      <c r="NG48" s="502" t="str">
        <f t="shared" si="545"/>
        <v/>
      </c>
      <c r="NH48" s="520" t="str">
        <f>IF(A48=FALSE,"",IF(Cotations!$CJ$4="monthly",NG48/12*L48,NG48/365*M48))</f>
        <v/>
      </c>
      <c r="NI48" s="503" t="str">
        <f>IF(A48=FALSE,"",Cotations!$CN$4)</f>
        <v/>
      </c>
      <c r="NJ48" s="502" t="str">
        <f t="shared" si="546"/>
        <v/>
      </c>
      <c r="NK48" s="502" t="str">
        <f t="shared" si="547"/>
        <v/>
      </c>
      <c r="NL48" s="504" t="str">
        <f t="shared" si="548"/>
        <v/>
      </c>
      <c r="NM48" s="505" t="str">
        <f>IF(A48=FALSE,"",Cotations!$CO$4)</f>
        <v/>
      </c>
      <c r="NN48" s="520" t="str">
        <f>IF(A48=FALSE,"",Cotations!$CP$4)</f>
        <v/>
      </c>
      <c r="NO48" s="503" t="str">
        <f>IF(A48=FALSE,"",Cotations!$CQ$4)</f>
        <v/>
      </c>
      <c r="NP48" s="505" t="str">
        <f>IF(A48=FALSE,"",IF(NM48="N/A",0,IF(INDEX(LISTES!$F$105:$F$109,MATCH(NM48,LISTES!$C$105:$C$109,0))="FIX",IF(INDEX(LISTES!$E$105:$E$109,MATCH(NM48,LISTES!$C$105:$C$109,0))=12,NN48/12*L48,NN48/365*M48),NO48*NL48)))</f>
        <v/>
      </c>
      <c r="NQ48" s="504" t="str">
        <f t="shared" si="549"/>
        <v/>
      </c>
      <c r="NR48" s="505" t="str">
        <f>IF(A48=FALSE,"",NQ48*Cotations!$CR$4)</f>
        <v/>
      </c>
      <c r="NS48" s="505" t="str">
        <f>IF(A48=FALSE,"",NQ48*Cotations!$CS$4)</f>
        <v/>
      </c>
      <c r="NT48" s="506" t="str">
        <f t="shared" si="550"/>
        <v/>
      </c>
      <c r="NU48" s="919" t="str">
        <f>IF(A48=FALSE,"",((NG48*TAXE)-(NG48*TAXE*NI48))+IF(NM48="N/A",0,IF(INDEX(LISTES!$F$105:$F$109,MATCH(NM48,LISTES!$C$105:$C$109,0))="FIX",NN48,NO48*NL48)))</f>
        <v/>
      </c>
      <c r="OA48" s="492" t="str">
        <f>IF(A48=FALSE,"",Cotations!D48)</f>
        <v/>
      </c>
      <c r="OB48" s="491" t="str">
        <f>IF(A48=FALSE,"",IF(LISTES!$A$17=1,Cotations!CH48,Cotations!CI48))</f>
        <v/>
      </c>
      <c r="OC48" s="285" t="str">
        <f t="shared" si="551"/>
        <v/>
      </c>
      <c r="OD48" s="300"/>
      <c r="OE48" s="461" t="str">
        <f t="shared" si="552"/>
        <v/>
      </c>
      <c r="OF48" s="490" t="str">
        <f>IF(A48=FALSE,"",IF(OA48="POEA",Cotations!CK48,IF(OA48="FIXE",Cotations!CL48,IF(Cotations!CM48*Y48&lt;50000,Z48,Cotations!CM48*Y48))))</f>
        <v/>
      </c>
      <c r="OG48" s="300" t="str">
        <f t="shared" si="553"/>
        <v/>
      </c>
      <c r="OH48" s="522" t="str">
        <f>IF(A48=FALSE,"",IF(Cotations!CJ48="monthly",OG48/12*L48,OG48/365*M48))</f>
        <v/>
      </c>
      <c r="OI48" s="489" t="str">
        <f>IF(A48=FALSE,"",IF(Cotations!CN48="","",Cotations!CN48))</f>
        <v/>
      </c>
      <c r="OJ48" s="300" t="str">
        <f t="shared" si="554"/>
        <v/>
      </c>
      <c r="OK48" s="300" t="str">
        <f t="shared" si="555"/>
        <v/>
      </c>
      <c r="OL48" s="919" t="str">
        <f t="shared" si="556"/>
        <v/>
      </c>
      <c r="OM48" s="517" t="str">
        <f>IF(A48=FALSE,"",Cotations!CO48)</f>
        <v/>
      </c>
      <c r="ON48" s="515" t="str">
        <f>IF(A48=FALSE,"",Cotations!CP48)</f>
        <v/>
      </c>
      <c r="OO48" s="493" t="str">
        <f>IF(A48=FALSE,"",Cotations!CQ48)</f>
        <v/>
      </c>
      <c r="OP48" s="517" t="str">
        <f>IF(A48=FALSE,"",IF(OM48="N/A",0,IF(INDEX(LISTES!$F$105:$F$109,MATCH(OM48,LISTES!$C$105:$C$109,0))="FIX",IF(INDEX(LISTES!$E$105:$E$109,MATCH(OM48,LISTES!$C$105:$C$109,0))=12,ON48/12*L48,ON48/365*M48),OO48*OL48)))</f>
        <v/>
      </c>
      <c r="OQ48" s="294" t="str">
        <f t="shared" si="557"/>
        <v/>
      </c>
      <c r="OR48" s="494" t="str">
        <f>IF(A48=FALSE,"",OQ48*Cotations!CR48)</f>
        <v/>
      </c>
      <c r="OS48" s="494" t="str">
        <f>IF(A48=FALSE,"",OQ48*Cotations!CS48)</f>
        <v/>
      </c>
      <c r="OT48" s="338" t="str">
        <f t="shared" si="558"/>
        <v/>
      </c>
      <c r="OU48" s="919" t="str">
        <f>IF(A48=FALSE,"",((OG48*TAXE)-(OG48*TAXE*OI48))+IF(OM48="N/A",0,IF(INDEX(LISTES!$F$105:$F$109,MATCH(OM48,LISTES!$C$105:$C$109,0))="FIX",ON48,OO48*OL48)))</f>
        <v/>
      </c>
      <c r="PA48" s="497" t="str">
        <f t="shared" si="559"/>
        <v/>
      </c>
      <c r="PB48" s="498" t="str">
        <f>IF(A48=FALSE,"",IF(LISTES!$A$17=1,Cotations!CT48,Cotations!$CU$4))</f>
        <v/>
      </c>
      <c r="PC48" s="499" t="str">
        <f t="shared" si="560"/>
        <v/>
      </c>
      <c r="PD48" s="499" t="str">
        <f t="shared" si="561"/>
        <v/>
      </c>
      <c r="PE48" s="500" t="str">
        <f t="shared" si="562"/>
        <v/>
      </c>
      <c r="PF48" s="501" t="str">
        <f>IF(A48=FALSE,"",Cotations!$CY$4*Y48)</f>
        <v/>
      </c>
      <c r="PG48" s="502" t="str">
        <f t="shared" si="563"/>
        <v/>
      </c>
      <c r="PH48" s="520" t="str">
        <f>IF(A48=FALSE,"",IF(Cotations!$CV$4="monthly",PG48/12*L48,PG48/365*M48))</f>
        <v/>
      </c>
      <c r="PI48" s="503" t="str">
        <f>IF(A48=FALSE,"",Cotations!$CZ$4)</f>
        <v/>
      </c>
      <c r="PJ48" s="502" t="str">
        <f t="shared" si="564"/>
        <v/>
      </c>
      <c r="PK48" s="502" t="str">
        <f t="shared" si="565"/>
        <v/>
      </c>
      <c r="PL48" s="504" t="str">
        <f t="shared" si="566"/>
        <v/>
      </c>
      <c r="PM48" s="505" t="str">
        <f>IF(A48=FALSE,"",Cotations!$DA$4)</f>
        <v/>
      </c>
      <c r="PN48" s="520" t="str">
        <f>IF(A48=FALSE,"",Cotations!$DB$4)</f>
        <v/>
      </c>
      <c r="PO48" s="503" t="str">
        <f>IF(A48=FALSE,"",Cotations!$DC$4)</f>
        <v/>
      </c>
      <c r="PP48" s="505" t="str">
        <f>IF(A48=FALSE,"",IF(PM48="N/A",0,IF(INDEX(LISTES!$F$105:$F$109,MATCH(PM48,LISTES!$C$105:$C$109,0))="FIX",IF(INDEX(LISTES!$E$105:$E$109,MATCH(PM48,LISTES!$C$105:$C$109,0))=12,PN48/12*L48,PN48/365*M48),PO48*PL48)))</f>
        <v/>
      </c>
      <c r="PQ48" s="504" t="str">
        <f t="shared" si="567"/>
        <v/>
      </c>
      <c r="PR48" s="505" t="str">
        <f>IF(A48=FALSE,"",PQ48*Cotations!$DD$4)</f>
        <v/>
      </c>
      <c r="PS48" s="505" t="str">
        <f>IF(A48=FALSE,"",PQ48*Cotations!$DE$4)</f>
        <v/>
      </c>
      <c r="PT48" s="506" t="str">
        <f t="shared" si="568"/>
        <v/>
      </c>
      <c r="PU48" s="919" t="str">
        <f>IF(A48=FALSE,"",((PG48*TAXE)-(PG48*TAXE*PI48))+IF(PM48="N/A",0,IF(INDEX(LISTES!$F$105:$F$109,MATCH(PM48,LISTES!$C$105:$C$109,0))="FIX",PN48,PO48*PL48)))</f>
        <v/>
      </c>
      <c r="QA48" s="492" t="str">
        <f t="shared" si="569"/>
        <v/>
      </c>
      <c r="QB48" s="491" t="str">
        <f>IF(A48=FALSE,"",IF(LISTES!$A$17=1,Cotations!CT48,Cotations!CU48))</f>
        <v/>
      </c>
      <c r="QC48" s="285" t="str">
        <f t="shared" si="570"/>
        <v/>
      </c>
      <c r="QD48" s="300"/>
      <c r="QE48" s="461" t="str">
        <f t="shared" si="571"/>
        <v/>
      </c>
      <c r="QF48" s="490" t="str">
        <f>IF(A48=FALSE,"",Cotations!CY48*AA48)</f>
        <v/>
      </c>
      <c r="QG48" s="300" t="str">
        <f t="shared" si="572"/>
        <v/>
      </c>
      <c r="QH48" s="522" t="str">
        <f>IF(A48=FALSE,"",IF(Cotations!CV48="monthly",QG48/12*L48,QG48/365*M48))</f>
        <v/>
      </c>
      <c r="QI48" s="489" t="str">
        <f>IF(A48=FALSE,"",IF(Cotations!CZ48="","",Cotations!CZ48))</f>
        <v/>
      </c>
      <c r="QJ48" s="300" t="str">
        <f t="shared" si="573"/>
        <v/>
      </c>
      <c r="QK48" s="300" t="str">
        <f t="shared" si="574"/>
        <v/>
      </c>
      <c r="QL48" s="919" t="str">
        <f t="shared" si="575"/>
        <v/>
      </c>
      <c r="QM48" s="517" t="str">
        <f>IF(A48=FALSE,"",Cotations!DA48)</f>
        <v/>
      </c>
      <c r="QN48" s="515" t="str">
        <f>IF(A48=FALSE,"",Cotations!DB48)</f>
        <v/>
      </c>
      <c r="QO48" s="493" t="str">
        <f>IF(A48=FALSE,"",Cotations!DC48)</f>
        <v/>
      </c>
      <c r="QP48" s="517" t="str">
        <f>IF(A48=FALSE,"",IF(QM48="N/A",0,IF(INDEX(LISTES!$F$105:$F$109,MATCH(QM48,LISTES!$C$105:$C$109,0))="FIX",IF(INDEX(LISTES!$E$105:$E$109,MATCH(QM48,LISTES!$C$105:$C$109,0))=12,QN48/12*L48,QN48/365*M48),QO48*QL48)))</f>
        <v/>
      </c>
      <c r="QQ48" s="294" t="str">
        <f t="shared" si="576"/>
        <v/>
      </c>
      <c r="QR48" s="494" t="str">
        <f>IF(A48=FALSE,"",QQ48*Cotations!DD48)</f>
        <v/>
      </c>
      <c r="QS48" s="494" t="str">
        <f>IF(A48=FALSE,"",QQ48*Cotations!DE48)</f>
        <v/>
      </c>
      <c r="QT48" s="338" t="str">
        <f t="shared" si="577"/>
        <v/>
      </c>
      <c r="QU48" s="919" t="str">
        <f>IF(A48=FALSE,"",((QG48*TAXE)-(QG48*TAXE*QI48))+IF(QM48="N/A",0,IF(INDEX(LISTES!$F$105:$F$109,MATCH(QM48,LISTES!$C$105:$C$109,0))="FIX",QN48,QO48*QL48)))</f>
        <v/>
      </c>
      <c r="RA48" s="497" t="str">
        <f t="shared" si="578"/>
        <v/>
      </c>
      <c r="RB48" s="498" t="str">
        <f>IF(A48=FALSE,"",IF(LISTES!$A$17=1,Cotations!DF48,Cotations!$DG$4))</f>
        <v/>
      </c>
      <c r="RC48" s="499" t="str">
        <f t="shared" si="579"/>
        <v/>
      </c>
      <c r="RD48" s="499" t="str">
        <f t="shared" si="580"/>
        <v/>
      </c>
      <c r="RE48" s="500" t="str">
        <f t="shared" si="581"/>
        <v/>
      </c>
      <c r="RF48" s="501" t="str">
        <f>IF(A48=FALSE,"",Cotations!$DK$4*Y48)</f>
        <v/>
      </c>
      <c r="RG48" s="502" t="str">
        <f t="shared" si="582"/>
        <v/>
      </c>
      <c r="RH48" s="520" t="str">
        <f>IF(A48=FALSE,"",IF(Cotations!$DH$4="monthly",RG48/12*L48,RG48/365*M48))</f>
        <v/>
      </c>
      <c r="RI48" s="503" t="str">
        <f>IF(A48=FALSE,"",Cotations!$DL$4)</f>
        <v/>
      </c>
      <c r="RJ48" s="502" t="str">
        <f t="shared" si="583"/>
        <v/>
      </c>
      <c r="RK48" s="502" t="str">
        <f t="shared" si="584"/>
        <v/>
      </c>
      <c r="RL48" s="504" t="str">
        <f t="shared" si="585"/>
        <v/>
      </c>
      <c r="RM48" s="505" t="str">
        <f>IF(A48=FALSE,"",Cotations!$DM$4)</f>
        <v/>
      </c>
      <c r="RN48" s="520" t="str">
        <f>IF(A48=FALSE,"",Cotations!$DN$4)</f>
        <v/>
      </c>
      <c r="RO48" s="503" t="str">
        <f>IF(A48=FALSE,"",Cotations!$DO$4)</f>
        <v/>
      </c>
      <c r="RP48" s="505" t="str">
        <f>IF(A48=FALSE,"",IF(RM48="N/A",0,IF(INDEX(LISTES!$F$105:$F$109,MATCH(RM48,LISTES!$C$105:$C$109,0))="FIX",IF(INDEX(LISTES!$E$105:$E$109,MATCH(RM48,LISTES!$C$105:$C$109,0))=12,RN48/12*L48,RN48/365*M48),RO48*RL48)))</f>
        <v/>
      </c>
      <c r="RQ48" s="504" t="str">
        <f t="shared" si="586"/>
        <v/>
      </c>
      <c r="RR48" s="505" t="str">
        <f>IF(A48=FALSE,"",RQ48*Cotations!$DP$4)</f>
        <v/>
      </c>
      <c r="RS48" s="505" t="str">
        <f>IF(A48=FALSE,"",RQ48*Cotations!$DQ$4)</f>
        <v/>
      </c>
      <c r="RT48" s="506" t="str">
        <f t="shared" si="587"/>
        <v/>
      </c>
      <c r="RU48" s="919" t="str">
        <f>IF(A48=FALSE,"",((RG48*TAXE)-(RG48*TAXE*RI48))+IF(RM48="N/A",0,IF(INDEX(LISTES!$F$105:$F$109,MATCH(RM48,LISTES!$C$105:$C$109,0))="FIX",RN48,RO48*RL48)))</f>
        <v/>
      </c>
      <c r="SA48" s="492" t="str">
        <f t="shared" si="588"/>
        <v/>
      </c>
      <c r="SB48" s="491" t="str">
        <f>IF(A48=FALSE,"",IF(LISTES!$A$17=1,Cotations!DF48,Cotations!DG48))</f>
        <v/>
      </c>
      <c r="SC48" s="285" t="str">
        <f t="shared" si="589"/>
        <v/>
      </c>
      <c r="SD48" s="300"/>
      <c r="SE48" s="461" t="str">
        <f t="shared" si="590"/>
        <v/>
      </c>
      <c r="SF48" s="490" t="str">
        <f>IF(A48=FALSE,"",Cotations!DK48*AA48)</f>
        <v/>
      </c>
      <c r="SG48" s="300" t="str">
        <f t="shared" si="591"/>
        <v/>
      </c>
      <c r="SH48" s="522" t="str">
        <f>IF(A48=FALSE,"",IF(Cotations!DH48="monthly",SG48/12*L48,SG48/365*M48))</f>
        <v/>
      </c>
      <c r="SI48" s="489" t="str">
        <f>IF(A48=FALSE,"",IF(Cotations!DL48="","",Cotations!DL48))</f>
        <v/>
      </c>
      <c r="SJ48" s="300" t="str">
        <f t="shared" si="592"/>
        <v/>
      </c>
      <c r="SK48" s="300" t="str">
        <f t="shared" si="593"/>
        <v/>
      </c>
      <c r="SL48" s="919" t="str">
        <f t="shared" si="594"/>
        <v/>
      </c>
      <c r="SM48" s="285" t="str">
        <f>IF(A48=FALSE,"",Cotations!DM48)</f>
        <v/>
      </c>
      <c r="SN48" s="515" t="str">
        <f>IF(A48=FALSE,"",Cotations!DN48)</f>
        <v/>
      </c>
      <c r="SO48" s="493" t="str">
        <f>IF(A48=FALSE,"",Cotations!DO48)</f>
        <v/>
      </c>
      <c r="SP48" s="517" t="str">
        <f>IF(A48=FALSE,"",IF(SM48="N/A",0,IF(INDEX(LISTES!$F$105:$F$109,MATCH(SM48,LISTES!$C$105:$C$109,0))="FIX",IF(INDEX(LISTES!$E$105:$E$109,MATCH(SM48,LISTES!$C$105:$C$109,0))=12,SN48/12*L48,SN48/365*M48),SO48*SL48)))</f>
        <v/>
      </c>
      <c r="SQ48" s="294" t="str">
        <f t="shared" si="595"/>
        <v/>
      </c>
      <c r="SR48" s="494" t="str">
        <f>IF(A48=FALSE,"",SQ48*Cotations!DP48)</f>
        <v/>
      </c>
      <c r="SS48" s="494" t="str">
        <f>IF(A48=FALSE,"",SQ48*Cotations!DQ48)</f>
        <v/>
      </c>
      <c r="ST48" s="338" t="str">
        <f t="shared" si="596"/>
        <v/>
      </c>
      <c r="SU48" s="919" t="str">
        <f>IF(A48=FALSE,"",((SG48*TAXE)-(SG48*TAXE*SI48))+IF(SM48="N/A",0,IF(INDEX(LISTES!$F$105:$F$109,MATCH(SM48,LISTES!$C$105:$C$109,0))="FIX",SN48,SO48*SL48)))</f>
        <v/>
      </c>
      <c r="TA48" s="492" t="str">
        <f>IF(A48=FALSE,"",Cotations!D48)</f>
        <v/>
      </c>
      <c r="TB48" s="491" t="str">
        <f>IF(A48=FALSE,"",IF(LISTES!$A$17=1,Cotations!DR48,Cotations!DS48))</f>
        <v/>
      </c>
      <c r="TC48" s="285" t="str">
        <f t="shared" si="597"/>
        <v/>
      </c>
      <c r="TD48" s="300" t="str">
        <f>IF(A48=FALSE,"",Detail!CQ48)</f>
        <v/>
      </c>
      <c r="TE48" s="461" t="str">
        <f t="shared" si="598"/>
        <v/>
      </c>
      <c r="TF48" s="490" t="str">
        <f>IF(A48=FALSE,"",IF(TA48="FIXE",Cotations!DU48,Cotations!DV48*Y48))</f>
        <v/>
      </c>
      <c r="TG48" s="300" t="str">
        <f t="shared" si="599"/>
        <v/>
      </c>
      <c r="TH48" s="522" t="str">
        <f>IF(A48=FALSE,"",IF(Cotations!DT48="monthly",TG48/12*L48,TG48/365*M48))</f>
        <v/>
      </c>
      <c r="TI48" s="489" t="str">
        <f>IF(A48=FALSE,"",IF(Cotations!DW48="","",Cotations!DW48))</f>
        <v/>
      </c>
      <c r="TJ48" s="300" t="str">
        <f t="shared" si="600"/>
        <v/>
      </c>
      <c r="TK48" s="300" t="str">
        <f t="shared" si="601"/>
        <v/>
      </c>
      <c r="TL48" s="919" t="str">
        <f t="shared" si="602"/>
        <v/>
      </c>
      <c r="TM48" s="517" t="str">
        <f>IF(A48=FALSE,"",Cotations!DX48)</f>
        <v/>
      </c>
      <c r="TN48" s="517" t="str">
        <f>IF(A48=FALSE,"",Cotations!DY48)</f>
        <v/>
      </c>
      <c r="TO48" s="493" t="str">
        <f>IF(A48=FALSE,"",Cotations!DZ48)</f>
        <v/>
      </c>
      <c r="TP48" s="517" t="str">
        <f>IF(A48=FALSE,"",IF(TM48="N/A",0,IF(INDEX(LISTES!$F$105:$F$109,MATCH(TM48,LISTES!$C$105:$C$109,0))="FIX",IF(INDEX(LISTES!$E$105:$E$109,MATCH(TM48,LISTES!$C$105:$C$109,0))=12,TN48/12*L48,TN48/365*M48),TO48*TL48)))</f>
        <v/>
      </c>
      <c r="TQ48" s="294" t="str">
        <f t="shared" si="603"/>
        <v/>
      </c>
      <c r="TR48" s="494" t="str">
        <f>IF(A48=FALSE,"",TQ48*Cotations!EA48)</f>
        <v/>
      </c>
      <c r="TS48" s="494" t="str">
        <f>IF(A48=FALSE,"",TQ48*Cotations!EB48)</f>
        <v/>
      </c>
      <c r="TT48" s="338" t="str">
        <f t="shared" si="604"/>
        <v/>
      </c>
      <c r="TU48" s="919" t="str">
        <f>IF(A48=FALSE,"",((TG48*(1+TAXE)-(TG48*(1+TAXE)*TI48))+IF(TM48="N/A",0,IF(INDEX(LISTES!$F$105:$F$109,MATCH(TM48,LISTES!$C$105:$C$109,0))="FIX",TN48,TO48*TL48))))</f>
        <v/>
      </c>
      <c r="UA48" s="492" t="str">
        <f>IF(A48=FALSE,"",Cotations!D48)</f>
        <v/>
      </c>
      <c r="UB48" s="491" t="str">
        <f>IF(A48=FALSE,"",IF(LISTES!$A$17=1,Cotations!EC48,Cotations!ED48))</f>
        <v/>
      </c>
      <c r="UC48" s="285" t="str">
        <f t="shared" si="605"/>
        <v/>
      </c>
      <c r="UD48" s="300" t="str">
        <f>IF(A48=FALSE,"",Detail!CY48)</f>
        <v/>
      </c>
      <c r="UE48" s="461" t="str">
        <f t="shared" si="606"/>
        <v/>
      </c>
      <c r="UF48" s="490" t="str">
        <f>IF(A48=FALSE,"",IF(UA48="FIXE",Cotations!EF48,Cotations!EG48*Y48))</f>
        <v/>
      </c>
      <c r="UG48" s="300" t="str">
        <f t="shared" si="607"/>
        <v/>
      </c>
      <c r="UH48" s="522" t="str">
        <f>IF(A48=FALSE,"",IF(Cotations!EE48="monthly",UG48/12*L48,UG48/365*M48))</f>
        <v/>
      </c>
      <c r="UI48" s="489" t="str">
        <f>IF(A48=FALSE,"",IF(Cotations!EH48="","",Cotations!EH48))</f>
        <v/>
      </c>
      <c r="UJ48" s="300" t="str">
        <f t="shared" si="608"/>
        <v/>
      </c>
      <c r="UK48" s="300" t="str">
        <f t="shared" si="609"/>
        <v/>
      </c>
      <c r="UL48" s="919" t="str">
        <f t="shared" si="610"/>
        <v/>
      </c>
      <c r="UM48" s="517" t="str">
        <f>IF(A48=FALSE,"",Cotations!EI48)</f>
        <v/>
      </c>
      <c r="UN48" s="517" t="str">
        <f>IF(A48=FALSE,"",Cotations!EJ48)</f>
        <v/>
      </c>
      <c r="UO48" s="493" t="str">
        <f>IF(A48=FALSE,"",Cotations!EK48)</f>
        <v/>
      </c>
      <c r="UP48" s="517" t="str">
        <f>IF(A48=FALSE,"",IF(UM48="N/A",0,IF(INDEX(LISTES!$F$105:$F$109,MATCH(UM48,LISTES!$C$105:$C$109,0))="FIX",IF(INDEX(LISTES!$E$105:$E$109,MATCH(UM48,LISTES!$C$105:$C$109,0))=12,UN48/12*L48,UN48/365*M48),UO48*UL48)))</f>
        <v/>
      </c>
      <c r="UQ48" s="294" t="str">
        <f t="shared" si="611"/>
        <v/>
      </c>
      <c r="UR48" s="494" t="str">
        <f>IF(A48=FALSE,"",UQ48*Cotations!EL48)</f>
        <v/>
      </c>
      <c r="US48" s="494" t="str">
        <f>IF(A48=FALSE,"",UQ48*Cotations!EM48)</f>
        <v/>
      </c>
      <c r="UT48" s="338" t="str">
        <f t="shared" si="612"/>
        <v/>
      </c>
      <c r="UU48" s="919" t="str">
        <f>IF(A48=FALSE,"",((UG48*(1+TAXE)-(UG48*(1+TAXE)*UI48))+IF(UM48="N/A",0,IF(INDEX(LISTES!$F$105:$F$109,MATCH(UM48,LISTES!$C$105:$C$109,0))="FIX",UN48,UO48*UL48))))</f>
        <v/>
      </c>
      <c r="VA48" s="492" t="str">
        <f>IF(A48=FALSE,"",Cotations!D48)</f>
        <v/>
      </c>
      <c r="VB48" s="519" t="str">
        <f>IF(A48=FALSE,"",IF(LISTES!$A$17=1,Cotations!EN48,Cotations!EO48))</f>
        <v/>
      </c>
      <c r="VC48" s="291" t="str">
        <f t="shared" si="613"/>
        <v/>
      </c>
      <c r="VD48" s="291" t="str">
        <f t="shared" si="614"/>
        <v/>
      </c>
      <c r="VE48" s="291"/>
      <c r="VF48" s="463"/>
      <c r="VG48" s="463" t="str">
        <f t="shared" si="615"/>
        <v/>
      </c>
      <c r="VH48" s="522" t="str">
        <f>IF(A48=FALSE,"",IF(Cotations!$AQ$4="monthly",VG48/12*L48,VG48/365*M48))</f>
        <v/>
      </c>
      <c r="VI48" s="489" t="str">
        <f>IF(A48=FALSE,"",Cotations!$AR$4)</f>
        <v/>
      </c>
      <c r="VJ48" s="300" t="str">
        <f t="shared" si="616"/>
        <v/>
      </c>
      <c r="VK48" s="300" t="str">
        <f t="shared" si="617"/>
        <v/>
      </c>
      <c r="VL48" s="294" t="str">
        <f t="shared" si="618"/>
        <v/>
      </c>
      <c r="VM48" s="494" t="str">
        <f>IF(A48=FALSE,"",Cotations!$AS$4)</f>
        <v/>
      </c>
      <c r="VN48" s="494" t="str">
        <f>IF(A48=FALSE,"",Cotations!$AT$4)</f>
        <v/>
      </c>
      <c r="VO48" s="489" t="str">
        <f>IF(A48=FALSE,"",Cotations!$AU$4)</f>
        <v/>
      </c>
      <c r="VP48" s="494" t="str">
        <f>IF(A48=FALSE,"",IF(VM48="N/A",0,IF(INDEX(LISTES!$F$105:$F$109,MATCH(VM48,LISTES!$C$105:$C$109,0))="FIX",IF(INDEX(LISTES!$E$105:$E$109,MATCH(VM48,LISTES!$C$105:$C$109,0))=12,VN48/12*L48,VN48/365*M48),VO48*VL48)))</f>
        <v/>
      </c>
      <c r="VQ48" s="294" t="str">
        <f t="shared" si="619"/>
        <v/>
      </c>
      <c r="VR48" s="494" t="str">
        <f>IF(A48=FALSE,"",VQ48*Cotations!$AV$4)</f>
        <v/>
      </c>
      <c r="VS48" s="494" t="str">
        <f>IF(A48=FALSE,"",VQ48*Cotations!$AW$4)</f>
        <v/>
      </c>
      <c r="VT48" s="465" t="str">
        <f t="shared" si="620"/>
        <v/>
      </c>
      <c r="VU48" s="919" t="str">
        <f>IF(A48=FALSE,"",((VG48*TAXE)-(VG48*TAXE*VI48))+IF(VM48="N/A",0,IF(INDEX(LISTES!$F$105:$F$109,MATCH(VM48,LISTES!$C$105:$C$109,0))="FIX",VN48,VO48*VL48)))</f>
        <v/>
      </c>
      <c r="WA48" s="492" t="str">
        <f>IF(A48=FALSE,"",Cotations!D48)</f>
        <v/>
      </c>
      <c r="WB48" s="519" t="str">
        <f>IF(A48=FALSE,"",IF(LISTES!$A$17=1,Cotations!EW48,Cotations!EX48))</f>
        <v/>
      </c>
      <c r="WC48" s="291" t="str">
        <f t="shared" si="621"/>
        <v/>
      </c>
      <c r="WD48" s="291" t="str">
        <f t="shared" si="622"/>
        <v/>
      </c>
      <c r="WE48" s="291"/>
      <c r="WF48" s="463"/>
      <c r="WG48" s="463" t="str">
        <f t="shared" si="623"/>
        <v/>
      </c>
      <c r="WH48" s="522" t="str">
        <f>IF(A48=FALSE,"",IF(Cotations!$AQ$4="monthly",WG48/12*L48,WG48/365*M48))</f>
        <v/>
      </c>
      <c r="WI48" s="489" t="str">
        <f>IF(A48=FALSE,"",Cotations!$AR$4)</f>
        <v/>
      </c>
      <c r="WJ48" s="300" t="str">
        <f t="shared" si="624"/>
        <v/>
      </c>
      <c r="WK48" s="300" t="str">
        <f t="shared" si="625"/>
        <v/>
      </c>
      <c r="WL48" s="294" t="str">
        <f t="shared" si="626"/>
        <v/>
      </c>
      <c r="WM48" s="494" t="str">
        <f>IF(A48=FALSE,"",Cotations!$AS$4)</f>
        <v/>
      </c>
      <c r="WN48" s="494" t="str">
        <f>IF(A48=FALSE,"",Cotations!$AT$4)</f>
        <v/>
      </c>
      <c r="WO48" s="489" t="str">
        <f>IF(A48=FALSE,"",Cotations!$AU$4)</f>
        <v/>
      </c>
      <c r="WP48" s="494" t="str">
        <f>IF(A48=FALSE,"",IF(WM48="N/A",0,IF(INDEX(LISTES!$F$105:$F$109,MATCH(WM48,LISTES!$C$105:$C$109,0))="FIX",IF(INDEX(LISTES!$E$105:$E$109,MATCH(WM48,LISTES!$C$105:$C$109,0))=12,WN48/12*L48,WN48/365*M48),WO48*WL48)))</f>
        <v/>
      </c>
      <c r="WQ48" s="294" t="str">
        <f t="shared" si="627"/>
        <v/>
      </c>
      <c r="WR48" s="494" t="str">
        <f>IF(A48=FALSE,"",WQ48*Cotations!$AV$4)</f>
        <v/>
      </c>
      <c r="WS48" s="494" t="str">
        <f>IF(A48=FALSE,"",WQ48*Cotations!$AW$4)</f>
        <v/>
      </c>
      <c r="WT48" s="465" t="str">
        <f t="shared" si="628"/>
        <v/>
      </c>
      <c r="WU48" s="919" t="str">
        <f>IF(A48=FALSE,"",((WG48*TAXE)-(WG48*TAXE*WI48))+IF(WM48="N/A",0,IF(INDEX(LISTES!$F$105:$F$109,MATCH(WM48,LISTES!$C$105:$C$109,0))="FIX",WN48,WO48*WL48)))</f>
        <v/>
      </c>
    </row>
    <row r="49" spans="1:619">
      <c r="A49" s="942" t="b">
        <f t="shared" si="433"/>
        <v>0</v>
      </c>
      <c r="B49" s="942" t="b">
        <f>IF(NAMES!$B$9=TRUE,TRUE,FALSE)</f>
        <v>1</v>
      </c>
      <c r="C49" s="942" t="b">
        <f t="shared" si="413"/>
        <v>0</v>
      </c>
      <c r="D49" s="942" t="b">
        <f t="shared" si="414"/>
        <v>0</v>
      </c>
      <c r="E49" s="274" t="b">
        <f>IF(Cotations!C49="","",Cotations!C49)</f>
        <v>0</v>
      </c>
      <c r="F49" s="274" t="str">
        <f>IF(Cotations!D49="","",Cotations!D49)</f>
        <v>PROP</v>
      </c>
      <c r="G49" s="274" t="str">
        <f>IF(Cotations!E49="","",Cotations!E49)</f>
        <v>2016-2017!</v>
      </c>
      <c r="H49" s="274" t="str">
        <f>IF(Cotations!F49="","",Cotations!F49)</f>
        <v>SINGLE</v>
      </c>
      <c r="I49" s="274" t="str">
        <f>IF(Cotations!G49="","",Cotations!G49)</f>
        <v/>
      </c>
      <c r="J49" s="274" t="str">
        <f>IF(Cotations!H49="","",Cotations!H49)</f>
        <v/>
      </c>
      <c r="K49" s="274" t="str">
        <f>IF(Cotations!I49="","",Cotations!I49)</f>
        <v/>
      </c>
      <c r="L49" s="274" t="str">
        <f>IF(A49=FALSE,"",IF(Cotations!N49="","",Cotations!N49))</f>
        <v/>
      </c>
      <c r="M49" s="274" t="str">
        <f>IF(Cotations!P49="","",Cotations!P49)</f>
        <v/>
      </c>
      <c r="N49" s="724" t="str">
        <f>IF(NAMES!$B$10=TRUE,Cotations!J49,Cotations!L49)</f>
        <v/>
      </c>
      <c r="O49" s="724" t="str">
        <f>IF(NAMES!$B$10=TRUE,Cotations!K49,Cotations!M49)</f>
        <v/>
      </c>
      <c r="P49" s="943" t="str">
        <f t="shared" si="415"/>
        <v/>
      </c>
      <c r="Q49" s="724" t="str">
        <f>IF(A49=FALSE,"",IF(Crewlist!Y49="","",Crewlist!Y49))</f>
        <v/>
      </c>
      <c r="R49" s="78" t="str">
        <f>IF(Cotations!U49="","",Cotations!U49)</f>
        <v/>
      </c>
      <c r="S49" s="943" t="str">
        <f t="shared" si="416"/>
        <v/>
      </c>
      <c r="T49" s="919" t="str">
        <f>IF(A49=FALSE,"",VLOOKUP($U$15:$U$120,Currency!$A$2:$D$10,4,0)*Crewlist!N49)</f>
        <v/>
      </c>
      <c r="U49" s="1355" t="str">
        <f>IF(A49=FALSE,"",IF(IT49=0,Crewlist!M49&amp;"/"&amp;EX49,Crewlist!M49&amp;"/"&amp;IT49))</f>
        <v/>
      </c>
      <c r="V49" s="919" t="str">
        <f>IF(A49=FALSE,"",VLOOKUP($U$15:$U$120,Currency!$A$2:$D$10,4,0)*Detail!Q49)</f>
        <v/>
      </c>
      <c r="W49" s="1355" t="str">
        <f>IF(A49=FALSE,"",IF(IT49=0,Detail!R49&amp;"/"&amp;EX49,Detail!R49&amp;"/"&amp;IT49))</f>
        <v/>
      </c>
      <c r="X49" s="919" t="str">
        <f>IF(A49=FALSE,"",IF(LISTES!$C$17="Crewlist",Calcul!T49,Calcul!V49))</f>
        <v/>
      </c>
      <c r="Y49" s="758" t="str">
        <f t="shared" si="417"/>
        <v/>
      </c>
      <c r="Z49" s="758" t="str">
        <f>IF(A49=FALSE,"",IF(X49=0,0,IF((Cotations!BC49*12*X49)&lt;50000,50000,(12*X49))))</f>
        <v/>
      </c>
      <c r="AA49" s="758" t="str">
        <f t="shared" si="418"/>
        <v/>
      </c>
      <c r="AB49" s="758" t="str">
        <f>IF(A49=FALSE,"",IF(Crewlist!O49=0,"",Crewlist!O49))</f>
        <v/>
      </c>
      <c r="AC49" s="758" t="str">
        <f>IF(I49="","",VLOOKUP($AB$15:$AB$120,Currency!$A$15:$B$34,2,0))</f>
        <v/>
      </c>
      <c r="AD49" s="758" t="str">
        <f t="shared" si="419"/>
        <v/>
      </c>
      <c r="AE49" s="758" t="str">
        <f t="shared" si="420"/>
        <v/>
      </c>
      <c r="AF49" s="758" t="str">
        <f t="shared" si="421"/>
        <v/>
      </c>
      <c r="AG49" s="758" t="str">
        <f t="shared" si="422"/>
        <v/>
      </c>
      <c r="AH49" s="1355" t="str">
        <f t="shared" si="434"/>
        <v/>
      </c>
      <c r="AI49" s="919" t="str">
        <f t="shared" si="423"/>
        <v/>
      </c>
      <c r="AJ49" s="1382" t="str">
        <f t="shared" si="424"/>
        <v/>
      </c>
      <c r="AK49" s="1382" t="str">
        <f t="shared" si="425"/>
        <v/>
      </c>
      <c r="AL49" s="238" t="str">
        <f t="shared" si="435"/>
        <v/>
      </c>
      <c r="AM49" s="238" t="str">
        <f t="shared" si="436"/>
        <v/>
      </c>
      <c r="AN49" s="1374" t="str">
        <f t="shared" si="437"/>
        <v/>
      </c>
      <c r="AO49" s="238" t="str">
        <f t="shared" si="438"/>
        <v/>
      </c>
      <c r="AP49" s="342" t="str">
        <f>IF(A49=FALSE,"",INDEX(Rates!$Z$5:$Z$367,MATCH(EB49,colchoice,0)))</f>
        <v/>
      </c>
      <c r="AQ49" s="238" t="str">
        <f t="shared" si="439"/>
        <v/>
      </c>
      <c r="AR49" s="238" t="str">
        <f t="shared" si="440"/>
        <v/>
      </c>
      <c r="AS49" s="238" t="str">
        <f t="shared" si="441"/>
        <v/>
      </c>
      <c r="AT49" s="238" t="str">
        <f t="shared" si="442"/>
        <v/>
      </c>
      <c r="AU49" s="238" t="str">
        <f t="shared" si="443"/>
        <v/>
      </c>
      <c r="AV49" s="238" t="str">
        <f t="shared" si="429"/>
        <v/>
      </c>
      <c r="AW49" s="238" t="str">
        <f t="shared" si="444"/>
        <v/>
      </c>
      <c r="AX49" s="238" t="str">
        <f t="shared" si="445"/>
        <v/>
      </c>
      <c r="AY49" s="238" t="str">
        <f t="shared" si="446"/>
        <v/>
      </c>
      <c r="AZ49" s="238" t="str">
        <f t="shared" si="447"/>
        <v/>
      </c>
      <c r="BA49" s="238" t="str">
        <f t="shared" si="448"/>
        <v/>
      </c>
      <c r="BB49" s="552" t="str">
        <f t="shared" si="449"/>
        <v/>
      </c>
      <c r="BC49" s="347" t="str">
        <f t="shared" si="450"/>
        <v/>
      </c>
      <c r="BD49" s="239" t="str">
        <f t="shared" si="430"/>
        <v/>
      </c>
      <c r="BE49" s="239" t="str">
        <f>IF(A49=FALSE,"",IF(ALLTHESAME=TRUE,IF(DF49&lt;&gt;$BC$7,0,INDEX(DD49:DZ49,1,MATCH(Structure!$D$12,$DD$14:$DZ$14,0))),IF(EC49&lt;&gt;$BC$7,0,INDEX(EA49:EZ49,1,MATCH(Structure!$D$12,$EA$14:$EZ$14,0)))))</f>
        <v/>
      </c>
      <c r="BF49" s="239" t="str">
        <f>IF(A49=FALSE,"",IF(ALLTHESAME=TRUE,IF(FC49&lt;&gt;$BC$7,0,INDEX(FA49:FZ49,1,MATCH(Structure!$D$12,$FA$14:$FZ$14,0))),IF(GC49&lt;&gt;$BC$7,0,INDEX(GA49:GZ49,1,MATCH(Structure!$D$12,$GA$14:$GZ$14,0)))))</f>
        <v/>
      </c>
      <c r="BG49" s="239" t="str">
        <f>IF(A49=FALSE,"",IF(ALLTHESAME=TRUE,IF(VC49&lt;&gt;$BC$7,0,INDEX(VA49:VZ49,1,MATCH(Structure!$D$12,$VA$14:$VZ$14,0))),IF(VC49&lt;&gt;$BC$7,0,INDEX(VA49:VZ49,1,MATCH(Structure!$D$12,$VA$14:$VZ$14,0)))))</f>
        <v/>
      </c>
      <c r="BH49" s="239" t="str">
        <f>IF(A49=FALSE,"",IF(ALLTHESAME=TRUE,IF(WC49&lt;&gt;$BC$7,0,INDEX(WA49:WY49,1,MATCH(Structure!$D$12,$WA$14:$WZ$14,0))),IF(WC49&lt;&gt;$BC$7,0,INDEX(WA49:WZ49,1,MATCH(Structure!$D$12,$WA$14:$WZ$14,0)))))</f>
        <v/>
      </c>
      <c r="BI49" s="763" t="str">
        <f>IF(A49=FALSE,"",IF(ALLTHESAME=TRUE,IF(HC49&lt;&gt;$BC$7,0,INDEX(HA49:HZ49,1,MATCH(Structure!$D$12,$HA$14:$HZ$14,0)))+TK49,IF(IC49&lt;&gt;$BC$7,0,INDEX(IA49:IZ49,1,MATCH(Structure!$D$12,$IA$14:$IZ$14,0)))+TK49))</f>
        <v/>
      </c>
      <c r="BJ49" s="239" t="str">
        <f>IF(A49=FALSE,"",IF(ALLTHESAME=TRUE,IF(JC49&lt;&gt;$BC$7,0,INDEX(JA49:JZ49,1,MATCH(Structure!$D$12,$JA$14:$JZ$14,0))),IF(KC49&lt;&gt;$BC$7,0,INDEX(KA49:KZ49,1,MATCH(Structure!$D$12,$KA$14:$KZ$14,0)))))</f>
        <v/>
      </c>
      <c r="BK49" s="763" t="str">
        <f>IF(A49=FALSE,"",IF(ALLTHESAME=TRUE,IF(LC49&lt;&gt;$BC$7,0,INDEX(LA49:LZ49,1,MATCH(Structure!$D$12,$LA$14:$LZ$14,0)))+UK49,IF(MC49&lt;&gt;$BC$7,0,INDEX(MA49:MZ49,1,MATCH(Structure!$D$12,$MA$14:$MZ$14,0)))+UK49))</f>
        <v/>
      </c>
      <c r="BL49" s="239" t="str">
        <f>IF(A49=FALSE,"",IF(ALLTHESAME=TRUE,IF(NC49&lt;&gt;$BC$7,0,INDEX(NA49:NZ49,1,MATCH(Structure!$D$12,$NA$14:$NZ$14,0))),IF(OC49&lt;&gt;$BC$7,0,INDEX(OA49:OZ49,1,MATCH(Structure!$D$12,$OA$14:$OZ$14,0)))))</f>
        <v/>
      </c>
      <c r="BM49" s="239" t="str">
        <f>IF(A49=FALSE,"",IF(ALLTHESAME=TRUE,IF(PC49&lt;&gt;$BC$7,0,INDEX(PA49:PZ49,1,MATCH(Structure!$D$12,$PA$14:$PZ$14,0))),IF(QC49&lt;&gt;$BC$7,0,INDEX(QA49:QZ49,1,MATCH(Structure!$D$12,$QA$14:$QZ$14,0)))))</f>
        <v/>
      </c>
      <c r="BN49" s="341" t="str">
        <f>IF(A49=FALSE,"",IF(ALLTHESAME=TRUE,IF(RC49&lt;&gt;$BC$7,0,INDEX(RA49:RZ49,1,MATCH(Structure!$D$12,$RA$14:$RZ$14,0))),IF(SC49&lt;&gt;$BC$7,0,INDEX(SA49:TA49,1,MATCH(Structure!$D$12,$SA$14:$TA$14,0)))))</f>
        <v/>
      </c>
      <c r="BO49" s="507" t="str">
        <f t="shared" si="451"/>
        <v/>
      </c>
      <c r="BP49" s="239" t="str">
        <f t="shared" si="452"/>
        <v/>
      </c>
      <c r="BQ49" s="239" t="str">
        <f>IF(A49=FALSE,"",IF(ALLTHESAME=TRUE,IF(DF49&lt;&gt;$BO$7,0,INDEX(DD49:DZ49,1,MATCH(Structure!$D$12,$DD$14:$DZ$14,0))),IF(EC49&lt;&gt;$BO$7,0,INDEX(EA49:EZ49,1,MATCH(Structure!$D$12,$EA$14:$EZ$14,0)))))</f>
        <v/>
      </c>
      <c r="BR49" s="239" t="str">
        <f>IF(A49=FALSE,"",IF(ALLTHESAME=TRUE,IF(FC49&lt;&gt;$BO$7,0,INDEX(FA49:FZ49,1,MATCH(Structure!$D$12,$FA$14:$FZ$14,0))),IF(GC49&lt;&gt;$BO$7,0,INDEX(GA49:GZ49,1,MATCH(Structure!$D$12,$GA$14:$GZ$14,0)))))</f>
        <v/>
      </c>
      <c r="BS49" s="239" t="str">
        <f>IF(A49=FALSE,"",IF(ALLTHESAME=TRUE,IF(HC49&lt;&gt;$BO$7,0,INDEX(HA49:HZ49,1,MATCH(Structure!$D$12,$HA$14:$HZ$14,0))),IF(IC49&lt;&gt;$BO$7,0,INDEX(IA49:IZ49,1,MATCH(Structure!$D$12,$IA$14:$IZ$14,0)))))</f>
        <v/>
      </c>
      <c r="BT49" s="239" t="str">
        <f>IF(A49=FALSE,"",IF(ALLTHESAME=TRUE,IF(JC49&lt;&gt;$BO$7,0,INDEX(JA49:JZ49,1,MATCH(Structure!$D$12,$JA$14:$JZ$14,0))),IF(KC49&lt;&gt;$BO$7,0,INDEX(KA49:KZ49,1,MATCH(Structure!$D$12,$KA$14:$KZ$14,0)))))</f>
        <v/>
      </c>
      <c r="BU49" s="239" t="str">
        <f>IF(A49=FALSE,"",IF(ALLTHESAME=TRUE,IF(LC49&lt;&gt;$BO$7,0,INDEX(LA49:LZ49,1,MATCH(Structure!$D$12,$LA$14:$LZ$14,0))),IF(MC49&lt;&gt;$BO$7,0,INDEX(MA49:MZ49,1,MATCH(Structure!$D$12,$MA$14:$MZ$14,0)))))</f>
        <v/>
      </c>
      <c r="BV49" s="239" t="str">
        <f>IF(A49=FALSE,"",IF(ALLTHESAME=TRUE,IF(NC49&lt;&gt;$BO$7,0,INDEX(NA49:NZ49,1,MATCH(Structure!$D$12,$NA$14:$NZ$14,0))),IF(OC49&lt;&gt;$BO$7,0,INDEX(OA49:OZ49,1,MATCH(Structure!$D$12,$OA$14:$OZ$14,0)))))</f>
        <v/>
      </c>
      <c r="BW49" s="239" t="str">
        <f>IF(A49=FALSE,"",IF(ALLTHESAME=TRUE,IF(PC49&lt;&gt;$BO$7,0,INDEX(PA49:PZ49,1,MATCH(Structure!$D$12,$PA$14:$PZ$14,0))),IF(QC49&lt;&gt;$BO$7,0,INDEX(QA49:QZ49,1,MATCH(Structure!$D$12,$QA$14:$QZ$14,0)))))</f>
        <v/>
      </c>
      <c r="BX49" s="341" t="str">
        <f>IF(A49=FALSE,"",IF(ALLTHESAME=TRUE,IF(RC49&lt;&gt;$BO$7,0,INDEX(RA49:RZ49,1,MATCH(Structure!$D$12,$RA$14:$RZ$14,0))),IF(SC49&lt;&gt;$BO$7,0,INDEX(SA49:TA49,1,MATCH(Structure!$D$12,$SA$14:$TA$14,0)))))</f>
        <v/>
      </c>
      <c r="BY49" s="347" t="str">
        <f t="shared" si="453"/>
        <v/>
      </c>
      <c r="BZ49" s="507" t="str">
        <f t="shared" si="454"/>
        <v/>
      </c>
      <c r="CA49" s="239" t="str">
        <f t="shared" si="455"/>
        <v/>
      </c>
      <c r="CB49" s="239" t="str">
        <f>IF(A49=FALSE,"",IF(ALLTHESAME=TRUE,INDEX(DD49:DZ49,MATCH(DF49,DF49:DF154,0),MATCH(Structure!$D$17,$DD$14:$DZ$14,0)),INDEX(EA49:EZ49,MATCH(EC49,EC49:EC154,0),MATCH(Structure!$D$17,$EA$14:$EZ$14,0))))</f>
        <v/>
      </c>
      <c r="CC49" s="239" t="str">
        <f>IF(A49=FALSE,"",IF(ALLTHESAME=TRUE,INDEX(FA49:FZ49,MATCH(FC49,FC49:FC154,0),MATCH(Structure!$D$17,$FA$14:$FZ$14,0)),INDEX(GA49:GZ49,MATCH(GC49,GC49:GC154,0),MATCH(Structure!$D$17,$GA$14:$GZ$14,0))))</f>
        <v/>
      </c>
      <c r="CD49" s="239" t="str">
        <f>IF(A49=FALSE,"",IF(ALLTHESAME=TRUE,INDEX(HA49:HZ49,MATCH(HC49,HC49:HC154,0),MATCH(Structure!$D$17,$HA$14:$HZ$14,0)),INDEX(IA49:IZ49,MATCH(IC49,IC49:IC154,0),MATCH(Structure!$D$17,$IA$14:$IZ$14,0))))</f>
        <v/>
      </c>
      <c r="CE49" s="239" t="str">
        <f>IF(A49=FALSE,"",IF(ALLTHESAME=TRUE,INDEX(JA49:JZ49,MATCH(JC49,JC49:JC154,0),MATCH(Structure!$D$17,$JA$14:$JZ$14,0)),INDEX(KA49:KZ49,MATCH(KC49,KC49:KC154,0),MATCH(Structure!$D$17,$KA$14:$KZ$14,0))))</f>
        <v/>
      </c>
      <c r="CF49" s="239" t="str">
        <f>IF(A49=FALSE,"",IF(ALLTHESAME=TRUE,INDEX(LA49:LZ49,MATCH(LC49,LC49:LC154,0),MATCH(Structure!$D$17,$LA$14:$LZ$14,0)),INDEX(MA49:MZ49,MATCH(MC49,MC49:MC154,0),MATCH(Structure!$D$17,$MA$14:$MZ$14,0))))</f>
        <v/>
      </c>
      <c r="CG49" s="239" t="str">
        <f>IF(A49=FALSE,"",IF(ALLTHESAME=TRUE,INDEX(NA49:NZ49,MATCH(NC49,NC49:NC154,0),MATCH(Structure!$D$17,$NA$14:$NZ$14,0)),INDEX(OA49:OZ49,MATCH(OC49,OC49:OC154,0),MATCH(Structure!$D$17,$OA$14:$OZ$14,0))))</f>
        <v/>
      </c>
      <c r="CH49" s="239" t="str">
        <f>IF(A49=FALSE,"",IF(ALLTHESAME=TRUE,INDEX(PA49:PZ49,MATCH(PC49,PC49:PC154,0),MATCH(Structure!$D$17,$PA$14:$PZ$14,0)),INDEX(QA49:QZ49,MATCH(QC49,QC49:QC154,0),MATCH(Structure!$D$17,$QA$14:$QZ$14,0))))</f>
        <v/>
      </c>
      <c r="CI49" s="341" t="str">
        <f>IF(A49=FALSE,"",IF(ALLTHESAME=TRUE,INDEX(RA49:RZ49,MATCH(RC49,RC49:RC154,0),MATCH(Structure!$D$17,$RA$14:$RZ$14,0)),INDEX(SA49:TC49,MATCH(SC49,SC49:SC154,0),MATCH(Structure!$D$17,$SA$14:$TC$14,0))))</f>
        <v/>
      </c>
      <c r="CJ49" s="347"/>
      <c r="CK49" s="239" t="str">
        <f t="shared" si="456"/>
        <v/>
      </c>
      <c r="CL49" s="239" t="str">
        <f>IF(A49=FALSE,"",IF(ALLTHESAME=TRUE,INDEX(DD49:DZ49,MATCH(DF49,DF49:DF154,0),MATCH(Structure!$D$22,$DD$14:$DZ$14,0)),INDEX(EA49:EZ49,MATCH(EC49,EC49:EC154,0),MATCH(Structure!$D$22,$EA$14:$EZ$14,0))))</f>
        <v/>
      </c>
      <c r="CM49" s="239" t="str">
        <f>IF(A49=FALSE,"",IF(ALLTHESAME=TRUE,INDEX(FA49:FZ49,MATCH(FC49,FC49:FC154,0),MATCH(Structure!$D$22,$FA$14:$FZ$14,0)),INDEX(GA49:GZ49,MATCH(GC49,GC49:GC154,0),MATCH(Structure!$D$22,$GA$14:$GZ$14,0))))</f>
        <v/>
      </c>
      <c r="CN49" s="239" t="str">
        <f>IF(A49=FALSE,"",IF(ALLTHESAME=TRUE,INDEX(HA49:HZ49,MATCH(HC49,HC49:HC154,0),MATCH(Structure!$D$22,$HA$14:$HZ$14,0)),INDEX(IA49:IZ49,MATCH(IC49,IC49:IC154,0),MATCH(Structure!$D$22,$IA$14:$IZ$14,0))))</f>
        <v/>
      </c>
      <c r="CO49" s="239" t="str">
        <f>IF(A49=FALSE,"",IF(ALLTHESAME=TRUE,INDEX(JA49:JZ49,MATCH(JC49,JC49:JC154,0),MATCH(Structure!$D$22,$JA$14:$JZ$14,0)),INDEX(KA49:KZ49,MATCH(KC49,KC49:KC154,0),MATCH(Structure!$D$22,$KA$14:$KZ$14,0))))</f>
        <v/>
      </c>
      <c r="CP49" s="239" t="str">
        <f>IF(A49=FALSE,"",IF(ALLTHESAME=TRUE,INDEX(LA49:LZ49,MATCH(LC49,LC49:LC154,0),MATCH(Structure!$D$22,$LA$14:$LZ$14,0)),INDEX(MA49:MZ49,MATCH(MC49,MC49:MC154,0),MATCH(Structure!$D$22,$MA$14:$MZ$14,0))))</f>
        <v/>
      </c>
      <c r="CQ49" s="239" t="str">
        <f>IF(A49=FALSE,"",IF(ALLTHESAME=TRUE,INDEX(NA49:NZ49,MATCH(NC49,NC49:NC154,0),MATCH(Structure!$D$22,$NA$14:$NZ$14,0)),INDEX(OA49:OZ49,MATCH(OC49,OC49:OC154,0),MATCH(Structure!$D$22,$OA$14:$OZ$14,0))))</f>
        <v/>
      </c>
      <c r="CR49" s="239" t="str">
        <f>IF(A49=FALSE,"",IF(ALLTHESAME=TRUE,INDEX(PA49:PZ49,MATCH(PC49,PC49:PC154,0),MATCH(Structure!$D$22,$PA$14:$PZ$14,0)),INDEX(QA49:QZ49,MATCH(QC49,QC49:QC154,0),MATCH(Structure!$D$22,$QA$14:$QZ$14,0))))</f>
        <v/>
      </c>
      <c r="CS49" s="341" t="str">
        <f>IF(A49=FALSE,"",IF(ALLTHESAME=TRUE,INDEX(RA49:RZ49,MATCH(RC49,RC49:RC154,0),MATCH(Structure!$D$22,$RA$14:$RZ$14,0)),INDEX(SA49:TC49,MATCH(SC49,SC49:SC154,0),MATCH(Structure!$D$22,$SA$14:$TC$14,0))))</f>
        <v/>
      </c>
      <c r="CT49" s="347"/>
      <c r="CU49" s="239" t="str">
        <f t="shared" si="457"/>
        <v/>
      </c>
      <c r="CV49" s="239" t="str">
        <f>IF(A49=FALSE,"",IF(ALLTHESAME=TRUE,INDEX(DD49:DZ49,MATCH(DF49,DF49:DF154,0),MATCH(Structure!$D$8,$DD$14:$DZ$14,0)),INDEX(EA49:EZ49,MATCH(EC49,EC49:EC154,0),MATCH(Structure!$D$8,$EA$14:$EZ$14,0))))</f>
        <v/>
      </c>
      <c r="CW49" s="239" t="str">
        <f>IF(A49=FALSE,"",IF(ALLTHESAME=TRUE,INDEX(FA49:FZ49,MATCH(FC49,FC49:FC154,0),MATCH(Structure!$D$8,$FA$14:$FZ$14,0)),INDEX(GA49:GZ49,MATCH(GC49,GC49:GC154,0),MATCH(Structure!$D$8,$GA$14:$GZ$14,0))))</f>
        <v/>
      </c>
      <c r="CX49" s="239" t="str">
        <f>IF(A49=FALSE,"",IF(ALLTHESAME=TRUE,INDEX(HA49:HZ49,MATCH(HC49,HC49:HC154,0),MATCH(Structure!$D$8,$HA$14:$HZ$14,0)),INDEX(IA49:IZ49,MATCH(IC49,IC49:IC154,0),MATCH(Structure!$D$8,$IA$14:$IZ$14,0))))</f>
        <v/>
      </c>
      <c r="CY49" s="239" t="str">
        <f>IF(A49=FALSE,"",IF(ALLTHESAME=TRUE,INDEX(JA49:JZ49,MATCH(JC49,JC49:JC154,0),MATCH(Structure!$D$8,$JA$14:$JZ$14,0)),INDEX(KA49:KZ49,MATCH(KC49,KC49:KC154,0),MATCH(Structure!$D$8,$KA$14:$KZ$14,0))))</f>
        <v/>
      </c>
      <c r="CZ49" s="239" t="str">
        <f>IF(A49=FALSE,"",IF(ALLTHESAME=TRUE,INDEX(LA49:LZ49,MATCH(LC49,LC49:LC154,0),MATCH(Structure!$D$8,$LA$14:$LZ$14,0)),INDEX(MA49:MZ49,MATCH(MC49,MC49:MC154,0),MATCH(Structure!$D$8,$MA$14:$MZ$14,0))))</f>
        <v/>
      </c>
      <c r="DA49" s="239" t="str">
        <f>IF(A49=FALSE,"",IF(ALLTHESAME=TRUE,INDEX(NA49:NZ49,MATCH(NC49,NC49:NC154,0),MATCH(Structure!$D$8,$NA$14:$NZ$14,0)),INDEX(OA49:OZ49,MATCH(OC49,OC49:OC154,0),MATCH(Structure!$D$8,$OA$14:$OZ$14,0))))</f>
        <v/>
      </c>
      <c r="DB49" s="239" t="str">
        <f>IF(A49=FALSE,"",IF(ALLTHESAME=TRUE,INDEX(PA49:PZ49,MATCH(PC49,PC49:PC154,0),MATCH(Structure!$D$8,$PA$14:$PZ$14,0)),INDEX(QA49:QZ49,MATCH(QC49,QC49:QC154,0),MATCH(Structure!$D$8,$QA$14:$QZ$14,0))))</f>
        <v/>
      </c>
      <c r="DC49" s="341" t="str">
        <f>IF(A49=FALSE,"",IF(ALLTHESAME=TRUE,INDEX(RA49:RZ49,MATCH(RC49,RC49:RC154,0),MATCH(Structure!$D$8,$RA$14:$RZ$14,0)),INDEX(SA49:TC49,MATCH(SC49,SC49:SC154,0),MATCH(Structure!$D$8,$SA$14:$TC$14,0))))</f>
        <v/>
      </c>
      <c r="DD49" s="492" t="str">
        <f>IF(A49=FALSE,"",Cotations!D49)</f>
        <v/>
      </c>
      <c r="DE49" s="492" t="str">
        <f>IF(A49=FALSE,"",IF(LISTES!$A$17=1,Cotations!AF49,Cotations!$AG$4))</f>
        <v/>
      </c>
      <c r="DF49" s="291" t="str">
        <f t="shared" si="458"/>
        <v/>
      </c>
      <c r="DG49" s="291" t="str">
        <f t="shared" si="459"/>
        <v/>
      </c>
      <c r="DH49" s="291"/>
      <c r="DI49" s="463"/>
      <c r="DJ49" s="463" t="str">
        <f t="shared" si="460"/>
        <v/>
      </c>
      <c r="DK49" s="522" t="str">
        <f>IF(A49=FALSE,"",IF(Cotations!$AH$4="monthly",DJ49/12*L49,DJ49/365*M49))</f>
        <v/>
      </c>
      <c r="DL49" s="489" t="str">
        <f>IF(A49=FALSE,"",Cotations!$AI$4)</f>
        <v/>
      </c>
      <c r="DM49" s="300" t="str">
        <f t="shared" si="461"/>
        <v/>
      </c>
      <c r="DN49" s="300" t="str">
        <f t="shared" si="462"/>
        <v/>
      </c>
      <c r="DO49" s="294" t="str">
        <f t="shared" si="463"/>
        <v/>
      </c>
      <c r="DP49" s="494" t="str">
        <f>IF(A49=FALSE,"",Cotations!$AJ$4)</f>
        <v/>
      </c>
      <c r="DQ49" s="494" t="str">
        <f>IF(A49=FALSE,"",Cotations!$AK$4)</f>
        <v/>
      </c>
      <c r="DR49" s="489" t="str">
        <f>IF(A49=FALSE,"",Cotations!$AL$4)</f>
        <v/>
      </c>
      <c r="DS49" s="494" t="str">
        <f>IF(A49=FALSE,"",IF(DP49="N/A",0,IF(INDEX(LISTES!$F$105:$F$109,MATCH(DP49,LISTES!$C$105:$C$109,0))="FIX",IF(INDEX(LISTES!$E$105:$E$109,MATCH(DP49,LISTES!$C$105:$C$109,0))=12,DQ49/12*L49,DQ49/365*M49),DR49*DO49)))</f>
        <v/>
      </c>
      <c r="DT49" s="294" t="str">
        <f t="shared" si="464"/>
        <v/>
      </c>
      <c r="DU49" s="294" t="str">
        <f>IF(A49=FALSE,"",DT49*Cotations!$AM$4)</f>
        <v/>
      </c>
      <c r="DV49" s="294" t="str">
        <f>IF(A49=FALSE,"",DT49*Cotations!$AN$4)</f>
        <v/>
      </c>
      <c r="DW49" s="465" t="str">
        <f t="shared" si="465"/>
        <v/>
      </c>
      <c r="DX49" s="919" t="str">
        <f>IF(A49=FALSE,"",((DJ49*TAXE)-(DJ49*TAXE*DL49))+IF(DP49="N/A",0,IF(INDEX(LISTES!$F$105:$F$109,MATCH(DP49,LISTES!$C$105:$C$109,0))="FIX",DQ49,DR49*DO49)))</f>
        <v/>
      </c>
      <c r="DY49" s="466"/>
      <c r="DZ49" s="466"/>
      <c r="EA49" s="492" t="str">
        <f>IF(A49=FALSE,"",Cotations!D49)</f>
        <v/>
      </c>
      <c r="EB49" s="494" t="str">
        <f>IF(A49=FALSE,"",IF(LISTES!$A$17=1,Cotations!AF49,Cotations!AG49))</f>
        <v/>
      </c>
      <c r="EC49" s="284" t="str">
        <f t="shared" si="466"/>
        <v/>
      </c>
      <c r="ED49" s="284" t="str">
        <f t="shared" si="467"/>
        <v/>
      </c>
      <c r="EE49" s="284"/>
      <c r="EF49" s="284"/>
      <c r="EG49" s="284" t="str">
        <f t="shared" si="468"/>
        <v/>
      </c>
      <c r="EH49" s="1365" t="str">
        <f t="shared" si="469"/>
        <v/>
      </c>
      <c r="EI49" s="1365" t="str">
        <f t="shared" si="470"/>
        <v/>
      </c>
      <c r="EJ49" s="515" t="str">
        <f>IF(A49=FALSE,"",IF(Cotations!AH49="monthly",EG49/12*L49,EG49/365*M49))</f>
        <v/>
      </c>
      <c r="EK49" s="1364" t="str">
        <f>IF(A49=FALSE,"",IF(Cotations!AH49="monthly",EI49/12*L49,EI49/365*M49))</f>
        <v/>
      </c>
      <c r="EL49" s="493" t="str">
        <f>IF(A49=FALSE,"",IF(Cotations!AI49="","",Cotations!AI49))</f>
        <v/>
      </c>
      <c r="EM49" s="284" t="str">
        <f t="shared" si="471"/>
        <v/>
      </c>
      <c r="EN49" s="284" t="str">
        <f t="shared" si="472"/>
        <v/>
      </c>
      <c r="EO49" s="1365" t="str">
        <f t="shared" si="432"/>
        <v/>
      </c>
      <c r="EP49" s="284" t="str">
        <f t="shared" si="473"/>
        <v/>
      </c>
      <c r="EQ49" s="515" t="str">
        <f>IF(A49=FALSE,"",Cotations!AJ49)</f>
        <v/>
      </c>
      <c r="ER49" s="515" t="str">
        <f>IF(A49=FALSE,"",IF(Cotations!AK49="","",Cotations!AK49))</f>
        <v/>
      </c>
      <c r="ES49" s="493" t="str">
        <f>IF(A49=FALSE,"",Cotations!AL49)</f>
        <v/>
      </c>
      <c r="ET49" s="515" t="str">
        <f>IF(A49=FALSE,"",IF(EQ49="N/A",0,IF(INDEX(LISTES!$F$105:$F$109,MATCH(EQ49,LISTES!$C$105:$C$109,0))="FIX",IF(INDEX(LISTES!$E$105:$E$109,MATCH(EQ49,LISTES!$C$105:$C$109,0))=12,ER49/12*L49,ER49/365*M49),ES49*EP49)))</f>
        <v/>
      </c>
      <c r="EU49" s="294" t="str">
        <f t="shared" si="474"/>
        <v/>
      </c>
      <c r="EV49" s="494" t="str">
        <f>IF(A49=FALSE,"",EU49*Cotations!AM49)</f>
        <v/>
      </c>
      <c r="EW49" s="494" t="str">
        <f>IF(A49=FALSE,"",EU49*Cotations!AN49)</f>
        <v/>
      </c>
      <c r="EX49" s="334" t="str">
        <f t="shared" si="475"/>
        <v/>
      </c>
      <c r="EY49" s="919" t="str">
        <f>IF(A49=FALSE,"",((EG49*TAXE)-(EG49*TAXE*EL49)+EH49)+IF(EQ49="N/A",0,IF(INDEX(LISTES!$F$105:$F$109,MATCH(EQ49,LISTES!$C$105:$C$109,0))="FIX",ER49,ES49*EP49)))</f>
        <v/>
      </c>
      <c r="FA49" s="492" t="str">
        <f>IF(A49=FALSE,"",Cotations!D49)</f>
        <v/>
      </c>
      <c r="FB49" s="519" t="str">
        <f>IF(A49=FALSE,"",IF(LISTES!$A$17=1,Cotations!AO49,Cotations!$AP$4))</f>
        <v/>
      </c>
      <c r="FC49" s="291" t="str">
        <f t="shared" si="476"/>
        <v/>
      </c>
      <c r="FD49" s="291" t="str">
        <f t="shared" si="477"/>
        <v/>
      </c>
      <c r="FE49" s="291"/>
      <c r="FF49" s="463"/>
      <c r="FG49" s="463" t="str">
        <f t="shared" si="478"/>
        <v/>
      </c>
      <c r="FH49" s="522" t="str">
        <f>IF(A49=FALSE,"",IF(Cotations!$AQ$4="monthly",FG49/12*L49,FG49/365*M49))</f>
        <v/>
      </c>
      <c r="FI49" s="453" t="str">
        <f>IF(A49=FALSE,"",Cotations!$AR$4)</f>
        <v/>
      </c>
      <c r="FJ49" s="300" t="str">
        <f t="shared" si="479"/>
        <v/>
      </c>
      <c r="FK49" s="300" t="str">
        <f t="shared" si="480"/>
        <v/>
      </c>
      <c r="FL49" s="294" t="str">
        <f t="shared" si="481"/>
        <v/>
      </c>
      <c r="FM49" s="494" t="str">
        <f>IF(A49=FALSE,"",Cotations!$AS$4)</f>
        <v/>
      </c>
      <c r="FN49" s="494" t="str">
        <f>IF(A49=FALSE,"",Cotations!$AT$4)</f>
        <v/>
      </c>
      <c r="FO49" s="489" t="str">
        <f>IF(A49=FALSE,"",Cotations!$AU$4)</f>
        <v/>
      </c>
      <c r="FP49" s="494" t="str">
        <f>IF(A49=FALSE,"",IF(FM49="N/A",0,IF(INDEX(LISTES!$F$105:$F$109,MATCH(FM49,LISTES!$C$105:$C$109,0))="FIX",IF(INDEX(LISTES!$E$105:$E$109,MATCH(FM49,LISTES!$C$105:$C$109,0))=12,FN49/12*L49,FN49/365*M49),FO49*FL49)))</f>
        <v/>
      </c>
      <c r="FQ49" s="294" t="str">
        <f t="shared" si="482"/>
        <v/>
      </c>
      <c r="FR49" s="494" t="str">
        <f>IF(A49=FALSE,"",FQ49*Cotations!$AV$4)</f>
        <v/>
      </c>
      <c r="FS49" s="494" t="str">
        <f>IF(A49=FALSE,"",FQ49*Cotations!$AW$4)</f>
        <v/>
      </c>
      <c r="FT49" s="465" t="str">
        <f t="shared" si="483"/>
        <v/>
      </c>
      <c r="FU49" s="919" t="str">
        <f>IF(A49=FALSE,"",((FG49*TAXE)-(FG49*TAXE*FI49))+IF(FM49="N/A",0,IF(INDEX(LISTES!$F$105:$F$109,MATCH(FM49,LISTES!$C$105:$C$109,0))="FIX",FN49,FO49*FL49)))</f>
        <v/>
      </c>
      <c r="FV49" s="478"/>
      <c r="FW49" s="478"/>
      <c r="FX49" s="478"/>
      <c r="FY49" s="478"/>
      <c r="FZ49" s="478"/>
      <c r="GA49" s="492" t="str">
        <f>IF(A49=FALSE,"",Cotations!D49)</f>
        <v/>
      </c>
      <c r="GB49" s="494" t="str">
        <f>IF(A49=FALSE,"",IF(LISTES!$A$17=1,Cotations!AO49,Cotations!AP49))</f>
        <v/>
      </c>
      <c r="GC49" s="284" t="str">
        <f t="shared" si="484"/>
        <v/>
      </c>
      <c r="GD49" s="515" t="str">
        <f>IF(A49=FALSE,"",IF(Detail!AM49="","",Detail!AM49))</f>
        <v/>
      </c>
      <c r="GE49" s="284"/>
      <c r="GF49" s="284"/>
      <c r="GG49" s="284" t="str">
        <f t="shared" si="485"/>
        <v/>
      </c>
      <c r="GH49" s="515" t="str">
        <f>IF(A49=FALSE,"",IF(Cotations!AQ49="monthly",GG49/12*L49,GG49/365*M49))</f>
        <v/>
      </c>
      <c r="GI49" s="493" t="str">
        <f>IF(A49=FALSE,"",IF(Cotations!AR49="","",Cotations!AR49))</f>
        <v/>
      </c>
      <c r="GJ49" s="284" t="str">
        <f t="shared" si="486"/>
        <v/>
      </c>
      <c r="GK49" s="284" t="str">
        <f t="shared" si="487"/>
        <v/>
      </c>
      <c r="GL49" s="284" t="str">
        <f t="shared" si="488"/>
        <v/>
      </c>
      <c r="GM49" s="515" t="str">
        <f>IF(A49=FALSE,"",Cotations!AS49)</f>
        <v/>
      </c>
      <c r="GN49" s="515" t="str">
        <f>IF(A49=FALSE,"",Cotations!AT49)</f>
        <v/>
      </c>
      <c r="GO49" s="493" t="str">
        <f>IF(A49=FALSE,"",Cotations!AU49)</f>
        <v/>
      </c>
      <c r="GP49" s="515" t="str">
        <f>IF(A49=FALSE,"",IF(GM49="N/A",0,IF(INDEX(LISTES!$F$105:$F$109,MATCH(GM49,LISTES!$C$105:$C$109,0))="FIX",IF(INDEX(LISTES!$E$105:$E$109,MATCH(GM49,LISTES!$C$105:$C$109,0))=12,GN49/12*L49,GN49/365*M49),GO49*GL49)))</f>
        <v/>
      </c>
      <c r="GQ49" s="294" t="str">
        <f t="shared" si="489"/>
        <v/>
      </c>
      <c r="GR49" s="494" t="str">
        <f>IF(A49=FALSE,"",GQ49*Cotations!AV49)</f>
        <v/>
      </c>
      <c r="GS49" s="494" t="str">
        <f>IF(A49=FALSE,"",GQ49*Cotations!AW49)</f>
        <v/>
      </c>
      <c r="GT49" s="334" t="str">
        <f t="shared" si="490"/>
        <v/>
      </c>
      <c r="GU49" s="919" t="str">
        <f>IF(A49=FALSE,"",((GG49*TAXE)-(GG49*TAXE*GI49))+IF(GM49="N/A",0,IF(INDEX(LISTES!$F$105:$F$109,MATCH(GM49,LISTES!$C$105:$C$109,0))="FIX",GN49,GO49*GL49)))</f>
        <v/>
      </c>
      <c r="GV49" s="478"/>
      <c r="GW49" s="466"/>
      <c r="GX49" s="466"/>
      <c r="GY49" s="466"/>
      <c r="GZ49" s="466"/>
      <c r="HA49" s="492" t="str">
        <f>IF(A49=FALSE,"",Cotations!D49)</f>
        <v/>
      </c>
      <c r="HB49" s="495" t="str">
        <f>IF(A49=FALSE,"",IF(LISTES!$A$17=1,Cotations!AX49,Cotations!$AY$4))</f>
        <v/>
      </c>
      <c r="HC49" s="291" t="str">
        <f t="shared" si="491"/>
        <v/>
      </c>
      <c r="HD49" s="291" t="str">
        <f t="shared" si="492"/>
        <v/>
      </c>
      <c r="HE49" s="456" t="str">
        <f t="shared" si="493"/>
        <v/>
      </c>
      <c r="HF49" s="496" t="str">
        <f>IF(A49=FALSE,"",IF(HA49="POEA",Cotations!BA49,IF(HA49="FIXE",Cotations!$BA$4,Cotations!$BC$4*Y49)))</f>
        <v/>
      </c>
      <c r="HG49" s="300" t="str">
        <f t="shared" si="494"/>
        <v/>
      </c>
      <c r="HH49" s="522" t="str">
        <f>IF(A49=FALSE,"",IF(Cotations!$AZ$4="monthly",HG49/12*L49,HG49/365*M49))</f>
        <v/>
      </c>
      <c r="HI49" s="489" t="str">
        <f>IF(A49=FALSE,"",Cotations!$BD$4)</f>
        <v/>
      </c>
      <c r="HJ49" s="300" t="str">
        <f t="shared" si="495"/>
        <v/>
      </c>
      <c r="HK49" s="300" t="str">
        <f t="shared" si="496"/>
        <v/>
      </c>
      <c r="HL49" s="294" t="str">
        <f t="shared" si="497"/>
        <v/>
      </c>
      <c r="HM49" s="494" t="str">
        <f>IF(A49=FALSE,"",Cotations!$BE$4)</f>
        <v/>
      </c>
      <c r="HN49" s="522" t="str">
        <f>IF(A49=FALSE,"",Cotations!$BF$4)</f>
        <v/>
      </c>
      <c r="HO49" s="489" t="str">
        <f>IF(A49=FALSE,"",Cotations!$BG$4)</f>
        <v/>
      </c>
      <c r="HP49" s="494" t="str">
        <f>IF(A49=FALSE,"",IF(HM49="N/A",0,IF(INDEX(LISTES!$F$105:$F$109,MATCH(HM49,LISTES!$C$105:$C$109,0))="FIX",IF(INDEX(LISTES!$E$105:$E$109,MATCH(HM49,LISTES!$C$105:$C$109,0))=12,HN49/12*L49,HN49/365*M49),HO49*HL49)))</f>
        <v/>
      </c>
      <c r="HQ49" s="294" t="str">
        <f t="shared" si="498"/>
        <v/>
      </c>
      <c r="HR49" s="494" t="str">
        <f>IF(A49=FALSE,"",HQ49*Cotations!$BH$4)</f>
        <v/>
      </c>
      <c r="HS49" s="494" t="str">
        <f>IF(A49=FALSE,"",HQ49*Cotations!$BI$4)</f>
        <v/>
      </c>
      <c r="HT49" s="294" t="str">
        <f t="shared" si="499"/>
        <v/>
      </c>
      <c r="HU49" s="919" t="str">
        <f>IF(A49=FALSE,"",((HG49*TAXE)-(HG49*TAXE*HI49))+IF(HM49="N/A",0,IF(INDEX(LISTES!$F$105:$F$109,MATCH(HM49,LISTES!$C$105:$C$109,0))="FIX",HN49,HO49*HL49)))</f>
        <v/>
      </c>
      <c r="IA49" s="492" t="str">
        <f>IF(A49=FALSE,"",Cotations!D49)</f>
        <v/>
      </c>
      <c r="IB49" s="491" t="str">
        <f>IF(A49=FALSE,"",IF(LISTES!$A$17=1,Cotations!AX49,Cotations!AY49))</f>
        <v/>
      </c>
      <c r="IC49" s="285" t="str">
        <f t="shared" si="500"/>
        <v/>
      </c>
      <c r="ID49" s="300" t="str">
        <f>IF(A49=FALSE,"",IF(LISTES!$A$17=3,Detail!AU49,lig1_Formula_PREVOY))</f>
        <v/>
      </c>
      <c r="IE49" s="461" t="str">
        <f t="shared" si="501"/>
        <v/>
      </c>
      <c r="IF49" s="490" t="str">
        <f>IF(A49=FALSE,"",IF(IA49="POEA",Cotations!BA49,IF(HA49="FIXE",Cotations!BB49,IF(Cotations!BC49*Y49&lt;50000,Z49,Cotations!BC49*Y49))))</f>
        <v/>
      </c>
      <c r="IG49" s="300" t="str">
        <f t="shared" si="502"/>
        <v/>
      </c>
      <c r="IH49" s="522" t="str">
        <f>IF(A49=FALSE,"",IF(Cotations!AZ49="monthly",IG49/12*L49,IG49/365*M49))</f>
        <v/>
      </c>
      <c r="II49" s="489" t="str">
        <f>IF(A49=FALSE,"",IF(Cotations!BD49="","",Cotations!BD49))</f>
        <v/>
      </c>
      <c r="IJ49" s="300" t="str">
        <f t="shared" si="503"/>
        <v/>
      </c>
      <c r="IK49" s="300" t="str">
        <f t="shared" si="504"/>
        <v/>
      </c>
      <c r="IL49" s="919" t="str">
        <f t="shared" si="505"/>
        <v/>
      </c>
      <c r="IM49" s="517" t="str">
        <f>IF(A49=FALSE,"",Cotations!BE49)</f>
        <v/>
      </c>
      <c r="IN49" s="517" t="str">
        <f>IF(A49=FALSE,"",Cotations!BF49)</f>
        <v/>
      </c>
      <c r="IO49" s="493" t="str">
        <f>IF(A49=FALSE,"",Cotations!BG49)</f>
        <v/>
      </c>
      <c r="IP49" s="517" t="str">
        <f>IF(A49=FALSE,"",IF(IM49="N/A",0,IF(INDEX(LISTES!$F$105:$F$109,MATCH(IM49,LISTES!$C$105:$C$109,0))="FIX",IF(INDEX(LISTES!$E$105:$E$109,MATCH(IM49,LISTES!$C$105:$C$109,0))=12,IN49/12*L49,IN49/365*M49),IO49*IL49)))</f>
        <v/>
      </c>
      <c r="IQ49" s="294" t="str">
        <f t="shared" si="506"/>
        <v/>
      </c>
      <c r="IR49" s="494" t="str">
        <f>IF(A49=FALSE,"",IQ49*Cotations!BH49)</f>
        <v/>
      </c>
      <c r="IS49" s="494" t="str">
        <f>IF(A49=FALSE,"",IQ49*Cotations!BI49)</f>
        <v/>
      </c>
      <c r="IT49" s="338" t="str">
        <f t="shared" si="507"/>
        <v/>
      </c>
      <c r="IU49" s="919" t="str">
        <f>IF(A49=FALSE,"",((IG49*TAXE)-(IG49*TAXE*II49))+IF(IM49="N/A",0,IF(INDEX(LISTES!$F$105:$F$109,MATCH(IM49,LISTES!$C$105:$C$109,0))="FIX",IN49,IO49*IL49)))</f>
        <v/>
      </c>
      <c r="JA49" s="492" t="str">
        <f>IF(A49=FALSE,"",Cotations!D49)</f>
        <v/>
      </c>
      <c r="JB49" s="495" t="str">
        <f>IF(A49=FALSE,"",IF(LISTES!$A$17=1,Cotations!BJ49,Cotations!$BK$4))</f>
        <v/>
      </c>
      <c r="JC49" s="291" t="str">
        <f t="shared" si="508"/>
        <v/>
      </c>
      <c r="JD49" s="291" t="str">
        <f t="shared" si="509"/>
        <v/>
      </c>
      <c r="JE49" s="456" t="str">
        <f t="shared" si="510"/>
        <v/>
      </c>
      <c r="JF49" s="496" t="str">
        <f>IF(A49=FALSE,"",IF(JA49="POEA",Cotations!BM49,IF(JA49="FIXE",Cotations!$BM$4,Cotations!$BO$4*Y49)))</f>
        <v/>
      </c>
      <c r="JG49" s="300" t="str">
        <f t="shared" si="511"/>
        <v/>
      </c>
      <c r="JH49" s="522" t="str">
        <f>IF(A49=FALSE,"",IF(Cotations!$BL$4="monthly",JG49/12*L49,JG49/365*M49))</f>
        <v/>
      </c>
      <c r="JI49" s="489" t="str">
        <f>IF(A49=FALSE,"",Cotations!$BP$4)</f>
        <v/>
      </c>
      <c r="JJ49" s="300" t="str">
        <f t="shared" si="512"/>
        <v/>
      </c>
      <c r="JK49" s="300" t="str">
        <f t="shared" si="513"/>
        <v/>
      </c>
      <c r="JL49" s="294" t="str">
        <f t="shared" si="514"/>
        <v/>
      </c>
      <c r="JM49" s="494" t="str">
        <f>IF(A49=FALSE,"",Cotations!$BQ$4)</f>
        <v/>
      </c>
      <c r="JN49" s="522" t="str">
        <f>IF(A49=FALSE,"",Cotations!$BR$4)</f>
        <v/>
      </c>
      <c r="JO49" s="489" t="str">
        <f>IF(A49=FALSE,"",Cotations!$BS$4)</f>
        <v/>
      </c>
      <c r="JP49" s="494" t="str">
        <f>IF(A49=FALSE,"",IF(JM49="N/A",0,IF(INDEX(LISTES!$F$105:$F$109,MATCH(JM49,LISTES!$C$105:$C$109,0))="FIX",IF(INDEX(LISTES!$E$105:$E$109,MATCH(JM49,LISTES!$C$105:$C$109,0))=12,JN49/12*L49,JN49/365*M49),JO49*JL49)))</f>
        <v/>
      </c>
      <c r="JQ49" s="294" t="str">
        <f t="shared" si="515"/>
        <v/>
      </c>
      <c r="JR49" s="494" t="str">
        <f>IF(A49=FALSE,"",JQ49*Cotations!$BT$4)</f>
        <v/>
      </c>
      <c r="JS49" s="494" t="str">
        <f>IF(A49=FALSE,"",JQ49*Cotations!$BU$4)</f>
        <v/>
      </c>
      <c r="JT49" s="294" t="str">
        <f t="shared" si="516"/>
        <v/>
      </c>
      <c r="JU49" s="919" t="str">
        <f>IF(A49=FALSE,"",((JG49*TAXE)-(JG49*TAXE*JI49))+IF(JM49="N/A",0,IF(INDEX(LISTES!$F$105:$F$109,MATCH(JM49,LISTES!$C$105:$C$109,0))="FIX",JN49,JO49*JL49)))</f>
        <v/>
      </c>
      <c r="KA49" s="492" t="str">
        <f>IF(A49=FALSE,"",Cotations!D49)</f>
        <v/>
      </c>
      <c r="KB49" s="491" t="str">
        <f>IF(A49=FALSE,"",IF(LISTES!$A$17=1,Cotations!BJ49,Cotations!BK49))</f>
        <v/>
      </c>
      <c r="KC49" s="285" t="str">
        <f t="shared" si="517"/>
        <v/>
      </c>
      <c r="KD49" s="300"/>
      <c r="KE49" s="461" t="str">
        <f t="shared" si="518"/>
        <v/>
      </c>
      <c r="KF49" s="490" t="str">
        <f>IF(A49=FALSE,"",IF(KA49="POEA",Cotations!BM49,IF(KA49="FIXE",Cotations!BN49,IF(Cotations!BO49*Y49&lt;50000,Z49,Cotations!BO49*Y49))))</f>
        <v/>
      </c>
      <c r="KG49" s="300" t="str">
        <f t="shared" si="519"/>
        <v/>
      </c>
      <c r="KH49" s="522" t="str">
        <f>IF(A49=FALSE,"",IF(Cotations!BL49="monthly",KG49/12*L49,KG49/365*M49))</f>
        <v/>
      </c>
      <c r="KI49" s="489" t="str">
        <f>IF(A49=FALSE,"",IF(Cotations!BP49="","",Cotations!BP49))</f>
        <v/>
      </c>
      <c r="KJ49" s="300" t="str">
        <f t="shared" si="520"/>
        <v/>
      </c>
      <c r="KK49" s="300" t="str">
        <f t="shared" si="521"/>
        <v/>
      </c>
      <c r="KL49" s="919" t="str">
        <f t="shared" si="522"/>
        <v/>
      </c>
      <c r="KM49" s="517" t="str">
        <f>IF(A49=FALSE,"",Cotations!BQ49)</f>
        <v/>
      </c>
      <c r="KN49" s="515" t="str">
        <f>IF(A49=FALSE,"",Cotations!BR49)</f>
        <v/>
      </c>
      <c r="KO49" s="493" t="str">
        <f>IF(A49=FALSE,"",Cotations!BS49)</f>
        <v/>
      </c>
      <c r="KP49" s="517" t="str">
        <f>IF(A49=FALSE,"",IF(KM49="N/A",0,IF(INDEX(LISTES!$F$105:$F$109,MATCH(KM49,LISTES!$C$105:$C$109,0))="FIX",IF(INDEX(LISTES!$E$105:$E$109,MATCH(KM49,LISTES!$C$105:$C$109,0))=12,KN49/12*L49,KN49/365*M49),KO49*KL49)))</f>
        <v/>
      </c>
      <c r="KQ49" s="294" t="str">
        <f t="shared" si="523"/>
        <v/>
      </c>
      <c r="KR49" s="494" t="str">
        <f>IF(A49=FALSE,"",KQ49*Cotations!BT49)</f>
        <v/>
      </c>
      <c r="KS49" s="494" t="str">
        <f>IF(A49=FALSE,"",KQ49*Cotations!BU49)</f>
        <v/>
      </c>
      <c r="KT49" s="338" t="str">
        <f t="shared" si="524"/>
        <v/>
      </c>
      <c r="KU49" s="919" t="str">
        <f>IF(A49=FALSE,"",((KG49*TAXE)-(KG49*TAXE*KI49))+IF(KM49="N/A",0,IF(INDEX(LISTES!$F$105:$F$109,MATCH(KM49,LISTES!$C$105:$C$109,0))="FIX",KN49,KO49*KL49)))</f>
        <v/>
      </c>
      <c r="LA49" s="497" t="str">
        <f>IF(A49=FALSE,"",Cotations!D49)</f>
        <v/>
      </c>
      <c r="LB49" s="498" t="str">
        <f>IF(A49=FALSE,"",IF(LISTES!$A$17=1,Cotations!BV49,Cotations!$BW$4))</f>
        <v/>
      </c>
      <c r="LC49" s="499" t="str">
        <f t="shared" si="525"/>
        <v/>
      </c>
      <c r="LD49" s="499" t="str">
        <f t="shared" si="526"/>
        <v/>
      </c>
      <c r="LE49" s="500" t="str">
        <f t="shared" si="527"/>
        <v/>
      </c>
      <c r="LF49" s="501" t="str">
        <f>IF(A49=FALSE,"",IF(LA49="POEA",Cotations!EJ49,IF(LA49="FIXE",Cotations!$BY$4,Cotations!$CA$4*Y49)))</f>
        <v/>
      </c>
      <c r="LG49" s="502" t="str">
        <f t="shared" si="528"/>
        <v/>
      </c>
      <c r="LH49" s="520" t="str">
        <f>IF(A49=FALSE,"",IF(Cotations!$BX$4="monthly",LG49/12*L49,LG49/365*M49))</f>
        <v/>
      </c>
      <c r="LI49" s="503" t="str">
        <f>IF(A49=FALSE,"",Cotations!$CB$4)</f>
        <v/>
      </c>
      <c r="LJ49" s="502" t="str">
        <f t="shared" si="529"/>
        <v/>
      </c>
      <c r="LK49" s="502" t="str">
        <f t="shared" si="530"/>
        <v/>
      </c>
      <c r="LL49" s="504" t="str">
        <f t="shared" si="531"/>
        <v/>
      </c>
      <c r="LM49" s="505" t="str">
        <f>IF(A49=FALSE,"",Cotations!$CC$4)</f>
        <v/>
      </c>
      <c r="LN49" s="503" t="str">
        <f>IF(A49=FALSE,"",Cotations!$CD$4)</f>
        <v/>
      </c>
      <c r="LO49" s="503" t="str">
        <f>IF(A49=FALSE,"",Cotations!$CE$4)</f>
        <v/>
      </c>
      <c r="LP49" s="505" t="str">
        <f>IF(A49=FALSE,"",IF(LM49="N/A",0,IF(INDEX(LISTES!$F$105:$F$109,MATCH(LM49,LISTES!$C$105:$C$109,0))="FIX",IF(INDEX(LISTES!$E$105:$E$109,MATCH(LM49,LISTES!$C$105:$C$109,0))=12,LN49/12*L49,LN49/365*M49),LO49*LL49)))</f>
        <v/>
      </c>
      <c r="LQ49" s="504" t="str">
        <f t="shared" si="532"/>
        <v/>
      </c>
      <c r="LR49" s="505" t="str">
        <f>IF(A49=FALSE,"",LQ49*Cotations!$CF$4)</f>
        <v/>
      </c>
      <c r="LS49" s="505" t="str">
        <f>IF(A49=FALSE,"",LQ49*Cotations!$CG$4)</f>
        <v/>
      </c>
      <c r="LT49" s="506" t="str">
        <f t="shared" si="533"/>
        <v/>
      </c>
      <c r="LU49" s="919" t="str">
        <f>IF(A49=FALSE,"",((LG49*TAXE)-(LG49*TAXE*LI49))+IF(LM49="N/A",0,IF(INDEX(LISTES!$F$105:$F$109,MATCH(LM49,LISTES!$C$105:$C$109,0))="FIX",LN49,LO49*LL49)))</f>
        <v/>
      </c>
      <c r="MA49" s="492" t="str">
        <f>IF(A49=FALSE,"",Cotations!D49)</f>
        <v/>
      </c>
      <c r="MB49" s="491" t="str">
        <f>IF(A49=FALSE,"",IF(LISTES!$A$17=1,Cotations!BV49,Cotations!BW49))</f>
        <v/>
      </c>
      <c r="MC49" s="285" t="str">
        <f t="shared" si="534"/>
        <v/>
      </c>
      <c r="MD49" s="300"/>
      <c r="ME49" s="461" t="str">
        <f t="shared" si="535"/>
        <v/>
      </c>
      <c r="MF49" s="490" t="str">
        <f>IF(A49=FALSE,"",IF(MA49="POEA",Cotations!BY49,IF(MA49="FIXE",Cotations!BZ49,IF(Cotations!CA49*Y49&lt;50000,Z49,Cotations!CA49*Y49))))</f>
        <v/>
      </c>
      <c r="MG49" s="300" t="str">
        <f t="shared" si="536"/>
        <v/>
      </c>
      <c r="MH49" s="522" t="str">
        <f>IF(A49=FALSE,"",IF(Cotations!BX49="monthly",MG49/12*L49,MG49/365*M49))</f>
        <v/>
      </c>
      <c r="MI49" s="489" t="str">
        <f>IF(A49=FALSE,"",IF(Cotations!CB49="","",Cotations!CB49))</f>
        <v/>
      </c>
      <c r="MJ49" s="300" t="str">
        <f t="shared" si="537"/>
        <v/>
      </c>
      <c r="MK49" s="300" t="str">
        <f t="shared" si="538"/>
        <v/>
      </c>
      <c r="ML49" s="919" t="str">
        <f t="shared" si="539"/>
        <v/>
      </c>
      <c r="MM49" s="517" t="str">
        <f>IF(A49=FALSE,"",Cotations!CC49)</f>
        <v/>
      </c>
      <c r="MN49" s="515" t="str">
        <f>IF(A49=FALSE,"",Cotations!CD49)</f>
        <v/>
      </c>
      <c r="MO49" s="493" t="str">
        <f>IF(A49=FALSE,"",Cotations!CE49)</f>
        <v/>
      </c>
      <c r="MP49" s="517" t="str">
        <f>IF(A49=FALSE,"",IF(MM49="N/A",0,IF(INDEX(LISTES!$F$105:$F$109,MATCH(MM49,LISTES!$C$105:$C$109,0))="FIX",IF(INDEX(LISTES!$E$105:$E$109,MATCH(MM49,LISTES!$C$105:$C$109,0))=12,MN49/12*L49,MN49/365*M49),MO49*ML49)))</f>
        <v/>
      </c>
      <c r="MQ49" s="294" t="str">
        <f t="shared" si="540"/>
        <v/>
      </c>
      <c r="MR49" s="494" t="str">
        <f>IF(A49=FALSE,"",MQ49*Cotations!CF49)</f>
        <v/>
      </c>
      <c r="MS49" s="494" t="str">
        <f>IF(A49=FALSE,"",MQ49*Cotations!CG49)</f>
        <v/>
      </c>
      <c r="MT49" s="338" t="str">
        <f t="shared" si="541"/>
        <v/>
      </c>
      <c r="MU49" s="919" t="str">
        <f>IF(A49=FALSE,"",((MG49*TAXE)-(MG49*TAXE*MI49))+IF(MM49="N/A",0,IF(INDEX(LISTES!$F$105:$F$109,MATCH(MM49,LISTES!$C$105:$C$109,0))="FIX",MN49,MO49*ML49)))</f>
        <v/>
      </c>
      <c r="NA49" s="497" t="str">
        <f>IF(A49=FALSE,"",Cotations!D49)</f>
        <v/>
      </c>
      <c r="NB49" s="498" t="str">
        <f>IF(A49=FALSE,"",IF(LISTES!$A$17=1,Cotations!CH49,Cotations!$CI$4))</f>
        <v/>
      </c>
      <c r="NC49" s="499" t="str">
        <f t="shared" si="542"/>
        <v/>
      </c>
      <c r="ND49" s="499" t="str">
        <f t="shared" si="543"/>
        <v/>
      </c>
      <c r="NE49" s="500" t="str">
        <f t="shared" si="544"/>
        <v/>
      </c>
      <c r="NF49" s="501" t="str">
        <f>IF(A49=FALSE,"",IF(NA49="POEA",Cotations!CK49,IF(NA49="FIXE",Cotations!$CK$4,Cotations!$CM$4*Y49)))</f>
        <v/>
      </c>
      <c r="NG49" s="502" t="str">
        <f t="shared" si="545"/>
        <v/>
      </c>
      <c r="NH49" s="520" t="str">
        <f>IF(A49=FALSE,"",IF(Cotations!$CJ$4="monthly",NG49/12*L49,NG49/365*M49))</f>
        <v/>
      </c>
      <c r="NI49" s="503" t="str">
        <f>IF(A49=FALSE,"",Cotations!$CN$4)</f>
        <v/>
      </c>
      <c r="NJ49" s="502" t="str">
        <f t="shared" si="546"/>
        <v/>
      </c>
      <c r="NK49" s="502" t="str">
        <f t="shared" si="547"/>
        <v/>
      </c>
      <c r="NL49" s="504" t="str">
        <f t="shared" si="548"/>
        <v/>
      </c>
      <c r="NM49" s="505" t="str">
        <f>IF(A49=FALSE,"",Cotations!$CO$4)</f>
        <v/>
      </c>
      <c r="NN49" s="520" t="str">
        <f>IF(A49=FALSE,"",Cotations!$CP$4)</f>
        <v/>
      </c>
      <c r="NO49" s="503" t="str">
        <f>IF(A49=FALSE,"",Cotations!$CQ$4)</f>
        <v/>
      </c>
      <c r="NP49" s="505" t="str">
        <f>IF(A49=FALSE,"",IF(NM49="N/A",0,IF(INDEX(LISTES!$F$105:$F$109,MATCH(NM49,LISTES!$C$105:$C$109,0))="FIX",IF(INDEX(LISTES!$E$105:$E$109,MATCH(NM49,LISTES!$C$105:$C$109,0))=12,NN49/12*L49,NN49/365*M49),NO49*NL49)))</f>
        <v/>
      </c>
      <c r="NQ49" s="504" t="str">
        <f t="shared" si="549"/>
        <v/>
      </c>
      <c r="NR49" s="505" t="str">
        <f>IF(A49=FALSE,"",NQ49*Cotations!$CR$4)</f>
        <v/>
      </c>
      <c r="NS49" s="505" t="str">
        <f>IF(A49=FALSE,"",NQ49*Cotations!$CS$4)</f>
        <v/>
      </c>
      <c r="NT49" s="506" t="str">
        <f t="shared" si="550"/>
        <v/>
      </c>
      <c r="NU49" s="919" t="str">
        <f>IF(A49=FALSE,"",((NG49*TAXE)-(NG49*TAXE*NI49))+IF(NM49="N/A",0,IF(INDEX(LISTES!$F$105:$F$109,MATCH(NM49,LISTES!$C$105:$C$109,0))="FIX",NN49,NO49*NL49)))</f>
        <v/>
      </c>
      <c r="OA49" s="492" t="str">
        <f>IF(A49=FALSE,"",Cotations!D49)</f>
        <v/>
      </c>
      <c r="OB49" s="491" t="str">
        <f>IF(A49=FALSE,"",IF(LISTES!$A$17=1,Cotations!CH49,Cotations!CI49))</f>
        <v/>
      </c>
      <c r="OC49" s="285" t="str">
        <f t="shared" si="551"/>
        <v/>
      </c>
      <c r="OD49" s="300"/>
      <c r="OE49" s="461" t="str">
        <f t="shared" si="552"/>
        <v/>
      </c>
      <c r="OF49" s="490" t="str">
        <f>IF(A49=FALSE,"",IF(OA49="POEA",Cotations!CK49,IF(OA49="FIXE",Cotations!CL49,IF(Cotations!CM49*Y49&lt;50000,Z49,Cotations!CM49*Y49))))</f>
        <v/>
      </c>
      <c r="OG49" s="300" t="str">
        <f t="shared" si="553"/>
        <v/>
      </c>
      <c r="OH49" s="522" t="str">
        <f>IF(A49=FALSE,"",IF(Cotations!CJ49="monthly",OG49/12*L49,OG49/365*M49))</f>
        <v/>
      </c>
      <c r="OI49" s="489" t="str">
        <f>IF(A49=FALSE,"",IF(Cotations!CN49="","",Cotations!CN49))</f>
        <v/>
      </c>
      <c r="OJ49" s="300" t="str">
        <f t="shared" si="554"/>
        <v/>
      </c>
      <c r="OK49" s="300" t="str">
        <f t="shared" si="555"/>
        <v/>
      </c>
      <c r="OL49" s="919" t="str">
        <f t="shared" si="556"/>
        <v/>
      </c>
      <c r="OM49" s="517" t="str">
        <f>IF(A49=FALSE,"",Cotations!CO49)</f>
        <v/>
      </c>
      <c r="ON49" s="515" t="str">
        <f>IF(A49=FALSE,"",Cotations!CP49)</f>
        <v/>
      </c>
      <c r="OO49" s="493" t="str">
        <f>IF(A49=FALSE,"",Cotations!CQ49)</f>
        <v/>
      </c>
      <c r="OP49" s="517" t="str">
        <f>IF(A49=FALSE,"",IF(OM49="N/A",0,IF(INDEX(LISTES!$F$105:$F$109,MATCH(OM49,LISTES!$C$105:$C$109,0))="FIX",IF(INDEX(LISTES!$E$105:$E$109,MATCH(OM49,LISTES!$C$105:$C$109,0))=12,ON49/12*L49,ON49/365*M49),OO49*OL49)))</f>
        <v/>
      </c>
      <c r="OQ49" s="294" t="str">
        <f t="shared" si="557"/>
        <v/>
      </c>
      <c r="OR49" s="494" t="str">
        <f>IF(A49=FALSE,"",OQ49*Cotations!CR49)</f>
        <v/>
      </c>
      <c r="OS49" s="494" t="str">
        <f>IF(A49=FALSE,"",OQ49*Cotations!CS49)</f>
        <v/>
      </c>
      <c r="OT49" s="338" t="str">
        <f t="shared" si="558"/>
        <v/>
      </c>
      <c r="OU49" s="919" t="str">
        <f>IF(A49=FALSE,"",((OG49*TAXE)-(OG49*TAXE*OI49))+IF(OM49="N/A",0,IF(INDEX(LISTES!$F$105:$F$109,MATCH(OM49,LISTES!$C$105:$C$109,0))="FIX",ON49,OO49*OL49)))</f>
        <v/>
      </c>
      <c r="PA49" s="497" t="str">
        <f t="shared" si="559"/>
        <v/>
      </c>
      <c r="PB49" s="498" t="str">
        <f>IF(A49=FALSE,"",IF(LISTES!$A$17=1,Cotations!CT49,Cotations!$CU$4))</f>
        <v/>
      </c>
      <c r="PC49" s="499" t="str">
        <f t="shared" si="560"/>
        <v/>
      </c>
      <c r="PD49" s="499" t="str">
        <f t="shared" si="561"/>
        <v/>
      </c>
      <c r="PE49" s="500" t="str">
        <f t="shared" si="562"/>
        <v/>
      </c>
      <c r="PF49" s="501" t="str">
        <f>IF(A49=FALSE,"",Cotations!$CY$4*Y49)</f>
        <v/>
      </c>
      <c r="PG49" s="502" t="str">
        <f t="shared" si="563"/>
        <v/>
      </c>
      <c r="PH49" s="520" t="str">
        <f>IF(A49=FALSE,"",IF(Cotations!$CV$4="monthly",PG49/12*L49,PG49/365*M49))</f>
        <v/>
      </c>
      <c r="PI49" s="503" t="str">
        <f>IF(A49=FALSE,"",Cotations!$CZ$4)</f>
        <v/>
      </c>
      <c r="PJ49" s="502" t="str">
        <f t="shared" si="564"/>
        <v/>
      </c>
      <c r="PK49" s="502" t="str">
        <f t="shared" si="565"/>
        <v/>
      </c>
      <c r="PL49" s="504" t="str">
        <f t="shared" si="566"/>
        <v/>
      </c>
      <c r="PM49" s="505" t="str">
        <f>IF(A49=FALSE,"",Cotations!$DA$4)</f>
        <v/>
      </c>
      <c r="PN49" s="520" t="str">
        <f>IF(A49=FALSE,"",Cotations!$DB$4)</f>
        <v/>
      </c>
      <c r="PO49" s="503" t="str">
        <f>IF(A49=FALSE,"",Cotations!$DC$4)</f>
        <v/>
      </c>
      <c r="PP49" s="505" t="str">
        <f>IF(A49=FALSE,"",IF(PM49="N/A",0,IF(INDEX(LISTES!$F$105:$F$109,MATCH(PM49,LISTES!$C$105:$C$109,0))="FIX",IF(INDEX(LISTES!$E$105:$E$109,MATCH(PM49,LISTES!$C$105:$C$109,0))=12,PN49/12*L49,PN49/365*M49),PO49*PL49)))</f>
        <v/>
      </c>
      <c r="PQ49" s="504" t="str">
        <f t="shared" si="567"/>
        <v/>
      </c>
      <c r="PR49" s="505" t="str">
        <f>IF(A49=FALSE,"",PQ49*Cotations!$DD$4)</f>
        <v/>
      </c>
      <c r="PS49" s="505" t="str">
        <f>IF(A49=FALSE,"",PQ49*Cotations!$DE$4)</f>
        <v/>
      </c>
      <c r="PT49" s="506" t="str">
        <f t="shared" si="568"/>
        <v/>
      </c>
      <c r="PU49" s="919" t="str">
        <f>IF(A49=FALSE,"",((PG49*TAXE)-(PG49*TAXE*PI49))+IF(PM49="N/A",0,IF(INDEX(LISTES!$F$105:$F$109,MATCH(PM49,LISTES!$C$105:$C$109,0))="FIX",PN49,PO49*PL49)))</f>
        <v/>
      </c>
      <c r="QA49" s="492" t="str">
        <f t="shared" si="569"/>
        <v/>
      </c>
      <c r="QB49" s="491" t="str">
        <f>IF(A49=FALSE,"",IF(LISTES!$A$17=1,Cotations!CT49,Cotations!CU49))</f>
        <v/>
      </c>
      <c r="QC49" s="285" t="str">
        <f t="shared" si="570"/>
        <v/>
      </c>
      <c r="QD49" s="300"/>
      <c r="QE49" s="461" t="str">
        <f t="shared" si="571"/>
        <v/>
      </c>
      <c r="QF49" s="490" t="str">
        <f>IF(A49=FALSE,"",Cotations!CY49*AA49)</f>
        <v/>
      </c>
      <c r="QG49" s="300" t="str">
        <f t="shared" si="572"/>
        <v/>
      </c>
      <c r="QH49" s="522" t="str">
        <f>IF(A49=FALSE,"",IF(Cotations!CV49="monthly",QG49/12*L49,QG49/365*M49))</f>
        <v/>
      </c>
      <c r="QI49" s="489" t="str">
        <f>IF(A49=FALSE,"",IF(Cotations!CZ49="","",Cotations!CZ49))</f>
        <v/>
      </c>
      <c r="QJ49" s="300" t="str">
        <f t="shared" si="573"/>
        <v/>
      </c>
      <c r="QK49" s="300" t="str">
        <f t="shared" si="574"/>
        <v/>
      </c>
      <c r="QL49" s="919" t="str">
        <f t="shared" si="575"/>
        <v/>
      </c>
      <c r="QM49" s="517" t="str">
        <f>IF(A49=FALSE,"",Cotations!DA49)</f>
        <v/>
      </c>
      <c r="QN49" s="515" t="str">
        <f>IF(A49=FALSE,"",Cotations!DB49)</f>
        <v/>
      </c>
      <c r="QO49" s="493" t="str">
        <f>IF(A49=FALSE,"",Cotations!DC49)</f>
        <v/>
      </c>
      <c r="QP49" s="517" t="str">
        <f>IF(A49=FALSE,"",IF(QM49="N/A",0,IF(INDEX(LISTES!$F$105:$F$109,MATCH(QM49,LISTES!$C$105:$C$109,0))="FIX",IF(INDEX(LISTES!$E$105:$E$109,MATCH(QM49,LISTES!$C$105:$C$109,0))=12,QN49/12*L49,QN49/365*M49),QO49*QL49)))</f>
        <v/>
      </c>
      <c r="QQ49" s="294" t="str">
        <f t="shared" si="576"/>
        <v/>
      </c>
      <c r="QR49" s="494" t="str">
        <f>IF(A49=FALSE,"",QQ49*Cotations!DD49)</f>
        <v/>
      </c>
      <c r="QS49" s="494" t="str">
        <f>IF(A49=FALSE,"",QQ49*Cotations!DE49)</f>
        <v/>
      </c>
      <c r="QT49" s="338" t="str">
        <f t="shared" si="577"/>
        <v/>
      </c>
      <c r="QU49" s="919" t="str">
        <f>IF(A49=FALSE,"",((QG49*TAXE)-(QG49*TAXE*QI49))+IF(QM49="N/A",0,IF(INDEX(LISTES!$F$105:$F$109,MATCH(QM49,LISTES!$C$105:$C$109,0))="FIX",QN49,QO49*QL49)))</f>
        <v/>
      </c>
      <c r="RA49" s="497" t="str">
        <f t="shared" si="578"/>
        <v/>
      </c>
      <c r="RB49" s="498" t="str">
        <f>IF(A49=FALSE,"",IF(LISTES!$A$17=1,Cotations!DF49,Cotations!$DG$4))</f>
        <v/>
      </c>
      <c r="RC49" s="499" t="str">
        <f t="shared" si="579"/>
        <v/>
      </c>
      <c r="RD49" s="499" t="str">
        <f t="shared" si="580"/>
        <v/>
      </c>
      <c r="RE49" s="500" t="str">
        <f t="shared" si="581"/>
        <v/>
      </c>
      <c r="RF49" s="501" t="str">
        <f>IF(A49=FALSE,"",Cotations!$DK$4*Y49)</f>
        <v/>
      </c>
      <c r="RG49" s="502" t="str">
        <f t="shared" si="582"/>
        <v/>
      </c>
      <c r="RH49" s="520" t="str">
        <f>IF(A49=FALSE,"",IF(Cotations!$DH$4="monthly",RG49/12*L49,RG49/365*M49))</f>
        <v/>
      </c>
      <c r="RI49" s="503" t="str">
        <f>IF(A49=FALSE,"",Cotations!$DL$4)</f>
        <v/>
      </c>
      <c r="RJ49" s="502" t="str">
        <f t="shared" si="583"/>
        <v/>
      </c>
      <c r="RK49" s="502" t="str">
        <f t="shared" si="584"/>
        <v/>
      </c>
      <c r="RL49" s="504" t="str">
        <f t="shared" si="585"/>
        <v/>
      </c>
      <c r="RM49" s="505" t="str">
        <f>IF(A49=FALSE,"",Cotations!$DM$4)</f>
        <v/>
      </c>
      <c r="RN49" s="520" t="str">
        <f>IF(A49=FALSE,"",Cotations!$DN$4)</f>
        <v/>
      </c>
      <c r="RO49" s="503" t="str">
        <f>IF(A49=FALSE,"",Cotations!$DO$4)</f>
        <v/>
      </c>
      <c r="RP49" s="505" t="str">
        <f>IF(A49=FALSE,"",IF(RM49="N/A",0,IF(INDEX(LISTES!$F$105:$F$109,MATCH(RM49,LISTES!$C$105:$C$109,0))="FIX",IF(INDEX(LISTES!$E$105:$E$109,MATCH(RM49,LISTES!$C$105:$C$109,0))=12,RN49/12*L49,RN49/365*M49),RO49*RL49)))</f>
        <v/>
      </c>
      <c r="RQ49" s="504" t="str">
        <f t="shared" si="586"/>
        <v/>
      </c>
      <c r="RR49" s="505" t="str">
        <f>IF(A49=FALSE,"",RQ49*Cotations!$DP$4)</f>
        <v/>
      </c>
      <c r="RS49" s="505" t="str">
        <f>IF(A49=FALSE,"",RQ49*Cotations!$DQ$4)</f>
        <v/>
      </c>
      <c r="RT49" s="506" t="str">
        <f t="shared" si="587"/>
        <v/>
      </c>
      <c r="RU49" s="919" t="str">
        <f>IF(A49=FALSE,"",((RG49*TAXE)-(RG49*TAXE*RI49))+IF(RM49="N/A",0,IF(INDEX(LISTES!$F$105:$F$109,MATCH(RM49,LISTES!$C$105:$C$109,0))="FIX",RN49,RO49*RL49)))</f>
        <v/>
      </c>
      <c r="SA49" s="492" t="str">
        <f t="shared" si="588"/>
        <v/>
      </c>
      <c r="SB49" s="491" t="str">
        <f>IF(A49=FALSE,"",IF(LISTES!$A$17=1,Cotations!DF49,Cotations!DG49))</f>
        <v/>
      </c>
      <c r="SC49" s="285" t="str">
        <f t="shared" si="589"/>
        <v/>
      </c>
      <c r="SD49" s="300"/>
      <c r="SE49" s="461" t="str">
        <f t="shared" si="590"/>
        <v/>
      </c>
      <c r="SF49" s="490" t="str">
        <f>IF(A49=FALSE,"",Cotations!DK49*AA49)</f>
        <v/>
      </c>
      <c r="SG49" s="300" t="str">
        <f t="shared" si="591"/>
        <v/>
      </c>
      <c r="SH49" s="522" t="str">
        <f>IF(A49=FALSE,"",IF(Cotations!DH49="monthly",SG49/12*L49,SG49/365*M49))</f>
        <v/>
      </c>
      <c r="SI49" s="489" t="str">
        <f>IF(A49=FALSE,"",IF(Cotations!DL49="","",Cotations!DL49))</f>
        <v/>
      </c>
      <c r="SJ49" s="300" t="str">
        <f t="shared" si="592"/>
        <v/>
      </c>
      <c r="SK49" s="300" t="str">
        <f t="shared" si="593"/>
        <v/>
      </c>
      <c r="SL49" s="919" t="str">
        <f t="shared" si="594"/>
        <v/>
      </c>
      <c r="SM49" s="285" t="str">
        <f>IF(A49=FALSE,"",Cotations!DM49)</f>
        <v/>
      </c>
      <c r="SN49" s="515" t="str">
        <f>IF(A49=FALSE,"",Cotations!DN49)</f>
        <v/>
      </c>
      <c r="SO49" s="493" t="str">
        <f>IF(A49=FALSE,"",Cotations!DO49)</f>
        <v/>
      </c>
      <c r="SP49" s="517" t="str">
        <f>IF(A49=FALSE,"",IF(SM49="N/A",0,IF(INDEX(LISTES!$F$105:$F$109,MATCH(SM49,LISTES!$C$105:$C$109,0))="FIX",IF(INDEX(LISTES!$E$105:$E$109,MATCH(SM49,LISTES!$C$105:$C$109,0))=12,SN49/12*L49,SN49/365*M49),SO49*SL49)))</f>
        <v/>
      </c>
      <c r="SQ49" s="294" t="str">
        <f t="shared" si="595"/>
        <v/>
      </c>
      <c r="SR49" s="494" t="str">
        <f>IF(A49=FALSE,"",SQ49*Cotations!DP49)</f>
        <v/>
      </c>
      <c r="SS49" s="494" t="str">
        <f>IF(A49=FALSE,"",SQ49*Cotations!DQ49)</f>
        <v/>
      </c>
      <c r="ST49" s="338" t="str">
        <f t="shared" si="596"/>
        <v/>
      </c>
      <c r="SU49" s="919" t="str">
        <f>IF(A49=FALSE,"",((SG49*TAXE)-(SG49*TAXE*SI49))+IF(SM49="N/A",0,IF(INDEX(LISTES!$F$105:$F$109,MATCH(SM49,LISTES!$C$105:$C$109,0))="FIX",SN49,SO49*SL49)))</f>
        <v/>
      </c>
      <c r="TA49" s="492" t="str">
        <f>IF(A49=FALSE,"",Cotations!D49)</f>
        <v/>
      </c>
      <c r="TB49" s="491" t="str">
        <f>IF(A49=FALSE,"",IF(LISTES!$A$17=1,Cotations!DR49,Cotations!DS49))</f>
        <v/>
      </c>
      <c r="TC49" s="285" t="str">
        <f t="shared" si="597"/>
        <v/>
      </c>
      <c r="TD49" s="300" t="str">
        <f>IF(A49=FALSE,"",Detail!CQ49)</f>
        <v/>
      </c>
      <c r="TE49" s="461" t="str">
        <f t="shared" si="598"/>
        <v/>
      </c>
      <c r="TF49" s="490" t="str">
        <f>IF(A49=FALSE,"",IF(TA49="FIXE",Cotations!DU49,Cotations!DV49*Y49))</f>
        <v/>
      </c>
      <c r="TG49" s="300" t="str">
        <f t="shared" si="599"/>
        <v/>
      </c>
      <c r="TH49" s="522" t="str">
        <f>IF(A49=FALSE,"",IF(Cotations!DT49="monthly",TG49/12*L49,TG49/365*M49))</f>
        <v/>
      </c>
      <c r="TI49" s="489" t="str">
        <f>IF(A49=FALSE,"",IF(Cotations!DW49="","",Cotations!DW49))</f>
        <v/>
      </c>
      <c r="TJ49" s="300" t="str">
        <f t="shared" si="600"/>
        <v/>
      </c>
      <c r="TK49" s="300" t="str">
        <f t="shared" si="601"/>
        <v/>
      </c>
      <c r="TL49" s="919" t="str">
        <f t="shared" si="602"/>
        <v/>
      </c>
      <c r="TM49" s="517" t="str">
        <f>IF(A49=FALSE,"",Cotations!DX49)</f>
        <v/>
      </c>
      <c r="TN49" s="517" t="str">
        <f>IF(A49=FALSE,"",Cotations!DY49)</f>
        <v/>
      </c>
      <c r="TO49" s="493" t="str">
        <f>IF(A49=FALSE,"",Cotations!DZ49)</f>
        <v/>
      </c>
      <c r="TP49" s="517" t="str">
        <f>IF(A49=FALSE,"",IF(TM49="N/A",0,IF(INDEX(LISTES!$F$105:$F$109,MATCH(TM49,LISTES!$C$105:$C$109,0))="FIX",IF(INDEX(LISTES!$E$105:$E$109,MATCH(TM49,LISTES!$C$105:$C$109,0))=12,TN49/12*L49,TN49/365*M49),TO49*TL49)))</f>
        <v/>
      </c>
      <c r="TQ49" s="294" t="str">
        <f t="shared" si="603"/>
        <v/>
      </c>
      <c r="TR49" s="494" t="str">
        <f>IF(A49=FALSE,"",TQ49*Cotations!EA49)</f>
        <v/>
      </c>
      <c r="TS49" s="494" t="str">
        <f>IF(A49=FALSE,"",TQ49*Cotations!EB49)</f>
        <v/>
      </c>
      <c r="TT49" s="338" t="str">
        <f t="shared" si="604"/>
        <v/>
      </c>
      <c r="TU49" s="919" t="str">
        <f>IF(A49=FALSE,"",((TG49*(1+TAXE)-(TG49*(1+TAXE)*TI49))+IF(TM49="N/A",0,IF(INDEX(LISTES!$F$105:$F$109,MATCH(TM49,LISTES!$C$105:$C$109,0))="FIX",TN49,TO49*TL49))))</f>
        <v/>
      </c>
      <c r="UA49" s="492" t="str">
        <f>IF(A49=FALSE,"",Cotations!D49)</f>
        <v/>
      </c>
      <c r="UB49" s="491" t="str">
        <f>IF(A49=FALSE,"",IF(LISTES!$A$17=1,Cotations!EC49,Cotations!ED49))</f>
        <v/>
      </c>
      <c r="UC49" s="285" t="str">
        <f t="shared" si="605"/>
        <v/>
      </c>
      <c r="UD49" s="300" t="str">
        <f>IF(A49=FALSE,"",Detail!CY49)</f>
        <v/>
      </c>
      <c r="UE49" s="461" t="str">
        <f t="shared" si="606"/>
        <v/>
      </c>
      <c r="UF49" s="490" t="str">
        <f>IF(A49=FALSE,"",IF(UA49="FIXE",Cotations!EF49,Cotations!EG49*Y49))</f>
        <v/>
      </c>
      <c r="UG49" s="300" t="str">
        <f t="shared" si="607"/>
        <v/>
      </c>
      <c r="UH49" s="522" t="str">
        <f>IF(A49=FALSE,"",IF(Cotations!EE49="monthly",UG49/12*L49,UG49/365*M49))</f>
        <v/>
      </c>
      <c r="UI49" s="489" t="str">
        <f>IF(A49=FALSE,"",IF(Cotations!EH49="","",Cotations!EH49))</f>
        <v/>
      </c>
      <c r="UJ49" s="300" t="str">
        <f t="shared" si="608"/>
        <v/>
      </c>
      <c r="UK49" s="300" t="str">
        <f t="shared" si="609"/>
        <v/>
      </c>
      <c r="UL49" s="919" t="str">
        <f t="shared" si="610"/>
        <v/>
      </c>
      <c r="UM49" s="517" t="str">
        <f>IF(A49=FALSE,"",Cotations!EI49)</f>
        <v/>
      </c>
      <c r="UN49" s="517" t="str">
        <f>IF(A49=FALSE,"",Cotations!EJ49)</f>
        <v/>
      </c>
      <c r="UO49" s="493" t="str">
        <f>IF(A49=FALSE,"",Cotations!EK49)</f>
        <v/>
      </c>
      <c r="UP49" s="517" t="str">
        <f>IF(A49=FALSE,"",IF(UM49="N/A",0,IF(INDEX(LISTES!$F$105:$F$109,MATCH(UM49,LISTES!$C$105:$C$109,0))="FIX",IF(INDEX(LISTES!$E$105:$E$109,MATCH(UM49,LISTES!$C$105:$C$109,0))=12,UN49/12*L49,UN49/365*M49),UO49*UL49)))</f>
        <v/>
      </c>
      <c r="UQ49" s="294" t="str">
        <f t="shared" si="611"/>
        <v/>
      </c>
      <c r="UR49" s="494" t="str">
        <f>IF(A49=FALSE,"",UQ49*Cotations!EL49)</f>
        <v/>
      </c>
      <c r="US49" s="494" t="str">
        <f>IF(A49=FALSE,"",UQ49*Cotations!EM49)</f>
        <v/>
      </c>
      <c r="UT49" s="338" t="str">
        <f t="shared" si="612"/>
        <v/>
      </c>
      <c r="UU49" s="919" t="str">
        <f>IF(A49=FALSE,"",((UG49*(1+TAXE)-(UG49*(1+TAXE)*UI49))+IF(UM49="N/A",0,IF(INDEX(LISTES!$F$105:$F$109,MATCH(UM49,LISTES!$C$105:$C$109,0))="FIX",UN49,UO49*UL49))))</f>
        <v/>
      </c>
      <c r="VA49" s="492" t="str">
        <f>IF(A49=FALSE,"",Cotations!D49)</f>
        <v/>
      </c>
      <c r="VB49" s="519" t="str">
        <f>IF(A49=FALSE,"",IF(LISTES!$A$17=1,Cotations!EN49,Cotations!EO49))</f>
        <v/>
      </c>
      <c r="VC49" s="291" t="str">
        <f t="shared" si="613"/>
        <v/>
      </c>
      <c r="VD49" s="291" t="str">
        <f t="shared" si="614"/>
        <v/>
      </c>
      <c r="VE49" s="291"/>
      <c r="VF49" s="463"/>
      <c r="VG49" s="463" t="str">
        <f t="shared" si="615"/>
        <v/>
      </c>
      <c r="VH49" s="522" t="str">
        <f>IF(A49=FALSE,"",IF(Cotations!$AQ$4="monthly",VG49/12*L49,VG49/365*M49))</f>
        <v/>
      </c>
      <c r="VI49" s="489" t="str">
        <f>IF(A49=FALSE,"",Cotations!$AR$4)</f>
        <v/>
      </c>
      <c r="VJ49" s="300" t="str">
        <f t="shared" si="616"/>
        <v/>
      </c>
      <c r="VK49" s="300" t="str">
        <f t="shared" si="617"/>
        <v/>
      </c>
      <c r="VL49" s="294" t="str">
        <f t="shared" si="618"/>
        <v/>
      </c>
      <c r="VM49" s="494" t="str">
        <f>IF(A49=FALSE,"",Cotations!$AS$4)</f>
        <v/>
      </c>
      <c r="VN49" s="494" t="str">
        <f>IF(A49=FALSE,"",Cotations!$AT$4)</f>
        <v/>
      </c>
      <c r="VO49" s="489" t="str">
        <f>IF(A49=FALSE,"",Cotations!$AU$4)</f>
        <v/>
      </c>
      <c r="VP49" s="494" t="str">
        <f>IF(A49=FALSE,"",IF(VM49="N/A",0,IF(INDEX(LISTES!$F$105:$F$109,MATCH(VM49,LISTES!$C$105:$C$109,0))="FIX",IF(INDEX(LISTES!$E$105:$E$109,MATCH(VM49,LISTES!$C$105:$C$109,0))=12,VN49/12*L49,VN49/365*M49),VO49*VL49)))</f>
        <v/>
      </c>
      <c r="VQ49" s="294" t="str">
        <f t="shared" si="619"/>
        <v/>
      </c>
      <c r="VR49" s="494" t="str">
        <f>IF(A49=FALSE,"",VQ49*Cotations!$AV$4)</f>
        <v/>
      </c>
      <c r="VS49" s="494" t="str">
        <f>IF(A49=FALSE,"",VQ49*Cotations!$AW$4)</f>
        <v/>
      </c>
      <c r="VT49" s="465" t="str">
        <f t="shared" si="620"/>
        <v/>
      </c>
      <c r="VU49" s="919" t="str">
        <f>IF(A49=FALSE,"",((VG49*TAXE)-(VG49*TAXE*VI49))+IF(VM49="N/A",0,IF(INDEX(LISTES!$F$105:$F$109,MATCH(VM49,LISTES!$C$105:$C$109,0))="FIX",VN49,VO49*VL49)))</f>
        <v/>
      </c>
      <c r="WA49" s="492" t="str">
        <f>IF(A49=FALSE,"",Cotations!D49)</f>
        <v/>
      </c>
      <c r="WB49" s="519" t="str">
        <f>IF(A49=FALSE,"",IF(LISTES!$A$17=1,Cotations!EW49,Cotations!EX49))</f>
        <v/>
      </c>
      <c r="WC49" s="291" t="str">
        <f t="shared" si="621"/>
        <v/>
      </c>
      <c r="WD49" s="291" t="str">
        <f t="shared" si="622"/>
        <v/>
      </c>
      <c r="WE49" s="291"/>
      <c r="WF49" s="463"/>
      <c r="WG49" s="463" t="str">
        <f t="shared" si="623"/>
        <v/>
      </c>
      <c r="WH49" s="522" t="str">
        <f>IF(A49=FALSE,"",IF(Cotations!$AQ$4="monthly",WG49/12*L49,WG49/365*M49))</f>
        <v/>
      </c>
      <c r="WI49" s="489" t="str">
        <f>IF(A49=FALSE,"",Cotations!$AR$4)</f>
        <v/>
      </c>
      <c r="WJ49" s="300" t="str">
        <f t="shared" si="624"/>
        <v/>
      </c>
      <c r="WK49" s="300" t="str">
        <f t="shared" si="625"/>
        <v/>
      </c>
      <c r="WL49" s="294" t="str">
        <f t="shared" si="626"/>
        <v/>
      </c>
      <c r="WM49" s="494" t="str">
        <f>IF(A49=FALSE,"",Cotations!$AS$4)</f>
        <v/>
      </c>
      <c r="WN49" s="494" t="str">
        <f>IF(A49=FALSE,"",Cotations!$AT$4)</f>
        <v/>
      </c>
      <c r="WO49" s="489" t="str">
        <f>IF(A49=FALSE,"",Cotations!$AU$4)</f>
        <v/>
      </c>
      <c r="WP49" s="494" t="str">
        <f>IF(A49=FALSE,"",IF(WM49="N/A",0,IF(INDEX(LISTES!$F$105:$F$109,MATCH(WM49,LISTES!$C$105:$C$109,0))="FIX",IF(INDEX(LISTES!$E$105:$E$109,MATCH(WM49,LISTES!$C$105:$C$109,0))=12,WN49/12*L49,WN49/365*M49),WO49*WL49)))</f>
        <v/>
      </c>
      <c r="WQ49" s="294" t="str">
        <f t="shared" si="627"/>
        <v/>
      </c>
      <c r="WR49" s="494" t="str">
        <f>IF(A49=FALSE,"",WQ49*Cotations!$AV$4)</f>
        <v/>
      </c>
      <c r="WS49" s="494" t="str">
        <f>IF(A49=FALSE,"",WQ49*Cotations!$AW$4)</f>
        <v/>
      </c>
      <c r="WT49" s="465" t="str">
        <f t="shared" si="628"/>
        <v/>
      </c>
      <c r="WU49" s="919" t="str">
        <f>IF(A49=FALSE,"",((WG49*TAXE)-(WG49*TAXE*WI49))+IF(WM49="N/A",0,IF(INDEX(LISTES!$F$105:$F$109,MATCH(WM49,LISTES!$C$105:$C$109,0))="FIX",WN49,WO49*WL49)))</f>
        <v/>
      </c>
    </row>
    <row r="50" spans="1:619">
      <c r="A50" s="942" t="b">
        <f t="shared" si="433"/>
        <v>0</v>
      </c>
      <c r="B50" s="942" t="b">
        <f>IF(NAMES!$B$9=TRUE,TRUE,FALSE)</f>
        <v>1</v>
      </c>
      <c r="C50" s="942" t="b">
        <f t="shared" si="413"/>
        <v>0</v>
      </c>
      <c r="D50" s="942" t="b">
        <f t="shared" si="414"/>
        <v>0</v>
      </c>
      <c r="E50" s="274" t="b">
        <f>IF(Cotations!C50="","",Cotations!C50)</f>
        <v>0</v>
      </c>
      <c r="F50" s="274" t="str">
        <f>IF(Cotations!D50="","",Cotations!D50)</f>
        <v>PROP</v>
      </c>
      <c r="G50" s="274" t="str">
        <f>IF(Cotations!E50="","",Cotations!E50)</f>
        <v>2016-2017!</v>
      </c>
      <c r="H50" s="274" t="str">
        <f>IF(Cotations!F50="","",Cotations!F50)</f>
        <v>SINGLE</v>
      </c>
      <c r="I50" s="274" t="str">
        <f>IF(Cotations!G50="","",Cotations!G50)</f>
        <v/>
      </c>
      <c r="J50" s="274" t="str">
        <f>IF(Cotations!H50="","",Cotations!H50)</f>
        <v/>
      </c>
      <c r="K50" s="274" t="str">
        <f>IF(Cotations!I50="","",Cotations!I50)</f>
        <v/>
      </c>
      <c r="L50" s="274" t="str">
        <f>IF(A50=FALSE,"",IF(Cotations!N50="","",Cotations!N50))</f>
        <v/>
      </c>
      <c r="M50" s="274" t="str">
        <f>IF(Cotations!P50="","",Cotations!P50)</f>
        <v/>
      </c>
      <c r="N50" s="724" t="str">
        <f>IF(NAMES!$B$10=TRUE,Cotations!J50,Cotations!L50)</f>
        <v/>
      </c>
      <c r="O50" s="724" t="str">
        <f>IF(NAMES!$B$10=TRUE,Cotations!K50,Cotations!M50)</f>
        <v/>
      </c>
      <c r="P50" s="943" t="str">
        <f t="shared" si="415"/>
        <v/>
      </c>
      <c r="Q50" s="724" t="str">
        <f>IF(A50=FALSE,"",IF(Crewlist!Y50="","",Crewlist!Y50))</f>
        <v/>
      </c>
      <c r="R50" s="78" t="str">
        <f>IF(Cotations!U50="","",Cotations!U50)</f>
        <v/>
      </c>
      <c r="S50" s="943" t="str">
        <f t="shared" si="416"/>
        <v/>
      </c>
      <c r="T50" s="919" t="str">
        <f>IF(A50=FALSE,"",VLOOKUP($U$15:$U$120,Currency!$A$2:$D$10,4,0)*Crewlist!N50)</f>
        <v/>
      </c>
      <c r="U50" s="1355" t="str">
        <f>IF(A50=FALSE,"",IF(IT50=0,Crewlist!M50&amp;"/"&amp;EX50,Crewlist!M50&amp;"/"&amp;IT50))</f>
        <v/>
      </c>
      <c r="V50" s="919" t="str">
        <f>IF(A50=FALSE,"",VLOOKUP($U$15:$U$120,Currency!$A$2:$D$10,4,0)*Detail!Q50)</f>
        <v/>
      </c>
      <c r="W50" s="1355" t="str">
        <f>IF(A50=FALSE,"",IF(IT50=0,Detail!R50&amp;"/"&amp;EX50,Detail!R50&amp;"/"&amp;IT50))</f>
        <v/>
      </c>
      <c r="X50" s="919" t="str">
        <f>IF(A50=FALSE,"",IF(LISTES!$C$17="Crewlist",Calcul!T50,Calcul!V50))</f>
        <v/>
      </c>
      <c r="Y50" s="758" t="str">
        <f t="shared" si="417"/>
        <v/>
      </c>
      <c r="Z50" s="758" t="str">
        <f>IF(A50=FALSE,"",IF(X50=0,0,IF((Cotations!BC50*12*X50)&lt;50000,50000,(12*X50))))</f>
        <v/>
      </c>
      <c r="AA50" s="758" t="str">
        <f t="shared" si="418"/>
        <v/>
      </c>
      <c r="AB50" s="758" t="str">
        <f>IF(A50=FALSE,"",IF(Crewlist!O50=0,"",Crewlist!O50))</f>
        <v/>
      </c>
      <c r="AC50" s="758" t="str">
        <f>IF(I50="","",VLOOKUP($AB$15:$AB$120,Currency!$A$15:$B$34,2,0))</f>
        <v/>
      </c>
      <c r="AD50" s="758" t="str">
        <f t="shared" si="419"/>
        <v/>
      </c>
      <c r="AE50" s="758" t="str">
        <f t="shared" si="420"/>
        <v/>
      </c>
      <c r="AF50" s="758" t="str">
        <f t="shared" si="421"/>
        <v/>
      </c>
      <c r="AG50" s="758" t="str">
        <f t="shared" si="422"/>
        <v/>
      </c>
      <c r="AH50" s="1355" t="str">
        <f t="shared" si="434"/>
        <v/>
      </c>
      <c r="AI50" s="919" t="str">
        <f t="shared" si="423"/>
        <v/>
      </c>
      <c r="AJ50" s="1382" t="str">
        <f t="shared" si="424"/>
        <v/>
      </c>
      <c r="AK50" s="1382" t="str">
        <f t="shared" si="425"/>
        <v/>
      </c>
      <c r="AL50" s="238" t="str">
        <f t="shared" si="435"/>
        <v/>
      </c>
      <c r="AM50" s="238" t="str">
        <f t="shared" si="436"/>
        <v/>
      </c>
      <c r="AN50" s="1374" t="str">
        <f t="shared" si="437"/>
        <v/>
      </c>
      <c r="AO50" s="238" t="str">
        <f t="shared" si="438"/>
        <v/>
      </c>
      <c r="AP50" s="342" t="str">
        <f>IF(A50=FALSE,"",INDEX(Rates!$Z$5:$Z$367,MATCH(EB50,colchoice,0)))</f>
        <v/>
      </c>
      <c r="AQ50" s="238" t="str">
        <f t="shared" si="439"/>
        <v/>
      </c>
      <c r="AR50" s="238" t="str">
        <f t="shared" si="440"/>
        <v/>
      </c>
      <c r="AS50" s="238" t="str">
        <f t="shared" si="441"/>
        <v/>
      </c>
      <c r="AT50" s="238" t="str">
        <f t="shared" si="442"/>
        <v/>
      </c>
      <c r="AU50" s="238" t="str">
        <f t="shared" si="443"/>
        <v/>
      </c>
      <c r="AV50" s="238" t="str">
        <f t="shared" si="429"/>
        <v/>
      </c>
      <c r="AW50" s="238" t="str">
        <f t="shared" si="444"/>
        <v/>
      </c>
      <c r="AX50" s="238" t="str">
        <f t="shared" si="445"/>
        <v/>
      </c>
      <c r="AY50" s="238" t="str">
        <f t="shared" si="446"/>
        <v/>
      </c>
      <c r="AZ50" s="238" t="str">
        <f t="shared" si="447"/>
        <v/>
      </c>
      <c r="BA50" s="238" t="str">
        <f t="shared" si="448"/>
        <v/>
      </c>
      <c r="BB50" s="552" t="str">
        <f t="shared" si="449"/>
        <v/>
      </c>
      <c r="BC50" s="347" t="str">
        <f t="shared" si="450"/>
        <v/>
      </c>
      <c r="BD50" s="239" t="str">
        <f t="shared" si="430"/>
        <v/>
      </c>
      <c r="BE50" s="239" t="str">
        <f>IF(A50=FALSE,"",IF(ALLTHESAME=TRUE,IF(DF50&lt;&gt;$BC$7,0,INDEX(DD50:DZ50,1,MATCH(Structure!$D$12,$DD$14:$DZ$14,0))),IF(EC50&lt;&gt;$BC$7,0,INDEX(EA50:EZ50,1,MATCH(Structure!$D$12,$EA$14:$EZ$14,0)))))</f>
        <v/>
      </c>
      <c r="BF50" s="239" t="str">
        <f>IF(A50=FALSE,"",IF(ALLTHESAME=TRUE,IF(FC50&lt;&gt;$BC$7,0,INDEX(FA50:FZ50,1,MATCH(Structure!$D$12,$FA$14:$FZ$14,0))),IF(GC50&lt;&gt;$BC$7,0,INDEX(GA50:GZ50,1,MATCH(Structure!$D$12,$GA$14:$GZ$14,0)))))</f>
        <v/>
      </c>
      <c r="BG50" s="239" t="str">
        <f>IF(A50=FALSE,"",IF(ALLTHESAME=TRUE,IF(VC50&lt;&gt;$BC$7,0,INDEX(VA50:VZ50,1,MATCH(Structure!$D$12,$VA$14:$VZ$14,0))),IF(VC50&lt;&gt;$BC$7,0,INDEX(VA50:VZ50,1,MATCH(Structure!$D$12,$VA$14:$VZ$14,0)))))</f>
        <v/>
      </c>
      <c r="BH50" s="239" t="str">
        <f>IF(A50=FALSE,"",IF(ALLTHESAME=TRUE,IF(WC50&lt;&gt;$BC$7,0,INDEX(WA50:WY50,1,MATCH(Structure!$D$12,$WA$14:$WZ$14,0))),IF(WC50&lt;&gt;$BC$7,0,INDEX(WA50:WZ50,1,MATCH(Structure!$D$12,$WA$14:$WZ$14,0)))))</f>
        <v/>
      </c>
      <c r="BI50" s="763" t="str">
        <f>IF(A50=FALSE,"",IF(ALLTHESAME=TRUE,IF(HC50&lt;&gt;$BC$7,0,INDEX(HA50:HZ50,1,MATCH(Structure!$D$12,$HA$14:$HZ$14,0)))+TK50,IF(IC50&lt;&gt;$BC$7,0,INDEX(IA50:IZ50,1,MATCH(Structure!$D$12,$IA$14:$IZ$14,0)))+TK50))</f>
        <v/>
      </c>
      <c r="BJ50" s="239" t="str">
        <f>IF(A50=FALSE,"",IF(ALLTHESAME=TRUE,IF(JC50&lt;&gt;$BC$7,0,INDEX(JA50:JZ50,1,MATCH(Structure!$D$12,$JA$14:$JZ$14,0))),IF(KC50&lt;&gt;$BC$7,0,INDEX(KA50:KZ50,1,MATCH(Structure!$D$12,$KA$14:$KZ$14,0)))))</f>
        <v/>
      </c>
      <c r="BK50" s="763" t="str">
        <f>IF(A50=FALSE,"",IF(ALLTHESAME=TRUE,IF(LC50&lt;&gt;$BC$7,0,INDEX(LA50:LZ50,1,MATCH(Structure!$D$12,$LA$14:$LZ$14,0)))+UK50,IF(MC50&lt;&gt;$BC$7,0,INDEX(MA50:MZ50,1,MATCH(Structure!$D$12,$MA$14:$MZ$14,0)))+UK50))</f>
        <v/>
      </c>
      <c r="BL50" s="239" t="str">
        <f>IF(A50=FALSE,"",IF(ALLTHESAME=TRUE,IF(NC50&lt;&gt;$BC$7,0,INDEX(NA50:NZ50,1,MATCH(Structure!$D$12,$NA$14:$NZ$14,0))),IF(OC50&lt;&gt;$BC$7,0,INDEX(OA50:OZ50,1,MATCH(Structure!$D$12,$OA$14:$OZ$14,0)))))</f>
        <v/>
      </c>
      <c r="BM50" s="239" t="str">
        <f>IF(A50=FALSE,"",IF(ALLTHESAME=TRUE,IF(PC50&lt;&gt;$BC$7,0,INDEX(PA50:PZ50,1,MATCH(Structure!$D$12,$PA$14:$PZ$14,0))),IF(QC50&lt;&gt;$BC$7,0,INDEX(QA50:QZ50,1,MATCH(Structure!$D$12,$QA$14:$QZ$14,0)))))</f>
        <v/>
      </c>
      <c r="BN50" s="341" t="str">
        <f>IF(A50=FALSE,"",IF(ALLTHESAME=TRUE,IF(RC50&lt;&gt;$BC$7,0,INDEX(RA50:RZ50,1,MATCH(Structure!$D$12,$RA$14:$RZ$14,0))),IF(SC50&lt;&gt;$BC$7,0,INDEX(SA50:TA50,1,MATCH(Structure!$D$12,$SA$14:$TA$14,0)))))</f>
        <v/>
      </c>
      <c r="BO50" s="507" t="str">
        <f t="shared" si="451"/>
        <v/>
      </c>
      <c r="BP50" s="239" t="str">
        <f t="shared" si="452"/>
        <v/>
      </c>
      <c r="BQ50" s="239" t="str">
        <f>IF(A50=FALSE,"",IF(ALLTHESAME=TRUE,IF(DF50&lt;&gt;$BO$7,0,INDEX(DD50:DZ50,1,MATCH(Structure!$D$12,$DD$14:$DZ$14,0))),IF(EC50&lt;&gt;$BO$7,0,INDEX(EA50:EZ50,1,MATCH(Structure!$D$12,$EA$14:$EZ$14,0)))))</f>
        <v/>
      </c>
      <c r="BR50" s="239" t="str">
        <f>IF(A50=FALSE,"",IF(ALLTHESAME=TRUE,IF(FC50&lt;&gt;$BO$7,0,INDEX(FA50:FZ50,1,MATCH(Structure!$D$12,$FA$14:$FZ$14,0))),IF(GC50&lt;&gt;$BO$7,0,INDEX(GA50:GZ50,1,MATCH(Structure!$D$12,$GA$14:$GZ$14,0)))))</f>
        <v/>
      </c>
      <c r="BS50" s="239" t="str">
        <f>IF(A50=FALSE,"",IF(ALLTHESAME=TRUE,IF(HC50&lt;&gt;$BO$7,0,INDEX(HA50:HZ50,1,MATCH(Structure!$D$12,$HA$14:$HZ$14,0))),IF(IC50&lt;&gt;$BO$7,0,INDEX(IA50:IZ50,1,MATCH(Structure!$D$12,$IA$14:$IZ$14,0)))))</f>
        <v/>
      </c>
      <c r="BT50" s="239" t="str">
        <f>IF(A50=FALSE,"",IF(ALLTHESAME=TRUE,IF(JC50&lt;&gt;$BO$7,0,INDEX(JA50:JZ50,1,MATCH(Structure!$D$12,$JA$14:$JZ$14,0))),IF(KC50&lt;&gt;$BO$7,0,INDEX(KA50:KZ50,1,MATCH(Structure!$D$12,$KA$14:$KZ$14,0)))))</f>
        <v/>
      </c>
      <c r="BU50" s="239" t="str">
        <f>IF(A50=FALSE,"",IF(ALLTHESAME=TRUE,IF(LC50&lt;&gt;$BO$7,0,INDEX(LA50:LZ50,1,MATCH(Structure!$D$12,$LA$14:$LZ$14,0))),IF(MC50&lt;&gt;$BO$7,0,INDEX(MA50:MZ50,1,MATCH(Structure!$D$12,$MA$14:$MZ$14,0)))))</f>
        <v/>
      </c>
      <c r="BV50" s="239" t="str">
        <f>IF(A50=FALSE,"",IF(ALLTHESAME=TRUE,IF(NC50&lt;&gt;$BO$7,0,INDEX(NA50:NZ50,1,MATCH(Structure!$D$12,$NA$14:$NZ$14,0))),IF(OC50&lt;&gt;$BO$7,0,INDEX(OA50:OZ50,1,MATCH(Structure!$D$12,$OA$14:$OZ$14,0)))))</f>
        <v/>
      </c>
      <c r="BW50" s="239" t="str">
        <f>IF(A50=FALSE,"",IF(ALLTHESAME=TRUE,IF(PC50&lt;&gt;$BO$7,0,INDEX(PA50:PZ50,1,MATCH(Structure!$D$12,$PA$14:$PZ$14,0))),IF(QC50&lt;&gt;$BO$7,0,INDEX(QA50:QZ50,1,MATCH(Structure!$D$12,$QA$14:$QZ$14,0)))))</f>
        <v/>
      </c>
      <c r="BX50" s="341" t="str">
        <f>IF(A50=FALSE,"",IF(ALLTHESAME=TRUE,IF(RC50&lt;&gt;$BO$7,0,INDEX(RA50:RZ50,1,MATCH(Structure!$D$12,$RA$14:$RZ$14,0))),IF(SC50&lt;&gt;$BO$7,0,INDEX(SA50:TA50,1,MATCH(Structure!$D$12,$SA$14:$TA$14,0)))))</f>
        <v/>
      </c>
      <c r="BY50" s="347" t="str">
        <f t="shared" si="453"/>
        <v/>
      </c>
      <c r="BZ50" s="507" t="str">
        <f t="shared" si="454"/>
        <v/>
      </c>
      <c r="CA50" s="239" t="str">
        <f t="shared" si="455"/>
        <v/>
      </c>
      <c r="CB50" s="239" t="str">
        <f>IF(A50=FALSE,"",IF(ALLTHESAME=TRUE,INDEX(DD50:DZ50,MATCH(DF50,DF50:DF155,0),MATCH(Structure!$D$17,$DD$14:$DZ$14,0)),INDEX(EA50:EZ50,MATCH(EC50,EC50:EC155,0),MATCH(Structure!$D$17,$EA$14:$EZ$14,0))))</f>
        <v/>
      </c>
      <c r="CC50" s="239" t="str">
        <f>IF(A50=FALSE,"",IF(ALLTHESAME=TRUE,INDEX(FA50:FZ50,MATCH(FC50,FC50:FC155,0),MATCH(Structure!$D$17,$FA$14:$FZ$14,0)),INDEX(GA50:GZ50,MATCH(GC50,GC50:GC155,0),MATCH(Structure!$D$17,$GA$14:$GZ$14,0))))</f>
        <v/>
      </c>
      <c r="CD50" s="239" t="str">
        <f>IF(A50=FALSE,"",IF(ALLTHESAME=TRUE,INDEX(HA50:HZ50,MATCH(HC50,HC50:HC155,0),MATCH(Structure!$D$17,$HA$14:$HZ$14,0)),INDEX(IA50:IZ50,MATCH(IC50,IC50:IC155,0),MATCH(Structure!$D$17,$IA$14:$IZ$14,0))))</f>
        <v/>
      </c>
      <c r="CE50" s="239" t="str">
        <f>IF(A50=FALSE,"",IF(ALLTHESAME=TRUE,INDEX(JA50:JZ50,MATCH(JC50,JC50:JC155,0),MATCH(Structure!$D$17,$JA$14:$JZ$14,0)),INDEX(KA50:KZ50,MATCH(KC50,KC50:KC155,0),MATCH(Structure!$D$17,$KA$14:$KZ$14,0))))</f>
        <v/>
      </c>
      <c r="CF50" s="239" t="str">
        <f>IF(A50=FALSE,"",IF(ALLTHESAME=TRUE,INDEX(LA50:LZ50,MATCH(LC50,LC50:LC155,0),MATCH(Structure!$D$17,$LA$14:$LZ$14,0)),INDEX(MA50:MZ50,MATCH(MC50,MC50:MC155,0),MATCH(Structure!$D$17,$MA$14:$MZ$14,0))))</f>
        <v/>
      </c>
      <c r="CG50" s="239" t="str">
        <f>IF(A50=FALSE,"",IF(ALLTHESAME=TRUE,INDEX(NA50:NZ50,MATCH(NC50,NC50:NC155,0),MATCH(Structure!$D$17,$NA$14:$NZ$14,0)),INDEX(OA50:OZ50,MATCH(OC50,OC50:OC155,0),MATCH(Structure!$D$17,$OA$14:$OZ$14,0))))</f>
        <v/>
      </c>
      <c r="CH50" s="239" t="str">
        <f>IF(A50=FALSE,"",IF(ALLTHESAME=TRUE,INDEX(PA50:PZ50,MATCH(PC50,PC50:PC155,0),MATCH(Structure!$D$17,$PA$14:$PZ$14,0)),INDEX(QA50:QZ50,MATCH(QC50,QC50:QC155,0),MATCH(Structure!$D$17,$QA$14:$QZ$14,0))))</f>
        <v/>
      </c>
      <c r="CI50" s="341" t="str">
        <f>IF(A50=FALSE,"",IF(ALLTHESAME=TRUE,INDEX(RA50:RZ50,MATCH(RC50,RC50:RC155,0),MATCH(Structure!$D$17,$RA$14:$RZ$14,0)),INDEX(SA50:TC50,MATCH(SC50,SC50:SC155,0),MATCH(Structure!$D$17,$SA$14:$TC$14,0))))</f>
        <v/>
      </c>
      <c r="CJ50" s="347"/>
      <c r="CK50" s="239" t="str">
        <f t="shared" si="456"/>
        <v/>
      </c>
      <c r="CL50" s="239" t="str">
        <f>IF(A50=FALSE,"",IF(ALLTHESAME=TRUE,INDEX(DD50:DZ50,MATCH(DF50,DF50:DF155,0),MATCH(Structure!$D$22,$DD$14:$DZ$14,0)),INDEX(EA50:EZ50,MATCH(EC50,EC50:EC155,0),MATCH(Structure!$D$22,$EA$14:$EZ$14,0))))</f>
        <v/>
      </c>
      <c r="CM50" s="239" t="str">
        <f>IF(A50=FALSE,"",IF(ALLTHESAME=TRUE,INDEX(FA50:FZ50,MATCH(FC50,FC50:FC155,0),MATCH(Structure!$D$22,$FA$14:$FZ$14,0)),INDEX(GA50:GZ50,MATCH(GC50,GC50:GC155,0),MATCH(Structure!$D$22,$GA$14:$GZ$14,0))))</f>
        <v/>
      </c>
      <c r="CN50" s="239" t="str">
        <f>IF(A50=FALSE,"",IF(ALLTHESAME=TRUE,INDEX(HA50:HZ50,MATCH(HC50,HC50:HC155,0),MATCH(Structure!$D$22,$HA$14:$HZ$14,0)),INDEX(IA50:IZ50,MATCH(IC50,IC50:IC155,0),MATCH(Structure!$D$22,$IA$14:$IZ$14,0))))</f>
        <v/>
      </c>
      <c r="CO50" s="239" t="str">
        <f>IF(A50=FALSE,"",IF(ALLTHESAME=TRUE,INDEX(JA50:JZ50,MATCH(JC50,JC50:JC155,0),MATCH(Structure!$D$22,$JA$14:$JZ$14,0)),INDEX(KA50:KZ50,MATCH(KC50,KC50:KC155,0),MATCH(Structure!$D$22,$KA$14:$KZ$14,0))))</f>
        <v/>
      </c>
      <c r="CP50" s="239" t="str">
        <f>IF(A50=FALSE,"",IF(ALLTHESAME=TRUE,INDEX(LA50:LZ50,MATCH(LC50,LC50:LC155,0),MATCH(Structure!$D$22,$LA$14:$LZ$14,0)),INDEX(MA50:MZ50,MATCH(MC50,MC50:MC155,0),MATCH(Structure!$D$22,$MA$14:$MZ$14,0))))</f>
        <v/>
      </c>
      <c r="CQ50" s="239" t="str">
        <f>IF(A50=FALSE,"",IF(ALLTHESAME=TRUE,INDEX(NA50:NZ50,MATCH(NC50,NC50:NC155,0),MATCH(Structure!$D$22,$NA$14:$NZ$14,0)),INDEX(OA50:OZ50,MATCH(OC50,OC50:OC155,0),MATCH(Structure!$D$22,$OA$14:$OZ$14,0))))</f>
        <v/>
      </c>
      <c r="CR50" s="239" t="str">
        <f>IF(A50=FALSE,"",IF(ALLTHESAME=TRUE,INDEX(PA50:PZ50,MATCH(PC50,PC50:PC155,0),MATCH(Structure!$D$22,$PA$14:$PZ$14,0)),INDEX(QA50:QZ50,MATCH(QC50,QC50:QC155,0),MATCH(Structure!$D$22,$QA$14:$QZ$14,0))))</f>
        <v/>
      </c>
      <c r="CS50" s="341" t="str">
        <f>IF(A50=FALSE,"",IF(ALLTHESAME=TRUE,INDEX(RA50:RZ50,MATCH(RC50,RC50:RC155,0),MATCH(Structure!$D$22,$RA$14:$RZ$14,0)),INDEX(SA50:TC50,MATCH(SC50,SC50:SC155,0),MATCH(Structure!$D$22,$SA$14:$TC$14,0))))</f>
        <v/>
      </c>
      <c r="CT50" s="347"/>
      <c r="CU50" s="239" t="str">
        <f t="shared" si="457"/>
        <v/>
      </c>
      <c r="CV50" s="239" t="str">
        <f>IF(A50=FALSE,"",IF(ALLTHESAME=TRUE,INDEX(DD50:DZ50,MATCH(DF50,DF50:DF155,0),MATCH(Structure!$D$8,$DD$14:$DZ$14,0)),INDEX(EA50:EZ50,MATCH(EC50,EC50:EC155,0),MATCH(Structure!$D$8,$EA$14:$EZ$14,0))))</f>
        <v/>
      </c>
      <c r="CW50" s="239" t="str">
        <f>IF(A50=FALSE,"",IF(ALLTHESAME=TRUE,INDEX(FA50:FZ50,MATCH(FC50,FC50:FC155,0),MATCH(Structure!$D$8,$FA$14:$FZ$14,0)),INDEX(GA50:GZ50,MATCH(GC50,GC50:GC155,0),MATCH(Structure!$D$8,$GA$14:$GZ$14,0))))</f>
        <v/>
      </c>
      <c r="CX50" s="239" t="str">
        <f>IF(A50=FALSE,"",IF(ALLTHESAME=TRUE,INDEX(HA50:HZ50,MATCH(HC50,HC50:HC155,0),MATCH(Structure!$D$8,$HA$14:$HZ$14,0)),INDEX(IA50:IZ50,MATCH(IC50,IC50:IC155,0),MATCH(Structure!$D$8,$IA$14:$IZ$14,0))))</f>
        <v/>
      </c>
      <c r="CY50" s="239" t="str">
        <f>IF(A50=FALSE,"",IF(ALLTHESAME=TRUE,INDEX(JA50:JZ50,MATCH(JC50,JC50:JC155,0),MATCH(Structure!$D$8,$JA$14:$JZ$14,0)),INDEX(KA50:KZ50,MATCH(KC50,KC50:KC155,0),MATCH(Structure!$D$8,$KA$14:$KZ$14,0))))</f>
        <v/>
      </c>
      <c r="CZ50" s="239" t="str">
        <f>IF(A50=FALSE,"",IF(ALLTHESAME=TRUE,INDEX(LA50:LZ50,MATCH(LC50,LC50:LC155,0),MATCH(Structure!$D$8,$LA$14:$LZ$14,0)),INDEX(MA50:MZ50,MATCH(MC50,MC50:MC155,0),MATCH(Structure!$D$8,$MA$14:$MZ$14,0))))</f>
        <v/>
      </c>
      <c r="DA50" s="239" t="str">
        <f>IF(A50=FALSE,"",IF(ALLTHESAME=TRUE,INDEX(NA50:NZ50,MATCH(NC50,NC50:NC155,0),MATCH(Structure!$D$8,$NA$14:$NZ$14,0)),INDEX(OA50:OZ50,MATCH(OC50,OC50:OC155,0),MATCH(Structure!$D$8,$OA$14:$OZ$14,0))))</f>
        <v/>
      </c>
      <c r="DB50" s="239" t="str">
        <f>IF(A50=FALSE,"",IF(ALLTHESAME=TRUE,INDEX(PA50:PZ50,MATCH(PC50,PC50:PC155,0),MATCH(Structure!$D$8,$PA$14:$PZ$14,0)),INDEX(QA50:QZ50,MATCH(QC50,QC50:QC155,0),MATCH(Structure!$D$8,$QA$14:$QZ$14,0))))</f>
        <v/>
      </c>
      <c r="DC50" s="341" t="str">
        <f>IF(A50=FALSE,"",IF(ALLTHESAME=TRUE,INDEX(RA50:RZ50,MATCH(RC50,RC50:RC155,0),MATCH(Structure!$D$8,$RA$14:$RZ$14,0)),INDEX(SA50:TC50,MATCH(SC50,SC50:SC155,0),MATCH(Structure!$D$8,$SA$14:$TC$14,0))))</f>
        <v/>
      </c>
      <c r="DD50" s="492" t="str">
        <f>IF(A50=FALSE,"",Cotations!D50)</f>
        <v/>
      </c>
      <c r="DE50" s="492" t="str">
        <f>IF(A50=FALSE,"",IF(LISTES!$A$17=1,Cotations!AF50,Cotations!$AG$4))</f>
        <v/>
      </c>
      <c r="DF50" s="291" t="str">
        <f t="shared" si="458"/>
        <v/>
      </c>
      <c r="DG50" s="291" t="str">
        <f t="shared" si="459"/>
        <v/>
      </c>
      <c r="DH50" s="291"/>
      <c r="DI50" s="463"/>
      <c r="DJ50" s="463" t="str">
        <f t="shared" si="460"/>
        <v/>
      </c>
      <c r="DK50" s="522" t="str">
        <f>IF(A50=FALSE,"",IF(Cotations!$AH$4="monthly",DJ50/12*L50,DJ50/365*M50))</f>
        <v/>
      </c>
      <c r="DL50" s="489" t="str">
        <f>IF(A50=FALSE,"",Cotations!$AI$4)</f>
        <v/>
      </c>
      <c r="DM50" s="300" t="str">
        <f t="shared" si="461"/>
        <v/>
      </c>
      <c r="DN50" s="300" t="str">
        <f t="shared" si="462"/>
        <v/>
      </c>
      <c r="DO50" s="294" t="str">
        <f t="shared" si="463"/>
        <v/>
      </c>
      <c r="DP50" s="494" t="str">
        <f>IF(A50=FALSE,"",Cotations!$AJ$4)</f>
        <v/>
      </c>
      <c r="DQ50" s="494" t="str">
        <f>IF(A50=FALSE,"",Cotations!$AK$4)</f>
        <v/>
      </c>
      <c r="DR50" s="489" t="str">
        <f>IF(A50=FALSE,"",Cotations!$AL$4)</f>
        <v/>
      </c>
      <c r="DS50" s="494" t="str">
        <f>IF(A50=FALSE,"",IF(DP50="N/A",0,IF(INDEX(LISTES!$F$105:$F$109,MATCH(DP50,LISTES!$C$105:$C$109,0))="FIX",IF(INDEX(LISTES!$E$105:$E$109,MATCH(DP50,LISTES!$C$105:$C$109,0))=12,DQ50/12*L50,DQ50/365*M50),DR50*DO50)))</f>
        <v/>
      </c>
      <c r="DT50" s="294" t="str">
        <f t="shared" si="464"/>
        <v/>
      </c>
      <c r="DU50" s="294" t="str">
        <f>IF(A50=FALSE,"",DT50*Cotations!$AM$4)</f>
        <v/>
      </c>
      <c r="DV50" s="294" t="str">
        <f>IF(A50=FALSE,"",DT50*Cotations!$AN$4)</f>
        <v/>
      </c>
      <c r="DW50" s="465" t="str">
        <f t="shared" si="465"/>
        <v/>
      </c>
      <c r="DX50" s="919" t="str">
        <f>IF(A50=FALSE,"",((DJ50*TAXE)-(DJ50*TAXE*DL50))+IF(DP50="N/A",0,IF(INDEX(LISTES!$F$105:$F$109,MATCH(DP50,LISTES!$C$105:$C$109,0))="FIX",DQ50,DR50*DO50)))</f>
        <v/>
      </c>
      <c r="DY50" s="466"/>
      <c r="DZ50" s="466"/>
      <c r="EA50" s="492" t="str">
        <f>IF(A50=FALSE,"",Cotations!D50)</f>
        <v/>
      </c>
      <c r="EB50" s="494" t="str">
        <f>IF(A50=FALSE,"",IF(LISTES!$A$17=1,Cotations!AF50,Cotations!AG50))</f>
        <v/>
      </c>
      <c r="EC50" s="284" t="str">
        <f t="shared" si="466"/>
        <v/>
      </c>
      <c r="ED50" s="284" t="str">
        <f t="shared" si="467"/>
        <v/>
      </c>
      <c r="EE50" s="284"/>
      <c r="EF50" s="284"/>
      <c r="EG50" s="284" t="str">
        <f t="shared" si="468"/>
        <v/>
      </c>
      <c r="EH50" s="1365" t="str">
        <f t="shared" si="469"/>
        <v/>
      </c>
      <c r="EI50" s="1365" t="str">
        <f t="shared" si="470"/>
        <v/>
      </c>
      <c r="EJ50" s="515" t="str">
        <f>IF(A50=FALSE,"",IF(Cotations!AH50="monthly",EG50/12*L50,EG50/365*M50))</f>
        <v/>
      </c>
      <c r="EK50" s="1364" t="str">
        <f>IF(A50=FALSE,"",IF(Cotations!AH50="monthly",EI50/12*L50,EI50/365*M50))</f>
        <v/>
      </c>
      <c r="EL50" s="493" t="str">
        <f>IF(A50=FALSE,"",IF(Cotations!AI50="","",Cotations!AI50))</f>
        <v/>
      </c>
      <c r="EM50" s="284" t="str">
        <f t="shared" si="471"/>
        <v/>
      </c>
      <c r="EN50" s="284" t="str">
        <f t="shared" si="472"/>
        <v/>
      </c>
      <c r="EO50" s="1365" t="str">
        <f t="shared" si="432"/>
        <v/>
      </c>
      <c r="EP50" s="284" t="str">
        <f t="shared" si="473"/>
        <v/>
      </c>
      <c r="EQ50" s="515" t="str">
        <f>IF(A50=FALSE,"",Cotations!AJ50)</f>
        <v/>
      </c>
      <c r="ER50" s="515" t="str">
        <f>IF(A50=FALSE,"",IF(Cotations!AK50="","",Cotations!AK50))</f>
        <v/>
      </c>
      <c r="ES50" s="493" t="str">
        <f>IF(A50=FALSE,"",Cotations!AL50)</f>
        <v/>
      </c>
      <c r="ET50" s="515" t="str">
        <f>IF(A50=FALSE,"",IF(EQ50="N/A",0,IF(INDEX(LISTES!$F$105:$F$109,MATCH(EQ50,LISTES!$C$105:$C$109,0))="FIX",IF(INDEX(LISTES!$E$105:$E$109,MATCH(EQ50,LISTES!$C$105:$C$109,0))=12,ER50/12*L50,ER50/365*M50),ES50*EP50)))</f>
        <v/>
      </c>
      <c r="EU50" s="294" t="str">
        <f t="shared" si="474"/>
        <v/>
      </c>
      <c r="EV50" s="494" t="str">
        <f>IF(A50=FALSE,"",EU50*Cotations!AM50)</f>
        <v/>
      </c>
      <c r="EW50" s="494" t="str">
        <f>IF(A50=FALSE,"",EU50*Cotations!AN50)</f>
        <v/>
      </c>
      <c r="EX50" s="334" t="str">
        <f t="shared" si="475"/>
        <v/>
      </c>
      <c r="EY50" s="919" t="str">
        <f>IF(A50=FALSE,"",((EG50*TAXE)-(EG50*TAXE*EL50)+EH50)+IF(EQ50="N/A",0,IF(INDEX(LISTES!$F$105:$F$109,MATCH(EQ50,LISTES!$C$105:$C$109,0))="FIX",ER50,ES50*EP50)))</f>
        <v/>
      </c>
      <c r="FA50" s="492" t="str">
        <f>IF(A50=FALSE,"",Cotations!D50)</f>
        <v/>
      </c>
      <c r="FB50" s="519" t="str">
        <f>IF(A50=FALSE,"",IF(LISTES!$A$17=1,Cotations!AO50,Cotations!$AP$4))</f>
        <v/>
      </c>
      <c r="FC50" s="291" t="str">
        <f t="shared" si="476"/>
        <v/>
      </c>
      <c r="FD50" s="291" t="str">
        <f t="shared" si="477"/>
        <v/>
      </c>
      <c r="FE50" s="291"/>
      <c r="FF50" s="463"/>
      <c r="FG50" s="463" t="str">
        <f t="shared" si="478"/>
        <v/>
      </c>
      <c r="FH50" s="522" t="str">
        <f>IF(A50=FALSE,"",IF(Cotations!$AQ$4="monthly",FG50/12*L50,FG50/365*M50))</f>
        <v/>
      </c>
      <c r="FI50" s="453" t="str">
        <f>IF(A50=FALSE,"",Cotations!$AR$4)</f>
        <v/>
      </c>
      <c r="FJ50" s="300" t="str">
        <f t="shared" si="479"/>
        <v/>
      </c>
      <c r="FK50" s="300" t="str">
        <f t="shared" si="480"/>
        <v/>
      </c>
      <c r="FL50" s="294" t="str">
        <f t="shared" si="481"/>
        <v/>
      </c>
      <c r="FM50" s="494" t="str">
        <f>IF(A50=FALSE,"",Cotations!$AS$4)</f>
        <v/>
      </c>
      <c r="FN50" s="494" t="str">
        <f>IF(A50=FALSE,"",Cotations!$AT$4)</f>
        <v/>
      </c>
      <c r="FO50" s="489" t="str">
        <f>IF(A50=FALSE,"",Cotations!$AU$4)</f>
        <v/>
      </c>
      <c r="FP50" s="494" t="str">
        <f>IF(A50=FALSE,"",IF(FM50="N/A",0,IF(INDEX(LISTES!$F$105:$F$109,MATCH(FM50,LISTES!$C$105:$C$109,0))="FIX",IF(INDEX(LISTES!$E$105:$E$109,MATCH(FM50,LISTES!$C$105:$C$109,0))=12,FN50/12*L50,FN50/365*M50),FO50*FL50)))</f>
        <v/>
      </c>
      <c r="FQ50" s="294" t="str">
        <f t="shared" si="482"/>
        <v/>
      </c>
      <c r="FR50" s="494" t="str">
        <f>IF(A50=FALSE,"",FQ50*Cotations!$AV$4)</f>
        <v/>
      </c>
      <c r="FS50" s="494" t="str">
        <f>IF(A50=FALSE,"",FQ50*Cotations!$AW$4)</f>
        <v/>
      </c>
      <c r="FT50" s="465" t="str">
        <f t="shared" si="483"/>
        <v/>
      </c>
      <c r="FU50" s="919" t="str">
        <f>IF(A50=FALSE,"",((FG50*TAXE)-(FG50*TAXE*FI50))+IF(FM50="N/A",0,IF(INDEX(LISTES!$F$105:$F$109,MATCH(FM50,LISTES!$C$105:$C$109,0))="FIX",FN50,FO50*FL50)))</f>
        <v/>
      </c>
      <c r="FV50" s="478"/>
      <c r="FW50" s="478"/>
      <c r="FX50" s="478"/>
      <c r="FY50" s="478"/>
      <c r="FZ50" s="478"/>
      <c r="GA50" s="492" t="str">
        <f>IF(A50=FALSE,"",Cotations!D50)</f>
        <v/>
      </c>
      <c r="GB50" s="494" t="str">
        <f>IF(A50=FALSE,"",IF(LISTES!$A$17=1,Cotations!AO50,Cotations!AP50))</f>
        <v/>
      </c>
      <c r="GC50" s="284" t="str">
        <f t="shared" si="484"/>
        <v/>
      </c>
      <c r="GD50" s="515" t="str">
        <f>IF(A50=FALSE,"",IF(Detail!AM50="","",Detail!AM50))</f>
        <v/>
      </c>
      <c r="GE50" s="284"/>
      <c r="GF50" s="284"/>
      <c r="GG50" s="284" t="str">
        <f t="shared" si="485"/>
        <v/>
      </c>
      <c r="GH50" s="515" t="str">
        <f>IF(A50=FALSE,"",IF(Cotations!AQ50="monthly",GG50/12*L50,GG50/365*M50))</f>
        <v/>
      </c>
      <c r="GI50" s="493" t="str">
        <f>IF(A50=FALSE,"",IF(Cotations!AR50="","",Cotations!AR50))</f>
        <v/>
      </c>
      <c r="GJ50" s="284" t="str">
        <f t="shared" si="486"/>
        <v/>
      </c>
      <c r="GK50" s="284" t="str">
        <f t="shared" si="487"/>
        <v/>
      </c>
      <c r="GL50" s="284" t="str">
        <f t="shared" si="488"/>
        <v/>
      </c>
      <c r="GM50" s="515" t="str">
        <f>IF(A50=FALSE,"",Cotations!AS50)</f>
        <v/>
      </c>
      <c r="GN50" s="515" t="str">
        <f>IF(A50=FALSE,"",Cotations!AT50)</f>
        <v/>
      </c>
      <c r="GO50" s="493" t="str">
        <f>IF(A50=FALSE,"",Cotations!AU50)</f>
        <v/>
      </c>
      <c r="GP50" s="515" t="str">
        <f>IF(A50=FALSE,"",IF(GM50="N/A",0,IF(INDEX(LISTES!$F$105:$F$109,MATCH(GM50,LISTES!$C$105:$C$109,0))="FIX",IF(INDEX(LISTES!$E$105:$E$109,MATCH(GM50,LISTES!$C$105:$C$109,0))=12,GN50/12*L50,GN50/365*M50),GO50*GL50)))</f>
        <v/>
      </c>
      <c r="GQ50" s="294" t="str">
        <f t="shared" si="489"/>
        <v/>
      </c>
      <c r="GR50" s="494" t="str">
        <f>IF(A50=FALSE,"",GQ50*Cotations!AV50)</f>
        <v/>
      </c>
      <c r="GS50" s="494" t="str">
        <f>IF(A50=FALSE,"",GQ50*Cotations!AW50)</f>
        <v/>
      </c>
      <c r="GT50" s="334" t="str">
        <f t="shared" si="490"/>
        <v/>
      </c>
      <c r="GU50" s="919" t="str">
        <f>IF(A50=FALSE,"",((GG50*TAXE)-(GG50*TAXE*GI50))+IF(GM50="N/A",0,IF(INDEX(LISTES!$F$105:$F$109,MATCH(GM50,LISTES!$C$105:$C$109,0))="FIX",GN50,GO50*GL50)))</f>
        <v/>
      </c>
      <c r="GV50" s="478"/>
      <c r="GW50" s="466"/>
      <c r="GX50" s="466"/>
      <c r="GY50" s="466"/>
      <c r="GZ50" s="466"/>
      <c r="HA50" s="492" t="str">
        <f>IF(A50=FALSE,"",Cotations!D50)</f>
        <v/>
      </c>
      <c r="HB50" s="495" t="str">
        <f>IF(A50=FALSE,"",IF(LISTES!$A$17=1,Cotations!AX50,Cotations!$AY$4))</f>
        <v/>
      </c>
      <c r="HC50" s="291" t="str">
        <f t="shared" si="491"/>
        <v/>
      </c>
      <c r="HD50" s="291" t="str">
        <f t="shared" si="492"/>
        <v/>
      </c>
      <c r="HE50" s="456" t="str">
        <f t="shared" si="493"/>
        <v/>
      </c>
      <c r="HF50" s="496" t="str">
        <f>IF(A50=FALSE,"",IF(HA50="POEA",Cotations!BA50,IF(HA50="FIXE",Cotations!$BA$4,Cotations!$BC$4*Y50)))</f>
        <v/>
      </c>
      <c r="HG50" s="300" t="str">
        <f t="shared" si="494"/>
        <v/>
      </c>
      <c r="HH50" s="522" t="str">
        <f>IF(A50=FALSE,"",IF(Cotations!$AZ$4="monthly",HG50/12*L50,HG50/365*M50))</f>
        <v/>
      </c>
      <c r="HI50" s="489" t="str">
        <f>IF(A50=FALSE,"",Cotations!$BD$4)</f>
        <v/>
      </c>
      <c r="HJ50" s="300" t="str">
        <f t="shared" si="495"/>
        <v/>
      </c>
      <c r="HK50" s="300" t="str">
        <f t="shared" si="496"/>
        <v/>
      </c>
      <c r="HL50" s="294" t="str">
        <f t="shared" si="497"/>
        <v/>
      </c>
      <c r="HM50" s="494" t="str">
        <f>IF(A50=FALSE,"",Cotations!$BE$4)</f>
        <v/>
      </c>
      <c r="HN50" s="522" t="str">
        <f>IF(A50=FALSE,"",Cotations!$BF$4)</f>
        <v/>
      </c>
      <c r="HO50" s="489" t="str">
        <f>IF(A50=FALSE,"",Cotations!$BG$4)</f>
        <v/>
      </c>
      <c r="HP50" s="494" t="str">
        <f>IF(A50=FALSE,"",IF(HM50="N/A",0,IF(INDEX(LISTES!$F$105:$F$109,MATCH(HM50,LISTES!$C$105:$C$109,0))="FIX",IF(INDEX(LISTES!$E$105:$E$109,MATCH(HM50,LISTES!$C$105:$C$109,0))=12,HN50/12*L50,HN50/365*M50),HO50*HL50)))</f>
        <v/>
      </c>
      <c r="HQ50" s="294" t="str">
        <f t="shared" si="498"/>
        <v/>
      </c>
      <c r="HR50" s="494" t="str">
        <f>IF(A50=FALSE,"",HQ50*Cotations!$BH$4)</f>
        <v/>
      </c>
      <c r="HS50" s="494" t="str">
        <f>IF(A50=FALSE,"",HQ50*Cotations!$BI$4)</f>
        <v/>
      </c>
      <c r="HT50" s="294" t="str">
        <f t="shared" si="499"/>
        <v/>
      </c>
      <c r="HU50" s="919" t="str">
        <f>IF(A50=FALSE,"",((HG50*TAXE)-(HG50*TAXE*HI50))+IF(HM50="N/A",0,IF(INDEX(LISTES!$F$105:$F$109,MATCH(HM50,LISTES!$C$105:$C$109,0))="FIX",HN50,HO50*HL50)))</f>
        <v/>
      </c>
      <c r="IA50" s="492" t="str">
        <f>IF(A50=FALSE,"",Cotations!D50)</f>
        <v/>
      </c>
      <c r="IB50" s="491" t="str">
        <f>IF(A50=FALSE,"",IF(LISTES!$A$17=1,Cotations!AX50,Cotations!AY50))</f>
        <v/>
      </c>
      <c r="IC50" s="285" t="str">
        <f t="shared" si="500"/>
        <v/>
      </c>
      <c r="ID50" s="300" t="str">
        <f>IF(A50=FALSE,"",IF(LISTES!$A$17=3,Detail!AU50,lig1_Formula_PREVOY))</f>
        <v/>
      </c>
      <c r="IE50" s="461" t="str">
        <f t="shared" si="501"/>
        <v/>
      </c>
      <c r="IF50" s="490" t="str">
        <f>IF(A50=FALSE,"",IF(IA50="POEA",Cotations!BA50,IF(HA50="FIXE",Cotations!BB50,IF(Cotations!BC50*Y50&lt;50000,Z50,Cotations!BC50*Y50))))</f>
        <v/>
      </c>
      <c r="IG50" s="300" t="str">
        <f t="shared" si="502"/>
        <v/>
      </c>
      <c r="IH50" s="522" t="str">
        <f>IF(A50=FALSE,"",IF(Cotations!AZ50="monthly",IG50/12*L50,IG50/365*M50))</f>
        <v/>
      </c>
      <c r="II50" s="489" t="str">
        <f>IF(A50=FALSE,"",IF(Cotations!BD50="","",Cotations!BD50))</f>
        <v/>
      </c>
      <c r="IJ50" s="300" t="str">
        <f t="shared" si="503"/>
        <v/>
      </c>
      <c r="IK50" s="300" t="str">
        <f t="shared" si="504"/>
        <v/>
      </c>
      <c r="IL50" s="919" t="str">
        <f t="shared" si="505"/>
        <v/>
      </c>
      <c r="IM50" s="517" t="str">
        <f>IF(A50=FALSE,"",Cotations!BE50)</f>
        <v/>
      </c>
      <c r="IN50" s="517" t="str">
        <f>IF(A50=FALSE,"",Cotations!BF50)</f>
        <v/>
      </c>
      <c r="IO50" s="493" t="str">
        <f>IF(A50=FALSE,"",Cotations!BG50)</f>
        <v/>
      </c>
      <c r="IP50" s="517" t="str">
        <f>IF(A50=FALSE,"",IF(IM50="N/A",0,IF(INDEX(LISTES!$F$105:$F$109,MATCH(IM50,LISTES!$C$105:$C$109,0))="FIX",IF(INDEX(LISTES!$E$105:$E$109,MATCH(IM50,LISTES!$C$105:$C$109,0))=12,IN50/12*L50,IN50/365*M50),IO50*IL50)))</f>
        <v/>
      </c>
      <c r="IQ50" s="294" t="str">
        <f t="shared" si="506"/>
        <v/>
      </c>
      <c r="IR50" s="494" t="str">
        <f>IF(A50=FALSE,"",IQ50*Cotations!BH50)</f>
        <v/>
      </c>
      <c r="IS50" s="494" t="str">
        <f>IF(A50=FALSE,"",IQ50*Cotations!BI50)</f>
        <v/>
      </c>
      <c r="IT50" s="338" t="str">
        <f t="shared" si="507"/>
        <v/>
      </c>
      <c r="IU50" s="919" t="str">
        <f>IF(A50=FALSE,"",((IG50*TAXE)-(IG50*TAXE*II50))+IF(IM50="N/A",0,IF(INDEX(LISTES!$F$105:$F$109,MATCH(IM50,LISTES!$C$105:$C$109,0))="FIX",IN50,IO50*IL50)))</f>
        <v/>
      </c>
      <c r="JA50" s="492" t="str">
        <f>IF(A50=FALSE,"",Cotations!D50)</f>
        <v/>
      </c>
      <c r="JB50" s="495" t="str">
        <f>IF(A50=FALSE,"",IF(LISTES!$A$17=1,Cotations!BJ50,Cotations!$BK$4))</f>
        <v/>
      </c>
      <c r="JC50" s="291" t="str">
        <f t="shared" si="508"/>
        <v/>
      </c>
      <c r="JD50" s="291" t="str">
        <f t="shared" si="509"/>
        <v/>
      </c>
      <c r="JE50" s="456" t="str">
        <f t="shared" si="510"/>
        <v/>
      </c>
      <c r="JF50" s="496" t="str">
        <f>IF(A50=FALSE,"",IF(JA50="POEA",Cotations!BM50,IF(JA50="FIXE",Cotations!$BM$4,Cotations!$BO$4*Y50)))</f>
        <v/>
      </c>
      <c r="JG50" s="300" t="str">
        <f t="shared" si="511"/>
        <v/>
      </c>
      <c r="JH50" s="522" t="str">
        <f>IF(A50=FALSE,"",IF(Cotations!$BL$4="monthly",JG50/12*L50,JG50/365*M50))</f>
        <v/>
      </c>
      <c r="JI50" s="489" t="str">
        <f>IF(A50=FALSE,"",Cotations!$BP$4)</f>
        <v/>
      </c>
      <c r="JJ50" s="300" t="str">
        <f t="shared" si="512"/>
        <v/>
      </c>
      <c r="JK50" s="300" t="str">
        <f t="shared" si="513"/>
        <v/>
      </c>
      <c r="JL50" s="294" t="str">
        <f t="shared" si="514"/>
        <v/>
      </c>
      <c r="JM50" s="494" t="str">
        <f>IF(A50=FALSE,"",Cotations!$BQ$4)</f>
        <v/>
      </c>
      <c r="JN50" s="522" t="str">
        <f>IF(A50=FALSE,"",Cotations!$BR$4)</f>
        <v/>
      </c>
      <c r="JO50" s="489" t="str">
        <f>IF(A50=FALSE,"",Cotations!$BS$4)</f>
        <v/>
      </c>
      <c r="JP50" s="494" t="str">
        <f>IF(A50=FALSE,"",IF(JM50="N/A",0,IF(INDEX(LISTES!$F$105:$F$109,MATCH(JM50,LISTES!$C$105:$C$109,0))="FIX",IF(INDEX(LISTES!$E$105:$E$109,MATCH(JM50,LISTES!$C$105:$C$109,0))=12,JN50/12*L50,JN50/365*M50),JO50*JL50)))</f>
        <v/>
      </c>
      <c r="JQ50" s="294" t="str">
        <f t="shared" si="515"/>
        <v/>
      </c>
      <c r="JR50" s="494" t="str">
        <f>IF(A50=FALSE,"",JQ50*Cotations!$BT$4)</f>
        <v/>
      </c>
      <c r="JS50" s="494" t="str">
        <f>IF(A50=FALSE,"",JQ50*Cotations!$BU$4)</f>
        <v/>
      </c>
      <c r="JT50" s="294" t="str">
        <f t="shared" si="516"/>
        <v/>
      </c>
      <c r="JU50" s="919" t="str">
        <f>IF(A50=FALSE,"",((JG50*TAXE)-(JG50*TAXE*JI50))+IF(JM50="N/A",0,IF(INDEX(LISTES!$F$105:$F$109,MATCH(JM50,LISTES!$C$105:$C$109,0))="FIX",JN50,JO50*JL50)))</f>
        <v/>
      </c>
      <c r="KA50" s="492" t="str">
        <f>IF(A50=FALSE,"",Cotations!D50)</f>
        <v/>
      </c>
      <c r="KB50" s="491" t="str">
        <f>IF(A50=FALSE,"",IF(LISTES!$A$17=1,Cotations!BJ50,Cotations!BK50))</f>
        <v/>
      </c>
      <c r="KC50" s="285" t="str">
        <f t="shared" si="517"/>
        <v/>
      </c>
      <c r="KD50" s="300"/>
      <c r="KE50" s="461" t="str">
        <f t="shared" si="518"/>
        <v/>
      </c>
      <c r="KF50" s="490" t="str">
        <f>IF(A50=FALSE,"",IF(KA50="POEA",Cotations!BM50,IF(KA50="FIXE",Cotations!BN50,IF(Cotations!BO50*Y50&lt;50000,Z50,Cotations!BO50*Y50))))</f>
        <v/>
      </c>
      <c r="KG50" s="300" t="str">
        <f t="shared" si="519"/>
        <v/>
      </c>
      <c r="KH50" s="522" t="str">
        <f>IF(A50=FALSE,"",IF(Cotations!BL50="monthly",KG50/12*L50,KG50/365*M50))</f>
        <v/>
      </c>
      <c r="KI50" s="489" t="str">
        <f>IF(A50=FALSE,"",IF(Cotations!BP50="","",Cotations!BP50))</f>
        <v/>
      </c>
      <c r="KJ50" s="300" t="str">
        <f t="shared" si="520"/>
        <v/>
      </c>
      <c r="KK50" s="300" t="str">
        <f t="shared" si="521"/>
        <v/>
      </c>
      <c r="KL50" s="919" t="str">
        <f t="shared" si="522"/>
        <v/>
      </c>
      <c r="KM50" s="517" t="str">
        <f>IF(A50=FALSE,"",Cotations!BQ50)</f>
        <v/>
      </c>
      <c r="KN50" s="515" t="str">
        <f>IF(A50=FALSE,"",Cotations!BR50)</f>
        <v/>
      </c>
      <c r="KO50" s="493" t="str">
        <f>IF(A50=FALSE,"",Cotations!BS50)</f>
        <v/>
      </c>
      <c r="KP50" s="517" t="str">
        <f>IF(A50=FALSE,"",IF(KM50="N/A",0,IF(INDEX(LISTES!$F$105:$F$109,MATCH(KM50,LISTES!$C$105:$C$109,0))="FIX",IF(INDEX(LISTES!$E$105:$E$109,MATCH(KM50,LISTES!$C$105:$C$109,0))=12,KN50/12*L50,KN50/365*M50),KO50*KL50)))</f>
        <v/>
      </c>
      <c r="KQ50" s="294" t="str">
        <f t="shared" si="523"/>
        <v/>
      </c>
      <c r="KR50" s="494" t="str">
        <f>IF(A50=FALSE,"",KQ50*Cotations!BT50)</f>
        <v/>
      </c>
      <c r="KS50" s="494" t="str">
        <f>IF(A50=FALSE,"",KQ50*Cotations!BU50)</f>
        <v/>
      </c>
      <c r="KT50" s="338" t="str">
        <f t="shared" si="524"/>
        <v/>
      </c>
      <c r="KU50" s="919" t="str">
        <f>IF(A50=FALSE,"",((KG50*TAXE)-(KG50*TAXE*KI50))+IF(KM50="N/A",0,IF(INDEX(LISTES!$F$105:$F$109,MATCH(KM50,LISTES!$C$105:$C$109,0))="FIX",KN50,KO50*KL50)))</f>
        <v/>
      </c>
      <c r="LA50" s="497" t="str">
        <f>IF(A50=FALSE,"",Cotations!D50)</f>
        <v/>
      </c>
      <c r="LB50" s="498" t="str">
        <f>IF(A50=FALSE,"",IF(LISTES!$A$17=1,Cotations!BV50,Cotations!$BW$4))</f>
        <v/>
      </c>
      <c r="LC50" s="499" t="str">
        <f t="shared" si="525"/>
        <v/>
      </c>
      <c r="LD50" s="499" t="str">
        <f t="shared" si="526"/>
        <v/>
      </c>
      <c r="LE50" s="500" t="str">
        <f t="shared" si="527"/>
        <v/>
      </c>
      <c r="LF50" s="501" t="str">
        <f>IF(A50=FALSE,"",IF(LA50="POEA",Cotations!EJ50,IF(LA50="FIXE",Cotations!$BY$4,Cotations!$CA$4*Y50)))</f>
        <v/>
      </c>
      <c r="LG50" s="502" t="str">
        <f t="shared" si="528"/>
        <v/>
      </c>
      <c r="LH50" s="520" t="str">
        <f>IF(A50=FALSE,"",IF(Cotations!$BX$4="monthly",LG50/12*L50,LG50/365*M50))</f>
        <v/>
      </c>
      <c r="LI50" s="503" t="str">
        <f>IF(A50=FALSE,"",Cotations!$CB$4)</f>
        <v/>
      </c>
      <c r="LJ50" s="502" t="str">
        <f t="shared" si="529"/>
        <v/>
      </c>
      <c r="LK50" s="502" t="str">
        <f t="shared" si="530"/>
        <v/>
      </c>
      <c r="LL50" s="504" t="str">
        <f t="shared" si="531"/>
        <v/>
      </c>
      <c r="LM50" s="505" t="str">
        <f>IF(A50=FALSE,"",Cotations!$CC$4)</f>
        <v/>
      </c>
      <c r="LN50" s="503" t="str">
        <f>IF(A50=FALSE,"",Cotations!$CD$4)</f>
        <v/>
      </c>
      <c r="LO50" s="503" t="str">
        <f>IF(A50=FALSE,"",Cotations!$CE$4)</f>
        <v/>
      </c>
      <c r="LP50" s="505" t="str">
        <f>IF(A50=FALSE,"",IF(LM50="N/A",0,IF(INDEX(LISTES!$F$105:$F$109,MATCH(LM50,LISTES!$C$105:$C$109,0))="FIX",IF(INDEX(LISTES!$E$105:$E$109,MATCH(LM50,LISTES!$C$105:$C$109,0))=12,LN50/12*L50,LN50/365*M50),LO50*LL50)))</f>
        <v/>
      </c>
      <c r="LQ50" s="504" t="str">
        <f t="shared" si="532"/>
        <v/>
      </c>
      <c r="LR50" s="505" t="str">
        <f>IF(A50=FALSE,"",LQ50*Cotations!$CF$4)</f>
        <v/>
      </c>
      <c r="LS50" s="505" t="str">
        <f>IF(A50=FALSE,"",LQ50*Cotations!$CG$4)</f>
        <v/>
      </c>
      <c r="LT50" s="506" t="str">
        <f t="shared" si="533"/>
        <v/>
      </c>
      <c r="LU50" s="919" t="str">
        <f>IF(A50=FALSE,"",((LG50*TAXE)-(LG50*TAXE*LI50))+IF(LM50="N/A",0,IF(INDEX(LISTES!$F$105:$F$109,MATCH(LM50,LISTES!$C$105:$C$109,0))="FIX",LN50,LO50*LL50)))</f>
        <v/>
      </c>
      <c r="MA50" s="492" t="str">
        <f>IF(A50=FALSE,"",Cotations!D50)</f>
        <v/>
      </c>
      <c r="MB50" s="491" t="str">
        <f>IF(A50=FALSE,"",IF(LISTES!$A$17=1,Cotations!BV50,Cotations!BW50))</f>
        <v/>
      </c>
      <c r="MC50" s="285" t="str">
        <f t="shared" si="534"/>
        <v/>
      </c>
      <c r="MD50" s="300"/>
      <c r="ME50" s="461" t="str">
        <f t="shared" si="535"/>
        <v/>
      </c>
      <c r="MF50" s="490" t="str">
        <f>IF(A50=FALSE,"",IF(MA50="POEA",Cotations!BY50,IF(MA50="FIXE",Cotations!BZ50,IF(Cotations!CA50*Y50&lt;50000,Z50,Cotations!CA50*Y50))))</f>
        <v/>
      </c>
      <c r="MG50" s="300" t="str">
        <f t="shared" si="536"/>
        <v/>
      </c>
      <c r="MH50" s="522" t="str">
        <f>IF(A50=FALSE,"",IF(Cotations!BX50="monthly",MG50/12*L50,MG50/365*M50))</f>
        <v/>
      </c>
      <c r="MI50" s="489" t="str">
        <f>IF(A50=FALSE,"",IF(Cotations!CB50="","",Cotations!CB50))</f>
        <v/>
      </c>
      <c r="MJ50" s="300" t="str">
        <f t="shared" si="537"/>
        <v/>
      </c>
      <c r="MK50" s="300" t="str">
        <f t="shared" si="538"/>
        <v/>
      </c>
      <c r="ML50" s="919" t="str">
        <f t="shared" si="539"/>
        <v/>
      </c>
      <c r="MM50" s="517" t="str">
        <f>IF(A50=FALSE,"",Cotations!CC50)</f>
        <v/>
      </c>
      <c r="MN50" s="515" t="str">
        <f>IF(A50=FALSE,"",Cotations!CD50)</f>
        <v/>
      </c>
      <c r="MO50" s="493" t="str">
        <f>IF(A50=FALSE,"",Cotations!CE50)</f>
        <v/>
      </c>
      <c r="MP50" s="517" t="str">
        <f>IF(A50=FALSE,"",IF(MM50="N/A",0,IF(INDEX(LISTES!$F$105:$F$109,MATCH(MM50,LISTES!$C$105:$C$109,0))="FIX",IF(INDEX(LISTES!$E$105:$E$109,MATCH(MM50,LISTES!$C$105:$C$109,0))=12,MN50/12*L50,MN50/365*M50),MO50*ML50)))</f>
        <v/>
      </c>
      <c r="MQ50" s="294" t="str">
        <f t="shared" si="540"/>
        <v/>
      </c>
      <c r="MR50" s="494" t="str">
        <f>IF(A50=FALSE,"",MQ50*Cotations!CF50)</f>
        <v/>
      </c>
      <c r="MS50" s="494" t="str">
        <f>IF(A50=FALSE,"",MQ50*Cotations!CG50)</f>
        <v/>
      </c>
      <c r="MT50" s="338" t="str">
        <f t="shared" si="541"/>
        <v/>
      </c>
      <c r="MU50" s="919" t="str">
        <f>IF(A50=FALSE,"",((MG50*TAXE)-(MG50*TAXE*MI50))+IF(MM50="N/A",0,IF(INDEX(LISTES!$F$105:$F$109,MATCH(MM50,LISTES!$C$105:$C$109,0))="FIX",MN50,MO50*ML50)))</f>
        <v/>
      </c>
      <c r="NA50" s="497" t="str">
        <f>IF(A50=FALSE,"",Cotations!D50)</f>
        <v/>
      </c>
      <c r="NB50" s="498" t="str">
        <f>IF(A50=FALSE,"",IF(LISTES!$A$17=1,Cotations!CH50,Cotations!$CI$4))</f>
        <v/>
      </c>
      <c r="NC50" s="499" t="str">
        <f t="shared" si="542"/>
        <v/>
      </c>
      <c r="ND50" s="499" t="str">
        <f t="shared" si="543"/>
        <v/>
      </c>
      <c r="NE50" s="500" t="str">
        <f t="shared" si="544"/>
        <v/>
      </c>
      <c r="NF50" s="501" t="str">
        <f>IF(A50=FALSE,"",IF(NA50="POEA",Cotations!CK50,IF(NA50="FIXE",Cotations!$CK$4,Cotations!$CM$4*Y50)))</f>
        <v/>
      </c>
      <c r="NG50" s="502" t="str">
        <f t="shared" si="545"/>
        <v/>
      </c>
      <c r="NH50" s="520" t="str">
        <f>IF(A50=FALSE,"",IF(Cotations!$CJ$4="monthly",NG50/12*L50,NG50/365*M50))</f>
        <v/>
      </c>
      <c r="NI50" s="503" t="str">
        <f>IF(A50=FALSE,"",Cotations!$CN$4)</f>
        <v/>
      </c>
      <c r="NJ50" s="502" t="str">
        <f t="shared" si="546"/>
        <v/>
      </c>
      <c r="NK50" s="502" t="str">
        <f t="shared" si="547"/>
        <v/>
      </c>
      <c r="NL50" s="504" t="str">
        <f t="shared" si="548"/>
        <v/>
      </c>
      <c r="NM50" s="505" t="str">
        <f>IF(A50=FALSE,"",Cotations!$CO$4)</f>
        <v/>
      </c>
      <c r="NN50" s="520" t="str">
        <f>IF(A50=FALSE,"",Cotations!$CP$4)</f>
        <v/>
      </c>
      <c r="NO50" s="503" t="str">
        <f>IF(A50=FALSE,"",Cotations!$CQ$4)</f>
        <v/>
      </c>
      <c r="NP50" s="505" t="str">
        <f>IF(A50=FALSE,"",IF(NM50="N/A",0,IF(INDEX(LISTES!$F$105:$F$109,MATCH(NM50,LISTES!$C$105:$C$109,0))="FIX",IF(INDEX(LISTES!$E$105:$E$109,MATCH(NM50,LISTES!$C$105:$C$109,0))=12,NN50/12*L50,NN50/365*M50),NO50*NL50)))</f>
        <v/>
      </c>
      <c r="NQ50" s="504" t="str">
        <f t="shared" si="549"/>
        <v/>
      </c>
      <c r="NR50" s="505" t="str">
        <f>IF(A50=FALSE,"",NQ50*Cotations!$CR$4)</f>
        <v/>
      </c>
      <c r="NS50" s="505" t="str">
        <f>IF(A50=FALSE,"",NQ50*Cotations!$CS$4)</f>
        <v/>
      </c>
      <c r="NT50" s="506" t="str">
        <f t="shared" si="550"/>
        <v/>
      </c>
      <c r="NU50" s="919" t="str">
        <f>IF(A50=FALSE,"",((NG50*TAXE)-(NG50*TAXE*NI50))+IF(NM50="N/A",0,IF(INDEX(LISTES!$F$105:$F$109,MATCH(NM50,LISTES!$C$105:$C$109,0))="FIX",NN50,NO50*NL50)))</f>
        <v/>
      </c>
      <c r="OA50" s="492" t="str">
        <f>IF(A50=FALSE,"",Cotations!D50)</f>
        <v/>
      </c>
      <c r="OB50" s="491" t="str">
        <f>IF(A50=FALSE,"",IF(LISTES!$A$17=1,Cotations!CH50,Cotations!CI50))</f>
        <v/>
      </c>
      <c r="OC50" s="285" t="str">
        <f t="shared" si="551"/>
        <v/>
      </c>
      <c r="OD50" s="300"/>
      <c r="OE50" s="461" t="str">
        <f t="shared" si="552"/>
        <v/>
      </c>
      <c r="OF50" s="490" t="str">
        <f>IF(A50=FALSE,"",IF(OA50="POEA",Cotations!CK50,IF(OA50="FIXE",Cotations!CL50,IF(Cotations!CM50*Y50&lt;50000,Z50,Cotations!CM50*Y50))))</f>
        <v/>
      </c>
      <c r="OG50" s="300" t="str">
        <f t="shared" si="553"/>
        <v/>
      </c>
      <c r="OH50" s="522" t="str">
        <f>IF(A50=FALSE,"",IF(Cotations!CJ50="monthly",OG50/12*L50,OG50/365*M50))</f>
        <v/>
      </c>
      <c r="OI50" s="489" t="str">
        <f>IF(A50=FALSE,"",IF(Cotations!CN50="","",Cotations!CN50))</f>
        <v/>
      </c>
      <c r="OJ50" s="300" t="str">
        <f t="shared" si="554"/>
        <v/>
      </c>
      <c r="OK50" s="300" t="str">
        <f t="shared" si="555"/>
        <v/>
      </c>
      <c r="OL50" s="919" t="str">
        <f t="shared" si="556"/>
        <v/>
      </c>
      <c r="OM50" s="517" t="str">
        <f>IF(A50=FALSE,"",Cotations!CO50)</f>
        <v/>
      </c>
      <c r="ON50" s="515" t="str">
        <f>IF(A50=FALSE,"",Cotations!CP50)</f>
        <v/>
      </c>
      <c r="OO50" s="493" t="str">
        <f>IF(A50=FALSE,"",Cotations!CQ50)</f>
        <v/>
      </c>
      <c r="OP50" s="517" t="str">
        <f>IF(A50=FALSE,"",IF(OM50="N/A",0,IF(INDEX(LISTES!$F$105:$F$109,MATCH(OM50,LISTES!$C$105:$C$109,0))="FIX",IF(INDEX(LISTES!$E$105:$E$109,MATCH(OM50,LISTES!$C$105:$C$109,0))=12,ON50/12*L50,ON50/365*M50),OO50*OL50)))</f>
        <v/>
      </c>
      <c r="OQ50" s="294" t="str">
        <f t="shared" si="557"/>
        <v/>
      </c>
      <c r="OR50" s="494" t="str">
        <f>IF(A50=FALSE,"",OQ50*Cotations!CR50)</f>
        <v/>
      </c>
      <c r="OS50" s="494" t="str">
        <f>IF(A50=FALSE,"",OQ50*Cotations!CS50)</f>
        <v/>
      </c>
      <c r="OT50" s="338" t="str">
        <f t="shared" si="558"/>
        <v/>
      </c>
      <c r="OU50" s="919" t="str">
        <f>IF(A50=FALSE,"",((OG50*TAXE)-(OG50*TAXE*OI50))+IF(OM50="N/A",0,IF(INDEX(LISTES!$F$105:$F$109,MATCH(OM50,LISTES!$C$105:$C$109,0))="FIX",ON50,OO50*OL50)))</f>
        <v/>
      </c>
      <c r="PA50" s="497" t="str">
        <f t="shared" si="559"/>
        <v/>
      </c>
      <c r="PB50" s="498" t="str">
        <f>IF(A50=FALSE,"",IF(LISTES!$A$17=1,Cotations!CT50,Cotations!$CU$4))</f>
        <v/>
      </c>
      <c r="PC50" s="499" t="str">
        <f t="shared" si="560"/>
        <v/>
      </c>
      <c r="PD50" s="499" t="str">
        <f t="shared" si="561"/>
        <v/>
      </c>
      <c r="PE50" s="500" t="str">
        <f t="shared" si="562"/>
        <v/>
      </c>
      <c r="PF50" s="501" t="str">
        <f>IF(A50=FALSE,"",Cotations!$CY$4*Y50)</f>
        <v/>
      </c>
      <c r="PG50" s="502" t="str">
        <f t="shared" si="563"/>
        <v/>
      </c>
      <c r="PH50" s="520" t="str">
        <f>IF(A50=FALSE,"",IF(Cotations!$CV$4="monthly",PG50/12*L50,PG50/365*M50))</f>
        <v/>
      </c>
      <c r="PI50" s="503" t="str">
        <f>IF(A50=FALSE,"",Cotations!$CZ$4)</f>
        <v/>
      </c>
      <c r="PJ50" s="502" t="str">
        <f t="shared" si="564"/>
        <v/>
      </c>
      <c r="PK50" s="502" t="str">
        <f t="shared" si="565"/>
        <v/>
      </c>
      <c r="PL50" s="504" t="str">
        <f t="shared" si="566"/>
        <v/>
      </c>
      <c r="PM50" s="505" t="str">
        <f>IF(A50=FALSE,"",Cotations!$DA$4)</f>
        <v/>
      </c>
      <c r="PN50" s="520" t="str">
        <f>IF(A50=FALSE,"",Cotations!$DB$4)</f>
        <v/>
      </c>
      <c r="PO50" s="503" t="str">
        <f>IF(A50=FALSE,"",Cotations!$DC$4)</f>
        <v/>
      </c>
      <c r="PP50" s="505" t="str">
        <f>IF(A50=FALSE,"",IF(PM50="N/A",0,IF(INDEX(LISTES!$F$105:$F$109,MATCH(PM50,LISTES!$C$105:$C$109,0))="FIX",IF(INDEX(LISTES!$E$105:$E$109,MATCH(PM50,LISTES!$C$105:$C$109,0))=12,PN50/12*L50,PN50/365*M50),PO50*PL50)))</f>
        <v/>
      </c>
      <c r="PQ50" s="504" t="str">
        <f t="shared" si="567"/>
        <v/>
      </c>
      <c r="PR50" s="505" t="str">
        <f>IF(A50=FALSE,"",PQ50*Cotations!$DD$4)</f>
        <v/>
      </c>
      <c r="PS50" s="505" t="str">
        <f>IF(A50=FALSE,"",PQ50*Cotations!$DE$4)</f>
        <v/>
      </c>
      <c r="PT50" s="506" t="str">
        <f t="shared" si="568"/>
        <v/>
      </c>
      <c r="PU50" s="919" t="str">
        <f>IF(A50=FALSE,"",((PG50*TAXE)-(PG50*TAXE*PI50))+IF(PM50="N/A",0,IF(INDEX(LISTES!$F$105:$F$109,MATCH(PM50,LISTES!$C$105:$C$109,0))="FIX",PN50,PO50*PL50)))</f>
        <v/>
      </c>
      <c r="QA50" s="492" t="str">
        <f t="shared" si="569"/>
        <v/>
      </c>
      <c r="QB50" s="491" t="str">
        <f>IF(A50=FALSE,"",IF(LISTES!$A$17=1,Cotations!CT50,Cotations!CU50))</f>
        <v/>
      </c>
      <c r="QC50" s="285" t="str">
        <f t="shared" si="570"/>
        <v/>
      </c>
      <c r="QD50" s="300"/>
      <c r="QE50" s="461" t="str">
        <f t="shared" si="571"/>
        <v/>
      </c>
      <c r="QF50" s="490" t="str">
        <f>IF(A50=FALSE,"",Cotations!CY50*AA50)</f>
        <v/>
      </c>
      <c r="QG50" s="300" t="str">
        <f t="shared" si="572"/>
        <v/>
      </c>
      <c r="QH50" s="522" t="str">
        <f>IF(A50=FALSE,"",IF(Cotations!CV50="monthly",QG50/12*L50,QG50/365*M50))</f>
        <v/>
      </c>
      <c r="QI50" s="489" t="str">
        <f>IF(A50=FALSE,"",IF(Cotations!CZ50="","",Cotations!CZ50))</f>
        <v/>
      </c>
      <c r="QJ50" s="300" t="str">
        <f t="shared" si="573"/>
        <v/>
      </c>
      <c r="QK50" s="300" t="str">
        <f t="shared" si="574"/>
        <v/>
      </c>
      <c r="QL50" s="919" t="str">
        <f t="shared" si="575"/>
        <v/>
      </c>
      <c r="QM50" s="517" t="str">
        <f>IF(A50=FALSE,"",Cotations!DA50)</f>
        <v/>
      </c>
      <c r="QN50" s="515" t="str">
        <f>IF(A50=FALSE,"",Cotations!DB50)</f>
        <v/>
      </c>
      <c r="QO50" s="493" t="str">
        <f>IF(A50=FALSE,"",Cotations!DC50)</f>
        <v/>
      </c>
      <c r="QP50" s="517" t="str">
        <f>IF(A50=FALSE,"",IF(QM50="N/A",0,IF(INDEX(LISTES!$F$105:$F$109,MATCH(QM50,LISTES!$C$105:$C$109,0))="FIX",IF(INDEX(LISTES!$E$105:$E$109,MATCH(QM50,LISTES!$C$105:$C$109,0))=12,QN50/12*L50,QN50/365*M50),QO50*QL50)))</f>
        <v/>
      </c>
      <c r="QQ50" s="294" t="str">
        <f t="shared" si="576"/>
        <v/>
      </c>
      <c r="QR50" s="494" t="str">
        <f>IF(A50=FALSE,"",QQ50*Cotations!DD50)</f>
        <v/>
      </c>
      <c r="QS50" s="494" t="str">
        <f>IF(A50=FALSE,"",QQ50*Cotations!DE50)</f>
        <v/>
      </c>
      <c r="QT50" s="338" t="str">
        <f t="shared" si="577"/>
        <v/>
      </c>
      <c r="QU50" s="919" t="str">
        <f>IF(A50=FALSE,"",((QG50*TAXE)-(QG50*TAXE*QI50))+IF(QM50="N/A",0,IF(INDEX(LISTES!$F$105:$F$109,MATCH(QM50,LISTES!$C$105:$C$109,0))="FIX",QN50,QO50*QL50)))</f>
        <v/>
      </c>
      <c r="RA50" s="497" t="str">
        <f t="shared" si="578"/>
        <v/>
      </c>
      <c r="RB50" s="498" t="str">
        <f>IF(A50=FALSE,"",IF(LISTES!$A$17=1,Cotations!DF50,Cotations!$DG$4))</f>
        <v/>
      </c>
      <c r="RC50" s="499" t="str">
        <f t="shared" si="579"/>
        <v/>
      </c>
      <c r="RD50" s="499" t="str">
        <f t="shared" si="580"/>
        <v/>
      </c>
      <c r="RE50" s="500" t="str">
        <f t="shared" si="581"/>
        <v/>
      </c>
      <c r="RF50" s="501" t="str">
        <f>IF(A50=FALSE,"",Cotations!$DK$4*Y50)</f>
        <v/>
      </c>
      <c r="RG50" s="502" t="str">
        <f t="shared" si="582"/>
        <v/>
      </c>
      <c r="RH50" s="520" t="str">
        <f>IF(A50=FALSE,"",IF(Cotations!$DH$4="monthly",RG50/12*L50,RG50/365*M50))</f>
        <v/>
      </c>
      <c r="RI50" s="503" t="str">
        <f>IF(A50=FALSE,"",Cotations!$DL$4)</f>
        <v/>
      </c>
      <c r="RJ50" s="502" t="str">
        <f t="shared" si="583"/>
        <v/>
      </c>
      <c r="RK50" s="502" t="str">
        <f t="shared" si="584"/>
        <v/>
      </c>
      <c r="RL50" s="504" t="str">
        <f t="shared" si="585"/>
        <v/>
      </c>
      <c r="RM50" s="505" t="str">
        <f>IF(A50=FALSE,"",Cotations!$DM$4)</f>
        <v/>
      </c>
      <c r="RN50" s="520" t="str">
        <f>IF(A50=FALSE,"",Cotations!$DN$4)</f>
        <v/>
      </c>
      <c r="RO50" s="503" t="str">
        <f>IF(A50=FALSE,"",Cotations!$DO$4)</f>
        <v/>
      </c>
      <c r="RP50" s="505" t="str">
        <f>IF(A50=FALSE,"",IF(RM50="N/A",0,IF(INDEX(LISTES!$F$105:$F$109,MATCH(RM50,LISTES!$C$105:$C$109,0))="FIX",IF(INDEX(LISTES!$E$105:$E$109,MATCH(RM50,LISTES!$C$105:$C$109,0))=12,RN50/12*L50,RN50/365*M50),RO50*RL50)))</f>
        <v/>
      </c>
      <c r="RQ50" s="504" t="str">
        <f t="shared" si="586"/>
        <v/>
      </c>
      <c r="RR50" s="505" t="str">
        <f>IF(A50=FALSE,"",RQ50*Cotations!$DP$4)</f>
        <v/>
      </c>
      <c r="RS50" s="505" t="str">
        <f>IF(A50=FALSE,"",RQ50*Cotations!$DQ$4)</f>
        <v/>
      </c>
      <c r="RT50" s="506" t="str">
        <f t="shared" si="587"/>
        <v/>
      </c>
      <c r="RU50" s="919" t="str">
        <f>IF(A50=FALSE,"",((RG50*TAXE)-(RG50*TAXE*RI50))+IF(RM50="N/A",0,IF(INDEX(LISTES!$F$105:$F$109,MATCH(RM50,LISTES!$C$105:$C$109,0))="FIX",RN50,RO50*RL50)))</f>
        <v/>
      </c>
      <c r="SA50" s="492" t="str">
        <f t="shared" si="588"/>
        <v/>
      </c>
      <c r="SB50" s="491" t="str">
        <f>IF(A50=FALSE,"",IF(LISTES!$A$17=1,Cotations!DF50,Cotations!DG50))</f>
        <v/>
      </c>
      <c r="SC50" s="285" t="str">
        <f t="shared" si="589"/>
        <v/>
      </c>
      <c r="SD50" s="300"/>
      <c r="SE50" s="461" t="str">
        <f t="shared" si="590"/>
        <v/>
      </c>
      <c r="SF50" s="490" t="str">
        <f>IF(A50=FALSE,"",Cotations!DK50*AA50)</f>
        <v/>
      </c>
      <c r="SG50" s="300" t="str">
        <f t="shared" si="591"/>
        <v/>
      </c>
      <c r="SH50" s="522" t="str">
        <f>IF(A50=FALSE,"",IF(Cotations!DH50="monthly",SG50/12*L50,SG50/365*M50))</f>
        <v/>
      </c>
      <c r="SI50" s="489" t="str">
        <f>IF(A50=FALSE,"",IF(Cotations!DL50="","",Cotations!DL50))</f>
        <v/>
      </c>
      <c r="SJ50" s="300" t="str">
        <f t="shared" si="592"/>
        <v/>
      </c>
      <c r="SK50" s="300" t="str">
        <f t="shared" si="593"/>
        <v/>
      </c>
      <c r="SL50" s="919" t="str">
        <f t="shared" si="594"/>
        <v/>
      </c>
      <c r="SM50" s="285" t="str">
        <f>IF(A50=FALSE,"",Cotations!DM50)</f>
        <v/>
      </c>
      <c r="SN50" s="515" t="str">
        <f>IF(A50=FALSE,"",Cotations!DN50)</f>
        <v/>
      </c>
      <c r="SO50" s="493" t="str">
        <f>IF(A50=FALSE,"",Cotations!DO50)</f>
        <v/>
      </c>
      <c r="SP50" s="517" t="str">
        <f>IF(A50=FALSE,"",IF(SM50="N/A",0,IF(INDEX(LISTES!$F$105:$F$109,MATCH(SM50,LISTES!$C$105:$C$109,0))="FIX",IF(INDEX(LISTES!$E$105:$E$109,MATCH(SM50,LISTES!$C$105:$C$109,0))=12,SN50/12*L50,SN50/365*M50),SO50*SL50)))</f>
        <v/>
      </c>
      <c r="SQ50" s="294" t="str">
        <f t="shared" si="595"/>
        <v/>
      </c>
      <c r="SR50" s="494" t="str">
        <f>IF(A50=FALSE,"",SQ50*Cotations!DP50)</f>
        <v/>
      </c>
      <c r="SS50" s="494" t="str">
        <f>IF(A50=FALSE,"",SQ50*Cotations!DQ50)</f>
        <v/>
      </c>
      <c r="ST50" s="338" t="str">
        <f t="shared" si="596"/>
        <v/>
      </c>
      <c r="SU50" s="919" t="str">
        <f>IF(A50=FALSE,"",((SG50*TAXE)-(SG50*TAXE*SI50))+IF(SM50="N/A",0,IF(INDEX(LISTES!$F$105:$F$109,MATCH(SM50,LISTES!$C$105:$C$109,0))="FIX",SN50,SO50*SL50)))</f>
        <v/>
      </c>
      <c r="TA50" s="492" t="str">
        <f>IF(A50=FALSE,"",Cotations!D50)</f>
        <v/>
      </c>
      <c r="TB50" s="491" t="str">
        <f>IF(A50=FALSE,"",IF(LISTES!$A$17=1,Cotations!DR50,Cotations!DS50))</f>
        <v/>
      </c>
      <c r="TC50" s="285" t="str">
        <f t="shared" si="597"/>
        <v/>
      </c>
      <c r="TD50" s="300" t="str">
        <f>IF(A50=FALSE,"",Detail!CQ50)</f>
        <v/>
      </c>
      <c r="TE50" s="461" t="str">
        <f t="shared" si="598"/>
        <v/>
      </c>
      <c r="TF50" s="490" t="str">
        <f>IF(A50=FALSE,"",IF(TA50="FIXE",Cotations!DU50,Cotations!DV50*Y50))</f>
        <v/>
      </c>
      <c r="TG50" s="300" t="str">
        <f t="shared" si="599"/>
        <v/>
      </c>
      <c r="TH50" s="522" t="str">
        <f>IF(A50=FALSE,"",IF(Cotations!DT50="monthly",TG50/12*L50,TG50/365*M50))</f>
        <v/>
      </c>
      <c r="TI50" s="489" t="str">
        <f>IF(A50=FALSE,"",IF(Cotations!DW50="","",Cotations!DW50))</f>
        <v/>
      </c>
      <c r="TJ50" s="300" t="str">
        <f t="shared" si="600"/>
        <v/>
      </c>
      <c r="TK50" s="300" t="str">
        <f t="shared" si="601"/>
        <v/>
      </c>
      <c r="TL50" s="919" t="str">
        <f t="shared" si="602"/>
        <v/>
      </c>
      <c r="TM50" s="517" t="str">
        <f>IF(A50=FALSE,"",Cotations!DX50)</f>
        <v/>
      </c>
      <c r="TN50" s="517" t="str">
        <f>IF(A50=FALSE,"",Cotations!DY50)</f>
        <v/>
      </c>
      <c r="TO50" s="493" t="str">
        <f>IF(A50=FALSE,"",Cotations!DZ50)</f>
        <v/>
      </c>
      <c r="TP50" s="517" t="str">
        <f>IF(A50=FALSE,"",IF(TM50="N/A",0,IF(INDEX(LISTES!$F$105:$F$109,MATCH(TM50,LISTES!$C$105:$C$109,0))="FIX",IF(INDEX(LISTES!$E$105:$E$109,MATCH(TM50,LISTES!$C$105:$C$109,0))=12,TN50/12*L50,TN50/365*M50),TO50*TL50)))</f>
        <v/>
      </c>
      <c r="TQ50" s="294" t="str">
        <f t="shared" si="603"/>
        <v/>
      </c>
      <c r="TR50" s="494" t="str">
        <f>IF(A50=FALSE,"",TQ50*Cotations!EA50)</f>
        <v/>
      </c>
      <c r="TS50" s="494" t="str">
        <f>IF(A50=FALSE,"",TQ50*Cotations!EB50)</f>
        <v/>
      </c>
      <c r="TT50" s="338" t="str">
        <f t="shared" si="604"/>
        <v/>
      </c>
      <c r="TU50" s="919" t="str">
        <f>IF(A50=FALSE,"",((TG50*(1+TAXE)-(TG50*(1+TAXE)*TI50))+IF(TM50="N/A",0,IF(INDEX(LISTES!$F$105:$F$109,MATCH(TM50,LISTES!$C$105:$C$109,0))="FIX",TN50,TO50*TL50))))</f>
        <v/>
      </c>
      <c r="UA50" s="492" t="str">
        <f>IF(A50=FALSE,"",Cotations!D50)</f>
        <v/>
      </c>
      <c r="UB50" s="491" t="str">
        <f>IF(A50=FALSE,"",IF(LISTES!$A$17=1,Cotations!EC50,Cotations!ED50))</f>
        <v/>
      </c>
      <c r="UC50" s="285" t="str">
        <f t="shared" si="605"/>
        <v/>
      </c>
      <c r="UD50" s="300" t="str">
        <f>IF(A50=FALSE,"",Detail!CY50)</f>
        <v/>
      </c>
      <c r="UE50" s="461" t="str">
        <f t="shared" si="606"/>
        <v/>
      </c>
      <c r="UF50" s="490" t="str">
        <f>IF(A50=FALSE,"",IF(UA50="FIXE",Cotations!EF50,Cotations!EG50*Y50))</f>
        <v/>
      </c>
      <c r="UG50" s="300" t="str">
        <f t="shared" si="607"/>
        <v/>
      </c>
      <c r="UH50" s="522" t="str">
        <f>IF(A50=FALSE,"",IF(Cotations!EE50="monthly",UG50/12*L50,UG50/365*M50))</f>
        <v/>
      </c>
      <c r="UI50" s="489" t="str">
        <f>IF(A50=FALSE,"",IF(Cotations!EH50="","",Cotations!EH50))</f>
        <v/>
      </c>
      <c r="UJ50" s="300" t="str">
        <f t="shared" si="608"/>
        <v/>
      </c>
      <c r="UK50" s="300" t="str">
        <f t="shared" si="609"/>
        <v/>
      </c>
      <c r="UL50" s="919" t="str">
        <f t="shared" si="610"/>
        <v/>
      </c>
      <c r="UM50" s="517" t="str">
        <f>IF(A50=FALSE,"",Cotations!EI50)</f>
        <v/>
      </c>
      <c r="UN50" s="517" t="str">
        <f>IF(A50=FALSE,"",Cotations!EJ50)</f>
        <v/>
      </c>
      <c r="UO50" s="493" t="str">
        <f>IF(A50=FALSE,"",Cotations!EK50)</f>
        <v/>
      </c>
      <c r="UP50" s="517" t="str">
        <f>IF(A50=FALSE,"",IF(UM50="N/A",0,IF(INDEX(LISTES!$F$105:$F$109,MATCH(UM50,LISTES!$C$105:$C$109,0))="FIX",IF(INDEX(LISTES!$E$105:$E$109,MATCH(UM50,LISTES!$C$105:$C$109,0))=12,UN50/12*L50,UN50/365*M50),UO50*UL50)))</f>
        <v/>
      </c>
      <c r="UQ50" s="294" t="str">
        <f t="shared" si="611"/>
        <v/>
      </c>
      <c r="UR50" s="494" t="str">
        <f>IF(A50=FALSE,"",UQ50*Cotations!EL50)</f>
        <v/>
      </c>
      <c r="US50" s="494" t="str">
        <f>IF(A50=FALSE,"",UQ50*Cotations!EM50)</f>
        <v/>
      </c>
      <c r="UT50" s="338" t="str">
        <f t="shared" si="612"/>
        <v/>
      </c>
      <c r="UU50" s="919" t="str">
        <f>IF(A50=FALSE,"",((UG50*(1+TAXE)-(UG50*(1+TAXE)*UI50))+IF(UM50="N/A",0,IF(INDEX(LISTES!$F$105:$F$109,MATCH(UM50,LISTES!$C$105:$C$109,0))="FIX",UN50,UO50*UL50))))</f>
        <v/>
      </c>
      <c r="VA50" s="492" t="str">
        <f>IF(A50=FALSE,"",Cotations!D50)</f>
        <v/>
      </c>
      <c r="VB50" s="519" t="str">
        <f>IF(A50=FALSE,"",IF(LISTES!$A$17=1,Cotations!EN50,Cotations!EO50))</f>
        <v/>
      </c>
      <c r="VC50" s="291" t="str">
        <f t="shared" si="613"/>
        <v/>
      </c>
      <c r="VD50" s="291" t="str">
        <f t="shared" si="614"/>
        <v/>
      </c>
      <c r="VE50" s="291"/>
      <c r="VF50" s="463"/>
      <c r="VG50" s="463" t="str">
        <f t="shared" si="615"/>
        <v/>
      </c>
      <c r="VH50" s="522" t="str">
        <f>IF(A50=FALSE,"",IF(Cotations!$AQ$4="monthly",VG50/12*L50,VG50/365*M50))</f>
        <v/>
      </c>
      <c r="VI50" s="489" t="str">
        <f>IF(A50=FALSE,"",Cotations!$AR$4)</f>
        <v/>
      </c>
      <c r="VJ50" s="300" t="str">
        <f t="shared" si="616"/>
        <v/>
      </c>
      <c r="VK50" s="300" t="str">
        <f t="shared" si="617"/>
        <v/>
      </c>
      <c r="VL50" s="294" t="str">
        <f t="shared" si="618"/>
        <v/>
      </c>
      <c r="VM50" s="494" t="str">
        <f>IF(A50=FALSE,"",Cotations!$AS$4)</f>
        <v/>
      </c>
      <c r="VN50" s="494" t="str">
        <f>IF(A50=FALSE,"",Cotations!$AT$4)</f>
        <v/>
      </c>
      <c r="VO50" s="489" t="str">
        <f>IF(A50=FALSE,"",Cotations!$AU$4)</f>
        <v/>
      </c>
      <c r="VP50" s="494" t="str">
        <f>IF(A50=FALSE,"",IF(VM50="N/A",0,IF(INDEX(LISTES!$F$105:$F$109,MATCH(VM50,LISTES!$C$105:$C$109,0))="FIX",IF(INDEX(LISTES!$E$105:$E$109,MATCH(VM50,LISTES!$C$105:$C$109,0))=12,VN50/12*L50,VN50/365*M50),VO50*VL50)))</f>
        <v/>
      </c>
      <c r="VQ50" s="294" t="str">
        <f t="shared" si="619"/>
        <v/>
      </c>
      <c r="VR50" s="494" t="str">
        <f>IF(A50=FALSE,"",VQ50*Cotations!$AV$4)</f>
        <v/>
      </c>
      <c r="VS50" s="494" t="str">
        <f>IF(A50=FALSE,"",VQ50*Cotations!$AW$4)</f>
        <v/>
      </c>
      <c r="VT50" s="465" t="str">
        <f t="shared" si="620"/>
        <v/>
      </c>
      <c r="VU50" s="919" t="str">
        <f>IF(A50=FALSE,"",((VG50*TAXE)-(VG50*TAXE*VI50))+IF(VM50="N/A",0,IF(INDEX(LISTES!$F$105:$F$109,MATCH(VM50,LISTES!$C$105:$C$109,0))="FIX",VN50,VO50*VL50)))</f>
        <v/>
      </c>
      <c r="WA50" s="492" t="str">
        <f>IF(A50=FALSE,"",Cotations!D50)</f>
        <v/>
      </c>
      <c r="WB50" s="519" t="str">
        <f>IF(A50=FALSE,"",IF(LISTES!$A$17=1,Cotations!EW50,Cotations!EX50))</f>
        <v/>
      </c>
      <c r="WC50" s="291" t="str">
        <f t="shared" si="621"/>
        <v/>
      </c>
      <c r="WD50" s="291" t="str">
        <f t="shared" si="622"/>
        <v/>
      </c>
      <c r="WE50" s="291"/>
      <c r="WF50" s="463"/>
      <c r="WG50" s="463" t="str">
        <f t="shared" si="623"/>
        <v/>
      </c>
      <c r="WH50" s="522" t="str">
        <f>IF(A50=FALSE,"",IF(Cotations!$AQ$4="monthly",WG50/12*L50,WG50/365*M50))</f>
        <v/>
      </c>
      <c r="WI50" s="489" t="str">
        <f>IF(A50=FALSE,"",Cotations!$AR$4)</f>
        <v/>
      </c>
      <c r="WJ50" s="300" t="str">
        <f t="shared" si="624"/>
        <v/>
      </c>
      <c r="WK50" s="300" t="str">
        <f t="shared" si="625"/>
        <v/>
      </c>
      <c r="WL50" s="294" t="str">
        <f t="shared" si="626"/>
        <v/>
      </c>
      <c r="WM50" s="494" t="str">
        <f>IF(A50=FALSE,"",Cotations!$AS$4)</f>
        <v/>
      </c>
      <c r="WN50" s="494" t="str">
        <f>IF(A50=FALSE,"",Cotations!$AT$4)</f>
        <v/>
      </c>
      <c r="WO50" s="489" t="str">
        <f>IF(A50=FALSE,"",Cotations!$AU$4)</f>
        <v/>
      </c>
      <c r="WP50" s="494" t="str">
        <f>IF(A50=FALSE,"",IF(WM50="N/A",0,IF(INDEX(LISTES!$F$105:$F$109,MATCH(WM50,LISTES!$C$105:$C$109,0))="FIX",IF(INDEX(LISTES!$E$105:$E$109,MATCH(WM50,LISTES!$C$105:$C$109,0))=12,WN50/12*L50,WN50/365*M50),WO50*WL50)))</f>
        <v/>
      </c>
      <c r="WQ50" s="294" t="str">
        <f t="shared" si="627"/>
        <v/>
      </c>
      <c r="WR50" s="494" t="str">
        <f>IF(A50=FALSE,"",WQ50*Cotations!$AV$4)</f>
        <v/>
      </c>
      <c r="WS50" s="494" t="str">
        <f>IF(A50=FALSE,"",WQ50*Cotations!$AW$4)</f>
        <v/>
      </c>
      <c r="WT50" s="465" t="str">
        <f t="shared" si="628"/>
        <v/>
      </c>
      <c r="WU50" s="919" t="str">
        <f>IF(A50=FALSE,"",((WG50*TAXE)-(WG50*TAXE*WI50))+IF(WM50="N/A",0,IF(INDEX(LISTES!$F$105:$F$109,MATCH(WM50,LISTES!$C$105:$C$109,0))="FIX",WN50,WO50*WL50)))</f>
        <v/>
      </c>
    </row>
    <row r="51" spans="1:619">
      <c r="A51" s="942" t="b">
        <f t="shared" si="433"/>
        <v>0</v>
      </c>
      <c r="B51" s="942" t="b">
        <f>IF(NAMES!$B$9=TRUE,TRUE,FALSE)</f>
        <v>1</v>
      </c>
      <c r="C51" s="942" t="b">
        <f t="shared" si="413"/>
        <v>0</v>
      </c>
      <c r="D51" s="942" t="b">
        <f t="shared" si="414"/>
        <v>0</v>
      </c>
      <c r="E51" s="274" t="b">
        <f>IF(Cotations!C51="","",Cotations!C51)</f>
        <v>0</v>
      </c>
      <c r="F51" s="274" t="str">
        <f>IF(Cotations!D51="","",Cotations!D51)</f>
        <v>PROP</v>
      </c>
      <c r="G51" s="274" t="str">
        <f>IF(Cotations!E51="","",Cotations!E51)</f>
        <v>2016-2017!</v>
      </c>
      <c r="H51" s="274" t="str">
        <f>IF(Cotations!F51="","",Cotations!F51)</f>
        <v>SINGLE</v>
      </c>
      <c r="I51" s="274" t="str">
        <f>IF(Cotations!G51="","",Cotations!G51)</f>
        <v/>
      </c>
      <c r="J51" s="274" t="str">
        <f>IF(Cotations!H51="","",Cotations!H51)</f>
        <v/>
      </c>
      <c r="K51" s="274" t="str">
        <f>IF(Cotations!I51="","",Cotations!I51)</f>
        <v/>
      </c>
      <c r="L51" s="274" t="str">
        <f>IF(A51=FALSE,"",IF(Cotations!N51="","",Cotations!N51))</f>
        <v/>
      </c>
      <c r="M51" s="274" t="str">
        <f>IF(Cotations!P51="","",Cotations!P51)</f>
        <v/>
      </c>
      <c r="N51" s="724" t="str">
        <f>IF(NAMES!$B$10=TRUE,Cotations!J51,Cotations!L51)</f>
        <v/>
      </c>
      <c r="O51" s="724" t="str">
        <f>IF(NAMES!$B$10=TRUE,Cotations!K51,Cotations!M51)</f>
        <v/>
      </c>
      <c r="P51" s="943" t="str">
        <f t="shared" si="415"/>
        <v/>
      </c>
      <c r="Q51" s="724" t="str">
        <f>IF(A51=FALSE,"",IF(Crewlist!Y51="","",Crewlist!Y51))</f>
        <v/>
      </c>
      <c r="R51" s="78" t="str">
        <f>IF(Cotations!U51="","",Cotations!U51)</f>
        <v/>
      </c>
      <c r="S51" s="943" t="str">
        <f t="shared" si="416"/>
        <v/>
      </c>
      <c r="T51" s="919" t="str">
        <f>IF(A51=FALSE,"",VLOOKUP($U$15:$U$120,Currency!$A$2:$D$10,4,0)*Crewlist!N51)</f>
        <v/>
      </c>
      <c r="U51" s="1355" t="str">
        <f>IF(A51=FALSE,"",IF(IT51=0,Crewlist!M51&amp;"/"&amp;EX51,Crewlist!M51&amp;"/"&amp;IT51))</f>
        <v/>
      </c>
      <c r="V51" s="919" t="str">
        <f>IF(A51=FALSE,"",VLOOKUP($U$15:$U$120,Currency!$A$2:$D$10,4,0)*Detail!Q51)</f>
        <v/>
      </c>
      <c r="W51" s="1355" t="str">
        <f>IF(A51=FALSE,"",IF(IT51=0,Detail!R51&amp;"/"&amp;EX51,Detail!R51&amp;"/"&amp;IT51))</f>
        <v/>
      </c>
      <c r="X51" s="919" t="str">
        <f>IF(A51=FALSE,"",IF(LISTES!$C$17="Crewlist",Calcul!T51,Calcul!V51))</f>
        <v/>
      </c>
      <c r="Y51" s="758" t="str">
        <f t="shared" si="417"/>
        <v/>
      </c>
      <c r="Z51" s="758" t="str">
        <f>IF(A51=FALSE,"",IF(X51=0,0,IF((Cotations!BC51*12*X51)&lt;50000,50000,(12*X51))))</f>
        <v/>
      </c>
      <c r="AA51" s="758" t="str">
        <f t="shared" si="418"/>
        <v/>
      </c>
      <c r="AB51" s="758" t="str">
        <f>IF(A51=FALSE,"",IF(Crewlist!O51=0,"",Crewlist!O51))</f>
        <v/>
      </c>
      <c r="AC51" s="758" t="str">
        <f>IF(I51="","",VLOOKUP($AB$15:$AB$120,Currency!$A$15:$B$34,2,0))</f>
        <v/>
      </c>
      <c r="AD51" s="758" t="str">
        <f t="shared" si="419"/>
        <v/>
      </c>
      <c r="AE51" s="758" t="str">
        <f t="shared" si="420"/>
        <v/>
      </c>
      <c r="AF51" s="758" t="str">
        <f t="shared" si="421"/>
        <v/>
      </c>
      <c r="AG51" s="758" t="str">
        <f t="shared" si="422"/>
        <v/>
      </c>
      <c r="AH51" s="1355" t="str">
        <f t="shared" si="434"/>
        <v/>
      </c>
      <c r="AI51" s="919" t="str">
        <f t="shared" si="423"/>
        <v/>
      </c>
      <c r="AJ51" s="1382" t="str">
        <f t="shared" si="424"/>
        <v/>
      </c>
      <c r="AK51" s="1382" t="str">
        <f t="shared" si="425"/>
        <v/>
      </c>
      <c r="AL51" s="238" t="str">
        <f t="shared" si="435"/>
        <v/>
      </c>
      <c r="AM51" s="238" t="str">
        <f t="shared" si="436"/>
        <v/>
      </c>
      <c r="AN51" s="1374" t="str">
        <f t="shared" si="437"/>
        <v/>
      </c>
      <c r="AO51" s="238" t="str">
        <f t="shared" si="438"/>
        <v/>
      </c>
      <c r="AP51" s="342" t="str">
        <f>IF(A51=FALSE,"",INDEX(Rates!$Z$5:$Z$367,MATCH(EB51,colchoice,0)))</f>
        <v/>
      </c>
      <c r="AQ51" s="238" t="str">
        <f t="shared" si="439"/>
        <v/>
      </c>
      <c r="AR51" s="238" t="str">
        <f t="shared" si="440"/>
        <v/>
      </c>
      <c r="AS51" s="238" t="str">
        <f t="shared" si="441"/>
        <v/>
      </c>
      <c r="AT51" s="238" t="str">
        <f t="shared" si="442"/>
        <v/>
      </c>
      <c r="AU51" s="238" t="str">
        <f t="shared" si="443"/>
        <v/>
      </c>
      <c r="AV51" s="238" t="str">
        <f t="shared" si="429"/>
        <v/>
      </c>
      <c r="AW51" s="238" t="str">
        <f t="shared" si="444"/>
        <v/>
      </c>
      <c r="AX51" s="238" t="str">
        <f t="shared" si="445"/>
        <v/>
      </c>
      <c r="AY51" s="238" t="str">
        <f t="shared" si="446"/>
        <v/>
      </c>
      <c r="AZ51" s="238" t="str">
        <f t="shared" si="447"/>
        <v/>
      </c>
      <c r="BA51" s="238" t="str">
        <f t="shared" si="448"/>
        <v/>
      </c>
      <c r="BB51" s="552" t="str">
        <f t="shared" si="449"/>
        <v/>
      </c>
      <c r="BC51" s="347" t="str">
        <f t="shared" si="450"/>
        <v/>
      </c>
      <c r="BD51" s="239" t="str">
        <f t="shared" si="430"/>
        <v/>
      </c>
      <c r="BE51" s="239" t="str">
        <f>IF(A51=FALSE,"",IF(ALLTHESAME=TRUE,IF(DF51&lt;&gt;$BC$7,0,INDEX(DD51:DZ51,1,MATCH(Structure!$D$12,$DD$14:$DZ$14,0))),IF(EC51&lt;&gt;$BC$7,0,INDEX(EA51:EZ51,1,MATCH(Structure!$D$12,$EA$14:$EZ$14,0)))))</f>
        <v/>
      </c>
      <c r="BF51" s="239" t="str">
        <f>IF(A51=FALSE,"",IF(ALLTHESAME=TRUE,IF(FC51&lt;&gt;$BC$7,0,INDEX(FA51:FZ51,1,MATCH(Structure!$D$12,$FA$14:$FZ$14,0))),IF(GC51&lt;&gt;$BC$7,0,INDEX(GA51:GZ51,1,MATCH(Structure!$D$12,$GA$14:$GZ$14,0)))))</f>
        <v/>
      </c>
      <c r="BG51" s="239" t="str">
        <f>IF(A51=FALSE,"",IF(ALLTHESAME=TRUE,IF(VC51&lt;&gt;$BC$7,0,INDEX(VA51:VZ51,1,MATCH(Structure!$D$12,$VA$14:$VZ$14,0))),IF(VC51&lt;&gt;$BC$7,0,INDEX(VA51:VZ51,1,MATCH(Structure!$D$12,$VA$14:$VZ$14,0)))))</f>
        <v/>
      </c>
      <c r="BH51" s="239" t="str">
        <f>IF(A51=FALSE,"",IF(ALLTHESAME=TRUE,IF(WC51&lt;&gt;$BC$7,0,INDEX(WA51:WY51,1,MATCH(Structure!$D$12,$WA$14:$WZ$14,0))),IF(WC51&lt;&gt;$BC$7,0,INDEX(WA51:WZ51,1,MATCH(Structure!$D$12,$WA$14:$WZ$14,0)))))</f>
        <v/>
      </c>
      <c r="BI51" s="763" t="str">
        <f>IF(A51=FALSE,"",IF(ALLTHESAME=TRUE,IF(HC51&lt;&gt;$BC$7,0,INDEX(HA51:HZ51,1,MATCH(Structure!$D$12,$HA$14:$HZ$14,0)))+TK51,IF(IC51&lt;&gt;$BC$7,0,INDEX(IA51:IZ51,1,MATCH(Structure!$D$12,$IA$14:$IZ$14,0)))+TK51))</f>
        <v/>
      </c>
      <c r="BJ51" s="239" t="str">
        <f>IF(A51=FALSE,"",IF(ALLTHESAME=TRUE,IF(JC51&lt;&gt;$BC$7,0,INDEX(JA51:JZ51,1,MATCH(Structure!$D$12,$JA$14:$JZ$14,0))),IF(KC51&lt;&gt;$BC$7,0,INDEX(KA51:KZ51,1,MATCH(Structure!$D$12,$KA$14:$KZ$14,0)))))</f>
        <v/>
      </c>
      <c r="BK51" s="763" t="str">
        <f>IF(A51=FALSE,"",IF(ALLTHESAME=TRUE,IF(LC51&lt;&gt;$BC$7,0,INDEX(LA51:LZ51,1,MATCH(Structure!$D$12,$LA$14:$LZ$14,0)))+UK51,IF(MC51&lt;&gt;$BC$7,0,INDEX(MA51:MZ51,1,MATCH(Structure!$D$12,$MA$14:$MZ$14,0)))+UK51))</f>
        <v/>
      </c>
      <c r="BL51" s="239" t="str">
        <f>IF(A51=FALSE,"",IF(ALLTHESAME=TRUE,IF(NC51&lt;&gt;$BC$7,0,INDEX(NA51:NZ51,1,MATCH(Structure!$D$12,$NA$14:$NZ$14,0))),IF(OC51&lt;&gt;$BC$7,0,INDEX(OA51:OZ51,1,MATCH(Structure!$D$12,$OA$14:$OZ$14,0)))))</f>
        <v/>
      </c>
      <c r="BM51" s="239" t="str">
        <f>IF(A51=FALSE,"",IF(ALLTHESAME=TRUE,IF(PC51&lt;&gt;$BC$7,0,INDEX(PA51:PZ51,1,MATCH(Structure!$D$12,$PA$14:$PZ$14,0))),IF(QC51&lt;&gt;$BC$7,0,INDEX(QA51:QZ51,1,MATCH(Structure!$D$12,$QA$14:$QZ$14,0)))))</f>
        <v/>
      </c>
      <c r="BN51" s="341" t="str">
        <f>IF(A51=FALSE,"",IF(ALLTHESAME=TRUE,IF(RC51&lt;&gt;$BC$7,0,INDEX(RA51:RZ51,1,MATCH(Structure!$D$12,$RA$14:$RZ$14,0))),IF(SC51&lt;&gt;$BC$7,0,INDEX(SA51:TA51,1,MATCH(Structure!$D$12,$SA$14:$TA$14,0)))))</f>
        <v/>
      </c>
      <c r="BO51" s="507" t="str">
        <f t="shared" si="451"/>
        <v/>
      </c>
      <c r="BP51" s="239" t="str">
        <f t="shared" si="452"/>
        <v/>
      </c>
      <c r="BQ51" s="239" t="str">
        <f>IF(A51=FALSE,"",IF(ALLTHESAME=TRUE,IF(DF51&lt;&gt;$BO$7,0,INDEX(DD51:DZ51,1,MATCH(Structure!$D$12,$DD$14:$DZ$14,0))),IF(EC51&lt;&gt;$BO$7,0,INDEX(EA51:EZ51,1,MATCH(Structure!$D$12,$EA$14:$EZ$14,0)))))</f>
        <v/>
      </c>
      <c r="BR51" s="239" t="str">
        <f>IF(A51=FALSE,"",IF(ALLTHESAME=TRUE,IF(FC51&lt;&gt;$BO$7,0,INDEX(FA51:FZ51,1,MATCH(Structure!$D$12,$FA$14:$FZ$14,0))),IF(GC51&lt;&gt;$BO$7,0,INDEX(GA51:GZ51,1,MATCH(Structure!$D$12,$GA$14:$GZ$14,0)))))</f>
        <v/>
      </c>
      <c r="BS51" s="239" t="str">
        <f>IF(A51=FALSE,"",IF(ALLTHESAME=TRUE,IF(HC51&lt;&gt;$BO$7,0,INDEX(HA51:HZ51,1,MATCH(Structure!$D$12,$HA$14:$HZ$14,0))),IF(IC51&lt;&gt;$BO$7,0,INDEX(IA51:IZ51,1,MATCH(Structure!$D$12,$IA$14:$IZ$14,0)))))</f>
        <v/>
      </c>
      <c r="BT51" s="239" t="str">
        <f>IF(A51=FALSE,"",IF(ALLTHESAME=TRUE,IF(JC51&lt;&gt;$BO$7,0,INDEX(JA51:JZ51,1,MATCH(Structure!$D$12,$JA$14:$JZ$14,0))),IF(KC51&lt;&gt;$BO$7,0,INDEX(KA51:KZ51,1,MATCH(Structure!$D$12,$KA$14:$KZ$14,0)))))</f>
        <v/>
      </c>
      <c r="BU51" s="239" t="str">
        <f>IF(A51=FALSE,"",IF(ALLTHESAME=TRUE,IF(LC51&lt;&gt;$BO$7,0,INDEX(LA51:LZ51,1,MATCH(Structure!$D$12,$LA$14:$LZ$14,0))),IF(MC51&lt;&gt;$BO$7,0,INDEX(MA51:MZ51,1,MATCH(Structure!$D$12,$MA$14:$MZ$14,0)))))</f>
        <v/>
      </c>
      <c r="BV51" s="239" t="str">
        <f>IF(A51=FALSE,"",IF(ALLTHESAME=TRUE,IF(NC51&lt;&gt;$BO$7,0,INDEX(NA51:NZ51,1,MATCH(Structure!$D$12,$NA$14:$NZ$14,0))),IF(OC51&lt;&gt;$BO$7,0,INDEX(OA51:OZ51,1,MATCH(Structure!$D$12,$OA$14:$OZ$14,0)))))</f>
        <v/>
      </c>
      <c r="BW51" s="239" t="str">
        <f>IF(A51=FALSE,"",IF(ALLTHESAME=TRUE,IF(PC51&lt;&gt;$BO$7,0,INDEX(PA51:PZ51,1,MATCH(Structure!$D$12,$PA$14:$PZ$14,0))),IF(QC51&lt;&gt;$BO$7,0,INDEX(QA51:QZ51,1,MATCH(Structure!$D$12,$QA$14:$QZ$14,0)))))</f>
        <v/>
      </c>
      <c r="BX51" s="341" t="str">
        <f>IF(A51=FALSE,"",IF(ALLTHESAME=TRUE,IF(RC51&lt;&gt;$BO$7,0,INDEX(RA51:RZ51,1,MATCH(Structure!$D$12,$RA$14:$RZ$14,0))),IF(SC51&lt;&gt;$BO$7,0,INDEX(SA51:TA51,1,MATCH(Structure!$D$12,$SA$14:$TA$14,0)))))</f>
        <v/>
      </c>
      <c r="BY51" s="347" t="str">
        <f t="shared" si="453"/>
        <v/>
      </c>
      <c r="BZ51" s="507" t="str">
        <f t="shared" si="454"/>
        <v/>
      </c>
      <c r="CA51" s="239" t="str">
        <f t="shared" si="455"/>
        <v/>
      </c>
      <c r="CB51" s="239" t="str">
        <f>IF(A51=FALSE,"",IF(ALLTHESAME=TRUE,INDEX(DD51:DZ51,MATCH(DF51,DF51:DF156,0),MATCH(Structure!$D$17,$DD$14:$DZ$14,0)),INDEX(EA51:EZ51,MATCH(EC51,EC51:EC156,0),MATCH(Structure!$D$17,$EA$14:$EZ$14,0))))</f>
        <v/>
      </c>
      <c r="CC51" s="239" t="str">
        <f>IF(A51=FALSE,"",IF(ALLTHESAME=TRUE,INDEX(FA51:FZ51,MATCH(FC51,FC51:FC156,0),MATCH(Structure!$D$17,$FA$14:$FZ$14,0)),INDEX(GA51:GZ51,MATCH(GC51,GC51:GC156,0),MATCH(Structure!$D$17,$GA$14:$GZ$14,0))))</f>
        <v/>
      </c>
      <c r="CD51" s="239" t="str">
        <f>IF(A51=FALSE,"",IF(ALLTHESAME=TRUE,INDEX(HA51:HZ51,MATCH(HC51,HC51:HC156,0),MATCH(Structure!$D$17,$HA$14:$HZ$14,0)),INDEX(IA51:IZ51,MATCH(IC51,IC51:IC156,0),MATCH(Structure!$D$17,$IA$14:$IZ$14,0))))</f>
        <v/>
      </c>
      <c r="CE51" s="239" t="str">
        <f>IF(A51=FALSE,"",IF(ALLTHESAME=TRUE,INDEX(JA51:JZ51,MATCH(JC51,JC51:JC156,0),MATCH(Structure!$D$17,$JA$14:$JZ$14,0)),INDEX(KA51:KZ51,MATCH(KC51,KC51:KC156,0),MATCH(Structure!$D$17,$KA$14:$KZ$14,0))))</f>
        <v/>
      </c>
      <c r="CF51" s="239" t="str">
        <f>IF(A51=FALSE,"",IF(ALLTHESAME=TRUE,INDEX(LA51:LZ51,MATCH(LC51,LC51:LC156,0),MATCH(Structure!$D$17,$LA$14:$LZ$14,0)),INDEX(MA51:MZ51,MATCH(MC51,MC51:MC156,0),MATCH(Structure!$D$17,$MA$14:$MZ$14,0))))</f>
        <v/>
      </c>
      <c r="CG51" s="239" t="str">
        <f>IF(A51=FALSE,"",IF(ALLTHESAME=TRUE,INDEX(NA51:NZ51,MATCH(NC51,NC51:NC156,0),MATCH(Structure!$D$17,$NA$14:$NZ$14,0)),INDEX(OA51:OZ51,MATCH(OC51,OC51:OC156,0),MATCH(Structure!$D$17,$OA$14:$OZ$14,0))))</f>
        <v/>
      </c>
      <c r="CH51" s="239" t="str">
        <f>IF(A51=FALSE,"",IF(ALLTHESAME=TRUE,INDEX(PA51:PZ51,MATCH(PC51,PC51:PC156,0),MATCH(Structure!$D$17,$PA$14:$PZ$14,0)),INDEX(QA51:QZ51,MATCH(QC51,QC51:QC156,0),MATCH(Structure!$D$17,$QA$14:$QZ$14,0))))</f>
        <v/>
      </c>
      <c r="CI51" s="341" t="str">
        <f>IF(A51=FALSE,"",IF(ALLTHESAME=TRUE,INDEX(RA51:RZ51,MATCH(RC51,RC51:RC156,0),MATCH(Structure!$D$17,$RA$14:$RZ$14,0)),INDEX(SA51:TC51,MATCH(SC51,SC51:SC156,0),MATCH(Structure!$D$17,$SA$14:$TC$14,0))))</f>
        <v/>
      </c>
      <c r="CJ51" s="347"/>
      <c r="CK51" s="239" t="str">
        <f t="shared" si="456"/>
        <v/>
      </c>
      <c r="CL51" s="239" t="str">
        <f>IF(A51=FALSE,"",IF(ALLTHESAME=TRUE,INDEX(DD51:DZ51,MATCH(DF51,DF51:DF156,0),MATCH(Structure!$D$22,$DD$14:$DZ$14,0)),INDEX(EA51:EZ51,MATCH(EC51,EC51:EC156,0),MATCH(Structure!$D$22,$EA$14:$EZ$14,0))))</f>
        <v/>
      </c>
      <c r="CM51" s="239" t="str">
        <f>IF(A51=FALSE,"",IF(ALLTHESAME=TRUE,INDEX(FA51:FZ51,MATCH(FC51,FC51:FC156,0),MATCH(Structure!$D$22,$FA$14:$FZ$14,0)),INDEX(GA51:GZ51,MATCH(GC51,GC51:GC156,0),MATCH(Structure!$D$22,$GA$14:$GZ$14,0))))</f>
        <v/>
      </c>
      <c r="CN51" s="239" t="str">
        <f>IF(A51=FALSE,"",IF(ALLTHESAME=TRUE,INDEX(HA51:HZ51,MATCH(HC51,HC51:HC156,0),MATCH(Structure!$D$22,$HA$14:$HZ$14,0)),INDEX(IA51:IZ51,MATCH(IC51,IC51:IC156,0),MATCH(Structure!$D$22,$IA$14:$IZ$14,0))))</f>
        <v/>
      </c>
      <c r="CO51" s="239" t="str">
        <f>IF(A51=FALSE,"",IF(ALLTHESAME=TRUE,INDEX(JA51:JZ51,MATCH(JC51,JC51:JC156,0),MATCH(Structure!$D$22,$JA$14:$JZ$14,0)),INDEX(KA51:KZ51,MATCH(KC51,KC51:KC156,0),MATCH(Structure!$D$22,$KA$14:$KZ$14,0))))</f>
        <v/>
      </c>
      <c r="CP51" s="239" t="str">
        <f>IF(A51=FALSE,"",IF(ALLTHESAME=TRUE,INDEX(LA51:LZ51,MATCH(LC51,LC51:LC156,0),MATCH(Structure!$D$22,$LA$14:$LZ$14,0)),INDEX(MA51:MZ51,MATCH(MC51,MC51:MC156,0),MATCH(Structure!$D$22,$MA$14:$MZ$14,0))))</f>
        <v/>
      </c>
      <c r="CQ51" s="239" t="str">
        <f>IF(A51=FALSE,"",IF(ALLTHESAME=TRUE,INDEX(NA51:NZ51,MATCH(NC51,NC51:NC156,0),MATCH(Structure!$D$22,$NA$14:$NZ$14,0)),INDEX(OA51:OZ51,MATCH(OC51,OC51:OC156,0),MATCH(Structure!$D$22,$OA$14:$OZ$14,0))))</f>
        <v/>
      </c>
      <c r="CR51" s="239" t="str">
        <f>IF(A51=FALSE,"",IF(ALLTHESAME=TRUE,INDEX(PA51:PZ51,MATCH(PC51,PC51:PC156,0),MATCH(Structure!$D$22,$PA$14:$PZ$14,0)),INDEX(QA51:QZ51,MATCH(QC51,QC51:QC156,0),MATCH(Structure!$D$22,$QA$14:$QZ$14,0))))</f>
        <v/>
      </c>
      <c r="CS51" s="341" t="str">
        <f>IF(A51=FALSE,"",IF(ALLTHESAME=TRUE,INDEX(RA51:RZ51,MATCH(RC51,RC51:RC156,0),MATCH(Structure!$D$22,$RA$14:$RZ$14,0)),INDEX(SA51:TC51,MATCH(SC51,SC51:SC156,0),MATCH(Structure!$D$22,$SA$14:$TC$14,0))))</f>
        <v/>
      </c>
      <c r="CT51" s="347"/>
      <c r="CU51" s="239" t="str">
        <f t="shared" si="457"/>
        <v/>
      </c>
      <c r="CV51" s="239" t="str">
        <f>IF(A51=FALSE,"",IF(ALLTHESAME=TRUE,INDEX(DD51:DZ51,MATCH(DF51,DF51:DF156,0),MATCH(Structure!$D$8,$DD$14:$DZ$14,0)),INDEX(EA51:EZ51,MATCH(EC51,EC51:EC156,0),MATCH(Structure!$D$8,$EA$14:$EZ$14,0))))</f>
        <v/>
      </c>
      <c r="CW51" s="239" t="str">
        <f>IF(A51=FALSE,"",IF(ALLTHESAME=TRUE,INDEX(FA51:FZ51,MATCH(FC51,FC51:FC156,0),MATCH(Structure!$D$8,$FA$14:$FZ$14,0)),INDEX(GA51:GZ51,MATCH(GC51,GC51:GC156,0),MATCH(Structure!$D$8,$GA$14:$GZ$14,0))))</f>
        <v/>
      </c>
      <c r="CX51" s="239" t="str">
        <f>IF(A51=FALSE,"",IF(ALLTHESAME=TRUE,INDEX(HA51:HZ51,MATCH(HC51,HC51:HC156,0),MATCH(Structure!$D$8,$HA$14:$HZ$14,0)),INDEX(IA51:IZ51,MATCH(IC51,IC51:IC156,0),MATCH(Structure!$D$8,$IA$14:$IZ$14,0))))</f>
        <v/>
      </c>
      <c r="CY51" s="239" t="str">
        <f>IF(A51=FALSE,"",IF(ALLTHESAME=TRUE,INDEX(JA51:JZ51,MATCH(JC51,JC51:JC156,0),MATCH(Structure!$D$8,$JA$14:$JZ$14,0)),INDEX(KA51:KZ51,MATCH(KC51,KC51:KC156,0),MATCH(Structure!$D$8,$KA$14:$KZ$14,0))))</f>
        <v/>
      </c>
      <c r="CZ51" s="239" t="str">
        <f>IF(A51=FALSE,"",IF(ALLTHESAME=TRUE,INDEX(LA51:LZ51,MATCH(LC51,LC51:LC156,0),MATCH(Structure!$D$8,$LA$14:$LZ$14,0)),INDEX(MA51:MZ51,MATCH(MC51,MC51:MC156,0),MATCH(Structure!$D$8,$MA$14:$MZ$14,0))))</f>
        <v/>
      </c>
      <c r="DA51" s="239" t="str">
        <f>IF(A51=FALSE,"",IF(ALLTHESAME=TRUE,INDEX(NA51:NZ51,MATCH(NC51,NC51:NC156,0),MATCH(Structure!$D$8,$NA$14:$NZ$14,0)),INDEX(OA51:OZ51,MATCH(OC51,OC51:OC156,0),MATCH(Structure!$D$8,$OA$14:$OZ$14,0))))</f>
        <v/>
      </c>
      <c r="DB51" s="239" t="str">
        <f>IF(A51=FALSE,"",IF(ALLTHESAME=TRUE,INDEX(PA51:PZ51,MATCH(PC51,PC51:PC156,0),MATCH(Structure!$D$8,$PA$14:$PZ$14,0)),INDEX(QA51:QZ51,MATCH(QC51,QC51:QC156,0),MATCH(Structure!$D$8,$QA$14:$QZ$14,0))))</f>
        <v/>
      </c>
      <c r="DC51" s="341" t="str">
        <f>IF(A51=FALSE,"",IF(ALLTHESAME=TRUE,INDEX(RA51:RZ51,MATCH(RC51,RC51:RC156,0),MATCH(Structure!$D$8,$RA$14:$RZ$14,0)),INDEX(SA51:TC51,MATCH(SC51,SC51:SC156,0),MATCH(Structure!$D$8,$SA$14:$TC$14,0))))</f>
        <v/>
      </c>
      <c r="DD51" s="492" t="str">
        <f>IF(A51=FALSE,"",Cotations!D51)</f>
        <v/>
      </c>
      <c r="DE51" s="492" t="str">
        <f>IF(A51=FALSE,"",IF(LISTES!$A$17=1,Cotations!AF51,Cotations!$AG$4))</f>
        <v/>
      </c>
      <c r="DF51" s="291" t="str">
        <f t="shared" si="458"/>
        <v/>
      </c>
      <c r="DG51" s="291" t="str">
        <f t="shared" si="459"/>
        <v/>
      </c>
      <c r="DH51" s="291"/>
      <c r="DI51" s="463"/>
      <c r="DJ51" s="463" t="str">
        <f t="shared" si="460"/>
        <v/>
      </c>
      <c r="DK51" s="522" t="str">
        <f>IF(A51=FALSE,"",IF(Cotations!$AH$4="monthly",DJ51/12*L51,DJ51/365*M51))</f>
        <v/>
      </c>
      <c r="DL51" s="489" t="str">
        <f>IF(A51=FALSE,"",Cotations!$AI$4)</f>
        <v/>
      </c>
      <c r="DM51" s="300" t="str">
        <f t="shared" si="461"/>
        <v/>
      </c>
      <c r="DN51" s="300" t="str">
        <f t="shared" si="462"/>
        <v/>
      </c>
      <c r="DO51" s="294" t="str">
        <f t="shared" si="463"/>
        <v/>
      </c>
      <c r="DP51" s="494" t="str">
        <f>IF(A51=FALSE,"",Cotations!$AJ$4)</f>
        <v/>
      </c>
      <c r="DQ51" s="494" t="str">
        <f>IF(A51=FALSE,"",Cotations!$AK$4)</f>
        <v/>
      </c>
      <c r="DR51" s="489" t="str">
        <f>IF(A51=FALSE,"",Cotations!$AL$4)</f>
        <v/>
      </c>
      <c r="DS51" s="494" t="str">
        <f>IF(A51=FALSE,"",IF(DP51="N/A",0,IF(INDEX(LISTES!$F$105:$F$109,MATCH(DP51,LISTES!$C$105:$C$109,0))="FIX",IF(INDEX(LISTES!$E$105:$E$109,MATCH(DP51,LISTES!$C$105:$C$109,0))=12,DQ51/12*L51,DQ51/365*M51),DR51*DO51)))</f>
        <v/>
      </c>
      <c r="DT51" s="294" t="str">
        <f t="shared" si="464"/>
        <v/>
      </c>
      <c r="DU51" s="294" t="str">
        <f>IF(A51=FALSE,"",DT51*Cotations!$AM$4)</f>
        <v/>
      </c>
      <c r="DV51" s="294" t="str">
        <f>IF(A51=FALSE,"",DT51*Cotations!$AN$4)</f>
        <v/>
      </c>
      <c r="DW51" s="465" t="str">
        <f t="shared" si="465"/>
        <v/>
      </c>
      <c r="DX51" s="919" t="str">
        <f>IF(A51=FALSE,"",((DJ51*TAXE)-(DJ51*TAXE*DL51))+IF(DP51="N/A",0,IF(INDEX(LISTES!$F$105:$F$109,MATCH(DP51,LISTES!$C$105:$C$109,0))="FIX",DQ51,DR51*DO51)))</f>
        <v/>
      </c>
      <c r="DY51" s="466"/>
      <c r="DZ51" s="466"/>
      <c r="EA51" s="492" t="str">
        <f>IF(A51=FALSE,"",Cotations!D51)</f>
        <v/>
      </c>
      <c r="EB51" s="494" t="str">
        <f>IF(A51=FALSE,"",IF(LISTES!$A$17=1,Cotations!AF51,Cotations!AG51))</f>
        <v/>
      </c>
      <c r="EC51" s="284" t="str">
        <f t="shared" si="466"/>
        <v/>
      </c>
      <c r="ED51" s="284" t="str">
        <f t="shared" si="467"/>
        <v/>
      </c>
      <c r="EE51" s="284"/>
      <c r="EF51" s="284"/>
      <c r="EG51" s="284" t="str">
        <f t="shared" si="468"/>
        <v/>
      </c>
      <c r="EH51" s="1365" t="str">
        <f t="shared" si="469"/>
        <v/>
      </c>
      <c r="EI51" s="1365" t="str">
        <f t="shared" si="470"/>
        <v/>
      </c>
      <c r="EJ51" s="515" t="str">
        <f>IF(A51=FALSE,"",IF(Cotations!AH51="monthly",EG51/12*L51,EG51/365*M51))</f>
        <v/>
      </c>
      <c r="EK51" s="1364" t="str">
        <f>IF(A51=FALSE,"",IF(Cotations!AH51="monthly",EI51/12*L51,EI51/365*M51))</f>
        <v/>
      </c>
      <c r="EL51" s="493" t="str">
        <f>IF(A51=FALSE,"",IF(Cotations!AI51="","",Cotations!AI51))</f>
        <v/>
      </c>
      <c r="EM51" s="284" t="str">
        <f t="shared" si="471"/>
        <v/>
      </c>
      <c r="EN51" s="284" t="str">
        <f t="shared" si="472"/>
        <v/>
      </c>
      <c r="EO51" s="1365" t="str">
        <f t="shared" si="432"/>
        <v/>
      </c>
      <c r="EP51" s="284" t="str">
        <f t="shared" si="473"/>
        <v/>
      </c>
      <c r="EQ51" s="515" t="str">
        <f>IF(A51=FALSE,"",Cotations!AJ51)</f>
        <v/>
      </c>
      <c r="ER51" s="515" t="str">
        <f>IF(A51=FALSE,"",IF(Cotations!AK51="","",Cotations!AK51))</f>
        <v/>
      </c>
      <c r="ES51" s="493" t="str">
        <f>IF(A51=FALSE,"",Cotations!AL51)</f>
        <v/>
      </c>
      <c r="ET51" s="515" t="str">
        <f>IF(A51=FALSE,"",IF(EQ51="N/A",0,IF(INDEX(LISTES!$F$105:$F$109,MATCH(EQ51,LISTES!$C$105:$C$109,0))="FIX",IF(INDEX(LISTES!$E$105:$E$109,MATCH(EQ51,LISTES!$C$105:$C$109,0))=12,ER51/12*L51,ER51/365*M51),ES51*EP51)))</f>
        <v/>
      </c>
      <c r="EU51" s="294" t="str">
        <f t="shared" si="474"/>
        <v/>
      </c>
      <c r="EV51" s="494" t="str">
        <f>IF(A51=FALSE,"",EU51*Cotations!AM51)</f>
        <v/>
      </c>
      <c r="EW51" s="494" t="str">
        <f>IF(A51=FALSE,"",EU51*Cotations!AN51)</f>
        <v/>
      </c>
      <c r="EX51" s="334" t="str">
        <f t="shared" si="475"/>
        <v/>
      </c>
      <c r="EY51" s="919" t="str">
        <f>IF(A51=FALSE,"",((EG51*TAXE)-(EG51*TAXE*EL51)+EH51)+IF(EQ51="N/A",0,IF(INDEX(LISTES!$F$105:$F$109,MATCH(EQ51,LISTES!$C$105:$C$109,0))="FIX",ER51,ES51*EP51)))</f>
        <v/>
      </c>
      <c r="FA51" s="492" t="str">
        <f>IF(A51=FALSE,"",Cotations!D51)</f>
        <v/>
      </c>
      <c r="FB51" s="519" t="str">
        <f>IF(A51=FALSE,"",IF(LISTES!$A$17=1,Cotations!AO51,Cotations!$AP$4))</f>
        <v/>
      </c>
      <c r="FC51" s="291" t="str">
        <f t="shared" si="476"/>
        <v/>
      </c>
      <c r="FD51" s="291" t="str">
        <f t="shared" si="477"/>
        <v/>
      </c>
      <c r="FE51" s="291"/>
      <c r="FF51" s="463"/>
      <c r="FG51" s="463" t="str">
        <f t="shared" si="478"/>
        <v/>
      </c>
      <c r="FH51" s="522" t="str">
        <f>IF(A51=FALSE,"",IF(Cotations!$AQ$4="monthly",FG51/12*L51,FG51/365*M51))</f>
        <v/>
      </c>
      <c r="FI51" s="453" t="str">
        <f>IF(A51=FALSE,"",Cotations!$AR$4)</f>
        <v/>
      </c>
      <c r="FJ51" s="300" t="str">
        <f t="shared" si="479"/>
        <v/>
      </c>
      <c r="FK51" s="300" t="str">
        <f t="shared" si="480"/>
        <v/>
      </c>
      <c r="FL51" s="294" t="str">
        <f t="shared" si="481"/>
        <v/>
      </c>
      <c r="FM51" s="494" t="str">
        <f>IF(A51=FALSE,"",Cotations!$AS$4)</f>
        <v/>
      </c>
      <c r="FN51" s="494" t="str">
        <f>IF(A51=FALSE,"",Cotations!$AT$4)</f>
        <v/>
      </c>
      <c r="FO51" s="489" t="str">
        <f>IF(A51=FALSE,"",Cotations!$AU$4)</f>
        <v/>
      </c>
      <c r="FP51" s="494" t="str">
        <f>IF(A51=FALSE,"",IF(FM51="N/A",0,IF(INDEX(LISTES!$F$105:$F$109,MATCH(FM51,LISTES!$C$105:$C$109,0))="FIX",IF(INDEX(LISTES!$E$105:$E$109,MATCH(FM51,LISTES!$C$105:$C$109,0))=12,FN51/12*L51,FN51/365*M51),FO51*FL51)))</f>
        <v/>
      </c>
      <c r="FQ51" s="294" t="str">
        <f t="shared" si="482"/>
        <v/>
      </c>
      <c r="FR51" s="494" t="str">
        <f>IF(A51=FALSE,"",FQ51*Cotations!$AV$4)</f>
        <v/>
      </c>
      <c r="FS51" s="494" t="str">
        <f>IF(A51=FALSE,"",FQ51*Cotations!$AW$4)</f>
        <v/>
      </c>
      <c r="FT51" s="465" t="str">
        <f t="shared" si="483"/>
        <v/>
      </c>
      <c r="FU51" s="919" t="str">
        <f>IF(A51=FALSE,"",((FG51*TAXE)-(FG51*TAXE*FI51))+IF(FM51="N/A",0,IF(INDEX(LISTES!$F$105:$F$109,MATCH(FM51,LISTES!$C$105:$C$109,0))="FIX",FN51,FO51*FL51)))</f>
        <v/>
      </c>
      <c r="FV51" s="478"/>
      <c r="FW51" s="478"/>
      <c r="FX51" s="478"/>
      <c r="FY51" s="478"/>
      <c r="FZ51" s="478"/>
      <c r="GA51" s="492" t="str">
        <f>IF(A51=FALSE,"",Cotations!D51)</f>
        <v/>
      </c>
      <c r="GB51" s="494" t="str">
        <f>IF(A51=FALSE,"",IF(LISTES!$A$17=1,Cotations!AO51,Cotations!AP51))</f>
        <v/>
      </c>
      <c r="GC51" s="284" t="str">
        <f t="shared" si="484"/>
        <v/>
      </c>
      <c r="GD51" s="515" t="str">
        <f>IF(A51=FALSE,"",IF(Detail!AM51="","",Detail!AM51))</f>
        <v/>
      </c>
      <c r="GE51" s="284"/>
      <c r="GF51" s="284"/>
      <c r="GG51" s="284" t="str">
        <f t="shared" si="485"/>
        <v/>
      </c>
      <c r="GH51" s="515" t="str">
        <f>IF(A51=FALSE,"",IF(Cotations!AQ51="monthly",GG51/12*L51,GG51/365*M51))</f>
        <v/>
      </c>
      <c r="GI51" s="493" t="str">
        <f>IF(A51=FALSE,"",IF(Cotations!AR51="","",Cotations!AR51))</f>
        <v/>
      </c>
      <c r="GJ51" s="284" t="str">
        <f t="shared" si="486"/>
        <v/>
      </c>
      <c r="GK51" s="284" t="str">
        <f t="shared" si="487"/>
        <v/>
      </c>
      <c r="GL51" s="284" t="str">
        <f t="shared" si="488"/>
        <v/>
      </c>
      <c r="GM51" s="515" t="str">
        <f>IF(A51=FALSE,"",Cotations!AS51)</f>
        <v/>
      </c>
      <c r="GN51" s="515" t="str">
        <f>IF(A51=FALSE,"",Cotations!AT51)</f>
        <v/>
      </c>
      <c r="GO51" s="493" t="str">
        <f>IF(A51=FALSE,"",Cotations!AU51)</f>
        <v/>
      </c>
      <c r="GP51" s="515" t="str">
        <f>IF(A51=FALSE,"",IF(GM51="N/A",0,IF(INDEX(LISTES!$F$105:$F$109,MATCH(GM51,LISTES!$C$105:$C$109,0))="FIX",IF(INDEX(LISTES!$E$105:$E$109,MATCH(GM51,LISTES!$C$105:$C$109,0))=12,GN51/12*L51,GN51/365*M51),GO51*GL51)))</f>
        <v/>
      </c>
      <c r="GQ51" s="294" t="str">
        <f t="shared" si="489"/>
        <v/>
      </c>
      <c r="GR51" s="494" t="str">
        <f>IF(A51=FALSE,"",GQ51*Cotations!AV51)</f>
        <v/>
      </c>
      <c r="GS51" s="494" t="str">
        <f>IF(A51=FALSE,"",GQ51*Cotations!AW51)</f>
        <v/>
      </c>
      <c r="GT51" s="334" t="str">
        <f t="shared" si="490"/>
        <v/>
      </c>
      <c r="GU51" s="919" t="str">
        <f>IF(A51=FALSE,"",((GG51*TAXE)-(GG51*TAXE*GI51))+IF(GM51="N/A",0,IF(INDEX(LISTES!$F$105:$F$109,MATCH(GM51,LISTES!$C$105:$C$109,0))="FIX",GN51,GO51*GL51)))</f>
        <v/>
      </c>
      <c r="GV51" s="478"/>
      <c r="GW51" s="466"/>
      <c r="GX51" s="466"/>
      <c r="GY51" s="466"/>
      <c r="GZ51" s="466"/>
      <c r="HA51" s="492" t="str">
        <f>IF(A51=FALSE,"",Cotations!D51)</f>
        <v/>
      </c>
      <c r="HB51" s="495" t="str">
        <f>IF(A51=FALSE,"",IF(LISTES!$A$17=1,Cotations!AX51,Cotations!$AY$4))</f>
        <v/>
      </c>
      <c r="HC51" s="291" t="str">
        <f t="shared" si="491"/>
        <v/>
      </c>
      <c r="HD51" s="291" t="str">
        <f t="shared" si="492"/>
        <v/>
      </c>
      <c r="HE51" s="456" t="str">
        <f t="shared" si="493"/>
        <v/>
      </c>
      <c r="HF51" s="496" t="str">
        <f>IF(A51=FALSE,"",IF(HA51="POEA",Cotations!BA51,IF(HA51="FIXE",Cotations!$BA$4,Cotations!$BC$4*Y51)))</f>
        <v/>
      </c>
      <c r="HG51" s="300" t="str">
        <f t="shared" si="494"/>
        <v/>
      </c>
      <c r="HH51" s="522" t="str">
        <f>IF(A51=FALSE,"",IF(Cotations!$AZ$4="monthly",HG51/12*L51,HG51/365*M51))</f>
        <v/>
      </c>
      <c r="HI51" s="489" t="str">
        <f>IF(A51=FALSE,"",Cotations!$BD$4)</f>
        <v/>
      </c>
      <c r="HJ51" s="300" t="str">
        <f t="shared" si="495"/>
        <v/>
      </c>
      <c r="HK51" s="300" t="str">
        <f t="shared" si="496"/>
        <v/>
      </c>
      <c r="HL51" s="294" t="str">
        <f t="shared" si="497"/>
        <v/>
      </c>
      <c r="HM51" s="494" t="str">
        <f>IF(A51=FALSE,"",Cotations!$BE$4)</f>
        <v/>
      </c>
      <c r="HN51" s="522" t="str">
        <f>IF(A51=FALSE,"",Cotations!$BF$4)</f>
        <v/>
      </c>
      <c r="HO51" s="489" t="str">
        <f>IF(A51=FALSE,"",Cotations!$BG$4)</f>
        <v/>
      </c>
      <c r="HP51" s="494" t="str">
        <f>IF(A51=FALSE,"",IF(HM51="N/A",0,IF(INDEX(LISTES!$F$105:$F$109,MATCH(HM51,LISTES!$C$105:$C$109,0))="FIX",IF(INDEX(LISTES!$E$105:$E$109,MATCH(HM51,LISTES!$C$105:$C$109,0))=12,HN51/12*L51,HN51/365*M51),HO51*HL51)))</f>
        <v/>
      </c>
      <c r="HQ51" s="294" t="str">
        <f t="shared" si="498"/>
        <v/>
      </c>
      <c r="HR51" s="494" t="str">
        <f>IF(A51=FALSE,"",HQ51*Cotations!$BH$4)</f>
        <v/>
      </c>
      <c r="HS51" s="494" t="str">
        <f>IF(A51=FALSE,"",HQ51*Cotations!$BI$4)</f>
        <v/>
      </c>
      <c r="HT51" s="294" t="str">
        <f t="shared" si="499"/>
        <v/>
      </c>
      <c r="HU51" s="919" t="str">
        <f>IF(A51=FALSE,"",((HG51*TAXE)-(HG51*TAXE*HI51))+IF(HM51="N/A",0,IF(INDEX(LISTES!$F$105:$F$109,MATCH(HM51,LISTES!$C$105:$C$109,0))="FIX",HN51,HO51*HL51)))</f>
        <v/>
      </c>
      <c r="IA51" s="492" t="str">
        <f>IF(A51=FALSE,"",Cotations!D51)</f>
        <v/>
      </c>
      <c r="IB51" s="491" t="str">
        <f>IF(A51=FALSE,"",IF(LISTES!$A$17=1,Cotations!AX51,Cotations!AY51))</f>
        <v/>
      </c>
      <c r="IC51" s="285" t="str">
        <f t="shared" si="500"/>
        <v/>
      </c>
      <c r="ID51" s="300" t="str">
        <f>IF(A51=FALSE,"",IF(LISTES!$A$17=3,Detail!AU51,lig1_Formula_PREVOY))</f>
        <v/>
      </c>
      <c r="IE51" s="461" t="str">
        <f t="shared" si="501"/>
        <v/>
      </c>
      <c r="IF51" s="490" t="str">
        <f>IF(A51=FALSE,"",IF(IA51="POEA",Cotations!BA51,IF(HA51="FIXE",Cotations!BB51,IF(Cotations!BC51*Y51&lt;50000,Z51,Cotations!BC51*Y51))))</f>
        <v/>
      </c>
      <c r="IG51" s="300" t="str">
        <f t="shared" si="502"/>
        <v/>
      </c>
      <c r="IH51" s="522" t="str">
        <f>IF(A51=FALSE,"",IF(Cotations!AZ51="monthly",IG51/12*L51,IG51/365*M51))</f>
        <v/>
      </c>
      <c r="II51" s="489" t="str">
        <f>IF(A51=FALSE,"",IF(Cotations!BD51="","",Cotations!BD51))</f>
        <v/>
      </c>
      <c r="IJ51" s="300" t="str">
        <f t="shared" si="503"/>
        <v/>
      </c>
      <c r="IK51" s="300" t="str">
        <f t="shared" si="504"/>
        <v/>
      </c>
      <c r="IL51" s="919" t="str">
        <f t="shared" si="505"/>
        <v/>
      </c>
      <c r="IM51" s="517" t="str">
        <f>IF(A51=FALSE,"",Cotations!BE51)</f>
        <v/>
      </c>
      <c r="IN51" s="517" t="str">
        <f>IF(A51=FALSE,"",Cotations!BF51)</f>
        <v/>
      </c>
      <c r="IO51" s="493" t="str">
        <f>IF(A51=FALSE,"",Cotations!BG51)</f>
        <v/>
      </c>
      <c r="IP51" s="517" t="str">
        <f>IF(A51=FALSE,"",IF(IM51="N/A",0,IF(INDEX(LISTES!$F$105:$F$109,MATCH(IM51,LISTES!$C$105:$C$109,0))="FIX",IF(INDEX(LISTES!$E$105:$E$109,MATCH(IM51,LISTES!$C$105:$C$109,0))=12,IN51/12*L51,IN51/365*M51),IO51*IL51)))</f>
        <v/>
      </c>
      <c r="IQ51" s="294" t="str">
        <f t="shared" si="506"/>
        <v/>
      </c>
      <c r="IR51" s="494" t="str">
        <f>IF(A51=FALSE,"",IQ51*Cotations!BH51)</f>
        <v/>
      </c>
      <c r="IS51" s="494" t="str">
        <f>IF(A51=FALSE,"",IQ51*Cotations!BI51)</f>
        <v/>
      </c>
      <c r="IT51" s="338" t="str">
        <f t="shared" si="507"/>
        <v/>
      </c>
      <c r="IU51" s="919" t="str">
        <f>IF(A51=FALSE,"",((IG51*TAXE)-(IG51*TAXE*II51))+IF(IM51="N/A",0,IF(INDEX(LISTES!$F$105:$F$109,MATCH(IM51,LISTES!$C$105:$C$109,0))="FIX",IN51,IO51*IL51)))</f>
        <v/>
      </c>
      <c r="JA51" s="492" t="str">
        <f>IF(A51=FALSE,"",Cotations!D51)</f>
        <v/>
      </c>
      <c r="JB51" s="495" t="str">
        <f>IF(A51=FALSE,"",IF(LISTES!$A$17=1,Cotations!BJ51,Cotations!$BK$4))</f>
        <v/>
      </c>
      <c r="JC51" s="291" t="str">
        <f t="shared" si="508"/>
        <v/>
      </c>
      <c r="JD51" s="291" t="str">
        <f t="shared" si="509"/>
        <v/>
      </c>
      <c r="JE51" s="456" t="str">
        <f t="shared" si="510"/>
        <v/>
      </c>
      <c r="JF51" s="496" t="str">
        <f>IF(A51=FALSE,"",IF(JA51="POEA",Cotations!BM51,IF(JA51="FIXE",Cotations!$BM$4,Cotations!$BO$4*Y51)))</f>
        <v/>
      </c>
      <c r="JG51" s="300" t="str">
        <f t="shared" si="511"/>
        <v/>
      </c>
      <c r="JH51" s="522" t="str">
        <f>IF(A51=FALSE,"",IF(Cotations!$BL$4="monthly",JG51/12*L51,JG51/365*M51))</f>
        <v/>
      </c>
      <c r="JI51" s="489" t="str">
        <f>IF(A51=FALSE,"",Cotations!$BP$4)</f>
        <v/>
      </c>
      <c r="JJ51" s="300" t="str">
        <f t="shared" si="512"/>
        <v/>
      </c>
      <c r="JK51" s="300" t="str">
        <f t="shared" si="513"/>
        <v/>
      </c>
      <c r="JL51" s="294" t="str">
        <f t="shared" si="514"/>
        <v/>
      </c>
      <c r="JM51" s="494" t="str">
        <f>IF(A51=FALSE,"",Cotations!$BQ$4)</f>
        <v/>
      </c>
      <c r="JN51" s="522" t="str">
        <f>IF(A51=FALSE,"",Cotations!$BR$4)</f>
        <v/>
      </c>
      <c r="JO51" s="489" t="str">
        <f>IF(A51=FALSE,"",Cotations!$BS$4)</f>
        <v/>
      </c>
      <c r="JP51" s="494" t="str">
        <f>IF(A51=FALSE,"",IF(JM51="N/A",0,IF(INDEX(LISTES!$F$105:$F$109,MATCH(JM51,LISTES!$C$105:$C$109,0))="FIX",IF(INDEX(LISTES!$E$105:$E$109,MATCH(JM51,LISTES!$C$105:$C$109,0))=12,JN51/12*L51,JN51/365*M51),JO51*JL51)))</f>
        <v/>
      </c>
      <c r="JQ51" s="294" t="str">
        <f t="shared" si="515"/>
        <v/>
      </c>
      <c r="JR51" s="494" t="str">
        <f>IF(A51=FALSE,"",JQ51*Cotations!$BT$4)</f>
        <v/>
      </c>
      <c r="JS51" s="494" t="str">
        <f>IF(A51=FALSE,"",JQ51*Cotations!$BU$4)</f>
        <v/>
      </c>
      <c r="JT51" s="294" t="str">
        <f t="shared" si="516"/>
        <v/>
      </c>
      <c r="JU51" s="919" t="str">
        <f>IF(A51=FALSE,"",((JG51*TAXE)-(JG51*TAXE*JI51))+IF(JM51="N/A",0,IF(INDEX(LISTES!$F$105:$F$109,MATCH(JM51,LISTES!$C$105:$C$109,0))="FIX",JN51,JO51*JL51)))</f>
        <v/>
      </c>
      <c r="KA51" s="492" t="str">
        <f>IF(A51=FALSE,"",Cotations!D51)</f>
        <v/>
      </c>
      <c r="KB51" s="491" t="str">
        <f>IF(A51=FALSE,"",IF(LISTES!$A$17=1,Cotations!BJ51,Cotations!BK51))</f>
        <v/>
      </c>
      <c r="KC51" s="285" t="str">
        <f t="shared" si="517"/>
        <v/>
      </c>
      <c r="KD51" s="300"/>
      <c r="KE51" s="461" t="str">
        <f t="shared" si="518"/>
        <v/>
      </c>
      <c r="KF51" s="490" t="str">
        <f>IF(A51=FALSE,"",IF(KA51="POEA",Cotations!BM51,IF(KA51="FIXE",Cotations!BN51,IF(Cotations!BO51*Y51&lt;50000,Z51,Cotations!BO51*Y51))))</f>
        <v/>
      </c>
      <c r="KG51" s="300" t="str">
        <f t="shared" si="519"/>
        <v/>
      </c>
      <c r="KH51" s="522" t="str">
        <f>IF(A51=FALSE,"",IF(Cotations!BL51="monthly",KG51/12*L51,KG51/365*M51))</f>
        <v/>
      </c>
      <c r="KI51" s="489" t="str">
        <f>IF(A51=FALSE,"",IF(Cotations!BP51="","",Cotations!BP51))</f>
        <v/>
      </c>
      <c r="KJ51" s="300" t="str">
        <f t="shared" si="520"/>
        <v/>
      </c>
      <c r="KK51" s="300" t="str">
        <f t="shared" si="521"/>
        <v/>
      </c>
      <c r="KL51" s="919" t="str">
        <f t="shared" si="522"/>
        <v/>
      </c>
      <c r="KM51" s="517" t="str">
        <f>IF(A51=FALSE,"",Cotations!BQ51)</f>
        <v/>
      </c>
      <c r="KN51" s="515" t="str">
        <f>IF(A51=FALSE,"",Cotations!BR51)</f>
        <v/>
      </c>
      <c r="KO51" s="493" t="str">
        <f>IF(A51=FALSE,"",Cotations!BS51)</f>
        <v/>
      </c>
      <c r="KP51" s="517" t="str">
        <f>IF(A51=FALSE,"",IF(KM51="N/A",0,IF(INDEX(LISTES!$F$105:$F$109,MATCH(KM51,LISTES!$C$105:$C$109,0))="FIX",IF(INDEX(LISTES!$E$105:$E$109,MATCH(KM51,LISTES!$C$105:$C$109,0))=12,KN51/12*L51,KN51/365*M51),KO51*KL51)))</f>
        <v/>
      </c>
      <c r="KQ51" s="294" t="str">
        <f t="shared" si="523"/>
        <v/>
      </c>
      <c r="KR51" s="494" t="str">
        <f>IF(A51=FALSE,"",KQ51*Cotations!BT51)</f>
        <v/>
      </c>
      <c r="KS51" s="494" t="str">
        <f>IF(A51=FALSE,"",KQ51*Cotations!BU51)</f>
        <v/>
      </c>
      <c r="KT51" s="338" t="str">
        <f t="shared" si="524"/>
        <v/>
      </c>
      <c r="KU51" s="919" t="str">
        <f>IF(A51=FALSE,"",((KG51*TAXE)-(KG51*TAXE*KI51))+IF(KM51="N/A",0,IF(INDEX(LISTES!$F$105:$F$109,MATCH(KM51,LISTES!$C$105:$C$109,0))="FIX",KN51,KO51*KL51)))</f>
        <v/>
      </c>
      <c r="LA51" s="497" t="str">
        <f>IF(A51=FALSE,"",Cotations!D51)</f>
        <v/>
      </c>
      <c r="LB51" s="498" t="str">
        <f>IF(A51=FALSE,"",IF(LISTES!$A$17=1,Cotations!BV51,Cotations!$BW$4))</f>
        <v/>
      </c>
      <c r="LC51" s="499" t="str">
        <f t="shared" si="525"/>
        <v/>
      </c>
      <c r="LD51" s="499" t="str">
        <f t="shared" si="526"/>
        <v/>
      </c>
      <c r="LE51" s="500" t="str">
        <f t="shared" si="527"/>
        <v/>
      </c>
      <c r="LF51" s="501" t="str">
        <f>IF(A51=FALSE,"",IF(LA51="POEA",Cotations!EJ51,IF(LA51="FIXE",Cotations!$BY$4,Cotations!$CA$4*Y51)))</f>
        <v/>
      </c>
      <c r="LG51" s="502" t="str">
        <f t="shared" si="528"/>
        <v/>
      </c>
      <c r="LH51" s="520" t="str">
        <f>IF(A51=FALSE,"",IF(Cotations!$BX$4="monthly",LG51/12*L51,LG51/365*M51))</f>
        <v/>
      </c>
      <c r="LI51" s="503" t="str">
        <f>IF(A51=FALSE,"",Cotations!$CB$4)</f>
        <v/>
      </c>
      <c r="LJ51" s="502" t="str">
        <f t="shared" si="529"/>
        <v/>
      </c>
      <c r="LK51" s="502" t="str">
        <f t="shared" si="530"/>
        <v/>
      </c>
      <c r="LL51" s="504" t="str">
        <f t="shared" si="531"/>
        <v/>
      </c>
      <c r="LM51" s="505" t="str">
        <f>IF(A51=FALSE,"",Cotations!$CC$4)</f>
        <v/>
      </c>
      <c r="LN51" s="503" t="str">
        <f>IF(A51=FALSE,"",Cotations!$CD$4)</f>
        <v/>
      </c>
      <c r="LO51" s="503" t="str">
        <f>IF(A51=FALSE,"",Cotations!$CE$4)</f>
        <v/>
      </c>
      <c r="LP51" s="505" t="str">
        <f>IF(A51=FALSE,"",IF(LM51="N/A",0,IF(INDEX(LISTES!$F$105:$F$109,MATCH(LM51,LISTES!$C$105:$C$109,0))="FIX",IF(INDEX(LISTES!$E$105:$E$109,MATCH(LM51,LISTES!$C$105:$C$109,0))=12,LN51/12*L51,LN51/365*M51),LO51*LL51)))</f>
        <v/>
      </c>
      <c r="LQ51" s="504" t="str">
        <f t="shared" si="532"/>
        <v/>
      </c>
      <c r="LR51" s="505" t="str">
        <f>IF(A51=FALSE,"",LQ51*Cotations!$CF$4)</f>
        <v/>
      </c>
      <c r="LS51" s="505" t="str">
        <f>IF(A51=FALSE,"",LQ51*Cotations!$CG$4)</f>
        <v/>
      </c>
      <c r="LT51" s="506" t="str">
        <f t="shared" si="533"/>
        <v/>
      </c>
      <c r="LU51" s="919" t="str">
        <f>IF(A51=FALSE,"",((LG51*TAXE)-(LG51*TAXE*LI51))+IF(LM51="N/A",0,IF(INDEX(LISTES!$F$105:$F$109,MATCH(LM51,LISTES!$C$105:$C$109,0))="FIX",LN51,LO51*LL51)))</f>
        <v/>
      </c>
      <c r="MA51" s="492" t="str">
        <f>IF(A51=FALSE,"",Cotations!D51)</f>
        <v/>
      </c>
      <c r="MB51" s="491" t="str">
        <f>IF(A51=FALSE,"",IF(LISTES!$A$17=1,Cotations!BV51,Cotations!BW51))</f>
        <v/>
      </c>
      <c r="MC51" s="285" t="str">
        <f t="shared" si="534"/>
        <v/>
      </c>
      <c r="MD51" s="300"/>
      <c r="ME51" s="461" t="str">
        <f t="shared" si="535"/>
        <v/>
      </c>
      <c r="MF51" s="490" t="str">
        <f>IF(A51=FALSE,"",IF(MA51="POEA",Cotations!BY51,IF(MA51="FIXE",Cotations!BZ51,IF(Cotations!CA51*Y51&lt;50000,Z51,Cotations!CA51*Y51))))</f>
        <v/>
      </c>
      <c r="MG51" s="300" t="str">
        <f t="shared" si="536"/>
        <v/>
      </c>
      <c r="MH51" s="522" t="str">
        <f>IF(A51=FALSE,"",IF(Cotations!BX51="monthly",MG51/12*L51,MG51/365*M51))</f>
        <v/>
      </c>
      <c r="MI51" s="489" t="str">
        <f>IF(A51=FALSE,"",IF(Cotations!CB51="","",Cotations!CB51))</f>
        <v/>
      </c>
      <c r="MJ51" s="300" t="str">
        <f t="shared" si="537"/>
        <v/>
      </c>
      <c r="MK51" s="300" t="str">
        <f t="shared" si="538"/>
        <v/>
      </c>
      <c r="ML51" s="919" t="str">
        <f t="shared" si="539"/>
        <v/>
      </c>
      <c r="MM51" s="517" t="str">
        <f>IF(A51=FALSE,"",Cotations!CC51)</f>
        <v/>
      </c>
      <c r="MN51" s="515" t="str">
        <f>IF(A51=FALSE,"",Cotations!CD51)</f>
        <v/>
      </c>
      <c r="MO51" s="493" t="str">
        <f>IF(A51=FALSE,"",Cotations!CE51)</f>
        <v/>
      </c>
      <c r="MP51" s="517" t="str">
        <f>IF(A51=FALSE,"",IF(MM51="N/A",0,IF(INDEX(LISTES!$F$105:$F$109,MATCH(MM51,LISTES!$C$105:$C$109,0))="FIX",IF(INDEX(LISTES!$E$105:$E$109,MATCH(MM51,LISTES!$C$105:$C$109,0))=12,MN51/12*L51,MN51/365*M51),MO51*ML51)))</f>
        <v/>
      </c>
      <c r="MQ51" s="294" t="str">
        <f t="shared" si="540"/>
        <v/>
      </c>
      <c r="MR51" s="494" t="str">
        <f>IF(A51=FALSE,"",MQ51*Cotations!CF51)</f>
        <v/>
      </c>
      <c r="MS51" s="494" t="str">
        <f>IF(A51=FALSE,"",MQ51*Cotations!CG51)</f>
        <v/>
      </c>
      <c r="MT51" s="338" t="str">
        <f t="shared" si="541"/>
        <v/>
      </c>
      <c r="MU51" s="919" t="str">
        <f>IF(A51=FALSE,"",((MG51*TAXE)-(MG51*TAXE*MI51))+IF(MM51="N/A",0,IF(INDEX(LISTES!$F$105:$F$109,MATCH(MM51,LISTES!$C$105:$C$109,0))="FIX",MN51,MO51*ML51)))</f>
        <v/>
      </c>
      <c r="NA51" s="497" t="str">
        <f>IF(A51=FALSE,"",Cotations!D51)</f>
        <v/>
      </c>
      <c r="NB51" s="498" t="str">
        <f>IF(A51=FALSE,"",IF(LISTES!$A$17=1,Cotations!CH51,Cotations!$CI$4))</f>
        <v/>
      </c>
      <c r="NC51" s="499" t="str">
        <f t="shared" si="542"/>
        <v/>
      </c>
      <c r="ND51" s="499" t="str">
        <f t="shared" si="543"/>
        <v/>
      </c>
      <c r="NE51" s="500" t="str">
        <f t="shared" si="544"/>
        <v/>
      </c>
      <c r="NF51" s="501" t="str">
        <f>IF(A51=FALSE,"",IF(NA51="POEA",Cotations!CK51,IF(NA51="FIXE",Cotations!$CK$4,Cotations!$CM$4*Y51)))</f>
        <v/>
      </c>
      <c r="NG51" s="502" t="str">
        <f t="shared" si="545"/>
        <v/>
      </c>
      <c r="NH51" s="520" t="str">
        <f>IF(A51=FALSE,"",IF(Cotations!$CJ$4="monthly",NG51/12*L51,NG51/365*M51))</f>
        <v/>
      </c>
      <c r="NI51" s="503" t="str">
        <f>IF(A51=FALSE,"",Cotations!$CN$4)</f>
        <v/>
      </c>
      <c r="NJ51" s="502" t="str">
        <f t="shared" si="546"/>
        <v/>
      </c>
      <c r="NK51" s="502" t="str">
        <f t="shared" si="547"/>
        <v/>
      </c>
      <c r="NL51" s="504" t="str">
        <f t="shared" si="548"/>
        <v/>
      </c>
      <c r="NM51" s="505" t="str">
        <f>IF(A51=FALSE,"",Cotations!$CO$4)</f>
        <v/>
      </c>
      <c r="NN51" s="520" t="str">
        <f>IF(A51=FALSE,"",Cotations!$CP$4)</f>
        <v/>
      </c>
      <c r="NO51" s="503" t="str">
        <f>IF(A51=FALSE,"",Cotations!$CQ$4)</f>
        <v/>
      </c>
      <c r="NP51" s="505" t="str">
        <f>IF(A51=FALSE,"",IF(NM51="N/A",0,IF(INDEX(LISTES!$F$105:$F$109,MATCH(NM51,LISTES!$C$105:$C$109,0))="FIX",IF(INDEX(LISTES!$E$105:$E$109,MATCH(NM51,LISTES!$C$105:$C$109,0))=12,NN51/12*L51,NN51/365*M51),NO51*NL51)))</f>
        <v/>
      </c>
      <c r="NQ51" s="504" t="str">
        <f t="shared" si="549"/>
        <v/>
      </c>
      <c r="NR51" s="505" t="str">
        <f>IF(A51=FALSE,"",NQ51*Cotations!$CR$4)</f>
        <v/>
      </c>
      <c r="NS51" s="505" t="str">
        <f>IF(A51=FALSE,"",NQ51*Cotations!$CS$4)</f>
        <v/>
      </c>
      <c r="NT51" s="506" t="str">
        <f t="shared" si="550"/>
        <v/>
      </c>
      <c r="NU51" s="919" t="str">
        <f>IF(A51=FALSE,"",((NG51*TAXE)-(NG51*TAXE*NI51))+IF(NM51="N/A",0,IF(INDEX(LISTES!$F$105:$F$109,MATCH(NM51,LISTES!$C$105:$C$109,0))="FIX",NN51,NO51*NL51)))</f>
        <v/>
      </c>
      <c r="OA51" s="492" t="str">
        <f>IF(A51=FALSE,"",Cotations!D51)</f>
        <v/>
      </c>
      <c r="OB51" s="491" t="str">
        <f>IF(A51=FALSE,"",IF(LISTES!$A$17=1,Cotations!CH51,Cotations!CI51))</f>
        <v/>
      </c>
      <c r="OC51" s="285" t="str">
        <f t="shared" si="551"/>
        <v/>
      </c>
      <c r="OD51" s="300"/>
      <c r="OE51" s="461" t="str">
        <f t="shared" si="552"/>
        <v/>
      </c>
      <c r="OF51" s="490" t="str">
        <f>IF(A51=FALSE,"",IF(OA51="POEA",Cotations!CK51,IF(OA51="FIXE",Cotations!CL51,IF(Cotations!CM51*Y51&lt;50000,Z51,Cotations!CM51*Y51))))</f>
        <v/>
      </c>
      <c r="OG51" s="300" t="str">
        <f t="shared" si="553"/>
        <v/>
      </c>
      <c r="OH51" s="522" t="str">
        <f>IF(A51=FALSE,"",IF(Cotations!CJ51="monthly",OG51/12*L51,OG51/365*M51))</f>
        <v/>
      </c>
      <c r="OI51" s="489" t="str">
        <f>IF(A51=FALSE,"",IF(Cotations!CN51="","",Cotations!CN51))</f>
        <v/>
      </c>
      <c r="OJ51" s="300" t="str">
        <f t="shared" si="554"/>
        <v/>
      </c>
      <c r="OK51" s="300" t="str">
        <f t="shared" si="555"/>
        <v/>
      </c>
      <c r="OL51" s="919" t="str">
        <f t="shared" si="556"/>
        <v/>
      </c>
      <c r="OM51" s="517" t="str">
        <f>IF(A51=FALSE,"",Cotations!CO51)</f>
        <v/>
      </c>
      <c r="ON51" s="515" t="str">
        <f>IF(A51=FALSE,"",Cotations!CP51)</f>
        <v/>
      </c>
      <c r="OO51" s="493" t="str">
        <f>IF(A51=FALSE,"",Cotations!CQ51)</f>
        <v/>
      </c>
      <c r="OP51" s="517" t="str">
        <f>IF(A51=FALSE,"",IF(OM51="N/A",0,IF(INDEX(LISTES!$F$105:$F$109,MATCH(OM51,LISTES!$C$105:$C$109,0))="FIX",IF(INDEX(LISTES!$E$105:$E$109,MATCH(OM51,LISTES!$C$105:$C$109,0))=12,ON51/12*L51,ON51/365*M51),OO51*OL51)))</f>
        <v/>
      </c>
      <c r="OQ51" s="294" t="str">
        <f t="shared" si="557"/>
        <v/>
      </c>
      <c r="OR51" s="494" t="str">
        <f>IF(A51=FALSE,"",OQ51*Cotations!CR51)</f>
        <v/>
      </c>
      <c r="OS51" s="494" t="str">
        <f>IF(A51=FALSE,"",OQ51*Cotations!CS51)</f>
        <v/>
      </c>
      <c r="OT51" s="338" t="str">
        <f t="shared" si="558"/>
        <v/>
      </c>
      <c r="OU51" s="919" t="str">
        <f>IF(A51=FALSE,"",((OG51*TAXE)-(OG51*TAXE*OI51))+IF(OM51="N/A",0,IF(INDEX(LISTES!$F$105:$F$109,MATCH(OM51,LISTES!$C$105:$C$109,0))="FIX",ON51,OO51*OL51)))</f>
        <v/>
      </c>
      <c r="PA51" s="497" t="str">
        <f t="shared" si="559"/>
        <v/>
      </c>
      <c r="PB51" s="498" t="str">
        <f>IF(A51=FALSE,"",IF(LISTES!$A$17=1,Cotations!CT51,Cotations!$CU$4))</f>
        <v/>
      </c>
      <c r="PC51" s="499" t="str">
        <f t="shared" si="560"/>
        <v/>
      </c>
      <c r="PD51" s="499" t="str">
        <f t="shared" si="561"/>
        <v/>
      </c>
      <c r="PE51" s="500" t="str">
        <f t="shared" si="562"/>
        <v/>
      </c>
      <c r="PF51" s="501" t="str">
        <f>IF(A51=FALSE,"",Cotations!$CY$4*Y51)</f>
        <v/>
      </c>
      <c r="PG51" s="502" t="str">
        <f t="shared" si="563"/>
        <v/>
      </c>
      <c r="PH51" s="520" t="str">
        <f>IF(A51=FALSE,"",IF(Cotations!$CV$4="monthly",PG51/12*L51,PG51/365*M51))</f>
        <v/>
      </c>
      <c r="PI51" s="503" t="str">
        <f>IF(A51=FALSE,"",Cotations!$CZ$4)</f>
        <v/>
      </c>
      <c r="PJ51" s="502" t="str">
        <f t="shared" si="564"/>
        <v/>
      </c>
      <c r="PK51" s="502" t="str">
        <f t="shared" si="565"/>
        <v/>
      </c>
      <c r="PL51" s="504" t="str">
        <f t="shared" si="566"/>
        <v/>
      </c>
      <c r="PM51" s="505" t="str">
        <f>IF(A51=FALSE,"",Cotations!$DA$4)</f>
        <v/>
      </c>
      <c r="PN51" s="520" t="str">
        <f>IF(A51=FALSE,"",Cotations!$DB$4)</f>
        <v/>
      </c>
      <c r="PO51" s="503" t="str">
        <f>IF(A51=FALSE,"",Cotations!$DC$4)</f>
        <v/>
      </c>
      <c r="PP51" s="505" t="str">
        <f>IF(A51=FALSE,"",IF(PM51="N/A",0,IF(INDEX(LISTES!$F$105:$F$109,MATCH(PM51,LISTES!$C$105:$C$109,0))="FIX",IF(INDEX(LISTES!$E$105:$E$109,MATCH(PM51,LISTES!$C$105:$C$109,0))=12,PN51/12*L51,PN51/365*M51),PO51*PL51)))</f>
        <v/>
      </c>
      <c r="PQ51" s="504" t="str">
        <f t="shared" si="567"/>
        <v/>
      </c>
      <c r="PR51" s="505" t="str">
        <f>IF(A51=FALSE,"",PQ51*Cotations!$DD$4)</f>
        <v/>
      </c>
      <c r="PS51" s="505" t="str">
        <f>IF(A51=FALSE,"",PQ51*Cotations!$DE$4)</f>
        <v/>
      </c>
      <c r="PT51" s="506" t="str">
        <f t="shared" si="568"/>
        <v/>
      </c>
      <c r="PU51" s="919" t="str">
        <f>IF(A51=FALSE,"",((PG51*TAXE)-(PG51*TAXE*PI51))+IF(PM51="N/A",0,IF(INDEX(LISTES!$F$105:$F$109,MATCH(PM51,LISTES!$C$105:$C$109,0))="FIX",PN51,PO51*PL51)))</f>
        <v/>
      </c>
      <c r="QA51" s="492" t="str">
        <f t="shared" si="569"/>
        <v/>
      </c>
      <c r="QB51" s="491" t="str">
        <f>IF(A51=FALSE,"",IF(LISTES!$A$17=1,Cotations!CT51,Cotations!CU51))</f>
        <v/>
      </c>
      <c r="QC51" s="285" t="str">
        <f t="shared" si="570"/>
        <v/>
      </c>
      <c r="QD51" s="300"/>
      <c r="QE51" s="461" t="str">
        <f t="shared" si="571"/>
        <v/>
      </c>
      <c r="QF51" s="490" t="str">
        <f>IF(A51=FALSE,"",Cotations!CY51*AA51)</f>
        <v/>
      </c>
      <c r="QG51" s="300" t="str">
        <f t="shared" si="572"/>
        <v/>
      </c>
      <c r="QH51" s="522" t="str">
        <f>IF(A51=FALSE,"",IF(Cotations!CV51="monthly",QG51/12*L51,QG51/365*M51))</f>
        <v/>
      </c>
      <c r="QI51" s="489" t="str">
        <f>IF(A51=FALSE,"",IF(Cotations!CZ51="","",Cotations!CZ51))</f>
        <v/>
      </c>
      <c r="QJ51" s="300" t="str">
        <f t="shared" si="573"/>
        <v/>
      </c>
      <c r="QK51" s="300" t="str">
        <f t="shared" si="574"/>
        <v/>
      </c>
      <c r="QL51" s="919" t="str">
        <f t="shared" si="575"/>
        <v/>
      </c>
      <c r="QM51" s="517" t="str">
        <f>IF(A51=FALSE,"",Cotations!DA51)</f>
        <v/>
      </c>
      <c r="QN51" s="515" t="str">
        <f>IF(A51=FALSE,"",Cotations!DB51)</f>
        <v/>
      </c>
      <c r="QO51" s="493" t="str">
        <f>IF(A51=FALSE,"",Cotations!DC51)</f>
        <v/>
      </c>
      <c r="QP51" s="517" t="str">
        <f>IF(A51=FALSE,"",IF(QM51="N/A",0,IF(INDEX(LISTES!$F$105:$F$109,MATCH(QM51,LISTES!$C$105:$C$109,0))="FIX",IF(INDEX(LISTES!$E$105:$E$109,MATCH(QM51,LISTES!$C$105:$C$109,0))=12,QN51/12*L51,QN51/365*M51),QO51*QL51)))</f>
        <v/>
      </c>
      <c r="QQ51" s="294" t="str">
        <f t="shared" si="576"/>
        <v/>
      </c>
      <c r="QR51" s="494" t="str">
        <f>IF(A51=FALSE,"",QQ51*Cotations!DD51)</f>
        <v/>
      </c>
      <c r="QS51" s="494" t="str">
        <f>IF(A51=FALSE,"",QQ51*Cotations!DE51)</f>
        <v/>
      </c>
      <c r="QT51" s="338" t="str">
        <f t="shared" si="577"/>
        <v/>
      </c>
      <c r="QU51" s="919" t="str">
        <f>IF(A51=FALSE,"",((QG51*TAXE)-(QG51*TAXE*QI51))+IF(QM51="N/A",0,IF(INDEX(LISTES!$F$105:$F$109,MATCH(QM51,LISTES!$C$105:$C$109,0))="FIX",QN51,QO51*QL51)))</f>
        <v/>
      </c>
      <c r="RA51" s="497" t="str">
        <f t="shared" si="578"/>
        <v/>
      </c>
      <c r="RB51" s="498" t="str">
        <f>IF(A51=FALSE,"",IF(LISTES!$A$17=1,Cotations!DF51,Cotations!$DG$4))</f>
        <v/>
      </c>
      <c r="RC51" s="499" t="str">
        <f t="shared" si="579"/>
        <v/>
      </c>
      <c r="RD51" s="499" t="str">
        <f t="shared" si="580"/>
        <v/>
      </c>
      <c r="RE51" s="500" t="str">
        <f t="shared" si="581"/>
        <v/>
      </c>
      <c r="RF51" s="501" t="str">
        <f>IF(A51=FALSE,"",Cotations!$DK$4*Y51)</f>
        <v/>
      </c>
      <c r="RG51" s="502" t="str">
        <f t="shared" si="582"/>
        <v/>
      </c>
      <c r="RH51" s="520" t="str">
        <f>IF(A51=FALSE,"",IF(Cotations!$DH$4="monthly",RG51/12*L51,RG51/365*M51))</f>
        <v/>
      </c>
      <c r="RI51" s="503" t="str">
        <f>IF(A51=FALSE,"",Cotations!$DL$4)</f>
        <v/>
      </c>
      <c r="RJ51" s="502" t="str">
        <f t="shared" si="583"/>
        <v/>
      </c>
      <c r="RK51" s="502" t="str">
        <f t="shared" si="584"/>
        <v/>
      </c>
      <c r="RL51" s="504" t="str">
        <f t="shared" si="585"/>
        <v/>
      </c>
      <c r="RM51" s="505" t="str">
        <f>IF(A51=FALSE,"",Cotations!$DM$4)</f>
        <v/>
      </c>
      <c r="RN51" s="520" t="str">
        <f>IF(A51=FALSE,"",Cotations!$DN$4)</f>
        <v/>
      </c>
      <c r="RO51" s="503" t="str">
        <f>IF(A51=FALSE,"",Cotations!$DO$4)</f>
        <v/>
      </c>
      <c r="RP51" s="505" t="str">
        <f>IF(A51=FALSE,"",IF(RM51="N/A",0,IF(INDEX(LISTES!$F$105:$F$109,MATCH(RM51,LISTES!$C$105:$C$109,0))="FIX",IF(INDEX(LISTES!$E$105:$E$109,MATCH(RM51,LISTES!$C$105:$C$109,0))=12,RN51/12*L51,RN51/365*M51),RO51*RL51)))</f>
        <v/>
      </c>
      <c r="RQ51" s="504" t="str">
        <f t="shared" si="586"/>
        <v/>
      </c>
      <c r="RR51" s="505" t="str">
        <f>IF(A51=FALSE,"",RQ51*Cotations!$DP$4)</f>
        <v/>
      </c>
      <c r="RS51" s="505" t="str">
        <f>IF(A51=FALSE,"",RQ51*Cotations!$DQ$4)</f>
        <v/>
      </c>
      <c r="RT51" s="506" t="str">
        <f t="shared" si="587"/>
        <v/>
      </c>
      <c r="RU51" s="919" t="str">
        <f>IF(A51=FALSE,"",((RG51*TAXE)-(RG51*TAXE*RI51))+IF(RM51="N/A",0,IF(INDEX(LISTES!$F$105:$F$109,MATCH(RM51,LISTES!$C$105:$C$109,0))="FIX",RN51,RO51*RL51)))</f>
        <v/>
      </c>
      <c r="SA51" s="492" t="str">
        <f t="shared" si="588"/>
        <v/>
      </c>
      <c r="SB51" s="491" t="str">
        <f>IF(A51=FALSE,"",IF(LISTES!$A$17=1,Cotations!DF51,Cotations!DG51))</f>
        <v/>
      </c>
      <c r="SC51" s="285" t="str">
        <f t="shared" si="589"/>
        <v/>
      </c>
      <c r="SD51" s="300"/>
      <c r="SE51" s="461" t="str">
        <f t="shared" si="590"/>
        <v/>
      </c>
      <c r="SF51" s="490" t="str">
        <f>IF(A51=FALSE,"",Cotations!DK51*AA51)</f>
        <v/>
      </c>
      <c r="SG51" s="300" t="str">
        <f t="shared" si="591"/>
        <v/>
      </c>
      <c r="SH51" s="522" t="str">
        <f>IF(A51=FALSE,"",IF(Cotations!DH51="monthly",SG51/12*L51,SG51/365*M51))</f>
        <v/>
      </c>
      <c r="SI51" s="489" t="str">
        <f>IF(A51=FALSE,"",IF(Cotations!DL51="","",Cotations!DL51))</f>
        <v/>
      </c>
      <c r="SJ51" s="300" t="str">
        <f t="shared" si="592"/>
        <v/>
      </c>
      <c r="SK51" s="300" t="str">
        <f t="shared" si="593"/>
        <v/>
      </c>
      <c r="SL51" s="919" t="str">
        <f t="shared" si="594"/>
        <v/>
      </c>
      <c r="SM51" s="285" t="str">
        <f>IF(A51=FALSE,"",Cotations!DM51)</f>
        <v/>
      </c>
      <c r="SN51" s="515" t="str">
        <f>IF(A51=FALSE,"",Cotations!DN51)</f>
        <v/>
      </c>
      <c r="SO51" s="493" t="str">
        <f>IF(A51=FALSE,"",Cotations!DO51)</f>
        <v/>
      </c>
      <c r="SP51" s="517" t="str">
        <f>IF(A51=FALSE,"",IF(SM51="N/A",0,IF(INDEX(LISTES!$F$105:$F$109,MATCH(SM51,LISTES!$C$105:$C$109,0))="FIX",IF(INDEX(LISTES!$E$105:$E$109,MATCH(SM51,LISTES!$C$105:$C$109,0))=12,SN51/12*L51,SN51/365*M51),SO51*SL51)))</f>
        <v/>
      </c>
      <c r="SQ51" s="294" t="str">
        <f t="shared" si="595"/>
        <v/>
      </c>
      <c r="SR51" s="494" t="str">
        <f>IF(A51=FALSE,"",SQ51*Cotations!DP51)</f>
        <v/>
      </c>
      <c r="SS51" s="494" t="str">
        <f>IF(A51=FALSE,"",SQ51*Cotations!DQ51)</f>
        <v/>
      </c>
      <c r="ST51" s="338" t="str">
        <f t="shared" si="596"/>
        <v/>
      </c>
      <c r="SU51" s="919" t="str">
        <f>IF(A51=FALSE,"",((SG51*TAXE)-(SG51*TAXE*SI51))+IF(SM51="N/A",0,IF(INDEX(LISTES!$F$105:$F$109,MATCH(SM51,LISTES!$C$105:$C$109,0))="FIX",SN51,SO51*SL51)))</f>
        <v/>
      </c>
      <c r="TA51" s="492" t="str">
        <f>IF(A51=FALSE,"",Cotations!D51)</f>
        <v/>
      </c>
      <c r="TB51" s="491" t="str">
        <f>IF(A51=FALSE,"",IF(LISTES!$A$17=1,Cotations!DR51,Cotations!DS51))</f>
        <v/>
      </c>
      <c r="TC51" s="285" t="str">
        <f t="shared" si="597"/>
        <v/>
      </c>
      <c r="TD51" s="300" t="str">
        <f>IF(A51=FALSE,"",Detail!CQ51)</f>
        <v/>
      </c>
      <c r="TE51" s="461" t="str">
        <f t="shared" si="598"/>
        <v/>
      </c>
      <c r="TF51" s="490" t="str">
        <f>IF(A51=FALSE,"",IF(TA51="FIXE",Cotations!DU51,Cotations!DV51*Y51))</f>
        <v/>
      </c>
      <c r="TG51" s="300" t="str">
        <f t="shared" si="599"/>
        <v/>
      </c>
      <c r="TH51" s="522" t="str">
        <f>IF(A51=FALSE,"",IF(Cotations!DT51="monthly",TG51/12*L51,TG51/365*M51))</f>
        <v/>
      </c>
      <c r="TI51" s="489" t="str">
        <f>IF(A51=FALSE,"",IF(Cotations!DW51="","",Cotations!DW51))</f>
        <v/>
      </c>
      <c r="TJ51" s="300" t="str">
        <f t="shared" si="600"/>
        <v/>
      </c>
      <c r="TK51" s="300" t="str">
        <f t="shared" si="601"/>
        <v/>
      </c>
      <c r="TL51" s="919" t="str">
        <f t="shared" si="602"/>
        <v/>
      </c>
      <c r="TM51" s="517" t="str">
        <f>IF(A51=FALSE,"",Cotations!DX51)</f>
        <v/>
      </c>
      <c r="TN51" s="517" t="str">
        <f>IF(A51=FALSE,"",Cotations!DY51)</f>
        <v/>
      </c>
      <c r="TO51" s="493" t="str">
        <f>IF(A51=FALSE,"",Cotations!DZ51)</f>
        <v/>
      </c>
      <c r="TP51" s="517" t="str">
        <f>IF(A51=FALSE,"",IF(TM51="N/A",0,IF(INDEX(LISTES!$F$105:$F$109,MATCH(TM51,LISTES!$C$105:$C$109,0))="FIX",IF(INDEX(LISTES!$E$105:$E$109,MATCH(TM51,LISTES!$C$105:$C$109,0))=12,TN51/12*L51,TN51/365*M51),TO51*TL51)))</f>
        <v/>
      </c>
      <c r="TQ51" s="294" t="str">
        <f t="shared" si="603"/>
        <v/>
      </c>
      <c r="TR51" s="494" t="str">
        <f>IF(A51=FALSE,"",TQ51*Cotations!EA51)</f>
        <v/>
      </c>
      <c r="TS51" s="494" t="str">
        <f>IF(A51=FALSE,"",TQ51*Cotations!EB51)</f>
        <v/>
      </c>
      <c r="TT51" s="338" t="str">
        <f t="shared" si="604"/>
        <v/>
      </c>
      <c r="TU51" s="919" t="str">
        <f>IF(A51=FALSE,"",((TG51*(1+TAXE)-(TG51*(1+TAXE)*TI51))+IF(TM51="N/A",0,IF(INDEX(LISTES!$F$105:$F$109,MATCH(TM51,LISTES!$C$105:$C$109,0))="FIX",TN51,TO51*TL51))))</f>
        <v/>
      </c>
      <c r="UA51" s="492" t="str">
        <f>IF(A51=FALSE,"",Cotations!D51)</f>
        <v/>
      </c>
      <c r="UB51" s="491" t="str">
        <f>IF(A51=FALSE,"",IF(LISTES!$A$17=1,Cotations!EC51,Cotations!ED51))</f>
        <v/>
      </c>
      <c r="UC51" s="285" t="str">
        <f t="shared" si="605"/>
        <v/>
      </c>
      <c r="UD51" s="300" t="str">
        <f>IF(A51=FALSE,"",Detail!CY51)</f>
        <v/>
      </c>
      <c r="UE51" s="461" t="str">
        <f t="shared" si="606"/>
        <v/>
      </c>
      <c r="UF51" s="490" t="str">
        <f>IF(A51=FALSE,"",IF(UA51="FIXE",Cotations!EF51,Cotations!EG51*Y51))</f>
        <v/>
      </c>
      <c r="UG51" s="300" t="str">
        <f t="shared" si="607"/>
        <v/>
      </c>
      <c r="UH51" s="522" t="str">
        <f>IF(A51=FALSE,"",IF(Cotations!EE51="monthly",UG51/12*L51,UG51/365*M51))</f>
        <v/>
      </c>
      <c r="UI51" s="489" t="str">
        <f>IF(A51=FALSE,"",IF(Cotations!EH51="","",Cotations!EH51))</f>
        <v/>
      </c>
      <c r="UJ51" s="300" t="str">
        <f t="shared" si="608"/>
        <v/>
      </c>
      <c r="UK51" s="300" t="str">
        <f t="shared" si="609"/>
        <v/>
      </c>
      <c r="UL51" s="919" t="str">
        <f t="shared" si="610"/>
        <v/>
      </c>
      <c r="UM51" s="517" t="str">
        <f>IF(A51=FALSE,"",Cotations!EI51)</f>
        <v/>
      </c>
      <c r="UN51" s="517" t="str">
        <f>IF(A51=FALSE,"",Cotations!EJ51)</f>
        <v/>
      </c>
      <c r="UO51" s="493" t="str">
        <f>IF(A51=FALSE,"",Cotations!EK51)</f>
        <v/>
      </c>
      <c r="UP51" s="517" t="str">
        <f>IF(A51=FALSE,"",IF(UM51="N/A",0,IF(INDEX(LISTES!$F$105:$F$109,MATCH(UM51,LISTES!$C$105:$C$109,0))="FIX",IF(INDEX(LISTES!$E$105:$E$109,MATCH(UM51,LISTES!$C$105:$C$109,0))=12,UN51/12*L51,UN51/365*M51),UO51*UL51)))</f>
        <v/>
      </c>
      <c r="UQ51" s="294" t="str">
        <f t="shared" si="611"/>
        <v/>
      </c>
      <c r="UR51" s="494" t="str">
        <f>IF(A51=FALSE,"",UQ51*Cotations!EL51)</f>
        <v/>
      </c>
      <c r="US51" s="494" t="str">
        <f>IF(A51=FALSE,"",UQ51*Cotations!EM51)</f>
        <v/>
      </c>
      <c r="UT51" s="338" t="str">
        <f t="shared" si="612"/>
        <v/>
      </c>
      <c r="UU51" s="919" t="str">
        <f>IF(A51=FALSE,"",((UG51*(1+TAXE)-(UG51*(1+TAXE)*UI51))+IF(UM51="N/A",0,IF(INDEX(LISTES!$F$105:$F$109,MATCH(UM51,LISTES!$C$105:$C$109,0))="FIX",UN51,UO51*UL51))))</f>
        <v/>
      </c>
      <c r="VA51" s="492" t="str">
        <f>IF(A51=FALSE,"",Cotations!D51)</f>
        <v/>
      </c>
      <c r="VB51" s="519" t="str">
        <f>IF(A51=FALSE,"",IF(LISTES!$A$17=1,Cotations!EN51,Cotations!EO51))</f>
        <v/>
      </c>
      <c r="VC51" s="291" t="str">
        <f t="shared" si="613"/>
        <v/>
      </c>
      <c r="VD51" s="291" t="str">
        <f t="shared" si="614"/>
        <v/>
      </c>
      <c r="VE51" s="291"/>
      <c r="VF51" s="463"/>
      <c r="VG51" s="463" t="str">
        <f t="shared" si="615"/>
        <v/>
      </c>
      <c r="VH51" s="522" t="str">
        <f>IF(A51=FALSE,"",IF(Cotations!$AQ$4="monthly",VG51/12*L51,VG51/365*M51))</f>
        <v/>
      </c>
      <c r="VI51" s="489" t="str">
        <f>IF(A51=FALSE,"",Cotations!$AR$4)</f>
        <v/>
      </c>
      <c r="VJ51" s="300" t="str">
        <f t="shared" si="616"/>
        <v/>
      </c>
      <c r="VK51" s="300" t="str">
        <f t="shared" si="617"/>
        <v/>
      </c>
      <c r="VL51" s="294" t="str">
        <f t="shared" si="618"/>
        <v/>
      </c>
      <c r="VM51" s="494" t="str">
        <f>IF(A51=FALSE,"",Cotations!$AS$4)</f>
        <v/>
      </c>
      <c r="VN51" s="494" t="str">
        <f>IF(A51=FALSE,"",Cotations!$AT$4)</f>
        <v/>
      </c>
      <c r="VO51" s="489" t="str">
        <f>IF(A51=FALSE,"",Cotations!$AU$4)</f>
        <v/>
      </c>
      <c r="VP51" s="494" t="str">
        <f>IF(A51=FALSE,"",IF(VM51="N/A",0,IF(INDEX(LISTES!$F$105:$F$109,MATCH(VM51,LISTES!$C$105:$C$109,0))="FIX",IF(INDEX(LISTES!$E$105:$E$109,MATCH(VM51,LISTES!$C$105:$C$109,0))=12,VN51/12*L51,VN51/365*M51),VO51*VL51)))</f>
        <v/>
      </c>
      <c r="VQ51" s="294" t="str">
        <f t="shared" si="619"/>
        <v/>
      </c>
      <c r="VR51" s="494" t="str">
        <f>IF(A51=FALSE,"",VQ51*Cotations!$AV$4)</f>
        <v/>
      </c>
      <c r="VS51" s="494" t="str">
        <f>IF(A51=FALSE,"",VQ51*Cotations!$AW$4)</f>
        <v/>
      </c>
      <c r="VT51" s="465" t="str">
        <f t="shared" si="620"/>
        <v/>
      </c>
      <c r="VU51" s="919" t="str">
        <f>IF(A51=FALSE,"",((VG51*TAXE)-(VG51*TAXE*VI51))+IF(VM51="N/A",0,IF(INDEX(LISTES!$F$105:$F$109,MATCH(VM51,LISTES!$C$105:$C$109,0))="FIX",VN51,VO51*VL51)))</f>
        <v/>
      </c>
      <c r="WA51" s="492" t="str">
        <f>IF(A51=FALSE,"",Cotations!D51)</f>
        <v/>
      </c>
      <c r="WB51" s="519" t="str">
        <f>IF(A51=FALSE,"",IF(LISTES!$A$17=1,Cotations!EW51,Cotations!EX51))</f>
        <v/>
      </c>
      <c r="WC51" s="291" t="str">
        <f t="shared" si="621"/>
        <v/>
      </c>
      <c r="WD51" s="291" t="str">
        <f t="shared" si="622"/>
        <v/>
      </c>
      <c r="WE51" s="291"/>
      <c r="WF51" s="463"/>
      <c r="WG51" s="463" t="str">
        <f t="shared" si="623"/>
        <v/>
      </c>
      <c r="WH51" s="522" t="str">
        <f>IF(A51=FALSE,"",IF(Cotations!$AQ$4="monthly",WG51/12*L51,WG51/365*M51))</f>
        <v/>
      </c>
      <c r="WI51" s="489" t="str">
        <f>IF(A51=FALSE,"",Cotations!$AR$4)</f>
        <v/>
      </c>
      <c r="WJ51" s="300" t="str">
        <f t="shared" si="624"/>
        <v/>
      </c>
      <c r="WK51" s="300" t="str">
        <f t="shared" si="625"/>
        <v/>
      </c>
      <c r="WL51" s="294" t="str">
        <f t="shared" si="626"/>
        <v/>
      </c>
      <c r="WM51" s="494" t="str">
        <f>IF(A51=FALSE,"",Cotations!$AS$4)</f>
        <v/>
      </c>
      <c r="WN51" s="494" t="str">
        <f>IF(A51=FALSE,"",Cotations!$AT$4)</f>
        <v/>
      </c>
      <c r="WO51" s="489" t="str">
        <f>IF(A51=FALSE,"",Cotations!$AU$4)</f>
        <v/>
      </c>
      <c r="WP51" s="494" t="str">
        <f>IF(A51=FALSE,"",IF(WM51="N/A",0,IF(INDEX(LISTES!$F$105:$F$109,MATCH(WM51,LISTES!$C$105:$C$109,0))="FIX",IF(INDEX(LISTES!$E$105:$E$109,MATCH(WM51,LISTES!$C$105:$C$109,0))=12,WN51/12*L51,WN51/365*M51),WO51*WL51)))</f>
        <v/>
      </c>
      <c r="WQ51" s="294" t="str">
        <f t="shared" si="627"/>
        <v/>
      </c>
      <c r="WR51" s="494" t="str">
        <f>IF(A51=FALSE,"",WQ51*Cotations!$AV$4)</f>
        <v/>
      </c>
      <c r="WS51" s="494" t="str">
        <f>IF(A51=FALSE,"",WQ51*Cotations!$AW$4)</f>
        <v/>
      </c>
      <c r="WT51" s="465" t="str">
        <f t="shared" si="628"/>
        <v/>
      </c>
      <c r="WU51" s="919" t="str">
        <f>IF(A51=FALSE,"",((WG51*TAXE)-(WG51*TAXE*WI51))+IF(WM51="N/A",0,IF(INDEX(LISTES!$F$105:$F$109,MATCH(WM51,LISTES!$C$105:$C$109,0))="FIX",WN51,WO51*WL51)))</f>
        <v/>
      </c>
    </row>
    <row r="52" spans="1:619">
      <c r="A52" s="942" t="b">
        <f t="shared" si="433"/>
        <v>0</v>
      </c>
      <c r="B52" s="942" t="b">
        <f>IF(NAMES!$B$9=TRUE,TRUE,FALSE)</f>
        <v>1</v>
      </c>
      <c r="C52" s="942" t="b">
        <f t="shared" si="413"/>
        <v>0</v>
      </c>
      <c r="D52" s="942" t="b">
        <f t="shared" si="414"/>
        <v>0</v>
      </c>
      <c r="E52" s="274" t="b">
        <f>IF(Cotations!C52="","",Cotations!C52)</f>
        <v>0</v>
      </c>
      <c r="F52" s="274" t="str">
        <f>IF(Cotations!D52="","",Cotations!D52)</f>
        <v>PROP</v>
      </c>
      <c r="G52" s="274" t="str">
        <f>IF(Cotations!E52="","",Cotations!E52)</f>
        <v>2016-2017!</v>
      </c>
      <c r="H52" s="274" t="str">
        <f>IF(Cotations!F52="","",Cotations!F52)</f>
        <v>SINGLE</v>
      </c>
      <c r="I52" s="274" t="str">
        <f>IF(Cotations!G52="","",Cotations!G52)</f>
        <v/>
      </c>
      <c r="J52" s="274" t="str">
        <f>IF(Cotations!H52="","",Cotations!H52)</f>
        <v/>
      </c>
      <c r="K52" s="274" t="str">
        <f>IF(Cotations!I52="","",Cotations!I52)</f>
        <v/>
      </c>
      <c r="L52" s="274" t="str">
        <f>IF(A52=FALSE,"",IF(Cotations!N52="","",Cotations!N52))</f>
        <v/>
      </c>
      <c r="M52" s="274" t="str">
        <f>IF(Cotations!P52="","",Cotations!P52)</f>
        <v/>
      </c>
      <c r="N52" s="724" t="str">
        <f>IF(NAMES!$B$10=TRUE,Cotations!J52,Cotations!L52)</f>
        <v/>
      </c>
      <c r="O52" s="724" t="str">
        <f>IF(NAMES!$B$10=TRUE,Cotations!K52,Cotations!M52)</f>
        <v/>
      </c>
      <c r="P52" s="943" t="str">
        <f t="shared" si="415"/>
        <v/>
      </c>
      <c r="Q52" s="724" t="str">
        <f>IF(A52=FALSE,"",IF(Crewlist!Y52="","",Crewlist!Y52))</f>
        <v/>
      </c>
      <c r="R52" s="78" t="str">
        <f>IF(Cotations!U52="","",Cotations!U52)</f>
        <v/>
      </c>
      <c r="S52" s="943" t="str">
        <f t="shared" si="416"/>
        <v/>
      </c>
      <c r="T52" s="919" t="str">
        <f>IF(A52=FALSE,"",VLOOKUP($U$15:$U$120,Currency!$A$2:$D$10,4,0)*Crewlist!N52)</f>
        <v/>
      </c>
      <c r="U52" s="1355" t="str">
        <f>IF(A52=FALSE,"",IF(IT52=0,Crewlist!M52&amp;"/"&amp;EX52,Crewlist!M52&amp;"/"&amp;IT52))</f>
        <v/>
      </c>
      <c r="V52" s="919" t="str">
        <f>IF(A52=FALSE,"",VLOOKUP($U$15:$U$120,Currency!$A$2:$D$10,4,0)*Detail!Q52)</f>
        <v/>
      </c>
      <c r="W52" s="1355" t="str">
        <f>IF(A52=FALSE,"",IF(IT52=0,Detail!R52&amp;"/"&amp;EX52,Detail!R52&amp;"/"&amp;IT52))</f>
        <v/>
      </c>
      <c r="X52" s="919" t="str">
        <f>IF(A52=FALSE,"",IF(LISTES!$C$17="Crewlist",Calcul!T52,Calcul!V52))</f>
        <v/>
      </c>
      <c r="Y52" s="758" t="str">
        <f t="shared" si="417"/>
        <v/>
      </c>
      <c r="Z52" s="758" t="str">
        <f>IF(A52=FALSE,"",IF(X52=0,0,IF((Cotations!BC52*12*X52)&lt;50000,50000,(12*X52))))</f>
        <v/>
      </c>
      <c r="AA52" s="758" t="str">
        <f t="shared" si="418"/>
        <v/>
      </c>
      <c r="AB52" s="758" t="str">
        <f>IF(A52=FALSE,"",IF(Crewlist!O52=0,"",Crewlist!O52))</f>
        <v/>
      </c>
      <c r="AC52" s="758" t="str">
        <f>IF(I52="","",VLOOKUP($AB$15:$AB$120,Currency!$A$15:$B$34,2,0))</f>
        <v/>
      </c>
      <c r="AD52" s="758" t="str">
        <f t="shared" si="419"/>
        <v/>
      </c>
      <c r="AE52" s="758" t="str">
        <f t="shared" si="420"/>
        <v/>
      </c>
      <c r="AF52" s="758" t="str">
        <f t="shared" si="421"/>
        <v/>
      </c>
      <c r="AG52" s="758" t="str">
        <f t="shared" si="422"/>
        <v/>
      </c>
      <c r="AH52" s="1355" t="str">
        <f t="shared" si="434"/>
        <v/>
      </c>
      <c r="AI52" s="919" t="str">
        <f t="shared" si="423"/>
        <v/>
      </c>
      <c r="AJ52" s="1382" t="str">
        <f t="shared" si="424"/>
        <v/>
      </c>
      <c r="AK52" s="1382" t="str">
        <f t="shared" si="425"/>
        <v/>
      </c>
      <c r="AL52" s="238" t="str">
        <f t="shared" si="435"/>
        <v/>
      </c>
      <c r="AM52" s="238" t="str">
        <f t="shared" si="436"/>
        <v/>
      </c>
      <c r="AN52" s="1374" t="str">
        <f t="shared" si="437"/>
        <v/>
      </c>
      <c r="AO52" s="238" t="str">
        <f t="shared" si="438"/>
        <v/>
      </c>
      <c r="AP52" s="342" t="str">
        <f>IF(A52=FALSE,"",INDEX(Rates!$Z$5:$Z$367,MATCH(EB52,colchoice,0)))</f>
        <v/>
      </c>
      <c r="AQ52" s="238" t="str">
        <f t="shared" si="439"/>
        <v/>
      </c>
      <c r="AR52" s="238" t="str">
        <f t="shared" si="440"/>
        <v/>
      </c>
      <c r="AS52" s="238" t="str">
        <f t="shared" si="441"/>
        <v/>
      </c>
      <c r="AT52" s="238" t="str">
        <f t="shared" si="442"/>
        <v/>
      </c>
      <c r="AU52" s="238" t="str">
        <f t="shared" si="443"/>
        <v/>
      </c>
      <c r="AV52" s="238" t="str">
        <f t="shared" si="429"/>
        <v/>
      </c>
      <c r="AW52" s="238" t="str">
        <f t="shared" si="444"/>
        <v/>
      </c>
      <c r="AX52" s="238" t="str">
        <f t="shared" si="445"/>
        <v/>
      </c>
      <c r="AY52" s="238" t="str">
        <f t="shared" si="446"/>
        <v/>
      </c>
      <c r="AZ52" s="238" t="str">
        <f t="shared" si="447"/>
        <v/>
      </c>
      <c r="BA52" s="238" t="str">
        <f t="shared" si="448"/>
        <v/>
      </c>
      <c r="BB52" s="552" t="str">
        <f t="shared" si="449"/>
        <v/>
      </c>
      <c r="BC52" s="347" t="str">
        <f t="shared" si="450"/>
        <v/>
      </c>
      <c r="BD52" s="239" t="str">
        <f t="shared" si="430"/>
        <v/>
      </c>
      <c r="BE52" s="239" t="str">
        <f>IF(A52=FALSE,"",IF(ALLTHESAME=TRUE,IF(DF52&lt;&gt;$BC$7,0,INDEX(DD52:DZ52,1,MATCH(Structure!$D$12,$DD$14:$DZ$14,0))),IF(EC52&lt;&gt;$BC$7,0,INDEX(EA52:EZ52,1,MATCH(Structure!$D$12,$EA$14:$EZ$14,0)))))</f>
        <v/>
      </c>
      <c r="BF52" s="239" t="str">
        <f>IF(A52=FALSE,"",IF(ALLTHESAME=TRUE,IF(FC52&lt;&gt;$BC$7,0,INDEX(FA52:FZ52,1,MATCH(Structure!$D$12,$FA$14:$FZ$14,0))),IF(GC52&lt;&gt;$BC$7,0,INDEX(GA52:GZ52,1,MATCH(Structure!$D$12,$GA$14:$GZ$14,0)))))</f>
        <v/>
      </c>
      <c r="BG52" s="239" t="str">
        <f>IF(A52=FALSE,"",IF(ALLTHESAME=TRUE,IF(VC52&lt;&gt;$BC$7,0,INDEX(VA52:VZ52,1,MATCH(Structure!$D$12,$VA$14:$VZ$14,0))),IF(VC52&lt;&gt;$BC$7,0,INDEX(VA52:VZ52,1,MATCH(Structure!$D$12,$VA$14:$VZ$14,0)))))</f>
        <v/>
      </c>
      <c r="BH52" s="239" t="str">
        <f>IF(A52=FALSE,"",IF(ALLTHESAME=TRUE,IF(WC52&lt;&gt;$BC$7,0,INDEX(WA52:WY52,1,MATCH(Structure!$D$12,$WA$14:$WZ$14,0))),IF(WC52&lt;&gt;$BC$7,0,INDEX(WA52:WZ52,1,MATCH(Structure!$D$12,$WA$14:$WZ$14,0)))))</f>
        <v/>
      </c>
      <c r="BI52" s="763" t="str">
        <f>IF(A52=FALSE,"",IF(ALLTHESAME=TRUE,IF(HC52&lt;&gt;$BC$7,0,INDEX(HA52:HZ52,1,MATCH(Structure!$D$12,$HA$14:$HZ$14,0)))+TK52,IF(IC52&lt;&gt;$BC$7,0,INDEX(IA52:IZ52,1,MATCH(Structure!$D$12,$IA$14:$IZ$14,0)))+TK52))</f>
        <v/>
      </c>
      <c r="BJ52" s="239" t="str">
        <f>IF(A52=FALSE,"",IF(ALLTHESAME=TRUE,IF(JC52&lt;&gt;$BC$7,0,INDEX(JA52:JZ52,1,MATCH(Structure!$D$12,$JA$14:$JZ$14,0))),IF(KC52&lt;&gt;$BC$7,0,INDEX(KA52:KZ52,1,MATCH(Structure!$D$12,$KA$14:$KZ$14,0)))))</f>
        <v/>
      </c>
      <c r="BK52" s="763" t="str">
        <f>IF(A52=FALSE,"",IF(ALLTHESAME=TRUE,IF(LC52&lt;&gt;$BC$7,0,INDEX(LA52:LZ52,1,MATCH(Structure!$D$12,$LA$14:$LZ$14,0)))+UK52,IF(MC52&lt;&gt;$BC$7,0,INDEX(MA52:MZ52,1,MATCH(Structure!$D$12,$MA$14:$MZ$14,0)))+UK52))</f>
        <v/>
      </c>
      <c r="BL52" s="239" t="str">
        <f>IF(A52=FALSE,"",IF(ALLTHESAME=TRUE,IF(NC52&lt;&gt;$BC$7,0,INDEX(NA52:NZ52,1,MATCH(Structure!$D$12,$NA$14:$NZ$14,0))),IF(OC52&lt;&gt;$BC$7,0,INDEX(OA52:OZ52,1,MATCH(Structure!$D$12,$OA$14:$OZ$14,0)))))</f>
        <v/>
      </c>
      <c r="BM52" s="239" t="str">
        <f>IF(A52=FALSE,"",IF(ALLTHESAME=TRUE,IF(PC52&lt;&gt;$BC$7,0,INDEX(PA52:PZ52,1,MATCH(Structure!$D$12,$PA$14:$PZ$14,0))),IF(QC52&lt;&gt;$BC$7,0,INDEX(QA52:QZ52,1,MATCH(Structure!$D$12,$QA$14:$QZ$14,0)))))</f>
        <v/>
      </c>
      <c r="BN52" s="341" t="str">
        <f>IF(A52=FALSE,"",IF(ALLTHESAME=TRUE,IF(RC52&lt;&gt;$BC$7,0,INDEX(RA52:RZ52,1,MATCH(Structure!$D$12,$RA$14:$RZ$14,0))),IF(SC52&lt;&gt;$BC$7,0,INDEX(SA52:TA52,1,MATCH(Structure!$D$12,$SA$14:$TA$14,0)))))</f>
        <v/>
      </c>
      <c r="BO52" s="507" t="str">
        <f t="shared" si="451"/>
        <v/>
      </c>
      <c r="BP52" s="239" t="str">
        <f t="shared" si="452"/>
        <v/>
      </c>
      <c r="BQ52" s="239" t="str">
        <f>IF(A52=FALSE,"",IF(ALLTHESAME=TRUE,IF(DF52&lt;&gt;$BO$7,0,INDEX(DD52:DZ52,1,MATCH(Structure!$D$12,$DD$14:$DZ$14,0))),IF(EC52&lt;&gt;$BO$7,0,INDEX(EA52:EZ52,1,MATCH(Structure!$D$12,$EA$14:$EZ$14,0)))))</f>
        <v/>
      </c>
      <c r="BR52" s="239" t="str">
        <f>IF(A52=FALSE,"",IF(ALLTHESAME=TRUE,IF(FC52&lt;&gt;$BO$7,0,INDEX(FA52:FZ52,1,MATCH(Structure!$D$12,$FA$14:$FZ$14,0))),IF(GC52&lt;&gt;$BO$7,0,INDEX(GA52:GZ52,1,MATCH(Structure!$D$12,$GA$14:$GZ$14,0)))))</f>
        <v/>
      </c>
      <c r="BS52" s="239" t="str">
        <f>IF(A52=FALSE,"",IF(ALLTHESAME=TRUE,IF(HC52&lt;&gt;$BO$7,0,INDEX(HA52:HZ52,1,MATCH(Structure!$D$12,$HA$14:$HZ$14,0))),IF(IC52&lt;&gt;$BO$7,0,INDEX(IA52:IZ52,1,MATCH(Structure!$D$12,$IA$14:$IZ$14,0)))))</f>
        <v/>
      </c>
      <c r="BT52" s="239" t="str">
        <f>IF(A52=FALSE,"",IF(ALLTHESAME=TRUE,IF(JC52&lt;&gt;$BO$7,0,INDEX(JA52:JZ52,1,MATCH(Structure!$D$12,$JA$14:$JZ$14,0))),IF(KC52&lt;&gt;$BO$7,0,INDEX(KA52:KZ52,1,MATCH(Structure!$D$12,$KA$14:$KZ$14,0)))))</f>
        <v/>
      </c>
      <c r="BU52" s="239" t="str">
        <f>IF(A52=FALSE,"",IF(ALLTHESAME=TRUE,IF(LC52&lt;&gt;$BO$7,0,INDEX(LA52:LZ52,1,MATCH(Structure!$D$12,$LA$14:$LZ$14,0))),IF(MC52&lt;&gt;$BO$7,0,INDEX(MA52:MZ52,1,MATCH(Structure!$D$12,$MA$14:$MZ$14,0)))))</f>
        <v/>
      </c>
      <c r="BV52" s="239" t="str">
        <f>IF(A52=FALSE,"",IF(ALLTHESAME=TRUE,IF(NC52&lt;&gt;$BO$7,0,INDEX(NA52:NZ52,1,MATCH(Structure!$D$12,$NA$14:$NZ$14,0))),IF(OC52&lt;&gt;$BO$7,0,INDEX(OA52:OZ52,1,MATCH(Structure!$D$12,$OA$14:$OZ$14,0)))))</f>
        <v/>
      </c>
      <c r="BW52" s="239" t="str">
        <f>IF(A52=FALSE,"",IF(ALLTHESAME=TRUE,IF(PC52&lt;&gt;$BO$7,0,INDEX(PA52:PZ52,1,MATCH(Structure!$D$12,$PA$14:$PZ$14,0))),IF(QC52&lt;&gt;$BO$7,0,INDEX(QA52:QZ52,1,MATCH(Structure!$D$12,$QA$14:$QZ$14,0)))))</f>
        <v/>
      </c>
      <c r="BX52" s="341" t="str">
        <f>IF(A52=FALSE,"",IF(ALLTHESAME=TRUE,IF(RC52&lt;&gt;$BO$7,0,INDEX(RA52:RZ52,1,MATCH(Structure!$D$12,$RA$14:$RZ$14,0))),IF(SC52&lt;&gt;$BO$7,0,INDEX(SA52:TA52,1,MATCH(Structure!$D$12,$SA$14:$TA$14,0)))))</f>
        <v/>
      </c>
      <c r="BY52" s="347" t="str">
        <f t="shared" si="453"/>
        <v/>
      </c>
      <c r="BZ52" s="507" t="str">
        <f t="shared" si="454"/>
        <v/>
      </c>
      <c r="CA52" s="239" t="str">
        <f t="shared" si="455"/>
        <v/>
      </c>
      <c r="CB52" s="239" t="str">
        <f>IF(A52=FALSE,"",IF(ALLTHESAME=TRUE,INDEX(DD52:DZ52,MATCH(DF52,DF52:DF157,0),MATCH(Structure!$D$17,$DD$14:$DZ$14,0)),INDEX(EA52:EZ52,MATCH(EC52,EC52:EC157,0),MATCH(Structure!$D$17,$EA$14:$EZ$14,0))))</f>
        <v/>
      </c>
      <c r="CC52" s="239" t="str">
        <f>IF(A52=FALSE,"",IF(ALLTHESAME=TRUE,INDEX(FA52:FZ52,MATCH(FC52,FC52:FC157,0),MATCH(Structure!$D$17,$FA$14:$FZ$14,0)),INDEX(GA52:GZ52,MATCH(GC52,GC52:GC157,0),MATCH(Structure!$D$17,$GA$14:$GZ$14,0))))</f>
        <v/>
      </c>
      <c r="CD52" s="239" t="str">
        <f>IF(A52=FALSE,"",IF(ALLTHESAME=TRUE,INDEX(HA52:HZ52,MATCH(HC52,HC52:HC157,0),MATCH(Structure!$D$17,$HA$14:$HZ$14,0)),INDEX(IA52:IZ52,MATCH(IC52,IC52:IC157,0),MATCH(Structure!$D$17,$IA$14:$IZ$14,0))))</f>
        <v/>
      </c>
      <c r="CE52" s="239" t="str">
        <f>IF(A52=FALSE,"",IF(ALLTHESAME=TRUE,INDEX(JA52:JZ52,MATCH(JC52,JC52:JC157,0),MATCH(Structure!$D$17,$JA$14:$JZ$14,0)),INDEX(KA52:KZ52,MATCH(KC52,KC52:KC157,0),MATCH(Structure!$D$17,$KA$14:$KZ$14,0))))</f>
        <v/>
      </c>
      <c r="CF52" s="239" t="str">
        <f>IF(A52=FALSE,"",IF(ALLTHESAME=TRUE,INDEX(LA52:LZ52,MATCH(LC52,LC52:LC157,0),MATCH(Structure!$D$17,$LA$14:$LZ$14,0)),INDEX(MA52:MZ52,MATCH(MC52,MC52:MC157,0),MATCH(Structure!$D$17,$MA$14:$MZ$14,0))))</f>
        <v/>
      </c>
      <c r="CG52" s="239" t="str">
        <f>IF(A52=FALSE,"",IF(ALLTHESAME=TRUE,INDEX(NA52:NZ52,MATCH(NC52,NC52:NC157,0),MATCH(Structure!$D$17,$NA$14:$NZ$14,0)),INDEX(OA52:OZ52,MATCH(OC52,OC52:OC157,0),MATCH(Structure!$D$17,$OA$14:$OZ$14,0))))</f>
        <v/>
      </c>
      <c r="CH52" s="239" t="str">
        <f>IF(A52=FALSE,"",IF(ALLTHESAME=TRUE,INDEX(PA52:PZ52,MATCH(PC52,PC52:PC157,0),MATCH(Structure!$D$17,$PA$14:$PZ$14,0)),INDEX(QA52:QZ52,MATCH(QC52,QC52:QC157,0),MATCH(Structure!$D$17,$QA$14:$QZ$14,0))))</f>
        <v/>
      </c>
      <c r="CI52" s="341" t="str">
        <f>IF(A52=FALSE,"",IF(ALLTHESAME=TRUE,INDEX(RA52:RZ52,MATCH(RC52,RC52:RC157,0),MATCH(Structure!$D$17,$RA$14:$RZ$14,0)),INDEX(SA52:TC52,MATCH(SC52,SC52:SC157,0),MATCH(Structure!$D$17,$SA$14:$TC$14,0))))</f>
        <v/>
      </c>
      <c r="CJ52" s="347"/>
      <c r="CK52" s="239" t="str">
        <f t="shared" si="456"/>
        <v/>
      </c>
      <c r="CL52" s="239" t="str">
        <f>IF(A52=FALSE,"",IF(ALLTHESAME=TRUE,INDEX(DD52:DZ52,MATCH(DF52,DF52:DF157,0),MATCH(Structure!$D$22,$DD$14:$DZ$14,0)),INDEX(EA52:EZ52,MATCH(EC52,EC52:EC157,0),MATCH(Structure!$D$22,$EA$14:$EZ$14,0))))</f>
        <v/>
      </c>
      <c r="CM52" s="239" t="str">
        <f>IF(A52=FALSE,"",IF(ALLTHESAME=TRUE,INDEX(FA52:FZ52,MATCH(FC52,FC52:FC157,0),MATCH(Structure!$D$22,$FA$14:$FZ$14,0)),INDEX(GA52:GZ52,MATCH(GC52,GC52:GC157,0),MATCH(Structure!$D$22,$GA$14:$GZ$14,0))))</f>
        <v/>
      </c>
      <c r="CN52" s="239" t="str">
        <f>IF(A52=FALSE,"",IF(ALLTHESAME=TRUE,INDEX(HA52:HZ52,MATCH(HC52,HC52:HC157,0),MATCH(Structure!$D$22,$HA$14:$HZ$14,0)),INDEX(IA52:IZ52,MATCH(IC52,IC52:IC157,0),MATCH(Structure!$D$22,$IA$14:$IZ$14,0))))</f>
        <v/>
      </c>
      <c r="CO52" s="239" t="str">
        <f>IF(A52=FALSE,"",IF(ALLTHESAME=TRUE,INDEX(JA52:JZ52,MATCH(JC52,JC52:JC157,0),MATCH(Structure!$D$22,$JA$14:$JZ$14,0)),INDEX(KA52:KZ52,MATCH(KC52,KC52:KC157,0),MATCH(Structure!$D$22,$KA$14:$KZ$14,0))))</f>
        <v/>
      </c>
      <c r="CP52" s="239" t="str">
        <f>IF(A52=FALSE,"",IF(ALLTHESAME=TRUE,INDEX(LA52:LZ52,MATCH(LC52,LC52:LC157,0),MATCH(Structure!$D$22,$LA$14:$LZ$14,0)),INDEX(MA52:MZ52,MATCH(MC52,MC52:MC157,0),MATCH(Structure!$D$22,$MA$14:$MZ$14,0))))</f>
        <v/>
      </c>
      <c r="CQ52" s="239" t="str">
        <f>IF(A52=FALSE,"",IF(ALLTHESAME=TRUE,INDEX(NA52:NZ52,MATCH(NC52,NC52:NC157,0),MATCH(Structure!$D$22,$NA$14:$NZ$14,0)),INDEX(OA52:OZ52,MATCH(OC52,OC52:OC157,0),MATCH(Structure!$D$22,$OA$14:$OZ$14,0))))</f>
        <v/>
      </c>
      <c r="CR52" s="239" t="str">
        <f>IF(A52=FALSE,"",IF(ALLTHESAME=TRUE,INDEX(PA52:PZ52,MATCH(PC52,PC52:PC157,0),MATCH(Structure!$D$22,$PA$14:$PZ$14,0)),INDEX(QA52:QZ52,MATCH(QC52,QC52:QC157,0),MATCH(Structure!$D$22,$QA$14:$QZ$14,0))))</f>
        <v/>
      </c>
      <c r="CS52" s="341" t="str">
        <f>IF(A52=FALSE,"",IF(ALLTHESAME=TRUE,INDEX(RA52:RZ52,MATCH(RC52,RC52:RC157,0),MATCH(Structure!$D$22,$RA$14:$RZ$14,0)),INDEX(SA52:TC52,MATCH(SC52,SC52:SC157,0),MATCH(Structure!$D$22,$SA$14:$TC$14,0))))</f>
        <v/>
      </c>
      <c r="CT52" s="347"/>
      <c r="CU52" s="239" t="str">
        <f t="shared" si="457"/>
        <v/>
      </c>
      <c r="CV52" s="239" t="str">
        <f>IF(A52=FALSE,"",IF(ALLTHESAME=TRUE,INDEX(DD52:DZ52,MATCH(DF52,DF52:DF157,0),MATCH(Structure!$D$8,$DD$14:$DZ$14,0)),INDEX(EA52:EZ52,MATCH(EC52,EC52:EC157,0),MATCH(Structure!$D$8,$EA$14:$EZ$14,0))))</f>
        <v/>
      </c>
      <c r="CW52" s="239" t="str">
        <f>IF(A52=FALSE,"",IF(ALLTHESAME=TRUE,INDEX(FA52:FZ52,MATCH(FC52,FC52:FC157,0),MATCH(Structure!$D$8,$FA$14:$FZ$14,0)),INDEX(GA52:GZ52,MATCH(GC52,GC52:GC157,0),MATCH(Structure!$D$8,$GA$14:$GZ$14,0))))</f>
        <v/>
      </c>
      <c r="CX52" s="239" t="str">
        <f>IF(A52=FALSE,"",IF(ALLTHESAME=TRUE,INDEX(HA52:HZ52,MATCH(HC52,HC52:HC157,0),MATCH(Structure!$D$8,$HA$14:$HZ$14,0)),INDEX(IA52:IZ52,MATCH(IC52,IC52:IC157,0),MATCH(Structure!$D$8,$IA$14:$IZ$14,0))))</f>
        <v/>
      </c>
      <c r="CY52" s="239" t="str">
        <f>IF(A52=FALSE,"",IF(ALLTHESAME=TRUE,INDEX(JA52:JZ52,MATCH(JC52,JC52:JC157,0),MATCH(Structure!$D$8,$JA$14:$JZ$14,0)),INDEX(KA52:KZ52,MATCH(KC52,KC52:KC157,0),MATCH(Structure!$D$8,$KA$14:$KZ$14,0))))</f>
        <v/>
      </c>
      <c r="CZ52" s="239" t="str">
        <f>IF(A52=FALSE,"",IF(ALLTHESAME=TRUE,INDEX(LA52:LZ52,MATCH(LC52,LC52:LC157,0),MATCH(Structure!$D$8,$LA$14:$LZ$14,0)),INDEX(MA52:MZ52,MATCH(MC52,MC52:MC157,0),MATCH(Structure!$D$8,$MA$14:$MZ$14,0))))</f>
        <v/>
      </c>
      <c r="DA52" s="239" t="str">
        <f>IF(A52=FALSE,"",IF(ALLTHESAME=TRUE,INDEX(NA52:NZ52,MATCH(NC52,NC52:NC157,0),MATCH(Structure!$D$8,$NA$14:$NZ$14,0)),INDEX(OA52:OZ52,MATCH(OC52,OC52:OC157,0),MATCH(Structure!$D$8,$OA$14:$OZ$14,0))))</f>
        <v/>
      </c>
      <c r="DB52" s="239" t="str">
        <f>IF(A52=FALSE,"",IF(ALLTHESAME=TRUE,INDEX(PA52:PZ52,MATCH(PC52,PC52:PC157,0),MATCH(Structure!$D$8,$PA$14:$PZ$14,0)),INDEX(QA52:QZ52,MATCH(QC52,QC52:QC157,0),MATCH(Structure!$D$8,$QA$14:$QZ$14,0))))</f>
        <v/>
      </c>
      <c r="DC52" s="341" t="str">
        <f>IF(A52=FALSE,"",IF(ALLTHESAME=TRUE,INDEX(RA52:RZ52,MATCH(RC52,RC52:RC157,0),MATCH(Structure!$D$8,$RA$14:$RZ$14,0)),INDEX(SA52:TC52,MATCH(SC52,SC52:SC157,0),MATCH(Structure!$D$8,$SA$14:$TC$14,0))))</f>
        <v/>
      </c>
      <c r="DD52" s="492" t="str">
        <f>IF(A52=FALSE,"",Cotations!D52)</f>
        <v/>
      </c>
      <c r="DE52" s="492" t="str">
        <f>IF(A52=FALSE,"",IF(LISTES!$A$17=1,Cotations!AF52,Cotations!$AG$4))</f>
        <v/>
      </c>
      <c r="DF52" s="291" t="str">
        <f t="shared" si="458"/>
        <v/>
      </c>
      <c r="DG52" s="291" t="str">
        <f t="shared" si="459"/>
        <v/>
      </c>
      <c r="DH52" s="291"/>
      <c r="DI52" s="463"/>
      <c r="DJ52" s="463" t="str">
        <f t="shared" si="460"/>
        <v/>
      </c>
      <c r="DK52" s="522" t="str">
        <f>IF(A52=FALSE,"",IF(Cotations!$AH$4="monthly",DJ52/12*L52,DJ52/365*M52))</f>
        <v/>
      </c>
      <c r="DL52" s="489" t="str">
        <f>IF(A52=FALSE,"",Cotations!$AI$4)</f>
        <v/>
      </c>
      <c r="DM52" s="300" t="str">
        <f t="shared" si="461"/>
        <v/>
      </c>
      <c r="DN52" s="300" t="str">
        <f t="shared" si="462"/>
        <v/>
      </c>
      <c r="DO52" s="294" t="str">
        <f t="shared" si="463"/>
        <v/>
      </c>
      <c r="DP52" s="494" t="str">
        <f>IF(A52=FALSE,"",Cotations!$AJ$4)</f>
        <v/>
      </c>
      <c r="DQ52" s="494" t="str">
        <f>IF(A52=FALSE,"",Cotations!$AK$4)</f>
        <v/>
      </c>
      <c r="DR52" s="489" t="str">
        <f>IF(A52=FALSE,"",Cotations!$AL$4)</f>
        <v/>
      </c>
      <c r="DS52" s="494" t="str">
        <f>IF(A52=FALSE,"",IF(DP52="N/A",0,IF(INDEX(LISTES!$F$105:$F$109,MATCH(DP52,LISTES!$C$105:$C$109,0))="FIX",IF(INDEX(LISTES!$E$105:$E$109,MATCH(DP52,LISTES!$C$105:$C$109,0))=12,DQ52/12*L52,DQ52/365*M52),DR52*DO52)))</f>
        <v/>
      </c>
      <c r="DT52" s="294" t="str">
        <f t="shared" si="464"/>
        <v/>
      </c>
      <c r="DU52" s="294" t="str">
        <f>IF(A52=FALSE,"",DT52*Cotations!$AM$4)</f>
        <v/>
      </c>
      <c r="DV52" s="294" t="str">
        <f>IF(A52=FALSE,"",DT52*Cotations!$AN$4)</f>
        <v/>
      </c>
      <c r="DW52" s="465" t="str">
        <f t="shared" si="465"/>
        <v/>
      </c>
      <c r="DX52" s="919" t="str">
        <f>IF(A52=FALSE,"",((DJ52*TAXE)-(DJ52*TAXE*DL52))+IF(DP52="N/A",0,IF(INDEX(LISTES!$F$105:$F$109,MATCH(DP52,LISTES!$C$105:$C$109,0))="FIX",DQ52,DR52*DO52)))</f>
        <v/>
      </c>
      <c r="DY52" s="466"/>
      <c r="DZ52" s="466"/>
      <c r="EA52" s="492" t="str">
        <f>IF(A52=FALSE,"",Cotations!D52)</f>
        <v/>
      </c>
      <c r="EB52" s="494" t="str">
        <f>IF(A52=FALSE,"",IF(LISTES!$A$17=1,Cotations!AF52,Cotations!AG52))</f>
        <v/>
      </c>
      <c r="EC52" s="284" t="str">
        <f t="shared" si="466"/>
        <v/>
      </c>
      <c r="ED52" s="284" t="str">
        <f t="shared" si="467"/>
        <v/>
      </c>
      <c r="EE52" s="284"/>
      <c r="EF52" s="284"/>
      <c r="EG52" s="284" t="str">
        <f t="shared" si="468"/>
        <v/>
      </c>
      <c r="EH52" s="1365" t="str">
        <f t="shared" si="469"/>
        <v/>
      </c>
      <c r="EI52" s="1365" t="str">
        <f t="shared" si="470"/>
        <v/>
      </c>
      <c r="EJ52" s="515" t="str">
        <f>IF(A52=FALSE,"",IF(Cotations!AH52="monthly",EG52/12*L52,EG52/365*M52))</f>
        <v/>
      </c>
      <c r="EK52" s="1364" t="str">
        <f>IF(A52=FALSE,"",IF(Cotations!AH52="monthly",EI52/12*L52,EI52/365*M52))</f>
        <v/>
      </c>
      <c r="EL52" s="493" t="str">
        <f>IF(A52=FALSE,"",IF(Cotations!AI52="","",Cotations!AI52))</f>
        <v/>
      </c>
      <c r="EM52" s="284" t="str">
        <f t="shared" si="471"/>
        <v/>
      </c>
      <c r="EN52" s="284" t="str">
        <f t="shared" si="472"/>
        <v/>
      </c>
      <c r="EO52" s="1365" t="str">
        <f t="shared" si="432"/>
        <v/>
      </c>
      <c r="EP52" s="284" t="str">
        <f t="shared" si="473"/>
        <v/>
      </c>
      <c r="EQ52" s="515" t="str">
        <f>IF(A52=FALSE,"",Cotations!AJ52)</f>
        <v/>
      </c>
      <c r="ER52" s="515" t="str">
        <f>IF(A52=FALSE,"",IF(Cotations!AK52="","",Cotations!AK52))</f>
        <v/>
      </c>
      <c r="ES52" s="493" t="str">
        <f>IF(A52=FALSE,"",Cotations!AL52)</f>
        <v/>
      </c>
      <c r="ET52" s="515" t="str">
        <f>IF(A52=FALSE,"",IF(EQ52="N/A",0,IF(INDEX(LISTES!$F$105:$F$109,MATCH(EQ52,LISTES!$C$105:$C$109,0))="FIX",IF(INDEX(LISTES!$E$105:$E$109,MATCH(EQ52,LISTES!$C$105:$C$109,0))=12,ER52/12*L52,ER52/365*M52),ES52*EP52)))</f>
        <v/>
      </c>
      <c r="EU52" s="294" t="str">
        <f t="shared" si="474"/>
        <v/>
      </c>
      <c r="EV52" s="494" t="str">
        <f>IF(A52=FALSE,"",EU52*Cotations!AM52)</f>
        <v/>
      </c>
      <c r="EW52" s="494" t="str">
        <f>IF(A52=FALSE,"",EU52*Cotations!AN52)</f>
        <v/>
      </c>
      <c r="EX52" s="334" t="str">
        <f t="shared" si="475"/>
        <v/>
      </c>
      <c r="EY52" s="919" t="str">
        <f>IF(A52=FALSE,"",((EG52*TAXE)-(EG52*TAXE*EL52)+EH52)+IF(EQ52="N/A",0,IF(INDEX(LISTES!$F$105:$F$109,MATCH(EQ52,LISTES!$C$105:$C$109,0))="FIX",ER52,ES52*EP52)))</f>
        <v/>
      </c>
      <c r="FA52" s="492" t="str">
        <f>IF(A52=FALSE,"",Cotations!D52)</f>
        <v/>
      </c>
      <c r="FB52" s="519" t="str">
        <f>IF(A52=FALSE,"",IF(LISTES!$A$17=1,Cotations!AO52,Cotations!$AP$4))</f>
        <v/>
      </c>
      <c r="FC52" s="291" t="str">
        <f t="shared" si="476"/>
        <v/>
      </c>
      <c r="FD52" s="291" t="str">
        <f t="shared" si="477"/>
        <v/>
      </c>
      <c r="FE52" s="291"/>
      <c r="FF52" s="463"/>
      <c r="FG52" s="463" t="str">
        <f t="shared" si="478"/>
        <v/>
      </c>
      <c r="FH52" s="522" t="str">
        <f>IF(A52=FALSE,"",IF(Cotations!$AQ$4="monthly",FG52/12*L52,FG52/365*M52))</f>
        <v/>
      </c>
      <c r="FI52" s="453" t="str">
        <f>IF(A52=FALSE,"",Cotations!$AR$4)</f>
        <v/>
      </c>
      <c r="FJ52" s="300" t="str">
        <f t="shared" si="479"/>
        <v/>
      </c>
      <c r="FK52" s="300" t="str">
        <f t="shared" si="480"/>
        <v/>
      </c>
      <c r="FL52" s="294" t="str">
        <f t="shared" si="481"/>
        <v/>
      </c>
      <c r="FM52" s="494" t="str">
        <f>IF(A52=FALSE,"",Cotations!$AS$4)</f>
        <v/>
      </c>
      <c r="FN52" s="494" t="str">
        <f>IF(A52=FALSE,"",Cotations!$AT$4)</f>
        <v/>
      </c>
      <c r="FO52" s="489" t="str">
        <f>IF(A52=FALSE,"",Cotations!$AU$4)</f>
        <v/>
      </c>
      <c r="FP52" s="494" t="str">
        <f>IF(A52=FALSE,"",IF(FM52="N/A",0,IF(INDEX(LISTES!$F$105:$F$109,MATCH(FM52,LISTES!$C$105:$C$109,0))="FIX",IF(INDEX(LISTES!$E$105:$E$109,MATCH(FM52,LISTES!$C$105:$C$109,0))=12,FN52/12*L52,FN52/365*M52),FO52*FL52)))</f>
        <v/>
      </c>
      <c r="FQ52" s="294" t="str">
        <f t="shared" si="482"/>
        <v/>
      </c>
      <c r="FR52" s="494" t="str">
        <f>IF(A52=FALSE,"",FQ52*Cotations!$AV$4)</f>
        <v/>
      </c>
      <c r="FS52" s="494" t="str">
        <f>IF(A52=FALSE,"",FQ52*Cotations!$AW$4)</f>
        <v/>
      </c>
      <c r="FT52" s="465" t="str">
        <f t="shared" si="483"/>
        <v/>
      </c>
      <c r="FU52" s="919" t="str">
        <f>IF(A52=FALSE,"",((FG52*TAXE)-(FG52*TAXE*FI52))+IF(FM52="N/A",0,IF(INDEX(LISTES!$F$105:$F$109,MATCH(FM52,LISTES!$C$105:$C$109,0))="FIX",FN52,FO52*FL52)))</f>
        <v/>
      </c>
      <c r="FV52" s="478"/>
      <c r="FW52" s="478"/>
      <c r="FX52" s="478"/>
      <c r="FY52" s="478"/>
      <c r="FZ52" s="478"/>
      <c r="GA52" s="492" t="str">
        <f>IF(A52=FALSE,"",Cotations!D52)</f>
        <v/>
      </c>
      <c r="GB52" s="494" t="str">
        <f>IF(A52=FALSE,"",IF(LISTES!$A$17=1,Cotations!AO52,Cotations!AP52))</f>
        <v/>
      </c>
      <c r="GC52" s="284" t="str">
        <f t="shared" si="484"/>
        <v/>
      </c>
      <c r="GD52" s="515" t="str">
        <f>IF(A52=FALSE,"",IF(Detail!AM52="","",Detail!AM52))</f>
        <v/>
      </c>
      <c r="GE52" s="284"/>
      <c r="GF52" s="284"/>
      <c r="GG52" s="284" t="str">
        <f t="shared" si="485"/>
        <v/>
      </c>
      <c r="GH52" s="515" t="str">
        <f>IF(A52=FALSE,"",IF(Cotations!AQ52="monthly",GG52/12*L52,GG52/365*M52))</f>
        <v/>
      </c>
      <c r="GI52" s="493" t="str">
        <f>IF(A52=FALSE,"",IF(Cotations!AR52="","",Cotations!AR52))</f>
        <v/>
      </c>
      <c r="GJ52" s="284" t="str">
        <f t="shared" si="486"/>
        <v/>
      </c>
      <c r="GK52" s="284" t="str">
        <f t="shared" si="487"/>
        <v/>
      </c>
      <c r="GL52" s="284" t="str">
        <f t="shared" si="488"/>
        <v/>
      </c>
      <c r="GM52" s="515" t="str">
        <f>IF(A52=FALSE,"",Cotations!AS52)</f>
        <v/>
      </c>
      <c r="GN52" s="515" t="str">
        <f>IF(A52=FALSE,"",Cotations!AT52)</f>
        <v/>
      </c>
      <c r="GO52" s="493" t="str">
        <f>IF(A52=FALSE,"",Cotations!AU52)</f>
        <v/>
      </c>
      <c r="GP52" s="515" t="str">
        <f>IF(A52=FALSE,"",IF(GM52="N/A",0,IF(INDEX(LISTES!$F$105:$F$109,MATCH(GM52,LISTES!$C$105:$C$109,0))="FIX",IF(INDEX(LISTES!$E$105:$E$109,MATCH(GM52,LISTES!$C$105:$C$109,0))=12,GN52/12*L52,GN52/365*M52),GO52*GL52)))</f>
        <v/>
      </c>
      <c r="GQ52" s="294" t="str">
        <f t="shared" si="489"/>
        <v/>
      </c>
      <c r="GR52" s="494" t="str">
        <f>IF(A52=FALSE,"",GQ52*Cotations!AV52)</f>
        <v/>
      </c>
      <c r="GS52" s="494" t="str">
        <f>IF(A52=FALSE,"",GQ52*Cotations!AW52)</f>
        <v/>
      </c>
      <c r="GT52" s="334" t="str">
        <f t="shared" si="490"/>
        <v/>
      </c>
      <c r="GU52" s="919" t="str">
        <f>IF(A52=FALSE,"",((GG52*TAXE)-(GG52*TAXE*GI52))+IF(GM52="N/A",0,IF(INDEX(LISTES!$F$105:$F$109,MATCH(GM52,LISTES!$C$105:$C$109,0))="FIX",GN52,GO52*GL52)))</f>
        <v/>
      </c>
      <c r="GV52" s="478"/>
      <c r="GW52" s="466"/>
      <c r="GX52" s="466"/>
      <c r="GY52" s="466"/>
      <c r="GZ52" s="466"/>
      <c r="HA52" s="492" t="str">
        <f>IF(A52=FALSE,"",Cotations!D52)</f>
        <v/>
      </c>
      <c r="HB52" s="495" t="str">
        <f>IF(A52=FALSE,"",IF(LISTES!$A$17=1,Cotations!AX52,Cotations!$AY$4))</f>
        <v/>
      </c>
      <c r="HC52" s="291" t="str">
        <f t="shared" si="491"/>
        <v/>
      </c>
      <c r="HD52" s="291" t="str">
        <f t="shared" si="492"/>
        <v/>
      </c>
      <c r="HE52" s="456" t="str">
        <f t="shared" si="493"/>
        <v/>
      </c>
      <c r="HF52" s="496" t="str">
        <f>IF(A52=FALSE,"",IF(HA52="POEA",Cotations!BA52,IF(HA52="FIXE",Cotations!$BA$4,Cotations!$BC$4*Y52)))</f>
        <v/>
      </c>
      <c r="HG52" s="300" t="str">
        <f t="shared" si="494"/>
        <v/>
      </c>
      <c r="HH52" s="522" t="str">
        <f>IF(A52=FALSE,"",IF(Cotations!$AZ$4="monthly",HG52/12*L52,HG52/365*M52))</f>
        <v/>
      </c>
      <c r="HI52" s="489" t="str">
        <f>IF(A52=FALSE,"",Cotations!$BD$4)</f>
        <v/>
      </c>
      <c r="HJ52" s="300" t="str">
        <f t="shared" si="495"/>
        <v/>
      </c>
      <c r="HK52" s="300" t="str">
        <f t="shared" si="496"/>
        <v/>
      </c>
      <c r="HL52" s="294" t="str">
        <f t="shared" si="497"/>
        <v/>
      </c>
      <c r="HM52" s="494" t="str">
        <f>IF(A52=FALSE,"",Cotations!$BE$4)</f>
        <v/>
      </c>
      <c r="HN52" s="522" t="str">
        <f>IF(A52=FALSE,"",Cotations!$BF$4)</f>
        <v/>
      </c>
      <c r="HO52" s="489" t="str">
        <f>IF(A52=FALSE,"",Cotations!$BG$4)</f>
        <v/>
      </c>
      <c r="HP52" s="494" t="str">
        <f>IF(A52=FALSE,"",IF(HM52="N/A",0,IF(INDEX(LISTES!$F$105:$F$109,MATCH(HM52,LISTES!$C$105:$C$109,0))="FIX",IF(INDEX(LISTES!$E$105:$E$109,MATCH(HM52,LISTES!$C$105:$C$109,0))=12,HN52/12*L52,HN52/365*M52),HO52*HL52)))</f>
        <v/>
      </c>
      <c r="HQ52" s="294" t="str">
        <f t="shared" si="498"/>
        <v/>
      </c>
      <c r="HR52" s="494" t="str">
        <f>IF(A52=FALSE,"",HQ52*Cotations!$BH$4)</f>
        <v/>
      </c>
      <c r="HS52" s="494" t="str">
        <f>IF(A52=FALSE,"",HQ52*Cotations!$BI$4)</f>
        <v/>
      </c>
      <c r="HT52" s="294" t="str">
        <f t="shared" si="499"/>
        <v/>
      </c>
      <c r="HU52" s="919" t="str">
        <f>IF(A52=FALSE,"",((HG52*TAXE)-(HG52*TAXE*HI52))+IF(HM52="N/A",0,IF(INDEX(LISTES!$F$105:$F$109,MATCH(HM52,LISTES!$C$105:$C$109,0))="FIX",HN52,HO52*HL52)))</f>
        <v/>
      </c>
      <c r="IA52" s="492" t="str">
        <f>IF(A52=FALSE,"",Cotations!D52)</f>
        <v/>
      </c>
      <c r="IB52" s="491" t="str">
        <f>IF(A52=FALSE,"",IF(LISTES!$A$17=1,Cotations!AX52,Cotations!AY52))</f>
        <v/>
      </c>
      <c r="IC52" s="285" t="str">
        <f t="shared" si="500"/>
        <v/>
      </c>
      <c r="ID52" s="300" t="str">
        <f>IF(A52=FALSE,"",IF(LISTES!$A$17=3,Detail!AU52,lig1_Formula_PREVOY))</f>
        <v/>
      </c>
      <c r="IE52" s="461" t="str">
        <f t="shared" si="501"/>
        <v/>
      </c>
      <c r="IF52" s="490" t="str">
        <f>IF(A52=FALSE,"",IF(IA52="POEA",Cotations!BA52,IF(HA52="FIXE",Cotations!BB52,IF(Cotations!BC52*Y52&lt;50000,Z52,Cotations!BC52*Y52))))</f>
        <v/>
      </c>
      <c r="IG52" s="300" t="str">
        <f t="shared" si="502"/>
        <v/>
      </c>
      <c r="IH52" s="522" t="str">
        <f>IF(A52=FALSE,"",IF(Cotations!AZ52="monthly",IG52/12*L52,IG52/365*M52))</f>
        <v/>
      </c>
      <c r="II52" s="489" t="str">
        <f>IF(A52=FALSE,"",IF(Cotations!BD52="","",Cotations!BD52))</f>
        <v/>
      </c>
      <c r="IJ52" s="300" t="str">
        <f t="shared" si="503"/>
        <v/>
      </c>
      <c r="IK52" s="300" t="str">
        <f t="shared" si="504"/>
        <v/>
      </c>
      <c r="IL52" s="919" t="str">
        <f t="shared" si="505"/>
        <v/>
      </c>
      <c r="IM52" s="517" t="str">
        <f>IF(A52=FALSE,"",Cotations!BE52)</f>
        <v/>
      </c>
      <c r="IN52" s="517" t="str">
        <f>IF(A52=FALSE,"",Cotations!BF52)</f>
        <v/>
      </c>
      <c r="IO52" s="493" t="str">
        <f>IF(A52=FALSE,"",Cotations!BG52)</f>
        <v/>
      </c>
      <c r="IP52" s="517" t="str">
        <f>IF(A52=FALSE,"",IF(IM52="N/A",0,IF(INDEX(LISTES!$F$105:$F$109,MATCH(IM52,LISTES!$C$105:$C$109,0))="FIX",IF(INDEX(LISTES!$E$105:$E$109,MATCH(IM52,LISTES!$C$105:$C$109,0))=12,IN52/12*L52,IN52/365*M52),IO52*IL52)))</f>
        <v/>
      </c>
      <c r="IQ52" s="294" t="str">
        <f t="shared" si="506"/>
        <v/>
      </c>
      <c r="IR52" s="494" t="str">
        <f>IF(A52=FALSE,"",IQ52*Cotations!BH52)</f>
        <v/>
      </c>
      <c r="IS52" s="494" t="str">
        <f>IF(A52=FALSE,"",IQ52*Cotations!BI52)</f>
        <v/>
      </c>
      <c r="IT52" s="338" t="str">
        <f t="shared" si="507"/>
        <v/>
      </c>
      <c r="IU52" s="919" t="str">
        <f>IF(A52=FALSE,"",((IG52*TAXE)-(IG52*TAXE*II52))+IF(IM52="N/A",0,IF(INDEX(LISTES!$F$105:$F$109,MATCH(IM52,LISTES!$C$105:$C$109,0))="FIX",IN52,IO52*IL52)))</f>
        <v/>
      </c>
      <c r="JA52" s="492" t="str">
        <f>IF(A52=FALSE,"",Cotations!D52)</f>
        <v/>
      </c>
      <c r="JB52" s="495" t="str">
        <f>IF(A52=FALSE,"",IF(LISTES!$A$17=1,Cotations!BJ52,Cotations!$BK$4))</f>
        <v/>
      </c>
      <c r="JC52" s="291" t="str">
        <f t="shared" si="508"/>
        <v/>
      </c>
      <c r="JD52" s="291" t="str">
        <f t="shared" si="509"/>
        <v/>
      </c>
      <c r="JE52" s="456" t="str">
        <f t="shared" si="510"/>
        <v/>
      </c>
      <c r="JF52" s="496" t="str">
        <f>IF(A52=FALSE,"",IF(JA52="POEA",Cotations!BM52,IF(JA52="FIXE",Cotations!$BM$4,Cotations!$BO$4*Y52)))</f>
        <v/>
      </c>
      <c r="JG52" s="300" t="str">
        <f t="shared" si="511"/>
        <v/>
      </c>
      <c r="JH52" s="522" t="str">
        <f>IF(A52=FALSE,"",IF(Cotations!$BL$4="monthly",JG52/12*L52,JG52/365*M52))</f>
        <v/>
      </c>
      <c r="JI52" s="489" t="str">
        <f>IF(A52=FALSE,"",Cotations!$BP$4)</f>
        <v/>
      </c>
      <c r="JJ52" s="300" t="str">
        <f t="shared" si="512"/>
        <v/>
      </c>
      <c r="JK52" s="300" t="str">
        <f t="shared" si="513"/>
        <v/>
      </c>
      <c r="JL52" s="294" t="str">
        <f t="shared" si="514"/>
        <v/>
      </c>
      <c r="JM52" s="494" t="str">
        <f>IF(A52=FALSE,"",Cotations!$BQ$4)</f>
        <v/>
      </c>
      <c r="JN52" s="522" t="str">
        <f>IF(A52=FALSE,"",Cotations!$BR$4)</f>
        <v/>
      </c>
      <c r="JO52" s="489" t="str">
        <f>IF(A52=FALSE,"",Cotations!$BS$4)</f>
        <v/>
      </c>
      <c r="JP52" s="494" t="str">
        <f>IF(A52=FALSE,"",IF(JM52="N/A",0,IF(INDEX(LISTES!$F$105:$F$109,MATCH(JM52,LISTES!$C$105:$C$109,0))="FIX",IF(INDEX(LISTES!$E$105:$E$109,MATCH(JM52,LISTES!$C$105:$C$109,0))=12,JN52/12*L52,JN52/365*M52),JO52*JL52)))</f>
        <v/>
      </c>
      <c r="JQ52" s="294" t="str">
        <f t="shared" si="515"/>
        <v/>
      </c>
      <c r="JR52" s="494" t="str">
        <f>IF(A52=FALSE,"",JQ52*Cotations!$BT$4)</f>
        <v/>
      </c>
      <c r="JS52" s="494" t="str">
        <f>IF(A52=FALSE,"",JQ52*Cotations!$BU$4)</f>
        <v/>
      </c>
      <c r="JT52" s="294" t="str">
        <f t="shared" si="516"/>
        <v/>
      </c>
      <c r="JU52" s="919" t="str">
        <f>IF(A52=FALSE,"",((JG52*TAXE)-(JG52*TAXE*JI52))+IF(JM52="N/A",0,IF(INDEX(LISTES!$F$105:$F$109,MATCH(JM52,LISTES!$C$105:$C$109,0))="FIX",JN52,JO52*JL52)))</f>
        <v/>
      </c>
      <c r="KA52" s="492" t="str">
        <f>IF(A52=FALSE,"",Cotations!D52)</f>
        <v/>
      </c>
      <c r="KB52" s="491" t="str">
        <f>IF(A52=FALSE,"",IF(LISTES!$A$17=1,Cotations!BJ52,Cotations!BK52))</f>
        <v/>
      </c>
      <c r="KC52" s="285" t="str">
        <f t="shared" si="517"/>
        <v/>
      </c>
      <c r="KD52" s="300"/>
      <c r="KE52" s="461" t="str">
        <f t="shared" si="518"/>
        <v/>
      </c>
      <c r="KF52" s="490" t="str">
        <f>IF(A52=FALSE,"",IF(KA52="POEA",Cotations!BM52,IF(KA52="FIXE",Cotations!BN52,IF(Cotations!BO52*Y52&lt;50000,Z52,Cotations!BO52*Y52))))</f>
        <v/>
      </c>
      <c r="KG52" s="300" t="str">
        <f t="shared" si="519"/>
        <v/>
      </c>
      <c r="KH52" s="522" t="str">
        <f>IF(A52=FALSE,"",IF(Cotations!BL52="monthly",KG52/12*L52,KG52/365*M52))</f>
        <v/>
      </c>
      <c r="KI52" s="489" t="str">
        <f>IF(A52=FALSE,"",IF(Cotations!BP52="","",Cotations!BP52))</f>
        <v/>
      </c>
      <c r="KJ52" s="300" t="str">
        <f t="shared" si="520"/>
        <v/>
      </c>
      <c r="KK52" s="300" t="str">
        <f t="shared" si="521"/>
        <v/>
      </c>
      <c r="KL52" s="919" t="str">
        <f t="shared" si="522"/>
        <v/>
      </c>
      <c r="KM52" s="517" t="str">
        <f>IF(A52=FALSE,"",Cotations!BQ52)</f>
        <v/>
      </c>
      <c r="KN52" s="515" t="str">
        <f>IF(A52=FALSE,"",Cotations!BR52)</f>
        <v/>
      </c>
      <c r="KO52" s="493" t="str">
        <f>IF(A52=FALSE,"",Cotations!BS52)</f>
        <v/>
      </c>
      <c r="KP52" s="517" t="str">
        <f>IF(A52=FALSE,"",IF(KM52="N/A",0,IF(INDEX(LISTES!$F$105:$F$109,MATCH(KM52,LISTES!$C$105:$C$109,0))="FIX",IF(INDEX(LISTES!$E$105:$E$109,MATCH(KM52,LISTES!$C$105:$C$109,0))=12,KN52/12*L52,KN52/365*M52),KO52*KL52)))</f>
        <v/>
      </c>
      <c r="KQ52" s="294" t="str">
        <f t="shared" si="523"/>
        <v/>
      </c>
      <c r="KR52" s="494" t="str">
        <f>IF(A52=FALSE,"",KQ52*Cotations!BT52)</f>
        <v/>
      </c>
      <c r="KS52" s="494" t="str">
        <f>IF(A52=FALSE,"",KQ52*Cotations!BU52)</f>
        <v/>
      </c>
      <c r="KT52" s="338" t="str">
        <f t="shared" si="524"/>
        <v/>
      </c>
      <c r="KU52" s="919" t="str">
        <f>IF(A52=FALSE,"",((KG52*TAXE)-(KG52*TAXE*KI52))+IF(KM52="N/A",0,IF(INDEX(LISTES!$F$105:$F$109,MATCH(KM52,LISTES!$C$105:$C$109,0))="FIX",KN52,KO52*KL52)))</f>
        <v/>
      </c>
      <c r="LA52" s="497" t="str">
        <f>IF(A52=FALSE,"",Cotations!D52)</f>
        <v/>
      </c>
      <c r="LB52" s="498" t="str">
        <f>IF(A52=FALSE,"",IF(LISTES!$A$17=1,Cotations!BV52,Cotations!$BW$4))</f>
        <v/>
      </c>
      <c r="LC52" s="499" t="str">
        <f t="shared" si="525"/>
        <v/>
      </c>
      <c r="LD52" s="499" t="str">
        <f t="shared" si="526"/>
        <v/>
      </c>
      <c r="LE52" s="500" t="str">
        <f t="shared" si="527"/>
        <v/>
      </c>
      <c r="LF52" s="501" t="str">
        <f>IF(A52=FALSE,"",IF(LA52="POEA",Cotations!EJ52,IF(LA52="FIXE",Cotations!$BY$4,Cotations!$CA$4*Y52)))</f>
        <v/>
      </c>
      <c r="LG52" s="502" t="str">
        <f t="shared" si="528"/>
        <v/>
      </c>
      <c r="LH52" s="520" t="str">
        <f>IF(A52=FALSE,"",IF(Cotations!$BX$4="monthly",LG52/12*L52,LG52/365*M52))</f>
        <v/>
      </c>
      <c r="LI52" s="503" t="str">
        <f>IF(A52=FALSE,"",Cotations!$CB$4)</f>
        <v/>
      </c>
      <c r="LJ52" s="502" t="str">
        <f t="shared" si="529"/>
        <v/>
      </c>
      <c r="LK52" s="502" t="str">
        <f t="shared" si="530"/>
        <v/>
      </c>
      <c r="LL52" s="504" t="str">
        <f t="shared" si="531"/>
        <v/>
      </c>
      <c r="LM52" s="505" t="str">
        <f>IF(A52=FALSE,"",Cotations!$CC$4)</f>
        <v/>
      </c>
      <c r="LN52" s="503" t="str">
        <f>IF(A52=FALSE,"",Cotations!$CD$4)</f>
        <v/>
      </c>
      <c r="LO52" s="503" t="str">
        <f>IF(A52=FALSE,"",Cotations!$CE$4)</f>
        <v/>
      </c>
      <c r="LP52" s="505" t="str">
        <f>IF(A52=FALSE,"",IF(LM52="N/A",0,IF(INDEX(LISTES!$F$105:$F$109,MATCH(LM52,LISTES!$C$105:$C$109,0))="FIX",IF(INDEX(LISTES!$E$105:$E$109,MATCH(LM52,LISTES!$C$105:$C$109,0))=12,LN52/12*L52,LN52/365*M52),LO52*LL52)))</f>
        <v/>
      </c>
      <c r="LQ52" s="504" t="str">
        <f t="shared" si="532"/>
        <v/>
      </c>
      <c r="LR52" s="505" t="str">
        <f>IF(A52=FALSE,"",LQ52*Cotations!$CF$4)</f>
        <v/>
      </c>
      <c r="LS52" s="505" t="str">
        <f>IF(A52=FALSE,"",LQ52*Cotations!$CG$4)</f>
        <v/>
      </c>
      <c r="LT52" s="506" t="str">
        <f t="shared" si="533"/>
        <v/>
      </c>
      <c r="LU52" s="919" t="str">
        <f>IF(A52=FALSE,"",((LG52*TAXE)-(LG52*TAXE*LI52))+IF(LM52="N/A",0,IF(INDEX(LISTES!$F$105:$F$109,MATCH(LM52,LISTES!$C$105:$C$109,0))="FIX",LN52,LO52*LL52)))</f>
        <v/>
      </c>
      <c r="MA52" s="492" t="str">
        <f>IF(A52=FALSE,"",Cotations!D52)</f>
        <v/>
      </c>
      <c r="MB52" s="491" t="str">
        <f>IF(A52=FALSE,"",IF(LISTES!$A$17=1,Cotations!BV52,Cotations!BW52))</f>
        <v/>
      </c>
      <c r="MC52" s="285" t="str">
        <f t="shared" si="534"/>
        <v/>
      </c>
      <c r="MD52" s="300"/>
      <c r="ME52" s="461" t="str">
        <f t="shared" si="535"/>
        <v/>
      </c>
      <c r="MF52" s="490" t="str">
        <f>IF(A52=FALSE,"",IF(MA52="POEA",Cotations!BY52,IF(MA52="FIXE",Cotations!BZ52,IF(Cotations!CA52*Y52&lt;50000,Z52,Cotations!CA52*Y52))))</f>
        <v/>
      </c>
      <c r="MG52" s="300" t="str">
        <f t="shared" si="536"/>
        <v/>
      </c>
      <c r="MH52" s="522" t="str">
        <f>IF(A52=FALSE,"",IF(Cotations!BX52="monthly",MG52/12*L52,MG52/365*M52))</f>
        <v/>
      </c>
      <c r="MI52" s="489" t="str">
        <f>IF(A52=FALSE,"",IF(Cotations!CB52="","",Cotations!CB52))</f>
        <v/>
      </c>
      <c r="MJ52" s="300" t="str">
        <f t="shared" si="537"/>
        <v/>
      </c>
      <c r="MK52" s="300" t="str">
        <f t="shared" si="538"/>
        <v/>
      </c>
      <c r="ML52" s="919" t="str">
        <f t="shared" si="539"/>
        <v/>
      </c>
      <c r="MM52" s="517" t="str">
        <f>IF(A52=FALSE,"",Cotations!CC52)</f>
        <v/>
      </c>
      <c r="MN52" s="515" t="str">
        <f>IF(A52=FALSE,"",Cotations!CD52)</f>
        <v/>
      </c>
      <c r="MO52" s="493" t="str">
        <f>IF(A52=FALSE,"",Cotations!CE52)</f>
        <v/>
      </c>
      <c r="MP52" s="517" t="str">
        <f>IF(A52=FALSE,"",IF(MM52="N/A",0,IF(INDEX(LISTES!$F$105:$F$109,MATCH(MM52,LISTES!$C$105:$C$109,0))="FIX",IF(INDEX(LISTES!$E$105:$E$109,MATCH(MM52,LISTES!$C$105:$C$109,0))=12,MN52/12*L52,MN52/365*M52),MO52*ML52)))</f>
        <v/>
      </c>
      <c r="MQ52" s="294" t="str">
        <f t="shared" si="540"/>
        <v/>
      </c>
      <c r="MR52" s="494" t="str">
        <f>IF(A52=FALSE,"",MQ52*Cotations!CF52)</f>
        <v/>
      </c>
      <c r="MS52" s="494" t="str">
        <f>IF(A52=FALSE,"",MQ52*Cotations!CG52)</f>
        <v/>
      </c>
      <c r="MT52" s="338" t="str">
        <f t="shared" si="541"/>
        <v/>
      </c>
      <c r="MU52" s="919" t="str">
        <f>IF(A52=FALSE,"",((MG52*TAXE)-(MG52*TAXE*MI52))+IF(MM52="N/A",0,IF(INDEX(LISTES!$F$105:$F$109,MATCH(MM52,LISTES!$C$105:$C$109,0))="FIX",MN52,MO52*ML52)))</f>
        <v/>
      </c>
      <c r="NA52" s="497" t="str">
        <f>IF(A52=FALSE,"",Cotations!D52)</f>
        <v/>
      </c>
      <c r="NB52" s="498" t="str">
        <f>IF(A52=FALSE,"",IF(LISTES!$A$17=1,Cotations!CH52,Cotations!$CI$4))</f>
        <v/>
      </c>
      <c r="NC52" s="499" t="str">
        <f t="shared" si="542"/>
        <v/>
      </c>
      <c r="ND52" s="499" t="str">
        <f t="shared" si="543"/>
        <v/>
      </c>
      <c r="NE52" s="500" t="str">
        <f t="shared" si="544"/>
        <v/>
      </c>
      <c r="NF52" s="501" t="str">
        <f>IF(A52=FALSE,"",IF(NA52="POEA",Cotations!CK52,IF(NA52="FIXE",Cotations!$CK$4,Cotations!$CM$4*Y52)))</f>
        <v/>
      </c>
      <c r="NG52" s="502" t="str">
        <f t="shared" si="545"/>
        <v/>
      </c>
      <c r="NH52" s="520" t="str">
        <f>IF(A52=FALSE,"",IF(Cotations!$CJ$4="monthly",NG52/12*L52,NG52/365*M52))</f>
        <v/>
      </c>
      <c r="NI52" s="503" t="str">
        <f>IF(A52=FALSE,"",Cotations!$CN$4)</f>
        <v/>
      </c>
      <c r="NJ52" s="502" t="str">
        <f t="shared" si="546"/>
        <v/>
      </c>
      <c r="NK52" s="502" t="str">
        <f t="shared" si="547"/>
        <v/>
      </c>
      <c r="NL52" s="504" t="str">
        <f t="shared" si="548"/>
        <v/>
      </c>
      <c r="NM52" s="505" t="str">
        <f>IF(A52=FALSE,"",Cotations!$CO$4)</f>
        <v/>
      </c>
      <c r="NN52" s="520" t="str">
        <f>IF(A52=FALSE,"",Cotations!$CP$4)</f>
        <v/>
      </c>
      <c r="NO52" s="503" t="str">
        <f>IF(A52=FALSE,"",Cotations!$CQ$4)</f>
        <v/>
      </c>
      <c r="NP52" s="505" t="str">
        <f>IF(A52=FALSE,"",IF(NM52="N/A",0,IF(INDEX(LISTES!$F$105:$F$109,MATCH(NM52,LISTES!$C$105:$C$109,0))="FIX",IF(INDEX(LISTES!$E$105:$E$109,MATCH(NM52,LISTES!$C$105:$C$109,0))=12,NN52/12*L52,NN52/365*M52),NO52*NL52)))</f>
        <v/>
      </c>
      <c r="NQ52" s="504" t="str">
        <f t="shared" si="549"/>
        <v/>
      </c>
      <c r="NR52" s="505" t="str">
        <f>IF(A52=FALSE,"",NQ52*Cotations!$CR$4)</f>
        <v/>
      </c>
      <c r="NS52" s="505" t="str">
        <f>IF(A52=FALSE,"",NQ52*Cotations!$CS$4)</f>
        <v/>
      </c>
      <c r="NT52" s="506" t="str">
        <f t="shared" si="550"/>
        <v/>
      </c>
      <c r="NU52" s="919" t="str">
        <f>IF(A52=FALSE,"",((NG52*TAXE)-(NG52*TAXE*NI52))+IF(NM52="N/A",0,IF(INDEX(LISTES!$F$105:$F$109,MATCH(NM52,LISTES!$C$105:$C$109,0))="FIX",NN52,NO52*NL52)))</f>
        <v/>
      </c>
      <c r="OA52" s="492" t="str">
        <f>IF(A52=FALSE,"",Cotations!D52)</f>
        <v/>
      </c>
      <c r="OB52" s="491" t="str">
        <f>IF(A52=FALSE,"",IF(LISTES!$A$17=1,Cotations!CH52,Cotations!CI52))</f>
        <v/>
      </c>
      <c r="OC52" s="285" t="str">
        <f t="shared" si="551"/>
        <v/>
      </c>
      <c r="OD52" s="300"/>
      <c r="OE52" s="461" t="str">
        <f t="shared" si="552"/>
        <v/>
      </c>
      <c r="OF52" s="490" t="str">
        <f>IF(A52=FALSE,"",IF(OA52="POEA",Cotations!CK52,IF(OA52="FIXE",Cotations!CL52,IF(Cotations!CM52*Y52&lt;50000,Z52,Cotations!CM52*Y52))))</f>
        <v/>
      </c>
      <c r="OG52" s="300" t="str">
        <f t="shared" si="553"/>
        <v/>
      </c>
      <c r="OH52" s="522" t="str">
        <f>IF(A52=FALSE,"",IF(Cotations!CJ52="monthly",OG52/12*L52,OG52/365*M52))</f>
        <v/>
      </c>
      <c r="OI52" s="489" t="str">
        <f>IF(A52=FALSE,"",IF(Cotations!CN52="","",Cotations!CN52))</f>
        <v/>
      </c>
      <c r="OJ52" s="300" t="str">
        <f t="shared" si="554"/>
        <v/>
      </c>
      <c r="OK52" s="300" t="str">
        <f t="shared" si="555"/>
        <v/>
      </c>
      <c r="OL52" s="919" t="str">
        <f t="shared" si="556"/>
        <v/>
      </c>
      <c r="OM52" s="517" t="str">
        <f>IF(A52=FALSE,"",Cotations!CO52)</f>
        <v/>
      </c>
      <c r="ON52" s="515" t="str">
        <f>IF(A52=FALSE,"",Cotations!CP52)</f>
        <v/>
      </c>
      <c r="OO52" s="493" t="str">
        <f>IF(A52=FALSE,"",Cotations!CQ52)</f>
        <v/>
      </c>
      <c r="OP52" s="517" t="str">
        <f>IF(A52=FALSE,"",IF(OM52="N/A",0,IF(INDEX(LISTES!$F$105:$F$109,MATCH(OM52,LISTES!$C$105:$C$109,0))="FIX",IF(INDEX(LISTES!$E$105:$E$109,MATCH(OM52,LISTES!$C$105:$C$109,0))=12,ON52/12*L52,ON52/365*M52),OO52*OL52)))</f>
        <v/>
      </c>
      <c r="OQ52" s="294" t="str">
        <f t="shared" si="557"/>
        <v/>
      </c>
      <c r="OR52" s="494" t="str">
        <f>IF(A52=FALSE,"",OQ52*Cotations!CR52)</f>
        <v/>
      </c>
      <c r="OS52" s="494" t="str">
        <f>IF(A52=FALSE,"",OQ52*Cotations!CS52)</f>
        <v/>
      </c>
      <c r="OT52" s="338" t="str">
        <f t="shared" si="558"/>
        <v/>
      </c>
      <c r="OU52" s="919" t="str">
        <f>IF(A52=FALSE,"",((OG52*TAXE)-(OG52*TAXE*OI52))+IF(OM52="N/A",0,IF(INDEX(LISTES!$F$105:$F$109,MATCH(OM52,LISTES!$C$105:$C$109,0))="FIX",ON52,OO52*OL52)))</f>
        <v/>
      </c>
      <c r="PA52" s="497" t="str">
        <f t="shared" si="559"/>
        <v/>
      </c>
      <c r="PB52" s="498" t="str">
        <f>IF(A52=FALSE,"",IF(LISTES!$A$17=1,Cotations!CT52,Cotations!$CU$4))</f>
        <v/>
      </c>
      <c r="PC52" s="499" t="str">
        <f t="shared" si="560"/>
        <v/>
      </c>
      <c r="PD52" s="499" t="str">
        <f t="shared" si="561"/>
        <v/>
      </c>
      <c r="PE52" s="500" t="str">
        <f t="shared" si="562"/>
        <v/>
      </c>
      <c r="PF52" s="501" t="str">
        <f>IF(A52=FALSE,"",Cotations!$CY$4*Y52)</f>
        <v/>
      </c>
      <c r="PG52" s="502" t="str">
        <f t="shared" si="563"/>
        <v/>
      </c>
      <c r="PH52" s="520" t="str">
        <f>IF(A52=FALSE,"",IF(Cotations!$CV$4="monthly",PG52/12*L52,PG52/365*M52))</f>
        <v/>
      </c>
      <c r="PI52" s="503" t="str">
        <f>IF(A52=FALSE,"",Cotations!$CZ$4)</f>
        <v/>
      </c>
      <c r="PJ52" s="502" t="str">
        <f t="shared" si="564"/>
        <v/>
      </c>
      <c r="PK52" s="502" t="str">
        <f t="shared" si="565"/>
        <v/>
      </c>
      <c r="PL52" s="504" t="str">
        <f t="shared" si="566"/>
        <v/>
      </c>
      <c r="PM52" s="505" t="str">
        <f>IF(A52=FALSE,"",Cotations!$DA$4)</f>
        <v/>
      </c>
      <c r="PN52" s="520" t="str">
        <f>IF(A52=FALSE,"",Cotations!$DB$4)</f>
        <v/>
      </c>
      <c r="PO52" s="503" t="str">
        <f>IF(A52=FALSE,"",Cotations!$DC$4)</f>
        <v/>
      </c>
      <c r="PP52" s="505" t="str">
        <f>IF(A52=FALSE,"",IF(PM52="N/A",0,IF(INDEX(LISTES!$F$105:$F$109,MATCH(PM52,LISTES!$C$105:$C$109,0))="FIX",IF(INDEX(LISTES!$E$105:$E$109,MATCH(PM52,LISTES!$C$105:$C$109,0))=12,PN52/12*L52,PN52/365*M52),PO52*PL52)))</f>
        <v/>
      </c>
      <c r="PQ52" s="504" t="str">
        <f t="shared" si="567"/>
        <v/>
      </c>
      <c r="PR52" s="505" t="str">
        <f>IF(A52=FALSE,"",PQ52*Cotations!$DD$4)</f>
        <v/>
      </c>
      <c r="PS52" s="505" t="str">
        <f>IF(A52=FALSE,"",PQ52*Cotations!$DE$4)</f>
        <v/>
      </c>
      <c r="PT52" s="506" t="str">
        <f t="shared" si="568"/>
        <v/>
      </c>
      <c r="PU52" s="919" t="str">
        <f>IF(A52=FALSE,"",((PG52*TAXE)-(PG52*TAXE*PI52))+IF(PM52="N/A",0,IF(INDEX(LISTES!$F$105:$F$109,MATCH(PM52,LISTES!$C$105:$C$109,0))="FIX",PN52,PO52*PL52)))</f>
        <v/>
      </c>
      <c r="QA52" s="492" t="str">
        <f t="shared" si="569"/>
        <v/>
      </c>
      <c r="QB52" s="491" t="str">
        <f>IF(A52=FALSE,"",IF(LISTES!$A$17=1,Cotations!CT52,Cotations!CU52))</f>
        <v/>
      </c>
      <c r="QC52" s="285" t="str">
        <f t="shared" si="570"/>
        <v/>
      </c>
      <c r="QD52" s="300"/>
      <c r="QE52" s="461" t="str">
        <f t="shared" si="571"/>
        <v/>
      </c>
      <c r="QF52" s="490" t="str">
        <f>IF(A52=FALSE,"",Cotations!CY52*AA52)</f>
        <v/>
      </c>
      <c r="QG52" s="300" t="str">
        <f t="shared" si="572"/>
        <v/>
      </c>
      <c r="QH52" s="522" t="str">
        <f>IF(A52=FALSE,"",IF(Cotations!CV52="monthly",QG52/12*L52,QG52/365*M52))</f>
        <v/>
      </c>
      <c r="QI52" s="489" t="str">
        <f>IF(A52=FALSE,"",IF(Cotations!CZ52="","",Cotations!CZ52))</f>
        <v/>
      </c>
      <c r="QJ52" s="300" t="str">
        <f t="shared" si="573"/>
        <v/>
      </c>
      <c r="QK52" s="300" t="str">
        <f t="shared" si="574"/>
        <v/>
      </c>
      <c r="QL52" s="919" t="str">
        <f t="shared" si="575"/>
        <v/>
      </c>
      <c r="QM52" s="517" t="str">
        <f>IF(A52=FALSE,"",Cotations!DA52)</f>
        <v/>
      </c>
      <c r="QN52" s="515" t="str">
        <f>IF(A52=FALSE,"",Cotations!DB52)</f>
        <v/>
      </c>
      <c r="QO52" s="493" t="str">
        <f>IF(A52=FALSE,"",Cotations!DC52)</f>
        <v/>
      </c>
      <c r="QP52" s="517" t="str">
        <f>IF(A52=FALSE,"",IF(QM52="N/A",0,IF(INDEX(LISTES!$F$105:$F$109,MATCH(QM52,LISTES!$C$105:$C$109,0))="FIX",IF(INDEX(LISTES!$E$105:$E$109,MATCH(QM52,LISTES!$C$105:$C$109,0))=12,QN52/12*L52,QN52/365*M52),QO52*QL52)))</f>
        <v/>
      </c>
      <c r="QQ52" s="294" t="str">
        <f t="shared" si="576"/>
        <v/>
      </c>
      <c r="QR52" s="494" t="str">
        <f>IF(A52=FALSE,"",QQ52*Cotations!DD52)</f>
        <v/>
      </c>
      <c r="QS52" s="494" t="str">
        <f>IF(A52=FALSE,"",QQ52*Cotations!DE52)</f>
        <v/>
      </c>
      <c r="QT52" s="338" t="str">
        <f t="shared" si="577"/>
        <v/>
      </c>
      <c r="QU52" s="919" t="str">
        <f>IF(A52=FALSE,"",((QG52*TAXE)-(QG52*TAXE*QI52))+IF(QM52="N/A",0,IF(INDEX(LISTES!$F$105:$F$109,MATCH(QM52,LISTES!$C$105:$C$109,0))="FIX",QN52,QO52*QL52)))</f>
        <v/>
      </c>
      <c r="RA52" s="497" t="str">
        <f t="shared" si="578"/>
        <v/>
      </c>
      <c r="RB52" s="498" t="str">
        <f>IF(A52=FALSE,"",IF(LISTES!$A$17=1,Cotations!DF52,Cotations!$DG$4))</f>
        <v/>
      </c>
      <c r="RC52" s="499" t="str">
        <f t="shared" si="579"/>
        <v/>
      </c>
      <c r="RD52" s="499" t="str">
        <f t="shared" si="580"/>
        <v/>
      </c>
      <c r="RE52" s="500" t="str">
        <f t="shared" si="581"/>
        <v/>
      </c>
      <c r="RF52" s="501" t="str">
        <f>IF(A52=FALSE,"",Cotations!$DK$4*Y52)</f>
        <v/>
      </c>
      <c r="RG52" s="502" t="str">
        <f t="shared" si="582"/>
        <v/>
      </c>
      <c r="RH52" s="520" t="str">
        <f>IF(A52=FALSE,"",IF(Cotations!$DH$4="monthly",RG52/12*L52,RG52/365*M52))</f>
        <v/>
      </c>
      <c r="RI52" s="503" t="str">
        <f>IF(A52=FALSE,"",Cotations!$DL$4)</f>
        <v/>
      </c>
      <c r="RJ52" s="502" t="str">
        <f t="shared" si="583"/>
        <v/>
      </c>
      <c r="RK52" s="502" t="str">
        <f t="shared" si="584"/>
        <v/>
      </c>
      <c r="RL52" s="504" t="str">
        <f t="shared" si="585"/>
        <v/>
      </c>
      <c r="RM52" s="505" t="str">
        <f>IF(A52=FALSE,"",Cotations!$DM$4)</f>
        <v/>
      </c>
      <c r="RN52" s="520" t="str">
        <f>IF(A52=FALSE,"",Cotations!$DN$4)</f>
        <v/>
      </c>
      <c r="RO52" s="503" t="str">
        <f>IF(A52=FALSE,"",Cotations!$DO$4)</f>
        <v/>
      </c>
      <c r="RP52" s="505" t="str">
        <f>IF(A52=FALSE,"",IF(RM52="N/A",0,IF(INDEX(LISTES!$F$105:$F$109,MATCH(RM52,LISTES!$C$105:$C$109,0))="FIX",IF(INDEX(LISTES!$E$105:$E$109,MATCH(RM52,LISTES!$C$105:$C$109,0))=12,RN52/12*L52,RN52/365*M52),RO52*RL52)))</f>
        <v/>
      </c>
      <c r="RQ52" s="504" t="str">
        <f t="shared" si="586"/>
        <v/>
      </c>
      <c r="RR52" s="505" t="str">
        <f>IF(A52=FALSE,"",RQ52*Cotations!$DP$4)</f>
        <v/>
      </c>
      <c r="RS52" s="505" t="str">
        <f>IF(A52=FALSE,"",RQ52*Cotations!$DQ$4)</f>
        <v/>
      </c>
      <c r="RT52" s="506" t="str">
        <f t="shared" si="587"/>
        <v/>
      </c>
      <c r="RU52" s="919" t="str">
        <f>IF(A52=FALSE,"",((RG52*TAXE)-(RG52*TAXE*RI52))+IF(RM52="N/A",0,IF(INDEX(LISTES!$F$105:$F$109,MATCH(RM52,LISTES!$C$105:$C$109,0))="FIX",RN52,RO52*RL52)))</f>
        <v/>
      </c>
      <c r="SA52" s="492" t="str">
        <f t="shared" si="588"/>
        <v/>
      </c>
      <c r="SB52" s="491" t="str">
        <f>IF(A52=FALSE,"",IF(LISTES!$A$17=1,Cotations!DF52,Cotations!DG52))</f>
        <v/>
      </c>
      <c r="SC52" s="285" t="str">
        <f t="shared" si="589"/>
        <v/>
      </c>
      <c r="SD52" s="300"/>
      <c r="SE52" s="461" t="str">
        <f t="shared" si="590"/>
        <v/>
      </c>
      <c r="SF52" s="490" t="str">
        <f>IF(A52=FALSE,"",Cotations!DK52*AA52)</f>
        <v/>
      </c>
      <c r="SG52" s="300" t="str">
        <f t="shared" si="591"/>
        <v/>
      </c>
      <c r="SH52" s="522" t="str">
        <f>IF(A52=FALSE,"",IF(Cotations!DH52="monthly",SG52/12*L52,SG52/365*M52))</f>
        <v/>
      </c>
      <c r="SI52" s="489" t="str">
        <f>IF(A52=FALSE,"",IF(Cotations!DL52="","",Cotations!DL52))</f>
        <v/>
      </c>
      <c r="SJ52" s="300" t="str">
        <f t="shared" si="592"/>
        <v/>
      </c>
      <c r="SK52" s="300" t="str">
        <f t="shared" si="593"/>
        <v/>
      </c>
      <c r="SL52" s="919" t="str">
        <f t="shared" si="594"/>
        <v/>
      </c>
      <c r="SM52" s="285" t="str">
        <f>IF(A52=FALSE,"",Cotations!DM52)</f>
        <v/>
      </c>
      <c r="SN52" s="515" t="str">
        <f>IF(A52=FALSE,"",Cotations!DN52)</f>
        <v/>
      </c>
      <c r="SO52" s="493" t="str">
        <f>IF(A52=FALSE,"",Cotations!DO52)</f>
        <v/>
      </c>
      <c r="SP52" s="517" t="str">
        <f>IF(A52=FALSE,"",IF(SM52="N/A",0,IF(INDEX(LISTES!$F$105:$F$109,MATCH(SM52,LISTES!$C$105:$C$109,0))="FIX",IF(INDEX(LISTES!$E$105:$E$109,MATCH(SM52,LISTES!$C$105:$C$109,0))=12,SN52/12*L52,SN52/365*M52),SO52*SL52)))</f>
        <v/>
      </c>
      <c r="SQ52" s="294" t="str">
        <f t="shared" si="595"/>
        <v/>
      </c>
      <c r="SR52" s="494" t="str">
        <f>IF(A52=FALSE,"",SQ52*Cotations!DP52)</f>
        <v/>
      </c>
      <c r="SS52" s="494" t="str">
        <f>IF(A52=FALSE,"",SQ52*Cotations!DQ52)</f>
        <v/>
      </c>
      <c r="ST52" s="338" t="str">
        <f t="shared" si="596"/>
        <v/>
      </c>
      <c r="SU52" s="919" t="str">
        <f>IF(A52=FALSE,"",((SG52*TAXE)-(SG52*TAXE*SI52))+IF(SM52="N/A",0,IF(INDEX(LISTES!$F$105:$F$109,MATCH(SM52,LISTES!$C$105:$C$109,0))="FIX",SN52,SO52*SL52)))</f>
        <v/>
      </c>
      <c r="TA52" s="492" t="str">
        <f>IF(A52=FALSE,"",Cotations!D52)</f>
        <v/>
      </c>
      <c r="TB52" s="491" t="str">
        <f>IF(A52=FALSE,"",IF(LISTES!$A$17=1,Cotations!DR52,Cotations!DS52))</f>
        <v/>
      </c>
      <c r="TC52" s="285" t="str">
        <f t="shared" si="597"/>
        <v/>
      </c>
      <c r="TD52" s="300" t="str">
        <f>IF(A52=FALSE,"",Detail!CQ52)</f>
        <v/>
      </c>
      <c r="TE52" s="461" t="str">
        <f t="shared" si="598"/>
        <v/>
      </c>
      <c r="TF52" s="490" t="str">
        <f>IF(A52=FALSE,"",IF(TA52="FIXE",Cotations!DU52,Cotations!DV52*Y52))</f>
        <v/>
      </c>
      <c r="TG52" s="300" t="str">
        <f t="shared" si="599"/>
        <v/>
      </c>
      <c r="TH52" s="522" t="str">
        <f>IF(A52=FALSE,"",IF(Cotations!DT52="monthly",TG52/12*L52,TG52/365*M52))</f>
        <v/>
      </c>
      <c r="TI52" s="489" t="str">
        <f>IF(A52=FALSE,"",IF(Cotations!DW52="","",Cotations!DW52))</f>
        <v/>
      </c>
      <c r="TJ52" s="300" t="str">
        <f t="shared" si="600"/>
        <v/>
      </c>
      <c r="TK52" s="300" t="str">
        <f t="shared" si="601"/>
        <v/>
      </c>
      <c r="TL52" s="919" t="str">
        <f t="shared" si="602"/>
        <v/>
      </c>
      <c r="TM52" s="517" t="str">
        <f>IF(A52=FALSE,"",Cotations!DX52)</f>
        <v/>
      </c>
      <c r="TN52" s="517" t="str">
        <f>IF(A52=FALSE,"",Cotations!DY52)</f>
        <v/>
      </c>
      <c r="TO52" s="493" t="str">
        <f>IF(A52=FALSE,"",Cotations!DZ52)</f>
        <v/>
      </c>
      <c r="TP52" s="517" t="str">
        <f>IF(A52=FALSE,"",IF(TM52="N/A",0,IF(INDEX(LISTES!$F$105:$F$109,MATCH(TM52,LISTES!$C$105:$C$109,0))="FIX",IF(INDEX(LISTES!$E$105:$E$109,MATCH(TM52,LISTES!$C$105:$C$109,0))=12,TN52/12*L52,TN52/365*M52),TO52*TL52)))</f>
        <v/>
      </c>
      <c r="TQ52" s="294" t="str">
        <f t="shared" si="603"/>
        <v/>
      </c>
      <c r="TR52" s="494" t="str">
        <f>IF(A52=FALSE,"",TQ52*Cotations!EA52)</f>
        <v/>
      </c>
      <c r="TS52" s="494" t="str">
        <f>IF(A52=FALSE,"",TQ52*Cotations!EB52)</f>
        <v/>
      </c>
      <c r="TT52" s="338" t="str">
        <f t="shared" si="604"/>
        <v/>
      </c>
      <c r="TU52" s="919" t="str">
        <f>IF(A52=FALSE,"",((TG52*(1+TAXE)-(TG52*(1+TAXE)*TI52))+IF(TM52="N/A",0,IF(INDEX(LISTES!$F$105:$F$109,MATCH(TM52,LISTES!$C$105:$C$109,0))="FIX",TN52,TO52*TL52))))</f>
        <v/>
      </c>
      <c r="UA52" s="492" t="str">
        <f>IF(A52=FALSE,"",Cotations!D52)</f>
        <v/>
      </c>
      <c r="UB52" s="491" t="str">
        <f>IF(A52=FALSE,"",IF(LISTES!$A$17=1,Cotations!EC52,Cotations!ED52))</f>
        <v/>
      </c>
      <c r="UC52" s="285" t="str">
        <f t="shared" si="605"/>
        <v/>
      </c>
      <c r="UD52" s="300" t="str">
        <f>IF(A52=FALSE,"",Detail!CY52)</f>
        <v/>
      </c>
      <c r="UE52" s="461" t="str">
        <f t="shared" si="606"/>
        <v/>
      </c>
      <c r="UF52" s="490" t="str">
        <f>IF(A52=FALSE,"",IF(UA52="FIXE",Cotations!EF52,Cotations!EG52*Y52))</f>
        <v/>
      </c>
      <c r="UG52" s="300" t="str">
        <f t="shared" si="607"/>
        <v/>
      </c>
      <c r="UH52" s="522" t="str">
        <f>IF(A52=FALSE,"",IF(Cotations!EE52="monthly",UG52/12*L52,UG52/365*M52))</f>
        <v/>
      </c>
      <c r="UI52" s="489" t="str">
        <f>IF(A52=FALSE,"",IF(Cotations!EH52="","",Cotations!EH52))</f>
        <v/>
      </c>
      <c r="UJ52" s="300" t="str">
        <f t="shared" si="608"/>
        <v/>
      </c>
      <c r="UK52" s="300" t="str">
        <f t="shared" si="609"/>
        <v/>
      </c>
      <c r="UL52" s="919" t="str">
        <f t="shared" si="610"/>
        <v/>
      </c>
      <c r="UM52" s="517" t="str">
        <f>IF(A52=FALSE,"",Cotations!EI52)</f>
        <v/>
      </c>
      <c r="UN52" s="517" t="str">
        <f>IF(A52=FALSE,"",Cotations!EJ52)</f>
        <v/>
      </c>
      <c r="UO52" s="493" t="str">
        <f>IF(A52=FALSE,"",Cotations!EK52)</f>
        <v/>
      </c>
      <c r="UP52" s="517" t="str">
        <f>IF(A52=FALSE,"",IF(UM52="N/A",0,IF(INDEX(LISTES!$F$105:$F$109,MATCH(UM52,LISTES!$C$105:$C$109,0))="FIX",IF(INDEX(LISTES!$E$105:$E$109,MATCH(UM52,LISTES!$C$105:$C$109,0))=12,UN52/12*L52,UN52/365*M52),UO52*UL52)))</f>
        <v/>
      </c>
      <c r="UQ52" s="294" t="str">
        <f t="shared" si="611"/>
        <v/>
      </c>
      <c r="UR52" s="494" t="str">
        <f>IF(A52=FALSE,"",UQ52*Cotations!EL52)</f>
        <v/>
      </c>
      <c r="US52" s="494" t="str">
        <f>IF(A52=FALSE,"",UQ52*Cotations!EM52)</f>
        <v/>
      </c>
      <c r="UT52" s="338" t="str">
        <f t="shared" si="612"/>
        <v/>
      </c>
      <c r="UU52" s="919" t="str">
        <f>IF(A52=FALSE,"",((UG52*(1+TAXE)-(UG52*(1+TAXE)*UI52))+IF(UM52="N/A",0,IF(INDEX(LISTES!$F$105:$F$109,MATCH(UM52,LISTES!$C$105:$C$109,0))="FIX",UN52,UO52*UL52))))</f>
        <v/>
      </c>
      <c r="VA52" s="492" t="str">
        <f>IF(A52=FALSE,"",Cotations!D52)</f>
        <v/>
      </c>
      <c r="VB52" s="519" t="str">
        <f>IF(A52=FALSE,"",IF(LISTES!$A$17=1,Cotations!EN52,Cotations!EO52))</f>
        <v/>
      </c>
      <c r="VC52" s="291" t="str">
        <f t="shared" si="613"/>
        <v/>
      </c>
      <c r="VD52" s="291" t="str">
        <f t="shared" si="614"/>
        <v/>
      </c>
      <c r="VE52" s="291"/>
      <c r="VF52" s="463"/>
      <c r="VG52" s="463" t="str">
        <f t="shared" si="615"/>
        <v/>
      </c>
      <c r="VH52" s="522" t="str">
        <f>IF(A52=FALSE,"",IF(Cotations!$AQ$4="monthly",VG52/12*L52,VG52/365*M52))</f>
        <v/>
      </c>
      <c r="VI52" s="489" t="str">
        <f>IF(A52=FALSE,"",Cotations!$AR$4)</f>
        <v/>
      </c>
      <c r="VJ52" s="300" t="str">
        <f t="shared" si="616"/>
        <v/>
      </c>
      <c r="VK52" s="300" t="str">
        <f t="shared" si="617"/>
        <v/>
      </c>
      <c r="VL52" s="294" t="str">
        <f t="shared" si="618"/>
        <v/>
      </c>
      <c r="VM52" s="494" t="str">
        <f>IF(A52=FALSE,"",Cotations!$AS$4)</f>
        <v/>
      </c>
      <c r="VN52" s="494" t="str">
        <f>IF(A52=FALSE,"",Cotations!$AT$4)</f>
        <v/>
      </c>
      <c r="VO52" s="489" t="str">
        <f>IF(A52=FALSE,"",Cotations!$AU$4)</f>
        <v/>
      </c>
      <c r="VP52" s="494" t="str">
        <f>IF(A52=FALSE,"",IF(VM52="N/A",0,IF(INDEX(LISTES!$F$105:$F$109,MATCH(VM52,LISTES!$C$105:$C$109,0))="FIX",IF(INDEX(LISTES!$E$105:$E$109,MATCH(VM52,LISTES!$C$105:$C$109,0))=12,VN52/12*L52,VN52/365*M52),VO52*VL52)))</f>
        <v/>
      </c>
      <c r="VQ52" s="294" t="str">
        <f t="shared" si="619"/>
        <v/>
      </c>
      <c r="VR52" s="494" t="str">
        <f>IF(A52=FALSE,"",VQ52*Cotations!$AV$4)</f>
        <v/>
      </c>
      <c r="VS52" s="494" t="str">
        <f>IF(A52=FALSE,"",VQ52*Cotations!$AW$4)</f>
        <v/>
      </c>
      <c r="VT52" s="465" t="str">
        <f t="shared" si="620"/>
        <v/>
      </c>
      <c r="VU52" s="919" t="str">
        <f>IF(A52=FALSE,"",((VG52*TAXE)-(VG52*TAXE*VI52))+IF(VM52="N/A",0,IF(INDEX(LISTES!$F$105:$F$109,MATCH(VM52,LISTES!$C$105:$C$109,0))="FIX",VN52,VO52*VL52)))</f>
        <v/>
      </c>
      <c r="WA52" s="492" t="str">
        <f>IF(A52=FALSE,"",Cotations!D52)</f>
        <v/>
      </c>
      <c r="WB52" s="519" t="str">
        <f>IF(A52=FALSE,"",IF(LISTES!$A$17=1,Cotations!EW52,Cotations!EX52))</f>
        <v/>
      </c>
      <c r="WC52" s="291" t="str">
        <f t="shared" si="621"/>
        <v/>
      </c>
      <c r="WD52" s="291" t="str">
        <f t="shared" si="622"/>
        <v/>
      </c>
      <c r="WE52" s="291"/>
      <c r="WF52" s="463"/>
      <c r="WG52" s="463" t="str">
        <f t="shared" si="623"/>
        <v/>
      </c>
      <c r="WH52" s="522" t="str">
        <f>IF(A52=FALSE,"",IF(Cotations!$AQ$4="monthly",WG52/12*L52,WG52/365*M52))</f>
        <v/>
      </c>
      <c r="WI52" s="489" t="str">
        <f>IF(A52=FALSE,"",Cotations!$AR$4)</f>
        <v/>
      </c>
      <c r="WJ52" s="300" t="str">
        <f t="shared" si="624"/>
        <v/>
      </c>
      <c r="WK52" s="300" t="str">
        <f t="shared" si="625"/>
        <v/>
      </c>
      <c r="WL52" s="294" t="str">
        <f t="shared" si="626"/>
        <v/>
      </c>
      <c r="WM52" s="494" t="str">
        <f>IF(A52=FALSE,"",Cotations!$AS$4)</f>
        <v/>
      </c>
      <c r="WN52" s="494" t="str">
        <f>IF(A52=FALSE,"",Cotations!$AT$4)</f>
        <v/>
      </c>
      <c r="WO52" s="489" t="str">
        <f>IF(A52=FALSE,"",Cotations!$AU$4)</f>
        <v/>
      </c>
      <c r="WP52" s="494" t="str">
        <f>IF(A52=FALSE,"",IF(WM52="N/A",0,IF(INDEX(LISTES!$F$105:$F$109,MATCH(WM52,LISTES!$C$105:$C$109,0))="FIX",IF(INDEX(LISTES!$E$105:$E$109,MATCH(WM52,LISTES!$C$105:$C$109,0))=12,WN52/12*L52,WN52/365*M52),WO52*WL52)))</f>
        <v/>
      </c>
      <c r="WQ52" s="294" t="str">
        <f t="shared" si="627"/>
        <v/>
      </c>
      <c r="WR52" s="494" t="str">
        <f>IF(A52=FALSE,"",WQ52*Cotations!$AV$4)</f>
        <v/>
      </c>
      <c r="WS52" s="494" t="str">
        <f>IF(A52=FALSE,"",WQ52*Cotations!$AW$4)</f>
        <v/>
      </c>
      <c r="WT52" s="465" t="str">
        <f t="shared" si="628"/>
        <v/>
      </c>
      <c r="WU52" s="919" t="str">
        <f>IF(A52=FALSE,"",((WG52*TAXE)-(WG52*TAXE*WI52))+IF(WM52="N/A",0,IF(INDEX(LISTES!$F$105:$F$109,MATCH(WM52,LISTES!$C$105:$C$109,0))="FIX",WN52,WO52*WL52)))</f>
        <v/>
      </c>
    </row>
    <row r="53" spans="1:619">
      <c r="A53" s="942" t="b">
        <f t="shared" si="433"/>
        <v>0</v>
      </c>
      <c r="B53" s="942" t="b">
        <f>IF(NAMES!$B$9=TRUE,TRUE,FALSE)</f>
        <v>1</v>
      </c>
      <c r="C53" s="942" t="b">
        <f t="shared" si="413"/>
        <v>0</v>
      </c>
      <c r="D53" s="942" t="b">
        <f t="shared" si="414"/>
        <v>0</v>
      </c>
      <c r="E53" s="274" t="b">
        <f>IF(Cotations!C53="","",Cotations!C53)</f>
        <v>0</v>
      </c>
      <c r="F53" s="274" t="str">
        <f>IF(Cotations!D53="","",Cotations!D53)</f>
        <v>PROP</v>
      </c>
      <c r="G53" s="274" t="str">
        <f>IF(Cotations!E53="","",Cotations!E53)</f>
        <v>2016-2017!</v>
      </c>
      <c r="H53" s="274" t="str">
        <f>IF(Cotations!F53="","",Cotations!F53)</f>
        <v>SINGLE</v>
      </c>
      <c r="I53" s="274" t="str">
        <f>IF(Cotations!G53="","",Cotations!G53)</f>
        <v/>
      </c>
      <c r="J53" s="274" t="str">
        <f>IF(Cotations!H53="","",Cotations!H53)</f>
        <v/>
      </c>
      <c r="K53" s="274" t="str">
        <f>IF(Cotations!I53="","",Cotations!I53)</f>
        <v/>
      </c>
      <c r="L53" s="274" t="str">
        <f>IF(A53=FALSE,"",IF(Cotations!N53="","",Cotations!N53))</f>
        <v/>
      </c>
      <c r="M53" s="274" t="str">
        <f>IF(Cotations!P53="","",Cotations!P53)</f>
        <v/>
      </c>
      <c r="N53" s="724" t="str">
        <f>IF(NAMES!$B$10=TRUE,Cotations!J53,Cotations!L53)</f>
        <v/>
      </c>
      <c r="O53" s="724" t="str">
        <f>IF(NAMES!$B$10=TRUE,Cotations!K53,Cotations!M53)</f>
        <v/>
      </c>
      <c r="P53" s="943" t="str">
        <f t="shared" si="415"/>
        <v/>
      </c>
      <c r="Q53" s="724" t="str">
        <f>IF(A53=FALSE,"",IF(Crewlist!Y53="","",Crewlist!Y53))</f>
        <v/>
      </c>
      <c r="R53" s="78" t="str">
        <f>IF(Cotations!U53="","",Cotations!U53)</f>
        <v/>
      </c>
      <c r="S53" s="943" t="str">
        <f t="shared" si="416"/>
        <v/>
      </c>
      <c r="T53" s="919" t="str">
        <f>IF(A53=FALSE,"",VLOOKUP($U$15:$U$120,Currency!$A$2:$D$10,4,0)*Crewlist!N53)</f>
        <v/>
      </c>
      <c r="U53" s="1355" t="str">
        <f>IF(A53=FALSE,"",IF(IT53=0,Crewlist!M53&amp;"/"&amp;EX53,Crewlist!M53&amp;"/"&amp;IT53))</f>
        <v/>
      </c>
      <c r="V53" s="919" t="str">
        <f>IF(A53=FALSE,"",VLOOKUP($U$15:$U$120,Currency!$A$2:$D$10,4,0)*Detail!Q53)</f>
        <v/>
      </c>
      <c r="W53" s="1355" t="str">
        <f>IF(A53=FALSE,"",IF(IT53=0,Detail!R53&amp;"/"&amp;EX53,Detail!R53&amp;"/"&amp;IT53))</f>
        <v/>
      </c>
      <c r="X53" s="919" t="str">
        <f>IF(A53=FALSE,"",IF(LISTES!$C$17="Crewlist",Calcul!T53,Calcul!V53))</f>
        <v/>
      </c>
      <c r="Y53" s="758" t="str">
        <f t="shared" si="417"/>
        <v/>
      </c>
      <c r="Z53" s="758" t="str">
        <f>IF(A53=FALSE,"",IF(X53=0,0,IF((Cotations!BC53*12*X53)&lt;50000,50000,(12*X53))))</f>
        <v/>
      </c>
      <c r="AA53" s="758" t="str">
        <f t="shared" si="418"/>
        <v/>
      </c>
      <c r="AB53" s="758" t="str">
        <f>IF(A53=FALSE,"",IF(Crewlist!O53=0,"",Crewlist!O53))</f>
        <v/>
      </c>
      <c r="AC53" s="758" t="str">
        <f>IF(I53="","",VLOOKUP($AB$15:$AB$120,Currency!$A$15:$B$34,2,0))</f>
        <v/>
      </c>
      <c r="AD53" s="758" t="str">
        <f t="shared" si="419"/>
        <v/>
      </c>
      <c r="AE53" s="758" t="str">
        <f t="shared" si="420"/>
        <v/>
      </c>
      <c r="AF53" s="758" t="str">
        <f t="shared" si="421"/>
        <v/>
      </c>
      <c r="AG53" s="758" t="str">
        <f t="shared" si="422"/>
        <v/>
      </c>
      <c r="AH53" s="1355" t="str">
        <f t="shared" si="434"/>
        <v/>
      </c>
      <c r="AI53" s="919" t="str">
        <f t="shared" si="423"/>
        <v/>
      </c>
      <c r="AJ53" s="1382" t="str">
        <f t="shared" si="424"/>
        <v/>
      </c>
      <c r="AK53" s="1382" t="str">
        <f t="shared" si="425"/>
        <v/>
      </c>
      <c r="AL53" s="238" t="str">
        <f t="shared" si="435"/>
        <v/>
      </c>
      <c r="AM53" s="238" t="str">
        <f t="shared" si="436"/>
        <v/>
      </c>
      <c r="AN53" s="1374" t="str">
        <f t="shared" si="437"/>
        <v/>
      </c>
      <c r="AO53" s="238" t="str">
        <f t="shared" si="438"/>
        <v/>
      </c>
      <c r="AP53" s="342" t="str">
        <f>IF(A53=FALSE,"",INDEX(Rates!$Z$5:$Z$367,MATCH(EB53,colchoice,0)))</f>
        <v/>
      </c>
      <c r="AQ53" s="238" t="str">
        <f t="shared" si="439"/>
        <v/>
      </c>
      <c r="AR53" s="238" t="str">
        <f t="shared" si="440"/>
        <v/>
      </c>
      <c r="AS53" s="238" t="str">
        <f t="shared" si="441"/>
        <v/>
      </c>
      <c r="AT53" s="238" t="str">
        <f t="shared" si="442"/>
        <v/>
      </c>
      <c r="AU53" s="238" t="str">
        <f t="shared" si="443"/>
        <v/>
      </c>
      <c r="AV53" s="238" t="str">
        <f t="shared" si="429"/>
        <v/>
      </c>
      <c r="AW53" s="238" t="str">
        <f t="shared" si="444"/>
        <v/>
      </c>
      <c r="AX53" s="238" t="str">
        <f t="shared" si="445"/>
        <v/>
      </c>
      <c r="AY53" s="238" t="str">
        <f t="shared" si="446"/>
        <v/>
      </c>
      <c r="AZ53" s="238" t="str">
        <f t="shared" si="447"/>
        <v/>
      </c>
      <c r="BA53" s="238" t="str">
        <f t="shared" si="448"/>
        <v/>
      </c>
      <c r="BB53" s="552" t="str">
        <f t="shared" si="449"/>
        <v/>
      </c>
      <c r="BC53" s="347" t="str">
        <f t="shared" si="450"/>
        <v/>
      </c>
      <c r="BD53" s="239" t="str">
        <f t="shared" si="430"/>
        <v/>
      </c>
      <c r="BE53" s="239" t="str">
        <f>IF(A53=FALSE,"",IF(ALLTHESAME=TRUE,IF(DF53&lt;&gt;$BC$7,0,INDEX(DD53:DZ53,1,MATCH(Structure!$D$12,$DD$14:$DZ$14,0))),IF(EC53&lt;&gt;$BC$7,0,INDEX(EA53:EZ53,1,MATCH(Structure!$D$12,$EA$14:$EZ$14,0)))))</f>
        <v/>
      </c>
      <c r="BF53" s="239" t="str">
        <f>IF(A53=FALSE,"",IF(ALLTHESAME=TRUE,IF(FC53&lt;&gt;$BC$7,0,INDEX(FA53:FZ53,1,MATCH(Structure!$D$12,$FA$14:$FZ$14,0))),IF(GC53&lt;&gt;$BC$7,0,INDEX(GA53:GZ53,1,MATCH(Structure!$D$12,$GA$14:$GZ$14,0)))))</f>
        <v/>
      </c>
      <c r="BG53" s="239" t="str">
        <f>IF(A53=FALSE,"",IF(ALLTHESAME=TRUE,IF(VC53&lt;&gt;$BC$7,0,INDEX(VA53:VZ53,1,MATCH(Structure!$D$12,$VA$14:$VZ$14,0))),IF(VC53&lt;&gt;$BC$7,0,INDEX(VA53:VZ53,1,MATCH(Structure!$D$12,$VA$14:$VZ$14,0)))))</f>
        <v/>
      </c>
      <c r="BH53" s="239" t="str">
        <f>IF(A53=FALSE,"",IF(ALLTHESAME=TRUE,IF(WC53&lt;&gt;$BC$7,0,INDEX(WA53:WY53,1,MATCH(Structure!$D$12,$WA$14:$WZ$14,0))),IF(WC53&lt;&gt;$BC$7,0,INDEX(WA53:WZ53,1,MATCH(Structure!$D$12,$WA$14:$WZ$14,0)))))</f>
        <v/>
      </c>
      <c r="BI53" s="763" t="str">
        <f>IF(A53=FALSE,"",IF(ALLTHESAME=TRUE,IF(HC53&lt;&gt;$BC$7,0,INDEX(HA53:HZ53,1,MATCH(Structure!$D$12,$HA$14:$HZ$14,0)))+TK53,IF(IC53&lt;&gt;$BC$7,0,INDEX(IA53:IZ53,1,MATCH(Structure!$D$12,$IA$14:$IZ$14,0)))+TK53))</f>
        <v/>
      </c>
      <c r="BJ53" s="239" t="str">
        <f>IF(A53=FALSE,"",IF(ALLTHESAME=TRUE,IF(JC53&lt;&gt;$BC$7,0,INDEX(JA53:JZ53,1,MATCH(Structure!$D$12,$JA$14:$JZ$14,0))),IF(KC53&lt;&gt;$BC$7,0,INDEX(KA53:KZ53,1,MATCH(Structure!$D$12,$KA$14:$KZ$14,0)))))</f>
        <v/>
      </c>
      <c r="BK53" s="763" t="str">
        <f>IF(A53=FALSE,"",IF(ALLTHESAME=TRUE,IF(LC53&lt;&gt;$BC$7,0,INDEX(LA53:LZ53,1,MATCH(Structure!$D$12,$LA$14:$LZ$14,0)))+UK53,IF(MC53&lt;&gt;$BC$7,0,INDEX(MA53:MZ53,1,MATCH(Structure!$D$12,$MA$14:$MZ$14,0)))+UK53))</f>
        <v/>
      </c>
      <c r="BL53" s="239" t="str">
        <f>IF(A53=FALSE,"",IF(ALLTHESAME=TRUE,IF(NC53&lt;&gt;$BC$7,0,INDEX(NA53:NZ53,1,MATCH(Structure!$D$12,$NA$14:$NZ$14,0))),IF(OC53&lt;&gt;$BC$7,0,INDEX(OA53:OZ53,1,MATCH(Structure!$D$12,$OA$14:$OZ$14,0)))))</f>
        <v/>
      </c>
      <c r="BM53" s="239" t="str">
        <f>IF(A53=FALSE,"",IF(ALLTHESAME=TRUE,IF(PC53&lt;&gt;$BC$7,0,INDEX(PA53:PZ53,1,MATCH(Structure!$D$12,$PA$14:$PZ$14,0))),IF(QC53&lt;&gt;$BC$7,0,INDEX(QA53:QZ53,1,MATCH(Structure!$D$12,$QA$14:$QZ$14,0)))))</f>
        <v/>
      </c>
      <c r="BN53" s="341" t="str">
        <f>IF(A53=FALSE,"",IF(ALLTHESAME=TRUE,IF(RC53&lt;&gt;$BC$7,0,INDEX(RA53:RZ53,1,MATCH(Structure!$D$12,$RA$14:$RZ$14,0))),IF(SC53&lt;&gt;$BC$7,0,INDEX(SA53:TA53,1,MATCH(Structure!$D$12,$SA$14:$TA$14,0)))))</f>
        <v/>
      </c>
      <c r="BO53" s="507" t="str">
        <f t="shared" si="451"/>
        <v/>
      </c>
      <c r="BP53" s="239" t="str">
        <f t="shared" si="452"/>
        <v/>
      </c>
      <c r="BQ53" s="239" t="str">
        <f>IF(A53=FALSE,"",IF(ALLTHESAME=TRUE,IF(DF53&lt;&gt;$BO$7,0,INDEX(DD53:DZ53,1,MATCH(Structure!$D$12,$DD$14:$DZ$14,0))),IF(EC53&lt;&gt;$BO$7,0,INDEX(EA53:EZ53,1,MATCH(Structure!$D$12,$EA$14:$EZ$14,0)))))</f>
        <v/>
      </c>
      <c r="BR53" s="239" t="str">
        <f>IF(A53=FALSE,"",IF(ALLTHESAME=TRUE,IF(FC53&lt;&gt;$BO$7,0,INDEX(FA53:FZ53,1,MATCH(Structure!$D$12,$FA$14:$FZ$14,0))),IF(GC53&lt;&gt;$BO$7,0,INDEX(GA53:GZ53,1,MATCH(Structure!$D$12,$GA$14:$GZ$14,0)))))</f>
        <v/>
      </c>
      <c r="BS53" s="239" t="str">
        <f>IF(A53=FALSE,"",IF(ALLTHESAME=TRUE,IF(HC53&lt;&gt;$BO$7,0,INDEX(HA53:HZ53,1,MATCH(Structure!$D$12,$HA$14:$HZ$14,0))),IF(IC53&lt;&gt;$BO$7,0,INDEX(IA53:IZ53,1,MATCH(Structure!$D$12,$IA$14:$IZ$14,0)))))</f>
        <v/>
      </c>
      <c r="BT53" s="239" t="str">
        <f>IF(A53=FALSE,"",IF(ALLTHESAME=TRUE,IF(JC53&lt;&gt;$BO$7,0,INDEX(JA53:JZ53,1,MATCH(Structure!$D$12,$JA$14:$JZ$14,0))),IF(KC53&lt;&gt;$BO$7,0,INDEX(KA53:KZ53,1,MATCH(Structure!$D$12,$KA$14:$KZ$14,0)))))</f>
        <v/>
      </c>
      <c r="BU53" s="239" t="str">
        <f>IF(A53=FALSE,"",IF(ALLTHESAME=TRUE,IF(LC53&lt;&gt;$BO$7,0,INDEX(LA53:LZ53,1,MATCH(Structure!$D$12,$LA$14:$LZ$14,0))),IF(MC53&lt;&gt;$BO$7,0,INDEX(MA53:MZ53,1,MATCH(Structure!$D$12,$MA$14:$MZ$14,0)))))</f>
        <v/>
      </c>
      <c r="BV53" s="239" t="str">
        <f>IF(A53=FALSE,"",IF(ALLTHESAME=TRUE,IF(NC53&lt;&gt;$BO$7,0,INDEX(NA53:NZ53,1,MATCH(Structure!$D$12,$NA$14:$NZ$14,0))),IF(OC53&lt;&gt;$BO$7,0,INDEX(OA53:OZ53,1,MATCH(Structure!$D$12,$OA$14:$OZ$14,0)))))</f>
        <v/>
      </c>
      <c r="BW53" s="239" t="str">
        <f>IF(A53=FALSE,"",IF(ALLTHESAME=TRUE,IF(PC53&lt;&gt;$BO$7,0,INDEX(PA53:PZ53,1,MATCH(Structure!$D$12,$PA$14:$PZ$14,0))),IF(QC53&lt;&gt;$BO$7,0,INDEX(QA53:QZ53,1,MATCH(Structure!$D$12,$QA$14:$QZ$14,0)))))</f>
        <v/>
      </c>
      <c r="BX53" s="341" t="str">
        <f>IF(A53=FALSE,"",IF(ALLTHESAME=TRUE,IF(RC53&lt;&gt;$BO$7,0,INDEX(RA53:RZ53,1,MATCH(Structure!$D$12,$RA$14:$RZ$14,0))),IF(SC53&lt;&gt;$BO$7,0,INDEX(SA53:TA53,1,MATCH(Structure!$D$12,$SA$14:$TA$14,0)))))</f>
        <v/>
      </c>
      <c r="BY53" s="347" t="str">
        <f t="shared" si="453"/>
        <v/>
      </c>
      <c r="BZ53" s="507" t="str">
        <f t="shared" si="454"/>
        <v/>
      </c>
      <c r="CA53" s="239" t="str">
        <f t="shared" si="455"/>
        <v/>
      </c>
      <c r="CB53" s="239" t="str">
        <f>IF(A53=FALSE,"",IF(ALLTHESAME=TRUE,INDEX(DD53:DZ53,MATCH(DF53,DF53:DF158,0),MATCH(Structure!$D$17,$DD$14:$DZ$14,0)),INDEX(EA53:EZ53,MATCH(EC53,EC53:EC158,0),MATCH(Structure!$D$17,$EA$14:$EZ$14,0))))</f>
        <v/>
      </c>
      <c r="CC53" s="239" t="str">
        <f>IF(A53=FALSE,"",IF(ALLTHESAME=TRUE,INDEX(FA53:FZ53,MATCH(FC53,FC53:FC158,0),MATCH(Structure!$D$17,$FA$14:$FZ$14,0)),INDEX(GA53:GZ53,MATCH(GC53,GC53:GC158,0),MATCH(Structure!$D$17,$GA$14:$GZ$14,0))))</f>
        <v/>
      </c>
      <c r="CD53" s="239" t="str">
        <f>IF(A53=FALSE,"",IF(ALLTHESAME=TRUE,INDEX(HA53:HZ53,MATCH(HC53,HC53:HC158,0),MATCH(Structure!$D$17,$HA$14:$HZ$14,0)),INDEX(IA53:IZ53,MATCH(IC53,IC53:IC158,0),MATCH(Structure!$D$17,$IA$14:$IZ$14,0))))</f>
        <v/>
      </c>
      <c r="CE53" s="239" t="str">
        <f>IF(A53=FALSE,"",IF(ALLTHESAME=TRUE,INDEX(JA53:JZ53,MATCH(JC53,JC53:JC158,0),MATCH(Structure!$D$17,$JA$14:$JZ$14,0)),INDEX(KA53:KZ53,MATCH(KC53,KC53:KC158,0),MATCH(Structure!$D$17,$KA$14:$KZ$14,0))))</f>
        <v/>
      </c>
      <c r="CF53" s="239" t="str">
        <f>IF(A53=FALSE,"",IF(ALLTHESAME=TRUE,INDEX(LA53:LZ53,MATCH(LC53,LC53:LC158,0),MATCH(Structure!$D$17,$LA$14:$LZ$14,0)),INDEX(MA53:MZ53,MATCH(MC53,MC53:MC158,0),MATCH(Structure!$D$17,$MA$14:$MZ$14,0))))</f>
        <v/>
      </c>
      <c r="CG53" s="239" t="str">
        <f>IF(A53=FALSE,"",IF(ALLTHESAME=TRUE,INDEX(NA53:NZ53,MATCH(NC53,NC53:NC158,0),MATCH(Structure!$D$17,$NA$14:$NZ$14,0)),INDEX(OA53:OZ53,MATCH(OC53,OC53:OC158,0),MATCH(Structure!$D$17,$OA$14:$OZ$14,0))))</f>
        <v/>
      </c>
      <c r="CH53" s="239" t="str">
        <f>IF(A53=FALSE,"",IF(ALLTHESAME=TRUE,INDEX(PA53:PZ53,MATCH(PC53,PC53:PC158,0),MATCH(Structure!$D$17,$PA$14:$PZ$14,0)),INDEX(QA53:QZ53,MATCH(QC53,QC53:QC158,0),MATCH(Structure!$D$17,$QA$14:$QZ$14,0))))</f>
        <v/>
      </c>
      <c r="CI53" s="341" t="str">
        <f>IF(A53=FALSE,"",IF(ALLTHESAME=TRUE,INDEX(RA53:RZ53,MATCH(RC53,RC53:RC158,0),MATCH(Structure!$D$17,$RA$14:$RZ$14,0)),INDEX(SA53:TC53,MATCH(SC53,SC53:SC158,0),MATCH(Structure!$D$17,$SA$14:$TC$14,0))))</f>
        <v/>
      </c>
      <c r="CJ53" s="347"/>
      <c r="CK53" s="239" t="str">
        <f t="shared" si="456"/>
        <v/>
      </c>
      <c r="CL53" s="239" t="str">
        <f>IF(A53=FALSE,"",IF(ALLTHESAME=TRUE,INDEX(DD53:DZ53,MATCH(DF53,DF53:DF158,0),MATCH(Structure!$D$22,$DD$14:$DZ$14,0)),INDEX(EA53:EZ53,MATCH(EC53,EC53:EC158,0),MATCH(Structure!$D$22,$EA$14:$EZ$14,0))))</f>
        <v/>
      </c>
      <c r="CM53" s="239" t="str">
        <f>IF(A53=FALSE,"",IF(ALLTHESAME=TRUE,INDEX(FA53:FZ53,MATCH(FC53,FC53:FC158,0),MATCH(Structure!$D$22,$FA$14:$FZ$14,0)),INDEX(GA53:GZ53,MATCH(GC53,GC53:GC158,0),MATCH(Structure!$D$22,$GA$14:$GZ$14,0))))</f>
        <v/>
      </c>
      <c r="CN53" s="239" t="str">
        <f>IF(A53=FALSE,"",IF(ALLTHESAME=TRUE,INDEX(HA53:HZ53,MATCH(HC53,HC53:HC158,0),MATCH(Structure!$D$22,$HA$14:$HZ$14,0)),INDEX(IA53:IZ53,MATCH(IC53,IC53:IC158,0),MATCH(Structure!$D$22,$IA$14:$IZ$14,0))))</f>
        <v/>
      </c>
      <c r="CO53" s="239" t="str">
        <f>IF(A53=FALSE,"",IF(ALLTHESAME=TRUE,INDEX(JA53:JZ53,MATCH(JC53,JC53:JC158,0),MATCH(Structure!$D$22,$JA$14:$JZ$14,0)),INDEX(KA53:KZ53,MATCH(KC53,KC53:KC158,0),MATCH(Structure!$D$22,$KA$14:$KZ$14,0))))</f>
        <v/>
      </c>
      <c r="CP53" s="239" t="str">
        <f>IF(A53=FALSE,"",IF(ALLTHESAME=TRUE,INDEX(LA53:LZ53,MATCH(LC53,LC53:LC158,0),MATCH(Structure!$D$22,$LA$14:$LZ$14,0)),INDEX(MA53:MZ53,MATCH(MC53,MC53:MC158,0),MATCH(Structure!$D$22,$MA$14:$MZ$14,0))))</f>
        <v/>
      </c>
      <c r="CQ53" s="239" t="str">
        <f>IF(A53=FALSE,"",IF(ALLTHESAME=TRUE,INDEX(NA53:NZ53,MATCH(NC53,NC53:NC158,0),MATCH(Structure!$D$22,$NA$14:$NZ$14,0)),INDEX(OA53:OZ53,MATCH(OC53,OC53:OC158,0),MATCH(Structure!$D$22,$OA$14:$OZ$14,0))))</f>
        <v/>
      </c>
      <c r="CR53" s="239" t="str">
        <f>IF(A53=FALSE,"",IF(ALLTHESAME=TRUE,INDEX(PA53:PZ53,MATCH(PC53,PC53:PC158,0),MATCH(Structure!$D$22,$PA$14:$PZ$14,0)),INDEX(QA53:QZ53,MATCH(QC53,QC53:QC158,0),MATCH(Structure!$D$22,$QA$14:$QZ$14,0))))</f>
        <v/>
      </c>
      <c r="CS53" s="341" t="str">
        <f>IF(A53=FALSE,"",IF(ALLTHESAME=TRUE,INDEX(RA53:RZ53,MATCH(RC53,RC53:RC158,0),MATCH(Structure!$D$22,$RA$14:$RZ$14,0)),INDEX(SA53:TC53,MATCH(SC53,SC53:SC158,0),MATCH(Structure!$D$22,$SA$14:$TC$14,0))))</f>
        <v/>
      </c>
      <c r="CT53" s="347"/>
      <c r="CU53" s="239" t="str">
        <f t="shared" si="457"/>
        <v/>
      </c>
      <c r="CV53" s="239" t="str">
        <f>IF(A53=FALSE,"",IF(ALLTHESAME=TRUE,INDEX(DD53:DZ53,MATCH(DF53,DF53:DF158,0),MATCH(Structure!$D$8,$DD$14:$DZ$14,0)),INDEX(EA53:EZ53,MATCH(EC53,EC53:EC158,0),MATCH(Structure!$D$8,$EA$14:$EZ$14,0))))</f>
        <v/>
      </c>
      <c r="CW53" s="239" t="str">
        <f>IF(A53=FALSE,"",IF(ALLTHESAME=TRUE,INDEX(FA53:FZ53,MATCH(FC53,FC53:FC158,0),MATCH(Structure!$D$8,$FA$14:$FZ$14,0)),INDEX(GA53:GZ53,MATCH(GC53,GC53:GC158,0),MATCH(Structure!$D$8,$GA$14:$GZ$14,0))))</f>
        <v/>
      </c>
      <c r="CX53" s="239" t="str">
        <f>IF(A53=FALSE,"",IF(ALLTHESAME=TRUE,INDEX(HA53:HZ53,MATCH(HC53,HC53:HC158,0),MATCH(Structure!$D$8,$HA$14:$HZ$14,0)),INDEX(IA53:IZ53,MATCH(IC53,IC53:IC158,0),MATCH(Structure!$D$8,$IA$14:$IZ$14,0))))</f>
        <v/>
      </c>
      <c r="CY53" s="239" t="str">
        <f>IF(A53=FALSE,"",IF(ALLTHESAME=TRUE,INDEX(JA53:JZ53,MATCH(JC53,JC53:JC158,0),MATCH(Structure!$D$8,$JA$14:$JZ$14,0)),INDEX(KA53:KZ53,MATCH(KC53,KC53:KC158,0),MATCH(Structure!$D$8,$KA$14:$KZ$14,0))))</f>
        <v/>
      </c>
      <c r="CZ53" s="239" t="str">
        <f>IF(A53=FALSE,"",IF(ALLTHESAME=TRUE,INDEX(LA53:LZ53,MATCH(LC53,LC53:LC158,0),MATCH(Structure!$D$8,$LA$14:$LZ$14,0)),INDEX(MA53:MZ53,MATCH(MC53,MC53:MC158,0),MATCH(Structure!$D$8,$MA$14:$MZ$14,0))))</f>
        <v/>
      </c>
      <c r="DA53" s="239" t="str">
        <f>IF(A53=FALSE,"",IF(ALLTHESAME=TRUE,INDEX(NA53:NZ53,MATCH(NC53,NC53:NC158,0),MATCH(Structure!$D$8,$NA$14:$NZ$14,0)),INDEX(OA53:OZ53,MATCH(OC53,OC53:OC158,0),MATCH(Structure!$D$8,$OA$14:$OZ$14,0))))</f>
        <v/>
      </c>
      <c r="DB53" s="239" t="str">
        <f>IF(A53=FALSE,"",IF(ALLTHESAME=TRUE,INDEX(PA53:PZ53,MATCH(PC53,PC53:PC158,0),MATCH(Structure!$D$8,$PA$14:$PZ$14,0)),INDEX(QA53:QZ53,MATCH(QC53,QC53:QC158,0),MATCH(Structure!$D$8,$QA$14:$QZ$14,0))))</f>
        <v/>
      </c>
      <c r="DC53" s="341" t="str">
        <f>IF(A53=FALSE,"",IF(ALLTHESAME=TRUE,INDEX(RA53:RZ53,MATCH(RC53,RC53:RC158,0),MATCH(Structure!$D$8,$RA$14:$RZ$14,0)),INDEX(SA53:TC53,MATCH(SC53,SC53:SC158,0),MATCH(Structure!$D$8,$SA$14:$TC$14,0))))</f>
        <v/>
      </c>
      <c r="DD53" s="492" t="str">
        <f>IF(A53=FALSE,"",Cotations!D53)</f>
        <v/>
      </c>
      <c r="DE53" s="492" t="str">
        <f>IF(A53=FALSE,"",IF(LISTES!$A$17=1,Cotations!AF53,Cotations!$AG$4))</f>
        <v/>
      </c>
      <c r="DF53" s="291" t="str">
        <f t="shared" si="458"/>
        <v/>
      </c>
      <c r="DG53" s="291" t="str">
        <f t="shared" si="459"/>
        <v/>
      </c>
      <c r="DH53" s="291"/>
      <c r="DI53" s="463"/>
      <c r="DJ53" s="463" t="str">
        <f t="shared" si="460"/>
        <v/>
      </c>
      <c r="DK53" s="522" t="str">
        <f>IF(A53=FALSE,"",IF(Cotations!$AH$4="monthly",DJ53/12*L53,DJ53/365*M53))</f>
        <v/>
      </c>
      <c r="DL53" s="489" t="str">
        <f>IF(A53=FALSE,"",Cotations!$AI$4)</f>
        <v/>
      </c>
      <c r="DM53" s="300" t="str">
        <f t="shared" si="461"/>
        <v/>
      </c>
      <c r="DN53" s="300" t="str">
        <f t="shared" si="462"/>
        <v/>
      </c>
      <c r="DO53" s="294" t="str">
        <f t="shared" si="463"/>
        <v/>
      </c>
      <c r="DP53" s="494" t="str">
        <f>IF(A53=FALSE,"",Cotations!$AJ$4)</f>
        <v/>
      </c>
      <c r="DQ53" s="494" t="str">
        <f>IF(A53=FALSE,"",Cotations!$AK$4)</f>
        <v/>
      </c>
      <c r="DR53" s="489" t="str">
        <f>IF(A53=FALSE,"",Cotations!$AL$4)</f>
        <v/>
      </c>
      <c r="DS53" s="494" t="str">
        <f>IF(A53=FALSE,"",IF(DP53="N/A",0,IF(INDEX(LISTES!$F$105:$F$109,MATCH(DP53,LISTES!$C$105:$C$109,0))="FIX",IF(INDEX(LISTES!$E$105:$E$109,MATCH(DP53,LISTES!$C$105:$C$109,0))=12,DQ53/12*L53,DQ53/365*M53),DR53*DO53)))</f>
        <v/>
      </c>
      <c r="DT53" s="294" t="str">
        <f t="shared" si="464"/>
        <v/>
      </c>
      <c r="DU53" s="294" t="str">
        <f>IF(A53=FALSE,"",DT53*Cotations!$AM$4)</f>
        <v/>
      </c>
      <c r="DV53" s="294" t="str">
        <f>IF(A53=FALSE,"",DT53*Cotations!$AN$4)</f>
        <v/>
      </c>
      <c r="DW53" s="465" t="str">
        <f t="shared" si="465"/>
        <v/>
      </c>
      <c r="DX53" s="919" t="str">
        <f>IF(A53=FALSE,"",((DJ53*TAXE)-(DJ53*TAXE*DL53))+IF(DP53="N/A",0,IF(INDEX(LISTES!$F$105:$F$109,MATCH(DP53,LISTES!$C$105:$C$109,0))="FIX",DQ53,DR53*DO53)))</f>
        <v/>
      </c>
      <c r="DY53" s="466"/>
      <c r="DZ53" s="466"/>
      <c r="EA53" s="492" t="str">
        <f>IF(A53=FALSE,"",Cotations!D53)</f>
        <v/>
      </c>
      <c r="EB53" s="494" t="str">
        <f>IF(A53=FALSE,"",IF(LISTES!$A$17=1,Cotations!AF53,Cotations!AG53))</f>
        <v/>
      </c>
      <c r="EC53" s="284" t="str">
        <f t="shared" si="466"/>
        <v/>
      </c>
      <c r="ED53" s="284" t="str">
        <f t="shared" si="467"/>
        <v/>
      </c>
      <c r="EE53" s="284"/>
      <c r="EF53" s="284"/>
      <c r="EG53" s="284" t="str">
        <f t="shared" si="468"/>
        <v/>
      </c>
      <c r="EH53" s="1365" t="str">
        <f t="shared" si="469"/>
        <v/>
      </c>
      <c r="EI53" s="1365" t="str">
        <f t="shared" si="470"/>
        <v/>
      </c>
      <c r="EJ53" s="515" t="str">
        <f>IF(A53=FALSE,"",IF(Cotations!AH53="monthly",EG53/12*L53,EG53/365*M53))</f>
        <v/>
      </c>
      <c r="EK53" s="1364" t="str">
        <f>IF(A53=FALSE,"",IF(Cotations!AH53="monthly",EI53/12*L53,EI53/365*M53))</f>
        <v/>
      </c>
      <c r="EL53" s="493" t="str">
        <f>IF(A53=FALSE,"",IF(Cotations!AI53="","",Cotations!AI53))</f>
        <v/>
      </c>
      <c r="EM53" s="284" t="str">
        <f t="shared" si="471"/>
        <v/>
      </c>
      <c r="EN53" s="284" t="str">
        <f t="shared" si="472"/>
        <v/>
      </c>
      <c r="EO53" s="1365" t="str">
        <f t="shared" si="432"/>
        <v/>
      </c>
      <c r="EP53" s="284" t="str">
        <f t="shared" si="473"/>
        <v/>
      </c>
      <c r="EQ53" s="515" t="str">
        <f>IF(A53=FALSE,"",Cotations!AJ53)</f>
        <v/>
      </c>
      <c r="ER53" s="515" t="str">
        <f>IF(A53=FALSE,"",IF(Cotations!AK53="","",Cotations!AK53))</f>
        <v/>
      </c>
      <c r="ES53" s="493" t="str">
        <f>IF(A53=FALSE,"",Cotations!AL53)</f>
        <v/>
      </c>
      <c r="ET53" s="515" t="str">
        <f>IF(A53=FALSE,"",IF(EQ53="N/A",0,IF(INDEX(LISTES!$F$105:$F$109,MATCH(EQ53,LISTES!$C$105:$C$109,0))="FIX",IF(INDEX(LISTES!$E$105:$E$109,MATCH(EQ53,LISTES!$C$105:$C$109,0))=12,ER53/12*L53,ER53/365*M53),ES53*EP53)))</f>
        <v/>
      </c>
      <c r="EU53" s="294" t="str">
        <f t="shared" si="474"/>
        <v/>
      </c>
      <c r="EV53" s="494" t="str">
        <f>IF(A53=FALSE,"",EU53*Cotations!AM53)</f>
        <v/>
      </c>
      <c r="EW53" s="494" t="str">
        <f>IF(A53=FALSE,"",EU53*Cotations!AN53)</f>
        <v/>
      </c>
      <c r="EX53" s="334" t="str">
        <f t="shared" si="475"/>
        <v/>
      </c>
      <c r="EY53" s="919" t="str">
        <f>IF(A53=FALSE,"",((EG53*TAXE)-(EG53*TAXE*EL53)+EH53)+IF(EQ53="N/A",0,IF(INDEX(LISTES!$F$105:$F$109,MATCH(EQ53,LISTES!$C$105:$C$109,0))="FIX",ER53,ES53*EP53)))</f>
        <v/>
      </c>
      <c r="FA53" s="492" t="str">
        <f>IF(A53=FALSE,"",Cotations!D53)</f>
        <v/>
      </c>
      <c r="FB53" s="519" t="str">
        <f>IF(A53=FALSE,"",IF(LISTES!$A$17=1,Cotations!AO53,Cotations!$AP$4))</f>
        <v/>
      </c>
      <c r="FC53" s="291" t="str">
        <f t="shared" si="476"/>
        <v/>
      </c>
      <c r="FD53" s="291" t="str">
        <f t="shared" si="477"/>
        <v/>
      </c>
      <c r="FE53" s="291"/>
      <c r="FF53" s="463"/>
      <c r="FG53" s="463" t="str">
        <f t="shared" si="478"/>
        <v/>
      </c>
      <c r="FH53" s="522" t="str">
        <f>IF(A53=FALSE,"",IF(Cotations!$AQ$4="monthly",FG53/12*L53,FG53/365*M53))</f>
        <v/>
      </c>
      <c r="FI53" s="453" t="str">
        <f>IF(A53=FALSE,"",Cotations!$AR$4)</f>
        <v/>
      </c>
      <c r="FJ53" s="300" t="str">
        <f t="shared" si="479"/>
        <v/>
      </c>
      <c r="FK53" s="300" t="str">
        <f t="shared" si="480"/>
        <v/>
      </c>
      <c r="FL53" s="294" t="str">
        <f t="shared" si="481"/>
        <v/>
      </c>
      <c r="FM53" s="494" t="str">
        <f>IF(A53=FALSE,"",Cotations!$AS$4)</f>
        <v/>
      </c>
      <c r="FN53" s="494" t="str">
        <f>IF(A53=FALSE,"",Cotations!$AT$4)</f>
        <v/>
      </c>
      <c r="FO53" s="489" t="str">
        <f>IF(A53=FALSE,"",Cotations!$AU$4)</f>
        <v/>
      </c>
      <c r="FP53" s="494" t="str">
        <f>IF(A53=FALSE,"",IF(FM53="N/A",0,IF(INDEX(LISTES!$F$105:$F$109,MATCH(FM53,LISTES!$C$105:$C$109,0))="FIX",IF(INDEX(LISTES!$E$105:$E$109,MATCH(FM53,LISTES!$C$105:$C$109,0))=12,FN53/12*L53,FN53/365*M53),FO53*FL53)))</f>
        <v/>
      </c>
      <c r="FQ53" s="294" t="str">
        <f t="shared" si="482"/>
        <v/>
      </c>
      <c r="FR53" s="494" t="str">
        <f>IF(A53=FALSE,"",FQ53*Cotations!$AV$4)</f>
        <v/>
      </c>
      <c r="FS53" s="494" t="str">
        <f>IF(A53=FALSE,"",FQ53*Cotations!$AW$4)</f>
        <v/>
      </c>
      <c r="FT53" s="465" t="str">
        <f t="shared" si="483"/>
        <v/>
      </c>
      <c r="FU53" s="919" t="str">
        <f>IF(A53=FALSE,"",((FG53*TAXE)-(FG53*TAXE*FI53))+IF(FM53="N/A",0,IF(INDEX(LISTES!$F$105:$F$109,MATCH(FM53,LISTES!$C$105:$C$109,0))="FIX",FN53,FO53*FL53)))</f>
        <v/>
      </c>
      <c r="FV53" s="478"/>
      <c r="FW53" s="478"/>
      <c r="FX53" s="478"/>
      <c r="FY53" s="478"/>
      <c r="FZ53" s="478"/>
      <c r="GA53" s="492" t="str">
        <f>IF(A53=FALSE,"",Cotations!D53)</f>
        <v/>
      </c>
      <c r="GB53" s="494" t="str">
        <f>IF(A53=FALSE,"",IF(LISTES!$A$17=1,Cotations!AO53,Cotations!AP53))</f>
        <v/>
      </c>
      <c r="GC53" s="284" t="str">
        <f t="shared" si="484"/>
        <v/>
      </c>
      <c r="GD53" s="515" t="str">
        <f>IF(A53=FALSE,"",IF(Detail!AM53="","",Detail!AM53))</f>
        <v/>
      </c>
      <c r="GE53" s="284"/>
      <c r="GF53" s="284"/>
      <c r="GG53" s="284" t="str">
        <f t="shared" si="485"/>
        <v/>
      </c>
      <c r="GH53" s="515" t="str">
        <f>IF(A53=FALSE,"",IF(Cotations!AQ53="monthly",GG53/12*L53,GG53/365*M53))</f>
        <v/>
      </c>
      <c r="GI53" s="493" t="str">
        <f>IF(A53=FALSE,"",IF(Cotations!AR53="","",Cotations!AR53))</f>
        <v/>
      </c>
      <c r="GJ53" s="284" t="str">
        <f t="shared" si="486"/>
        <v/>
      </c>
      <c r="GK53" s="284" t="str">
        <f t="shared" si="487"/>
        <v/>
      </c>
      <c r="GL53" s="284" t="str">
        <f t="shared" si="488"/>
        <v/>
      </c>
      <c r="GM53" s="515" t="str">
        <f>IF(A53=FALSE,"",Cotations!AS53)</f>
        <v/>
      </c>
      <c r="GN53" s="515" t="str">
        <f>IF(A53=FALSE,"",Cotations!AT53)</f>
        <v/>
      </c>
      <c r="GO53" s="493" t="str">
        <f>IF(A53=FALSE,"",Cotations!AU53)</f>
        <v/>
      </c>
      <c r="GP53" s="515" t="str">
        <f>IF(A53=FALSE,"",IF(GM53="N/A",0,IF(INDEX(LISTES!$F$105:$F$109,MATCH(GM53,LISTES!$C$105:$C$109,0))="FIX",IF(INDEX(LISTES!$E$105:$E$109,MATCH(GM53,LISTES!$C$105:$C$109,0))=12,GN53/12*L53,GN53/365*M53),GO53*GL53)))</f>
        <v/>
      </c>
      <c r="GQ53" s="294" t="str">
        <f t="shared" si="489"/>
        <v/>
      </c>
      <c r="GR53" s="494" t="str">
        <f>IF(A53=FALSE,"",GQ53*Cotations!AV53)</f>
        <v/>
      </c>
      <c r="GS53" s="494" t="str">
        <f>IF(A53=FALSE,"",GQ53*Cotations!AW53)</f>
        <v/>
      </c>
      <c r="GT53" s="334" t="str">
        <f t="shared" si="490"/>
        <v/>
      </c>
      <c r="GU53" s="919" t="str">
        <f>IF(A53=FALSE,"",((GG53*TAXE)-(GG53*TAXE*GI53))+IF(GM53="N/A",0,IF(INDEX(LISTES!$F$105:$F$109,MATCH(GM53,LISTES!$C$105:$C$109,0))="FIX",GN53,GO53*GL53)))</f>
        <v/>
      </c>
      <c r="GV53" s="478"/>
      <c r="GW53" s="466"/>
      <c r="GX53" s="466"/>
      <c r="GY53" s="466"/>
      <c r="GZ53" s="466"/>
      <c r="HA53" s="492" t="str">
        <f>IF(A53=FALSE,"",Cotations!D53)</f>
        <v/>
      </c>
      <c r="HB53" s="495" t="str">
        <f>IF(A53=FALSE,"",IF(LISTES!$A$17=1,Cotations!AX53,Cotations!$AY$4))</f>
        <v/>
      </c>
      <c r="HC53" s="291" t="str">
        <f t="shared" si="491"/>
        <v/>
      </c>
      <c r="HD53" s="291" t="str">
        <f t="shared" si="492"/>
        <v/>
      </c>
      <c r="HE53" s="456" t="str">
        <f t="shared" si="493"/>
        <v/>
      </c>
      <c r="HF53" s="496" t="str">
        <f>IF(A53=FALSE,"",IF(HA53="POEA",Cotations!BA53,IF(HA53="FIXE",Cotations!$BA$4,Cotations!$BC$4*Y53)))</f>
        <v/>
      </c>
      <c r="HG53" s="300" t="str">
        <f t="shared" si="494"/>
        <v/>
      </c>
      <c r="HH53" s="522" t="str">
        <f>IF(A53=FALSE,"",IF(Cotations!$AZ$4="monthly",HG53/12*L53,HG53/365*M53))</f>
        <v/>
      </c>
      <c r="HI53" s="489" t="str">
        <f>IF(A53=FALSE,"",Cotations!$BD$4)</f>
        <v/>
      </c>
      <c r="HJ53" s="300" t="str">
        <f t="shared" si="495"/>
        <v/>
      </c>
      <c r="HK53" s="300" t="str">
        <f t="shared" si="496"/>
        <v/>
      </c>
      <c r="HL53" s="294" t="str">
        <f t="shared" si="497"/>
        <v/>
      </c>
      <c r="HM53" s="494" t="str">
        <f>IF(A53=FALSE,"",Cotations!$BE$4)</f>
        <v/>
      </c>
      <c r="HN53" s="522" t="str">
        <f>IF(A53=FALSE,"",Cotations!$BF$4)</f>
        <v/>
      </c>
      <c r="HO53" s="489" t="str">
        <f>IF(A53=FALSE,"",Cotations!$BG$4)</f>
        <v/>
      </c>
      <c r="HP53" s="494" t="str">
        <f>IF(A53=FALSE,"",IF(HM53="N/A",0,IF(INDEX(LISTES!$F$105:$F$109,MATCH(HM53,LISTES!$C$105:$C$109,0))="FIX",IF(INDEX(LISTES!$E$105:$E$109,MATCH(HM53,LISTES!$C$105:$C$109,0))=12,HN53/12*L53,HN53/365*M53),HO53*HL53)))</f>
        <v/>
      </c>
      <c r="HQ53" s="294" t="str">
        <f t="shared" si="498"/>
        <v/>
      </c>
      <c r="HR53" s="494" t="str">
        <f>IF(A53=FALSE,"",HQ53*Cotations!$BH$4)</f>
        <v/>
      </c>
      <c r="HS53" s="494" t="str">
        <f>IF(A53=FALSE,"",HQ53*Cotations!$BI$4)</f>
        <v/>
      </c>
      <c r="HT53" s="294" t="str">
        <f t="shared" si="499"/>
        <v/>
      </c>
      <c r="HU53" s="919" t="str">
        <f>IF(A53=FALSE,"",((HG53*TAXE)-(HG53*TAXE*HI53))+IF(HM53="N/A",0,IF(INDEX(LISTES!$F$105:$F$109,MATCH(HM53,LISTES!$C$105:$C$109,0))="FIX",HN53,HO53*HL53)))</f>
        <v/>
      </c>
      <c r="IA53" s="492" t="str">
        <f>IF(A53=FALSE,"",Cotations!D53)</f>
        <v/>
      </c>
      <c r="IB53" s="491" t="str">
        <f>IF(A53=FALSE,"",IF(LISTES!$A$17=1,Cotations!AX53,Cotations!AY53))</f>
        <v/>
      </c>
      <c r="IC53" s="285" t="str">
        <f t="shared" si="500"/>
        <v/>
      </c>
      <c r="ID53" s="300" t="str">
        <f>IF(A53=FALSE,"",IF(LISTES!$A$17=3,Detail!AU53,lig1_Formula_PREVOY))</f>
        <v/>
      </c>
      <c r="IE53" s="461" t="str">
        <f t="shared" si="501"/>
        <v/>
      </c>
      <c r="IF53" s="490" t="str">
        <f>IF(A53=FALSE,"",IF(IA53="POEA",Cotations!BA53,IF(HA53="FIXE",Cotations!BB53,IF(Cotations!BC53*Y53&lt;50000,Z53,Cotations!BC53*Y53))))</f>
        <v/>
      </c>
      <c r="IG53" s="300" t="str">
        <f t="shared" si="502"/>
        <v/>
      </c>
      <c r="IH53" s="522" t="str">
        <f>IF(A53=FALSE,"",IF(Cotations!AZ53="monthly",IG53/12*L53,IG53/365*M53))</f>
        <v/>
      </c>
      <c r="II53" s="489" t="str">
        <f>IF(A53=FALSE,"",IF(Cotations!BD53="","",Cotations!BD53))</f>
        <v/>
      </c>
      <c r="IJ53" s="300" t="str">
        <f t="shared" si="503"/>
        <v/>
      </c>
      <c r="IK53" s="300" t="str">
        <f t="shared" si="504"/>
        <v/>
      </c>
      <c r="IL53" s="919" t="str">
        <f t="shared" si="505"/>
        <v/>
      </c>
      <c r="IM53" s="517" t="str">
        <f>IF(A53=FALSE,"",Cotations!BE53)</f>
        <v/>
      </c>
      <c r="IN53" s="517" t="str">
        <f>IF(A53=FALSE,"",Cotations!BF53)</f>
        <v/>
      </c>
      <c r="IO53" s="493" t="str">
        <f>IF(A53=FALSE,"",Cotations!BG53)</f>
        <v/>
      </c>
      <c r="IP53" s="517" t="str">
        <f>IF(A53=FALSE,"",IF(IM53="N/A",0,IF(INDEX(LISTES!$F$105:$F$109,MATCH(IM53,LISTES!$C$105:$C$109,0))="FIX",IF(INDEX(LISTES!$E$105:$E$109,MATCH(IM53,LISTES!$C$105:$C$109,0))=12,IN53/12*L53,IN53/365*M53),IO53*IL53)))</f>
        <v/>
      </c>
      <c r="IQ53" s="294" t="str">
        <f t="shared" si="506"/>
        <v/>
      </c>
      <c r="IR53" s="494" t="str">
        <f>IF(A53=FALSE,"",IQ53*Cotations!BH53)</f>
        <v/>
      </c>
      <c r="IS53" s="494" t="str">
        <f>IF(A53=FALSE,"",IQ53*Cotations!BI53)</f>
        <v/>
      </c>
      <c r="IT53" s="338" t="str">
        <f t="shared" si="507"/>
        <v/>
      </c>
      <c r="IU53" s="919" t="str">
        <f>IF(A53=FALSE,"",((IG53*TAXE)-(IG53*TAXE*II53))+IF(IM53="N/A",0,IF(INDEX(LISTES!$F$105:$F$109,MATCH(IM53,LISTES!$C$105:$C$109,0))="FIX",IN53,IO53*IL53)))</f>
        <v/>
      </c>
      <c r="JA53" s="492" t="str">
        <f>IF(A53=FALSE,"",Cotations!D53)</f>
        <v/>
      </c>
      <c r="JB53" s="495" t="str">
        <f>IF(A53=FALSE,"",IF(LISTES!$A$17=1,Cotations!BJ53,Cotations!$BK$4))</f>
        <v/>
      </c>
      <c r="JC53" s="291" t="str">
        <f t="shared" si="508"/>
        <v/>
      </c>
      <c r="JD53" s="291" t="str">
        <f t="shared" si="509"/>
        <v/>
      </c>
      <c r="JE53" s="456" t="str">
        <f t="shared" si="510"/>
        <v/>
      </c>
      <c r="JF53" s="496" t="str">
        <f>IF(A53=FALSE,"",IF(JA53="POEA",Cotations!BM53,IF(JA53="FIXE",Cotations!$BM$4,Cotations!$BO$4*Y53)))</f>
        <v/>
      </c>
      <c r="JG53" s="300" t="str">
        <f t="shared" si="511"/>
        <v/>
      </c>
      <c r="JH53" s="522" t="str">
        <f>IF(A53=FALSE,"",IF(Cotations!$BL$4="monthly",JG53/12*L53,JG53/365*M53))</f>
        <v/>
      </c>
      <c r="JI53" s="489" t="str">
        <f>IF(A53=FALSE,"",Cotations!$BP$4)</f>
        <v/>
      </c>
      <c r="JJ53" s="300" t="str">
        <f t="shared" si="512"/>
        <v/>
      </c>
      <c r="JK53" s="300" t="str">
        <f t="shared" si="513"/>
        <v/>
      </c>
      <c r="JL53" s="294" t="str">
        <f t="shared" si="514"/>
        <v/>
      </c>
      <c r="JM53" s="494" t="str">
        <f>IF(A53=FALSE,"",Cotations!$BQ$4)</f>
        <v/>
      </c>
      <c r="JN53" s="522" t="str">
        <f>IF(A53=FALSE,"",Cotations!$BR$4)</f>
        <v/>
      </c>
      <c r="JO53" s="489" t="str">
        <f>IF(A53=FALSE,"",Cotations!$BS$4)</f>
        <v/>
      </c>
      <c r="JP53" s="494" t="str">
        <f>IF(A53=FALSE,"",IF(JM53="N/A",0,IF(INDEX(LISTES!$F$105:$F$109,MATCH(JM53,LISTES!$C$105:$C$109,0))="FIX",IF(INDEX(LISTES!$E$105:$E$109,MATCH(JM53,LISTES!$C$105:$C$109,0))=12,JN53/12*L53,JN53/365*M53),JO53*JL53)))</f>
        <v/>
      </c>
      <c r="JQ53" s="294" t="str">
        <f t="shared" si="515"/>
        <v/>
      </c>
      <c r="JR53" s="494" t="str">
        <f>IF(A53=FALSE,"",JQ53*Cotations!$BT$4)</f>
        <v/>
      </c>
      <c r="JS53" s="494" t="str">
        <f>IF(A53=FALSE,"",JQ53*Cotations!$BU$4)</f>
        <v/>
      </c>
      <c r="JT53" s="294" t="str">
        <f t="shared" si="516"/>
        <v/>
      </c>
      <c r="JU53" s="919" t="str">
        <f>IF(A53=FALSE,"",((JG53*TAXE)-(JG53*TAXE*JI53))+IF(JM53="N/A",0,IF(INDEX(LISTES!$F$105:$F$109,MATCH(JM53,LISTES!$C$105:$C$109,0))="FIX",JN53,JO53*JL53)))</f>
        <v/>
      </c>
      <c r="KA53" s="492" t="str">
        <f>IF(A53=FALSE,"",Cotations!D53)</f>
        <v/>
      </c>
      <c r="KB53" s="491" t="str">
        <f>IF(A53=FALSE,"",IF(LISTES!$A$17=1,Cotations!BJ53,Cotations!BK53))</f>
        <v/>
      </c>
      <c r="KC53" s="285" t="str">
        <f t="shared" si="517"/>
        <v/>
      </c>
      <c r="KD53" s="300"/>
      <c r="KE53" s="461" t="str">
        <f t="shared" si="518"/>
        <v/>
      </c>
      <c r="KF53" s="490" t="str">
        <f>IF(A53=FALSE,"",IF(KA53="POEA",Cotations!BM53,IF(KA53="FIXE",Cotations!BN53,IF(Cotations!BO53*Y53&lt;50000,Z53,Cotations!BO53*Y53))))</f>
        <v/>
      </c>
      <c r="KG53" s="300" t="str">
        <f t="shared" si="519"/>
        <v/>
      </c>
      <c r="KH53" s="522" t="str">
        <f>IF(A53=FALSE,"",IF(Cotations!BL53="monthly",KG53/12*L53,KG53/365*M53))</f>
        <v/>
      </c>
      <c r="KI53" s="489" t="str">
        <f>IF(A53=FALSE,"",IF(Cotations!BP53="","",Cotations!BP53))</f>
        <v/>
      </c>
      <c r="KJ53" s="300" t="str">
        <f t="shared" si="520"/>
        <v/>
      </c>
      <c r="KK53" s="300" t="str">
        <f t="shared" si="521"/>
        <v/>
      </c>
      <c r="KL53" s="919" t="str">
        <f t="shared" si="522"/>
        <v/>
      </c>
      <c r="KM53" s="517" t="str">
        <f>IF(A53=FALSE,"",Cotations!BQ53)</f>
        <v/>
      </c>
      <c r="KN53" s="515" t="str">
        <f>IF(A53=FALSE,"",Cotations!BR53)</f>
        <v/>
      </c>
      <c r="KO53" s="493" t="str">
        <f>IF(A53=FALSE,"",Cotations!BS53)</f>
        <v/>
      </c>
      <c r="KP53" s="517" t="str">
        <f>IF(A53=FALSE,"",IF(KM53="N/A",0,IF(INDEX(LISTES!$F$105:$F$109,MATCH(KM53,LISTES!$C$105:$C$109,0))="FIX",IF(INDEX(LISTES!$E$105:$E$109,MATCH(KM53,LISTES!$C$105:$C$109,0))=12,KN53/12*L53,KN53/365*M53),KO53*KL53)))</f>
        <v/>
      </c>
      <c r="KQ53" s="294" t="str">
        <f t="shared" si="523"/>
        <v/>
      </c>
      <c r="KR53" s="494" t="str">
        <f>IF(A53=FALSE,"",KQ53*Cotations!BT53)</f>
        <v/>
      </c>
      <c r="KS53" s="494" t="str">
        <f>IF(A53=FALSE,"",KQ53*Cotations!BU53)</f>
        <v/>
      </c>
      <c r="KT53" s="338" t="str">
        <f t="shared" si="524"/>
        <v/>
      </c>
      <c r="KU53" s="919" t="str">
        <f>IF(A53=FALSE,"",((KG53*TAXE)-(KG53*TAXE*KI53))+IF(KM53="N/A",0,IF(INDEX(LISTES!$F$105:$F$109,MATCH(KM53,LISTES!$C$105:$C$109,0))="FIX",KN53,KO53*KL53)))</f>
        <v/>
      </c>
      <c r="LA53" s="497" t="str">
        <f>IF(A53=FALSE,"",Cotations!D53)</f>
        <v/>
      </c>
      <c r="LB53" s="498" t="str">
        <f>IF(A53=FALSE,"",IF(LISTES!$A$17=1,Cotations!BV53,Cotations!$BW$4))</f>
        <v/>
      </c>
      <c r="LC53" s="499" t="str">
        <f t="shared" si="525"/>
        <v/>
      </c>
      <c r="LD53" s="499" t="str">
        <f t="shared" si="526"/>
        <v/>
      </c>
      <c r="LE53" s="500" t="str">
        <f t="shared" si="527"/>
        <v/>
      </c>
      <c r="LF53" s="501" t="str">
        <f>IF(A53=FALSE,"",IF(LA53="POEA",Cotations!EJ53,IF(LA53="FIXE",Cotations!$BY$4,Cotations!$CA$4*Y53)))</f>
        <v/>
      </c>
      <c r="LG53" s="502" t="str">
        <f t="shared" si="528"/>
        <v/>
      </c>
      <c r="LH53" s="520" t="str">
        <f>IF(A53=FALSE,"",IF(Cotations!$BX$4="monthly",LG53/12*L53,LG53/365*M53))</f>
        <v/>
      </c>
      <c r="LI53" s="503" t="str">
        <f>IF(A53=FALSE,"",Cotations!$CB$4)</f>
        <v/>
      </c>
      <c r="LJ53" s="502" t="str">
        <f t="shared" si="529"/>
        <v/>
      </c>
      <c r="LK53" s="502" t="str">
        <f t="shared" si="530"/>
        <v/>
      </c>
      <c r="LL53" s="504" t="str">
        <f t="shared" si="531"/>
        <v/>
      </c>
      <c r="LM53" s="505" t="str">
        <f>IF(A53=FALSE,"",Cotations!$CC$4)</f>
        <v/>
      </c>
      <c r="LN53" s="503" t="str">
        <f>IF(A53=FALSE,"",Cotations!$CD$4)</f>
        <v/>
      </c>
      <c r="LO53" s="503" t="str">
        <f>IF(A53=FALSE,"",Cotations!$CE$4)</f>
        <v/>
      </c>
      <c r="LP53" s="505" t="str">
        <f>IF(A53=FALSE,"",IF(LM53="N/A",0,IF(INDEX(LISTES!$F$105:$F$109,MATCH(LM53,LISTES!$C$105:$C$109,0))="FIX",IF(INDEX(LISTES!$E$105:$E$109,MATCH(LM53,LISTES!$C$105:$C$109,0))=12,LN53/12*L53,LN53/365*M53),LO53*LL53)))</f>
        <v/>
      </c>
      <c r="LQ53" s="504" t="str">
        <f t="shared" si="532"/>
        <v/>
      </c>
      <c r="LR53" s="505" t="str">
        <f>IF(A53=FALSE,"",LQ53*Cotations!$CF$4)</f>
        <v/>
      </c>
      <c r="LS53" s="505" t="str">
        <f>IF(A53=FALSE,"",LQ53*Cotations!$CG$4)</f>
        <v/>
      </c>
      <c r="LT53" s="506" t="str">
        <f t="shared" si="533"/>
        <v/>
      </c>
      <c r="LU53" s="919" t="str">
        <f>IF(A53=FALSE,"",((LG53*TAXE)-(LG53*TAXE*LI53))+IF(LM53="N/A",0,IF(INDEX(LISTES!$F$105:$F$109,MATCH(LM53,LISTES!$C$105:$C$109,0))="FIX",LN53,LO53*LL53)))</f>
        <v/>
      </c>
      <c r="MA53" s="492" t="str">
        <f>IF(A53=FALSE,"",Cotations!D53)</f>
        <v/>
      </c>
      <c r="MB53" s="491" t="str">
        <f>IF(A53=FALSE,"",IF(LISTES!$A$17=1,Cotations!BV53,Cotations!BW53))</f>
        <v/>
      </c>
      <c r="MC53" s="285" t="str">
        <f t="shared" si="534"/>
        <v/>
      </c>
      <c r="MD53" s="300"/>
      <c r="ME53" s="461" t="str">
        <f t="shared" si="535"/>
        <v/>
      </c>
      <c r="MF53" s="490" t="str">
        <f>IF(A53=FALSE,"",IF(MA53="POEA",Cotations!BY53,IF(MA53="FIXE",Cotations!BZ53,IF(Cotations!CA53*Y53&lt;50000,Z53,Cotations!CA53*Y53))))</f>
        <v/>
      </c>
      <c r="MG53" s="300" t="str">
        <f t="shared" si="536"/>
        <v/>
      </c>
      <c r="MH53" s="522" t="str">
        <f>IF(A53=FALSE,"",IF(Cotations!BX53="monthly",MG53/12*L53,MG53/365*M53))</f>
        <v/>
      </c>
      <c r="MI53" s="489" t="str">
        <f>IF(A53=FALSE,"",IF(Cotations!CB53="","",Cotations!CB53))</f>
        <v/>
      </c>
      <c r="MJ53" s="300" t="str">
        <f t="shared" si="537"/>
        <v/>
      </c>
      <c r="MK53" s="300" t="str">
        <f t="shared" si="538"/>
        <v/>
      </c>
      <c r="ML53" s="919" t="str">
        <f t="shared" si="539"/>
        <v/>
      </c>
      <c r="MM53" s="517" t="str">
        <f>IF(A53=FALSE,"",Cotations!CC53)</f>
        <v/>
      </c>
      <c r="MN53" s="515" t="str">
        <f>IF(A53=FALSE,"",Cotations!CD53)</f>
        <v/>
      </c>
      <c r="MO53" s="493" t="str">
        <f>IF(A53=FALSE,"",Cotations!CE53)</f>
        <v/>
      </c>
      <c r="MP53" s="517" t="str">
        <f>IF(A53=FALSE,"",IF(MM53="N/A",0,IF(INDEX(LISTES!$F$105:$F$109,MATCH(MM53,LISTES!$C$105:$C$109,0))="FIX",IF(INDEX(LISTES!$E$105:$E$109,MATCH(MM53,LISTES!$C$105:$C$109,0))=12,MN53/12*L53,MN53/365*M53),MO53*ML53)))</f>
        <v/>
      </c>
      <c r="MQ53" s="294" t="str">
        <f t="shared" si="540"/>
        <v/>
      </c>
      <c r="MR53" s="494" t="str">
        <f>IF(A53=FALSE,"",MQ53*Cotations!CF53)</f>
        <v/>
      </c>
      <c r="MS53" s="494" t="str">
        <f>IF(A53=FALSE,"",MQ53*Cotations!CG53)</f>
        <v/>
      </c>
      <c r="MT53" s="338" t="str">
        <f t="shared" si="541"/>
        <v/>
      </c>
      <c r="MU53" s="919" t="str">
        <f>IF(A53=FALSE,"",((MG53*TAXE)-(MG53*TAXE*MI53))+IF(MM53="N/A",0,IF(INDEX(LISTES!$F$105:$F$109,MATCH(MM53,LISTES!$C$105:$C$109,0))="FIX",MN53,MO53*ML53)))</f>
        <v/>
      </c>
      <c r="NA53" s="497" t="str">
        <f>IF(A53=FALSE,"",Cotations!D53)</f>
        <v/>
      </c>
      <c r="NB53" s="498" t="str">
        <f>IF(A53=FALSE,"",IF(LISTES!$A$17=1,Cotations!CH53,Cotations!$CI$4))</f>
        <v/>
      </c>
      <c r="NC53" s="499" t="str">
        <f t="shared" si="542"/>
        <v/>
      </c>
      <c r="ND53" s="499" t="str">
        <f t="shared" si="543"/>
        <v/>
      </c>
      <c r="NE53" s="500" t="str">
        <f t="shared" si="544"/>
        <v/>
      </c>
      <c r="NF53" s="501" t="str">
        <f>IF(A53=FALSE,"",IF(NA53="POEA",Cotations!CK53,IF(NA53="FIXE",Cotations!$CK$4,Cotations!$CM$4*Y53)))</f>
        <v/>
      </c>
      <c r="NG53" s="502" t="str">
        <f t="shared" si="545"/>
        <v/>
      </c>
      <c r="NH53" s="520" t="str">
        <f>IF(A53=FALSE,"",IF(Cotations!$CJ$4="monthly",NG53/12*L53,NG53/365*M53))</f>
        <v/>
      </c>
      <c r="NI53" s="503" t="str">
        <f>IF(A53=FALSE,"",Cotations!$CN$4)</f>
        <v/>
      </c>
      <c r="NJ53" s="502" t="str">
        <f t="shared" si="546"/>
        <v/>
      </c>
      <c r="NK53" s="502" t="str">
        <f t="shared" si="547"/>
        <v/>
      </c>
      <c r="NL53" s="504" t="str">
        <f t="shared" si="548"/>
        <v/>
      </c>
      <c r="NM53" s="505" t="str">
        <f>IF(A53=FALSE,"",Cotations!$CO$4)</f>
        <v/>
      </c>
      <c r="NN53" s="520" t="str">
        <f>IF(A53=FALSE,"",Cotations!$CP$4)</f>
        <v/>
      </c>
      <c r="NO53" s="503" t="str">
        <f>IF(A53=FALSE,"",Cotations!$CQ$4)</f>
        <v/>
      </c>
      <c r="NP53" s="505" t="str">
        <f>IF(A53=FALSE,"",IF(NM53="N/A",0,IF(INDEX(LISTES!$F$105:$F$109,MATCH(NM53,LISTES!$C$105:$C$109,0))="FIX",IF(INDEX(LISTES!$E$105:$E$109,MATCH(NM53,LISTES!$C$105:$C$109,0))=12,NN53/12*L53,NN53/365*M53),NO53*NL53)))</f>
        <v/>
      </c>
      <c r="NQ53" s="504" t="str">
        <f t="shared" si="549"/>
        <v/>
      </c>
      <c r="NR53" s="505" t="str">
        <f>IF(A53=FALSE,"",NQ53*Cotations!$CR$4)</f>
        <v/>
      </c>
      <c r="NS53" s="505" t="str">
        <f>IF(A53=FALSE,"",NQ53*Cotations!$CS$4)</f>
        <v/>
      </c>
      <c r="NT53" s="506" t="str">
        <f t="shared" si="550"/>
        <v/>
      </c>
      <c r="NU53" s="919" t="str">
        <f>IF(A53=FALSE,"",((NG53*TAXE)-(NG53*TAXE*NI53))+IF(NM53="N/A",0,IF(INDEX(LISTES!$F$105:$F$109,MATCH(NM53,LISTES!$C$105:$C$109,0))="FIX",NN53,NO53*NL53)))</f>
        <v/>
      </c>
      <c r="OA53" s="492" t="str">
        <f>IF(A53=FALSE,"",Cotations!D53)</f>
        <v/>
      </c>
      <c r="OB53" s="491" t="str">
        <f>IF(A53=FALSE,"",IF(LISTES!$A$17=1,Cotations!CH53,Cotations!CI53))</f>
        <v/>
      </c>
      <c r="OC53" s="285" t="str">
        <f t="shared" si="551"/>
        <v/>
      </c>
      <c r="OD53" s="300"/>
      <c r="OE53" s="461" t="str">
        <f t="shared" si="552"/>
        <v/>
      </c>
      <c r="OF53" s="490" t="str">
        <f>IF(A53=FALSE,"",IF(OA53="POEA",Cotations!CK53,IF(OA53="FIXE",Cotations!CL53,IF(Cotations!CM53*Y53&lt;50000,Z53,Cotations!CM53*Y53))))</f>
        <v/>
      </c>
      <c r="OG53" s="300" t="str">
        <f t="shared" si="553"/>
        <v/>
      </c>
      <c r="OH53" s="522" t="str">
        <f>IF(A53=FALSE,"",IF(Cotations!CJ53="monthly",OG53/12*L53,OG53/365*M53))</f>
        <v/>
      </c>
      <c r="OI53" s="489" t="str">
        <f>IF(A53=FALSE,"",IF(Cotations!CN53="","",Cotations!CN53))</f>
        <v/>
      </c>
      <c r="OJ53" s="300" t="str">
        <f t="shared" si="554"/>
        <v/>
      </c>
      <c r="OK53" s="300" t="str">
        <f t="shared" si="555"/>
        <v/>
      </c>
      <c r="OL53" s="919" t="str">
        <f t="shared" si="556"/>
        <v/>
      </c>
      <c r="OM53" s="517" t="str">
        <f>IF(A53=FALSE,"",Cotations!CO53)</f>
        <v/>
      </c>
      <c r="ON53" s="515" t="str">
        <f>IF(A53=FALSE,"",Cotations!CP53)</f>
        <v/>
      </c>
      <c r="OO53" s="493" t="str">
        <f>IF(A53=FALSE,"",Cotations!CQ53)</f>
        <v/>
      </c>
      <c r="OP53" s="517" t="str">
        <f>IF(A53=FALSE,"",IF(OM53="N/A",0,IF(INDEX(LISTES!$F$105:$F$109,MATCH(OM53,LISTES!$C$105:$C$109,0))="FIX",IF(INDEX(LISTES!$E$105:$E$109,MATCH(OM53,LISTES!$C$105:$C$109,0))=12,ON53/12*L53,ON53/365*M53),OO53*OL53)))</f>
        <v/>
      </c>
      <c r="OQ53" s="294" t="str">
        <f t="shared" si="557"/>
        <v/>
      </c>
      <c r="OR53" s="494" t="str">
        <f>IF(A53=FALSE,"",OQ53*Cotations!CR53)</f>
        <v/>
      </c>
      <c r="OS53" s="494" t="str">
        <f>IF(A53=FALSE,"",OQ53*Cotations!CS53)</f>
        <v/>
      </c>
      <c r="OT53" s="338" t="str">
        <f t="shared" si="558"/>
        <v/>
      </c>
      <c r="OU53" s="919" t="str">
        <f>IF(A53=FALSE,"",((OG53*TAXE)-(OG53*TAXE*OI53))+IF(OM53="N/A",0,IF(INDEX(LISTES!$F$105:$F$109,MATCH(OM53,LISTES!$C$105:$C$109,0))="FIX",ON53,OO53*OL53)))</f>
        <v/>
      </c>
      <c r="PA53" s="497" t="str">
        <f t="shared" si="559"/>
        <v/>
      </c>
      <c r="PB53" s="498" t="str">
        <f>IF(A53=FALSE,"",IF(LISTES!$A$17=1,Cotations!CT53,Cotations!$CU$4))</f>
        <v/>
      </c>
      <c r="PC53" s="499" t="str">
        <f t="shared" si="560"/>
        <v/>
      </c>
      <c r="PD53" s="499" t="str">
        <f t="shared" si="561"/>
        <v/>
      </c>
      <c r="PE53" s="500" t="str">
        <f t="shared" si="562"/>
        <v/>
      </c>
      <c r="PF53" s="501" t="str">
        <f>IF(A53=FALSE,"",Cotations!$CY$4*Y53)</f>
        <v/>
      </c>
      <c r="PG53" s="502" t="str">
        <f t="shared" si="563"/>
        <v/>
      </c>
      <c r="PH53" s="520" t="str">
        <f>IF(A53=FALSE,"",IF(Cotations!$CV$4="monthly",PG53/12*L53,PG53/365*M53))</f>
        <v/>
      </c>
      <c r="PI53" s="503" t="str">
        <f>IF(A53=FALSE,"",Cotations!$CZ$4)</f>
        <v/>
      </c>
      <c r="PJ53" s="502" t="str">
        <f t="shared" si="564"/>
        <v/>
      </c>
      <c r="PK53" s="502" t="str">
        <f t="shared" si="565"/>
        <v/>
      </c>
      <c r="PL53" s="504" t="str">
        <f t="shared" si="566"/>
        <v/>
      </c>
      <c r="PM53" s="505" t="str">
        <f>IF(A53=FALSE,"",Cotations!$DA$4)</f>
        <v/>
      </c>
      <c r="PN53" s="520" t="str">
        <f>IF(A53=FALSE,"",Cotations!$DB$4)</f>
        <v/>
      </c>
      <c r="PO53" s="503" t="str">
        <f>IF(A53=FALSE,"",Cotations!$DC$4)</f>
        <v/>
      </c>
      <c r="PP53" s="505" t="str">
        <f>IF(A53=FALSE,"",IF(PM53="N/A",0,IF(INDEX(LISTES!$F$105:$F$109,MATCH(PM53,LISTES!$C$105:$C$109,0))="FIX",IF(INDEX(LISTES!$E$105:$E$109,MATCH(PM53,LISTES!$C$105:$C$109,0))=12,PN53/12*L53,PN53/365*M53),PO53*PL53)))</f>
        <v/>
      </c>
      <c r="PQ53" s="504" t="str">
        <f t="shared" si="567"/>
        <v/>
      </c>
      <c r="PR53" s="505" t="str">
        <f>IF(A53=FALSE,"",PQ53*Cotations!$DD$4)</f>
        <v/>
      </c>
      <c r="PS53" s="505" t="str">
        <f>IF(A53=FALSE,"",PQ53*Cotations!$DE$4)</f>
        <v/>
      </c>
      <c r="PT53" s="506" t="str">
        <f t="shared" si="568"/>
        <v/>
      </c>
      <c r="PU53" s="919" t="str">
        <f>IF(A53=FALSE,"",((PG53*TAXE)-(PG53*TAXE*PI53))+IF(PM53="N/A",0,IF(INDEX(LISTES!$F$105:$F$109,MATCH(PM53,LISTES!$C$105:$C$109,0))="FIX",PN53,PO53*PL53)))</f>
        <v/>
      </c>
      <c r="QA53" s="492" t="str">
        <f t="shared" si="569"/>
        <v/>
      </c>
      <c r="QB53" s="491" t="str">
        <f>IF(A53=FALSE,"",IF(LISTES!$A$17=1,Cotations!CT53,Cotations!CU53))</f>
        <v/>
      </c>
      <c r="QC53" s="285" t="str">
        <f t="shared" si="570"/>
        <v/>
      </c>
      <c r="QD53" s="300"/>
      <c r="QE53" s="461" t="str">
        <f t="shared" si="571"/>
        <v/>
      </c>
      <c r="QF53" s="490" t="str">
        <f>IF(A53=FALSE,"",Cotations!CY53*AA53)</f>
        <v/>
      </c>
      <c r="QG53" s="300" t="str">
        <f t="shared" si="572"/>
        <v/>
      </c>
      <c r="QH53" s="522" t="str">
        <f>IF(A53=FALSE,"",IF(Cotations!CV53="monthly",QG53/12*L53,QG53/365*M53))</f>
        <v/>
      </c>
      <c r="QI53" s="489" t="str">
        <f>IF(A53=FALSE,"",IF(Cotations!CZ53="","",Cotations!CZ53))</f>
        <v/>
      </c>
      <c r="QJ53" s="300" t="str">
        <f t="shared" si="573"/>
        <v/>
      </c>
      <c r="QK53" s="300" t="str">
        <f t="shared" si="574"/>
        <v/>
      </c>
      <c r="QL53" s="919" t="str">
        <f t="shared" si="575"/>
        <v/>
      </c>
      <c r="QM53" s="517" t="str">
        <f>IF(A53=FALSE,"",Cotations!DA53)</f>
        <v/>
      </c>
      <c r="QN53" s="515" t="str">
        <f>IF(A53=FALSE,"",Cotations!DB53)</f>
        <v/>
      </c>
      <c r="QO53" s="493" t="str">
        <f>IF(A53=FALSE,"",Cotations!DC53)</f>
        <v/>
      </c>
      <c r="QP53" s="517" t="str">
        <f>IF(A53=FALSE,"",IF(QM53="N/A",0,IF(INDEX(LISTES!$F$105:$F$109,MATCH(QM53,LISTES!$C$105:$C$109,0))="FIX",IF(INDEX(LISTES!$E$105:$E$109,MATCH(QM53,LISTES!$C$105:$C$109,0))=12,QN53/12*L53,QN53/365*M53),QO53*QL53)))</f>
        <v/>
      </c>
      <c r="QQ53" s="294" t="str">
        <f t="shared" si="576"/>
        <v/>
      </c>
      <c r="QR53" s="494" t="str">
        <f>IF(A53=FALSE,"",QQ53*Cotations!DD53)</f>
        <v/>
      </c>
      <c r="QS53" s="494" t="str">
        <f>IF(A53=FALSE,"",QQ53*Cotations!DE53)</f>
        <v/>
      </c>
      <c r="QT53" s="338" t="str">
        <f t="shared" si="577"/>
        <v/>
      </c>
      <c r="QU53" s="919" t="str">
        <f>IF(A53=FALSE,"",((QG53*TAXE)-(QG53*TAXE*QI53))+IF(QM53="N/A",0,IF(INDEX(LISTES!$F$105:$F$109,MATCH(QM53,LISTES!$C$105:$C$109,0))="FIX",QN53,QO53*QL53)))</f>
        <v/>
      </c>
      <c r="RA53" s="497" t="str">
        <f t="shared" si="578"/>
        <v/>
      </c>
      <c r="RB53" s="498" t="str">
        <f>IF(A53=FALSE,"",IF(LISTES!$A$17=1,Cotations!DF53,Cotations!$DG$4))</f>
        <v/>
      </c>
      <c r="RC53" s="499" t="str">
        <f t="shared" si="579"/>
        <v/>
      </c>
      <c r="RD53" s="499" t="str">
        <f t="shared" si="580"/>
        <v/>
      </c>
      <c r="RE53" s="500" t="str">
        <f t="shared" si="581"/>
        <v/>
      </c>
      <c r="RF53" s="501" t="str">
        <f>IF(A53=FALSE,"",Cotations!$DK$4*Y53)</f>
        <v/>
      </c>
      <c r="RG53" s="502" t="str">
        <f t="shared" si="582"/>
        <v/>
      </c>
      <c r="RH53" s="520" t="str">
        <f>IF(A53=FALSE,"",IF(Cotations!$DH$4="monthly",RG53/12*L53,RG53/365*M53))</f>
        <v/>
      </c>
      <c r="RI53" s="503" t="str">
        <f>IF(A53=FALSE,"",Cotations!$DL$4)</f>
        <v/>
      </c>
      <c r="RJ53" s="502" t="str">
        <f t="shared" si="583"/>
        <v/>
      </c>
      <c r="RK53" s="502" t="str">
        <f t="shared" si="584"/>
        <v/>
      </c>
      <c r="RL53" s="504" t="str">
        <f t="shared" si="585"/>
        <v/>
      </c>
      <c r="RM53" s="505" t="str">
        <f>IF(A53=FALSE,"",Cotations!$DM$4)</f>
        <v/>
      </c>
      <c r="RN53" s="520" t="str">
        <f>IF(A53=FALSE,"",Cotations!$DN$4)</f>
        <v/>
      </c>
      <c r="RO53" s="503" t="str">
        <f>IF(A53=FALSE,"",Cotations!$DO$4)</f>
        <v/>
      </c>
      <c r="RP53" s="505" t="str">
        <f>IF(A53=FALSE,"",IF(RM53="N/A",0,IF(INDEX(LISTES!$F$105:$F$109,MATCH(RM53,LISTES!$C$105:$C$109,0))="FIX",IF(INDEX(LISTES!$E$105:$E$109,MATCH(RM53,LISTES!$C$105:$C$109,0))=12,RN53/12*L53,RN53/365*M53),RO53*RL53)))</f>
        <v/>
      </c>
      <c r="RQ53" s="504" t="str">
        <f t="shared" si="586"/>
        <v/>
      </c>
      <c r="RR53" s="505" t="str">
        <f>IF(A53=FALSE,"",RQ53*Cotations!$DP$4)</f>
        <v/>
      </c>
      <c r="RS53" s="505" t="str">
        <f>IF(A53=FALSE,"",RQ53*Cotations!$DQ$4)</f>
        <v/>
      </c>
      <c r="RT53" s="506" t="str">
        <f t="shared" si="587"/>
        <v/>
      </c>
      <c r="RU53" s="919" t="str">
        <f>IF(A53=FALSE,"",((RG53*TAXE)-(RG53*TAXE*RI53))+IF(RM53="N/A",0,IF(INDEX(LISTES!$F$105:$F$109,MATCH(RM53,LISTES!$C$105:$C$109,0))="FIX",RN53,RO53*RL53)))</f>
        <v/>
      </c>
      <c r="SA53" s="492" t="str">
        <f t="shared" si="588"/>
        <v/>
      </c>
      <c r="SB53" s="491" t="str">
        <f>IF(A53=FALSE,"",IF(LISTES!$A$17=1,Cotations!DF53,Cotations!DG53))</f>
        <v/>
      </c>
      <c r="SC53" s="285" t="str">
        <f t="shared" si="589"/>
        <v/>
      </c>
      <c r="SD53" s="300"/>
      <c r="SE53" s="461" t="str">
        <f t="shared" si="590"/>
        <v/>
      </c>
      <c r="SF53" s="490" t="str">
        <f>IF(A53=FALSE,"",Cotations!DK53*AA53)</f>
        <v/>
      </c>
      <c r="SG53" s="300" t="str">
        <f t="shared" si="591"/>
        <v/>
      </c>
      <c r="SH53" s="522" t="str">
        <f>IF(A53=FALSE,"",IF(Cotations!DH53="monthly",SG53/12*L53,SG53/365*M53))</f>
        <v/>
      </c>
      <c r="SI53" s="489" t="str">
        <f>IF(A53=FALSE,"",IF(Cotations!DL53="","",Cotations!DL53))</f>
        <v/>
      </c>
      <c r="SJ53" s="300" t="str">
        <f t="shared" si="592"/>
        <v/>
      </c>
      <c r="SK53" s="300" t="str">
        <f t="shared" si="593"/>
        <v/>
      </c>
      <c r="SL53" s="919" t="str">
        <f t="shared" si="594"/>
        <v/>
      </c>
      <c r="SM53" s="285" t="str">
        <f>IF(A53=FALSE,"",Cotations!DM53)</f>
        <v/>
      </c>
      <c r="SN53" s="515" t="str">
        <f>IF(A53=FALSE,"",Cotations!DN53)</f>
        <v/>
      </c>
      <c r="SO53" s="493" t="str">
        <f>IF(A53=FALSE,"",Cotations!DO53)</f>
        <v/>
      </c>
      <c r="SP53" s="517" t="str">
        <f>IF(A53=FALSE,"",IF(SM53="N/A",0,IF(INDEX(LISTES!$F$105:$F$109,MATCH(SM53,LISTES!$C$105:$C$109,0))="FIX",IF(INDEX(LISTES!$E$105:$E$109,MATCH(SM53,LISTES!$C$105:$C$109,0))=12,SN53/12*L53,SN53/365*M53),SO53*SL53)))</f>
        <v/>
      </c>
      <c r="SQ53" s="294" t="str">
        <f t="shared" si="595"/>
        <v/>
      </c>
      <c r="SR53" s="494" t="str">
        <f>IF(A53=FALSE,"",SQ53*Cotations!DP53)</f>
        <v/>
      </c>
      <c r="SS53" s="494" t="str">
        <f>IF(A53=FALSE,"",SQ53*Cotations!DQ53)</f>
        <v/>
      </c>
      <c r="ST53" s="338" t="str">
        <f t="shared" si="596"/>
        <v/>
      </c>
      <c r="SU53" s="919" t="str">
        <f>IF(A53=FALSE,"",((SG53*TAXE)-(SG53*TAXE*SI53))+IF(SM53="N/A",0,IF(INDEX(LISTES!$F$105:$F$109,MATCH(SM53,LISTES!$C$105:$C$109,0))="FIX",SN53,SO53*SL53)))</f>
        <v/>
      </c>
      <c r="TA53" s="492" t="str">
        <f>IF(A53=FALSE,"",Cotations!D53)</f>
        <v/>
      </c>
      <c r="TB53" s="491" t="str">
        <f>IF(A53=FALSE,"",IF(LISTES!$A$17=1,Cotations!DR53,Cotations!DS53))</f>
        <v/>
      </c>
      <c r="TC53" s="285" t="str">
        <f t="shared" si="597"/>
        <v/>
      </c>
      <c r="TD53" s="300" t="str">
        <f>IF(A53=FALSE,"",Detail!CQ53)</f>
        <v/>
      </c>
      <c r="TE53" s="461" t="str">
        <f t="shared" si="598"/>
        <v/>
      </c>
      <c r="TF53" s="490" t="str">
        <f>IF(A53=FALSE,"",IF(TA53="FIXE",Cotations!DU53,Cotations!DV53*Y53))</f>
        <v/>
      </c>
      <c r="TG53" s="300" t="str">
        <f t="shared" si="599"/>
        <v/>
      </c>
      <c r="TH53" s="522" t="str">
        <f>IF(A53=FALSE,"",IF(Cotations!DT53="monthly",TG53/12*L53,TG53/365*M53))</f>
        <v/>
      </c>
      <c r="TI53" s="489" t="str">
        <f>IF(A53=FALSE,"",IF(Cotations!DW53="","",Cotations!DW53))</f>
        <v/>
      </c>
      <c r="TJ53" s="300" t="str">
        <f t="shared" si="600"/>
        <v/>
      </c>
      <c r="TK53" s="300" t="str">
        <f t="shared" si="601"/>
        <v/>
      </c>
      <c r="TL53" s="919" t="str">
        <f t="shared" si="602"/>
        <v/>
      </c>
      <c r="TM53" s="517" t="str">
        <f>IF(A53=FALSE,"",Cotations!DX53)</f>
        <v/>
      </c>
      <c r="TN53" s="517" t="str">
        <f>IF(A53=FALSE,"",Cotations!DY53)</f>
        <v/>
      </c>
      <c r="TO53" s="493" t="str">
        <f>IF(A53=FALSE,"",Cotations!DZ53)</f>
        <v/>
      </c>
      <c r="TP53" s="517" t="str">
        <f>IF(A53=FALSE,"",IF(TM53="N/A",0,IF(INDEX(LISTES!$F$105:$F$109,MATCH(TM53,LISTES!$C$105:$C$109,0))="FIX",IF(INDEX(LISTES!$E$105:$E$109,MATCH(TM53,LISTES!$C$105:$C$109,0))=12,TN53/12*L53,TN53/365*M53),TO53*TL53)))</f>
        <v/>
      </c>
      <c r="TQ53" s="294" t="str">
        <f t="shared" si="603"/>
        <v/>
      </c>
      <c r="TR53" s="494" t="str">
        <f>IF(A53=FALSE,"",TQ53*Cotations!EA53)</f>
        <v/>
      </c>
      <c r="TS53" s="494" t="str">
        <f>IF(A53=FALSE,"",TQ53*Cotations!EB53)</f>
        <v/>
      </c>
      <c r="TT53" s="338" t="str">
        <f t="shared" si="604"/>
        <v/>
      </c>
      <c r="TU53" s="919" t="str">
        <f>IF(A53=FALSE,"",((TG53*(1+TAXE)-(TG53*(1+TAXE)*TI53))+IF(TM53="N/A",0,IF(INDEX(LISTES!$F$105:$F$109,MATCH(TM53,LISTES!$C$105:$C$109,0))="FIX",TN53,TO53*TL53))))</f>
        <v/>
      </c>
      <c r="UA53" s="492" t="str">
        <f>IF(A53=FALSE,"",Cotations!D53)</f>
        <v/>
      </c>
      <c r="UB53" s="491" t="str">
        <f>IF(A53=FALSE,"",IF(LISTES!$A$17=1,Cotations!EC53,Cotations!ED53))</f>
        <v/>
      </c>
      <c r="UC53" s="285" t="str">
        <f t="shared" si="605"/>
        <v/>
      </c>
      <c r="UD53" s="300" t="str">
        <f>IF(A53=FALSE,"",Detail!CY53)</f>
        <v/>
      </c>
      <c r="UE53" s="461" t="str">
        <f t="shared" si="606"/>
        <v/>
      </c>
      <c r="UF53" s="490" t="str">
        <f>IF(A53=FALSE,"",IF(UA53="FIXE",Cotations!EF53,Cotations!EG53*Y53))</f>
        <v/>
      </c>
      <c r="UG53" s="300" t="str">
        <f t="shared" si="607"/>
        <v/>
      </c>
      <c r="UH53" s="522" t="str">
        <f>IF(A53=FALSE,"",IF(Cotations!EE53="monthly",UG53/12*L53,UG53/365*M53))</f>
        <v/>
      </c>
      <c r="UI53" s="489" t="str">
        <f>IF(A53=FALSE,"",IF(Cotations!EH53="","",Cotations!EH53))</f>
        <v/>
      </c>
      <c r="UJ53" s="300" t="str">
        <f t="shared" si="608"/>
        <v/>
      </c>
      <c r="UK53" s="300" t="str">
        <f t="shared" si="609"/>
        <v/>
      </c>
      <c r="UL53" s="919" t="str">
        <f t="shared" si="610"/>
        <v/>
      </c>
      <c r="UM53" s="517" t="str">
        <f>IF(A53=FALSE,"",Cotations!EI53)</f>
        <v/>
      </c>
      <c r="UN53" s="517" t="str">
        <f>IF(A53=FALSE,"",Cotations!EJ53)</f>
        <v/>
      </c>
      <c r="UO53" s="493" t="str">
        <f>IF(A53=FALSE,"",Cotations!EK53)</f>
        <v/>
      </c>
      <c r="UP53" s="517" t="str">
        <f>IF(A53=FALSE,"",IF(UM53="N/A",0,IF(INDEX(LISTES!$F$105:$F$109,MATCH(UM53,LISTES!$C$105:$C$109,0))="FIX",IF(INDEX(LISTES!$E$105:$E$109,MATCH(UM53,LISTES!$C$105:$C$109,0))=12,UN53/12*L53,UN53/365*M53),UO53*UL53)))</f>
        <v/>
      </c>
      <c r="UQ53" s="294" t="str">
        <f t="shared" si="611"/>
        <v/>
      </c>
      <c r="UR53" s="494" t="str">
        <f>IF(A53=FALSE,"",UQ53*Cotations!EL53)</f>
        <v/>
      </c>
      <c r="US53" s="494" t="str">
        <f>IF(A53=FALSE,"",UQ53*Cotations!EM53)</f>
        <v/>
      </c>
      <c r="UT53" s="338" t="str">
        <f t="shared" si="612"/>
        <v/>
      </c>
      <c r="UU53" s="919" t="str">
        <f>IF(A53=FALSE,"",((UG53*(1+TAXE)-(UG53*(1+TAXE)*UI53))+IF(UM53="N/A",0,IF(INDEX(LISTES!$F$105:$F$109,MATCH(UM53,LISTES!$C$105:$C$109,0))="FIX",UN53,UO53*UL53))))</f>
        <v/>
      </c>
      <c r="VA53" s="492" t="str">
        <f>IF(A53=FALSE,"",Cotations!D53)</f>
        <v/>
      </c>
      <c r="VB53" s="519" t="str">
        <f>IF(A53=FALSE,"",IF(LISTES!$A$17=1,Cotations!EN53,Cotations!EO53))</f>
        <v/>
      </c>
      <c r="VC53" s="291" t="str">
        <f t="shared" si="613"/>
        <v/>
      </c>
      <c r="VD53" s="291" t="str">
        <f t="shared" si="614"/>
        <v/>
      </c>
      <c r="VE53" s="291"/>
      <c r="VF53" s="463"/>
      <c r="VG53" s="463" t="str">
        <f t="shared" si="615"/>
        <v/>
      </c>
      <c r="VH53" s="522" t="str">
        <f>IF(A53=FALSE,"",IF(Cotations!$AQ$4="monthly",VG53/12*L53,VG53/365*M53))</f>
        <v/>
      </c>
      <c r="VI53" s="489" t="str">
        <f>IF(A53=FALSE,"",Cotations!$AR$4)</f>
        <v/>
      </c>
      <c r="VJ53" s="300" t="str">
        <f t="shared" si="616"/>
        <v/>
      </c>
      <c r="VK53" s="300" t="str">
        <f t="shared" si="617"/>
        <v/>
      </c>
      <c r="VL53" s="294" t="str">
        <f t="shared" si="618"/>
        <v/>
      </c>
      <c r="VM53" s="494" t="str">
        <f>IF(A53=FALSE,"",Cotations!$AS$4)</f>
        <v/>
      </c>
      <c r="VN53" s="494" t="str">
        <f>IF(A53=FALSE,"",Cotations!$AT$4)</f>
        <v/>
      </c>
      <c r="VO53" s="489" t="str">
        <f>IF(A53=FALSE,"",Cotations!$AU$4)</f>
        <v/>
      </c>
      <c r="VP53" s="494" t="str">
        <f>IF(A53=FALSE,"",IF(VM53="N/A",0,IF(INDEX(LISTES!$F$105:$F$109,MATCH(VM53,LISTES!$C$105:$C$109,0))="FIX",IF(INDEX(LISTES!$E$105:$E$109,MATCH(VM53,LISTES!$C$105:$C$109,0))=12,VN53/12*L53,VN53/365*M53),VO53*VL53)))</f>
        <v/>
      </c>
      <c r="VQ53" s="294" t="str">
        <f t="shared" si="619"/>
        <v/>
      </c>
      <c r="VR53" s="494" t="str">
        <f>IF(A53=FALSE,"",VQ53*Cotations!$AV$4)</f>
        <v/>
      </c>
      <c r="VS53" s="494" t="str">
        <f>IF(A53=FALSE,"",VQ53*Cotations!$AW$4)</f>
        <v/>
      </c>
      <c r="VT53" s="465" t="str">
        <f t="shared" si="620"/>
        <v/>
      </c>
      <c r="VU53" s="919" t="str">
        <f>IF(A53=FALSE,"",((VG53*TAXE)-(VG53*TAXE*VI53))+IF(VM53="N/A",0,IF(INDEX(LISTES!$F$105:$F$109,MATCH(VM53,LISTES!$C$105:$C$109,0))="FIX",VN53,VO53*VL53)))</f>
        <v/>
      </c>
      <c r="WA53" s="492" t="str">
        <f>IF(A53=FALSE,"",Cotations!D53)</f>
        <v/>
      </c>
      <c r="WB53" s="519" t="str">
        <f>IF(A53=FALSE,"",IF(LISTES!$A$17=1,Cotations!EW53,Cotations!EX53))</f>
        <v/>
      </c>
      <c r="WC53" s="291" t="str">
        <f t="shared" si="621"/>
        <v/>
      </c>
      <c r="WD53" s="291" t="str">
        <f t="shared" si="622"/>
        <v/>
      </c>
      <c r="WE53" s="291"/>
      <c r="WF53" s="463"/>
      <c r="WG53" s="463" t="str">
        <f t="shared" si="623"/>
        <v/>
      </c>
      <c r="WH53" s="522" t="str">
        <f>IF(A53=FALSE,"",IF(Cotations!$AQ$4="monthly",WG53/12*L53,WG53/365*M53))</f>
        <v/>
      </c>
      <c r="WI53" s="489" t="str">
        <f>IF(A53=FALSE,"",Cotations!$AR$4)</f>
        <v/>
      </c>
      <c r="WJ53" s="300" t="str">
        <f t="shared" si="624"/>
        <v/>
      </c>
      <c r="WK53" s="300" t="str">
        <f t="shared" si="625"/>
        <v/>
      </c>
      <c r="WL53" s="294" t="str">
        <f t="shared" si="626"/>
        <v/>
      </c>
      <c r="WM53" s="494" t="str">
        <f>IF(A53=FALSE,"",Cotations!$AS$4)</f>
        <v/>
      </c>
      <c r="WN53" s="494" t="str">
        <f>IF(A53=FALSE,"",Cotations!$AT$4)</f>
        <v/>
      </c>
      <c r="WO53" s="489" t="str">
        <f>IF(A53=FALSE,"",Cotations!$AU$4)</f>
        <v/>
      </c>
      <c r="WP53" s="494" t="str">
        <f>IF(A53=FALSE,"",IF(WM53="N/A",0,IF(INDEX(LISTES!$F$105:$F$109,MATCH(WM53,LISTES!$C$105:$C$109,0))="FIX",IF(INDEX(LISTES!$E$105:$E$109,MATCH(WM53,LISTES!$C$105:$C$109,0))=12,WN53/12*L53,WN53/365*M53),WO53*WL53)))</f>
        <v/>
      </c>
      <c r="WQ53" s="294" t="str">
        <f t="shared" si="627"/>
        <v/>
      </c>
      <c r="WR53" s="494" t="str">
        <f>IF(A53=FALSE,"",WQ53*Cotations!$AV$4)</f>
        <v/>
      </c>
      <c r="WS53" s="494" t="str">
        <f>IF(A53=FALSE,"",WQ53*Cotations!$AW$4)</f>
        <v/>
      </c>
      <c r="WT53" s="465" t="str">
        <f t="shared" si="628"/>
        <v/>
      </c>
      <c r="WU53" s="919" t="str">
        <f>IF(A53=FALSE,"",((WG53*TAXE)-(WG53*TAXE*WI53))+IF(WM53="N/A",0,IF(INDEX(LISTES!$F$105:$F$109,MATCH(WM53,LISTES!$C$105:$C$109,0))="FIX",WN53,WO53*WL53)))</f>
        <v/>
      </c>
    </row>
    <row r="54" spans="1:619">
      <c r="A54" s="942" t="b">
        <f t="shared" si="433"/>
        <v>0</v>
      </c>
      <c r="B54" s="942" t="b">
        <f>IF(NAMES!$B$9=TRUE,TRUE,FALSE)</f>
        <v>1</v>
      </c>
      <c r="C54" s="942" t="b">
        <f t="shared" si="413"/>
        <v>0</v>
      </c>
      <c r="D54" s="942" t="b">
        <f t="shared" si="414"/>
        <v>0</v>
      </c>
      <c r="E54" s="274" t="b">
        <f>IF(Cotations!C54="","",Cotations!C54)</f>
        <v>0</v>
      </c>
      <c r="F54" s="274" t="str">
        <f>IF(Cotations!D54="","",Cotations!D54)</f>
        <v>PROP</v>
      </c>
      <c r="G54" s="274" t="str">
        <f>IF(Cotations!E54="","",Cotations!E54)</f>
        <v>2016-2017!</v>
      </c>
      <c r="H54" s="274" t="str">
        <f>IF(Cotations!F54="","",Cotations!F54)</f>
        <v>SINGLE</v>
      </c>
      <c r="I54" s="274" t="str">
        <f>IF(Cotations!G54="","",Cotations!G54)</f>
        <v/>
      </c>
      <c r="J54" s="274" t="str">
        <f>IF(Cotations!H54="","",Cotations!H54)</f>
        <v/>
      </c>
      <c r="K54" s="274" t="str">
        <f>IF(Cotations!I54="","",Cotations!I54)</f>
        <v/>
      </c>
      <c r="L54" s="274" t="str">
        <f>IF(A54=FALSE,"",IF(Cotations!N54="","",Cotations!N54))</f>
        <v/>
      </c>
      <c r="M54" s="274" t="str">
        <f>IF(Cotations!P54="","",Cotations!P54)</f>
        <v/>
      </c>
      <c r="N54" s="724" t="str">
        <f>IF(NAMES!$B$10=TRUE,Cotations!J54,Cotations!L54)</f>
        <v/>
      </c>
      <c r="O54" s="724" t="str">
        <f>IF(NAMES!$B$10=TRUE,Cotations!K54,Cotations!M54)</f>
        <v/>
      </c>
      <c r="P54" s="943" t="str">
        <f t="shared" si="415"/>
        <v/>
      </c>
      <c r="Q54" s="724" t="str">
        <f>IF(A54=FALSE,"",IF(Crewlist!Y54="","",Crewlist!Y54))</f>
        <v/>
      </c>
      <c r="R54" s="78" t="str">
        <f>IF(Cotations!U54="","",Cotations!U54)</f>
        <v/>
      </c>
      <c r="S54" s="943" t="str">
        <f t="shared" si="416"/>
        <v/>
      </c>
      <c r="T54" s="919" t="str">
        <f>IF(A54=FALSE,"",VLOOKUP($U$15:$U$120,Currency!$A$2:$D$10,4,0)*Crewlist!N54)</f>
        <v/>
      </c>
      <c r="U54" s="1355" t="str">
        <f>IF(A54=FALSE,"",IF(IT54=0,Crewlist!M54&amp;"/"&amp;EX54,Crewlist!M54&amp;"/"&amp;IT54))</f>
        <v/>
      </c>
      <c r="V54" s="919" t="str">
        <f>IF(A54=FALSE,"",VLOOKUP($U$15:$U$120,Currency!$A$2:$D$10,4,0)*Detail!Q54)</f>
        <v/>
      </c>
      <c r="W54" s="1355" t="str">
        <f>IF(A54=FALSE,"",IF(IT54=0,Detail!R54&amp;"/"&amp;EX54,Detail!R54&amp;"/"&amp;IT54))</f>
        <v/>
      </c>
      <c r="X54" s="919" t="str">
        <f>IF(A54=FALSE,"",IF(LISTES!$C$17="Crewlist",Calcul!T54,Calcul!V54))</f>
        <v/>
      </c>
      <c r="Y54" s="758" t="str">
        <f t="shared" si="417"/>
        <v/>
      </c>
      <c r="Z54" s="758" t="str">
        <f>IF(A54=FALSE,"",IF(X54=0,0,IF((Cotations!BC54*12*X54)&lt;50000,50000,(12*X54))))</f>
        <v/>
      </c>
      <c r="AA54" s="758" t="str">
        <f t="shared" si="418"/>
        <v/>
      </c>
      <c r="AB54" s="758" t="str">
        <f>IF(A54=FALSE,"",IF(Crewlist!O54=0,"",Crewlist!O54))</f>
        <v/>
      </c>
      <c r="AC54" s="758" t="str">
        <f>IF(I54="","",VLOOKUP($AB$15:$AB$120,Currency!$A$15:$B$34,2,0))</f>
        <v/>
      </c>
      <c r="AD54" s="758" t="str">
        <f t="shared" si="419"/>
        <v/>
      </c>
      <c r="AE54" s="758" t="str">
        <f t="shared" si="420"/>
        <v/>
      </c>
      <c r="AF54" s="758" t="str">
        <f t="shared" si="421"/>
        <v/>
      </c>
      <c r="AG54" s="758" t="str">
        <f t="shared" si="422"/>
        <v/>
      </c>
      <c r="AH54" s="1355" t="str">
        <f t="shared" si="434"/>
        <v/>
      </c>
      <c r="AI54" s="919" t="str">
        <f t="shared" si="423"/>
        <v/>
      </c>
      <c r="AJ54" s="1382" t="str">
        <f t="shared" si="424"/>
        <v/>
      </c>
      <c r="AK54" s="1382" t="str">
        <f t="shared" si="425"/>
        <v/>
      </c>
      <c r="AL54" s="238" t="str">
        <f t="shared" si="435"/>
        <v/>
      </c>
      <c r="AM54" s="238" t="str">
        <f t="shared" si="436"/>
        <v/>
      </c>
      <c r="AN54" s="1374" t="str">
        <f t="shared" si="437"/>
        <v/>
      </c>
      <c r="AO54" s="238" t="str">
        <f t="shared" si="438"/>
        <v/>
      </c>
      <c r="AP54" s="342" t="str">
        <f>IF(A54=FALSE,"",INDEX(Rates!$Z$5:$Z$367,MATCH(EB54,colchoice,0)))</f>
        <v/>
      </c>
      <c r="AQ54" s="238" t="str">
        <f t="shared" si="439"/>
        <v/>
      </c>
      <c r="AR54" s="238" t="str">
        <f t="shared" si="440"/>
        <v/>
      </c>
      <c r="AS54" s="238" t="str">
        <f t="shared" si="441"/>
        <v/>
      </c>
      <c r="AT54" s="238" t="str">
        <f t="shared" si="442"/>
        <v/>
      </c>
      <c r="AU54" s="238" t="str">
        <f t="shared" si="443"/>
        <v/>
      </c>
      <c r="AV54" s="238" t="str">
        <f t="shared" si="429"/>
        <v/>
      </c>
      <c r="AW54" s="238" t="str">
        <f t="shared" si="444"/>
        <v/>
      </c>
      <c r="AX54" s="238" t="str">
        <f t="shared" si="445"/>
        <v/>
      </c>
      <c r="AY54" s="238" t="str">
        <f t="shared" si="446"/>
        <v/>
      </c>
      <c r="AZ54" s="238" t="str">
        <f t="shared" si="447"/>
        <v/>
      </c>
      <c r="BA54" s="238" t="str">
        <f t="shared" si="448"/>
        <v/>
      </c>
      <c r="BB54" s="552" t="str">
        <f t="shared" si="449"/>
        <v/>
      </c>
      <c r="BC54" s="347" t="str">
        <f t="shared" si="450"/>
        <v/>
      </c>
      <c r="BD54" s="239" t="str">
        <f t="shared" si="430"/>
        <v/>
      </c>
      <c r="BE54" s="239" t="str">
        <f>IF(A54=FALSE,"",IF(ALLTHESAME=TRUE,IF(DF54&lt;&gt;$BC$7,0,INDEX(DD54:DZ54,1,MATCH(Structure!$D$12,$DD$14:$DZ$14,0))),IF(EC54&lt;&gt;$BC$7,0,INDEX(EA54:EZ54,1,MATCH(Structure!$D$12,$EA$14:$EZ$14,0)))))</f>
        <v/>
      </c>
      <c r="BF54" s="239" t="str">
        <f>IF(A54=FALSE,"",IF(ALLTHESAME=TRUE,IF(FC54&lt;&gt;$BC$7,0,INDEX(FA54:FZ54,1,MATCH(Structure!$D$12,$FA$14:$FZ$14,0))),IF(GC54&lt;&gt;$BC$7,0,INDEX(GA54:GZ54,1,MATCH(Structure!$D$12,$GA$14:$GZ$14,0)))))</f>
        <v/>
      </c>
      <c r="BG54" s="239" t="str">
        <f>IF(A54=FALSE,"",IF(ALLTHESAME=TRUE,IF(VC54&lt;&gt;$BC$7,0,INDEX(VA54:VZ54,1,MATCH(Structure!$D$12,$VA$14:$VZ$14,0))),IF(VC54&lt;&gt;$BC$7,0,INDEX(VA54:VZ54,1,MATCH(Structure!$D$12,$VA$14:$VZ$14,0)))))</f>
        <v/>
      </c>
      <c r="BH54" s="239" t="str">
        <f>IF(A54=FALSE,"",IF(ALLTHESAME=TRUE,IF(WC54&lt;&gt;$BC$7,0,INDEX(WA54:WY54,1,MATCH(Structure!$D$12,$WA$14:$WZ$14,0))),IF(WC54&lt;&gt;$BC$7,0,INDEX(WA54:WZ54,1,MATCH(Structure!$D$12,$WA$14:$WZ$14,0)))))</f>
        <v/>
      </c>
      <c r="BI54" s="763" t="str">
        <f>IF(A54=FALSE,"",IF(ALLTHESAME=TRUE,IF(HC54&lt;&gt;$BC$7,0,INDEX(HA54:HZ54,1,MATCH(Structure!$D$12,$HA$14:$HZ$14,0)))+TK54,IF(IC54&lt;&gt;$BC$7,0,INDEX(IA54:IZ54,1,MATCH(Structure!$D$12,$IA$14:$IZ$14,0)))+TK54))</f>
        <v/>
      </c>
      <c r="BJ54" s="239" t="str">
        <f>IF(A54=FALSE,"",IF(ALLTHESAME=TRUE,IF(JC54&lt;&gt;$BC$7,0,INDEX(JA54:JZ54,1,MATCH(Structure!$D$12,$JA$14:$JZ$14,0))),IF(KC54&lt;&gt;$BC$7,0,INDEX(KA54:KZ54,1,MATCH(Structure!$D$12,$KA$14:$KZ$14,0)))))</f>
        <v/>
      </c>
      <c r="BK54" s="763" t="str">
        <f>IF(A54=FALSE,"",IF(ALLTHESAME=TRUE,IF(LC54&lt;&gt;$BC$7,0,INDEX(LA54:LZ54,1,MATCH(Structure!$D$12,$LA$14:$LZ$14,0)))+UK54,IF(MC54&lt;&gt;$BC$7,0,INDEX(MA54:MZ54,1,MATCH(Structure!$D$12,$MA$14:$MZ$14,0)))+UK54))</f>
        <v/>
      </c>
      <c r="BL54" s="239" t="str">
        <f>IF(A54=FALSE,"",IF(ALLTHESAME=TRUE,IF(NC54&lt;&gt;$BC$7,0,INDEX(NA54:NZ54,1,MATCH(Structure!$D$12,$NA$14:$NZ$14,0))),IF(OC54&lt;&gt;$BC$7,0,INDEX(OA54:OZ54,1,MATCH(Structure!$D$12,$OA$14:$OZ$14,0)))))</f>
        <v/>
      </c>
      <c r="BM54" s="239" t="str">
        <f>IF(A54=FALSE,"",IF(ALLTHESAME=TRUE,IF(PC54&lt;&gt;$BC$7,0,INDEX(PA54:PZ54,1,MATCH(Structure!$D$12,$PA$14:$PZ$14,0))),IF(QC54&lt;&gt;$BC$7,0,INDEX(QA54:QZ54,1,MATCH(Structure!$D$12,$QA$14:$QZ$14,0)))))</f>
        <v/>
      </c>
      <c r="BN54" s="341" t="str">
        <f>IF(A54=FALSE,"",IF(ALLTHESAME=TRUE,IF(RC54&lt;&gt;$BC$7,0,INDEX(RA54:RZ54,1,MATCH(Structure!$D$12,$RA$14:$RZ$14,0))),IF(SC54&lt;&gt;$BC$7,0,INDEX(SA54:TA54,1,MATCH(Structure!$D$12,$SA$14:$TA$14,0)))))</f>
        <v/>
      </c>
      <c r="BO54" s="507" t="str">
        <f t="shared" si="451"/>
        <v/>
      </c>
      <c r="BP54" s="239" t="str">
        <f t="shared" si="452"/>
        <v/>
      </c>
      <c r="BQ54" s="239" t="str">
        <f>IF(A54=FALSE,"",IF(ALLTHESAME=TRUE,IF(DF54&lt;&gt;$BO$7,0,INDEX(DD54:DZ54,1,MATCH(Structure!$D$12,$DD$14:$DZ$14,0))),IF(EC54&lt;&gt;$BO$7,0,INDEX(EA54:EZ54,1,MATCH(Structure!$D$12,$EA$14:$EZ$14,0)))))</f>
        <v/>
      </c>
      <c r="BR54" s="239" t="str">
        <f>IF(A54=FALSE,"",IF(ALLTHESAME=TRUE,IF(FC54&lt;&gt;$BO$7,0,INDEX(FA54:FZ54,1,MATCH(Structure!$D$12,$FA$14:$FZ$14,0))),IF(GC54&lt;&gt;$BO$7,0,INDEX(GA54:GZ54,1,MATCH(Structure!$D$12,$GA$14:$GZ$14,0)))))</f>
        <v/>
      </c>
      <c r="BS54" s="239" t="str">
        <f>IF(A54=FALSE,"",IF(ALLTHESAME=TRUE,IF(HC54&lt;&gt;$BO$7,0,INDEX(HA54:HZ54,1,MATCH(Structure!$D$12,$HA$14:$HZ$14,0))),IF(IC54&lt;&gt;$BO$7,0,INDEX(IA54:IZ54,1,MATCH(Structure!$D$12,$IA$14:$IZ$14,0)))))</f>
        <v/>
      </c>
      <c r="BT54" s="239" t="str">
        <f>IF(A54=FALSE,"",IF(ALLTHESAME=TRUE,IF(JC54&lt;&gt;$BO$7,0,INDEX(JA54:JZ54,1,MATCH(Structure!$D$12,$JA$14:$JZ$14,0))),IF(KC54&lt;&gt;$BO$7,0,INDEX(KA54:KZ54,1,MATCH(Structure!$D$12,$KA$14:$KZ$14,0)))))</f>
        <v/>
      </c>
      <c r="BU54" s="239" t="str">
        <f>IF(A54=FALSE,"",IF(ALLTHESAME=TRUE,IF(LC54&lt;&gt;$BO$7,0,INDEX(LA54:LZ54,1,MATCH(Structure!$D$12,$LA$14:$LZ$14,0))),IF(MC54&lt;&gt;$BO$7,0,INDEX(MA54:MZ54,1,MATCH(Structure!$D$12,$MA$14:$MZ$14,0)))))</f>
        <v/>
      </c>
      <c r="BV54" s="239" t="str">
        <f>IF(A54=FALSE,"",IF(ALLTHESAME=TRUE,IF(NC54&lt;&gt;$BO$7,0,INDEX(NA54:NZ54,1,MATCH(Structure!$D$12,$NA$14:$NZ$14,0))),IF(OC54&lt;&gt;$BO$7,0,INDEX(OA54:OZ54,1,MATCH(Structure!$D$12,$OA$14:$OZ$14,0)))))</f>
        <v/>
      </c>
      <c r="BW54" s="239" t="str">
        <f>IF(A54=FALSE,"",IF(ALLTHESAME=TRUE,IF(PC54&lt;&gt;$BO$7,0,INDEX(PA54:PZ54,1,MATCH(Structure!$D$12,$PA$14:$PZ$14,0))),IF(QC54&lt;&gt;$BO$7,0,INDEX(QA54:QZ54,1,MATCH(Structure!$D$12,$QA$14:$QZ$14,0)))))</f>
        <v/>
      </c>
      <c r="BX54" s="341" t="str">
        <f>IF(A54=FALSE,"",IF(ALLTHESAME=TRUE,IF(RC54&lt;&gt;$BO$7,0,INDEX(RA54:RZ54,1,MATCH(Structure!$D$12,$RA$14:$RZ$14,0))),IF(SC54&lt;&gt;$BO$7,0,INDEX(SA54:TA54,1,MATCH(Structure!$D$12,$SA$14:$TA$14,0)))))</f>
        <v/>
      </c>
      <c r="BY54" s="347" t="str">
        <f t="shared" si="453"/>
        <v/>
      </c>
      <c r="BZ54" s="507" t="str">
        <f t="shared" si="454"/>
        <v/>
      </c>
      <c r="CA54" s="239" t="str">
        <f t="shared" si="455"/>
        <v/>
      </c>
      <c r="CB54" s="239" t="str">
        <f>IF(A54=FALSE,"",IF(ALLTHESAME=TRUE,INDEX(DD54:DZ54,MATCH(DF54,DF54:DF159,0),MATCH(Structure!$D$17,$DD$14:$DZ$14,0)),INDEX(EA54:EZ54,MATCH(EC54,EC54:EC159,0),MATCH(Structure!$D$17,$EA$14:$EZ$14,0))))</f>
        <v/>
      </c>
      <c r="CC54" s="239" t="str">
        <f>IF(A54=FALSE,"",IF(ALLTHESAME=TRUE,INDEX(FA54:FZ54,MATCH(FC54,FC54:FC159,0),MATCH(Structure!$D$17,$FA$14:$FZ$14,0)),INDEX(GA54:GZ54,MATCH(GC54,GC54:GC159,0),MATCH(Structure!$D$17,$GA$14:$GZ$14,0))))</f>
        <v/>
      </c>
      <c r="CD54" s="239" t="str">
        <f>IF(A54=FALSE,"",IF(ALLTHESAME=TRUE,INDEX(HA54:HZ54,MATCH(HC54,HC54:HC159,0),MATCH(Structure!$D$17,$HA$14:$HZ$14,0)),INDEX(IA54:IZ54,MATCH(IC54,IC54:IC159,0),MATCH(Structure!$D$17,$IA$14:$IZ$14,0))))</f>
        <v/>
      </c>
      <c r="CE54" s="239" t="str">
        <f>IF(A54=FALSE,"",IF(ALLTHESAME=TRUE,INDEX(JA54:JZ54,MATCH(JC54,JC54:JC159,0),MATCH(Structure!$D$17,$JA$14:$JZ$14,0)),INDEX(KA54:KZ54,MATCH(KC54,KC54:KC159,0),MATCH(Structure!$D$17,$KA$14:$KZ$14,0))))</f>
        <v/>
      </c>
      <c r="CF54" s="239" t="str">
        <f>IF(A54=FALSE,"",IF(ALLTHESAME=TRUE,INDEX(LA54:LZ54,MATCH(LC54,LC54:LC159,0),MATCH(Structure!$D$17,$LA$14:$LZ$14,0)),INDEX(MA54:MZ54,MATCH(MC54,MC54:MC159,0),MATCH(Structure!$D$17,$MA$14:$MZ$14,0))))</f>
        <v/>
      </c>
      <c r="CG54" s="239" t="str">
        <f>IF(A54=FALSE,"",IF(ALLTHESAME=TRUE,INDEX(NA54:NZ54,MATCH(NC54,NC54:NC159,0),MATCH(Structure!$D$17,$NA$14:$NZ$14,0)),INDEX(OA54:OZ54,MATCH(OC54,OC54:OC159,0),MATCH(Structure!$D$17,$OA$14:$OZ$14,0))))</f>
        <v/>
      </c>
      <c r="CH54" s="239" t="str">
        <f>IF(A54=FALSE,"",IF(ALLTHESAME=TRUE,INDEX(PA54:PZ54,MATCH(PC54,PC54:PC159,0),MATCH(Structure!$D$17,$PA$14:$PZ$14,0)),INDEX(QA54:QZ54,MATCH(QC54,QC54:QC159,0),MATCH(Structure!$D$17,$QA$14:$QZ$14,0))))</f>
        <v/>
      </c>
      <c r="CI54" s="341" t="str">
        <f>IF(A54=FALSE,"",IF(ALLTHESAME=TRUE,INDEX(RA54:RZ54,MATCH(RC54,RC54:RC159,0),MATCH(Structure!$D$17,$RA$14:$RZ$14,0)),INDEX(SA54:TC54,MATCH(SC54,SC54:SC159,0),MATCH(Structure!$D$17,$SA$14:$TC$14,0))))</f>
        <v/>
      </c>
      <c r="CJ54" s="347"/>
      <c r="CK54" s="239" t="str">
        <f t="shared" si="456"/>
        <v/>
      </c>
      <c r="CL54" s="239" t="str">
        <f>IF(A54=FALSE,"",IF(ALLTHESAME=TRUE,INDEX(DD54:DZ54,MATCH(DF54,DF54:DF159,0),MATCH(Structure!$D$22,$DD$14:$DZ$14,0)),INDEX(EA54:EZ54,MATCH(EC54,EC54:EC159,0),MATCH(Structure!$D$22,$EA$14:$EZ$14,0))))</f>
        <v/>
      </c>
      <c r="CM54" s="239" t="str">
        <f>IF(A54=FALSE,"",IF(ALLTHESAME=TRUE,INDEX(FA54:FZ54,MATCH(FC54,FC54:FC159,0),MATCH(Structure!$D$22,$FA$14:$FZ$14,0)),INDEX(GA54:GZ54,MATCH(GC54,GC54:GC159,0),MATCH(Structure!$D$22,$GA$14:$GZ$14,0))))</f>
        <v/>
      </c>
      <c r="CN54" s="239" t="str">
        <f>IF(A54=FALSE,"",IF(ALLTHESAME=TRUE,INDEX(HA54:HZ54,MATCH(HC54,HC54:HC159,0),MATCH(Structure!$D$22,$HA$14:$HZ$14,0)),INDEX(IA54:IZ54,MATCH(IC54,IC54:IC159,0),MATCH(Structure!$D$22,$IA$14:$IZ$14,0))))</f>
        <v/>
      </c>
      <c r="CO54" s="239" t="str">
        <f>IF(A54=FALSE,"",IF(ALLTHESAME=TRUE,INDEX(JA54:JZ54,MATCH(JC54,JC54:JC159,0),MATCH(Structure!$D$22,$JA$14:$JZ$14,0)),INDEX(KA54:KZ54,MATCH(KC54,KC54:KC159,0),MATCH(Structure!$D$22,$KA$14:$KZ$14,0))))</f>
        <v/>
      </c>
      <c r="CP54" s="239" t="str">
        <f>IF(A54=FALSE,"",IF(ALLTHESAME=TRUE,INDEX(LA54:LZ54,MATCH(LC54,LC54:LC159,0),MATCH(Structure!$D$22,$LA$14:$LZ$14,0)),INDEX(MA54:MZ54,MATCH(MC54,MC54:MC159,0),MATCH(Structure!$D$22,$MA$14:$MZ$14,0))))</f>
        <v/>
      </c>
      <c r="CQ54" s="239" t="str">
        <f>IF(A54=FALSE,"",IF(ALLTHESAME=TRUE,INDEX(NA54:NZ54,MATCH(NC54,NC54:NC159,0),MATCH(Structure!$D$22,$NA$14:$NZ$14,0)),INDEX(OA54:OZ54,MATCH(OC54,OC54:OC159,0),MATCH(Structure!$D$22,$OA$14:$OZ$14,0))))</f>
        <v/>
      </c>
      <c r="CR54" s="239" t="str">
        <f>IF(A54=FALSE,"",IF(ALLTHESAME=TRUE,INDEX(PA54:PZ54,MATCH(PC54,PC54:PC159,0),MATCH(Structure!$D$22,$PA$14:$PZ$14,0)),INDEX(QA54:QZ54,MATCH(QC54,QC54:QC159,0),MATCH(Structure!$D$22,$QA$14:$QZ$14,0))))</f>
        <v/>
      </c>
      <c r="CS54" s="341" t="str">
        <f>IF(A54=FALSE,"",IF(ALLTHESAME=TRUE,INDEX(RA54:RZ54,MATCH(RC54,RC54:RC159,0),MATCH(Structure!$D$22,$RA$14:$RZ$14,0)),INDEX(SA54:TC54,MATCH(SC54,SC54:SC159,0),MATCH(Structure!$D$22,$SA$14:$TC$14,0))))</f>
        <v/>
      </c>
      <c r="CT54" s="347"/>
      <c r="CU54" s="239" t="str">
        <f t="shared" si="457"/>
        <v/>
      </c>
      <c r="CV54" s="239" t="str">
        <f>IF(A54=FALSE,"",IF(ALLTHESAME=TRUE,INDEX(DD54:DZ54,MATCH(DF54,DF54:DF159,0),MATCH(Structure!$D$8,$DD$14:$DZ$14,0)),INDEX(EA54:EZ54,MATCH(EC54,EC54:EC159,0),MATCH(Structure!$D$8,$EA$14:$EZ$14,0))))</f>
        <v/>
      </c>
      <c r="CW54" s="239" t="str">
        <f>IF(A54=FALSE,"",IF(ALLTHESAME=TRUE,INDEX(FA54:FZ54,MATCH(FC54,FC54:FC159,0),MATCH(Structure!$D$8,$FA$14:$FZ$14,0)),INDEX(GA54:GZ54,MATCH(GC54,GC54:GC159,0),MATCH(Structure!$D$8,$GA$14:$GZ$14,0))))</f>
        <v/>
      </c>
      <c r="CX54" s="239" t="str">
        <f>IF(A54=FALSE,"",IF(ALLTHESAME=TRUE,INDEX(HA54:HZ54,MATCH(HC54,HC54:HC159,0),MATCH(Structure!$D$8,$HA$14:$HZ$14,0)),INDEX(IA54:IZ54,MATCH(IC54,IC54:IC159,0),MATCH(Structure!$D$8,$IA$14:$IZ$14,0))))</f>
        <v/>
      </c>
      <c r="CY54" s="239" t="str">
        <f>IF(A54=FALSE,"",IF(ALLTHESAME=TRUE,INDEX(JA54:JZ54,MATCH(JC54,JC54:JC159,0),MATCH(Structure!$D$8,$JA$14:$JZ$14,0)),INDEX(KA54:KZ54,MATCH(KC54,KC54:KC159,0),MATCH(Structure!$D$8,$KA$14:$KZ$14,0))))</f>
        <v/>
      </c>
      <c r="CZ54" s="239" t="str">
        <f>IF(A54=FALSE,"",IF(ALLTHESAME=TRUE,INDEX(LA54:LZ54,MATCH(LC54,LC54:LC159,0),MATCH(Structure!$D$8,$LA$14:$LZ$14,0)),INDEX(MA54:MZ54,MATCH(MC54,MC54:MC159,0),MATCH(Structure!$D$8,$MA$14:$MZ$14,0))))</f>
        <v/>
      </c>
      <c r="DA54" s="239" t="str">
        <f>IF(A54=FALSE,"",IF(ALLTHESAME=TRUE,INDEX(NA54:NZ54,MATCH(NC54,NC54:NC159,0),MATCH(Structure!$D$8,$NA$14:$NZ$14,0)),INDEX(OA54:OZ54,MATCH(OC54,OC54:OC159,0),MATCH(Structure!$D$8,$OA$14:$OZ$14,0))))</f>
        <v/>
      </c>
      <c r="DB54" s="239" t="str">
        <f>IF(A54=FALSE,"",IF(ALLTHESAME=TRUE,INDEX(PA54:PZ54,MATCH(PC54,PC54:PC159,0),MATCH(Structure!$D$8,$PA$14:$PZ$14,0)),INDEX(QA54:QZ54,MATCH(QC54,QC54:QC159,0),MATCH(Structure!$D$8,$QA$14:$QZ$14,0))))</f>
        <v/>
      </c>
      <c r="DC54" s="341" t="str">
        <f>IF(A54=FALSE,"",IF(ALLTHESAME=TRUE,INDEX(RA54:RZ54,MATCH(RC54,RC54:RC159,0),MATCH(Structure!$D$8,$RA$14:$RZ$14,0)),INDEX(SA54:TC54,MATCH(SC54,SC54:SC159,0),MATCH(Structure!$D$8,$SA$14:$TC$14,0))))</f>
        <v/>
      </c>
      <c r="DD54" s="492" t="str">
        <f>IF(A54=FALSE,"",Cotations!D54)</f>
        <v/>
      </c>
      <c r="DE54" s="492" t="str">
        <f>IF(A54=FALSE,"",IF(LISTES!$A$17=1,Cotations!AF54,Cotations!$AG$4))</f>
        <v/>
      </c>
      <c r="DF54" s="291" t="str">
        <f t="shared" si="458"/>
        <v/>
      </c>
      <c r="DG54" s="291" t="str">
        <f t="shared" si="459"/>
        <v/>
      </c>
      <c r="DH54" s="291"/>
      <c r="DI54" s="463"/>
      <c r="DJ54" s="463" t="str">
        <f t="shared" si="460"/>
        <v/>
      </c>
      <c r="DK54" s="522" t="str">
        <f>IF(A54=FALSE,"",IF(Cotations!$AH$4="monthly",DJ54/12*L54,DJ54/365*M54))</f>
        <v/>
      </c>
      <c r="DL54" s="489" t="str">
        <f>IF(A54=FALSE,"",Cotations!$AI$4)</f>
        <v/>
      </c>
      <c r="DM54" s="300" t="str">
        <f t="shared" si="461"/>
        <v/>
      </c>
      <c r="DN54" s="300" t="str">
        <f t="shared" si="462"/>
        <v/>
      </c>
      <c r="DO54" s="294" t="str">
        <f t="shared" si="463"/>
        <v/>
      </c>
      <c r="DP54" s="494" t="str">
        <f>IF(A54=FALSE,"",Cotations!$AJ$4)</f>
        <v/>
      </c>
      <c r="DQ54" s="494" t="str">
        <f>IF(A54=FALSE,"",Cotations!$AK$4)</f>
        <v/>
      </c>
      <c r="DR54" s="489" t="str">
        <f>IF(A54=FALSE,"",Cotations!$AL$4)</f>
        <v/>
      </c>
      <c r="DS54" s="494" t="str">
        <f>IF(A54=FALSE,"",IF(DP54="N/A",0,IF(INDEX(LISTES!$F$105:$F$109,MATCH(DP54,LISTES!$C$105:$C$109,0))="FIX",IF(INDEX(LISTES!$E$105:$E$109,MATCH(DP54,LISTES!$C$105:$C$109,0))=12,DQ54/12*L54,DQ54/365*M54),DR54*DO54)))</f>
        <v/>
      </c>
      <c r="DT54" s="294" t="str">
        <f t="shared" si="464"/>
        <v/>
      </c>
      <c r="DU54" s="294" t="str">
        <f>IF(A54=FALSE,"",DT54*Cotations!$AM$4)</f>
        <v/>
      </c>
      <c r="DV54" s="294" t="str">
        <f>IF(A54=FALSE,"",DT54*Cotations!$AN$4)</f>
        <v/>
      </c>
      <c r="DW54" s="465" t="str">
        <f t="shared" si="465"/>
        <v/>
      </c>
      <c r="DX54" s="919" t="str">
        <f>IF(A54=FALSE,"",((DJ54*TAXE)-(DJ54*TAXE*DL54))+IF(DP54="N/A",0,IF(INDEX(LISTES!$F$105:$F$109,MATCH(DP54,LISTES!$C$105:$C$109,0))="FIX",DQ54,DR54*DO54)))</f>
        <v/>
      </c>
      <c r="DY54" s="466"/>
      <c r="DZ54" s="466"/>
      <c r="EA54" s="492" t="str">
        <f>IF(A54=FALSE,"",Cotations!D54)</f>
        <v/>
      </c>
      <c r="EB54" s="494" t="str">
        <f>IF(A54=FALSE,"",IF(LISTES!$A$17=1,Cotations!AF54,Cotations!AG54))</f>
        <v/>
      </c>
      <c r="EC54" s="284" t="str">
        <f t="shared" si="466"/>
        <v/>
      </c>
      <c r="ED54" s="284" t="str">
        <f t="shared" si="467"/>
        <v/>
      </c>
      <c r="EE54" s="284"/>
      <c r="EF54" s="284"/>
      <c r="EG54" s="284" t="str">
        <f t="shared" si="468"/>
        <v/>
      </c>
      <c r="EH54" s="1365" t="str">
        <f t="shared" si="469"/>
        <v/>
      </c>
      <c r="EI54" s="1365" t="str">
        <f t="shared" si="470"/>
        <v/>
      </c>
      <c r="EJ54" s="515" t="str">
        <f>IF(A54=FALSE,"",IF(Cotations!AH54="monthly",EG54/12*L54,EG54/365*M54))</f>
        <v/>
      </c>
      <c r="EK54" s="1364" t="str">
        <f>IF(A54=FALSE,"",IF(Cotations!AH54="monthly",EI54/12*L54,EI54/365*M54))</f>
        <v/>
      </c>
      <c r="EL54" s="493" t="str">
        <f>IF(A54=FALSE,"",IF(Cotations!AI54="","",Cotations!AI54))</f>
        <v/>
      </c>
      <c r="EM54" s="284" t="str">
        <f t="shared" si="471"/>
        <v/>
      </c>
      <c r="EN54" s="284" t="str">
        <f t="shared" si="472"/>
        <v/>
      </c>
      <c r="EO54" s="1365" t="str">
        <f t="shared" si="432"/>
        <v/>
      </c>
      <c r="EP54" s="284" t="str">
        <f t="shared" si="473"/>
        <v/>
      </c>
      <c r="EQ54" s="515" t="str">
        <f>IF(A54=FALSE,"",Cotations!AJ54)</f>
        <v/>
      </c>
      <c r="ER54" s="515" t="str">
        <f>IF(A54=FALSE,"",IF(Cotations!AK54="","",Cotations!AK54))</f>
        <v/>
      </c>
      <c r="ES54" s="493" t="str">
        <f>IF(A54=FALSE,"",Cotations!AL54)</f>
        <v/>
      </c>
      <c r="ET54" s="515" t="str">
        <f>IF(A54=FALSE,"",IF(EQ54="N/A",0,IF(INDEX(LISTES!$F$105:$F$109,MATCH(EQ54,LISTES!$C$105:$C$109,0))="FIX",IF(INDEX(LISTES!$E$105:$E$109,MATCH(EQ54,LISTES!$C$105:$C$109,0))=12,ER54/12*L54,ER54/365*M54),ES54*EP54)))</f>
        <v/>
      </c>
      <c r="EU54" s="294" t="str">
        <f t="shared" si="474"/>
        <v/>
      </c>
      <c r="EV54" s="494" t="str">
        <f>IF(A54=FALSE,"",EU54*Cotations!AM54)</f>
        <v/>
      </c>
      <c r="EW54" s="494" t="str">
        <f>IF(A54=FALSE,"",EU54*Cotations!AN54)</f>
        <v/>
      </c>
      <c r="EX54" s="334" t="str">
        <f t="shared" si="475"/>
        <v/>
      </c>
      <c r="EY54" s="919" t="str">
        <f>IF(A54=FALSE,"",((EG54*TAXE)-(EG54*TAXE*EL54)+EH54)+IF(EQ54="N/A",0,IF(INDEX(LISTES!$F$105:$F$109,MATCH(EQ54,LISTES!$C$105:$C$109,0))="FIX",ER54,ES54*EP54)))</f>
        <v/>
      </c>
      <c r="FA54" s="492" t="str">
        <f>IF(A54=FALSE,"",Cotations!D54)</f>
        <v/>
      </c>
      <c r="FB54" s="519" t="str">
        <f>IF(A54=FALSE,"",IF(LISTES!$A$17=1,Cotations!AO54,Cotations!$AP$4))</f>
        <v/>
      </c>
      <c r="FC54" s="291" t="str">
        <f t="shared" si="476"/>
        <v/>
      </c>
      <c r="FD54" s="291" t="str">
        <f t="shared" si="477"/>
        <v/>
      </c>
      <c r="FE54" s="291"/>
      <c r="FF54" s="463"/>
      <c r="FG54" s="463" t="str">
        <f t="shared" si="478"/>
        <v/>
      </c>
      <c r="FH54" s="522" t="str">
        <f>IF(A54=FALSE,"",IF(Cotations!$AQ$4="monthly",FG54/12*L54,FG54/365*M54))</f>
        <v/>
      </c>
      <c r="FI54" s="453" t="str">
        <f>IF(A54=FALSE,"",Cotations!$AR$4)</f>
        <v/>
      </c>
      <c r="FJ54" s="300" t="str">
        <f t="shared" si="479"/>
        <v/>
      </c>
      <c r="FK54" s="300" t="str">
        <f t="shared" si="480"/>
        <v/>
      </c>
      <c r="FL54" s="294" t="str">
        <f t="shared" si="481"/>
        <v/>
      </c>
      <c r="FM54" s="494" t="str">
        <f>IF(A54=FALSE,"",Cotations!$AS$4)</f>
        <v/>
      </c>
      <c r="FN54" s="494" t="str">
        <f>IF(A54=FALSE,"",Cotations!$AT$4)</f>
        <v/>
      </c>
      <c r="FO54" s="489" t="str">
        <f>IF(A54=FALSE,"",Cotations!$AU$4)</f>
        <v/>
      </c>
      <c r="FP54" s="494" t="str">
        <f>IF(A54=FALSE,"",IF(FM54="N/A",0,IF(INDEX(LISTES!$F$105:$F$109,MATCH(FM54,LISTES!$C$105:$C$109,0))="FIX",IF(INDEX(LISTES!$E$105:$E$109,MATCH(FM54,LISTES!$C$105:$C$109,0))=12,FN54/12*L54,FN54/365*M54),FO54*FL54)))</f>
        <v/>
      </c>
      <c r="FQ54" s="294" t="str">
        <f t="shared" si="482"/>
        <v/>
      </c>
      <c r="FR54" s="494" t="str">
        <f>IF(A54=FALSE,"",FQ54*Cotations!$AV$4)</f>
        <v/>
      </c>
      <c r="FS54" s="494" t="str">
        <f>IF(A54=FALSE,"",FQ54*Cotations!$AW$4)</f>
        <v/>
      </c>
      <c r="FT54" s="465" t="str">
        <f t="shared" si="483"/>
        <v/>
      </c>
      <c r="FU54" s="919" t="str">
        <f>IF(A54=FALSE,"",((FG54*TAXE)-(FG54*TAXE*FI54))+IF(FM54="N/A",0,IF(INDEX(LISTES!$F$105:$F$109,MATCH(FM54,LISTES!$C$105:$C$109,0))="FIX",FN54,FO54*FL54)))</f>
        <v/>
      </c>
      <c r="FV54" s="478"/>
      <c r="FW54" s="478"/>
      <c r="FX54" s="478"/>
      <c r="FY54" s="478"/>
      <c r="FZ54" s="478"/>
      <c r="GA54" s="492" t="str">
        <f>IF(A54=FALSE,"",Cotations!D54)</f>
        <v/>
      </c>
      <c r="GB54" s="494" t="str">
        <f>IF(A54=FALSE,"",IF(LISTES!$A$17=1,Cotations!AO54,Cotations!AP54))</f>
        <v/>
      </c>
      <c r="GC54" s="284" t="str">
        <f t="shared" si="484"/>
        <v/>
      </c>
      <c r="GD54" s="515" t="str">
        <f>IF(A54=FALSE,"",IF(Detail!AM54="","",Detail!AM54))</f>
        <v/>
      </c>
      <c r="GE54" s="284"/>
      <c r="GF54" s="284"/>
      <c r="GG54" s="284" t="str">
        <f t="shared" si="485"/>
        <v/>
      </c>
      <c r="GH54" s="515" t="str">
        <f>IF(A54=FALSE,"",IF(Cotations!AQ54="monthly",GG54/12*L54,GG54/365*M54))</f>
        <v/>
      </c>
      <c r="GI54" s="493" t="str">
        <f>IF(A54=FALSE,"",IF(Cotations!AR54="","",Cotations!AR54))</f>
        <v/>
      </c>
      <c r="GJ54" s="284" t="str">
        <f t="shared" si="486"/>
        <v/>
      </c>
      <c r="GK54" s="284" t="str">
        <f t="shared" si="487"/>
        <v/>
      </c>
      <c r="GL54" s="284" t="str">
        <f t="shared" si="488"/>
        <v/>
      </c>
      <c r="GM54" s="515" t="str">
        <f>IF(A54=FALSE,"",Cotations!AS54)</f>
        <v/>
      </c>
      <c r="GN54" s="515" t="str">
        <f>IF(A54=FALSE,"",Cotations!AT54)</f>
        <v/>
      </c>
      <c r="GO54" s="493" t="str">
        <f>IF(A54=FALSE,"",Cotations!AU54)</f>
        <v/>
      </c>
      <c r="GP54" s="515" t="str">
        <f>IF(A54=FALSE,"",IF(GM54="N/A",0,IF(INDEX(LISTES!$F$105:$F$109,MATCH(GM54,LISTES!$C$105:$C$109,0))="FIX",IF(INDEX(LISTES!$E$105:$E$109,MATCH(GM54,LISTES!$C$105:$C$109,0))=12,GN54/12*L54,GN54/365*M54),GO54*GL54)))</f>
        <v/>
      </c>
      <c r="GQ54" s="294" t="str">
        <f t="shared" si="489"/>
        <v/>
      </c>
      <c r="GR54" s="494" t="str">
        <f>IF(A54=FALSE,"",GQ54*Cotations!AV54)</f>
        <v/>
      </c>
      <c r="GS54" s="494" t="str">
        <f>IF(A54=FALSE,"",GQ54*Cotations!AW54)</f>
        <v/>
      </c>
      <c r="GT54" s="334" t="str">
        <f t="shared" si="490"/>
        <v/>
      </c>
      <c r="GU54" s="919" t="str">
        <f>IF(A54=FALSE,"",((GG54*TAXE)-(GG54*TAXE*GI54))+IF(GM54="N/A",0,IF(INDEX(LISTES!$F$105:$F$109,MATCH(GM54,LISTES!$C$105:$C$109,0))="FIX",GN54,GO54*GL54)))</f>
        <v/>
      </c>
      <c r="GV54" s="478"/>
      <c r="GW54" s="466"/>
      <c r="GX54" s="466"/>
      <c r="GY54" s="466"/>
      <c r="GZ54" s="466"/>
      <c r="HA54" s="492" t="str">
        <f>IF(A54=FALSE,"",Cotations!D54)</f>
        <v/>
      </c>
      <c r="HB54" s="495" t="str">
        <f>IF(A54=FALSE,"",IF(LISTES!$A$17=1,Cotations!AX54,Cotations!$AY$4))</f>
        <v/>
      </c>
      <c r="HC54" s="291" t="str">
        <f t="shared" si="491"/>
        <v/>
      </c>
      <c r="HD54" s="291" t="str">
        <f t="shared" si="492"/>
        <v/>
      </c>
      <c r="HE54" s="456" t="str">
        <f t="shared" si="493"/>
        <v/>
      </c>
      <c r="HF54" s="496" t="str">
        <f>IF(A54=FALSE,"",IF(HA54="POEA",Cotations!BA54,IF(HA54="FIXE",Cotations!$BA$4,Cotations!$BC$4*Y54)))</f>
        <v/>
      </c>
      <c r="HG54" s="300" t="str">
        <f t="shared" si="494"/>
        <v/>
      </c>
      <c r="HH54" s="522" t="str">
        <f>IF(A54=FALSE,"",IF(Cotations!$AZ$4="monthly",HG54/12*L54,HG54/365*M54))</f>
        <v/>
      </c>
      <c r="HI54" s="489" t="str">
        <f>IF(A54=FALSE,"",Cotations!$BD$4)</f>
        <v/>
      </c>
      <c r="HJ54" s="300" t="str">
        <f t="shared" si="495"/>
        <v/>
      </c>
      <c r="HK54" s="300" t="str">
        <f t="shared" si="496"/>
        <v/>
      </c>
      <c r="HL54" s="294" t="str">
        <f t="shared" si="497"/>
        <v/>
      </c>
      <c r="HM54" s="494" t="str">
        <f>IF(A54=FALSE,"",Cotations!$BE$4)</f>
        <v/>
      </c>
      <c r="HN54" s="522" t="str">
        <f>IF(A54=FALSE,"",Cotations!$BF$4)</f>
        <v/>
      </c>
      <c r="HO54" s="489" t="str">
        <f>IF(A54=FALSE,"",Cotations!$BG$4)</f>
        <v/>
      </c>
      <c r="HP54" s="494" t="str">
        <f>IF(A54=FALSE,"",IF(HM54="N/A",0,IF(INDEX(LISTES!$F$105:$F$109,MATCH(HM54,LISTES!$C$105:$C$109,0))="FIX",IF(INDEX(LISTES!$E$105:$E$109,MATCH(HM54,LISTES!$C$105:$C$109,0))=12,HN54/12*L54,HN54/365*M54),HO54*HL54)))</f>
        <v/>
      </c>
      <c r="HQ54" s="294" t="str">
        <f t="shared" si="498"/>
        <v/>
      </c>
      <c r="HR54" s="494" t="str">
        <f>IF(A54=FALSE,"",HQ54*Cotations!$BH$4)</f>
        <v/>
      </c>
      <c r="HS54" s="494" t="str">
        <f>IF(A54=FALSE,"",HQ54*Cotations!$BI$4)</f>
        <v/>
      </c>
      <c r="HT54" s="294" t="str">
        <f t="shared" si="499"/>
        <v/>
      </c>
      <c r="HU54" s="919" t="str">
        <f>IF(A54=FALSE,"",((HG54*TAXE)-(HG54*TAXE*HI54))+IF(HM54="N/A",0,IF(INDEX(LISTES!$F$105:$F$109,MATCH(HM54,LISTES!$C$105:$C$109,0))="FIX",HN54,HO54*HL54)))</f>
        <v/>
      </c>
      <c r="IA54" s="492" t="str">
        <f>IF(A54=FALSE,"",Cotations!D54)</f>
        <v/>
      </c>
      <c r="IB54" s="491" t="str">
        <f>IF(A54=FALSE,"",IF(LISTES!$A$17=1,Cotations!AX54,Cotations!AY54))</f>
        <v/>
      </c>
      <c r="IC54" s="285" t="str">
        <f t="shared" si="500"/>
        <v/>
      </c>
      <c r="ID54" s="300" t="str">
        <f>IF(A54=FALSE,"",IF(LISTES!$A$17=3,Detail!AU54,lig1_Formula_PREVOY))</f>
        <v/>
      </c>
      <c r="IE54" s="461" t="str">
        <f t="shared" si="501"/>
        <v/>
      </c>
      <c r="IF54" s="490" t="str">
        <f>IF(A54=FALSE,"",IF(IA54="POEA",Cotations!BA54,IF(HA54="FIXE",Cotations!BB54,IF(Cotations!BC54*Y54&lt;50000,Z54,Cotations!BC54*Y54))))</f>
        <v/>
      </c>
      <c r="IG54" s="300" t="str">
        <f t="shared" si="502"/>
        <v/>
      </c>
      <c r="IH54" s="522" t="str">
        <f>IF(A54=FALSE,"",IF(Cotations!AZ54="monthly",IG54/12*L54,IG54/365*M54))</f>
        <v/>
      </c>
      <c r="II54" s="489" t="str">
        <f>IF(A54=FALSE,"",IF(Cotations!BD54="","",Cotations!BD54))</f>
        <v/>
      </c>
      <c r="IJ54" s="300" t="str">
        <f t="shared" si="503"/>
        <v/>
      </c>
      <c r="IK54" s="300" t="str">
        <f t="shared" si="504"/>
        <v/>
      </c>
      <c r="IL54" s="919" t="str">
        <f t="shared" si="505"/>
        <v/>
      </c>
      <c r="IM54" s="517" t="str">
        <f>IF(A54=FALSE,"",Cotations!BE54)</f>
        <v/>
      </c>
      <c r="IN54" s="517" t="str">
        <f>IF(A54=FALSE,"",Cotations!BF54)</f>
        <v/>
      </c>
      <c r="IO54" s="493" t="str">
        <f>IF(A54=FALSE,"",Cotations!BG54)</f>
        <v/>
      </c>
      <c r="IP54" s="517" t="str">
        <f>IF(A54=FALSE,"",IF(IM54="N/A",0,IF(INDEX(LISTES!$F$105:$F$109,MATCH(IM54,LISTES!$C$105:$C$109,0))="FIX",IF(INDEX(LISTES!$E$105:$E$109,MATCH(IM54,LISTES!$C$105:$C$109,0))=12,IN54/12*L54,IN54/365*M54),IO54*IL54)))</f>
        <v/>
      </c>
      <c r="IQ54" s="294" t="str">
        <f t="shared" si="506"/>
        <v/>
      </c>
      <c r="IR54" s="494" t="str">
        <f>IF(A54=FALSE,"",IQ54*Cotations!BH54)</f>
        <v/>
      </c>
      <c r="IS54" s="494" t="str">
        <f>IF(A54=FALSE,"",IQ54*Cotations!BI54)</f>
        <v/>
      </c>
      <c r="IT54" s="338" t="str">
        <f t="shared" si="507"/>
        <v/>
      </c>
      <c r="IU54" s="919" t="str">
        <f>IF(A54=FALSE,"",((IG54*TAXE)-(IG54*TAXE*II54))+IF(IM54="N/A",0,IF(INDEX(LISTES!$F$105:$F$109,MATCH(IM54,LISTES!$C$105:$C$109,0))="FIX",IN54,IO54*IL54)))</f>
        <v/>
      </c>
      <c r="JA54" s="492" t="str">
        <f>IF(A54=FALSE,"",Cotations!D54)</f>
        <v/>
      </c>
      <c r="JB54" s="495" t="str">
        <f>IF(A54=FALSE,"",IF(LISTES!$A$17=1,Cotations!BJ54,Cotations!$BK$4))</f>
        <v/>
      </c>
      <c r="JC54" s="291" t="str">
        <f t="shared" si="508"/>
        <v/>
      </c>
      <c r="JD54" s="291" t="str">
        <f t="shared" si="509"/>
        <v/>
      </c>
      <c r="JE54" s="456" t="str">
        <f t="shared" si="510"/>
        <v/>
      </c>
      <c r="JF54" s="496" t="str">
        <f>IF(A54=FALSE,"",IF(JA54="POEA",Cotations!BM54,IF(JA54="FIXE",Cotations!$BM$4,Cotations!$BO$4*Y54)))</f>
        <v/>
      </c>
      <c r="JG54" s="300" t="str">
        <f t="shared" si="511"/>
        <v/>
      </c>
      <c r="JH54" s="522" t="str">
        <f>IF(A54=FALSE,"",IF(Cotations!$BL$4="monthly",JG54/12*L54,JG54/365*M54))</f>
        <v/>
      </c>
      <c r="JI54" s="489" t="str">
        <f>IF(A54=FALSE,"",Cotations!$BP$4)</f>
        <v/>
      </c>
      <c r="JJ54" s="300" t="str">
        <f t="shared" si="512"/>
        <v/>
      </c>
      <c r="JK54" s="300" t="str">
        <f t="shared" si="513"/>
        <v/>
      </c>
      <c r="JL54" s="294" t="str">
        <f t="shared" si="514"/>
        <v/>
      </c>
      <c r="JM54" s="494" t="str">
        <f>IF(A54=FALSE,"",Cotations!$BQ$4)</f>
        <v/>
      </c>
      <c r="JN54" s="522" t="str">
        <f>IF(A54=FALSE,"",Cotations!$BR$4)</f>
        <v/>
      </c>
      <c r="JO54" s="489" t="str">
        <f>IF(A54=FALSE,"",Cotations!$BS$4)</f>
        <v/>
      </c>
      <c r="JP54" s="494" t="str">
        <f>IF(A54=FALSE,"",IF(JM54="N/A",0,IF(INDEX(LISTES!$F$105:$F$109,MATCH(JM54,LISTES!$C$105:$C$109,0))="FIX",IF(INDEX(LISTES!$E$105:$E$109,MATCH(JM54,LISTES!$C$105:$C$109,0))=12,JN54/12*L54,JN54/365*M54),JO54*JL54)))</f>
        <v/>
      </c>
      <c r="JQ54" s="294" t="str">
        <f t="shared" si="515"/>
        <v/>
      </c>
      <c r="JR54" s="494" t="str">
        <f>IF(A54=FALSE,"",JQ54*Cotations!$BT$4)</f>
        <v/>
      </c>
      <c r="JS54" s="494" t="str">
        <f>IF(A54=FALSE,"",JQ54*Cotations!$BU$4)</f>
        <v/>
      </c>
      <c r="JT54" s="294" t="str">
        <f t="shared" si="516"/>
        <v/>
      </c>
      <c r="JU54" s="919" t="str">
        <f>IF(A54=FALSE,"",((JG54*TAXE)-(JG54*TAXE*JI54))+IF(JM54="N/A",0,IF(INDEX(LISTES!$F$105:$F$109,MATCH(JM54,LISTES!$C$105:$C$109,0))="FIX",JN54,JO54*JL54)))</f>
        <v/>
      </c>
      <c r="KA54" s="492" t="str">
        <f>IF(A54=FALSE,"",Cotations!D54)</f>
        <v/>
      </c>
      <c r="KB54" s="491" t="str">
        <f>IF(A54=FALSE,"",IF(LISTES!$A$17=1,Cotations!BJ54,Cotations!BK54))</f>
        <v/>
      </c>
      <c r="KC54" s="285" t="str">
        <f t="shared" si="517"/>
        <v/>
      </c>
      <c r="KD54" s="300"/>
      <c r="KE54" s="461" t="str">
        <f t="shared" si="518"/>
        <v/>
      </c>
      <c r="KF54" s="490" t="str">
        <f>IF(A54=FALSE,"",IF(KA54="POEA",Cotations!BM54,IF(KA54="FIXE",Cotations!BN54,IF(Cotations!BO54*Y54&lt;50000,Z54,Cotations!BO54*Y54))))</f>
        <v/>
      </c>
      <c r="KG54" s="300" t="str">
        <f t="shared" si="519"/>
        <v/>
      </c>
      <c r="KH54" s="522" t="str">
        <f>IF(A54=FALSE,"",IF(Cotations!BL54="monthly",KG54/12*L54,KG54/365*M54))</f>
        <v/>
      </c>
      <c r="KI54" s="489" t="str">
        <f>IF(A54=FALSE,"",IF(Cotations!BP54="","",Cotations!BP54))</f>
        <v/>
      </c>
      <c r="KJ54" s="300" t="str">
        <f t="shared" si="520"/>
        <v/>
      </c>
      <c r="KK54" s="300" t="str">
        <f t="shared" si="521"/>
        <v/>
      </c>
      <c r="KL54" s="919" t="str">
        <f t="shared" si="522"/>
        <v/>
      </c>
      <c r="KM54" s="517" t="str">
        <f>IF(A54=FALSE,"",Cotations!BQ54)</f>
        <v/>
      </c>
      <c r="KN54" s="515" t="str">
        <f>IF(A54=FALSE,"",Cotations!BR54)</f>
        <v/>
      </c>
      <c r="KO54" s="493" t="str">
        <f>IF(A54=FALSE,"",Cotations!BS54)</f>
        <v/>
      </c>
      <c r="KP54" s="517" t="str">
        <f>IF(A54=FALSE,"",IF(KM54="N/A",0,IF(INDEX(LISTES!$F$105:$F$109,MATCH(KM54,LISTES!$C$105:$C$109,0))="FIX",IF(INDEX(LISTES!$E$105:$E$109,MATCH(KM54,LISTES!$C$105:$C$109,0))=12,KN54/12*L54,KN54/365*M54),KO54*KL54)))</f>
        <v/>
      </c>
      <c r="KQ54" s="294" t="str">
        <f t="shared" si="523"/>
        <v/>
      </c>
      <c r="KR54" s="494" t="str">
        <f>IF(A54=FALSE,"",KQ54*Cotations!BT54)</f>
        <v/>
      </c>
      <c r="KS54" s="494" t="str">
        <f>IF(A54=FALSE,"",KQ54*Cotations!BU54)</f>
        <v/>
      </c>
      <c r="KT54" s="338" t="str">
        <f t="shared" si="524"/>
        <v/>
      </c>
      <c r="KU54" s="919" t="str">
        <f>IF(A54=FALSE,"",((KG54*TAXE)-(KG54*TAXE*KI54))+IF(KM54="N/A",0,IF(INDEX(LISTES!$F$105:$F$109,MATCH(KM54,LISTES!$C$105:$C$109,0))="FIX",KN54,KO54*KL54)))</f>
        <v/>
      </c>
      <c r="LA54" s="497" t="str">
        <f>IF(A54=FALSE,"",Cotations!D54)</f>
        <v/>
      </c>
      <c r="LB54" s="498" t="str">
        <f>IF(A54=FALSE,"",IF(LISTES!$A$17=1,Cotations!BV54,Cotations!$BW$4))</f>
        <v/>
      </c>
      <c r="LC54" s="499" t="str">
        <f t="shared" si="525"/>
        <v/>
      </c>
      <c r="LD54" s="499" t="str">
        <f t="shared" si="526"/>
        <v/>
      </c>
      <c r="LE54" s="500" t="str">
        <f t="shared" si="527"/>
        <v/>
      </c>
      <c r="LF54" s="501" t="str">
        <f>IF(A54=FALSE,"",IF(LA54="POEA",Cotations!EJ54,IF(LA54="FIXE",Cotations!$BY$4,Cotations!$CA$4*Y54)))</f>
        <v/>
      </c>
      <c r="LG54" s="502" t="str">
        <f t="shared" si="528"/>
        <v/>
      </c>
      <c r="LH54" s="520" t="str">
        <f>IF(A54=FALSE,"",IF(Cotations!$BX$4="monthly",LG54/12*L54,LG54/365*M54))</f>
        <v/>
      </c>
      <c r="LI54" s="503" t="str">
        <f>IF(A54=FALSE,"",Cotations!$CB$4)</f>
        <v/>
      </c>
      <c r="LJ54" s="502" t="str">
        <f t="shared" si="529"/>
        <v/>
      </c>
      <c r="LK54" s="502" t="str">
        <f t="shared" si="530"/>
        <v/>
      </c>
      <c r="LL54" s="504" t="str">
        <f t="shared" si="531"/>
        <v/>
      </c>
      <c r="LM54" s="505" t="str">
        <f>IF(A54=FALSE,"",Cotations!$CC$4)</f>
        <v/>
      </c>
      <c r="LN54" s="503" t="str">
        <f>IF(A54=FALSE,"",Cotations!$CD$4)</f>
        <v/>
      </c>
      <c r="LO54" s="503" t="str">
        <f>IF(A54=FALSE,"",Cotations!$CE$4)</f>
        <v/>
      </c>
      <c r="LP54" s="505" t="str">
        <f>IF(A54=FALSE,"",IF(LM54="N/A",0,IF(INDEX(LISTES!$F$105:$F$109,MATCH(LM54,LISTES!$C$105:$C$109,0))="FIX",IF(INDEX(LISTES!$E$105:$E$109,MATCH(LM54,LISTES!$C$105:$C$109,0))=12,LN54/12*L54,LN54/365*M54),LO54*LL54)))</f>
        <v/>
      </c>
      <c r="LQ54" s="504" t="str">
        <f t="shared" si="532"/>
        <v/>
      </c>
      <c r="LR54" s="505" t="str">
        <f>IF(A54=FALSE,"",LQ54*Cotations!$CF$4)</f>
        <v/>
      </c>
      <c r="LS54" s="505" t="str">
        <f>IF(A54=FALSE,"",LQ54*Cotations!$CG$4)</f>
        <v/>
      </c>
      <c r="LT54" s="506" t="str">
        <f t="shared" si="533"/>
        <v/>
      </c>
      <c r="LU54" s="919" t="str">
        <f>IF(A54=FALSE,"",((LG54*TAXE)-(LG54*TAXE*LI54))+IF(LM54="N/A",0,IF(INDEX(LISTES!$F$105:$F$109,MATCH(LM54,LISTES!$C$105:$C$109,0))="FIX",LN54,LO54*LL54)))</f>
        <v/>
      </c>
      <c r="MA54" s="492" t="str">
        <f>IF(A54=FALSE,"",Cotations!D54)</f>
        <v/>
      </c>
      <c r="MB54" s="491" t="str">
        <f>IF(A54=FALSE,"",IF(LISTES!$A$17=1,Cotations!BV54,Cotations!BW54))</f>
        <v/>
      </c>
      <c r="MC54" s="285" t="str">
        <f t="shared" si="534"/>
        <v/>
      </c>
      <c r="MD54" s="300"/>
      <c r="ME54" s="461" t="str">
        <f t="shared" si="535"/>
        <v/>
      </c>
      <c r="MF54" s="490" t="str">
        <f>IF(A54=FALSE,"",IF(MA54="POEA",Cotations!BY54,IF(MA54="FIXE",Cotations!BZ54,IF(Cotations!CA54*Y54&lt;50000,Z54,Cotations!CA54*Y54))))</f>
        <v/>
      </c>
      <c r="MG54" s="300" t="str">
        <f t="shared" si="536"/>
        <v/>
      </c>
      <c r="MH54" s="522" t="str">
        <f>IF(A54=FALSE,"",IF(Cotations!BX54="monthly",MG54/12*L54,MG54/365*M54))</f>
        <v/>
      </c>
      <c r="MI54" s="489" t="str">
        <f>IF(A54=FALSE,"",IF(Cotations!CB54="","",Cotations!CB54))</f>
        <v/>
      </c>
      <c r="MJ54" s="300" t="str">
        <f t="shared" si="537"/>
        <v/>
      </c>
      <c r="MK54" s="300" t="str">
        <f t="shared" si="538"/>
        <v/>
      </c>
      <c r="ML54" s="919" t="str">
        <f t="shared" si="539"/>
        <v/>
      </c>
      <c r="MM54" s="517" t="str">
        <f>IF(A54=FALSE,"",Cotations!CC54)</f>
        <v/>
      </c>
      <c r="MN54" s="515" t="str">
        <f>IF(A54=FALSE,"",Cotations!CD54)</f>
        <v/>
      </c>
      <c r="MO54" s="493" t="str">
        <f>IF(A54=FALSE,"",Cotations!CE54)</f>
        <v/>
      </c>
      <c r="MP54" s="517" t="str">
        <f>IF(A54=FALSE,"",IF(MM54="N/A",0,IF(INDEX(LISTES!$F$105:$F$109,MATCH(MM54,LISTES!$C$105:$C$109,0))="FIX",IF(INDEX(LISTES!$E$105:$E$109,MATCH(MM54,LISTES!$C$105:$C$109,0))=12,MN54/12*L54,MN54/365*M54),MO54*ML54)))</f>
        <v/>
      </c>
      <c r="MQ54" s="294" t="str">
        <f t="shared" si="540"/>
        <v/>
      </c>
      <c r="MR54" s="494" t="str">
        <f>IF(A54=FALSE,"",MQ54*Cotations!CF54)</f>
        <v/>
      </c>
      <c r="MS54" s="494" t="str">
        <f>IF(A54=FALSE,"",MQ54*Cotations!CG54)</f>
        <v/>
      </c>
      <c r="MT54" s="338" t="str">
        <f t="shared" si="541"/>
        <v/>
      </c>
      <c r="MU54" s="919" t="str">
        <f>IF(A54=FALSE,"",((MG54*TAXE)-(MG54*TAXE*MI54))+IF(MM54="N/A",0,IF(INDEX(LISTES!$F$105:$F$109,MATCH(MM54,LISTES!$C$105:$C$109,0))="FIX",MN54,MO54*ML54)))</f>
        <v/>
      </c>
      <c r="NA54" s="497" t="str">
        <f>IF(A54=FALSE,"",Cotations!D54)</f>
        <v/>
      </c>
      <c r="NB54" s="498" t="str">
        <f>IF(A54=FALSE,"",IF(LISTES!$A$17=1,Cotations!CH54,Cotations!$CI$4))</f>
        <v/>
      </c>
      <c r="NC54" s="499" t="str">
        <f t="shared" si="542"/>
        <v/>
      </c>
      <c r="ND54" s="499" t="str">
        <f t="shared" si="543"/>
        <v/>
      </c>
      <c r="NE54" s="500" t="str">
        <f t="shared" si="544"/>
        <v/>
      </c>
      <c r="NF54" s="501" t="str">
        <f>IF(A54=FALSE,"",IF(NA54="POEA",Cotations!CK54,IF(NA54="FIXE",Cotations!$CK$4,Cotations!$CM$4*Y54)))</f>
        <v/>
      </c>
      <c r="NG54" s="502" t="str">
        <f t="shared" si="545"/>
        <v/>
      </c>
      <c r="NH54" s="520" t="str">
        <f>IF(A54=FALSE,"",IF(Cotations!$CJ$4="monthly",NG54/12*L54,NG54/365*M54))</f>
        <v/>
      </c>
      <c r="NI54" s="503" t="str">
        <f>IF(A54=FALSE,"",Cotations!$CN$4)</f>
        <v/>
      </c>
      <c r="NJ54" s="502" t="str">
        <f t="shared" si="546"/>
        <v/>
      </c>
      <c r="NK54" s="502" t="str">
        <f t="shared" si="547"/>
        <v/>
      </c>
      <c r="NL54" s="504" t="str">
        <f t="shared" si="548"/>
        <v/>
      </c>
      <c r="NM54" s="505" t="str">
        <f>IF(A54=FALSE,"",Cotations!$CO$4)</f>
        <v/>
      </c>
      <c r="NN54" s="520" t="str">
        <f>IF(A54=FALSE,"",Cotations!$CP$4)</f>
        <v/>
      </c>
      <c r="NO54" s="503" t="str">
        <f>IF(A54=FALSE,"",Cotations!$CQ$4)</f>
        <v/>
      </c>
      <c r="NP54" s="505" t="str">
        <f>IF(A54=FALSE,"",IF(NM54="N/A",0,IF(INDEX(LISTES!$F$105:$F$109,MATCH(NM54,LISTES!$C$105:$C$109,0))="FIX",IF(INDEX(LISTES!$E$105:$E$109,MATCH(NM54,LISTES!$C$105:$C$109,0))=12,NN54/12*L54,NN54/365*M54),NO54*NL54)))</f>
        <v/>
      </c>
      <c r="NQ54" s="504" t="str">
        <f t="shared" si="549"/>
        <v/>
      </c>
      <c r="NR54" s="505" t="str">
        <f>IF(A54=FALSE,"",NQ54*Cotations!$CR$4)</f>
        <v/>
      </c>
      <c r="NS54" s="505" t="str">
        <f>IF(A54=FALSE,"",NQ54*Cotations!$CS$4)</f>
        <v/>
      </c>
      <c r="NT54" s="506" t="str">
        <f t="shared" si="550"/>
        <v/>
      </c>
      <c r="NU54" s="919" t="str">
        <f>IF(A54=FALSE,"",((NG54*TAXE)-(NG54*TAXE*NI54))+IF(NM54="N/A",0,IF(INDEX(LISTES!$F$105:$F$109,MATCH(NM54,LISTES!$C$105:$C$109,0))="FIX",NN54,NO54*NL54)))</f>
        <v/>
      </c>
      <c r="OA54" s="492" t="str">
        <f>IF(A54=FALSE,"",Cotations!D54)</f>
        <v/>
      </c>
      <c r="OB54" s="491" t="str">
        <f>IF(A54=FALSE,"",IF(LISTES!$A$17=1,Cotations!CH54,Cotations!CI54))</f>
        <v/>
      </c>
      <c r="OC54" s="285" t="str">
        <f t="shared" si="551"/>
        <v/>
      </c>
      <c r="OD54" s="300"/>
      <c r="OE54" s="461" t="str">
        <f t="shared" si="552"/>
        <v/>
      </c>
      <c r="OF54" s="490" t="str">
        <f>IF(A54=FALSE,"",IF(OA54="POEA",Cotations!CK54,IF(OA54="FIXE",Cotations!CL54,IF(Cotations!CM54*Y54&lt;50000,Z54,Cotations!CM54*Y54))))</f>
        <v/>
      </c>
      <c r="OG54" s="300" t="str">
        <f t="shared" si="553"/>
        <v/>
      </c>
      <c r="OH54" s="522" t="str">
        <f>IF(A54=FALSE,"",IF(Cotations!CJ54="monthly",OG54/12*L54,OG54/365*M54))</f>
        <v/>
      </c>
      <c r="OI54" s="489" t="str">
        <f>IF(A54=FALSE,"",IF(Cotations!CN54="","",Cotations!CN54))</f>
        <v/>
      </c>
      <c r="OJ54" s="300" t="str">
        <f t="shared" si="554"/>
        <v/>
      </c>
      <c r="OK54" s="300" t="str">
        <f t="shared" si="555"/>
        <v/>
      </c>
      <c r="OL54" s="919" t="str">
        <f t="shared" si="556"/>
        <v/>
      </c>
      <c r="OM54" s="517" t="str">
        <f>IF(A54=FALSE,"",Cotations!CO54)</f>
        <v/>
      </c>
      <c r="ON54" s="515" t="str">
        <f>IF(A54=FALSE,"",Cotations!CP54)</f>
        <v/>
      </c>
      <c r="OO54" s="493" t="str">
        <f>IF(A54=FALSE,"",Cotations!CQ54)</f>
        <v/>
      </c>
      <c r="OP54" s="517" t="str">
        <f>IF(A54=FALSE,"",IF(OM54="N/A",0,IF(INDEX(LISTES!$F$105:$F$109,MATCH(OM54,LISTES!$C$105:$C$109,0))="FIX",IF(INDEX(LISTES!$E$105:$E$109,MATCH(OM54,LISTES!$C$105:$C$109,0))=12,ON54/12*L54,ON54/365*M54),OO54*OL54)))</f>
        <v/>
      </c>
      <c r="OQ54" s="294" t="str">
        <f t="shared" si="557"/>
        <v/>
      </c>
      <c r="OR54" s="494" t="str">
        <f>IF(A54=FALSE,"",OQ54*Cotations!CR54)</f>
        <v/>
      </c>
      <c r="OS54" s="494" t="str">
        <f>IF(A54=FALSE,"",OQ54*Cotations!CS54)</f>
        <v/>
      </c>
      <c r="OT54" s="338" t="str">
        <f t="shared" si="558"/>
        <v/>
      </c>
      <c r="OU54" s="919" t="str">
        <f>IF(A54=FALSE,"",((OG54*TAXE)-(OG54*TAXE*OI54))+IF(OM54="N/A",0,IF(INDEX(LISTES!$F$105:$F$109,MATCH(OM54,LISTES!$C$105:$C$109,0))="FIX",ON54,OO54*OL54)))</f>
        <v/>
      </c>
      <c r="PA54" s="497" t="str">
        <f t="shared" si="559"/>
        <v/>
      </c>
      <c r="PB54" s="498" t="str">
        <f>IF(A54=FALSE,"",IF(LISTES!$A$17=1,Cotations!CT54,Cotations!$CU$4))</f>
        <v/>
      </c>
      <c r="PC54" s="499" t="str">
        <f t="shared" si="560"/>
        <v/>
      </c>
      <c r="PD54" s="499" t="str">
        <f t="shared" si="561"/>
        <v/>
      </c>
      <c r="PE54" s="500" t="str">
        <f t="shared" si="562"/>
        <v/>
      </c>
      <c r="PF54" s="501" t="str">
        <f>IF(A54=FALSE,"",Cotations!$CY$4*Y54)</f>
        <v/>
      </c>
      <c r="PG54" s="502" t="str">
        <f t="shared" si="563"/>
        <v/>
      </c>
      <c r="PH54" s="520" t="str">
        <f>IF(A54=FALSE,"",IF(Cotations!$CV$4="monthly",PG54/12*L54,PG54/365*M54))</f>
        <v/>
      </c>
      <c r="PI54" s="503" t="str">
        <f>IF(A54=FALSE,"",Cotations!$CZ$4)</f>
        <v/>
      </c>
      <c r="PJ54" s="502" t="str">
        <f t="shared" si="564"/>
        <v/>
      </c>
      <c r="PK54" s="502" t="str">
        <f t="shared" si="565"/>
        <v/>
      </c>
      <c r="PL54" s="504" t="str">
        <f t="shared" si="566"/>
        <v/>
      </c>
      <c r="PM54" s="505" t="str">
        <f>IF(A54=FALSE,"",Cotations!$DA$4)</f>
        <v/>
      </c>
      <c r="PN54" s="520" t="str">
        <f>IF(A54=FALSE,"",Cotations!$DB$4)</f>
        <v/>
      </c>
      <c r="PO54" s="503" t="str">
        <f>IF(A54=FALSE,"",Cotations!$DC$4)</f>
        <v/>
      </c>
      <c r="PP54" s="505" t="str">
        <f>IF(A54=FALSE,"",IF(PM54="N/A",0,IF(INDEX(LISTES!$F$105:$F$109,MATCH(PM54,LISTES!$C$105:$C$109,0))="FIX",IF(INDEX(LISTES!$E$105:$E$109,MATCH(PM54,LISTES!$C$105:$C$109,0))=12,PN54/12*L54,PN54/365*M54),PO54*PL54)))</f>
        <v/>
      </c>
      <c r="PQ54" s="504" t="str">
        <f t="shared" si="567"/>
        <v/>
      </c>
      <c r="PR54" s="505" t="str">
        <f>IF(A54=FALSE,"",PQ54*Cotations!$DD$4)</f>
        <v/>
      </c>
      <c r="PS54" s="505" t="str">
        <f>IF(A54=FALSE,"",PQ54*Cotations!$DE$4)</f>
        <v/>
      </c>
      <c r="PT54" s="506" t="str">
        <f t="shared" si="568"/>
        <v/>
      </c>
      <c r="PU54" s="919" t="str">
        <f>IF(A54=FALSE,"",((PG54*TAXE)-(PG54*TAXE*PI54))+IF(PM54="N/A",0,IF(INDEX(LISTES!$F$105:$F$109,MATCH(PM54,LISTES!$C$105:$C$109,0))="FIX",PN54,PO54*PL54)))</f>
        <v/>
      </c>
      <c r="QA54" s="492" t="str">
        <f t="shared" si="569"/>
        <v/>
      </c>
      <c r="QB54" s="491" t="str">
        <f>IF(A54=FALSE,"",IF(LISTES!$A$17=1,Cotations!CT54,Cotations!CU54))</f>
        <v/>
      </c>
      <c r="QC54" s="285" t="str">
        <f t="shared" si="570"/>
        <v/>
      </c>
      <c r="QD54" s="300"/>
      <c r="QE54" s="461" t="str">
        <f t="shared" si="571"/>
        <v/>
      </c>
      <c r="QF54" s="490" t="str">
        <f>IF(A54=FALSE,"",Cotations!CY54*AA54)</f>
        <v/>
      </c>
      <c r="QG54" s="300" t="str">
        <f t="shared" si="572"/>
        <v/>
      </c>
      <c r="QH54" s="522" t="str">
        <f>IF(A54=FALSE,"",IF(Cotations!CV54="monthly",QG54/12*L54,QG54/365*M54))</f>
        <v/>
      </c>
      <c r="QI54" s="489" t="str">
        <f>IF(A54=FALSE,"",IF(Cotations!CZ54="","",Cotations!CZ54))</f>
        <v/>
      </c>
      <c r="QJ54" s="300" t="str">
        <f t="shared" si="573"/>
        <v/>
      </c>
      <c r="QK54" s="300" t="str">
        <f t="shared" si="574"/>
        <v/>
      </c>
      <c r="QL54" s="919" t="str">
        <f t="shared" si="575"/>
        <v/>
      </c>
      <c r="QM54" s="517" t="str">
        <f>IF(A54=FALSE,"",Cotations!DA54)</f>
        <v/>
      </c>
      <c r="QN54" s="515" t="str">
        <f>IF(A54=FALSE,"",Cotations!DB54)</f>
        <v/>
      </c>
      <c r="QO54" s="493" t="str">
        <f>IF(A54=FALSE,"",Cotations!DC54)</f>
        <v/>
      </c>
      <c r="QP54" s="517" t="str">
        <f>IF(A54=FALSE,"",IF(QM54="N/A",0,IF(INDEX(LISTES!$F$105:$F$109,MATCH(QM54,LISTES!$C$105:$C$109,0))="FIX",IF(INDEX(LISTES!$E$105:$E$109,MATCH(QM54,LISTES!$C$105:$C$109,0))=12,QN54/12*L54,QN54/365*M54),QO54*QL54)))</f>
        <v/>
      </c>
      <c r="QQ54" s="294" t="str">
        <f t="shared" si="576"/>
        <v/>
      </c>
      <c r="QR54" s="494" t="str">
        <f>IF(A54=FALSE,"",QQ54*Cotations!DD54)</f>
        <v/>
      </c>
      <c r="QS54" s="494" t="str">
        <f>IF(A54=FALSE,"",QQ54*Cotations!DE54)</f>
        <v/>
      </c>
      <c r="QT54" s="338" t="str">
        <f t="shared" si="577"/>
        <v/>
      </c>
      <c r="QU54" s="919" t="str">
        <f>IF(A54=FALSE,"",((QG54*TAXE)-(QG54*TAXE*QI54))+IF(QM54="N/A",0,IF(INDEX(LISTES!$F$105:$F$109,MATCH(QM54,LISTES!$C$105:$C$109,0))="FIX",QN54,QO54*QL54)))</f>
        <v/>
      </c>
      <c r="RA54" s="497" t="str">
        <f t="shared" si="578"/>
        <v/>
      </c>
      <c r="RB54" s="498" t="str">
        <f>IF(A54=FALSE,"",IF(LISTES!$A$17=1,Cotations!DF54,Cotations!$DG$4))</f>
        <v/>
      </c>
      <c r="RC54" s="499" t="str">
        <f t="shared" si="579"/>
        <v/>
      </c>
      <c r="RD54" s="499" t="str">
        <f t="shared" si="580"/>
        <v/>
      </c>
      <c r="RE54" s="500" t="str">
        <f t="shared" si="581"/>
        <v/>
      </c>
      <c r="RF54" s="501" t="str">
        <f>IF(A54=FALSE,"",Cotations!$DK$4*Y54)</f>
        <v/>
      </c>
      <c r="RG54" s="502" t="str">
        <f t="shared" si="582"/>
        <v/>
      </c>
      <c r="RH54" s="520" t="str">
        <f>IF(A54=FALSE,"",IF(Cotations!$DH$4="monthly",RG54/12*L54,RG54/365*M54))</f>
        <v/>
      </c>
      <c r="RI54" s="503" t="str">
        <f>IF(A54=FALSE,"",Cotations!$DL$4)</f>
        <v/>
      </c>
      <c r="RJ54" s="502" t="str">
        <f t="shared" si="583"/>
        <v/>
      </c>
      <c r="RK54" s="502" t="str">
        <f t="shared" si="584"/>
        <v/>
      </c>
      <c r="RL54" s="504" t="str">
        <f t="shared" si="585"/>
        <v/>
      </c>
      <c r="RM54" s="505" t="str">
        <f>IF(A54=FALSE,"",Cotations!$DM$4)</f>
        <v/>
      </c>
      <c r="RN54" s="520" t="str">
        <f>IF(A54=FALSE,"",Cotations!$DN$4)</f>
        <v/>
      </c>
      <c r="RO54" s="503" t="str">
        <f>IF(A54=FALSE,"",Cotations!$DO$4)</f>
        <v/>
      </c>
      <c r="RP54" s="505" t="str">
        <f>IF(A54=FALSE,"",IF(RM54="N/A",0,IF(INDEX(LISTES!$F$105:$F$109,MATCH(RM54,LISTES!$C$105:$C$109,0))="FIX",IF(INDEX(LISTES!$E$105:$E$109,MATCH(RM54,LISTES!$C$105:$C$109,0))=12,RN54/12*L54,RN54/365*M54),RO54*RL54)))</f>
        <v/>
      </c>
      <c r="RQ54" s="504" t="str">
        <f t="shared" si="586"/>
        <v/>
      </c>
      <c r="RR54" s="505" t="str">
        <f>IF(A54=FALSE,"",RQ54*Cotations!$DP$4)</f>
        <v/>
      </c>
      <c r="RS54" s="505" t="str">
        <f>IF(A54=FALSE,"",RQ54*Cotations!$DQ$4)</f>
        <v/>
      </c>
      <c r="RT54" s="506" t="str">
        <f t="shared" si="587"/>
        <v/>
      </c>
      <c r="RU54" s="919" t="str">
        <f>IF(A54=FALSE,"",((RG54*TAXE)-(RG54*TAXE*RI54))+IF(RM54="N/A",0,IF(INDEX(LISTES!$F$105:$F$109,MATCH(RM54,LISTES!$C$105:$C$109,0))="FIX",RN54,RO54*RL54)))</f>
        <v/>
      </c>
      <c r="SA54" s="492" t="str">
        <f t="shared" si="588"/>
        <v/>
      </c>
      <c r="SB54" s="491" t="str">
        <f>IF(A54=FALSE,"",IF(LISTES!$A$17=1,Cotations!DF54,Cotations!DG54))</f>
        <v/>
      </c>
      <c r="SC54" s="285" t="str">
        <f t="shared" si="589"/>
        <v/>
      </c>
      <c r="SD54" s="300"/>
      <c r="SE54" s="461" t="str">
        <f t="shared" si="590"/>
        <v/>
      </c>
      <c r="SF54" s="490" t="str">
        <f>IF(A54=FALSE,"",Cotations!DK54*AA54)</f>
        <v/>
      </c>
      <c r="SG54" s="300" t="str">
        <f t="shared" si="591"/>
        <v/>
      </c>
      <c r="SH54" s="522" t="str">
        <f>IF(A54=FALSE,"",IF(Cotations!DH54="monthly",SG54/12*L54,SG54/365*M54))</f>
        <v/>
      </c>
      <c r="SI54" s="489" t="str">
        <f>IF(A54=FALSE,"",IF(Cotations!DL54="","",Cotations!DL54))</f>
        <v/>
      </c>
      <c r="SJ54" s="300" t="str">
        <f t="shared" si="592"/>
        <v/>
      </c>
      <c r="SK54" s="300" t="str">
        <f t="shared" si="593"/>
        <v/>
      </c>
      <c r="SL54" s="919" t="str">
        <f t="shared" si="594"/>
        <v/>
      </c>
      <c r="SM54" s="285" t="str">
        <f>IF(A54=FALSE,"",Cotations!DM54)</f>
        <v/>
      </c>
      <c r="SN54" s="515" t="str">
        <f>IF(A54=FALSE,"",Cotations!DN54)</f>
        <v/>
      </c>
      <c r="SO54" s="493" t="str">
        <f>IF(A54=FALSE,"",Cotations!DO54)</f>
        <v/>
      </c>
      <c r="SP54" s="517" t="str">
        <f>IF(A54=FALSE,"",IF(SM54="N/A",0,IF(INDEX(LISTES!$F$105:$F$109,MATCH(SM54,LISTES!$C$105:$C$109,0))="FIX",IF(INDEX(LISTES!$E$105:$E$109,MATCH(SM54,LISTES!$C$105:$C$109,0))=12,SN54/12*L54,SN54/365*M54),SO54*SL54)))</f>
        <v/>
      </c>
      <c r="SQ54" s="294" t="str">
        <f t="shared" si="595"/>
        <v/>
      </c>
      <c r="SR54" s="494" t="str">
        <f>IF(A54=FALSE,"",SQ54*Cotations!DP54)</f>
        <v/>
      </c>
      <c r="SS54" s="494" t="str">
        <f>IF(A54=FALSE,"",SQ54*Cotations!DQ54)</f>
        <v/>
      </c>
      <c r="ST54" s="338" t="str">
        <f t="shared" si="596"/>
        <v/>
      </c>
      <c r="SU54" s="919" t="str">
        <f>IF(A54=FALSE,"",((SG54*TAXE)-(SG54*TAXE*SI54))+IF(SM54="N/A",0,IF(INDEX(LISTES!$F$105:$F$109,MATCH(SM54,LISTES!$C$105:$C$109,0))="FIX",SN54,SO54*SL54)))</f>
        <v/>
      </c>
      <c r="TA54" s="492" t="str">
        <f>IF(A54=FALSE,"",Cotations!D54)</f>
        <v/>
      </c>
      <c r="TB54" s="491" t="str">
        <f>IF(A54=FALSE,"",IF(LISTES!$A$17=1,Cotations!DR54,Cotations!DS54))</f>
        <v/>
      </c>
      <c r="TC54" s="285" t="str">
        <f t="shared" si="597"/>
        <v/>
      </c>
      <c r="TD54" s="300" t="str">
        <f>IF(A54=FALSE,"",Detail!CQ54)</f>
        <v/>
      </c>
      <c r="TE54" s="461" t="str">
        <f t="shared" si="598"/>
        <v/>
      </c>
      <c r="TF54" s="490" t="str">
        <f>IF(A54=FALSE,"",IF(TA54="FIXE",Cotations!DU54,Cotations!DV54*Y54))</f>
        <v/>
      </c>
      <c r="TG54" s="300" t="str">
        <f t="shared" si="599"/>
        <v/>
      </c>
      <c r="TH54" s="522" t="str">
        <f>IF(A54=FALSE,"",IF(Cotations!DT54="monthly",TG54/12*L54,TG54/365*M54))</f>
        <v/>
      </c>
      <c r="TI54" s="489" t="str">
        <f>IF(A54=FALSE,"",IF(Cotations!DW54="","",Cotations!DW54))</f>
        <v/>
      </c>
      <c r="TJ54" s="300" t="str">
        <f t="shared" si="600"/>
        <v/>
      </c>
      <c r="TK54" s="300" t="str">
        <f t="shared" si="601"/>
        <v/>
      </c>
      <c r="TL54" s="919" t="str">
        <f t="shared" si="602"/>
        <v/>
      </c>
      <c r="TM54" s="517" t="str">
        <f>IF(A54=FALSE,"",Cotations!DX54)</f>
        <v/>
      </c>
      <c r="TN54" s="517" t="str">
        <f>IF(A54=FALSE,"",Cotations!DY54)</f>
        <v/>
      </c>
      <c r="TO54" s="493" t="str">
        <f>IF(A54=FALSE,"",Cotations!DZ54)</f>
        <v/>
      </c>
      <c r="TP54" s="517" t="str">
        <f>IF(A54=FALSE,"",IF(TM54="N/A",0,IF(INDEX(LISTES!$F$105:$F$109,MATCH(TM54,LISTES!$C$105:$C$109,0))="FIX",IF(INDEX(LISTES!$E$105:$E$109,MATCH(TM54,LISTES!$C$105:$C$109,0))=12,TN54/12*L54,TN54/365*M54),TO54*TL54)))</f>
        <v/>
      </c>
      <c r="TQ54" s="294" t="str">
        <f t="shared" si="603"/>
        <v/>
      </c>
      <c r="TR54" s="494" t="str">
        <f>IF(A54=FALSE,"",TQ54*Cotations!EA54)</f>
        <v/>
      </c>
      <c r="TS54" s="494" t="str">
        <f>IF(A54=FALSE,"",TQ54*Cotations!EB54)</f>
        <v/>
      </c>
      <c r="TT54" s="338" t="str">
        <f t="shared" si="604"/>
        <v/>
      </c>
      <c r="TU54" s="919" t="str">
        <f>IF(A54=FALSE,"",((TG54*(1+TAXE)-(TG54*(1+TAXE)*TI54))+IF(TM54="N/A",0,IF(INDEX(LISTES!$F$105:$F$109,MATCH(TM54,LISTES!$C$105:$C$109,0))="FIX",TN54,TO54*TL54))))</f>
        <v/>
      </c>
      <c r="UA54" s="492" t="str">
        <f>IF(A54=FALSE,"",Cotations!D54)</f>
        <v/>
      </c>
      <c r="UB54" s="491" t="str">
        <f>IF(A54=FALSE,"",IF(LISTES!$A$17=1,Cotations!EC54,Cotations!ED54))</f>
        <v/>
      </c>
      <c r="UC54" s="285" t="str">
        <f t="shared" si="605"/>
        <v/>
      </c>
      <c r="UD54" s="300" t="str">
        <f>IF(A54=FALSE,"",Detail!CY54)</f>
        <v/>
      </c>
      <c r="UE54" s="461" t="str">
        <f t="shared" si="606"/>
        <v/>
      </c>
      <c r="UF54" s="490" t="str">
        <f>IF(A54=FALSE,"",IF(UA54="FIXE",Cotations!EF54,Cotations!EG54*Y54))</f>
        <v/>
      </c>
      <c r="UG54" s="300" t="str">
        <f t="shared" si="607"/>
        <v/>
      </c>
      <c r="UH54" s="522" t="str">
        <f>IF(A54=FALSE,"",IF(Cotations!EE54="monthly",UG54/12*L54,UG54/365*M54))</f>
        <v/>
      </c>
      <c r="UI54" s="489" t="str">
        <f>IF(A54=FALSE,"",IF(Cotations!EH54="","",Cotations!EH54))</f>
        <v/>
      </c>
      <c r="UJ54" s="300" t="str">
        <f t="shared" si="608"/>
        <v/>
      </c>
      <c r="UK54" s="300" t="str">
        <f t="shared" si="609"/>
        <v/>
      </c>
      <c r="UL54" s="919" t="str">
        <f t="shared" si="610"/>
        <v/>
      </c>
      <c r="UM54" s="517" t="str">
        <f>IF(A54=FALSE,"",Cotations!EI54)</f>
        <v/>
      </c>
      <c r="UN54" s="517" t="str">
        <f>IF(A54=FALSE,"",Cotations!EJ54)</f>
        <v/>
      </c>
      <c r="UO54" s="493" t="str">
        <f>IF(A54=FALSE,"",Cotations!EK54)</f>
        <v/>
      </c>
      <c r="UP54" s="517" t="str">
        <f>IF(A54=FALSE,"",IF(UM54="N/A",0,IF(INDEX(LISTES!$F$105:$F$109,MATCH(UM54,LISTES!$C$105:$C$109,0))="FIX",IF(INDEX(LISTES!$E$105:$E$109,MATCH(UM54,LISTES!$C$105:$C$109,0))=12,UN54/12*L54,UN54/365*M54),UO54*UL54)))</f>
        <v/>
      </c>
      <c r="UQ54" s="294" t="str">
        <f t="shared" si="611"/>
        <v/>
      </c>
      <c r="UR54" s="494" t="str">
        <f>IF(A54=FALSE,"",UQ54*Cotations!EL54)</f>
        <v/>
      </c>
      <c r="US54" s="494" t="str">
        <f>IF(A54=FALSE,"",UQ54*Cotations!EM54)</f>
        <v/>
      </c>
      <c r="UT54" s="338" t="str">
        <f t="shared" si="612"/>
        <v/>
      </c>
      <c r="UU54" s="919" t="str">
        <f>IF(A54=FALSE,"",((UG54*(1+TAXE)-(UG54*(1+TAXE)*UI54))+IF(UM54="N/A",0,IF(INDEX(LISTES!$F$105:$F$109,MATCH(UM54,LISTES!$C$105:$C$109,0))="FIX",UN54,UO54*UL54))))</f>
        <v/>
      </c>
      <c r="VA54" s="492" t="str">
        <f>IF(A54=FALSE,"",Cotations!D54)</f>
        <v/>
      </c>
      <c r="VB54" s="519" t="str">
        <f>IF(A54=FALSE,"",IF(LISTES!$A$17=1,Cotations!EN54,Cotations!EO54))</f>
        <v/>
      </c>
      <c r="VC54" s="291" t="str">
        <f t="shared" si="613"/>
        <v/>
      </c>
      <c r="VD54" s="291" t="str">
        <f t="shared" si="614"/>
        <v/>
      </c>
      <c r="VE54" s="291"/>
      <c r="VF54" s="463"/>
      <c r="VG54" s="463" t="str">
        <f t="shared" si="615"/>
        <v/>
      </c>
      <c r="VH54" s="522" t="str">
        <f>IF(A54=FALSE,"",IF(Cotations!$AQ$4="monthly",VG54/12*L54,VG54/365*M54))</f>
        <v/>
      </c>
      <c r="VI54" s="489" t="str">
        <f>IF(A54=FALSE,"",Cotations!$AR$4)</f>
        <v/>
      </c>
      <c r="VJ54" s="300" t="str">
        <f t="shared" si="616"/>
        <v/>
      </c>
      <c r="VK54" s="300" t="str">
        <f t="shared" si="617"/>
        <v/>
      </c>
      <c r="VL54" s="294" t="str">
        <f t="shared" si="618"/>
        <v/>
      </c>
      <c r="VM54" s="494" t="str">
        <f>IF(A54=FALSE,"",Cotations!$AS$4)</f>
        <v/>
      </c>
      <c r="VN54" s="494" t="str">
        <f>IF(A54=FALSE,"",Cotations!$AT$4)</f>
        <v/>
      </c>
      <c r="VO54" s="489" t="str">
        <f>IF(A54=FALSE,"",Cotations!$AU$4)</f>
        <v/>
      </c>
      <c r="VP54" s="494" t="str">
        <f>IF(A54=FALSE,"",IF(VM54="N/A",0,IF(INDEX(LISTES!$F$105:$F$109,MATCH(VM54,LISTES!$C$105:$C$109,0))="FIX",IF(INDEX(LISTES!$E$105:$E$109,MATCH(VM54,LISTES!$C$105:$C$109,0))=12,VN54/12*L54,VN54/365*M54),VO54*VL54)))</f>
        <v/>
      </c>
      <c r="VQ54" s="294" t="str">
        <f t="shared" si="619"/>
        <v/>
      </c>
      <c r="VR54" s="494" t="str">
        <f>IF(A54=FALSE,"",VQ54*Cotations!$AV$4)</f>
        <v/>
      </c>
      <c r="VS54" s="494" t="str">
        <f>IF(A54=FALSE,"",VQ54*Cotations!$AW$4)</f>
        <v/>
      </c>
      <c r="VT54" s="465" t="str">
        <f t="shared" si="620"/>
        <v/>
      </c>
      <c r="VU54" s="919" t="str">
        <f>IF(A54=FALSE,"",((VG54*TAXE)-(VG54*TAXE*VI54))+IF(VM54="N/A",0,IF(INDEX(LISTES!$F$105:$F$109,MATCH(VM54,LISTES!$C$105:$C$109,0))="FIX",VN54,VO54*VL54)))</f>
        <v/>
      </c>
      <c r="WA54" s="492" t="str">
        <f>IF(A54=FALSE,"",Cotations!D54)</f>
        <v/>
      </c>
      <c r="WB54" s="519" t="str">
        <f>IF(A54=FALSE,"",IF(LISTES!$A$17=1,Cotations!EW54,Cotations!EX54))</f>
        <v/>
      </c>
      <c r="WC54" s="291" t="str">
        <f t="shared" si="621"/>
        <v/>
      </c>
      <c r="WD54" s="291" t="str">
        <f t="shared" si="622"/>
        <v/>
      </c>
      <c r="WE54" s="291"/>
      <c r="WF54" s="463"/>
      <c r="WG54" s="463" t="str">
        <f t="shared" si="623"/>
        <v/>
      </c>
      <c r="WH54" s="522" t="str">
        <f>IF(A54=FALSE,"",IF(Cotations!$AQ$4="monthly",WG54/12*L54,WG54/365*M54))</f>
        <v/>
      </c>
      <c r="WI54" s="489" t="str">
        <f>IF(A54=FALSE,"",Cotations!$AR$4)</f>
        <v/>
      </c>
      <c r="WJ54" s="300" t="str">
        <f t="shared" si="624"/>
        <v/>
      </c>
      <c r="WK54" s="300" t="str">
        <f t="shared" si="625"/>
        <v/>
      </c>
      <c r="WL54" s="294" t="str">
        <f t="shared" si="626"/>
        <v/>
      </c>
      <c r="WM54" s="494" t="str">
        <f>IF(A54=FALSE,"",Cotations!$AS$4)</f>
        <v/>
      </c>
      <c r="WN54" s="494" t="str">
        <f>IF(A54=FALSE,"",Cotations!$AT$4)</f>
        <v/>
      </c>
      <c r="WO54" s="489" t="str">
        <f>IF(A54=FALSE,"",Cotations!$AU$4)</f>
        <v/>
      </c>
      <c r="WP54" s="494" t="str">
        <f>IF(A54=FALSE,"",IF(WM54="N/A",0,IF(INDEX(LISTES!$F$105:$F$109,MATCH(WM54,LISTES!$C$105:$C$109,0))="FIX",IF(INDEX(LISTES!$E$105:$E$109,MATCH(WM54,LISTES!$C$105:$C$109,0))=12,WN54/12*L54,WN54/365*M54),WO54*WL54)))</f>
        <v/>
      </c>
      <c r="WQ54" s="294" t="str">
        <f t="shared" si="627"/>
        <v/>
      </c>
      <c r="WR54" s="494" t="str">
        <f>IF(A54=FALSE,"",WQ54*Cotations!$AV$4)</f>
        <v/>
      </c>
      <c r="WS54" s="494" t="str">
        <f>IF(A54=FALSE,"",WQ54*Cotations!$AW$4)</f>
        <v/>
      </c>
      <c r="WT54" s="465" t="str">
        <f t="shared" si="628"/>
        <v/>
      </c>
      <c r="WU54" s="919" t="str">
        <f>IF(A54=FALSE,"",((WG54*TAXE)-(WG54*TAXE*WI54))+IF(WM54="N/A",0,IF(INDEX(LISTES!$F$105:$F$109,MATCH(WM54,LISTES!$C$105:$C$109,0))="FIX",WN54,WO54*WL54)))</f>
        <v/>
      </c>
    </row>
    <row r="55" spans="1:619">
      <c r="A55" s="942" t="b">
        <f t="shared" si="433"/>
        <v>0</v>
      </c>
      <c r="B55" s="942" t="b">
        <f>IF(NAMES!$B$9=TRUE,TRUE,FALSE)</f>
        <v>1</v>
      </c>
      <c r="C55" s="942" t="b">
        <f t="shared" si="413"/>
        <v>0</v>
      </c>
      <c r="D55" s="942" t="b">
        <f t="shared" si="414"/>
        <v>0</v>
      </c>
      <c r="E55" s="274" t="b">
        <f>IF(Cotations!C55="","",Cotations!C55)</f>
        <v>0</v>
      </c>
      <c r="F55" s="274" t="str">
        <f>IF(Cotations!D55="","",Cotations!D55)</f>
        <v>PROP</v>
      </c>
      <c r="G55" s="274" t="str">
        <f>IF(Cotations!E55="","",Cotations!E55)</f>
        <v>2016-2017!</v>
      </c>
      <c r="H55" s="274" t="str">
        <f>IF(Cotations!F55="","",Cotations!F55)</f>
        <v>SINGLE</v>
      </c>
      <c r="I55" s="274" t="str">
        <f>IF(Cotations!G55="","",Cotations!G55)</f>
        <v/>
      </c>
      <c r="J55" s="274" t="str">
        <f>IF(Cotations!H55="","",Cotations!H55)</f>
        <v/>
      </c>
      <c r="K55" s="274" t="str">
        <f>IF(Cotations!I55="","",Cotations!I55)</f>
        <v/>
      </c>
      <c r="L55" s="274" t="str">
        <f>IF(A55=FALSE,"",IF(Cotations!N55="","",Cotations!N55))</f>
        <v/>
      </c>
      <c r="M55" s="274" t="str">
        <f>IF(Cotations!P55="","",Cotations!P55)</f>
        <v/>
      </c>
      <c r="N55" s="724" t="str">
        <f>IF(NAMES!$B$10=TRUE,Cotations!J55,Cotations!L55)</f>
        <v/>
      </c>
      <c r="O55" s="724" t="str">
        <f>IF(NAMES!$B$10=TRUE,Cotations!K55,Cotations!M55)</f>
        <v/>
      </c>
      <c r="P55" s="943" t="str">
        <f t="shared" si="415"/>
        <v/>
      </c>
      <c r="Q55" s="724" t="str">
        <f>IF(A55=FALSE,"",IF(Crewlist!Y55="","",Crewlist!Y55))</f>
        <v/>
      </c>
      <c r="R55" s="78" t="str">
        <f>IF(Cotations!U55="","",Cotations!U55)</f>
        <v/>
      </c>
      <c r="S55" s="943" t="str">
        <f t="shared" si="416"/>
        <v/>
      </c>
      <c r="T55" s="919" t="str">
        <f>IF(A55=FALSE,"",VLOOKUP($U$15:$U$120,Currency!$A$2:$D$10,4,0)*Crewlist!N55)</f>
        <v/>
      </c>
      <c r="U55" s="1355" t="str">
        <f>IF(A55=FALSE,"",IF(IT55=0,Crewlist!M55&amp;"/"&amp;EX55,Crewlist!M55&amp;"/"&amp;IT55))</f>
        <v/>
      </c>
      <c r="V55" s="919" t="str">
        <f>IF(A55=FALSE,"",VLOOKUP($U$15:$U$120,Currency!$A$2:$D$10,4,0)*Detail!Q55)</f>
        <v/>
      </c>
      <c r="W55" s="1355" t="str">
        <f>IF(A55=FALSE,"",IF(IT55=0,Detail!R55&amp;"/"&amp;EX55,Detail!R55&amp;"/"&amp;IT55))</f>
        <v/>
      </c>
      <c r="X55" s="919" t="str">
        <f>IF(A55=FALSE,"",IF(LISTES!$C$17="Crewlist",Calcul!T55,Calcul!V55))</f>
        <v/>
      </c>
      <c r="Y55" s="758" t="str">
        <f t="shared" si="417"/>
        <v/>
      </c>
      <c r="Z55" s="758" t="str">
        <f>IF(A55=FALSE,"",IF(X55=0,0,IF((Cotations!BC55*12*X55)&lt;50000,50000,(12*X55))))</f>
        <v/>
      </c>
      <c r="AA55" s="758" t="str">
        <f t="shared" si="418"/>
        <v/>
      </c>
      <c r="AB55" s="758" t="str">
        <f>IF(A55=FALSE,"",IF(Crewlist!O55=0,"",Crewlist!O55))</f>
        <v/>
      </c>
      <c r="AC55" s="758" t="str">
        <f>IF(I55="","",VLOOKUP($AB$15:$AB$120,Currency!$A$15:$B$34,2,0))</f>
        <v/>
      </c>
      <c r="AD55" s="758" t="str">
        <f t="shared" si="419"/>
        <v/>
      </c>
      <c r="AE55" s="758" t="str">
        <f t="shared" si="420"/>
        <v/>
      </c>
      <c r="AF55" s="758" t="str">
        <f t="shared" si="421"/>
        <v/>
      </c>
      <c r="AG55" s="758" t="str">
        <f t="shared" si="422"/>
        <v/>
      </c>
      <c r="AH55" s="1355" t="str">
        <f t="shared" si="434"/>
        <v/>
      </c>
      <c r="AI55" s="919" t="str">
        <f t="shared" si="423"/>
        <v/>
      </c>
      <c r="AJ55" s="1382" t="str">
        <f t="shared" si="424"/>
        <v/>
      </c>
      <c r="AK55" s="1382" t="str">
        <f t="shared" si="425"/>
        <v/>
      </c>
      <c r="AL55" s="238" t="str">
        <f t="shared" si="435"/>
        <v/>
      </c>
      <c r="AM55" s="238" t="str">
        <f t="shared" si="436"/>
        <v/>
      </c>
      <c r="AN55" s="1374" t="str">
        <f t="shared" si="437"/>
        <v/>
      </c>
      <c r="AO55" s="238" t="str">
        <f t="shared" si="438"/>
        <v/>
      </c>
      <c r="AP55" s="342" t="str">
        <f>IF(A55=FALSE,"",INDEX(Rates!$Z$5:$Z$367,MATCH(EB55,colchoice,0)))</f>
        <v/>
      </c>
      <c r="AQ55" s="238" t="str">
        <f t="shared" si="439"/>
        <v/>
      </c>
      <c r="AR55" s="238" t="str">
        <f t="shared" si="440"/>
        <v/>
      </c>
      <c r="AS55" s="238" t="str">
        <f t="shared" si="441"/>
        <v/>
      </c>
      <c r="AT55" s="238" t="str">
        <f t="shared" si="442"/>
        <v/>
      </c>
      <c r="AU55" s="238" t="str">
        <f t="shared" si="443"/>
        <v/>
      </c>
      <c r="AV55" s="238" t="str">
        <f t="shared" si="429"/>
        <v/>
      </c>
      <c r="AW55" s="238" t="str">
        <f t="shared" si="444"/>
        <v/>
      </c>
      <c r="AX55" s="238" t="str">
        <f t="shared" si="445"/>
        <v/>
      </c>
      <c r="AY55" s="238" t="str">
        <f t="shared" si="446"/>
        <v/>
      </c>
      <c r="AZ55" s="238" t="str">
        <f t="shared" si="447"/>
        <v/>
      </c>
      <c r="BA55" s="238" t="str">
        <f t="shared" si="448"/>
        <v/>
      </c>
      <c r="BB55" s="552" t="str">
        <f t="shared" si="449"/>
        <v/>
      </c>
      <c r="BC55" s="347" t="str">
        <f t="shared" si="450"/>
        <v/>
      </c>
      <c r="BD55" s="239" t="str">
        <f t="shared" si="430"/>
        <v/>
      </c>
      <c r="BE55" s="239" t="str">
        <f>IF(A55=FALSE,"",IF(ALLTHESAME=TRUE,IF(DF55&lt;&gt;$BC$7,0,INDEX(DD55:DZ55,1,MATCH(Structure!$D$12,$DD$14:$DZ$14,0))),IF(EC55&lt;&gt;$BC$7,0,INDEX(EA55:EZ55,1,MATCH(Structure!$D$12,$EA$14:$EZ$14,0)))))</f>
        <v/>
      </c>
      <c r="BF55" s="239" t="str">
        <f>IF(A55=FALSE,"",IF(ALLTHESAME=TRUE,IF(FC55&lt;&gt;$BC$7,0,INDEX(FA55:FZ55,1,MATCH(Structure!$D$12,$FA$14:$FZ$14,0))),IF(GC55&lt;&gt;$BC$7,0,INDEX(GA55:GZ55,1,MATCH(Structure!$D$12,$GA$14:$GZ$14,0)))))</f>
        <v/>
      </c>
      <c r="BG55" s="239" t="str">
        <f>IF(A55=FALSE,"",IF(ALLTHESAME=TRUE,IF(VC55&lt;&gt;$BC$7,0,INDEX(VA55:VZ55,1,MATCH(Structure!$D$12,$VA$14:$VZ$14,0))),IF(VC55&lt;&gt;$BC$7,0,INDEX(VA55:VZ55,1,MATCH(Structure!$D$12,$VA$14:$VZ$14,0)))))</f>
        <v/>
      </c>
      <c r="BH55" s="239" t="str">
        <f>IF(A55=FALSE,"",IF(ALLTHESAME=TRUE,IF(WC55&lt;&gt;$BC$7,0,INDEX(WA55:WY55,1,MATCH(Structure!$D$12,$WA$14:$WZ$14,0))),IF(WC55&lt;&gt;$BC$7,0,INDEX(WA55:WZ55,1,MATCH(Structure!$D$12,$WA$14:$WZ$14,0)))))</f>
        <v/>
      </c>
      <c r="BI55" s="763" t="str">
        <f>IF(A55=FALSE,"",IF(ALLTHESAME=TRUE,IF(HC55&lt;&gt;$BC$7,0,INDEX(HA55:HZ55,1,MATCH(Structure!$D$12,$HA$14:$HZ$14,0)))+TK55,IF(IC55&lt;&gt;$BC$7,0,INDEX(IA55:IZ55,1,MATCH(Structure!$D$12,$IA$14:$IZ$14,0)))+TK55))</f>
        <v/>
      </c>
      <c r="BJ55" s="239" t="str">
        <f>IF(A55=FALSE,"",IF(ALLTHESAME=TRUE,IF(JC55&lt;&gt;$BC$7,0,INDEX(JA55:JZ55,1,MATCH(Structure!$D$12,$JA$14:$JZ$14,0))),IF(KC55&lt;&gt;$BC$7,0,INDEX(KA55:KZ55,1,MATCH(Structure!$D$12,$KA$14:$KZ$14,0)))))</f>
        <v/>
      </c>
      <c r="BK55" s="763" t="str">
        <f>IF(A55=FALSE,"",IF(ALLTHESAME=TRUE,IF(LC55&lt;&gt;$BC$7,0,INDEX(LA55:LZ55,1,MATCH(Structure!$D$12,$LA$14:$LZ$14,0)))+UK55,IF(MC55&lt;&gt;$BC$7,0,INDEX(MA55:MZ55,1,MATCH(Structure!$D$12,$MA$14:$MZ$14,0)))+UK55))</f>
        <v/>
      </c>
      <c r="BL55" s="239" t="str">
        <f>IF(A55=FALSE,"",IF(ALLTHESAME=TRUE,IF(NC55&lt;&gt;$BC$7,0,INDEX(NA55:NZ55,1,MATCH(Structure!$D$12,$NA$14:$NZ$14,0))),IF(OC55&lt;&gt;$BC$7,0,INDEX(OA55:OZ55,1,MATCH(Structure!$D$12,$OA$14:$OZ$14,0)))))</f>
        <v/>
      </c>
      <c r="BM55" s="239" t="str">
        <f>IF(A55=FALSE,"",IF(ALLTHESAME=TRUE,IF(PC55&lt;&gt;$BC$7,0,INDEX(PA55:PZ55,1,MATCH(Structure!$D$12,$PA$14:$PZ$14,0))),IF(QC55&lt;&gt;$BC$7,0,INDEX(QA55:QZ55,1,MATCH(Structure!$D$12,$QA$14:$QZ$14,0)))))</f>
        <v/>
      </c>
      <c r="BN55" s="341" t="str">
        <f>IF(A55=FALSE,"",IF(ALLTHESAME=TRUE,IF(RC55&lt;&gt;$BC$7,0,INDEX(RA55:RZ55,1,MATCH(Structure!$D$12,$RA$14:$RZ$14,0))),IF(SC55&lt;&gt;$BC$7,0,INDEX(SA55:TA55,1,MATCH(Structure!$D$12,$SA$14:$TA$14,0)))))</f>
        <v/>
      </c>
      <c r="BO55" s="507" t="str">
        <f t="shared" si="451"/>
        <v/>
      </c>
      <c r="BP55" s="239" t="str">
        <f t="shared" si="452"/>
        <v/>
      </c>
      <c r="BQ55" s="239" t="str">
        <f>IF(A55=FALSE,"",IF(ALLTHESAME=TRUE,IF(DF55&lt;&gt;$BO$7,0,INDEX(DD55:DZ55,1,MATCH(Structure!$D$12,$DD$14:$DZ$14,0))),IF(EC55&lt;&gt;$BO$7,0,INDEX(EA55:EZ55,1,MATCH(Structure!$D$12,$EA$14:$EZ$14,0)))))</f>
        <v/>
      </c>
      <c r="BR55" s="239" t="str">
        <f>IF(A55=FALSE,"",IF(ALLTHESAME=TRUE,IF(FC55&lt;&gt;$BO$7,0,INDEX(FA55:FZ55,1,MATCH(Structure!$D$12,$FA$14:$FZ$14,0))),IF(GC55&lt;&gt;$BO$7,0,INDEX(GA55:GZ55,1,MATCH(Structure!$D$12,$GA$14:$GZ$14,0)))))</f>
        <v/>
      </c>
      <c r="BS55" s="239" t="str">
        <f>IF(A55=FALSE,"",IF(ALLTHESAME=TRUE,IF(HC55&lt;&gt;$BO$7,0,INDEX(HA55:HZ55,1,MATCH(Structure!$D$12,$HA$14:$HZ$14,0))),IF(IC55&lt;&gt;$BO$7,0,INDEX(IA55:IZ55,1,MATCH(Structure!$D$12,$IA$14:$IZ$14,0)))))</f>
        <v/>
      </c>
      <c r="BT55" s="239" t="str">
        <f>IF(A55=FALSE,"",IF(ALLTHESAME=TRUE,IF(JC55&lt;&gt;$BO$7,0,INDEX(JA55:JZ55,1,MATCH(Structure!$D$12,$JA$14:$JZ$14,0))),IF(KC55&lt;&gt;$BO$7,0,INDEX(KA55:KZ55,1,MATCH(Structure!$D$12,$KA$14:$KZ$14,0)))))</f>
        <v/>
      </c>
      <c r="BU55" s="239" t="str">
        <f>IF(A55=FALSE,"",IF(ALLTHESAME=TRUE,IF(LC55&lt;&gt;$BO$7,0,INDEX(LA55:LZ55,1,MATCH(Structure!$D$12,$LA$14:$LZ$14,0))),IF(MC55&lt;&gt;$BO$7,0,INDEX(MA55:MZ55,1,MATCH(Structure!$D$12,$MA$14:$MZ$14,0)))))</f>
        <v/>
      </c>
      <c r="BV55" s="239" t="str">
        <f>IF(A55=FALSE,"",IF(ALLTHESAME=TRUE,IF(NC55&lt;&gt;$BO$7,0,INDEX(NA55:NZ55,1,MATCH(Structure!$D$12,$NA$14:$NZ$14,0))),IF(OC55&lt;&gt;$BO$7,0,INDEX(OA55:OZ55,1,MATCH(Structure!$D$12,$OA$14:$OZ$14,0)))))</f>
        <v/>
      </c>
      <c r="BW55" s="239" t="str">
        <f>IF(A55=FALSE,"",IF(ALLTHESAME=TRUE,IF(PC55&lt;&gt;$BO$7,0,INDEX(PA55:PZ55,1,MATCH(Structure!$D$12,$PA$14:$PZ$14,0))),IF(QC55&lt;&gt;$BO$7,0,INDEX(QA55:QZ55,1,MATCH(Structure!$D$12,$QA$14:$QZ$14,0)))))</f>
        <v/>
      </c>
      <c r="BX55" s="341" t="str">
        <f>IF(A55=FALSE,"",IF(ALLTHESAME=TRUE,IF(RC55&lt;&gt;$BO$7,0,INDEX(RA55:RZ55,1,MATCH(Structure!$D$12,$RA$14:$RZ$14,0))),IF(SC55&lt;&gt;$BO$7,0,INDEX(SA55:TA55,1,MATCH(Structure!$D$12,$SA$14:$TA$14,0)))))</f>
        <v/>
      </c>
      <c r="BY55" s="347" t="str">
        <f t="shared" si="453"/>
        <v/>
      </c>
      <c r="BZ55" s="507" t="str">
        <f t="shared" si="454"/>
        <v/>
      </c>
      <c r="CA55" s="239" t="str">
        <f t="shared" si="455"/>
        <v/>
      </c>
      <c r="CB55" s="239" t="str">
        <f>IF(A55=FALSE,"",IF(ALLTHESAME=TRUE,INDEX(DD55:DZ55,MATCH(DF55,DF55:DF160,0),MATCH(Structure!$D$17,$DD$14:$DZ$14,0)),INDEX(EA55:EZ55,MATCH(EC55,EC55:EC160,0),MATCH(Structure!$D$17,$EA$14:$EZ$14,0))))</f>
        <v/>
      </c>
      <c r="CC55" s="239" t="str">
        <f>IF(A55=FALSE,"",IF(ALLTHESAME=TRUE,INDEX(FA55:FZ55,MATCH(FC55,FC55:FC160,0),MATCH(Structure!$D$17,$FA$14:$FZ$14,0)),INDEX(GA55:GZ55,MATCH(GC55,GC55:GC160,0),MATCH(Structure!$D$17,$GA$14:$GZ$14,0))))</f>
        <v/>
      </c>
      <c r="CD55" s="239" t="str">
        <f>IF(A55=FALSE,"",IF(ALLTHESAME=TRUE,INDEX(HA55:HZ55,MATCH(HC55,HC55:HC160,0),MATCH(Structure!$D$17,$HA$14:$HZ$14,0)),INDEX(IA55:IZ55,MATCH(IC55,IC55:IC160,0),MATCH(Structure!$D$17,$IA$14:$IZ$14,0))))</f>
        <v/>
      </c>
      <c r="CE55" s="239" t="str">
        <f>IF(A55=FALSE,"",IF(ALLTHESAME=TRUE,INDEX(JA55:JZ55,MATCH(JC55,JC55:JC160,0),MATCH(Structure!$D$17,$JA$14:$JZ$14,0)),INDEX(KA55:KZ55,MATCH(KC55,KC55:KC160,0),MATCH(Structure!$D$17,$KA$14:$KZ$14,0))))</f>
        <v/>
      </c>
      <c r="CF55" s="239" t="str">
        <f>IF(A55=FALSE,"",IF(ALLTHESAME=TRUE,INDEX(LA55:LZ55,MATCH(LC55,LC55:LC160,0),MATCH(Structure!$D$17,$LA$14:$LZ$14,0)),INDEX(MA55:MZ55,MATCH(MC55,MC55:MC160,0),MATCH(Structure!$D$17,$MA$14:$MZ$14,0))))</f>
        <v/>
      </c>
      <c r="CG55" s="239" t="str">
        <f>IF(A55=FALSE,"",IF(ALLTHESAME=TRUE,INDEX(NA55:NZ55,MATCH(NC55,NC55:NC160,0),MATCH(Structure!$D$17,$NA$14:$NZ$14,0)),INDEX(OA55:OZ55,MATCH(OC55,OC55:OC160,0),MATCH(Structure!$D$17,$OA$14:$OZ$14,0))))</f>
        <v/>
      </c>
      <c r="CH55" s="239" t="str">
        <f>IF(A55=FALSE,"",IF(ALLTHESAME=TRUE,INDEX(PA55:PZ55,MATCH(PC55,PC55:PC160,0),MATCH(Structure!$D$17,$PA$14:$PZ$14,0)),INDEX(QA55:QZ55,MATCH(QC55,QC55:QC160,0),MATCH(Structure!$D$17,$QA$14:$QZ$14,0))))</f>
        <v/>
      </c>
      <c r="CI55" s="341" t="str">
        <f>IF(A55=FALSE,"",IF(ALLTHESAME=TRUE,INDEX(RA55:RZ55,MATCH(RC55,RC55:RC160,0),MATCH(Structure!$D$17,$RA$14:$RZ$14,0)),INDEX(SA55:TC55,MATCH(SC55,SC55:SC160,0),MATCH(Structure!$D$17,$SA$14:$TC$14,0))))</f>
        <v/>
      </c>
      <c r="CJ55" s="347"/>
      <c r="CK55" s="239" t="str">
        <f t="shared" si="456"/>
        <v/>
      </c>
      <c r="CL55" s="239" t="str">
        <f>IF(A55=FALSE,"",IF(ALLTHESAME=TRUE,INDEX(DD55:DZ55,MATCH(DF55,DF55:DF160,0),MATCH(Structure!$D$22,$DD$14:$DZ$14,0)),INDEX(EA55:EZ55,MATCH(EC55,EC55:EC160,0),MATCH(Structure!$D$22,$EA$14:$EZ$14,0))))</f>
        <v/>
      </c>
      <c r="CM55" s="239" t="str">
        <f>IF(A55=FALSE,"",IF(ALLTHESAME=TRUE,INDEX(FA55:FZ55,MATCH(FC55,FC55:FC160,0),MATCH(Structure!$D$22,$FA$14:$FZ$14,0)),INDEX(GA55:GZ55,MATCH(GC55,GC55:GC160,0),MATCH(Structure!$D$22,$GA$14:$GZ$14,0))))</f>
        <v/>
      </c>
      <c r="CN55" s="239" t="str">
        <f>IF(A55=FALSE,"",IF(ALLTHESAME=TRUE,INDEX(HA55:HZ55,MATCH(HC55,HC55:HC160,0),MATCH(Structure!$D$22,$HA$14:$HZ$14,0)),INDEX(IA55:IZ55,MATCH(IC55,IC55:IC160,0),MATCH(Structure!$D$22,$IA$14:$IZ$14,0))))</f>
        <v/>
      </c>
      <c r="CO55" s="239" t="str">
        <f>IF(A55=FALSE,"",IF(ALLTHESAME=TRUE,INDEX(JA55:JZ55,MATCH(JC55,JC55:JC160,0),MATCH(Structure!$D$22,$JA$14:$JZ$14,0)),INDEX(KA55:KZ55,MATCH(KC55,KC55:KC160,0),MATCH(Structure!$D$22,$KA$14:$KZ$14,0))))</f>
        <v/>
      </c>
      <c r="CP55" s="239" t="str">
        <f>IF(A55=FALSE,"",IF(ALLTHESAME=TRUE,INDEX(LA55:LZ55,MATCH(LC55,LC55:LC160,0),MATCH(Structure!$D$22,$LA$14:$LZ$14,0)),INDEX(MA55:MZ55,MATCH(MC55,MC55:MC160,0),MATCH(Structure!$D$22,$MA$14:$MZ$14,0))))</f>
        <v/>
      </c>
      <c r="CQ55" s="239" t="str">
        <f>IF(A55=FALSE,"",IF(ALLTHESAME=TRUE,INDEX(NA55:NZ55,MATCH(NC55,NC55:NC160,0),MATCH(Structure!$D$22,$NA$14:$NZ$14,0)),INDEX(OA55:OZ55,MATCH(OC55,OC55:OC160,0),MATCH(Structure!$D$22,$OA$14:$OZ$14,0))))</f>
        <v/>
      </c>
      <c r="CR55" s="239" t="str">
        <f>IF(A55=FALSE,"",IF(ALLTHESAME=TRUE,INDEX(PA55:PZ55,MATCH(PC55,PC55:PC160,0),MATCH(Structure!$D$22,$PA$14:$PZ$14,0)),INDEX(QA55:QZ55,MATCH(QC55,QC55:QC160,0),MATCH(Structure!$D$22,$QA$14:$QZ$14,0))))</f>
        <v/>
      </c>
      <c r="CS55" s="341" t="str">
        <f>IF(A55=FALSE,"",IF(ALLTHESAME=TRUE,INDEX(RA55:RZ55,MATCH(RC55,RC55:RC160,0),MATCH(Structure!$D$22,$RA$14:$RZ$14,0)),INDEX(SA55:TC55,MATCH(SC55,SC55:SC160,0),MATCH(Structure!$D$22,$SA$14:$TC$14,0))))</f>
        <v/>
      </c>
      <c r="CT55" s="347"/>
      <c r="CU55" s="239" t="str">
        <f t="shared" si="457"/>
        <v/>
      </c>
      <c r="CV55" s="239" t="str">
        <f>IF(A55=FALSE,"",IF(ALLTHESAME=TRUE,INDEX(DD55:DZ55,MATCH(DF55,DF55:DF160,0),MATCH(Structure!$D$8,$DD$14:$DZ$14,0)),INDEX(EA55:EZ55,MATCH(EC55,EC55:EC160,0),MATCH(Structure!$D$8,$EA$14:$EZ$14,0))))</f>
        <v/>
      </c>
      <c r="CW55" s="239" t="str">
        <f>IF(A55=FALSE,"",IF(ALLTHESAME=TRUE,INDEX(FA55:FZ55,MATCH(FC55,FC55:FC160,0),MATCH(Structure!$D$8,$FA$14:$FZ$14,0)),INDEX(GA55:GZ55,MATCH(GC55,GC55:GC160,0),MATCH(Structure!$D$8,$GA$14:$GZ$14,0))))</f>
        <v/>
      </c>
      <c r="CX55" s="239" t="str">
        <f>IF(A55=FALSE,"",IF(ALLTHESAME=TRUE,INDEX(HA55:HZ55,MATCH(HC55,HC55:HC160,0),MATCH(Structure!$D$8,$HA$14:$HZ$14,0)),INDEX(IA55:IZ55,MATCH(IC55,IC55:IC160,0),MATCH(Structure!$D$8,$IA$14:$IZ$14,0))))</f>
        <v/>
      </c>
      <c r="CY55" s="239" t="str">
        <f>IF(A55=FALSE,"",IF(ALLTHESAME=TRUE,INDEX(JA55:JZ55,MATCH(JC55,JC55:JC160,0),MATCH(Structure!$D$8,$JA$14:$JZ$14,0)),INDEX(KA55:KZ55,MATCH(KC55,KC55:KC160,0),MATCH(Structure!$D$8,$KA$14:$KZ$14,0))))</f>
        <v/>
      </c>
      <c r="CZ55" s="239" t="str">
        <f>IF(A55=FALSE,"",IF(ALLTHESAME=TRUE,INDEX(LA55:LZ55,MATCH(LC55,LC55:LC160,0),MATCH(Structure!$D$8,$LA$14:$LZ$14,0)),INDEX(MA55:MZ55,MATCH(MC55,MC55:MC160,0),MATCH(Structure!$D$8,$MA$14:$MZ$14,0))))</f>
        <v/>
      </c>
      <c r="DA55" s="239" t="str">
        <f>IF(A55=FALSE,"",IF(ALLTHESAME=TRUE,INDEX(NA55:NZ55,MATCH(NC55,NC55:NC160,0),MATCH(Structure!$D$8,$NA$14:$NZ$14,0)),INDEX(OA55:OZ55,MATCH(OC55,OC55:OC160,0),MATCH(Structure!$D$8,$OA$14:$OZ$14,0))))</f>
        <v/>
      </c>
      <c r="DB55" s="239" t="str">
        <f>IF(A55=FALSE,"",IF(ALLTHESAME=TRUE,INDEX(PA55:PZ55,MATCH(PC55,PC55:PC160,0),MATCH(Structure!$D$8,$PA$14:$PZ$14,0)),INDEX(QA55:QZ55,MATCH(QC55,QC55:QC160,0),MATCH(Structure!$D$8,$QA$14:$QZ$14,0))))</f>
        <v/>
      </c>
      <c r="DC55" s="341" t="str">
        <f>IF(A55=FALSE,"",IF(ALLTHESAME=TRUE,INDEX(RA55:RZ55,MATCH(RC55,RC55:RC160,0),MATCH(Structure!$D$8,$RA$14:$RZ$14,0)),INDEX(SA55:TC55,MATCH(SC55,SC55:SC160,0),MATCH(Structure!$D$8,$SA$14:$TC$14,0))))</f>
        <v/>
      </c>
      <c r="DD55" s="492" t="str">
        <f>IF(A55=FALSE,"",Cotations!D55)</f>
        <v/>
      </c>
      <c r="DE55" s="492" t="str">
        <f>IF(A55=FALSE,"",IF(LISTES!$A$17=1,Cotations!AF55,Cotations!$AG$4))</f>
        <v/>
      </c>
      <c r="DF55" s="291" t="str">
        <f t="shared" si="458"/>
        <v/>
      </c>
      <c r="DG55" s="291" t="str">
        <f t="shared" si="459"/>
        <v/>
      </c>
      <c r="DH55" s="291"/>
      <c r="DI55" s="463"/>
      <c r="DJ55" s="463" t="str">
        <f t="shared" si="460"/>
        <v/>
      </c>
      <c r="DK55" s="522" t="str">
        <f>IF(A55=FALSE,"",IF(Cotations!$AH$4="monthly",DJ55/12*L55,DJ55/365*M55))</f>
        <v/>
      </c>
      <c r="DL55" s="489" t="str">
        <f>IF(A55=FALSE,"",Cotations!$AI$4)</f>
        <v/>
      </c>
      <c r="DM55" s="300" t="str">
        <f t="shared" si="461"/>
        <v/>
      </c>
      <c r="DN55" s="300" t="str">
        <f t="shared" si="462"/>
        <v/>
      </c>
      <c r="DO55" s="294" t="str">
        <f t="shared" si="463"/>
        <v/>
      </c>
      <c r="DP55" s="494" t="str">
        <f>IF(A55=FALSE,"",Cotations!$AJ$4)</f>
        <v/>
      </c>
      <c r="DQ55" s="494" t="str">
        <f>IF(A55=FALSE,"",Cotations!$AK$4)</f>
        <v/>
      </c>
      <c r="DR55" s="489" t="str">
        <f>IF(A55=FALSE,"",Cotations!$AL$4)</f>
        <v/>
      </c>
      <c r="DS55" s="494" t="str">
        <f>IF(A55=FALSE,"",IF(DP55="N/A",0,IF(INDEX(LISTES!$F$105:$F$109,MATCH(DP55,LISTES!$C$105:$C$109,0))="FIX",IF(INDEX(LISTES!$E$105:$E$109,MATCH(DP55,LISTES!$C$105:$C$109,0))=12,DQ55/12*L55,DQ55/365*M55),DR55*DO55)))</f>
        <v/>
      </c>
      <c r="DT55" s="294" t="str">
        <f t="shared" si="464"/>
        <v/>
      </c>
      <c r="DU55" s="294" t="str">
        <f>IF(A55=FALSE,"",DT55*Cotations!$AM$4)</f>
        <v/>
      </c>
      <c r="DV55" s="294" t="str">
        <f>IF(A55=FALSE,"",DT55*Cotations!$AN$4)</f>
        <v/>
      </c>
      <c r="DW55" s="465" t="str">
        <f t="shared" si="465"/>
        <v/>
      </c>
      <c r="DX55" s="919" t="str">
        <f>IF(A55=FALSE,"",((DJ55*TAXE)-(DJ55*TAXE*DL55))+IF(DP55="N/A",0,IF(INDEX(LISTES!$F$105:$F$109,MATCH(DP55,LISTES!$C$105:$C$109,0))="FIX",DQ55,DR55*DO55)))</f>
        <v/>
      </c>
      <c r="DY55" s="466"/>
      <c r="DZ55" s="466"/>
      <c r="EA55" s="492" t="str">
        <f>IF(A55=FALSE,"",Cotations!D55)</f>
        <v/>
      </c>
      <c r="EB55" s="494" t="str">
        <f>IF(A55=FALSE,"",IF(LISTES!$A$17=1,Cotations!AF55,Cotations!AG55))</f>
        <v/>
      </c>
      <c r="EC55" s="284" t="str">
        <f t="shared" si="466"/>
        <v/>
      </c>
      <c r="ED55" s="284" t="str">
        <f t="shared" si="467"/>
        <v/>
      </c>
      <c r="EE55" s="284"/>
      <c r="EF55" s="284"/>
      <c r="EG55" s="284" t="str">
        <f t="shared" si="468"/>
        <v/>
      </c>
      <c r="EH55" s="1365" t="str">
        <f t="shared" si="469"/>
        <v/>
      </c>
      <c r="EI55" s="1365" t="str">
        <f t="shared" si="470"/>
        <v/>
      </c>
      <c r="EJ55" s="515" t="str">
        <f>IF(A55=FALSE,"",IF(Cotations!AH55="monthly",EG55/12*L55,EG55/365*M55))</f>
        <v/>
      </c>
      <c r="EK55" s="1364" t="str">
        <f>IF(A55=FALSE,"",IF(Cotations!AH55="monthly",EI55/12*L55,EI55/365*M55))</f>
        <v/>
      </c>
      <c r="EL55" s="493" t="str">
        <f>IF(A55=FALSE,"",IF(Cotations!AI55="","",Cotations!AI55))</f>
        <v/>
      </c>
      <c r="EM55" s="284" t="str">
        <f t="shared" si="471"/>
        <v/>
      </c>
      <c r="EN55" s="284" t="str">
        <f t="shared" si="472"/>
        <v/>
      </c>
      <c r="EO55" s="1365" t="str">
        <f t="shared" si="432"/>
        <v/>
      </c>
      <c r="EP55" s="284" t="str">
        <f t="shared" si="473"/>
        <v/>
      </c>
      <c r="EQ55" s="515" t="str">
        <f>IF(A55=FALSE,"",Cotations!AJ55)</f>
        <v/>
      </c>
      <c r="ER55" s="515" t="str">
        <f>IF(A55=FALSE,"",IF(Cotations!AK55="","",Cotations!AK55))</f>
        <v/>
      </c>
      <c r="ES55" s="493" t="str">
        <f>IF(A55=FALSE,"",Cotations!AL55)</f>
        <v/>
      </c>
      <c r="ET55" s="515" t="str">
        <f>IF(A55=FALSE,"",IF(EQ55="N/A",0,IF(INDEX(LISTES!$F$105:$F$109,MATCH(EQ55,LISTES!$C$105:$C$109,0))="FIX",IF(INDEX(LISTES!$E$105:$E$109,MATCH(EQ55,LISTES!$C$105:$C$109,0))=12,ER55/12*L55,ER55/365*M55),ES55*EP55)))</f>
        <v/>
      </c>
      <c r="EU55" s="294" t="str">
        <f t="shared" si="474"/>
        <v/>
      </c>
      <c r="EV55" s="494" t="str">
        <f>IF(A55=FALSE,"",EU55*Cotations!AM55)</f>
        <v/>
      </c>
      <c r="EW55" s="494" t="str">
        <f>IF(A55=FALSE,"",EU55*Cotations!AN55)</f>
        <v/>
      </c>
      <c r="EX55" s="334" t="str">
        <f t="shared" si="475"/>
        <v/>
      </c>
      <c r="EY55" s="919" t="str">
        <f>IF(A55=FALSE,"",((EG55*TAXE)-(EG55*TAXE*EL55)+EH55)+IF(EQ55="N/A",0,IF(INDEX(LISTES!$F$105:$F$109,MATCH(EQ55,LISTES!$C$105:$C$109,0))="FIX",ER55,ES55*EP55)))</f>
        <v/>
      </c>
      <c r="FA55" s="492" t="str">
        <f>IF(A55=FALSE,"",Cotations!D55)</f>
        <v/>
      </c>
      <c r="FB55" s="519" t="str">
        <f>IF(A55=FALSE,"",IF(LISTES!$A$17=1,Cotations!AO55,Cotations!$AP$4))</f>
        <v/>
      </c>
      <c r="FC55" s="291" t="str">
        <f t="shared" si="476"/>
        <v/>
      </c>
      <c r="FD55" s="291" t="str">
        <f t="shared" si="477"/>
        <v/>
      </c>
      <c r="FE55" s="291"/>
      <c r="FF55" s="463"/>
      <c r="FG55" s="463" t="str">
        <f t="shared" si="478"/>
        <v/>
      </c>
      <c r="FH55" s="522" t="str">
        <f>IF(A55=FALSE,"",IF(Cotations!$AQ$4="monthly",FG55/12*L55,FG55/365*M55))</f>
        <v/>
      </c>
      <c r="FI55" s="453" t="str">
        <f>IF(A55=FALSE,"",Cotations!$AR$4)</f>
        <v/>
      </c>
      <c r="FJ55" s="300" t="str">
        <f t="shared" si="479"/>
        <v/>
      </c>
      <c r="FK55" s="300" t="str">
        <f t="shared" si="480"/>
        <v/>
      </c>
      <c r="FL55" s="294" t="str">
        <f t="shared" si="481"/>
        <v/>
      </c>
      <c r="FM55" s="494" t="str">
        <f>IF(A55=FALSE,"",Cotations!$AS$4)</f>
        <v/>
      </c>
      <c r="FN55" s="494" t="str">
        <f>IF(A55=FALSE,"",Cotations!$AT$4)</f>
        <v/>
      </c>
      <c r="FO55" s="489" t="str">
        <f>IF(A55=FALSE,"",Cotations!$AU$4)</f>
        <v/>
      </c>
      <c r="FP55" s="494" t="str">
        <f>IF(A55=FALSE,"",IF(FM55="N/A",0,IF(INDEX(LISTES!$F$105:$F$109,MATCH(FM55,LISTES!$C$105:$C$109,0))="FIX",IF(INDEX(LISTES!$E$105:$E$109,MATCH(FM55,LISTES!$C$105:$C$109,0))=12,FN55/12*L55,FN55/365*M55),FO55*FL55)))</f>
        <v/>
      </c>
      <c r="FQ55" s="294" t="str">
        <f t="shared" si="482"/>
        <v/>
      </c>
      <c r="FR55" s="494" t="str">
        <f>IF(A55=FALSE,"",FQ55*Cotations!$AV$4)</f>
        <v/>
      </c>
      <c r="FS55" s="494" t="str">
        <f>IF(A55=FALSE,"",FQ55*Cotations!$AW$4)</f>
        <v/>
      </c>
      <c r="FT55" s="465" t="str">
        <f t="shared" si="483"/>
        <v/>
      </c>
      <c r="FU55" s="919" t="str">
        <f>IF(A55=FALSE,"",((FG55*TAXE)-(FG55*TAXE*FI55))+IF(FM55="N/A",0,IF(INDEX(LISTES!$F$105:$F$109,MATCH(FM55,LISTES!$C$105:$C$109,0))="FIX",FN55,FO55*FL55)))</f>
        <v/>
      </c>
      <c r="FV55" s="478"/>
      <c r="FW55" s="478"/>
      <c r="FX55" s="478"/>
      <c r="FY55" s="478"/>
      <c r="FZ55" s="478"/>
      <c r="GA55" s="492" t="str">
        <f>IF(A55=FALSE,"",Cotations!D55)</f>
        <v/>
      </c>
      <c r="GB55" s="494" t="str">
        <f>IF(A55=FALSE,"",IF(LISTES!$A$17=1,Cotations!AO55,Cotations!AP55))</f>
        <v/>
      </c>
      <c r="GC55" s="284" t="str">
        <f t="shared" si="484"/>
        <v/>
      </c>
      <c r="GD55" s="515" t="str">
        <f>IF(A55=FALSE,"",IF(Detail!AM55="","",Detail!AM55))</f>
        <v/>
      </c>
      <c r="GE55" s="284"/>
      <c r="GF55" s="284"/>
      <c r="GG55" s="284" t="str">
        <f t="shared" si="485"/>
        <v/>
      </c>
      <c r="GH55" s="515" t="str">
        <f>IF(A55=FALSE,"",IF(Cotations!AQ55="monthly",GG55/12*L55,GG55/365*M55))</f>
        <v/>
      </c>
      <c r="GI55" s="493" t="str">
        <f>IF(A55=FALSE,"",IF(Cotations!AR55="","",Cotations!AR55))</f>
        <v/>
      </c>
      <c r="GJ55" s="284" t="str">
        <f t="shared" si="486"/>
        <v/>
      </c>
      <c r="GK55" s="284" t="str">
        <f t="shared" si="487"/>
        <v/>
      </c>
      <c r="GL55" s="284" t="str">
        <f t="shared" si="488"/>
        <v/>
      </c>
      <c r="GM55" s="515" t="str">
        <f>IF(A55=FALSE,"",Cotations!AS55)</f>
        <v/>
      </c>
      <c r="GN55" s="515" t="str">
        <f>IF(A55=FALSE,"",Cotations!AT55)</f>
        <v/>
      </c>
      <c r="GO55" s="493" t="str">
        <f>IF(A55=FALSE,"",Cotations!AU55)</f>
        <v/>
      </c>
      <c r="GP55" s="515" t="str">
        <f>IF(A55=FALSE,"",IF(GM55="N/A",0,IF(INDEX(LISTES!$F$105:$F$109,MATCH(GM55,LISTES!$C$105:$C$109,0))="FIX",IF(INDEX(LISTES!$E$105:$E$109,MATCH(GM55,LISTES!$C$105:$C$109,0))=12,GN55/12*L55,GN55/365*M55),GO55*GL55)))</f>
        <v/>
      </c>
      <c r="GQ55" s="294" t="str">
        <f t="shared" si="489"/>
        <v/>
      </c>
      <c r="GR55" s="494" t="str">
        <f>IF(A55=FALSE,"",GQ55*Cotations!AV55)</f>
        <v/>
      </c>
      <c r="GS55" s="494" t="str">
        <f>IF(A55=FALSE,"",GQ55*Cotations!AW55)</f>
        <v/>
      </c>
      <c r="GT55" s="334" t="str">
        <f t="shared" si="490"/>
        <v/>
      </c>
      <c r="GU55" s="919" t="str">
        <f>IF(A55=FALSE,"",((GG55*TAXE)-(GG55*TAXE*GI55))+IF(GM55="N/A",0,IF(INDEX(LISTES!$F$105:$F$109,MATCH(GM55,LISTES!$C$105:$C$109,0))="FIX",GN55,GO55*GL55)))</f>
        <v/>
      </c>
      <c r="GV55" s="478"/>
      <c r="GW55" s="466"/>
      <c r="GX55" s="466"/>
      <c r="GY55" s="466"/>
      <c r="GZ55" s="466"/>
      <c r="HA55" s="492" t="str">
        <f>IF(A55=FALSE,"",Cotations!D55)</f>
        <v/>
      </c>
      <c r="HB55" s="495" t="str">
        <f>IF(A55=FALSE,"",IF(LISTES!$A$17=1,Cotations!AX55,Cotations!$AY$4))</f>
        <v/>
      </c>
      <c r="HC55" s="291" t="str">
        <f t="shared" si="491"/>
        <v/>
      </c>
      <c r="HD55" s="291" t="str">
        <f t="shared" si="492"/>
        <v/>
      </c>
      <c r="HE55" s="456" t="str">
        <f t="shared" si="493"/>
        <v/>
      </c>
      <c r="HF55" s="496" t="str">
        <f>IF(A55=FALSE,"",IF(HA55="POEA",Cotations!BA55,IF(HA55="FIXE",Cotations!$BA$4,Cotations!$BC$4*Y55)))</f>
        <v/>
      </c>
      <c r="HG55" s="300" t="str">
        <f t="shared" si="494"/>
        <v/>
      </c>
      <c r="HH55" s="522" t="str">
        <f>IF(A55=FALSE,"",IF(Cotations!$AZ$4="monthly",HG55/12*L55,HG55/365*M55))</f>
        <v/>
      </c>
      <c r="HI55" s="489" t="str">
        <f>IF(A55=FALSE,"",Cotations!$BD$4)</f>
        <v/>
      </c>
      <c r="HJ55" s="300" t="str">
        <f t="shared" si="495"/>
        <v/>
      </c>
      <c r="HK55" s="300" t="str">
        <f t="shared" si="496"/>
        <v/>
      </c>
      <c r="HL55" s="294" t="str">
        <f t="shared" si="497"/>
        <v/>
      </c>
      <c r="HM55" s="494" t="str">
        <f>IF(A55=FALSE,"",Cotations!$BE$4)</f>
        <v/>
      </c>
      <c r="HN55" s="522" t="str">
        <f>IF(A55=FALSE,"",Cotations!$BF$4)</f>
        <v/>
      </c>
      <c r="HO55" s="489" t="str">
        <f>IF(A55=FALSE,"",Cotations!$BG$4)</f>
        <v/>
      </c>
      <c r="HP55" s="494" t="str">
        <f>IF(A55=FALSE,"",IF(HM55="N/A",0,IF(INDEX(LISTES!$F$105:$F$109,MATCH(HM55,LISTES!$C$105:$C$109,0))="FIX",IF(INDEX(LISTES!$E$105:$E$109,MATCH(HM55,LISTES!$C$105:$C$109,0))=12,HN55/12*L55,HN55/365*M55),HO55*HL55)))</f>
        <v/>
      </c>
      <c r="HQ55" s="294" t="str">
        <f t="shared" si="498"/>
        <v/>
      </c>
      <c r="HR55" s="494" t="str">
        <f>IF(A55=FALSE,"",HQ55*Cotations!$BH$4)</f>
        <v/>
      </c>
      <c r="HS55" s="494" t="str">
        <f>IF(A55=FALSE,"",HQ55*Cotations!$BI$4)</f>
        <v/>
      </c>
      <c r="HT55" s="294" t="str">
        <f t="shared" si="499"/>
        <v/>
      </c>
      <c r="HU55" s="919" t="str">
        <f>IF(A55=FALSE,"",((HG55*TAXE)-(HG55*TAXE*HI55))+IF(HM55="N/A",0,IF(INDEX(LISTES!$F$105:$F$109,MATCH(HM55,LISTES!$C$105:$C$109,0))="FIX",HN55,HO55*HL55)))</f>
        <v/>
      </c>
      <c r="IA55" s="492" t="str">
        <f>IF(A55=FALSE,"",Cotations!D55)</f>
        <v/>
      </c>
      <c r="IB55" s="491" t="str">
        <f>IF(A55=FALSE,"",IF(LISTES!$A$17=1,Cotations!AX55,Cotations!AY55))</f>
        <v/>
      </c>
      <c r="IC55" s="285" t="str">
        <f t="shared" si="500"/>
        <v/>
      </c>
      <c r="ID55" s="300" t="str">
        <f>IF(A55=FALSE,"",IF(LISTES!$A$17=3,Detail!AU55,lig1_Formula_PREVOY))</f>
        <v/>
      </c>
      <c r="IE55" s="461" t="str">
        <f t="shared" si="501"/>
        <v/>
      </c>
      <c r="IF55" s="490" t="str">
        <f>IF(A55=FALSE,"",IF(IA55="POEA",Cotations!BA55,IF(HA55="FIXE",Cotations!BB55,IF(Cotations!BC55*Y55&lt;50000,Z55,Cotations!BC55*Y55))))</f>
        <v/>
      </c>
      <c r="IG55" s="300" t="str">
        <f t="shared" si="502"/>
        <v/>
      </c>
      <c r="IH55" s="522" t="str">
        <f>IF(A55=FALSE,"",IF(Cotations!AZ55="monthly",IG55/12*L55,IG55/365*M55))</f>
        <v/>
      </c>
      <c r="II55" s="489" t="str">
        <f>IF(A55=FALSE,"",IF(Cotations!BD55="","",Cotations!BD55))</f>
        <v/>
      </c>
      <c r="IJ55" s="300" t="str">
        <f t="shared" si="503"/>
        <v/>
      </c>
      <c r="IK55" s="300" t="str">
        <f t="shared" si="504"/>
        <v/>
      </c>
      <c r="IL55" s="919" t="str">
        <f t="shared" si="505"/>
        <v/>
      </c>
      <c r="IM55" s="517" t="str">
        <f>IF(A55=FALSE,"",Cotations!BE55)</f>
        <v/>
      </c>
      <c r="IN55" s="517" t="str">
        <f>IF(A55=FALSE,"",Cotations!BF55)</f>
        <v/>
      </c>
      <c r="IO55" s="493" t="str">
        <f>IF(A55=FALSE,"",Cotations!BG55)</f>
        <v/>
      </c>
      <c r="IP55" s="517" t="str">
        <f>IF(A55=FALSE,"",IF(IM55="N/A",0,IF(INDEX(LISTES!$F$105:$F$109,MATCH(IM55,LISTES!$C$105:$C$109,0))="FIX",IF(INDEX(LISTES!$E$105:$E$109,MATCH(IM55,LISTES!$C$105:$C$109,0))=12,IN55/12*L55,IN55/365*M55),IO55*IL55)))</f>
        <v/>
      </c>
      <c r="IQ55" s="294" t="str">
        <f t="shared" si="506"/>
        <v/>
      </c>
      <c r="IR55" s="494" t="str">
        <f>IF(A55=FALSE,"",IQ55*Cotations!BH55)</f>
        <v/>
      </c>
      <c r="IS55" s="494" t="str">
        <f>IF(A55=FALSE,"",IQ55*Cotations!BI55)</f>
        <v/>
      </c>
      <c r="IT55" s="338" t="str">
        <f t="shared" si="507"/>
        <v/>
      </c>
      <c r="IU55" s="919" t="str">
        <f>IF(A55=FALSE,"",((IG55*TAXE)-(IG55*TAXE*II55))+IF(IM55="N/A",0,IF(INDEX(LISTES!$F$105:$F$109,MATCH(IM55,LISTES!$C$105:$C$109,0))="FIX",IN55,IO55*IL55)))</f>
        <v/>
      </c>
      <c r="JA55" s="492" t="str">
        <f>IF(A55=FALSE,"",Cotations!D55)</f>
        <v/>
      </c>
      <c r="JB55" s="495" t="str">
        <f>IF(A55=FALSE,"",IF(LISTES!$A$17=1,Cotations!BJ55,Cotations!$BK$4))</f>
        <v/>
      </c>
      <c r="JC55" s="291" t="str">
        <f t="shared" si="508"/>
        <v/>
      </c>
      <c r="JD55" s="291" t="str">
        <f t="shared" si="509"/>
        <v/>
      </c>
      <c r="JE55" s="456" t="str">
        <f t="shared" si="510"/>
        <v/>
      </c>
      <c r="JF55" s="496" t="str">
        <f>IF(A55=FALSE,"",IF(JA55="POEA",Cotations!BM55,IF(JA55="FIXE",Cotations!$BM$4,Cotations!$BO$4*Y55)))</f>
        <v/>
      </c>
      <c r="JG55" s="300" t="str">
        <f t="shared" si="511"/>
        <v/>
      </c>
      <c r="JH55" s="522" t="str">
        <f>IF(A55=FALSE,"",IF(Cotations!$BL$4="monthly",JG55/12*L55,JG55/365*M55))</f>
        <v/>
      </c>
      <c r="JI55" s="489" t="str">
        <f>IF(A55=FALSE,"",Cotations!$BP$4)</f>
        <v/>
      </c>
      <c r="JJ55" s="300" t="str">
        <f t="shared" si="512"/>
        <v/>
      </c>
      <c r="JK55" s="300" t="str">
        <f t="shared" si="513"/>
        <v/>
      </c>
      <c r="JL55" s="294" t="str">
        <f t="shared" si="514"/>
        <v/>
      </c>
      <c r="JM55" s="494" t="str">
        <f>IF(A55=FALSE,"",Cotations!$BQ$4)</f>
        <v/>
      </c>
      <c r="JN55" s="522" t="str">
        <f>IF(A55=FALSE,"",Cotations!$BR$4)</f>
        <v/>
      </c>
      <c r="JO55" s="489" t="str">
        <f>IF(A55=FALSE,"",Cotations!$BS$4)</f>
        <v/>
      </c>
      <c r="JP55" s="494" t="str">
        <f>IF(A55=FALSE,"",IF(JM55="N/A",0,IF(INDEX(LISTES!$F$105:$F$109,MATCH(JM55,LISTES!$C$105:$C$109,0))="FIX",IF(INDEX(LISTES!$E$105:$E$109,MATCH(JM55,LISTES!$C$105:$C$109,0))=12,JN55/12*L55,JN55/365*M55),JO55*JL55)))</f>
        <v/>
      </c>
      <c r="JQ55" s="294" t="str">
        <f t="shared" si="515"/>
        <v/>
      </c>
      <c r="JR55" s="494" t="str">
        <f>IF(A55=FALSE,"",JQ55*Cotations!$BT$4)</f>
        <v/>
      </c>
      <c r="JS55" s="494" t="str">
        <f>IF(A55=FALSE,"",JQ55*Cotations!$BU$4)</f>
        <v/>
      </c>
      <c r="JT55" s="294" t="str">
        <f t="shared" si="516"/>
        <v/>
      </c>
      <c r="JU55" s="919" t="str">
        <f>IF(A55=FALSE,"",((JG55*TAXE)-(JG55*TAXE*JI55))+IF(JM55="N/A",0,IF(INDEX(LISTES!$F$105:$F$109,MATCH(JM55,LISTES!$C$105:$C$109,0))="FIX",JN55,JO55*JL55)))</f>
        <v/>
      </c>
      <c r="KA55" s="492" t="str">
        <f>IF(A55=FALSE,"",Cotations!D55)</f>
        <v/>
      </c>
      <c r="KB55" s="491" t="str">
        <f>IF(A55=FALSE,"",IF(LISTES!$A$17=1,Cotations!BJ55,Cotations!BK55))</f>
        <v/>
      </c>
      <c r="KC55" s="285" t="str">
        <f t="shared" si="517"/>
        <v/>
      </c>
      <c r="KD55" s="300"/>
      <c r="KE55" s="461" t="str">
        <f t="shared" si="518"/>
        <v/>
      </c>
      <c r="KF55" s="490" t="str">
        <f>IF(A55=FALSE,"",IF(KA55="POEA",Cotations!BM55,IF(KA55="FIXE",Cotations!BN55,IF(Cotations!BO55*Y55&lt;50000,Z55,Cotations!BO55*Y55))))</f>
        <v/>
      </c>
      <c r="KG55" s="300" t="str">
        <f t="shared" si="519"/>
        <v/>
      </c>
      <c r="KH55" s="522" t="str">
        <f>IF(A55=FALSE,"",IF(Cotations!BL55="monthly",KG55/12*L55,KG55/365*M55))</f>
        <v/>
      </c>
      <c r="KI55" s="489" t="str">
        <f>IF(A55=FALSE,"",IF(Cotations!BP55="","",Cotations!BP55))</f>
        <v/>
      </c>
      <c r="KJ55" s="300" t="str">
        <f t="shared" si="520"/>
        <v/>
      </c>
      <c r="KK55" s="300" t="str">
        <f t="shared" si="521"/>
        <v/>
      </c>
      <c r="KL55" s="919" t="str">
        <f t="shared" si="522"/>
        <v/>
      </c>
      <c r="KM55" s="517" t="str">
        <f>IF(A55=FALSE,"",Cotations!BQ55)</f>
        <v/>
      </c>
      <c r="KN55" s="515" t="str">
        <f>IF(A55=FALSE,"",Cotations!BR55)</f>
        <v/>
      </c>
      <c r="KO55" s="493" t="str">
        <f>IF(A55=FALSE,"",Cotations!BS55)</f>
        <v/>
      </c>
      <c r="KP55" s="517" t="str">
        <f>IF(A55=FALSE,"",IF(KM55="N/A",0,IF(INDEX(LISTES!$F$105:$F$109,MATCH(KM55,LISTES!$C$105:$C$109,0))="FIX",IF(INDEX(LISTES!$E$105:$E$109,MATCH(KM55,LISTES!$C$105:$C$109,0))=12,KN55/12*L55,KN55/365*M55),KO55*KL55)))</f>
        <v/>
      </c>
      <c r="KQ55" s="294" t="str">
        <f t="shared" si="523"/>
        <v/>
      </c>
      <c r="KR55" s="494" t="str">
        <f>IF(A55=FALSE,"",KQ55*Cotations!BT55)</f>
        <v/>
      </c>
      <c r="KS55" s="494" t="str">
        <f>IF(A55=FALSE,"",KQ55*Cotations!BU55)</f>
        <v/>
      </c>
      <c r="KT55" s="338" t="str">
        <f t="shared" si="524"/>
        <v/>
      </c>
      <c r="KU55" s="919" t="str">
        <f>IF(A55=FALSE,"",((KG55*TAXE)-(KG55*TAXE*KI55))+IF(KM55="N/A",0,IF(INDEX(LISTES!$F$105:$F$109,MATCH(KM55,LISTES!$C$105:$C$109,0))="FIX",KN55,KO55*KL55)))</f>
        <v/>
      </c>
      <c r="LA55" s="497" t="str">
        <f>IF(A55=FALSE,"",Cotations!D55)</f>
        <v/>
      </c>
      <c r="LB55" s="498" t="str">
        <f>IF(A55=FALSE,"",IF(LISTES!$A$17=1,Cotations!BV55,Cotations!$BW$4))</f>
        <v/>
      </c>
      <c r="LC55" s="499" t="str">
        <f t="shared" si="525"/>
        <v/>
      </c>
      <c r="LD55" s="499" t="str">
        <f t="shared" si="526"/>
        <v/>
      </c>
      <c r="LE55" s="500" t="str">
        <f t="shared" si="527"/>
        <v/>
      </c>
      <c r="LF55" s="501" t="str">
        <f>IF(A55=FALSE,"",IF(LA55="POEA",Cotations!EJ55,IF(LA55="FIXE",Cotations!$BY$4,Cotations!$CA$4*Y55)))</f>
        <v/>
      </c>
      <c r="LG55" s="502" t="str">
        <f t="shared" si="528"/>
        <v/>
      </c>
      <c r="LH55" s="520" t="str">
        <f>IF(A55=FALSE,"",IF(Cotations!$BX$4="monthly",LG55/12*L55,LG55/365*M55))</f>
        <v/>
      </c>
      <c r="LI55" s="503" t="str">
        <f>IF(A55=FALSE,"",Cotations!$CB$4)</f>
        <v/>
      </c>
      <c r="LJ55" s="502" t="str">
        <f t="shared" si="529"/>
        <v/>
      </c>
      <c r="LK55" s="502" t="str">
        <f t="shared" si="530"/>
        <v/>
      </c>
      <c r="LL55" s="504" t="str">
        <f t="shared" si="531"/>
        <v/>
      </c>
      <c r="LM55" s="505" t="str">
        <f>IF(A55=FALSE,"",Cotations!$CC$4)</f>
        <v/>
      </c>
      <c r="LN55" s="503" t="str">
        <f>IF(A55=FALSE,"",Cotations!$CD$4)</f>
        <v/>
      </c>
      <c r="LO55" s="503" t="str">
        <f>IF(A55=FALSE,"",Cotations!$CE$4)</f>
        <v/>
      </c>
      <c r="LP55" s="505" t="str">
        <f>IF(A55=FALSE,"",IF(LM55="N/A",0,IF(INDEX(LISTES!$F$105:$F$109,MATCH(LM55,LISTES!$C$105:$C$109,0))="FIX",IF(INDEX(LISTES!$E$105:$E$109,MATCH(LM55,LISTES!$C$105:$C$109,0))=12,LN55/12*L55,LN55/365*M55),LO55*LL55)))</f>
        <v/>
      </c>
      <c r="LQ55" s="504" t="str">
        <f t="shared" si="532"/>
        <v/>
      </c>
      <c r="LR55" s="505" t="str">
        <f>IF(A55=FALSE,"",LQ55*Cotations!$CF$4)</f>
        <v/>
      </c>
      <c r="LS55" s="505" t="str">
        <f>IF(A55=FALSE,"",LQ55*Cotations!$CG$4)</f>
        <v/>
      </c>
      <c r="LT55" s="506" t="str">
        <f t="shared" si="533"/>
        <v/>
      </c>
      <c r="LU55" s="919" t="str">
        <f>IF(A55=FALSE,"",((LG55*TAXE)-(LG55*TAXE*LI55))+IF(LM55="N/A",0,IF(INDEX(LISTES!$F$105:$F$109,MATCH(LM55,LISTES!$C$105:$C$109,0))="FIX",LN55,LO55*LL55)))</f>
        <v/>
      </c>
      <c r="MA55" s="492" t="str">
        <f>IF(A55=FALSE,"",Cotations!D55)</f>
        <v/>
      </c>
      <c r="MB55" s="491" t="str">
        <f>IF(A55=FALSE,"",IF(LISTES!$A$17=1,Cotations!BV55,Cotations!BW55))</f>
        <v/>
      </c>
      <c r="MC55" s="285" t="str">
        <f t="shared" si="534"/>
        <v/>
      </c>
      <c r="MD55" s="300"/>
      <c r="ME55" s="461" t="str">
        <f t="shared" si="535"/>
        <v/>
      </c>
      <c r="MF55" s="490" t="str">
        <f>IF(A55=FALSE,"",IF(MA55="POEA",Cotations!BY55,IF(MA55="FIXE",Cotations!BZ55,IF(Cotations!CA55*Y55&lt;50000,Z55,Cotations!CA55*Y55))))</f>
        <v/>
      </c>
      <c r="MG55" s="300" t="str">
        <f t="shared" si="536"/>
        <v/>
      </c>
      <c r="MH55" s="522" t="str">
        <f>IF(A55=FALSE,"",IF(Cotations!BX55="monthly",MG55/12*L55,MG55/365*M55))</f>
        <v/>
      </c>
      <c r="MI55" s="489" t="str">
        <f>IF(A55=FALSE,"",IF(Cotations!CB55="","",Cotations!CB55))</f>
        <v/>
      </c>
      <c r="MJ55" s="300" t="str">
        <f t="shared" si="537"/>
        <v/>
      </c>
      <c r="MK55" s="300" t="str">
        <f t="shared" si="538"/>
        <v/>
      </c>
      <c r="ML55" s="919" t="str">
        <f t="shared" si="539"/>
        <v/>
      </c>
      <c r="MM55" s="517" t="str">
        <f>IF(A55=FALSE,"",Cotations!CC55)</f>
        <v/>
      </c>
      <c r="MN55" s="515" t="str">
        <f>IF(A55=FALSE,"",Cotations!CD55)</f>
        <v/>
      </c>
      <c r="MO55" s="493" t="str">
        <f>IF(A55=FALSE,"",Cotations!CE55)</f>
        <v/>
      </c>
      <c r="MP55" s="517" t="str">
        <f>IF(A55=FALSE,"",IF(MM55="N/A",0,IF(INDEX(LISTES!$F$105:$F$109,MATCH(MM55,LISTES!$C$105:$C$109,0))="FIX",IF(INDEX(LISTES!$E$105:$E$109,MATCH(MM55,LISTES!$C$105:$C$109,0))=12,MN55/12*L55,MN55/365*M55),MO55*ML55)))</f>
        <v/>
      </c>
      <c r="MQ55" s="294" t="str">
        <f t="shared" si="540"/>
        <v/>
      </c>
      <c r="MR55" s="494" t="str">
        <f>IF(A55=FALSE,"",MQ55*Cotations!CF55)</f>
        <v/>
      </c>
      <c r="MS55" s="494" t="str">
        <f>IF(A55=FALSE,"",MQ55*Cotations!CG55)</f>
        <v/>
      </c>
      <c r="MT55" s="338" t="str">
        <f t="shared" si="541"/>
        <v/>
      </c>
      <c r="MU55" s="919" t="str">
        <f>IF(A55=FALSE,"",((MG55*TAXE)-(MG55*TAXE*MI55))+IF(MM55="N/A",0,IF(INDEX(LISTES!$F$105:$F$109,MATCH(MM55,LISTES!$C$105:$C$109,0))="FIX",MN55,MO55*ML55)))</f>
        <v/>
      </c>
      <c r="NA55" s="497" t="str">
        <f>IF(A55=FALSE,"",Cotations!D55)</f>
        <v/>
      </c>
      <c r="NB55" s="498" t="str">
        <f>IF(A55=FALSE,"",IF(LISTES!$A$17=1,Cotations!CH55,Cotations!$CI$4))</f>
        <v/>
      </c>
      <c r="NC55" s="499" t="str">
        <f t="shared" si="542"/>
        <v/>
      </c>
      <c r="ND55" s="499" t="str">
        <f t="shared" si="543"/>
        <v/>
      </c>
      <c r="NE55" s="500" t="str">
        <f t="shared" si="544"/>
        <v/>
      </c>
      <c r="NF55" s="501" t="str">
        <f>IF(A55=FALSE,"",IF(NA55="POEA",Cotations!CK55,IF(NA55="FIXE",Cotations!$CK$4,Cotations!$CM$4*Y55)))</f>
        <v/>
      </c>
      <c r="NG55" s="502" t="str">
        <f t="shared" si="545"/>
        <v/>
      </c>
      <c r="NH55" s="520" t="str">
        <f>IF(A55=FALSE,"",IF(Cotations!$CJ$4="monthly",NG55/12*L55,NG55/365*M55))</f>
        <v/>
      </c>
      <c r="NI55" s="503" t="str">
        <f>IF(A55=FALSE,"",Cotations!$CN$4)</f>
        <v/>
      </c>
      <c r="NJ55" s="502" t="str">
        <f t="shared" si="546"/>
        <v/>
      </c>
      <c r="NK55" s="502" t="str">
        <f t="shared" si="547"/>
        <v/>
      </c>
      <c r="NL55" s="504" t="str">
        <f t="shared" si="548"/>
        <v/>
      </c>
      <c r="NM55" s="505" t="str">
        <f>IF(A55=FALSE,"",Cotations!$CO$4)</f>
        <v/>
      </c>
      <c r="NN55" s="520" t="str">
        <f>IF(A55=FALSE,"",Cotations!$CP$4)</f>
        <v/>
      </c>
      <c r="NO55" s="503" t="str">
        <f>IF(A55=FALSE,"",Cotations!$CQ$4)</f>
        <v/>
      </c>
      <c r="NP55" s="505" t="str">
        <f>IF(A55=FALSE,"",IF(NM55="N/A",0,IF(INDEX(LISTES!$F$105:$F$109,MATCH(NM55,LISTES!$C$105:$C$109,0))="FIX",IF(INDEX(LISTES!$E$105:$E$109,MATCH(NM55,LISTES!$C$105:$C$109,0))=12,NN55/12*L55,NN55/365*M55),NO55*NL55)))</f>
        <v/>
      </c>
      <c r="NQ55" s="504" t="str">
        <f t="shared" si="549"/>
        <v/>
      </c>
      <c r="NR55" s="505" t="str">
        <f>IF(A55=FALSE,"",NQ55*Cotations!$CR$4)</f>
        <v/>
      </c>
      <c r="NS55" s="505" t="str">
        <f>IF(A55=FALSE,"",NQ55*Cotations!$CS$4)</f>
        <v/>
      </c>
      <c r="NT55" s="506" t="str">
        <f t="shared" si="550"/>
        <v/>
      </c>
      <c r="NU55" s="919" t="str">
        <f>IF(A55=FALSE,"",((NG55*TAXE)-(NG55*TAXE*NI55))+IF(NM55="N/A",0,IF(INDEX(LISTES!$F$105:$F$109,MATCH(NM55,LISTES!$C$105:$C$109,0))="FIX",NN55,NO55*NL55)))</f>
        <v/>
      </c>
      <c r="OA55" s="492" t="str">
        <f>IF(A55=FALSE,"",Cotations!D55)</f>
        <v/>
      </c>
      <c r="OB55" s="491" t="str">
        <f>IF(A55=FALSE,"",IF(LISTES!$A$17=1,Cotations!CH55,Cotations!CI55))</f>
        <v/>
      </c>
      <c r="OC55" s="285" t="str">
        <f t="shared" si="551"/>
        <v/>
      </c>
      <c r="OD55" s="300"/>
      <c r="OE55" s="461" t="str">
        <f t="shared" si="552"/>
        <v/>
      </c>
      <c r="OF55" s="490" t="str">
        <f>IF(A55=FALSE,"",IF(OA55="POEA",Cotations!CK55,IF(OA55="FIXE",Cotations!CL55,IF(Cotations!CM55*Y55&lt;50000,Z55,Cotations!CM55*Y55))))</f>
        <v/>
      </c>
      <c r="OG55" s="300" t="str">
        <f t="shared" si="553"/>
        <v/>
      </c>
      <c r="OH55" s="522" t="str">
        <f>IF(A55=FALSE,"",IF(Cotations!CJ55="monthly",OG55/12*L55,OG55/365*M55))</f>
        <v/>
      </c>
      <c r="OI55" s="489" t="str">
        <f>IF(A55=FALSE,"",IF(Cotations!CN55="","",Cotations!CN55))</f>
        <v/>
      </c>
      <c r="OJ55" s="300" t="str">
        <f t="shared" si="554"/>
        <v/>
      </c>
      <c r="OK55" s="300" t="str">
        <f t="shared" si="555"/>
        <v/>
      </c>
      <c r="OL55" s="919" t="str">
        <f t="shared" si="556"/>
        <v/>
      </c>
      <c r="OM55" s="517" t="str">
        <f>IF(A55=FALSE,"",Cotations!CO55)</f>
        <v/>
      </c>
      <c r="ON55" s="515" t="str">
        <f>IF(A55=FALSE,"",Cotations!CP55)</f>
        <v/>
      </c>
      <c r="OO55" s="493" t="str">
        <f>IF(A55=FALSE,"",Cotations!CQ55)</f>
        <v/>
      </c>
      <c r="OP55" s="517" t="str">
        <f>IF(A55=FALSE,"",IF(OM55="N/A",0,IF(INDEX(LISTES!$F$105:$F$109,MATCH(OM55,LISTES!$C$105:$C$109,0))="FIX",IF(INDEX(LISTES!$E$105:$E$109,MATCH(OM55,LISTES!$C$105:$C$109,0))=12,ON55/12*L55,ON55/365*M55),OO55*OL55)))</f>
        <v/>
      </c>
      <c r="OQ55" s="294" t="str">
        <f t="shared" si="557"/>
        <v/>
      </c>
      <c r="OR55" s="494" t="str">
        <f>IF(A55=FALSE,"",OQ55*Cotations!CR55)</f>
        <v/>
      </c>
      <c r="OS55" s="494" t="str">
        <f>IF(A55=FALSE,"",OQ55*Cotations!CS55)</f>
        <v/>
      </c>
      <c r="OT55" s="338" t="str">
        <f t="shared" si="558"/>
        <v/>
      </c>
      <c r="OU55" s="919" t="str">
        <f>IF(A55=FALSE,"",((OG55*TAXE)-(OG55*TAXE*OI55))+IF(OM55="N/A",0,IF(INDEX(LISTES!$F$105:$F$109,MATCH(OM55,LISTES!$C$105:$C$109,0))="FIX",ON55,OO55*OL55)))</f>
        <v/>
      </c>
      <c r="PA55" s="497" t="str">
        <f t="shared" si="559"/>
        <v/>
      </c>
      <c r="PB55" s="498" t="str">
        <f>IF(A55=FALSE,"",IF(LISTES!$A$17=1,Cotations!CT55,Cotations!$CU$4))</f>
        <v/>
      </c>
      <c r="PC55" s="499" t="str">
        <f t="shared" si="560"/>
        <v/>
      </c>
      <c r="PD55" s="499" t="str">
        <f t="shared" si="561"/>
        <v/>
      </c>
      <c r="PE55" s="500" t="str">
        <f t="shared" si="562"/>
        <v/>
      </c>
      <c r="PF55" s="501" t="str">
        <f>IF(A55=FALSE,"",Cotations!$CY$4*Y55)</f>
        <v/>
      </c>
      <c r="PG55" s="502" t="str">
        <f t="shared" si="563"/>
        <v/>
      </c>
      <c r="PH55" s="520" t="str">
        <f>IF(A55=FALSE,"",IF(Cotations!$CV$4="monthly",PG55/12*L55,PG55/365*M55))</f>
        <v/>
      </c>
      <c r="PI55" s="503" t="str">
        <f>IF(A55=FALSE,"",Cotations!$CZ$4)</f>
        <v/>
      </c>
      <c r="PJ55" s="502" t="str">
        <f t="shared" si="564"/>
        <v/>
      </c>
      <c r="PK55" s="502" t="str">
        <f t="shared" si="565"/>
        <v/>
      </c>
      <c r="PL55" s="504" t="str">
        <f t="shared" si="566"/>
        <v/>
      </c>
      <c r="PM55" s="505" t="str">
        <f>IF(A55=FALSE,"",Cotations!$DA$4)</f>
        <v/>
      </c>
      <c r="PN55" s="520" t="str">
        <f>IF(A55=FALSE,"",Cotations!$DB$4)</f>
        <v/>
      </c>
      <c r="PO55" s="503" t="str">
        <f>IF(A55=FALSE,"",Cotations!$DC$4)</f>
        <v/>
      </c>
      <c r="PP55" s="505" t="str">
        <f>IF(A55=FALSE,"",IF(PM55="N/A",0,IF(INDEX(LISTES!$F$105:$F$109,MATCH(PM55,LISTES!$C$105:$C$109,0))="FIX",IF(INDEX(LISTES!$E$105:$E$109,MATCH(PM55,LISTES!$C$105:$C$109,0))=12,PN55/12*L55,PN55/365*M55),PO55*PL55)))</f>
        <v/>
      </c>
      <c r="PQ55" s="504" t="str">
        <f t="shared" si="567"/>
        <v/>
      </c>
      <c r="PR55" s="505" t="str">
        <f>IF(A55=FALSE,"",PQ55*Cotations!$DD$4)</f>
        <v/>
      </c>
      <c r="PS55" s="505" t="str">
        <f>IF(A55=FALSE,"",PQ55*Cotations!$DE$4)</f>
        <v/>
      </c>
      <c r="PT55" s="506" t="str">
        <f t="shared" si="568"/>
        <v/>
      </c>
      <c r="PU55" s="919" t="str">
        <f>IF(A55=FALSE,"",((PG55*TAXE)-(PG55*TAXE*PI55))+IF(PM55="N/A",0,IF(INDEX(LISTES!$F$105:$F$109,MATCH(PM55,LISTES!$C$105:$C$109,0))="FIX",PN55,PO55*PL55)))</f>
        <v/>
      </c>
      <c r="QA55" s="492" t="str">
        <f t="shared" si="569"/>
        <v/>
      </c>
      <c r="QB55" s="491" t="str">
        <f>IF(A55=FALSE,"",IF(LISTES!$A$17=1,Cotations!CT55,Cotations!CU55))</f>
        <v/>
      </c>
      <c r="QC55" s="285" t="str">
        <f t="shared" si="570"/>
        <v/>
      </c>
      <c r="QD55" s="300"/>
      <c r="QE55" s="461" t="str">
        <f t="shared" si="571"/>
        <v/>
      </c>
      <c r="QF55" s="490" t="str">
        <f>IF(A55=FALSE,"",Cotations!CY55*AA55)</f>
        <v/>
      </c>
      <c r="QG55" s="300" t="str">
        <f t="shared" si="572"/>
        <v/>
      </c>
      <c r="QH55" s="522" t="str">
        <f>IF(A55=FALSE,"",IF(Cotations!CV55="monthly",QG55/12*L55,QG55/365*M55))</f>
        <v/>
      </c>
      <c r="QI55" s="489" t="str">
        <f>IF(A55=FALSE,"",IF(Cotations!CZ55="","",Cotations!CZ55))</f>
        <v/>
      </c>
      <c r="QJ55" s="300" t="str">
        <f t="shared" si="573"/>
        <v/>
      </c>
      <c r="QK55" s="300" t="str">
        <f t="shared" si="574"/>
        <v/>
      </c>
      <c r="QL55" s="919" t="str">
        <f t="shared" si="575"/>
        <v/>
      </c>
      <c r="QM55" s="517" t="str">
        <f>IF(A55=FALSE,"",Cotations!DA55)</f>
        <v/>
      </c>
      <c r="QN55" s="515" t="str">
        <f>IF(A55=FALSE,"",Cotations!DB55)</f>
        <v/>
      </c>
      <c r="QO55" s="493" t="str">
        <f>IF(A55=FALSE,"",Cotations!DC55)</f>
        <v/>
      </c>
      <c r="QP55" s="517" t="str">
        <f>IF(A55=FALSE,"",IF(QM55="N/A",0,IF(INDEX(LISTES!$F$105:$F$109,MATCH(QM55,LISTES!$C$105:$C$109,0))="FIX",IF(INDEX(LISTES!$E$105:$E$109,MATCH(QM55,LISTES!$C$105:$C$109,0))=12,QN55/12*L55,QN55/365*M55),QO55*QL55)))</f>
        <v/>
      </c>
      <c r="QQ55" s="294" t="str">
        <f t="shared" si="576"/>
        <v/>
      </c>
      <c r="QR55" s="494" t="str">
        <f>IF(A55=FALSE,"",QQ55*Cotations!DD55)</f>
        <v/>
      </c>
      <c r="QS55" s="494" t="str">
        <f>IF(A55=FALSE,"",QQ55*Cotations!DE55)</f>
        <v/>
      </c>
      <c r="QT55" s="338" t="str">
        <f t="shared" si="577"/>
        <v/>
      </c>
      <c r="QU55" s="919" t="str">
        <f>IF(A55=FALSE,"",((QG55*TAXE)-(QG55*TAXE*QI55))+IF(QM55="N/A",0,IF(INDEX(LISTES!$F$105:$F$109,MATCH(QM55,LISTES!$C$105:$C$109,0))="FIX",QN55,QO55*QL55)))</f>
        <v/>
      </c>
      <c r="RA55" s="497" t="str">
        <f t="shared" si="578"/>
        <v/>
      </c>
      <c r="RB55" s="498" t="str">
        <f>IF(A55=FALSE,"",IF(LISTES!$A$17=1,Cotations!DF55,Cotations!$DG$4))</f>
        <v/>
      </c>
      <c r="RC55" s="499" t="str">
        <f t="shared" si="579"/>
        <v/>
      </c>
      <c r="RD55" s="499" t="str">
        <f t="shared" si="580"/>
        <v/>
      </c>
      <c r="RE55" s="500" t="str">
        <f t="shared" si="581"/>
        <v/>
      </c>
      <c r="RF55" s="501" t="str">
        <f>IF(A55=FALSE,"",Cotations!$DK$4*Y55)</f>
        <v/>
      </c>
      <c r="RG55" s="502" t="str">
        <f t="shared" si="582"/>
        <v/>
      </c>
      <c r="RH55" s="520" t="str">
        <f>IF(A55=FALSE,"",IF(Cotations!$DH$4="monthly",RG55/12*L55,RG55/365*M55))</f>
        <v/>
      </c>
      <c r="RI55" s="503" t="str">
        <f>IF(A55=FALSE,"",Cotations!$DL$4)</f>
        <v/>
      </c>
      <c r="RJ55" s="502" t="str">
        <f t="shared" si="583"/>
        <v/>
      </c>
      <c r="RK55" s="502" t="str">
        <f t="shared" si="584"/>
        <v/>
      </c>
      <c r="RL55" s="504" t="str">
        <f t="shared" si="585"/>
        <v/>
      </c>
      <c r="RM55" s="505" t="str">
        <f>IF(A55=FALSE,"",Cotations!$DM$4)</f>
        <v/>
      </c>
      <c r="RN55" s="520" t="str">
        <f>IF(A55=FALSE,"",Cotations!$DN$4)</f>
        <v/>
      </c>
      <c r="RO55" s="503" t="str">
        <f>IF(A55=FALSE,"",Cotations!$DO$4)</f>
        <v/>
      </c>
      <c r="RP55" s="505" t="str">
        <f>IF(A55=FALSE,"",IF(RM55="N/A",0,IF(INDEX(LISTES!$F$105:$F$109,MATCH(RM55,LISTES!$C$105:$C$109,0))="FIX",IF(INDEX(LISTES!$E$105:$E$109,MATCH(RM55,LISTES!$C$105:$C$109,0))=12,RN55/12*L55,RN55/365*M55),RO55*RL55)))</f>
        <v/>
      </c>
      <c r="RQ55" s="504" t="str">
        <f t="shared" si="586"/>
        <v/>
      </c>
      <c r="RR55" s="505" t="str">
        <f>IF(A55=FALSE,"",RQ55*Cotations!$DP$4)</f>
        <v/>
      </c>
      <c r="RS55" s="505" t="str">
        <f>IF(A55=FALSE,"",RQ55*Cotations!$DQ$4)</f>
        <v/>
      </c>
      <c r="RT55" s="506" t="str">
        <f t="shared" si="587"/>
        <v/>
      </c>
      <c r="RU55" s="919" t="str">
        <f>IF(A55=FALSE,"",((RG55*TAXE)-(RG55*TAXE*RI55))+IF(RM55="N/A",0,IF(INDEX(LISTES!$F$105:$F$109,MATCH(RM55,LISTES!$C$105:$C$109,0))="FIX",RN55,RO55*RL55)))</f>
        <v/>
      </c>
      <c r="SA55" s="492" t="str">
        <f t="shared" si="588"/>
        <v/>
      </c>
      <c r="SB55" s="491" t="str">
        <f>IF(A55=FALSE,"",IF(LISTES!$A$17=1,Cotations!DF55,Cotations!DG55))</f>
        <v/>
      </c>
      <c r="SC55" s="285" t="str">
        <f t="shared" si="589"/>
        <v/>
      </c>
      <c r="SD55" s="300"/>
      <c r="SE55" s="461" t="str">
        <f t="shared" si="590"/>
        <v/>
      </c>
      <c r="SF55" s="490" t="str">
        <f>IF(A55=FALSE,"",Cotations!DK55*AA55)</f>
        <v/>
      </c>
      <c r="SG55" s="300" t="str">
        <f t="shared" si="591"/>
        <v/>
      </c>
      <c r="SH55" s="522" t="str">
        <f>IF(A55=FALSE,"",IF(Cotations!DH55="monthly",SG55/12*L55,SG55/365*M55))</f>
        <v/>
      </c>
      <c r="SI55" s="489" t="str">
        <f>IF(A55=FALSE,"",IF(Cotations!DL55="","",Cotations!DL55))</f>
        <v/>
      </c>
      <c r="SJ55" s="300" t="str">
        <f t="shared" si="592"/>
        <v/>
      </c>
      <c r="SK55" s="300" t="str">
        <f t="shared" si="593"/>
        <v/>
      </c>
      <c r="SL55" s="919" t="str">
        <f t="shared" si="594"/>
        <v/>
      </c>
      <c r="SM55" s="285" t="str">
        <f>IF(A55=FALSE,"",Cotations!DM55)</f>
        <v/>
      </c>
      <c r="SN55" s="515" t="str">
        <f>IF(A55=FALSE,"",Cotations!DN55)</f>
        <v/>
      </c>
      <c r="SO55" s="493" t="str">
        <f>IF(A55=FALSE,"",Cotations!DO55)</f>
        <v/>
      </c>
      <c r="SP55" s="517" t="str">
        <f>IF(A55=FALSE,"",IF(SM55="N/A",0,IF(INDEX(LISTES!$F$105:$F$109,MATCH(SM55,LISTES!$C$105:$C$109,0))="FIX",IF(INDEX(LISTES!$E$105:$E$109,MATCH(SM55,LISTES!$C$105:$C$109,0))=12,SN55/12*L55,SN55/365*M55),SO55*SL55)))</f>
        <v/>
      </c>
      <c r="SQ55" s="294" t="str">
        <f t="shared" si="595"/>
        <v/>
      </c>
      <c r="SR55" s="494" t="str">
        <f>IF(A55=FALSE,"",SQ55*Cotations!DP55)</f>
        <v/>
      </c>
      <c r="SS55" s="494" t="str">
        <f>IF(A55=FALSE,"",SQ55*Cotations!DQ55)</f>
        <v/>
      </c>
      <c r="ST55" s="338" t="str">
        <f t="shared" si="596"/>
        <v/>
      </c>
      <c r="SU55" s="919" t="str">
        <f>IF(A55=FALSE,"",((SG55*TAXE)-(SG55*TAXE*SI55))+IF(SM55="N/A",0,IF(INDEX(LISTES!$F$105:$F$109,MATCH(SM55,LISTES!$C$105:$C$109,0))="FIX",SN55,SO55*SL55)))</f>
        <v/>
      </c>
      <c r="TA55" s="492" t="str">
        <f>IF(A55=FALSE,"",Cotations!D55)</f>
        <v/>
      </c>
      <c r="TB55" s="491" t="str">
        <f>IF(A55=FALSE,"",IF(LISTES!$A$17=1,Cotations!DR55,Cotations!DS55))</f>
        <v/>
      </c>
      <c r="TC55" s="285" t="str">
        <f t="shared" si="597"/>
        <v/>
      </c>
      <c r="TD55" s="300" t="str">
        <f>IF(A55=FALSE,"",Detail!CQ55)</f>
        <v/>
      </c>
      <c r="TE55" s="461" t="str">
        <f t="shared" si="598"/>
        <v/>
      </c>
      <c r="TF55" s="490" t="str">
        <f>IF(A55=FALSE,"",IF(TA55="FIXE",Cotations!DU55,Cotations!DV55*Y55))</f>
        <v/>
      </c>
      <c r="TG55" s="300" t="str">
        <f t="shared" si="599"/>
        <v/>
      </c>
      <c r="TH55" s="522" t="str">
        <f>IF(A55=FALSE,"",IF(Cotations!DT55="monthly",TG55/12*L55,TG55/365*M55))</f>
        <v/>
      </c>
      <c r="TI55" s="489" t="str">
        <f>IF(A55=FALSE,"",IF(Cotations!DW55="","",Cotations!DW55))</f>
        <v/>
      </c>
      <c r="TJ55" s="300" t="str">
        <f t="shared" si="600"/>
        <v/>
      </c>
      <c r="TK55" s="300" t="str">
        <f t="shared" si="601"/>
        <v/>
      </c>
      <c r="TL55" s="919" t="str">
        <f t="shared" si="602"/>
        <v/>
      </c>
      <c r="TM55" s="517" t="str">
        <f>IF(A55=FALSE,"",Cotations!DX55)</f>
        <v/>
      </c>
      <c r="TN55" s="517" t="str">
        <f>IF(A55=FALSE,"",Cotations!DY55)</f>
        <v/>
      </c>
      <c r="TO55" s="493" t="str">
        <f>IF(A55=FALSE,"",Cotations!DZ55)</f>
        <v/>
      </c>
      <c r="TP55" s="517" t="str">
        <f>IF(A55=FALSE,"",IF(TM55="N/A",0,IF(INDEX(LISTES!$F$105:$F$109,MATCH(TM55,LISTES!$C$105:$C$109,0))="FIX",IF(INDEX(LISTES!$E$105:$E$109,MATCH(TM55,LISTES!$C$105:$C$109,0))=12,TN55/12*L55,TN55/365*M55),TO55*TL55)))</f>
        <v/>
      </c>
      <c r="TQ55" s="294" t="str">
        <f t="shared" si="603"/>
        <v/>
      </c>
      <c r="TR55" s="494" t="str">
        <f>IF(A55=FALSE,"",TQ55*Cotations!EA55)</f>
        <v/>
      </c>
      <c r="TS55" s="494" t="str">
        <f>IF(A55=FALSE,"",TQ55*Cotations!EB55)</f>
        <v/>
      </c>
      <c r="TT55" s="338" t="str">
        <f t="shared" si="604"/>
        <v/>
      </c>
      <c r="TU55" s="919" t="str">
        <f>IF(A55=FALSE,"",((TG55*(1+TAXE)-(TG55*(1+TAXE)*TI55))+IF(TM55="N/A",0,IF(INDEX(LISTES!$F$105:$F$109,MATCH(TM55,LISTES!$C$105:$C$109,0))="FIX",TN55,TO55*TL55))))</f>
        <v/>
      </c>
      <c r="UA55" s="492" t="str">
        <f>IF(A55=FALSE,"",Cotations!D55)</f>
        <v/>
      </c>
      <c r="UB55" s="491" t="str">
        <f>IF(A55=FALSE,"",IF(LISTES!$A$17=1,Cotations!EC55,Cotations!ED55))</f>
        <v/>
      </c>
      <c r="UC55" s="285" t="str">
        <f t="shared" si="605"/>
        <v/>
      </c>
      <c r="UD55" s="300" t="str">
        <f>IF(A55=FALSE,"",Detail!CY55)</f>
        <v/>
      </c>
      <c r="UE55" s="461" t="str">
        <f t="shared" si="606"/>
        <v/>
      </c>
      <c r="UF55" s="490" t="str">
        <f>IF(A55=FALSE,"",IF(UA55="FIXE",Cotations!EF55,Cotations!EG55*Y55))</f>
        <v/>
      </c>
      <c r="UG55" s="300" t="str">
        <f t="shared" si="607"/>
        <v/>
      </c>
      <c r="UH55" s="522" t="str">
        <f>IF(A55=FALSE,"",IF(Cotations!EE55="monthly",UG55/12*L55,UG55/365*M55))</f>
        <v/>
      </c>
      <c r="UI55" s="489" t="str">
        <f>IF(A55=FALSE,"",IF(Cotations!EH55="","",Cotations!EH55))</f>
        <v/>
      </c>
      <c r="UJ55" s="300" t="str">
        <f t="shared" si="608"/>
        <v/>
      </c>
      <c r="UK55" s="300" t="str">
        <f t="shared" si="609"/>
        <v/>
      </c>
      <c r="UL55" s="919" t="str">
        <f t="shared" si="610"/>
        <v/>
      </c>
      <c r="UM55" s="517" t="str">
        <f>IF(A55=FALSE,"",Cotations!EI55)</f>
        <v/>
      </c>
      <c r="UN55" s="517" t="str">
        <f>IF(A55=FALSE,"",Cotations!EJ55)</f>
        <v/>
      </c>
      <c r="UO55" s="493" t="str">
        <f>IF(A55=FALSE,"",Cotations!EK55)</f>
        <v/>
      </c>
      <c r="UP55" s="517" t="str">
        <f>IF(A55=FALSE,"",IF(UM55="N/A",0,IF(INDEX(LISTES!$F$105:$F$109,MATCH(UM55,LISTES!$C$105:$C$109,0))="FIX",IF(INDEX(LISTES!$E$105:$E$109,MATCH(UM55,LISTES!$C$105:$C$109,0))=12,UN55/12*L55,UN55/365*M55),UO55*UL55)))</f>
        <v/>
      </c>
      <c r="UQ55" s="294" t="str">
        <f t="shared" si="611"/>
        <v/>
      </c>
      <c r="UR55" s="494" t="str">
        <f>IF(A55=FALSE,"",UQ55*Cotations!EL55)</f>
        <v/>
      </c>
      <c r="US55" s="494" t="str">
        <f>IF(A55=FALSE,"",UQ55*Cotations!EM55)</f>
        <v/>
      </c>
      <c r="UT55" s="338" t="str">
        <f t="shared" si="612"/>
        <v/>
      </c>
      <c r="UU55" s="919" t="str">
        <f>IF(A55=FALSE,"",((UG55*(1+TAXE)-(UG55*(1+TAXE)*UI55))+IF(UM55="N/A",0,IF(INDEX(LISTES!$F$105:$F$109,MATCH(UM55,LISTES!$C$105:$C$109,0))="FIX",UN55,UO55*UL55))))</f>
        <v/>
      </c>
      <c r="VA55" s="492" t="str">
        <f>IF(A55=FALSE,"",Cotations!D55)</f>
        <v/>
      </c>
      <c r="VB55" s="519" t="str">
        <f>IF(A55=FALSE,"",IF(LISTES!$A$17=1,Cotations!EN55,Cotations!EO55))</f>
        <v/>
      </c>
      <c r="VC55" s="291" t="str">
        <f t="shared" si="613"/>
        <v/>
      </c>
      <c r="VD55" s="291" t="str">
        <f t="shared" si="614"/>
        <v/>
      </c>
      <c r="VE55" s="291"/>
      <c r="VF55" s="463"/>
      <c r="VG55" s="463" t="str">
        <f t="shared" si="615"/>
        <v/>
      </c>
      <c r="VH55" s="522" t="str">
        <f>IF(A55=FALSE,"",IF(Cotations!$AQ$4="monthly",VG55/12*L55,VG55/365*M55))</f>
        <v/>
      </c>
      <c r="VI55" s="489" t="str">
        <f>IF(A55=FALSE,"",Cotations!$AR$4)</f>
        <v/>
      </c>
      <c r="VJ55" s="300" t="str">
        <f t="shared" si="616"/>
        <v/>
      </c>
      <c r="VK55" s="300" t="str">
        <f t="shared" si="617"/>
        <v/>
      </c>
      <c r="VL55" s="294" t="str">
        <f t="shared" si="618"/>
        <v/>
      </c>
      <c r="VM55" s="494" t="str">
        <f>IF(A55=FALSE,"",Cotations!$AS$4)</f>
        <v/>
      </c>
      <c r="VN55" s="494" t="str">
        <f>IF(A55=FALSE,"",Cotations!$AT$4)</f>
        <v/>
      </c>
      <c r="VO55" s="489" t="str">
        <f>IF(A55=FALSE,"",Cotations!$AU$4)</f>
        <v/>
      </c>
      <c r="VP55" s="494" t="str">
        <f>IF(A55=FALSE,"",IF(VM55="N/A",0,IF(INDEX(LISTES!$F$105:$F$109,MATCH(VM55,LISTES!$C$105:$C$109,0))="FIX",IF(INDEX(LISTES!$E$105:$E$109,MATCH(VM55,LISTES!$C$105:$C$109,0))=12,VN55/12*L55,VN55/365*M55),VO55*VL55)))</f>
        <v/>
      </c>
      <c r="VQ55" s="294" t="str">
        <f t="shared" si="619"/>
        <v/>
      </c>
      <c r="VR55" s="494" t="str">
        <f>IF(A55=FALSE,"",VQ55*Cotations!$AV$4)</f>
        <v/>
      </c>
      <c r="VS55" s="494" t="str">
        <f>IF(A55=FALSE,"",VQ55*Cotations!$AW$4)</f>
        <v/>
      </c>
      <c r="VT55" s="465" t="str">
        <f t="shared" si="620"/>
        <v/>
      </c>
      <c r="VU55" s="919" t="str">
        <f>IF(A55=FALSE,"",((VG55*TAXE)-(VG55*TAXE*VI55))+IF(VM55="N/A",0,IF(INDEX(LISTES!$F$105:$F$109,MATCH(VM55,LISTES!$C$105:$C$109,0))="FIX",VN55,VO55*VL55)))</f>
        <v/>
      </c>
      <c r="WA55" s="492" t="str">
        <f>IF(A55=FALSE,"",Cotations!D55)</f>
        <v/>
      </c>
      <c r="WB55" s="519" t="str">
        <f>IF(A55=FALSE,"",IF(LISTES!$A$17=1,Cotations!EW55,Cotations!EX55))</f>
        <v/>
      </c>
      <c r="WC55" s="291" t="str">
        <f t="shared" si="621"/>
        <v/>
      </c>
      <c r="WD55" s="291" t="str">
        <f t="shared" si="622"/>
        <v/>
      </c>
      <c r="WE55" s="291"/>
      <c r="WF55" s="463"/>
      <c r="WG55" s="463" t="str">
        <f t="shared" si="623"/>
        <v/>
      </c>
      <c r="WH55" s="522" t="str">
        <f>IF(A55=FALSE,"",IF(Cotations!$AQ$4="monthly",WG55/12*L55,WG55/365*M55))</f>
        <v/>
      </c>
      <c r="WI55" s="489" t="str">
        <f>IF(A55=FALSE,"",Cotations!$AR$4)</f>
        <v/>
      </c>
      <c r="WJ55" s="300" t="str">
        <f t="shared" si="624"/>
        <v/>
      </c>
      <c r="WK55" s="300" t="str">
        <f t="shared" si="625"/>
        <v/>
      </c>
      <c r="WL55" s="294" t="str">
        <f t="shared" si="626"/>
        <v/>
      </c>
      <c r="WM55" s="494" t="str">
        <f>IF(A55=FALSE,"",Cotations!$AS$4)</f>
        <v/>
      </c>
      <c r="WN55" s="494" t="str">
        <f>IF(A55=FALSE,"",Cotations!$AT$4)</f>
        <v/>
      </c>
      <c r="WO55" s="489" t="str">
        <f>IF(A55=FALSE,"",Cotations!$AU$4)</f>
        <v/>
      </c>
      <c r="WP55" s="494" t="str">
        <f>IF(A55=FALSE,"",IF(WM55="N/A",0,IF(INDEX(LISTES!$F$105:$F$109,MATCH(WM55,LISTES!$C$105:$C$109,0))="FIX",IF(INDEX(LISTES!$E$105:$E$109,MATCH(WM55,LISTES!$C$105:$C$109,0))=12,WN55/12*L55,WN55/365*M55),WO55*WL55)))</f>
        <v/>
      </c>
      <c r="WQ55" s="294" t="str">
        <f t="shared" si="627"/>
        <v/>
      </c>
      <c r="WR55" s="494" t="str">
        <f>IF(A55=FALSE,"",WQ55*Cotations!$AV$4)</f>
        <v/>
      </c>
      <c r="WS55" s="494" t="str">
        <f>IF(A55=FALSE,"",WQ55*Cotations!$AW$4)</f>
        <v/>
      </c>
      <c r="WT55" s="465" t="str">
        <f t="shared" si="628"/>
        <v/>
      </c>
      <c r="WU55" s="919" t="str">
        <f>IF(A55=FALSE,"",((WG55*TAXE)-(WG55*TAXE*WI55))+IF(WM55="N/A",0,IF(INDEX(LISTES!$F$105:$F$109,MATCH(WM55,LISTES!$C$105:$C$109,0))="FIX",WN55,WO55*WL55)))</f>
        <v/>
      </c>
    </row>
    <row r="56" spans="1:619" s="49" customFormat="1">
      <c r="A56" s="942" t="b">
        <f t="shared" si="433"/>
        <v>0</v>
      </c>
      <c r="B56" s="942" t="b">
        <f>IF(NAMES!$B$9=TRUE,TRUE,FALSE)</f>
        <v>1</v>
      </c>
      <c r="C56" s="942" t="b">
        <f t="shared" si="413"/>
        <v>0</v>
      </c>
      <c r="D56" s="942" t="b">
        <f t="shared" si="414"/>
        <v>0</v>
      </c>
      <c r="E56" s="274" t="b">
        <f>IF(Cotations!C56="","",Cotations!C56)</f>
        <v>0</v>
      </c>
      <c r="F56" s="274" t="str">
        <f>IF(Cotations!D56="","",Cotations!D56)</f>
        <v>PROP</v>
      </c>
      <c r="G56" s="274" t="str">
        <f>IF(Cotations!E56="","",Cotations!E56)</f>
        <v>2016-2017!</v>
      </c>
      <c r="H56" s="274" t="str">
        <f>IF(Cotations!F56="","",Cotations!F56)</f>
        <v>SINGLE</v>
      </c>
      <c r="I56" s="274" t="str">
        <f>IF(Cotations!G56="","",Cotations!G56)</f>
        <v/>
      </c>
      <c r="J56" s="274" t="str">
        <f>IF(Cotations!H56="","",Cotations!H56)</f>
        <v/>
      </c>
      <c r="K56" s="274" t="str">
        <f>IF(Cotations!I56="","",Cotations!I56)</f>
        <v/>
      </c>
      <c r="L56" s="274" t="str">
        <f>IF(A56=FALSE,"",IF(Cotations!N56="","",Cotations!N56))</f>
        <v/>
      </c>
      <c r="M56" s="274" t="str">
        <f>IF(Cotations!P56="","",Cotations!P56)</f>
        <v/>
      </c>
      <c r="N56" s="724" t="str">
        <f>IF(NAMES!$B$10=TRUE,Cotations!J56,Cotations!L56)</f>
        <v/>
      </c>
      <c r="O56" s="724" t="str">
        <f>IF(NAMES!$B$10=TRUE,Cotations!K56,Cotations!M56)</f>
        <v/>
      </c>
      <c r="P56" s="943" t="str">
        <f t="shared" si="415"/>
        <v/>
      </c>
      <c r="Q56" s="724" t="str">
        <f>IF(A56=FALSE,"",IF(Crewlist!Y56="","",Crewlist!Y56))</f>
        <v/>
      </c>
      <c r="R56" s="78" t="str">
        <f>IF(Cotations!U56="","",Cotations!U56)</f>
        <v/>
      </c>
      <c r="S56" s="943" t="str">
        <f t="shared" si="416"/>
        <v/>
      </c>
      <c r="T56" s="919" t="str">
        <f>IF(A56=FALSE,"",VLOOKUP($U$15:$U$120,Currency!$A$2:$D$10,4,0)*Crewlist!N56)</f>
        <v/>
      </c>
      <c r="U56" s="1355" t="str">
        <f>IF(A56=FALSE,"",IF(IT56=0,Crewlist!M56&amp;"/"&amp;EX56,Crewlist!M56&amp;"/"&amp;IT56))</f>
        <v/>
      </c>
      <c r="V56" s="919" t="str">
        <f>IF(A56=FALSE,"",VLOOKUP($U$15:$U$120,Currency!$A$2:$D$10,4,0)*Detail!Q56)</f>
        <v/>
      </c>
      <c r="W56" s="1355" t="str">
        <f>IF(A56=FALSE,"",IF(IT56=0,Detail!R56&amp;"/"&amp;EX56,Detail!R56&amp;"/"&amp;IT56))</f>
        <v/>
      </c>
      <c r="X56" s="919" t="str">
        <f>IF(A56=FALSE,"",IF(LISTES!$C$17="Crewlist",Calcul!T56,Calcul!V56))</f>
        <v/>
      </c>
      <c r="Y56" s="758" t="str">
        <f t="shared" si="417"/>
        <v/>
      </c>
      <c r="Z56" s="758" t="str">
        <f>IF(A56=FALSE,"",IF(X56=0,0,IF((Cotations!BC56*12*X56)&lt;50000,50000,(12*X56))))</f>
        <v/>
      </c>
      <c r="AA56" s="758" t="str">
        <f t="shared" si="418"/>
        <v/>
      </c>
      <c r="AB56" s="758" t="str">
        <f>IF(A56=FALSE,"",IF(Crewlist!O56=0,"",Crewlist!O56))</f>
        <v/>
      </c>
      <c r="AC56" s="758" t="str">
        <f>IF(I56="","",VLOOKUP($AB$15:$AB$120,Currency!$A$15:$B$34,2,0))</f>
        <v/>
      </c>
      <c r="AD56" s="758" t="str">
        <f t="shared" si="419"/>
        <v/>
      </c>
      <c r="AE56" s="758" t="str">
        <f t="shared" si="420"/>
        <v/>
      </c>
      <c r="AF56" s="758" t="str">
        <f t="shared" si="421"/>
        <v/>
      </c>
      <c r="AG56" s="758" t="str">
        <f t="shared" si="422"/>
        <v/>
      </c>
      <c r="AH56" s="1355" t="str">
        <f t="shared" si="434"/>
        <v/>
      </c>
      <c r="AI56" s="919" t="str">
        <f t="shared" si="423"/>
        <v/>
      </c>
      <c r="AJ56" s="1382" t="str">
        <f t="shared" si="424"/>
        <v/>
      </c>
      <c r="AK56" s="1382" t="str">
        <f t="shared" si="425"/>
        <v/>
      </c>
      <c r="AL56" s="238" t="str">
        <f t="shared" si="435"/>
        <v/>
      </c>
      <c r="AM56" s="238" t="str">
        <f t="shared" si="436"/>
        <v/>
      </c>
      <c r="AN56" s="1374" t="str">
        <f t="shared" si="437"/>
        <v/>
      </c>
      <c r="AO56" s="238" t="str">
        <f t="shared" si="438"/>
        <v/>
      </c>
      <c r="AP56" s="342" t="str">
        <f>IF(A56=FALSE,"",INDEX(Rates!$Z$5:$Z$367,MATCH(EB56,colchoice,0)))</f>
        <v/>
      </c>
      <c r="AQ56" s="238" t="str">
        <f t="shared" si="439"/>
        <v/>
      </c>
      <c r="AR56" s="238" t="str">
        <f t="shared" si="440"/>
        <v/>
      </c>
      <c r="AS56" s="238" t="str">
        <f t="shared" si="441"/>
        <v/>
      </c>
      <c r="AT56" s="238" t="str">
        <f t="shared" si="442"/>
        <v/>
      </c>
      <c r="AU56" s="238" t="str">
        <f t="shared" si="443"/>
        <v/>
      </c>
      <c r="AV56" s="238" t="str">
        <f t="shared" si="429"/>
        <v/>
      </c>
      <c r="AW56" s="238" t="str">
        <f t="shared" si="444"/>
        <v/>
      </c>
      <c r="AX56" s="238" t="str">
        <f t="shared" si="445"/>
        <v/>
      </c>
      <c r="AY56" s="238" t="str">
        <f t="shared" si="446"/>
        <v/>
      </c>
      <c r="AZ56" s="238" t="str">
        <f t="shared" si="447"/>
        <v/>
      </c>
      <c r="BA56" s="238" t="str">
        <f t="shared" si="448"/>
        <v/>
      </c>
      <c r="BB56" s="552" t="str">
        <f t="shared" si="449"/>
        <v/>
      </c>
      <c r="BC56" s="347" t="str">
        <f t="shared" si="450"/>
        <v/>
      </c>
      <c r="BD56" s="239" t="str">
        <f t="shared" si="430"/>
        <v/>
      </c>
      <c r="BE56" s="239" t="str">
        <f>IF(A56=FALSE,"",IF(ALLTHESAME=TRUE,IF(DF56&lt;&gt;$BC$7,0,INDEX(DD56:DZ56,1,MATCH(Structure!$D$12,$DD$14:$DZ$14,0))),IF(EC56&lt;&gt;$BC$7,0,INDEX(EA56:EZ56,1,MATCH(Structure!$D$12,$EA$14:$EZ$14,0)))))</f>
        <v/>
      </c>
      <c r="BF56" s="239" t="str">
        <f>IF(A56=FALSE,"",IF(ALLTHESAME=TRUE,IF(FC56&lt;&gt;$BC$7,0,INDEX(FA56:FZ56,1,MATCH(Structure!$D$12,$FA$14:$FZ$14,0))),IF(GC56&lt;&gt;$BC$7,0,INDEX(GA56:GZ56,1,MATCH(Structure!$D$12,$GA$14:$GZ$14,0)))))</f>
        <v/>
      </c>
      <c r="BG56" s="239" t="str">
        <f>IF(A56=FALSE,"",IF(ALLTHESAME=TRUE,IF(VC56&lt;&gt;$BC$7,0,INDEX(VA56:VZ56,1,MATCH(Structure!$D$12,$VA$14:$VZ$14,0))),IF(VC56&lt;&gt;$BC$7,0,INDEX(VA56:VZ56,1,MATCH(Structure!$D$12,$VA$14:$VZ$14,0)))))</f>
        <v/>
      </c>
      <c r="BH56" s="239" t="str">
        <f>IF(A56=FALSE,"",IF(ALLTHESAME=TRUE,IF(WC56&lt;&gt;$BC$7,0,INDEX(WA56:WY56,1,MATCH(Structure!$D$12,$WA$14:$WZ$14,0))),IF(WC56&lt;&gt;$BC$7,0,INDEX(WA56:WZ56,1,MATCH(Structure!$D$12,$WA$14:$WZ$14,0)))))</f>
        <v/>
      </c>
      <c r="BI56" s="763" t="str">
        <f>IF(A56=FALSE,"",IF(ALLTHESAME=TRUE,IF(HC56&lt;&gt;$BC$7,0,INDEX(HA56:HZ56,1,MATCH(Structure!$D$12,$HA$14:$HZ$14,0)))+TK56,IF(IC56&lt;&gt;$BC$7,0,INDEX(IA56:IZ56,1,MATCH(Structure!$D$12,$IA$14:$IZ$14,0)))+TK56))</f>
        <v/>
      </c>
      <c r="BJ56" s="239" t="str">
        <f>IF(A56=FALSE,"",IF(ALLTHESAME=TRUE,IF(JC56&lt;&gt;$BC$7,0,INDEX(JA56:JZ56,1,MATCH(Structure!$D$12,$JA$14:$JZ$14,0))),IF(KC56&lt;&gt;$BC$7,0,INDEX(KA56:KZ56,1,MATCH(Structure!$D$12,$KA$14:$KZ$14,0)))))</f>
        <v/>
      </c>
      <c r="BK56" s="763" t="str">
        <f>IF(A56=FALSE,"",IF(ALLTHESAME=TRUE,IF(LC56&lt;&gt;$BC$7,0,INDEX(LA56:LZ56,1,MATCH(Structure!$D$12,$LA$14:$LZ$14,0)))+UK56,IF(MC56&lt;&gt;$BC$7,0,INDEX(MA56:MZ56,1,MATCH(Structure!$D$12,$MA$14:$MZ$14,0)))+UK56))</f>
        <v/>
      </c>
      <c r="BL56" s="239" t="str">
        <f>IF(A56=FALSE,"",IF(ALLTHESAME=TRUE,IF(NC56&lt;&gt;$BC$7,0,INDEX(NA56:NZ56,1,MATCH(Structure!$D$12,$NA$14:$NZ$14,0))),IF(OC56&lt;&gt;$BC$7,0,INDEX(OA56:OZ56,1,MATCH(Structure!$D$12,$OA$14:$OZ$14,0)))))</f>
        <v/>
      </c>
      <c r="BM56" s="239" t="str">
        <f>IF(A56=FALSE,"",IF(ALLTHESAME=TRUE,IF(PC56&lt;&gt;$BC$7,0,INDEX(PA56:PZ56,1,MATCH(Structure!$D$12,$PA$14:$PZ$14,0))),IF(QC56&lt;&gt;$BC$7,0,INDEX(QA56:QZ56,1,MATCH(Structure!$D$12,$QA$14:$QZ$14,0)))))</f>
        <v/>
      </c>
      <c r="BN56" s="341" t="str">
        <f>IF(A56=FALSE,"",IF(ALLTHESAME=TRUE,IF(RC56&lt;&gt;$BC$7,0,INDEX(RA56:RZ56,1,MATCH(Structure!$D$12,$RA$14:$RZ$14,0))),IF(SC56&lt;&gt;$BC$7,0,INDEX(SA56:TA56,1,MATCH(Structure!$D$12,$SA$14:$TA$14,0)))))</f>
        <v/>
      </c>
      <c r="BO56" s="507" t="str">
        <f t="shared" si="451"/>
        <v/>
      </c>
      <c r="BP56" s="239" t="str">
        <f t="shared" si="452"/>
        <v/>
      </c>
      <c r="BQ56" s="239" t="str">
        <f>IF(A56=FALSE,"",IF(ALLTHESAME=TRUE,IF(DF56&lt;&gt;$BO$7,0,INDEX(DD56:DZ56,1,MATCH(Structure!$D$12,$DD$14:$DZ$14,0))),IF(EC56&lt;&gt;$BO$7,0,INDEX(EA56:EZ56,1,MATCH(Structure!$D$12,$EA$14:$EZ$14,0)))))</f>
        <v/>
      </c>
      <c r="BR56" s="239" t="str">
        <f>IF(A56=FALSE,"",IF(ALLTHESAME=TRUE,IF(FC56&lt;&gt;$BO$7,0,INDEX(FA56:FZ56,1,MATCH(Structure!$D$12,$FA$14:$FZ$14,0))),IF(GC56&lt;&gt;$BO$7,0,INDEX(GA56:GZ56,1,MATCH(Structure!$D$12,$GA$14:$GZ$14,0)))))</f>
        <v/>
      </c>
      <c r="BS56" s="239" t="str">
        <f>IF(A56=FALSE,"",IF(ALLTHESAME=TRUE,IF(HC56&lt;&gt;$BO$7,0,INDEX(HA56:HZ56,1,MATCH(Structure!$D$12,$HA$14:$HZ$14,0))),IF(IC56&lt;&gt;$BO$7,0,INDEX(IA56:IZ56,1,MATCH(Structure!$D$12,$IA$14:$IZ$14,0)))))</f>
        <v/>
      </c>
      <c r="BT56" s="239" t="str">
        <f>IF(A56=FALSE,"",IF(ALLTHESAME=TRUE,IF(JC56&lt;&gt;$BO$7,0,INDEX(JA56:JZ56,1,MATCH(Structure!$D$12,$JA$14:$JZ$14,0))),IF(KC56&lt;&gt;$BO$7,0,INDEX(KA56:KZ56,1,MATCH(Structure!$D$12,$KA$14:$KZ$14,0)))))</f>
        <v/>
      </c>
      <c r="BU56" s="239" t="str">
        <f>IF(A56=FALSE,"",IF(ALLTHESAME=TRUE,IF(LC56&lt;&gt;$BO$7,0,INDEX(LA56:LZ56,1,MATCH(Structure!$D$12,$LA$14:$LZ$14,0))),IF(MC56&lt;&gt;$BO$7,0,INDEX(MA56:MZ56,1,MATCH(Structure!$D$12,$MA$14:$MZ$14,0)))))</f>
        <v/>
      </c>
      <c r="BV56" s="239" t="str">
        <f>IF(A56=FALSE,"",IF(ALLTHESAME=TRUE,IF(NC56&lt;&gt;$BO$7,0,INDEX(NA56:NZ56,1,MATCH(Structure!$D$12,$NA$14:$NZ$14,0))),IF(OC56&lt;&gt;$BO$7,0,INDEX(OA56:OZ56,1,MATCH(Structure!$D$12,$OA$14:$OZ$14,0)))))</f>
        <v/>
      </c>
      <c r="BW56" s="239" t="str">
        <f>IF(A56=FALSE,"",IF(ALLTHESAME=TRUE,IF(PC56&lt;&gt;$BO$7,0,INDEX(PA56:PZ56,1,MATCH(Structure!$D$12,$PA$14:$PZ$14,0))),IF(QC56&lt;&gt;$BO$7,0,INDEX(QA56:QZ56,1,MATCH(Structure!$D$12,$QA$14:$QZ$14,0)))))</f>
        <v/>
      </c>
      <c r="BX56" s="341" t="str">
        <f>IF(A56=FALSE,"",IF(ALLTHESAME=TRUE,IF(RC56&lt;&gt;$BO$7,0,INDEX(RA56:RZ56,1,MATCH(Structure!$D$12,$RA$14:$RZ$14,0))),IF(SC56&lt;&gt;$BO$7,0,INDEX(SA56:TA56,1,MATCH(Structure!$D$12,$SA$14:$TA$14,0)))))</f>
        <v/>
      </c>
      <c r="BY56" s="347" t="str">
        <f t="shared" si="453"/>
        <v/>
      </c>
      <c r="BZ56" s="507" t="str">
        <f t="shared" si="454"/>
        <v/>
      </c>
      <c r="CA56" s="239" t="str">
        <f t="shared" si="455"/>
        <v/>
      </c>
      <c r="CB56" s="239" t="str">
        <f>IF(A56=FALSE,"",IF(ALLTHESAME=TRUE,INDEX(DD56:DZ56,MATCH(DF56,DF56:DF161,0),MATCH(Structure!$D$17,$DD$14:$DZ$14,0)),INDEX(EA56:EZ56,MATCH(EC56,EC56:EC161,0),MATCH(Structure!$D$17,$EA$14:$EZ$14,0))))</f>
        <v/>
      </c>
      <c r="CC56" s="239" t="str">
        <f>IF(A56=FALSE,"",IF(ALLTHESAME=TRUE,INDEX(FA56:FZ56,MATCH(FC56,FC56:FC161,0),MATCH(Structure!$D$17,$FA$14:$FZ$14,0)),INDEX(GA56:GZ56,MATCH(GC56,GC56:GC161,0),MATCH(Structure!$D$17,$GA$14:$GZ$14,0))))</f>
        <v/>
      </c>
      <c r="CD56" s="239" t="str">
        <f>IF(A56=FALSE,"",IF(ALLTHESAME=TRUE,INDEX(HA56:HZ56,MATCH(HC56,HC56:HC161,0),MATCH(Structure!$D$17,$HA$14:$HZ$14,0)),INDEX(IA56:IZ56,MATCH(IC56,IC56:IC161,0),MATCH(Structure!$D$17,$IA$14:$IZ$14,0))))</f>
        <v/>
      </c>
      <c r="CE56" s="239" t="str">
        <f>IF(A56=FALSE,"",IF(ALLTHESAME=TRUE,INDEX(JA56:JZ56,MATCH(JC56,JC56:JC161,0),MATCH(Structure!$D$17,$JA$14:$JZ$14,0)),INDEX(KA56:KZ56,MATCH(KC56,KC56:KC161,0),MATCH(Structure!$D$17,$KA$14:$KZ$14,0))))</f>
        <v/>
      </c>
      <c r="CF56" s="239" t="str">
        <f>IF(A56=FALSE,"",IF(ALLTHESAME=TRUE,INDEX(LA56:LZ56,MATCH(LC56,LC56:LC161,0),MATCH(Structure!$D$17,$LA$14:$LZ$14,0)),INDEX(MA56:MZ56,MATCH(MC56,MC56:MC161,0),MATCH(Structure!$D$17,$MA$14:$MZ$14,0))))</f>
        <v/>
      </c>
      <c r="CG56" s="239" t="str">
        <f>IF(A56=FALSE,"",IF(ALLTHESAME=TRUE,INDEX(NA56:NZ56,MATCH(NC56,NC56:NC161,0),MATCH(Structure!$D$17,$NA$14:$NZ$14,0)),INDEX(OA56:OZ56,MATCH(OC56,OC56:OC161,0),MATCH(Structure!$D$17,$OA$14:$OZ$14,0))))</f>
        <v/>
      </c>
      <c r="CH56" s="239" t="str">
        <f>IF(A56=FALSE,"",IF(ALLTHESAME=TRUE,INDEX(PA56:PZ56,MATCH(PC56,PC56:PC161,0),MATCH(Structure!$D$17,$PA$14:$PZ$14,0)),INDEX(QA56:QZ56,MATCH(QC56,QC56:QC161,0),MATCH(Structure!$D$17,$QA$14:$QZ$14,0))))</f>
        <v/>
      </c>
      <c r="CI56" s="341" t="str">
        <f>IF(A56=FALSE,"",IF(ALLTHESAME=TRUE,INDEX(RA56:RZ56,MATCH(RC56,RC56:RC161,0),MATCH(Structure!$D$17,$RA$14:$RZ$14,0)),INDEX(SA56:TC56,MATCH(SC56,SC56:SC161,0),MATCH(Structure!$D$17,$SA$14:$TC$14,0))))</f>
        <v/>
      </c>
      <c r="CJ56" s="347"/>
      <c r="CK56" s="239" t="str">
        <f t="shared" si="456"/>
        <v/>
      </c>
      <c r="CL56" s="239" t="str">
        <f>IF(A56=FALSE,"",IF(ALLTHESAME=TRUE,INDEX(DD56:DZ56,MATCH(DF56,DF56:DF161,0),MATCH(Structure!$D$22,$DD$14:$DZ$14,0)),INDEX(EA56:EZ56,MATCH(EC56,EC56:EC161,0),MATCH(Structure!$D$22,$EA$14:$EZ$14,0))))</f>
        <v/>
      </c>
      <c r="CM56" s="239" t="str">
        <f>IF(A56=FALSE,"",IF(ALLTHESAME=TRUE,INDEX(FA56:FZ56,MATCH(FC56,FC56:FC161,0),MATCH(Structure!$D$22,$FA$14:$FZ$14,0)),INDEX(GA56:GZ56,MATCH(GC56,GC56:GC161,0),MATCH(Structure!$D$22,$GA$14:$GZ$14,0))))</f>
        <v/>
      </c>
      <c r="CN56" s="239" t="str">
        <f>IF(A56=FALSE,"",IF(ALLTHESAME=TRUE,INDEX(HA56:HZ56,MATCH(HC56,HC56:HC161,0),MATCH(Structure!$D$22,$HA$14:$HZ$14,0)),INDEX(IA56:IZ56,MATCH(IC56,IC56:IC161,0),MATCH(Structure!$D$22,$IA$14:$IZ$14,0))))</f>
        <v/>
      </c>
      <c r="CO56" s="239" t="str">
        <f>IF(A56=FALSE,"",IF(ALLTHESAME=TRUE,INDEX(JA56:JZ56,MATCH(JC56,JC56:JC161,0),MATCH(Structure!$D$22,$JA$14:$JZ$14,0)),INDEX(KA56:KZ56,MATCH(KC56,KC56:KC161,0),MATCH(Structure!$D$22,$KA$14:$KZ$14,0))))</f>
        <v/>
      </c>
      <c r="CP56" s="239" t="str">
        <f>IF(A56=FALSE,"",IF(ALLTHESAME=TRUE,INDEX(LA56:LZ56,MATCH(LC56,LC56:LC161,0),MATCH(Structure!$D$22,$LA$14:$LZ$14,0)),INDEX(MA56:MZ56,MATCH(MC56,MC56:MC161,0),MATCH(Structure!$D$22,$MA$14:$MZ$14,0))))</f>
        <v/>
      </c>
      <c r="CQ56" s="239" t="str">
        <f>IF(A56=FALSE,"",IF(ALLTHESAME=TRUE,INDEX(NA56:NZ56,MATCH(NC56,NC56:NC161,0),MATCH(Structure!$D$22,$NA$14:$NZ$14,0)),INDEX(OA56:OZ56,MATCH(OC56,OC56:OC161,0),MATCH(Structure!$D$22,$OA$14:$OZ$14,0))))</f>
        <v/>
      </c>
      <c r="CR56" s="239" t="str">
        <f>IF(A56=FALSE,"",IF(ALLTHESAME=TRUE,INDEX(PA56:PZ56,MATCH(PC56,PC56:PC161,0),MATCH(Structure!$D$22,$PA$14:$PZ$14,0)),INDEX(QA56:QZ56,MATCH(QC56,QC56:QC161,0),MATCH(Structure!$D$22,$QA$14:$QZ$14,0))))</f>
        <v/>
      </c>
      <c r="CS56" s="341" t="str">
        <f>IF(A56=FALSE,"",IF(ALLTHESAME=TRUE,INDEX(RA56:RZ56,MATCH(RC56,RC56:RC161,0),MATCH(Structure!$D$22,$RA$14:$RZ$14,0)),INDEX(SA56:TC56,MATCH(SC56,SC56:SC161,0),MATCH(Structure!$D$22,$SA$14:$TC$14,0))))</f>
        <v/>
      </c>
      <c r="CT56" s="347"/>
      <c r="CU56" s="239" t="str">
        <f t="shared" si="457"/>
        <v/>
      </c>
      <c r="CV56" s="239" t="str">
        <f>IF(A56=FALSE,"",IF(ALLTHESAME=TRUE,INDEX(DD56:DZ56,MATCH(DF56,DF56:DF161,0),MATCH(Structure!$D$8,$DD$14:$DZ$14,0)),INDEX(EA56:EZ56,MATCH(EC56,EC56:EC161,0),MATCH(Structure!$D$8,$EA$14:$EZ$14,0))))</f>
        <v/>
      </c>
      <c r="CW56" s="239" t="str">
        <f>IF(A56=FALSE,"",IF(ALLTHESAME=TRUE,INDEX(FA56:FZ56,MATCH(FC56,FC56:FC161,0),MATCH(Structure!$D$8,$FA$14:$FZ$14,0)),INDEX(GA56:GZ56,MATCH(GC56,GC56:GC161,0),MATCH(Structure!$D$8,$GA$14:$GZ$14,0))))</f>
        <v/>
      </c>
      <c r="CX56" s="239" t="str">
        <f>IF(A56=FALSE,"",IF(ALLTHESAME=TRUE,INDEX(HA56:HZ56,MATCH(HC56,HC56:HC161,0),MATCH(Structure!$D$8,$HA$14:$HZ$14,0)),INDEX(IA56:IZ56,MATCH(IC56,IC56:IC161,0),MATCH(Structure!$D$8,$IA$14:$IZ$14,0))))</f>
        <v/>
      </c>
      <c r="CY56" s="239" t="str">
        <f>IF(A56=FALSE,"",IF(ALLTHESAME=TRUE,INDEX(JA56:JZ56,MATCH(JC56,JC56:JC161,0),MATCH(Structure!$D$8,$JA$14:$JZ$14,0)),INDEX(KA56:KZ56,MATCH(KC56,KC56:KC161,0),MATCH(Structure!$D$8,$KA$14:$KZ$14,0))))</f>
        <v/>
      </c>
      <c r="CZ56" s="239" t="str">
        <f>IF(A56=FALSE,"",IF(ALLTHESAME=TRUE,INDEX(LA56:LZ56,MATCH(LC56,LC56:LC161,0),MATCH(Structure!$D$8,$LA$14:$LZ$14,0)),INDEX(MA56:MZ56,MATCH(MC56,MC56:MC161,0),MATCH(Structure!$D$8,$MA$14:$MZ$14,0))))</f>
        <v/>
      </c>
      <c r="DA56" s="239" t="str">
        <f>IF(A56=FALSE,"",IF(ALLTHESAME=TRUE,INDEX(NA56:NZ56,MATCH(NC56,NC56:NC161,0),MATCH(Structure!$D$8,$NA$14:$NZ$14,0)),INDEX(OA56:OZ56,MATCH(OC56,OC56:OC161,0),MATCH(Structure!$D$8,$OA$14:$OZ$14,0))))</f>
        <v/>
      </c>
      <c r="DB56" s="239" t="str">
        <f>IF(A56=FALSE,"",IF(ALLTHESAME=TRUE,INDEX(PA56:PZ56,MATCH(PC56,PC56:PC161,0),MATCH(Structure!$D$8,$PA$14:$PZ$14,0)),INDEX(QA56:QZ56,MATCH(QC56,QC56:QC161,0),MATCH(Structure!$D$8,$QA$14:$QZ$14,0))))</f>
        <v/>
      </c>
      <c r="DC56" s="341" t="str">
        <f>IF(A56=FALSE,"",IF(ALLTHESAME=TRUE,INDEX(RA56:RZ56,MATCH(RC56,RC56:RC161,0),MATCH(Structure!$D$8,$RA$14:$RZ$14,0)),INDEX(SA56:TC56,MATCH(SC56,SC56:SC161,0),MATCH(Structure!$D$8,$SA$14:$TC$14,0))))</f>
        <v/>
      </c>
      <c r="DD56" s="492" t="str">
        <f>IF(A56=FALSE,"",Cotations!D56)</f>
        <v/>
      </c>
      <c r="DE56" s="492" t="str">
        <f>IF(A56=FALSE,"",IF(LISTES!$A$17=1,Cotations!AF56,Cotations!$AG$4))</f>
        <v/>
      </c>
      <c r="DF56" s="291" t="str">
        <f t="shared" si="458"/>
        <v/>
      </c>
      <c r="DG56" s="291" t="str">
        <f t="shared" si="459"/>
        <v/>
      </c>
      <c r="DH56" s="291"/>
      <c r="DI56" s="463"/>
      <c r="DJ56" s="463" t="str">
        <f t="shared" si="460"/>
        <v/>
      </c>
      <c r="DK56" s="522" t="str">
        <f>IF(A56=FALSE,"",IF(Cotations!$AH$4="monthly",DJ56/12*L56,DJ56/365*M56))</f>
        <v/>
      </c>
      <c r="DL56" s="489" t="str">
        <f>IF(A56=FALSE,"",Cotations!$AI$4)</f>
        <v/>
      </c>
      <c r="DM56" s="300" t="str">
        <f t="shared" si="461"/>
        <v/>
      </c>
      <c r="DN56" s="300" t="str">
        <f t="shared" si="462"/>
        <v/>
      </c>
      <c r="DO56" s="294" t="str">
        <f t="shared" si="463"/>
        <v/>
      </c>
      <c r="DP56" s="494" t="str">
        <f>IF(A56=FALSE,"",Cotations!$AJ$4)</f>
        <v/>
      </c>
      <c r="DQ56" s="494" t="str">
        <f>IF(A56=FALSE,"",Cotations!$AK$4)</f>
        <v/>
      </c>
      <c r="DR56" s="489" t="str">
        <f>IF(A56=FALSE,"",Cotations!$AL$4)</f>
        <v/>
      </c>
      <c r="DS56" s="494" t="str">
        <f>IF(A56=FALSE,"",IF(DP56="N/A",0,IF(INDEX(LISTES!$F$105:$F$109,MATCH(DP56,LISTES!$C$105:$C$109,0))="FIX",IF(INDEX(LISTES!$E$105:$E$109,MATCH(DP56,LISTES!$C$105:$C$109,0))=12,DQ56/12*L56,DQ56/365*M56),DR56*DO56)))</f>
        <v/>
      </c>
      <c r="DT56" s="294" t="str">
        <f t="shared" si="464"/>
        <v/>
      </c>
      <c r="DU56" s="294" t="str">
        <f>IF(A56=FALSE,"",DT56*Cotations!$AM$4)</f>
        <v/>
      </c>
      <c r="DV56" s="294" t="str">
        <f>IF(A56=FALSE,"",DT56*Cotations!$AN$4)</f>
        <v/>
      </c>
      <c r="DW56" s="465" t="str">
        <f t="shared" si="465"/>
        <v/>
      </c>
      <c r="DX56" s="919" t="str">
        <f>IF(A56=FALSE,"",((DJ56*TAXE)-(DJ56*TAXE*DL56))+IF(DP56="N/A",0,IF(INDEX(LISTES!$F$105:$F$109,MATCH(DP56,LISTES!$C$105:$C$109,0))="FIX",DQ56,DR56*DO56)))</f>
        <v/>
      </c>
      <c r="DY56" s="466"/>
      <c r="DZ56" s="466"/>
      <c r="EA56" s="492" t="str">
        <f>IF(A56=FALSE,"",Cotations!D56)</f>
        <v/>
      </c>
      <c r="EB56" s="494" t="str">
        <f>IF(A56=FALSE,"",IF(LISTES!$A$17=1,Cotations!AF56,Cotations!AG56))</f>
        <v/>
      </c>
      <c r="EC56" s="284" t="str">
        <f t="shared" si="466"/>
        <v/>
      </c>
      <c r="ED56" s="284" t="str">
        <f t="shared" si="467"/>
        <v/>
      </c>
      <c r="EE56" s="284"/>
      <c r="EF56" s="284"/>
      <c r="EG56" s="284" t="str">
        <f t="shared" si="468"/>
        <v/>
      </c>
      <c r="EH56" s="1365" t="str">
        <f t="shared" si="469"/>
        <v/>
      </c>
      <c r="EI56" s="1365" t="str">
        <f t="shared" si="470"/>
        <v/>
      </c>
      <c r="EJ56" s="515" t="str">
        <f>IF(A56=FALSE,"",IF(Cotations!AH56="monthly",EG56/12*L56,EG56/365*M56))</f>
        <v/>
      </c>
      <c r="EK56" s="1364" t="str">
        <f>IF(A56=FALSE,"",IF(Cotations!AH56="monthly",EI56/12*L56,EI56/365*M56))</f>
        <v/>
      </c>
      <c r="EL56" s="493" t="str">
        <f>IF(A56=FALSE,"",IF(Cotations!AI56="","",Cotations!AI56))</f>
        <v/>
      </c>
      <c r="EM56" s="284" t="str">
        <f t="shared" si="471"/>
        <v/>
      </c>
      <c r="EN56" s="284" t="str">
        <f t="shared" si="472"/>
        <v/>
      </c>
      <c r="EO56" s="1365" t="str">
        <f t="shared" si="432"/>
        <v/>
      </c>
      <c r="EP56" s="284" t="str">
        <f t="shared" si="473"/>
        <v/>
      </c>
      <c r="EQ56" s="515" t="str">
        <f>IF(A56=FALSE,"",Cotations!AJ56)</f>
        <v/>
      </c>
      <c r="ER56" s="515" t="str">
        <f>IF(A56=FALSE,"",IF(Cotations!AK56="","",Cotations!AK56))</f>
        <v/>
      </c>
      <c r="ES56" s="493" t="str">
        <f>IF(A56=FALSE,"",Cotations!AL56)</f>
        <v/>
      </c>
      <c r="ET56" s="515" t="str">
        <f>IF(A56=FALSE,"",IF(EQ56="N/A",0,IF(INDEX(LISTES!$F$105:$F$109,MATCH(EQ56,LISTES!$C$105:$C$109,0))="FIX",IF(INDEX(LISTES!$E$105:$E$109,MATCH(EQ56,LISTES!$C$105:$C$109,0))=12,ER56/12*L56,ER56/365*M56),ES56*EP56)))</f>
        <v/>
      </c>
      <c r="EU56" s="294" t="str">
        <f t="shared" si="474"/>
        <v/>
      </c>
      <c r="EV56" s="494" t="str">
        <f>IF(A56=FALSE,"",EU56*Cotations!AM56)</f>
        <v/>
      </c>
      <c r="EW56" s="494" t="str">
        <f>IF(A56=FALSE,"",EU56*Cotations!AN56)</f>
        <v/>
      </c>
      <c r="EX56" s="334" t="str">
        <f t="shared" si="475"/>
        <v/>
      </c>
      <c r="EY56" s="919" t="str">
        <f>IF(A56=FALSE,"",((EG56*TAXE)-(EG56*TAXE*EL56)+EH56)+IF(EQ56="N/A",0,IF(INDEX(LISTES!$F$105:$F$109,MATCH(EQ56,LISTES!$C$105:$C$109,0))="FIX",ER56,ES56*EP56)))</f>
        <v/>
      </c>
      <c r="EZ56" s="391"/>
      <c r="FA56" s="492" t="str">
        <f>IF(A56=FALSE,"",Cotations!D56)</f>
        <v/>
      </c>
      <c r="FB56" s="519" t="str">
        <f>IF(A56=FALSE,"",IF(LISTES!$A$17=1,Cotations!AO56,Cotations!$AP$4))</f>
        <v/>
      </c>
      <c r="FC56" s="291" t="str">
        <f t="shared" si="476"/>
        <v/>
      </c>
      <c r="FD56" s="291" t="str">
        <f t="shared" si="477"/>
        <v/>
      </c>
      <c r="FE56" s="291"/>
      <c r="FF56" s="463"/>
      <c r="FG56" s="463" t="str">
        <f t="shared" si="478"/>
        <v/>
      </c>
      <c r="FH56" s="522" t="str">
        <f>IF(A56=FALSE,"",IF(Cotations!$AQ$4="monthly",FG56/12*L56,FG56/365*M56))</f>
        <v/>
      </c>
      <c r="FI56" s="453" t="str">
        <f>IF(A56=FALSE,"",Cotations!$AR$4)</f>
        <v/>
      </c>
      <c r="FJ56" s="300" t="str">
        <f t="shared" si="479"/>
        <v/>
      </c>
      <c r="FK56" s="300" t="str">
        <f t="shared" si="480"/>
        <v/>
      </c>
      <c r="FL56" s="294" t="str">
        <f t="shared" si="481"/>
        <v/>
      </c>
      <c r="FM56" s="494" t="str">
        <f>IF(A56=FALSE,"",Cotations!$AS$4)</f>
        <v/>
      </c>
      <c r="FN56" s="494" t="str">
        <f>IF(A56=FALSE,"",Cotations!$AT$4)</f>
        <v/>
      </c>
      <c r="FO56" s="489" t="str">
        <f>IF(A56=FALSE,"",Cotations!$AU$4)</f>
        <v/>
      </c>
      <c r="FP56" s="494" t="str">
        <f>IF(A56=FALSE,"",IF(FM56="N/A",0,IF(INDEX(LISTES!$F$105:$F$109,MATCH(FM56,LISTES!$C$105:$C$109,0))="FIX",IF(INDEX(LISTES!$E$105:$E$109,MATCH(FM56,LISTES!$C$105:$C$109,0))=12,FN56/12*L56,FN56/365*M56),FO56*FL56)))</f>
        <v/>
      </c>
      <c r="FQ56" s="294" t="str">
        <f t="shared" si="482"/>
        <v/>
      </c>
      <c r="FR56" s="494" t="str">
        <f>IF(A56=FALSE,"",FQ56*Cotations!$AV$4)</f>
        <v/>
      </c>
      <c r="FS56" s="494" t="str">
        <f>IF(A56=FALSE,"",FQ56*Cotations!$AW$4)</f>
        <v/>
      </c>
      <c r="FT56" s="465" t="str">
        <f t="shared" si="483"/>
        <v/>
      </c>
      <c r="FU56" s="919" t="str">
        <f>IF(A56=FALSE,"",((FG56*TAXE)-(FG56*TAXE*FI56))+IF(FM56="N/A",0,IF(INDEX(LISTES!$F$105:$F$109,MATCH(FM56,LISTES!$C$105:$C$109,0))="FIX",FN56,FO56*FL56)))</f>
        <v/>
      </c>
      <c r="FV56" s="478"/>
      <c r="FW56" s="478"/>
      <c r="FX56" s="478"/>
      <c r="FY56" s="478"/>
      <c r="FZ56" s="478"/>
      <c r="GA56" s="492" t="str">
        <f>IF(A56=FALSE,"",Cotations!D56)</f>
        <v/>
      </c>
      <c r="GB56" s="494" t="str">
        <f>IF(A56=FALSE,"",IF(LISTES!$A$17=1,Cotations!AO56,Cotations!AP56))</f>
        <v/>
      </c>
      <c r="GC56" s="284" t="str">
        <f t="shared" si="484"/>
        <v/>
      </c>
      <c r="GD56" s="515" t="str">
        <f>IF(A56=FALSE,"",IF(Detail!AM56="","",Detail!AM56))</f>
        <v/>
      </c>
      <c r="GE56" s="284"/>
      <c r="GF56" s="284"/>
      <c r="GG56" s="284" t="str">
        <f t="shared" si="485"/>
        <v/>
      </c>
      <c r="GH56" s="515" t="str">
        <f>IF(A56=FALSE,"",IF(Cotations!AQ56="monthly",GG56/12*L56,GG56/365*M56))</f>
        <v/>
      </c>
      <c r="GI56" s="493" t="str">
        <f>IF(A56=FALSE,"",IF(Cotations!AR56="","",Cotations!AR56))</f>
        <v/>
      </c>
      <c r="GJ56" s="284" t="str">
        <f t="shared" si="486"/>
        <v/>
      </c>
      <c r="GK56" s="284" t="str">
        <f t="shared" si="487"/>
        <v/>
      </c>
      <c r="GL56" s="284" t="str">
        <f t="shared" si="488"/>
        <v/>
      </c>
      <c r="GM56" s="515" t="str">
        <f>IF(A56=FALSE,"",Cotations!AS56)</f>
        <v/>
      </c>
      <c r="GN56" s="515" t="str">
        <f>IF(A56=FALSE,"",Cotations!AT56)</f>
        <v/>
      </c>
      <c r="GO56" s="493" t="str">
        <f>IF(A56=FALSE,"",Cotations!AU56)</f>
        <v/>
      </c>
      <c r="GP56" s="515" t="str">
        <f>IF(A56=FALSE,"",IF(GM56="N/A",0,IF(INDEX(LISTES!$F$105:$F$109,MATCH(GM56,LISTES!$C$105:$C$109,0))="FIX",IF(INDEX(LISTES!$E$105:$E$109,MATCH(GM56,LISTES!$C$105:$C$109,0))=12,GN56/12*L56,GN56/365*M56),GO56*GL56)))</f>
        <v/>
      </c>
      <c r="GQ56" s="294" t="str">
        <f t="shared" si="489"/>
        <v/>
      </c>
      <c r="GR56" s="494" t="str">
        <f>IF(A56=FALSE,"",GQ56*Cotations!AV56)</f>
        <v/>
      </c>
      <c r="GS56" s="494" t="str">
        <f>IF(A56=FALSE,"",GQ56*Cotations!AW56)</f>
        <v/>
      </c>
      <c r="GT56" s="334" t="str">
        <f t="shared" si="490"/>
        <v/>
      </c>
      <c r="GU56" s="919" t="str">
        <f>IF(A56=FALSE,"",((GG56*TAXE)-(GG56*TAXE*GI56))+IF(GM56="N/A",0,IF(INDEX(LISTES!$F$105:$F$109,MATCH(GM56,LISTES!$C$105:$C$109,0))="FIX",GN56,GO56*GL56)))</f>
        <v/>
      </c>
      <c r="GV56" s="478"/>
      <c r="GW56" s="466"/>
      <c r="GX56" s="466"/>
      <c r="GY56" s="466"/>
      <c r="GZ56" s="466"/>
      <c r="HA56" s="492" t="str">
        <f>IF(A56=FALSE,"",Cotations!D56)</f>
        <v/>
      </c>
      <c r="HB56" s="495" t="str">
        <f>IF(A56=FALSE,"",IF(LISTES!$A$17=1,Cotations!AX56,Cotations!$AY$4))</f>
        <v/>
      </c>
      <c r="HC56" s="291" t="str">
        <f t="shared" si="491"/>
        <v/>
      </c>
      <c r="HD56" s="291" t="str">
        <f t="shared" si="492"/>
        <v/>
      </c>
      <c r="HE56" s="456" t="str">
        <f t="shared" si="493"/>
        <v/>
      </c>
      <c r="HF56" s="496" t="str">
        <f>IF(A56=FALSE,"",IF(HA56="POEA",Cotations!BA56,IF(HA56="FIXE",Cotations!$BA$4,Cotations!$BC$4*Y56)))</f>
        <v/>
      </c>
      <c r="HG56" s="300" t="str">
        <f t="shared" si="494"/>
        <v/>
      </c>
      <c r="HH56" s="522" t="str">
        <f>IF(A56=FALSE,"",IF(Cotations!$AZ$4="monthly",HG56/12*L56,HG56/365*M56))</f>
        <v/>
      </c>
      <c r="HI56" s="489" t="str">
        <f>IF(A56=FALSE,"",Cotations!$BD$4)</f>
        <v/>
      </c>
      <c r="HJ56" s="300" t="str">
        <f t="shared" si="495"/>
        <v/>
      </c>
      <c r="HK56" s="300" t="str">
        <f t="shared" si="496"/>
        <v/>
      </c>
      <c r="HL56" s="294" t="str">
        <f t="shared" si="497"/>
        <v/>
      </c>
      <c r="HM56" s="494" t="str">
        <f>IF(A56=FALSE,"",Cotations!$BE$4)</f>
        <v/>
      </c>
      <c r="HN56" s="522" t="str">
        <f>IF(A56=FALSE,"",Cotations!$BF$4)</f>
        <v/>
      </c>
      <c r="HO56" s="489" t="str">
        <f>IF(A56=FALSE,"",Cotations!$BG$4)</f>
        <v/>
      </c>
      <c r="HP56" s="494" t="str">
        <f>IF(A56=FALSE,"",IF(HM56="N/A",0,IF(INDEX(LISTES!$F$105:$F$109,MATCH(HM56,LISTES!$C$105:$C$109,0))="FIX",IF(INDEX(LISTES!$E$105:$E$109,MATCH(HM56,LISTES!$C$105:$C$109,0))=12,HN56/12*L56,HN56/365*M56),HO56*HL56)))</f>
        <v/>
      </c>
      <c r="HQ56" s="294" t="str">
        <f t="shared" si="498"/>
        <v/>
      </c>
      <c r="HR56" s="494" t="str">
        <f>IF(A56=FALSE,"",HQ56*Cotations!$BH$4)</f>
        <v/>
      </c>
      <c r="HS56" s="494" t="str">
        <f>IF(A56=FALSE,"",HQ56*Cotations!$BI$4)</f>
        <v/>
      </c>
      <c r="HT56" s="294" t="str">
        <f t="shared" si="499"/>
        <v/>
      </c>
      <c r="HU56" s="919" t="str">
        <f>IF(A56=FALSE,"",((HG56*TAXE)-(HG56*TAXE*HI56))+IF(HM56="N/A",0,IF(INDEX(LISTES!$F$105:$F$109,MATCH(HM56,LISTES!$C$105:$C$109,0))="FIX",HN56,HO56*HL56)))</f>
        <v/>
      </c>
      <c r="HV56" s="391"/>
      <c r="HW56" s="391"/>
      <c r="HX56" s="391"/>
      <c r="HY56" s="391"/>
      <c r="HZ56" s="391"/>
      <c r="IA56" s="492" t="str">
        <f>IF(A56=FALSE,"",Cotations!D56)</f>
        <v/>
      </c>
      <c r="IB56" s="491" t="str">
        <f>IF(A56=FALSE,"",IF(LISTES!$A$17=1,Cotations!AX56,Cotations!AY56))</f>
        <v/>
      </c>
      <c r="IC56" s="285" t="str">
        <f t="shared" si="500"/>
        <v/>
      </c>
      <c r="ID56" s="300" t="str">
        <f>IF(A56=FALSE,"",IF(LISTES!$A$17=3,Detail!AU56,lig1_Formula_PREVOY))</f>
        <v/>
      </c>
      <c r="IE56" s="461" t="str">
        <f t="shared" si="501"/>
        <v/>
      </c>
      <c r="IF56" s="490" t="str">
        <f>IF(A56=FALSE,"",IF(IA56="POEA",Cotations!BA56,IF(HA56="FIXE",Cotations!BB56,IF(Cotations!BC56*Y56&lt;50000,Z56,Cotations!BC56*Y56))))</f>
        <v/>
      </c>
      <c r="IG56" s="300" t="str">
        <f t="shared" si="502"/>
        <v/>
      </c>
      <c r="IH56" s="522" t="str">
        <f>IF(A56=FALSE,"",IF(Cotations!AZ56="monthly",IG56/12*L56,IG56/365*M56))</f>
        <v/>
      </c>
      <c r="II56" s="489" t="str">
        <f>IF(A56=FALSE,"",IF(Cotations!BD56="","",Cotations!BD56))</f>
        <v/>
      </c>
      <c r="IJ56" s="300" t="str">
        <f t="shared" si="503"/>
        <v/>
      </c>
      <c r="IK56" s="300" t="str">
        <f t="shared" si="504"/>
        <v/>
      </c>
      <c r="IL56" s="919" t="str">
        <f t="shared" si="505"/>
        <v/>
      </c>
      <c r="IM56" s="517" t="str">
        <f>IF(A56=FALSE,"",Cotations!BE56)</f>
        <v/>
      </c>
      <c r="IN56" s="517" t="str">
        <f>IF(A56=FALSE,"",Cotations!BF56)</f>
        <v/>
      </c>
      <c r="IO56" s="493" t="str">
        <f>IF(A56=FALSE,"",Cotations!BG56)</f>
        <v/>
      </c>
      <c r="IP56" s="517" t="str">
        <f>IF(A56=FALSE,"",IF(IM56="N/A",0,IF(INDEX(LISTES!$F$105:$F$109,MATCH(IM56,LISTES!$C$105:$C$109,0))="FIX",IF(INDEX(LISTES!$E$105:$E$109,MATCH(IM56,LISTES!$C$105:$C$109,0))=12,IN56/12*L56,IN56/365*M56),IO56*IL56)))</f>
        <v/>
      </c>
      <c r="IQ56" s="294" t="str">
        <f t="shared" si="506"/>
        <v/>
      </c>
      <c r="IR56" s="494" t="str">
        <f>IF(A56=FALSE,"",IQ56*Cotations!BH56)</f>
        <v/>
      </c>
      <c r="IS56" s="494" t="str">
        <f>IF(A56=FALSE,"",IQ56*Cotations!BI56)</f>
        <v/>
      </c>
      <c r="IT56" s="338" t="str">
        <f t="shared" si="507"/>
        <v/>
      </c>
      <c r="IU56" s="919" t="str">
        <f>IF(A56=FALSE,"",((IG56*TAXE)-(IG56*TAXE*II56))+IF(IM56="N/A",0,IF(INDEX(LISTES!$F$105:$F$109,MATCH(IM56,LISTES!$C$105:$C$109,0))="FIX",IN56,IO56*IL56)))</f>
        <v/>
      </c>
      <c r="IV56" s="422"/>
      <c r="IY56" s="391"/>
      <c r="JA56" s="492" t="str">
        <f>IF(A56=FALSE,"",Cotations!D56)</f>
        <v/>
      </c>
      <c r="JB56" s="495" t="str">
        <f>IF(A56=FALSE,"",IF(LISTES!$A$17=1,Cotations!BJ56,Cotations!$BK$4))</f>
        <v/>
      </c>
      <c r="JC56" s="291" t="str">
        <f t="shared" si="508"/>
        <v/>
      </c>
      <c r="JD56" s="291" t="str">
        <f t="shared" si="509"/>
        <v/>
      </c>
      <c r="JE56" s="456" t="str">
        <f t="shared" si="510"/>
        <v/>
      </c>
      <c r="JF56" s="496" t="str">
        <f>IF(A56=FALSE,"",IF(JA56="POEA",Cotations!BM56,IF(JA56="FIXE",Cotations!$BM$4,Cotations!$BO$4*Y56)))</f>
        <v/>
      </c>
      <c r="JG56" s="300" t="str">
        <f t="shared" si="511"/>
        <v/>
      </c>
      <c r="JH56" s="522" t="str">
        <f>IF(A56=FALSE,"",IF(Cotations!$BL$4="monthly",JG56/12*L56,JG56/365*M56))</f>
        <v/>
      </c>
      <c r="JI56" s="489" t="str">
        <f>IF(A56=FALSE,"",Cotations!$BP$4)</f>
        <v/>
      </c>
      <c r="JJ56" s="300" t="str">
        <f t="shared" si="512"/>
        <v/>
      </c>
      <c r="JK56" s="300" t="str">
        <f t="shared" si="513"/>
        <v/>
      </c>
      <c r="JL56" s="294" t="str">
        <f t="shared" si="514"/>
        <v/>
      </c>
      <c r="JM56" s="494" t="str">
        <f>IF(A56=FALSE,"",Cotations!$BQ$4)</f>
        <v/>
      </c>
      <c r="JN56" s="522" t="str">
        <f>IF(A56=FALSE,"",Cotations!$BR$4)</f>
        <v/>
      </c>
      <c r="JO56" s="489" t="str">
        <f>IF(A56=FALSE,"",Cotations!$BS$4)</f>
        <v/>
      </c>
      <c r="JP56" s="494" t="str">
        <f>IF(A56=FALSE,"",IF(JM56="N/A",0,IF(INDEX(LISTES!$F$105:$F$109,MATCH(JM56,LISTES!$C$105:$C$109,0))="FIX",IF(INDEX(LISTES!$E$105:$E$109,MATCH(JM56,LISTES!$C$105:$C$109,0))=12,JN56/12*L56,JN56/365*M56),JO56*JL56)))</f>
        <v/>
      </c>
      <c r="JQ56" s="294" t="str">
        <f t="shared" si="515"/>
        <v/>
      </c>
      <c r="JR56" s="494" t="str">
        <f>IF(A56=FALSE,"",JQ56*Cotations!$BT$4)</f>
        <v/>
      </c>
      <c r="JS56" s="494" t="str">
        <f>IF(A56=FALSE,"",JQ56*Cotations!$BU$4)</f>
        <v/>
      </c>
      <c r="JT56" s="294" t="str">
        <f t="shared" si="516"/>
        <v/>
      </c>
      <c r="JU56" s="919" t="str">
        <f>IF(A56=FALSE,"",((JG56*TAXE)-(JG56*TAXE*JI56))+IF(JM56="N/A",0,IF(INDEX(LISTES!$F$105:$F$109,MATCH(JM56,LISTES!$C$105:$C$109,0))="FIX",JN56,JO56*JL56)))</f>
        <v/>
      </c>
      <c r="KA56" s="492" t="str">
        <f>IF(A56=FALSE,"",Cotations!D56)</f>
        <v/>
      </c>
      <c r="KB56" s="491" t="str">
        <f>IF(A56=FALSE,"",IF(LISTES!$A$17=1,Cotations!BJ56,Cotations!BK56))</f>
        <v/>
      </c>
      <c r="KC56" s="285" t="str">
        <f t="shared" si="517"/>
        <v/>
      </c>
      <c r="KD56" s="300"/>
      <c r="KE56" s="461" t="str">
        <f t="shared" si="518"/>
        <v/>
      </c>
      <c r="KF56" s="490" t="str">
        <f>IF(A56=FALSE,"",IF(KA56="POEA",Cotations!BM56,IF(KA56="FIXE",Cotations!BN56,IF(Cotations!BO56*Y56&lt;50000,Z56,Cotations!BO56*Y56))))</f>
        <v/>
      </c>
      <c r="KG56" s="300" t="str">
        <f t="shared" si="519"/>
        <v/>
      </c>
      <c r="KH56" s="522" t="str">
        <f>IF(A56=FALSE,"",IF(Cotations!BL56="monthly",KG56/12*L56,KG56/365*M56))</f>
        <v/>
      </c>
      <c r="KI56" s="489" t="str">
        <f>IF(A56=FALSE,"",IF(Cotations!BP56="","",Cotations!BP56))</f>
        <v/>
      </c>
      <c r="KJ56" s="300" t="str">
        <f t="shared" si="520"/>
        <v/>
      </c>
      <c r="KK56" s="300" t="str">
        <f t="shared" si="521"/>
        <v/>
      </c>
      <c r="KL56" s="919" t="str">
        <f t="shared" si="522"/>
        <v/>
      </c>
      <c r="KM56" s="517" t="str">
        <f>IF(A56=FALSE,"",Cotations!BQ56)</f>
        <v/>
      </c>
      <c r="KN56" s="515" t="str">
        <f>IF(A56=FALSE,"",Cotations!BR56)</f>
        <v/>
      </c>
      <c r="KO56" s="493" t="str">
        <f>IF(A56=FALSE,"",Cotations!BS56)</f>
        <v/>
      </c>
      <c r="KP56" s="517" t="str">
        <f>IF(A56=FALSE,"",IF(KM56="N/A",0,IF(INDEX(LISTES!$F$105:$F$109,MATCH(KM56,LISTES!$C$105:$C$109,0))="FIX",IF(INDEX(LISTES!$E$105:$E$109,MATCH(KM56,LISTES!$C$105:$C$109,0))=12,KN56/12*L56,KN56/365*M56),KO56*KL56)))</f>
        <v/>
      </c>
      <c r="KQ56" s="294" t="str">
        <f t="shared" si="523"/>
        <v/>
      </c>
      <c r="KR56" s="494" t="str">
        <f>IF(A56=FALSE,"",KQ56*Cotations!BT56)</f>
        <v/>
      </c>
      <c r="KS56" s="494" t="str">
        <f>IF(A56=FALSE,"",KQ56*Cotations!BU56)</f>
        <v/>
      </c>
      <c r="KT56" s="338" t="str">
        <f t="shared" si="524"/>
        <v/>
      </c>
      <c r="KU56" s="919" t="str">
        <f>IF(A56=FALSE,"",((KG56*TAXE)-(KG56*TAXE*KI56))+IF(KM56="N/A",0,IF(INDEX(LISTES!$F$105:$F$109,MATCH(KM56,LISTES!$C$105:$C$109,0))="FIX",KN56,KO56*KL56)))</f>
        <v/>
      </c>
      <c r="KX56" s="391"/>
      <c r="KY56" s="391"/>
      <c r="LA56" s="497" t="str">
        <f>IF(A56=FALSE,"",Cotations!D56)</f>
        <v/>
      </c>
      <c r="LB56" s="498" t="str">
        <f>IF(A56=FALSE,"",IF(LISTES!$A$17=1,Cotations!BV56,Cotations!$BW$4))</f>
        <v/>
      </c>
      <c r="LC56" s="499" t="str">
        <f t="shared" si="525"/>
        <v/>
      </c>
      <c r="LD56" s="499" t="str">
        <f t="shared" si="526"/>
        <v/>
      </c>
      <c r="LE56" s="500" t="str">
        <f t="shared" si="527"/>
        <v/>
      </c>
      <c r="LF56" s="501" t="str">
        <f>IF(A56=FALSE,"",IF(LA56="POEA",Cotations!EJ56,IF(LA56="FIXE",Cotations!$BY$4,Cotations!$CA$4*Y56)))</f>
        <v/>
      </c>
      <c r="LG56" s="502" t="str">
        <f t="shared" si="528"/>
        <v/>
      </c>
      <c r="LH56" s="520" t="str">
        <f>IF(A56=FALSE,"",IF(Cotations!$BX$4="monthly",LG56/12*L56,LG56/365*M56))</f>
        <v/>
      </c>
      <c r="LI56" s="503" t="str">
        <f>IF(A56=FALSE,"",Cotations!$CB$4)</f>
        <v/>
      </c>
      <c r="LJ56" s="502" t="str">
        <f t="shared" si="529"/>
        <v/>
      </c>
      <c r="LK56" s="502" t="str">
        <f t="shared" si="530"/>
        <v/>
      </c>
      <c r="LL56" s="504" t="str">
        <f t="shared" si="531"/>
        <v/>
      </c>
      <c r="LM56" s="505" t="str">
        <f>IF(A56=FALSE,"",Cotations!$CC$4)</f>
        <v/>
      </c>
      <c r="LN56" s="503" t="str">
        <f>IF(A56=FALSE,"",Cotations!$CD$4)</f>
        <v/>
      </c>
      <c r="LO56" s="503" t="str">
        <f>IF(A56=FALSE,"",Cotations!$CE$4)</f>
        <v/>
      </c>
      <c r="LP56" s="505" t="str">
        <f>IF(A56=FALSE,"",IF(LM56="N/A",0,IF(INDEX(LISTES!$F$105:$F$109,MATCH(LM56,LISTES!$C$105:$C$109,0))="FIX",IF(INDEX(LISTES!$E$105:$E$109,MATCH(LM56,LISTES!$C$105:$C$109,0))=12,LN56/12*L56,LN56/365*M56),LO56*LL56)))</f>
        <v/>
      </c>
      <c r="LQ56" s="504" t="str">
        <f t="shared" si="532"/>
        <v/>
      </c>
      <c r="LR56" s="505" t="str">
        <f>IF(A56=FALSE,"",LQ56*Cotations!$CF$4)</f>
        <v/>
      </c>
      <c r="LS56" s="505" t="str">
        <f>IF(A56=FALSE,"",LQ56*Cotations!$CG$4)</f>
        <v/>
      </c>
      <c r="LT56" s="506" t="str">
        <f t="shared" si="533"/>
        <v/>
      </c>
      <c r="LU56" s="919" t="str">
        <f>IF(A56=FALSE,"",((LG56*TAXE)-(LG56*TAXE*LI56))+IF(LM56="N/A",0,IF(INDEX(LISTES!$F$105:$F$109,MATCH(LM56,LISTES!$C$105:$C$109,0))="FIX",LN56,LO56*LL56)))</f>
        <v/>
      </c>
      <c r="MA56" s="492" t="str">
        <f>IF(A56=FALSE,"",Cotations!D56)</f>
        <v/>
      </c>
      <c r="MB56" s="491" t="str">
        <f>IF(A56=FALSE,"",IF(LISTES!$A$17=1,Cotations!BV56,Cotations!BW56))</f>
        <v/>
      </c>
      <c r="MC56" s="285" t="str">
        <f t="shared" si="534"/>
        <v/>
      </c>
      <c r="MD56" s="300"/>
      <c r="ME56" s="461" t="str">
        <f t="shared" si="535"/>
        <v/>
      </c>
      <c r="MF56" s="490" t="str">
        <f>IF(A56=FALSE,"",IF(MA56="POEA",Cotations!BY56,IF(MA56="FIXE",Cotations!BZ56,IF(Cotations!CA56*Y56&lt;50000,Z56,Cotations!CA56*Y56))))</f>
        <v/>
      </c>
      <c r="MG56" s="300" t="str">
        <f t="shared" si="536"/>
        <v/>
      </c>
      <c r="MH56" s="522" t="str">
        <f>IF(A56=FALSE,"",IF(Cotations!BX56="monthly",MG56/12*L56,MG56/365*M56))</f>
        <v/>
      </c>
      <c r="MI56" s="489" t="str">
        <f>IF(A56=FALSE,"",IF(Cotations!CB56="","",Cotations!CB56))</f>
        <v/>
      </c>
      <c r="MJ56" s="300" t="str">
        <f t="shared" si="537"/>
        <v/>
      </c>
      <c r="MK56" s="300" t="str">
        <f t="shared" si="538"/>
        <v/>
      </c>
      <c r="ML56" s="919" t="str">
        <f t="shared" si="539"/>
        <v/>
      </c>
      <c r="MM56" s="517" t="str">
        <f>IF(A56=FALSE,"",Cotations!CC56)</f>
        <v/>
      </c>
      <c r="MN56" s="515" t="str">
        <f>IF(A56=FALSE,"",Cotations!CD56)</f>
        <v/>
      </c>
      <c r="MO56" s="493" t="str">
        <f>IF(A56=FALSE,"",Cotations!CE56)</f>
        <v/>
      </c>
      <c r="MP56" s="517" t="str">
        <f>IF(A56=FALSE,"",IF(MM56="N/A",0,IF(INDEX(LISTES!$F$105:$F$109,MATCH(MM56,LISTES!$C$105:$C$109,0))="FIX",IF(INDEX(LISTES!$E$105:$E$109,MATCH(MM56,LISTES!$C$105:$C$109,0))=12,MN56/12*L56,MN56/365*M56),MO56*ML56)))</f>
        <v/>
      </c>
      <c r="MQ56" s="294" t="str">
        <f t="shared" si="540"/>
        <v/>
      </c>
      <c r="MR56" s="494" t="str">
        <f>IF(A56=FALSE,"",MQ56*Cotations!CF56)</f>
        <v/>
      </c>
      <c r="MS56" s="494" t="str">
        <f>IF(A56=FALSE,"",MQ56*Cotations!CG56)</f>
        <v/>
      </c>
      <c r="MT56" s="338" t="str">
        <f t="shared" si="541"/>
        <v/>
      </c>
      <c r="MU56" s="919" t="str">
        <f>IF(A56=FALSE,"",((MG56*TAXE)-(MG56*TAXE*MI56))+IF(MM56="N/A",0,IF(INDEX(LISTES!$F$105:$F$109,MATCH(MM56,LISTES!$C$105:$C$109,0))="FIX",MN56,MO56*ML56)))</f>
        <v/>
      </c>
      <c r="NA56" s="497" t="str">
        <f>IF(A56=FALSE,"",Cotations!D56)</f>
        <v/>
      </c>
      <c r="NB56" s="498" t="str">
        <f>IF(A56=FALSE,"",IF(LISTES!$A$17=1,Cotations!CH56,Cotations!$CI$4))</f>
        <v/>
      </c>
      <c r="NC56" s="499" t="str">
        <f t="shared" si="542"/>
        <v/>
      </c>
      <c r="ND56" s="499" t="str">
        <f t="shared" si="543"/>
        <v/>
      </c>
      <c r="NE56" s="500" t="str">
        <f t="shared" si="544"/>
        <v/>
      </c>
      <c r="NF56" s="501" t="str">
        <f>IF(A56=FALSE,"",IF(NA56="POEA",Cotations!CK56,IF(NA56="FIXE",Cotations!$CK$4,Cotations!$CM$4*Y56)))</f>
        <v/>
      </c>
      <c r="NG56" s="502" t="str">
        <f t="shared" si="545"/>
        <v/>
      </c>
      <c r="NH56" s="520" t="str">
        <f>IF(A56=FALSE,"",IF(Cotations!$CJ$4="monthly",NG56/12*L56,NG56/365*M56))</f>
        <v/>
      </c>
      <c r="NI56" s="503" t="str">
        <f>IF(A56=FALSE,"",Cotations!$CN$4)</f>
        <v/>
      </c>
      <c r="NJ56" s="502" t="str">
        <f t="shared" si="546"/>
        <v/>
      </c>
      <c r="NK56" s="502" t="str">
        <f t="shared" si="547"/>
        <v/>
      </c>
      <c r="NL56" s="504" t="str">
        <f t="shared" si="548"/>
        <v/>
      </c>
      <c r="NM56" s="505" t="str">
        <f>IF(A56=FALSE,"",Cotations!$CO$4)</f>
        <v/>
      </c>
      <c r="NN56" s="520" t="str">
        <f>IF(A56=FALSE,"",Cotations!$CP$4)</f>
        <v/>
      </c>
      <c r="NO56" s="503" t="str">
        <f>IF(A56=FALSE,"",Cotations!$CQ$4)</f>
        <v/>
      </c>
      <c r="NP56" s="505" t="str">
        <f>IF(A56=FALSE,"",IF(NM56="N/A",0,IF(INDEX(LISTES!$F$105:$F$109,MATCH(NM56,LISTES!$C$105:$C$109,0))="FIX",IF(INDEX(LISTES!$E$105:$E$109,MATCH(NM56,LISTES!$C$105:$C$109,0))=12,NN56/12*L56,NN56/365*M56),NO56*NL56)))</f>
        <v/>
      </c>
      <c r="NQ56" s="504" t="str">
        <f t="shared" si="549"/>
        <v/>
      </c>
      <c r="NR56" s="505" t="str">
        <f>IF(A56=FALSE,"",NQ56*Cotations!$CR$4)</f>
        <v/>
      </c>
      <c r="NS56" s="505" t="str">
        <f>IF(A56=FALSE,"",NQ56*Cotations!$CS$4)</f>
        <v/>
      </c>
      <c r="NT56" s="506" t="str">
        <f t="shared" si="550"/>
        <v/>
      </c>
      <c r="NU56" s="919" t="str">
        <f>IF(A56=FALSE,"",((NG56*TAXE)-(NG56*TAXE*NI56))+IF(NM56="N/A",0,IF(INDEX(LISTES!$F$105:$F$109,MATCH(NM56,LISTES!$C$105:$C$109,0))="FIX",NN56,NO56*NL56)))</f>
        <v/>
      </c>
      <c r="OA56" s="492" t="str">
        <f>IF(A56=FALSE,"",Cotations!D56)</f>
        <v/>
      </c>
      <c r="OB56" s="491" t="str">
        <f>IF(A56=FALSE,"",IF(LISTES!$A$17=1,Cotations!CH56,Cotations!CI56))</f>
        <v/>
      </c>
      <c r="OC56" s="285" t="str">
        <f t="shared" si="551"/>
        <v/>
      </c>
      <c r="OD56" s="300"/>
      <c r="OE56" s="461" t="str">
        <f t="shared" si="552"/>
        <v/>
      </c>
      <c r="OF56" s="490" t="str">
        <f>IF(A56=FALSE,"",IF(OA56="POEA",Cotations!CK56,IF(OA56="FIXE",Cotations!CL56,IF(Cotations!CM56*Y56&lt;50000,Z56,Cotations!CM56*Y56))))</f>
        <v/>
      </c>
      <c r="OG56" s="300" t="str">
        <f t="shared" si="553"/>
        <v/>
      </c>
      <c r="OH56" s="522" t="str">
        <f>IF(A56=FALSE,"",IF(Cotations!CJ56="monthly",OG56/12*L56,OG56/365*M56))</f>
        <v/>
      </c>
      <c r="OI56" s="489" t="str">
        <f>IF(A56=FALSE,"",IF(Cotations!CN56="","",Cotations!CN56))</f>
        <v/>
      </c>
      <c r="OJ56" s="300" t="str">
        <f t="shared" si="554"/>
        <v/>
      </c>
      <c r="OK56" s="300" t="str">
        <f t="shared" si="555"/>
        <v/>
      </c>
      <c r="OL56" s="919" t="str">
        <f t="shared" si="556"/>
        <v/>
      </c>
      <c r="OM56" s="517" t="str">
        <f>IF(A56=FALSE,"",Cotations!CO56)</f>
        <v/>
      </c>
      <c r="ON56" s="515" t="str">
        <f>IF(A56=FALSE,"",Cotations!CP56)</f>
        <v/>
      </c>
      <c r="OO56" s="493" t="str">
        <f>IF(A56=FALSE,"",Cotations!CQ56)</f>
        <v/>
      </c>
      <c r="OP56" s="517" t="str">
        <f>IF(A56=FALSE,"",IF(OM56="N/A",0,IF(INDEX(LISTES!$F$105:$F$109,MATCH(OM56,LISTES!$C$105:$C$109,0))="FIX",IF(INDEX(LISTES!$E$105:$E$109,MATCH(OM56,LISTES!$C$105:$C$109,0))=12,ON56/12*L56,ON56/365*M56),OO56*OL56)))</f>
        <v/>
      </c>
      <c r="OQ56" s="294" t="str">
        <f t="shared" si="557"/>
        <v/>
      </c>
      <c r="OR56" s="494" t="str">
        <f>IF(A56=FALSE,"",OQ56*Cotations!CR56)</f>
        <v/>
      </c>
      <c r="OS56" s="494" t="str">
        <f>IF(A56=FALSE,"",OQ56*Cotations!CS56)</f>
        <v/>
      </c>
      <c r="OT56" s="338" t="str">
        <f t="shared" si="558"/>
        <v/>
      </c>
      <c r="OU56" s="919" t="str">
        <f>IF(A56=FALSE,"",((OG56*TAXE)-(OG56*TAXE*OI56))+IF(OM56="N/A",0,IF(INDEX(LISTES!$F$105:$F$109,MATCH(OM56,LISTES!$C$105:$C$109,0))="FIX",ON56,OO56*OL56)))</f>
        <v/>
      </c>
      <c r="PA56" s="497" t="str">
        <f t="shared" si="559"/>
        <v/>
      </c>
      <c r="PB56" s="498" t="str">
        <f>IF(A56=FALSE,"",IF(LISTES!$A$17=1,Cotations!CT56,Cotations!$CU$4))</f>
        <v/>
      </c>
      <c r="PC56" s="499" t="str">
        <f t="shared" si="560"/>
        <v/>
      </c>
      <c r="PD56" s="499" t="str">
        <f t="shared" si="561"/>
        <v/>
      </c>
      <c r="PE56" s="500" t="str">
        <f t="shared" si="562"/>
        <v/>
      </c>
      <c r="PF56" s="501" t="str">
        <f>IF(A56=FALSE,"",Cotations!$CY$4*Y56)</f>
        <v/>
      </c>
      <c r="PG56" s="502" t="str">
        <f t="shared" si="563"/>
        <v/>
      </c>
      <c r="PH56" s="520" t="str">
        <f>IF(A56=FALSE,"",IF(Cotations!$CV$4="monthly",PG56/12*L56,PG56/365*M56))</f>
        <v/>
      </c>
      <c r="PI56" s="503" t="str">
        <f>IF(A56=FALSE,"",Cotations!$CZ$4)</f>
        <v/>
      </c>
      <c r="PJ56" s="502" t="str">
        <f t="shared" si="564"/>
        <v/>
      </c>
      <c r="PK56" s="502" t="str">
        <f t="shared" si="565"/>
        <v/>
      </c>
      <c r="PL56" s="504" t="str">
        <f t="shared" si="566"/>
        <v/>
      </c>
      <c r="PM56" s="505" t="str">
        <f>IF(A56=FALSE,"",Cotations!$DA$4)</f>
        <v/>
      </c>
      <c r="PN56" s="520" t="str">
        <f>IF(A56=FALSE,"",Cotations!$DB$4)</f>
        <v/>
      </c>
      <c r="PO56" s="503" t="str">
        <f>IF(A56=FALSE,"",Cotations!$DC$4)</f>
        <v/>
      </c>
      <c r="PP56" s="505" t="str">
        <f>IF(A56=FALSE,"",IF(PM56="N/A",0,IF(INDEX(LISTES!$F$105:$F$109,MATCH(PM56,LISTES!$C$105:$C$109,0))="FIX",IF(INDEX(LISTES!$E$105:$E$109,MATCH(PM56,LISTES!$C$105:$C$109,0))=12,PN56/12*L56,PN56/365*M56),PO56*PL56)))</f>
        <v/>
      </c>
      <c r="PQ56" s="504" t="str">
        <f t="shared" si="567"/>
        <v/>
      </c>
      <c r="PR56" s="505" t="str">
        <f>IF(A56=FALSE,"",PQ56*Cotations!$DD$4)</f>
        <v/>
      </c>
      <c r="PS56" s="505" t="str">
        <f>IF(A56=FALSE,"",PQ56*Cotations!$DE$4)</f>
        <v/>
      </c>
      <c r="PT56" s="506" t="str">
        <f t="shared" si="568"/>
        <v/>
      </c>
      <c r="PU56" s="919" t="str">
        <f>IF(A56=FALSE,"",((PG56*TAXE)-(PG56*TAXE*PI56))+IF(PM56="N/A",0,IF(INDEX(LISTES!$F$105:$F$109,MATCH(PM56,LISTES!$C$105:$C$109,0))="FIX",PN56,PO56*PL56)))</f>
        <v/>
      </c>
      <c r="QA56" s="492" t="str">
        <f t="shared" si="569"/>
        <v/>
      </c>
      <c r="QB56" s="491" t="str">
        <f>IF(A56=FALSE,"",IF(LISTES!$A$17=1,Cotations!CT56,Cotations!CU56))</f>
        <v/>
      </c>
      <c r="QC56" s="285" t="str">
        <f t="shared" si="570"/>
        <v/>
      </c>
      <c r="QD56" s="300"/>
      <c r="QE56" s="461" t="str">
        <f t="shared" si="571"/>
        <v/>
      </c>
      <c r="QF56" s="490" t="str">
        <f>IF(A56=FALSE,"",Cotations!CY56*AA56)</f>
        <v/>
      </c>
      <c r="QG56" s="300" t="str">
        <f t="shared" si="572"/>
        <v/>
      </c>
      <c r="QH56" s="522" t="str">
        <f>IF(A56=FALSE,"",IF(Cotations!CV56="monthly",QG56/12*L56,QG56/365*M56))</f>
        <v/>
      </c>
      <c r="QI56" s="489" t="str">
        <f>IF(A56=FALSE,"",IF(Cotations!CZ56="","",Cotations!CZ56))</f>
        <v/>
      </c>
      <c r="QJ56" s="300" t="str">
        <f t="shared" si="573"/>
        <v/>
      </c>
      <c r="QK56" s="300" t="str">
        <f t="shared" si="574"/>
        <v/>
      </c>
      <c r="QL56" s="919" t="str">
        <f t="shared" si="575"/>
        <v/>
      </c>
      <c r="QM56" s="517" t="str">
        <f>IF(A56=FALSE,"",Cotations!DA56)</f>
        <v/>
      </c>
      <c r="QN56" s="515" t="str">
        <f>IF(A56=FALSE,"",Cotations!DB56)</f>
        <v/>
      </c>
      <c r="QO56" s="493" t="str">
        <f>IF(A56=FALSE,"",Cotations!DC56)</f>
        <v/>
      </c>
      <c r="QP56" s="517" t="str">
        <f>IF(A56=FALSE,"",IF(QM56="N/A",0,IF(INDEX(LISTES!$F$105:$F$109,MATCH(QM56,LISTES!$C$105:$C$109,0))="FIX",IF(INDEX(LISTES!$E$105:$E$109,MATCH(QM56,LISTES!$C$105:$C$109,0))=12,QN56/12*L56,QN56/365*M56),QO56*QL56)))</f>
        <v/>
      </c>
      <c r="QQ56" s="294" t="str">
        <f t="shared" si="576"/>
        <v/>
      </c>
      <c r="QR56" s="494" t="str">
        <f>IF(A56=FALSE,"",QQ56*Cotations!DD56)</f>
        <v/>
      </c>
      <c r="QS56" s="494" t="str">
        <f>IF(A56=FALSE,"",QQ56*Cotations!DE56)</f>
        <v/>
      </c>
      <c r="QT56" s="338" t="str">
        <f t="shared" si="577"/>
        <v/>
      </c>
      <c r="QU56" s="919" t="str">
        <f>IF(A56=FALSE,"",((QG56*TAXE)-(QG56*TAXE*QI56))+IF(QM56="N/A",0,IF(INDEX(LISTES!$F$105:$F$109,MATCH(QM56,LISTES!$C$105:$C$109,0))="FIX",QN56,QO56*QL56)))</f>
        <v/>
      </c>
      <c r="RA56" s="497" t="str">
        <f t="shared" si="578"/>
        <v/>
      </c>
      <c r="RB56" s="498" t="str">
        <f>IF(A56=FALSE,"",IF(LISTES!$A$17=1,Cotations!DF56,Cotations!$DG$4))</f>
        <v/>
      </c>
      <c r="RC56" s="499" t="str">
        <f t="shared" si="579"/>
        <v/>
      </c>
      <c r="RD56" s="499" t="str">
        <f t="shared" si="580"/>
        <v/>
      </c>
      <c r="RE56" s="500" t="str">
        <f t="shared" si="581"/>
        <v/>
      </c>
      <c r="RF56" s="501" t="str">
        <f>IF(A56=FALSE,"",Cotations!$DK$4*Y56)</f>
        <v/>
      </c>
      <c r="RG56" s="502" t="str">
        <f t="shared" si="582"/>
        <v/>
      </c>
      <c r="RH56" s="520" t="str">
        <f>IF(A56=FALSE,"",IF(Cotations!$DH$4="monthly",RG56/12*L56,RG56/365*M56))</f>
        <v/>
      </c>
      <c r="RI56" s="503" t="str">
        <f>IF(A56=FALSE,"",Cotations!$DL$4)</f>
        <v/>
      </c>
      <c r="RJ56" s="502" t="str">
        <f t="shared" si="583"/>
        <v/>
      </c>
      <c r="RK56" s="502" t="str">
        <f t="shared" si="584"/>
        <v/>
      </c>
      <c r="RL56" s="504" t="str">
        <f t="shared" si="585"/>
        <v/>
      </c>
      <c r="RM56" s="505" t="str">
        <f>IF(A56=FALSE,"",Cotations!$DM$4)</f>
        <v/>
      </c>
      <c r="RN56" s="520" t="str">
        <f>IF(A56=FALSE,"",Cotations!$DN$4)</f>
        <v/>
      </c>
      <c r="RO56" s="503" t="str">
        <f>IF(A56=FALSE,"",Cotations!$DO$4)</f>
        <v/>
      </c>
      <c r="RP56" s="505" t="str">
        <f>IF(A56=FALSE,"",IF(RM56="N/A",0,IF(INDEX(LISTES!$F$105:$F$109,MATCH(RM56,LISTES!$C$105:$C$109,0))="FIX",IF(INDEX(LISTES!$E$105:$E$109,MATCH(RM56,LISTES!$C$105:$C$109,0))=12,RN56/12*L56,RN56/365*M56),RO56*RL56)))</f>
        <v/>
      </c>
      <c r="RQ56" s="504" t="str">
        <f t="shared" si="586"/>
        <v/>
      </c>
      <c r="RR56" s="505" t="str">
        <f>IF(A56=FALSE,"",RQ56*Cotations!$DP$4)</f>
        <v/>
      </c>
      <c r="RS56" s="505" t="str">
        <f>IF(A56=FALSE,"",RQ56*Cotations!$DQ$4)</f>
        <v/>
      </c>
      <c r="RT56" s="506" t="str">
        <f t="shared" si="587"/>
        <v/>
      </c>
      <c r="RU56" s="919" t="str">
        <f>IF(A56=FALSE,"",((RG56*TAXE)-(RG56*TAXE*RI56))+IF(RM56="N/A",0,IF(INDEX(LISTES!$F$105:$F$109,MATCH(RM56,LISTES!$C$105:$C$109,0))="FIX",RN56,RO56*RL56)))</f>
        <v/>
      </c>
      <c r="SA56" s="492" t="str">
        <f t="shared" si="588"/>
        <v/>
      </c>
      <c r="SB56" s="491" t="str">
        <f>IF(A56=FALSE,"",IF(LISTES!$A$17=1,Cotations!DF56,Cotations!DG56))</f>
        <v/>
      </c>
      <c r="SC56" s="285" t="str">
        <f t="shared" si="589"/>
        <v/>
      </c>
      <c r="SD56" s="300"/>
      <c r="SE56" s="461" t="str">
        <f t="shared" si="590"/>
        <v/>
      </c>
      <c r="SF56" s="490" t="str">
        <f>IF(A56=FALSE,"",Cotations!DK56*AA56)</f>
        <v/>
      </c>
      <c r="SG56" s="300" t="str">
        <f t="shared" si="591"/>
        <v/>
      </c>
      <c r="SH56" s="522" t="str">
        <f>IF(A56=FALSE,"",IF(Cotations!DH56="monthly",SG56/12*L56,SG56/365*M56))</f>
        <v/>
      </c>
      <c r="SI56" s="489" t="str">
        <f>IF(A56=FALSE,"",IF(Cotations!DL56="","",Cotations!DL56))</f>
        <v/>
      </c>
      <c r="SJ56" s="300" t="str">
        <f t="shared" si="592"/>
        <v/>
      </c>
      <c r="SK56" s="300" t="str">
        <f t="shared" si="593"/>
        <v/>
      </c>
      <c r="SL56" s="919" t="str">
        <f t="shared" si="594"/>
        <v/>
      </c>
      <c r="SM56" s="285" t="str">
        <f>IF(A56=FALSE,"",Cotations!DM56)</f>
        <v/>
      </c>
      <c r="SN56" s="515" t="str">
        <f>IF(A56=FALSE,"",Cotations!DN56)</f>
        <v/>
      </c>
      <c r="SO56" s="493" t="str">
        <f>IF(A56=FALSE,"",Cotations!DO56)</f>
        <v/>
      </c>
      <c r="SP56" s="517" t="str">
        <f>IF(A56=FALSE,"",IF(SM56="N/A",0,IF(INDEX(LISTES!$F$105:$F$109,MATCH(SM56,LISTES!$C$105:$C$109,0))="FIX",IF(INDEX(LISTES!$E$105:$E$109,MATCH(SM56,LISTES!$C$105:$C$109,0))=12,SN56/12*L56,SN56/365*M56),SO56*SL56)))</f>
        <v/>
      </c>
      <c r="SQ56" s="294" t="str">
        <f t="shared" si="595"/>
        <v/>
      </c>
      <c r="SR56" s="494" t="str">
        <f>IF(A56=FALSE,"",SQ56*Cotations!DP56)</f>
        <v/>
      </c>
      <c r="SS56" s="494" t="str">
        <f>IF(A56=FALSE,"",SQ56*Cotations!DQ56)</f>
        <v/>
      </c>
      <c r="ST56" s="338" t="str">
        <f t="shared" si="596"/>
        <v/>
      </c>
      <c r="SU56" s="919" t="str">
        <f>IF(A56=FALSE,"",((SG56*TAXE)-(SG56*TAXE*SI56))+IF(SM56="N/A",0,IF(INDEX(LISTES!$F$105:$F$109,MATCH(SM56,LISTES!$C$105:$C$109,0))="FIX",SN56,SO56*SL56)))</f>
        <v/>
      </c>
      <c r="SY56" s="391"/>
      <c r="TA56" s="492" t="str">
        <f>IF(A56=FALSE,"",Cotations!D56)</f>
        <v/>
      </c>
      <c r="TB56" s="491" t="str">
        <f>IF(A56=FALSE,"",IF(LISTES!$A$17=1,Cotations!DR56,Cotations!DS56))</f>
        <v/>
      </c>
      <c r="TC56" s="285" t="str">
        <f t="shared" si="597"/>
        <v/>
      </c>
      <c r="TD56" s="300" t="str">
        <f>IF(A56=FALSE,"",Detail!CQ56)</f>
        <v/>
      </c>
      <c r="TE56" s="461" t="str">
        <f t="shared" si="598"/>
        <v/>
      </c>
      <c r="TF56" s="490" t="str">
        <f>IF(A56=FALSE,"",IF(TA56="FIXE",Cotations!DU56,Cotations!DV56*Y56))</f>
        <v/>
      </c>
      <c r="TG56" s="300" t="str">
        <f t="shared" si="599"/>
        <v/>
      </c>
      <c r="TH56" s="522" t="str">
        <f>IF(A56=FALSE,"",IF(Cotations!DT56="monthly",TG56/12*L56,TG56/365*M56))</f>
        <v/>
      </c>
      <c r="TI56" s="489" t="str">
        <f>IF(A56=FALSE,"",IF(Cotations!DW56="","",Cotations!DW56))</f>
        <v/>
      </c>
      <c r="TJ56" s="300" t="str">
        <f t="shared" si="600"/>
        <v/>
      </c>
      <c r="TK56" s="300" t="str">
        <f t="shared" si="601"/>
        <v/>
      </c>
      <c r="TL56" s="919" t="str">
        <f t="shared" si="602"/>
        <v/>
      </c>
      <c r="TM56" s="517" t="str">
        <f>IF(A56=FALSE,"",Cotations!DX56)</f>
        <v/>
      </c>
      <c r="TN56" s="517" t="str">
        <f>IF(A56=FALSE,"",Cotations!DY56)</f>
        <v/>
      </c>
      <c r="TO56" s="493" t="str">
        <f>IF(A56=FALSE,"",Cotations!DZ56)</f>
        <v/>
      </c>
      <c r="TP56" s="517" t="str">
        <f>IF(A56=FALSE,"",IF(TM56="N/A",0,IF(INDEX(LISTES!$F$105:$F$109,MATCH(TM56,LISTES!$C$105:$C$109,0))="FIX",IF(INDEX(LISTES!$E$105:$E$109,MATCH(TM56,LISTES!$C$105:$C$109,0))=12,TN56/12*L56,TN56/365*M56),TO56*TL56)))</f>
        <v/>
      </c>
      <c r="TQ56" s="294" t="str">
        <f t="shared" si="603"/>
        <v/>
      </c>
      <c r="TR56" s="494" t="str">
        <f>IF(A56=FALSE,"",TQ56*Cotations!EA56)</f>
        <v/>
      </c>
      <c r="TS56" s="494" t="str">
        <f>IF(A56=FALSE,"",TQ56*Cotations!EB56)</f>
        <v/>
      </c>
      <c r="TT56" s="338" t="str">
        <f t="shared" si="604"/>
        <v/>
      </c>
      <c r="TU56" s="919" t="str">
        <f>IF(A56=FALSE,"",((TG56*(1+TAXE)-(TG56*(1+TAXE)*TI56))+IF(TM56="N/A",0,IF(INDEX(LISTES!$F$105:$F$109,MATCH(TM56,LISTES!$C$105:$C$109,0))="FIX",TN56,TO56*TL56))))</f>
        <v/>
      </c>
      <c r="UA56" s="492" t="str">
        <f>IF(A56=FALSE,"",Cotations!D56)</f>
        <v/>
      </c>
      <c r="UB56" s="491" t="str">
        <f>IF(A56=FALSE,"",IF(LISTES!$A$17=1,Cotations!EC56,Cotations!ED56))</f>
        <v/>
      </c>
      <c r="UC56" s="285" t="str">
        <f t="shared" si="605"/>
        <v/>
      </c>
      <c r="UD56" s="300" t="str">
        <f>IF(A56=FALSE,"",Detail!CY56)</f>
        <v/>
      </c>
      <c r="UE56" s="461" t="str">
        <f t="shared" si="606"/>
        <v/>
      </c>
      <c r="UF56" s="490" t="str">
        <f>IF(A56=FALSE,"",IF(UA56="FIXE",Cotations!EF56,Cotations!EG56*Y56))</f>
        <v/>
      </c>
      <c r="UG56" s="300" t="str">
        <f t="shared" si="607"/>
        <v/>
      </c>
      <c r="UH56" s="522" t="str">
        <f>IF(A56=FALSE,"",IF(Cotations!EE56="monthly",UG56/12*L56,UG56/365*M56))</f>
        <v/>
      </c>
      <c r="UI56" s="489" t="str">
        <f>IF(A56=FALSE,"",IF(Cotations!EH56="","",Cotations!EH56))</f>
        <v/>
      </c>
      <c r="UJ56" s="300" t="str">
        <f t="shared" si="608"/>
        <v/>
      </c>
      <c r="UK56" s="300" t="str">
        <f t="shared" si="609"/>
        <v/>
      </c>
      <c r="UL56" s="919" t="str">
        <f t="shared" si="610"/>
        <v/>
      </c>
      <c r="UM56" s="517" t="str">
        <f>IF(A56=FALSE,"",Cotations!EI56)</f>
        <v/>
      </c>
      <c r="UN56" s="517" t="str">
        <f>IF(A56=FALSE,"",Cotations!EJ56)</f>
        <v/>
      </c>
      <c r="UO56" s="493" t="str">
        <f>IF(A56=FALSE,"",Cotations!EK56)</f>
        <v/>
      </c>
      <c r="UP56" s="517" t="str">
        <f>IF(A56=FALSE,"",IF(UM56="N/A",0,IF(INDEX(LISTES!$F$105:$F$109,MATCH(UM56,LISTES!$C$105:$C$109,0))="FIX",IF(INDEX(LISTES!$E$105:$E$109,MATCH(UM56,LISTES!$C$105:$C$109,0))=12,UN56/12*L56,UN56/365*M56),UO56*UL56)))</f>
        <v/>
      </c>
      <c r="UQ56" s="294" t="str">
        <f t="shared" si="611"/>
        <v/>
      </c>
      <c r="UR56" s="494" t="str">
        <f>IF(A56=FALSE,"",UQ56*Cotations!EL56)</f>
        <v/>
      </c>
      <c r="US56" s="494" t="str">
        <f>IF(A56=FALSE,"",UQ56*Cotations!EM56)</f>
        <v/>
      </c>
      <c r="UT56" s="338" t="str">
        <f t="shared" si="612"/>
        <v/>
      </c>
      <c r="UU56" s="919" t="str">
        <f>IF(A56=FALSE,"",((UG56*(1+TAXE)-(UG56*(1+TAXE)*UI56))+IF(UM56="N/A",0,IF(INDEX(LISTES!$F$105:$F$109,MATCH(UM56,LISTES!$C$105:$C$109,0))="FIX",UN56,UO56*UL56))))</f>
        <v/>
      </c>
      <c r="VA56" s="492" t="str">
        <f>IF(A56=FALSE,"",Cotations!D56)</f>
        <v/>
      </c>
      <c r="VB56" s="519" t="str">
        <f>IF(A56=FALSE,"",IF(LISTES!$A$17=1,Cotations!EN56,Cotations!EO56))</f>
        <v/>
      </c>
      <c r="VC56" s="291" t="str">
        <f t="shared" si="613"/>
        <v/>
      </c>
      <c r="VD56" s="291" t="str">
        <f t="shared" si="614"/>
        <v/>
      </c>
      <c r="VE56" s="291"/>
      <c r="VF56" s="463"/>
      <c r="VG56" s="463" t="str">
        <f t="shared" si="615"/>
        <v/>
      </c>
      <c r="VH56" s="522" t="str">
        <f>IF(A56=FALSE,"",IF(Cotations!$AQ$4="monthly",VG56/12*L56,VG56/365*M56))</f>
        <v/>
      </c>
      <c r="VI56" s="489" t="str">
        <f>IF(A56=FALSE,"",Cotations!$AR$4)</f>
        <v/>
      </c>
      <c r="VJ56" s="300" t="str">
        <f t="shared" si="616"/>
        <v/>
      </c>
      <c r="VK56" s="300" t="str">
        <f t="shared" si="617"/>
        <v/>
      </c>
      <c r="VL56" s="294" t="str">
        <f t="shared" si="618"/>
        <v/>
      </c>
      <c r="VM56" s="494" t="str">
        <f>IF(A56=FALSE,"",Cotations!$AS$4)</f>
        <v/>
      </c>
      <c r="VN56" s="494" t="str">
        <f>IF(A56=FALSE,"",Cotations!$AT$4)</f>
        <v/>
      </c>
      <c r="VO56" s="489" t="str">
        <f>IF(A56=FALSE,"",Cotations!$AU$4)</f>
        <v/>
      </c>
      <c r="VP56" s="494" t="str">
        <f>IF(A56=FALSE,"",IF(VM56="N/A",0,IF(INDEX(LISTES!$F$105:$F$109,MATCH(VM56,LISTES!$C$105:$C$109,0))="FIX",IF(INDEX(LISTES!$E$105:$E$109,MATCH(VM56,LISTES!$C$105:$C$109,0))=12,VN56/12*L56,VN56/365*M56),VO56*VL56)))</f>
        <v/>
      </c>
      <c r="VQ56" s="294" t="str">
        <f t="shared" si="619"/>
        <v/>
      </c>
      <c r="VR56" s="494" t="str">
        <f>IF(A56=FALSE,"",VQ56*Cotations!$AV$4)</f>
        <v/>
      </c>
      <c r="VS56" s="494" t="str">
        <f>IF(A56=FALSE,"",VQ56*Cotations!$AW$4)</f>
        <v/>
      </c>
      <c r="VT56" s="465" t="str">
        <f t="shared" si="620"/>
        <v/>
      </c>
      <c r="VU56" s="919" t="str">
        <f>IF(A56=FALSE,"",((VG56*TAXE)-(VG56*TAXE*VI56))+IF(VM56="N/A",0,IF(INDEX(LISTES!$F$105:$F$109,MATCH(VM56,LISTES!$C$105:$C$109,0))="FIX",VN56,VO56*VL56)))</f>
        <v/>
      </c>
      <c r="WA56" s="492" t="str">
        <f>IF(A56=FALSE,"",Cotations!D56)</f>
        <v/>
      </c>
      <c r="WB56" s="519" t="str">
        <f>IF(A56=FALSE,"",IF(LISTES!$A$17=1,Cotations!EW56,Cotations!EX56))</f>
        <v/>
      </c>
      <c r="WC56" s="291" t="str">
        <f t="shared" si="621"/>
        <v/>
      </c>
      <c r="WD56" s="291" t="str">
        <f t="shared" si="622"/>
        <v/>
      </c>
      <c r="WE56" s="291"/>
      <c r="WF56" s="463"/>
      <c r="WG56" s="463" t="str">
        <f t="shared" si="623"/>
        <v/>
      </c>
      <c r="WH56" s="522" t="str">
        <f>IF(A56=FALSE,"",IF(Cotations!$AQ$4="monthly",WG56/12*L56,WG56/365*M56))</f>
        <v/>
      </c>
      <c r="WI56" s="489" t="str">
        <f>IF(A56=FALSE,"",Cotations!$AR$4)</f>
        <v/>
      </c>
      <c r="WJ56" s="300" t="str">
        <f t="shared" si="624"/>
        <v/>
      </c>
      <c r="WK56" s="300" t="str">
        <f t="shared" si="625"/>
        <v/>
      </c>
      <c r="WL56" s="294" t="str">
        <f t="shared" si="626"/>
        <v/>
      </c>
      <c r="WM56" s="494" t="str">
        <f>IF(A56=FALSE,"",Cotations!$AS$4)</f>
        <v/>
      </c>
      <c r="WN56" s="494" t="str">
        <f>IF(A56=FALSE,"",Cotations!$AT$4)</f>
        <v/>
      </c>
      <c r="WO56" s="489" t="str">
        <f>IF(A56=FALSE,"",Cotations!$AU$4)</f>
        <v/>
      </c>
      <c r="WP56" s="494" t="str">
        <f>IF(A56=FALSE,"",IF(WM56="N/A",0,IF(INDEX(LISTES!$F$105:$F$109,MATCH(WM56,LISTES!$C$105:$C$109,0))="FIX",IF(INDEX(LISTES!$E$105:$E$109,MATCH(WM56,LISTES!$C$105:$C$109,0))=12,WN56/12*L56,WN56/365*M56),WO56*WL56)))</f>
        <v/>
      </c>
      <c r="WQ56" s="294" t="str">
        <f t="shared" si="627"/>
        <v/>
      </c>
      <c r="WR56" s="494" t="str">
        <f>IF(A56=FALSE,"",WQ56*Cotations!$AV$4)</f>
        <v/>
      </c>
      <c r="WS56" s="494" t="str">
        <f>IF(A56=FALSE,"",WQ56*Cotations!$AW$4)</f>
        <v/>
      </c>
      <c r="WT56" s="465" t="str">
        <f t="shared" si="628"/>
        <v/>
      </c>
      <c r="WU56" s="919" t="str">
        <f>IF(A56=FALSE,"",((WG56*TAXE)-(WG56*TAXE*WI56))+IF(WM56="N/A",0,IF(INDEX(LISTES!$F$105:$F$109,MATCH(WM56,LISTES!$C$105:$C$109,0))="FIX",WN56,WO56*WL56)))</f>
        <v/>
      </c>
    </row>
    <row r="57" spans="1:619">
      <c r="A57" s="942" t="b">
        <f t="shared" si="433"/>
        <v>0</v>
      </c>
      <c r="B57" s="942" t="b">
        <f>IF(NAMES!$B$9=TRUE,TRUE,FALSE)</f>
        <v>1</v>
      </c>
      <c r="C57" s="942" t="b">
        <f t="shared" si="413"/>
        <v>0</v>
      </c>
      <c r="D57" s="942" t="b">
        <f t="shared" si="414"/>
        <v>0</v>
      </c>
      <c r="E57" s="274" t="b">
        <f>IF(Cotations!C57="","",Cotations!C57)</f>
        <v>0</v>
      </c>
      <c r="F57" s="274" t="str">
        <f>IF(Cotations!D57="","",Cotations!D57)</f>
        <v>PROP</v>
      </c>
      <c r="G57" s="274" t="str">
        <f>IF(Cotations!E57="","",Cotations!E57)</f>
        <v>2016-2017!</v>
      </c>
      <c r="H57" s="274" t="str">
        <f>IF(Cotations!F57="","",Cotations!F57)</f>
        <v>SINGLE</v>
      </c>
      <c r="I57" s="274" t="str">
        <f>IF(Cotations!G57="","",Cotations!G57)</f>
        <v/>
      </c>
      <c r="J57" s="274" t="str">
        <f>IF(Cotations!H57="","",Cotations!H57)</f>
        <v/>
      </c>
      <c r="K57" s="274" t="str">
        <f>IF(Cotations!I57="","",Cotations!I57)</f>
        <v/>
      </c>
      <c r="L57" s="274" t="str">
        <f>IF(A57=FALSE,"",IF(Cotations!N57="","",Cotations!N57))</f>
        <v/>
      </c>
      <c r="M57" s="274" t="str">
        <f>IF(Cotations!P57="","",Cotations!P57)</f>
        <v/>
      </c>
      <c r="N57" s="724" t="str">
        <f>IF(NAMES!$B$10=TRUE,Cotations!J57,Cotations!L57)</f>
        <v/>
      </c>
      <c r="O57" s="724" t="str">
        <f>IF(NAMES!$B$10=TRUE,Cotations!K57,Cotations!M57)</f>
        <v/>
      </c>
      <c r="P57" s="943" t="str">
        <f t="shared" si="415"/>
        <v/>
      </c>
      <c r="Q57" s="724" t="str">
        <f>IF(A57=FALSE,"",IF(Crewlist!Y57="","",Crewlist!Y57))</f>
        <v/>
      </c>
      <c r="R57" s="78" t="str">
        <f>IF(Cotations!U57="","",Cotations!U57)</f>
        <v/>
      </c>
      <c r="S57" s="943" t="str">
        <f t="shared" si="416"/>
        <v/>
      </c>
      <c r="T57" s="919" t="str">
        <f>IF(A57=FALSE,"",VLOOKUP($U$15:$U$120,Currency!$A$2:$D$10,4,0)*Crewlist!N57)</f>
        <v/>
      </c>
      <c r="U57" s="1355" t="str">
        <f>IF(A57=FALSE,"",IF(IT57=0,Crewlist!M57&amp;"/"&amp;EX57,Crewlist!M57&amp;"/"&amp;IT57))</f>
        <v/>
      </c>
      <c r="V57" s="919" t="str">
        <f>IF(A57=FALSE,"",VLOOKUP($U$15:$U$120,Currency!$A$2:$D$10,4,0)*Detail!Q57)</f>
        <v/>
      </c>
      <c r="W57" s="1355" t="str">
        <f>IF(A57=FALSE,"",IF(IT57=0,Detail!R57&amp;"/"&amp;EX57,Detail!R57&amp;"/"&amp;IT57))</f>
        <v/>
      </c>
      <c r="X57" s="919" t="str">
        <f>IF(A57=FALSE,"",IF(LISTES!$C$17="Crewlist",Calcul!T57,Calcul!V57))</f>
        <v/>
      </c>
      <c r="Y57" s="758" t="str">
        <f t="shared" si="417"/>
        <v/>
      </c>
      <c r="Z57" s="758" t="str">
        <f>IF(A57=FALSE,"",IF(X57=0,0,IF((Cotations!BC57*12*X57)&lt;50000,50000,(12*X57))))</f>
        <v/>
      </c>
      <c r="AA57" s="758" t="str">
        <f t="shared" si="418"/>
        <v/>
      </c>
      <c r="AB57" s="758" t="str">
        <f>IF(A57=FALSE,"",IF(Crewlist!O57=0,"",Crewlist!O57))</f>
        <v/>
      </c>
      <c r="AC57" s="758" t="str">
        <f>IF(I57="","",VLOOKUP($AB$15:$AB$120,Currency!$A$15:$B$34,2,0))</f>
        <v/>
      </c>
      <c r="AD57" s="758" t="str">
        <f t="shared" si="419"/>
        <v/>
      </c>
      <c r="AE57" s="758" t="str">
        <f t="shared" si="420"/>
        <v/>
      </c>
      <c r="AF57" s="758" t="str">
        <f t="shared" si="421"/>
        <v/>
      </c>
      <c r="AG57" s="758" t="str">
        <f t="shared" si="422"/>
        <v/>
      </c>
      <c r="AH57" s="1355" t="str">
        <f t="shared" si="434"/>
        <v/>
      </c>
      <c r="AI57" s="919" t="str">
        <f t="shared" si="423"/>
        <v/>
      </c>
      <c r="AJ57" s="1382" t="str">
        <f t="shared" si="424"/>
        <v/>
      </c>
      <c r="AK57" s="1382" t="str">
        <f t="shared" si="425"/>
        <v/>
      </c>
      <c r="AL57" s="238" t="str">
        <f t="shared" si="435"/>
        <v/>
      </c>
      <c r="AM57" s="238" t="str">
        <f t="shared" si="436"/>
        <v/>
      </c>
      <c r="AN57" s="1374" t="str">
        <f t="shared" si="437"/>
        <v/>
      </c>
      <c r="AO57" s="238" t="str">
        <f t="shared" si="438"/>
        <v/>
      </c>
      <c r="AP57" s="342" t="str">
        <f>IF(A57=FALSE,"",INDEX(Rates!$Z$5:$Z$367,MATCH(EB57,colchoice,0)))</f>
        <v/>
      </c>
      <c r="AQ57" s="238" t="str">
        <f t="shared" si="439"/>
        <v/>
      </c>
      <c r="AR57" s="238" t="str">
        <f t="shared" si="440"/>
        <v/>
      </c>
      <c r="AS57" s="238" t="str">
        <f t="shared" si="441"/>
        <v/>
      </c>
      <c r="AT57" s="238" t="str">
        <f t="shared" si="442"/>
        <v/>
      </c>
      <c r="AU57" s="238" t="str">
        <f t="shared" si="443"/>
        <v/>
      </c>
      <c r="AV57" s="238" t="str">
        <f t="shared" si="429"/>
        <v/>
      </c>
      <c r="AW57" s="238" t="str">
        <f t="shared" si="444"/>
        <v/>
      </c>
      <c r="AX57" s="238" t="str">
        <f t="shared" si="445"/>
        <v/>
      </c>
      <c r="AY57" s="238" t="str">
        <f t="shared" si="446"/>
        <v/>
      </c>
      <c r="AZ57" s="238" t="str">
        <f t="shared" si="447"/>
        <v/>
      </c>
      <c r="BA57" s="238" t="str">
        <f t="shared" si="448"/>
        <v/>
      </c>
      <c r="BB57" s="552" t="str">
        <f t="shared" si="449"/>
        <v/>
      </c>
      <c r="BC57" s="347" t="str">
        <f t="shared" si="450"/>
        <v/>
      </c>
      <c r="BD57" s="239" t="str">
        <f t="shared" si="430"/>
        <v/>
      </c>
      <c r="BE57" s="239" t="str">
        <f>IF(A57=FALSE,"",IF(ALLTHESAME=TRUE,IF(DF57&lt;&gt;$BC$7,0,INDEX(DD57:DZ57,1,MATCH(Structure!$D$12,$DD$14:$DZ$14,0))),IF(EC57&lt;&gt;$BC$7,0,INDEX(EA57:EZ57,1,MATCH(Structure!$D$12,$EA$14:$EZ$14,0)))))</f>
        <v/>
      </c>
      <c r="BF57" s="239" t="str">
        <f>IF(A57=FALSE,"",IF(ALLTHESAME=TRUE,IF(FC57&lt;&gt;$BC$7,0,INDEX(FA57:FZ57,1,MATCH(Structure!$D$12,$FA$14:$FZ$14,0))),IF(GC57&lt;&gt;$BC$7,0,INDEX(GA57:GZ57,1,MATCH(Structure!$D$12,$GA$14:$GZ$14,0)))))</f>
        <v/>
      </c>
      <c r="BG57" s="239" t="str">
        <f>IF(A57=FALSE,"",IF(ALLTHESAME=TRUE,IF(VC57&lt;&gt;$BC$7,0,INDEX(VA57:VZ57,1,MATCH(Structure!$D$12,$VA$14:$VZ$14,0))),IF(VC57&lt;&gt;$BC$7,0,INDEX(VA57:VZ57,1,MATCH(Structure!$D$12,$VA$14:$VZ$14,0)))))</f>
        <v/>
      </c>
      <c r="BH57" s="239" t="str">
        <f>IF(A57=FALSE,"",IF(ALLTHESAME=TRUE,IF(WC57&lt;&gt;$BC$7,0,INDEX(WA57:WY57,1,MATCH(Structure!$D$12,$WA$14:$WZ$14,0))),IF(WC57&lt;&gt;$BC$7,0,INDEX(WA57:WZ57,1,MATCH(Structure!$D$12,$WA$14:$WZ$14,0)))))</f>
        <v/>
      </c>
      <c r="BI57" s="763" t="str">
        <f>IF(A57=FALSE,"",IF(ALLTHESAME=TRUE,IF(HC57&lt;&gt;$BC$7,0,INDEX(HA57:HZ57,1,MATCH(Structure!$D$12,$HA$14:$HZ$14,0)))+TK57,IF(IC57&lt;&gt;$BC$7,0,INDEX(IA57:IZ57,1,MATCH(Structure!$D$12,$IA$14:$IZ$14,0)))+TK57))</f>
        <v/>
      </c>
      <c r="BJ57" s="239" t="str">
        <f>IF(A57=FALSE,"",IF(ALLTHESAME=TRUE,IF(JC57&lt;&gt;$BC$7,0,INDEX(JA57:JZ57,1,MATCH(Structure!$D$12,$JA$14:$JZ$14,0))),IF(KC57&lt;&gt;$BC$7,0,INDEX(KA57:KZ57,1,MATCH(Structure!$D$12,$KA$14:$KZ$14,0)))))</f>
        <v/>
      </c>
      <c r="BK57" s="763" t="str">
        <f>IF(A57=FALSE,"",IF(ALLTHESAME=TRUE,IF(LC57&lt;&gt;$BC$7,0,INDEX(LA57:LZ57,1,MATCH(Structure!$D$12,$LA$14:$LZ$14,0)))+UK57,IF(MC57&lt;&gt;$BC$7,0,INDEX(MA57:MZ57,1,MATCH(Structure!$D$12,$MA$14:$MZ$14,0)))+UK57))</f>
        <v/>
      </c>
      <c r="BL57" s="239" t="str">
        <f>IF(A57=FALSE,"",IF(ALLTHESAME=TRUE,IF(NC57&lt;&gt;$BC$7,0,INDEX(NA57:NZ57,1,MATCH(Structure!$D$12,$NA$14:$NZ$14,0))),IF(OC57&lt;&gt;$BC$7,0,INDEX(OA57:OZ57,1,MATCH(Structure!$D$12,$OA$14:$OZ$14,0)))))</f>
        <v/>
      </c>
      <c r="BM57" s="239" t="str">
        <f>IF(A57=FALSE,"",IF(ALLTHESAME=TRUE,IF(PC57&lt;&gt;$BC$7,0,INDEX(PA57:PZ57,1,MATCH(Structure!$D$12,$PA$14:$PZ$14,0))),IF(QC57&lt;&gt;$BC$7,0,INDEX(QA57:QZ57,1,MATCH(Structure!$D$12,$QA$14:$QZ$14,0)))))</f>
        <v/>
      </c>
      <c r="BN57" s="341" t="str">
        <f>IF(A57=FALSE,"",IF(ALLTHESAME=TRUE,IF(RC57&lt;&gt;$BC$7,0,INDEX(RA57:RZ57,1,MATCH(Structure!$D$12,$RA$14:$RZ$14,0))),IF(SC57&lt;&gt;$BC$7,0,INDEX(SA57:TA57,1,MATCH(Structure!$D$12,$SA$14:$TA$14,0)))))</f>
        <v/>
      </c>
      <c r="BO57" s="507" t="str">
        <f t="shared" si="451"/>
        <v/>
      </c>
      <c r="BP57" s="239" t="str">
        <f t="shared" si="452"/>
        <v/>
      </c>
      <c r="BQ57" s="239" t="str">
        <f>IF(A57=FALSE,"",IF(ALLTHESAME=TRUE,IF(DF57&lt;&gt;$BO$7,0,INDEX(DD57:DZ57,1,MATCH(Structure!$D$12,$DD$14:$DZ$14,0))),IF(EC57&lt;&gt;$BO$7,0,INDEX(EA57:EZ57,1,MATCH(Structure!$D$12,$EA$14:$EZ$14,0)))))</f>
        <v/>
      </c>
      <c r="BR57" s="239" t="str">
        <f>IF(A57=FALSE,"",IF(ALLTHESAME=TRUE,IF(FC57&lt;&gt;$BO$7,0,INDEX(FA57:FZ57,1,MATCH(Structure!$D$12,$FA$14:$FZ$14,0))),IF(GC57&lt;&gt;$BO$7,0,INDEX(GA57:GZ57,1,MATCH(Structure!$D$12,$GA$14:$GZ$14,0)))))</f>
        <v/>
      </c>
      <c r="BS57" s="239" t="str">
        <f>IF(A57=FALSE,"",IF(ALLTHESAME=TRUE,IF(HC57&lt;&gt;$BO$7,0,INDEX(HA57:HZ57,1,MATCH(Structure!$D$12,$HA$14:$HZ$14,0))),IF(IC57&lt;&gt;$BO$7,0,INDEX(IA57:IZ57,1,MATCH(Structure!$D$12,$IA$14:$IZ$14,0)))))</f>
        <v/>
      </c>
      <c r="BT57" s="239" t="str">
        <f>IF(A57=FALSE,"",IF(ALLTHESAME=TRUE,IF(JC57&lt;&gt;$BO$7,0,INDEX(JA57:JZ57,1,MATCH(Structure!$D$12,$JA$14:$JZ$14,0))),IF(KC57&lt;&gt;$BO$7,0,INDEX(KA57:KZ57,1,MATCH(Structure!$D$12,$KA$14:$KZ$14,0)))))</f>
        <v/>
      </c>
      <c r="BU57" s="239" t="str">
        <f>IF(A57=FALSE,"",IF(ALLTHESAME=TRUE,IF(LC57&lt;&gt;$BO$7,0,INDEX(LA57:LZ57,1,MATCH(Structure!$D$12,$LA$14:$LZ$14,0))),IF(MC57&lt;&gt;$BO$7,0,INDEX(MA57:MZ57,1,MATCH(Structure!$D$12,$MA$14:$MZ$14,0)))))</f>
        <v/>
      </c>
      <c r="BV57" s="239" t="str">
        <f>IF(A57=FALSE,"",IF(ALLTHESAME=TRUE,IF(NC57&lt;&gt;$BO$7,0,INDEX(NA57:NZ57,1,MATCH(Structure!$D$12,$NA$14:$NZ$14,0))),IF(OC57&lt;&gt;$BO$7,0,INDEX(OA57:OZ57,1,MATCH(Structure!$D$12,$OA$14:$OZ$14,0)))))</f>
        <v/>
      </c>
      <c r="BW57" s="239" t="str">
        <f>IF(A57=FALSE,"",IF(ALLTHESAME=TRUE,IF(PC57&lt;&gt;$BO$7,0,INDEX(PA57:PZ57,1,MATCH(Structure!$D$12,$PA$14:$PZ$14,0))),IF(QC57&lt;&gt;$BO$7,0,INDEX(QA57:QZ57,1,MATCH(Structure!$D$12,$QA$14:$QZ$14,0)))))</f>
        <v/>
      </c>
      <c r="BX57" s="341" t="str">
        <f>IF(A57=FALSE,"",IF(ALLTHESAME=TRUE,IF(RC57&lt;&gt;$BO$7,0,INDEX(RA57:RZ57,1,MATCH(Structure!$D$12,$RA$14:$RZ$14,0))),IF(SC57&lt;&gt;$BO$7,0,INDEX(SA57:TA57,1,MATCH(Structure!$D$12,$SA$14:$TA$14,0)))))</f>
        <v/>
      </c>
      <c r="BY57" s="347" t="str">
        <f t="shared" si="453"/>
        <v/>
      </c>
      <c r="BZ57" s="507" t="str">
        <f t="shared" si="454"/>
        <v/>
      </c>
      <c r="CA57" s="239" t="str">
        <f t="shared" si="455"/>
        <v/>
      </c>
      <c r="CB57" s="239" t="str">
        <f>IF(A57=FALSE,"",IF(ALLTHESAME=TRUE,INDEX(DD57:DZ57,MATCH(DF57,DF57:DF162,0),MATCH(Structure!$D$17,$DD$14:$DZ$14,0)),INDEX(EA57:EZ57,MATCH(EC57,EC57:EC162,0),MATCH(Structure!$D$17,$EA$14:$EZ$14,0))))</f>
        <v/>
      </c>
      <c r="CC57" s="239" t="str">
        <f>IF(A57=FALSE,"",IF(ALLTHESAME=TRUE,INDEX(FA57:FZ57,MATCH(FC57,FC57:FC162,0),MATCH(Structure!$D$17,$FA$14:$FZ$14,0)),INDEX(GA57:GZ57,MATCH(GC57,GC57:GC162,0),MATCH(Structure!$D$17,$GA$14:$GZ$14,0))))</f>
        <v/>
      </c>
      <c r="CD57" s="239" t="str">
        <f>IF(A57=FALSE,"",IF(ALLTHESAME=TRUE,INDEX(HA57:HZ57,MATCH(HC57,HC57:HC162,0),MATCH(Structure!$D$17,$HA$14:$HZ$14,0)),INDEX(IA57:IZ57,MATCH(IC57,IC57:IC162,0),MATCH(Structure!$D$17,$IA$14:$IZ$14,0))))</f>
        <v/>
      </c>
      <c r="CE57" s="239" t="str">
        <f>IF(A57=FALSE,"",IF(ALLTHESAME=TRUE,INDEX(JA57:JZ57,MATCH(JC57,JC57:JC162,0),MATCH(Structure!$D$17,$JA$14:$JZ$14,0)),INDEX(KA57:KZ57,MATCH(KC57,KC57:KC162,0),MATCH(Structure!$D$17,$KA$14:$KZ$14,0))))</f>
        <v/>
      </c>
      <c r="CF57" s="239" t="str">
        <f>IF(A57=FALSE,"",IF(ALLTHESAME=TRUE,INDEX(LA57:LZ57,MATCH(LC57,LC57:LC162,0),MATCH(Structure!$D$17,$LA$14:$LZ$14,0)),INDEX(MA57:MZ57,MATCH(MC57,MC57:MC162,0),MATCH(Structure!$D$17,$MA$14:$MZ$14,0))))</f>
        <v/>
      </c>
      <c r="CG57" s="239" t="str">
        <f>IF(A57=FALSE,"",IF(ALLTHESAME=TRUE,INDEX(NA57:NZ57,MATCH(NC57,NC57:NC162,0),MATCH(Structure!$D$17,$NA$14:$NZ$14,0)),INDEX(OA57:OZ57,MATCH(OC57,OC57:OC162,0),MATCH(Structure!$D$17,$OA$14:$OZ$14,0))))</f>
        <v/>
      </c>
      <c r="CH57" s="239" t="str">
        <f>IF(A57=FALSE,"",IF(ALLTHESAME=TRUE,INDEX(PA57:PZ57,MATCH(PC57,PC57:PC162,0),MATCH(Structure!$D$17,$PA$14:$PZ$14,0)),INDEX(QA57:QZ57,MATCH(QC57,QC57:QC162,0),MATCH(Structure!$D$17,$QA$14:$QZ$14,0))))</f>
        <v/>
      </c>
      <c r="CI57" s="341" t="str">
        <f>IF(A57=FALSE,"",IF(ALLTHESAME=TRUE,INDEX(RA57:RZ57,MATCH(RC57,RC57:RC162,0),MATCH(Structure!$D$17,$RA$14:$RZ$14,0)),INDEX(SA57:TC57,MATCH(SC57,SC57:SC162,0),MATCH(Structure!$D$17,$SA$14:$TC$14,0))))</f>
        <v/>
      </c>
      <c r="CJ57" s="347"/>
      <c r="CK57" s="239" t="str">
        <f t="shared" si="456"/>
        <v/>
      </c>
      <c r="CL57" s="239" t="str">
        <f>IF(A57=FALSE,"",IF(ALLTHESAME=TRUE,INDEX(DD57:DZ57,MATCH(DF57,DF57:DF162,0),MATCH(Structure!$D$22,$DD$14:$DZ$14,0)),INDEX(EA57:EZ57,MATCH(EC57,EC57:EC162,0),MATCH(Structure!$D$22,$EA$14:$EZ$14,0))))</f>
        <v/>
      </c>
      <c r="CM57" s="239" t="str">
        <f>IF(A57=FALSE,"",IF(ALLTHESAME=TRUE,INDEX(FA57:FZ57,MATCH(FC57,FC57:FC162,0),MATCH(Structure!$D$22,$FA$14:$FZ$14,0)),INDEX(GA57:GZ57,MATCH(GC57,GC57:GC162,0),MATCH(Structure!$D$22,$GA$14:$GZ$14,0))))</f>
        <v/>
      </c>
      <c r="CN57" s="239" t="str">
        <f>IF(A57=FALSE,"",IF(ALLTHESAME=TRUE,INDEX(HA57:HZ57,MATCH(HC57,HC57:HC162,0),MATCH(Structure!$D$22,$HA$14:$HZ$14,0)),INDEX(IA57:IZ57,MATCH(IC57,IC57:IC162,0),MATCH(Structure!$D$22,$IA$14:$IZ$14,0))))</f>
        <v/>
      </c>
      <c r="CO57" s="239" t="str">
        <f>IF(A57=FALSE,"",IF(ALLTHESAME=TRUE,INDEX(JA57:JZ57,MATCH(JC57,JC57:JC162,0),MATCH(Structure!$D$22,$JA$14:$JZ$14,0)),INDEX(KA57:KZ57,MATCH(KC57,KC57:KC162,0),MATCH(Structure!$D$22,$KA$14:$KZ$14,0))))</f>
        <v/>
      </c>
      <c r="CP57" s="239" t="str">
        <f>IF(A57=FALSE,"",IF(ALLTHESAME=TRUE,INDEX(LA57:LZ57,MATCH(LC57,LC57:LC162,0),MATCH(Structure!$D$22,$LA$14:$LZ$14,0)),INDEX(MA57:MZ57,MATCH(MC57,MC57:MC162,0),MATCH(Structure!$D$22,$MA$14:$MZ$14,0))))</f>
        <v/>
      </c>
      <c r="CQ57" s="239" t="str">
        <f>IF(A57=FALSE,"",IF(ALLTHESAME=TRUE,INDEX(NA57:NZ57,MATCH(NC57,NC57:NC162,0),MATCH(Structure!$D$22,$NA$14:$NZ$14,0)),INDEX(OA57:OZ57,MATCH(OC57,OC57:OC162,0),MATCH(Structure!$D$22,$OA$14:$OZ$14,0))))</f>
        <v/>
      </c>
      <c r="CR57" s="239" t="str">
        <f>IF(A57=FALSE,"",IF(ALLTHESAME=TRUE,INDEX(PA57:PZ57,MATCH(PC57,PC57:PC162,0),MATCH(Structure!$D$22,$PA$14:$PZ$14,0)),INDEX(QA57:QZ57,MATCH(QC57,QC57:QC162,0),MATCH(Structure!$D$22,$QA$14:$QZ$14,0))))</f>
        <v/>
      </c>
      <c r="CS57" s="341" t="str">
        <f>IF(A57=FALSE,"",IF(ALLTHESAME=TRUE,INDEX(RA57:RZ57,MATCH(RC57,RC57:RC162,0),MATCH(Structure!$D$22,$RA$14:$RZ$14,0)),INDEX(SA57:TC57,MATCH(SC57,SC57:SC162,0),MATCH(Structure!$D$22,$SA$14:$TC$14,0))))</f>
        <v/>
      </c>
      <c r="CT57" s="347"/>
      <c r="CU57" s="239" t="str">
        <f t="shared" si="457"/>
        <v/>
      </c>
      <c r="CV57" s="239" t="str">
        <f>IF(A57=FALSE,"",IF(ALLTHESAME=TRUE,INDEX(DD57:DZ57,MATCH(DF57,DF57:DF162,0),MATCH(Structure!$D$8,$DD$14:$DZ$14,0)),INDEX(EA57:EZ57,MATCH(EC57,EC57:EC162,0),MATCH(Structure!$D$8,$EA$14:$EZ$14,0))))</f>
        <v/>
      </c>
      <c r="CW57" s="239" t="str">
        <f>IF(A57=FALSE,"",IF(ALLTHESAME=TRUE,INDEX(FA57:FZ57,MATCH(FC57,FC57:FC162,0),MATCH(Structure!$D$8,$FA$14:$FZ$14,0)),INDEX(GA57:GZ57,MATCH(GC57,GC57:GC162,0),MATCH(Structure!$D$8,$GA$14:$GZ$14,0))))</f>
        <v/>
      </c>
      <c r="CX57" s="239" t="str">
        <f>IF(A57=FALSE,"",IF(ALLTHESAME=TRUE,INDEX(HA57:HZ57,MATCH(HC57,HC57:HC162,0),MATCH(Structure!$D$8,$HA$14:$HZ$14,0)),INDEX(IA57:IZ57,MATCH(IC57,IC57:IC162,0),MATCH(Structure!$D$8,$IA$14:$IZ$14,0))))</f>
        <v/>
      </c>
      <c r="CY57" s="239" t="str">
        <f>IF(A57=FALSE,"",IF(ALLTHESAME=TRUE,INDEX(JA57:JZ57,MATCH(JC57,JC57:JC162,0),MATCH(Structure!$D$8,$JA$14:$JZ$14,0)),INDEX(KA57:KZ57,MATCH(KC57,KC57:KC162,0),MATCH(Structure!$D$8,$KA$14:$KZ$14,0))))</f>
        <v/>
      </c>
      <c r="CZ57" s="239" t="str">
        <f>IF(A57=FALSE,"",IF(ALLTHESAME=TRUE,INDEX(LA57:LZ57,MATCH(LC57,LC57:LC162,0),MATCH(Structure!$D$8,$LA$14:$LZ$14,0)),INDEX(MA57:MZ57,MATCH(MC57,MC57:MC162,0),MATCH(Structure!$D$8,$MA$14:$MZ$14,0))))</f>
        <v/>
      </c>
      <c r="DA57" s="239" t="str">
        <f>IF(A57=FALSE,"",IF(ALLTHESAME=TRUE,INDEX(NA57:NZ57,MATCH(NC57,NC57:NC162,0),MATCH(Structure!$D$8,$NA$14:$NZ$14,0)),INDEX(OA57:OZ57,MATCH(OC57,OC57:OC162,0),MATCH(Structure!$D$8,$OA$14:$OZ$14,0))))</f>
        <v/>
      </c>
      <c r="DB57" s="239" t="str">
        <f>IF(A57=FALSE,"",IF(ALLTHESAME=TRUE,INDEX(PA57:PZ57,MATCH(PC57,PC57:PC162,0),MATCH(Structure!$D$8,$PA$14:$PZ$14,0)),INDEX(QA57:QZ57,MATCH(QC57,QC57:QC162,0),MATCH(Structure!$D$8,$QA$14:$QZ$14,0))))</f>
        <v/>
      </c>
      <c r="DC57" s="341" t="str">
        <f>IF(A57=FALSE,"",IF(ALLTHESAME=TRUE,INDEX(RA57:RZ57,MATCH(RC57,RC57:RC162,0),MATCH(Structure!$D$8,$RA$14:$RZ$14,0)),INDEX(SA57:TC57,MATCH(SC57,SC57:SC162,0),MATCH(Structure!$D$8,$SA$14:$TC$14,0))))</f>
        <v/>
      </c>
      <c r="DD57" s="492" t="str">
        <f>IF(A57=FALSE,"",Cotations!D57)</f>
        <v/>
      </c>
      <c r="DE57" s="492" t="str">
        <f>IF(A57=FALSE,"",IF(LISTES!$A$17=1,Cotations!AF57,Cotations!$AG$4))</f>
        <v/>
      </c>
      <c r="DF57" s="291" t="str">
        <f t="shared" si="458"/>
        <v/>
      </c>
      <c r="DG57" s="291" t="str">
        <f t="shared" si="459"/>
        <v/>
      </c>
      <c r="DH57" s="291"/>
      <c r="DI57" s="463"/>
      <c r="DJ57" s="463" t="str">
        <f t="shared" si="460"/>
        <v/>
      </c>
      <c r="DK57" s="522" t="str">
        <f>IF(A57=FALSE,"",IF(Cotations!$AH$4="monthly",DJ57/12*L57,DJ57/365*M57))</f>
        <v/>
      </c>
      <c r="DL57" s="489" t="str">
        <f>IF(A57=FALSE,"",Cotations!$AI$4)</f>
        <v/>
      </c>
      <c r="DM57" s="300" t="str">
        <f t="shared" si="461"/>
        <v/>
      </c>
      <c r="DN57" s="300" t="str">
        <f t="shared" si="462"/>
        <v/>
      </c>
      <c r="DO57" s="294" t="str">
        <f t="shared" si="463"/>
        <v/>
      </c>
      <c r="DP57" s="494" t="str">
        <f>IF(A57=FALSE,"",Cotations!$AJ$4)</f>
        <v/>
      </c>
      <c r="DQ57" s="494" t="str">
        <f>IF(A57=FALSE,"",Cotations!$AK$4)</f>
        <v/>
      </c>
      <c r="DR57" s="489" t="str">
        <f>IF(A57=FALSE,"",Cotations!$AL$4)</f>
        <v/>
      </c>
      <c r="DS57" s="494" t="str">
        <f>IF(A57=FALSE,"",IF(DP57="N/A",0,IF(INDEX(LISTES!$F$105:$F$109,MATCH(DP57,LISTES!$C$105:$C$109,0))="FIX",IF(INDEX(LISTES!$E$105:$E$109,MATCH(DP57,LISTES!$C$105:$C$109,0))=12,DQ57/12*L57,DQ57/365*M57),DR57*DO57)))</f>
        <v/>
      </c>
      <c r="DT57" s="294" t="str">
        <f t="shared" si="464"/>
        <v/>
      </c>
      <c r="DU57" s="294" t="str">
        <f>IF(A57=FALSE,"",DT57*Cotations!$AM$4)</f>
        <v/>
      </c>
      <c r="DV57" s="294" t="str">
        <f>IF(A57=FALSE,"",DT57*Cotations!$AN$4)</f>
        <v/>
      </c>
      <c r="DW57" s="465" t="str">
        <f t="shared" si="465"/>
        <v/>
      </c>
      <c r="DX57" s="919" t="str">
        <f>IF(A57=FALSE,"",((DJ57*TAXE)-(DJ57*TAXE*DL57))+IF(DP57="N/A",0,IF(INDEX(LISTES!$F$105:$F$109,MATCH(DP57,LISTES!$C$105:$C$109,0))="FIX",DQ57,DR57*DO57)))</f>
        <v/>
      </c>
      <c r="DY57" s="466"/>
      <c r="DZ57" s="466"/>
      <c r="EA57" s="492" t="str">
        <f>IF(A57=FALSE,"",Cotations!D57)</f>
        <v/>
      </c>
      <c r="EB57" s="494" t="str">
        <f>IF(A57=FALSE,"",IF(LISTES!$A$17=1,Cotations!AF57,Cotations!AG57))</f>
        <v/>
      </c>
      <c r="EC57" s="284" t="str">
        <f t="shared" si="466"/>
        <v/>
      </c>
      <c r="ED57" s="284" t="str">
        <f t="shared" si="467"/>
        <v/>
      </c>
      <c r="EE57" s="284"/>
      <c r="EF57" s="284"/>
      <c r="EG57" s="284" t="str">
        <f t="shared" si="468"/>
        <v/>
      </c>
      <c r="EH57" s="1365" t="str">
        <f t="shared" si="469"/>
        <v/>
      </c>
      <c r="EI57" s="1365" t="str">
        <f t="shared" si="470"/>
        <v/>
      </c>
      <c r="EJ57" s="515" t="str">
        <f>IF(A57=FALSE,"",IF(Cotations!AH57="monthly",EG57/12*L57,EG57/365*M57))</f>
        <v/>
      </c>
      <c r="EK57" s="1364" t="str">
        <f>IF(A57=FALSE,"",IF(Cotations!AH57="monthly",EI57/12*L57,EI57/365*M57))</f>
        <v/>
      </c>
      <c r="EL57" s="493" t="str">
        <f>IF(A57=FALSE,"",IF(Cotations!AI57="","",Cotations!AI57))</f>
        <v/>
      </c>
      <c r="EM57" s="284" t="str">
        <f t="shared" si="471"/>
        <v/>
      </c>
      <c r="EN57" s="284" t="str">
        <f t="shared" si="472"/>
        <v/>
      </c>
      <c r="EO57" s="1365" t="str">
        <f t="shared" si="432"/>
        <v/>
      </c>
      <c r="EP57" s="284" t="str">
        <f t="shared" si="473"/>
        <v/>
      </c>
      <c r="EQ57" s="515" t="str">
        <f>IF(A57=FALSE,"",Cotations!AJ57)</f>
        <v/>
      </c>
      <c r="ER57" s="515" t="str">
        <f>IF(A57=FALSE,"",IF(Cotations!AK57="","",Cotations!AK57))</f>
        <v/>
      </c>
      <c r="ES57" s="493" t="str">
        <f>IF(A57=FALSE,"",Cotations!AL57)</f>
        <v/>
      </c>
      <c r="ET57" s="515" t="str">
        <f>IF(A57=FALSE,"",IF(EQ57="N/A",0,IF(INDEX(LISTES!$F$105:$F$109,MATCH(EQ57,LISTES!$C$105:$C$109,0))="FIX",IF(INDEX(LISTES!$E$105:$E$109,MATCH(EQ57,LISTES!$C$105:$C$109,0))=12,ER57/12*L57,ER57/365*M57),ES57*EP57)))</f>
        <v/>
      </c>
      <c r="EU57" s="294" t="str">
        <f t="shared" si="474"/>
        <v/>
      </c>
      <c r="EV57" s="494" t="str">
        <f>IF(A57=FALSE,"",EU57*Cotations!AM57)</f>
        <v/>
      </c>
      <c r="EW57" s="494" t="str">
        <f>IF(A57=FALSE,"",EU57*Cotations!AN57)</f>
        <v/>
      </c>
      <c r="EX57" s="334" t="str">
        <f t="shared" si="475"/>
        <v/>
      </c>
      <c r="EY57" s="919" t="str">
        <f>IF(A57=FALSE,"",((EG57*TAXE)-(EG57*TAXE*EL57)+EH57)+IF(EQ57="N/A",0,IF(INDEX(LISTES!$F$105:$F$109,MATCH(EQ57,LISTES!$C$105:$C$109,0))="FIX",ER57,ES57*EP57)))</f>
        <v/>
      </c>
      <c r="FA57" s="492" t="str">
        <f>IF(A57=FALSE,"",Cotations!D57)</f>
        <v/>
      </c>
      <c r="FB57" s="519" t="str">
        <f>IF(A57=FALSE,"",IF(LISTES!$A$17=1,Cotations!AO57,Cotations!$AP$4))</f>
        <v/>
      </c>
      <c r="FC57" s="291" t="str">
        <f t="shared" si="476"/>
        <v/>
      </c>
      <c r="FD57" s="291" t="str">
        <f t="shared" si="477"/>
        <v/>
      </c>
      <c r="FE57" s="291"/>
      <c r="FF57" s="463"/>
      <c r="FG57" s="463" t="str">
        <f t="shared" si="478"/>
        <v/>
      </c>
      <c r="FH57" s="522" t="str">
        <f>IF(A57=FALSE,"",IF(Cotations!$AQ$4="monthly",FG57/12*L57,FG57/365*M57))</f>
        <v/>
      </c>
      <c r="FI57" s="453" t="str">
        <f>IF(A57=FALSE,"",Cotations!$AR$4)</f>
        <v/>
      </c>
      <c r="FJ57" s="300" t="str">
        <f t="shared" si="479"/>
        <v/>
      </c>
      <c r="FK57" s="300" t="str">
        <f t="shared" si="480"/>
        <v/>
      </c>
      <c r="FL57" s="294" t="str">
        <f t="shared" si="481"/>
        <v/>
      </c>
      <c r="FM57" s="494" t="str">
        <f>IF(A57=FALSE,"",Cotations!$AS$4)</f>
        <v/>
      </c>
      <c r="FN57" s="494" t="str">
        <f>IF(A57=FALSE,"",Cotations!$AT$4)</f>
        <v/>
      </c>
      <c r="FO57" s="489" t="str">
        <f>IF(A57=FALSE,"",Cotations!$AU$4)</f>
        <v/>
      </c>
      <c r="FP57" s="494" t="str">
        <f>IF(A57=FALSE,"",IF(FM57="N/A",0,IF(INDEX(LISTES!$F$105:$F$109,MATCH(FM57,LISTES!$C$105:$C$109,0))="FIX",IF(INDEX(LISTES!$E$105:$E$109,MATCH(FM57,LISTES!$C$105:$C$109,0))=12,FN57/12*L57,FN57/365*M57),FO57*FL57)))</f>
        <v/>
      </c>
      <c r="FQ57" s="294" t="str">
        <f t="shared" si="482"/>
        <v/>
      </c>
      <c r="FR57" s="494" t="str">
        <f>IF(A57=FALSE,"",FQ57*Cotations!$AV$4)</f>
        <v/>
      </c>
      <c r="FS57" s="494" t="str">
        <f>IF(A57=FALSE,"",FQ57*Cotations!$AW$4)</f>
        <v/>
      </c>
      <c r="FT57" s="465" t="str">
        <f t="shared" si="483"/>
        <v/>
      </c>
      <c r="FU57" s="919" t="str">
        <f>IF(A57=FALSE,"",((FG57*TAXE)-(FG57*TAXE*FI57))+IF(FM57="N/A",0,IF(INDEX(LISTES!$F$105:$F$109,MATCH(FM57,LISTES!$C$105:$C$109,0))="FIX",FN57,FO57*FL57)))</f>
        <v/>
      </c>
      <c r="FV57" s="478"/>
      <c r="FW57" s="478"/>
      <c r="FX57" s="478"/>
      <c r="FY57" s="478"/>
      <c r="FZ57" s="478"/>
      <c r="GA57" s="492" t="str">
        <f>IF(A57=FALSE,"",Cotations!D57)</f>
        <v/>
      </c>
      <c r="GB57" s="494" t="str">
        <f>IF(A57=FALSE,"",IF(LISTES!$A$17=1,Cotations!AO57,Cotations!AP57))</f>
        <v/>
      </c>
      <c r="GC57" s="284" t="str">
        <f t="shared" si="484"/>
        <v/>
      </c>
      <c r="GD57" s="515" t="str">
        <f>IF(A57=FALSE,"",IF(Detail!AM57="","",Detail!AM57))</f>
        <v/>
      </c>
      <c r="GE57" s="284"/>
      <c r="GF57" s="284"/>
      <c r="GG57" s="284" t="str">
        <f t="shared" si="485"/>
        <v/>
      </c>
      <c r="GH57" s="515" t="str">
        <f>IF(A57=FALSE,"",IF(Cotations!AQ57="monthly",GG57/12*L57,GG57/365*M57))</f>
        <v/>
      </c>
      <c r="GI57" s="493" t="str">
        <f>IF(A57=FALSE,"",IF(Cotations!AR57="","",Cotations!AR57))</f>
        <v/>
      </c>
      <c r="GJ57" s="284" t="str">
        <f t="shared" si="486"/>
        <v/>
      </c>
      <c r="GK57" s="284" t="str">
        <f t="shared" si="487"/>
        <v/>
      </c>
      <c r="GL57" s="284" t="str">
        <f t="shared" si="488"/>
        <v/>
      </c>
      <c r="GM57" s="515" t="str">
        <f>IF(A57=FALSE,"",Cotations!AS57)</f>
        <v/>
      </c>
      <c r="GN57" s="515" t="str">
        <f>IF(A57=FALSE,"",Cotations!AT57)</f>
        <v/>
      </c>
      <c r="GO57" s="493" t="str">
        <f>IF(A57=FALSE,"",Cotations!AU57)</f>
        <v/>
      </c>
      <c r="GP57" s="515" t="str">
        <f>IF(A57=FALSE,"",IF(GM57="N/A",0,IF(INDEX(LISTES!$F$105:$F$109,MATCH(GM57,LISTES!$C$105:$C$109,0))="FIX",IF(INDEX(LISTES!$E$105:$E$109,MATCH(GM57,LISTES!$C$105:$C$109,0))=12,GN57/12*L57,GN57/365*M57),GO57*GL57)))</f>
        <v/>
      </c>
      <c r="GQ57" s="294" t="str">
        <f t="shared" si="489"/>
        <v/>
      </c>
      <c r="GR57" s="494" t="str">
        <f>IF(A57=FALSE,"",GQ57*Cotations!AV57)</f>
        <v/>
      </c>
      <c r="GS57" s="494" t="str">
        <f>IF(A57=FALSE,"",GQ57*Cotations!AW57)</f>
        <v/>
      </c>
      <c r="GT57" s="334" t="str">
        <f t="shared" si="490"/>
        <v/>
      </c>
      <c r="GU57" s="919" t="str">
        <f>IF(A57=FALSE,"",((GG57*TAXE)-(GG57*TAXE*GI57))+IF(GM57="N/A",0,IF(INDEX(LISTES!$F$105:$F$109,MATCH(GM57,LISTES!$C$105:$C$109,0))="FIX",GN57,GO57*GL57)))</f>
        <v/>
      </c>
      <c r="GV57" s="478"/>
      <c r="GW57" s="466"/>
      <c r="GX57" s="466"/>
      <c r="GY57" s="466"/>
      <c r="GZ57" s="466"/>
      <c r="HA57" s="492" t="str">
        <f>IF(A57=FALSE,"",Cotations!D57)</f>
        <v/>
      </c>
      <c r="HB57" s="495" t="str">
        <f>IF(A57=FALSE,"",IF(LISTES!$A$17=1,Cotations!AX57,Cotations!$AY$4))</f>
        <v/>
      </c>
      <c r="HC57" s="291" t="str">
        <f t="shared" si="491"/>
        <v/>
      </c>
      <c r="HD57" s="291" t="str">
        <f t="shared" si="492"/>
        <v/>
      </c>
      <c r="HE57" s="456" t="str">
        <f t="shared" si="493"/>
        <v/>
      </c>
      <c r="HF57" s="496" t="str">
        <f>IF(A57=FALSE,"",IF(HA57="POEA",Cotations!BA57,IF(HA57="FIXE",Cotations!$BA$4,Cotations!$BC$4*Y57)))</f>
        <v/>
      </c>
      <c r="HG57" s="300" t="str">
        <f t="shared" si="494"/>
        <v/>
      </c>
      <c r="HH57" s="522" t="str">
        <f>IF(A57=FALSE,"",IF(Cotations!$AZ$4="monthly",HG57/12*L57,HG57/365*M57))</f>
        <v/>
      </c>
      <c r="HI57" s="489" t="str">
        <f>IF(A57=FALSE,"",Cotations!$BD$4)</f>
        <v/>
      </c>
      <c r="HJ57" s="300" t="str">
        <f t="shared" si="495"/>
        <v/>
      </c>
      <c r="HK57" s="300" t="str">
        <f t="shared" si="496"/>
        <v/>
      </c>
      <c r="HL57" s="294" t="str">
        <f t="shared" si="497"/>
        <v/>
      </c>
      <c r="HM57" s="494" t="str">
        <f>IF(A57=FALSE,"",Cotations!$BE$4)</f>
        <v/>
      </c>
      <c r="HN57" s="522" t="str">
        <f>IF(A57=FALSE,"",Cotations!$BF$4)</f>
        <v/>
      </c>
      <c r="HO57" s="489" t="str">
        <f>IF(A57=FALSE,"",Cotations!$BG$4)</f>
        <v/>
      </c>
      <c r="HP57" s="494" t="str">
        <f>IF(A57=FALSE,"",IF(HM57="N/A",0,IF(INDEX(LISTES!$F$105:$F$109,MATCH(HM57,LISTES!$C$105:$C$109,0))="FIX",IF(INDEX(LISTES!$E$105:$E$109,MATCH(HM57,LISTES!$C$105:$C$109,0))=12,HN57/12*L57,HN57/365*M57),HO57*HL57)))</f>
        <v/>
      </c>
      <c r="HQ57" s="294" t="str">
        <f t="shared" si="498"/>
        <v/>
      </c>
      <c r="HR57" s="494" t="str">
        <f>IF(A57=FALSE,"",HQ57*Cotations!$BH$4)</f>
        <v/>
      </c>
      <c r="HS57" s="494" t="str">
        <f>IF(A57=FALSE,"",HQ57*Cotations!$BI$4)</f>
        <v/>
      </c>
      <c r="HT57" s="294" t="str">
        <f t="shared" si="499"/>
        <v/>
      </c>
      <c r="HU57" s="919" t="str">
        <f>IF(A57=FALSE,"",((HG57*TAXE)-(HG57*TAXE*HI57))+IF(HM57="N/A",0,IF(INDEX(LISTES!$F$105:$F$109,MATCH(HM57,LISTES!$C$105:$C$109,0))="FIX",HN57,HO57*HL57)))</f>
        <v/>
      </c>
      <c r="IA57" s="492" t="str">
        <f>IF(A57=FALSE,"",Cotations!D57)</f>
        <v/>
      </c>
      <c r="IB57" s="491" t="str">
        <f>IF(A57=FALSE,"",IF(LISTES!$A$17=1,Cotations!AX57,Cotations!AY57))</f>
        <v/>
      </c>
      <c r="IC57" s="285" t="str">
        <f t="shared" si="500"/>
        <v/>
      </c>
      <c r="ID57" s="300" t="str">
        <f>IF(A57=FALSE,"",IF(LISTES!$A$17=3,Detail!AU57,lig1_Formula_PREVOY))</f>
        <v/>
      </c>
      <c r="IE57" s="461" t="str">
        <f t="shared" si="501"/>
        <v/>
      </c>
      <c r="IF57" s="490" t="str">
        <f>IF(A57=FALSE,"",IF(IA57="POEA",Cotations!BA57,IF(HA57="FIXE",Cotations!BB57,IF(Cotations!BC57*Y57&lt;50000,Z57,Cotations!BC57*Y57))))</f>
        <v/>
      </c>
      <c r="IG57" s="300" t="str">
        <f t="shared" si="502"/>
        <v/>
      </c>
      <c r="IH57" s="522" t="str">
        <f>IF(A57=FALSE,"",IF(Cotations!AZ57="monthly",IG57/12*L57,IG57/365*M57))</f>
        <v/>
      </c>
      <c r="II57" s="489" t="str">
        <f>IF(A57=FALSE,"",IF(Cotations!BD57="","",Cotations!BD57))</f>
        <v/>
      </c>
      <c r="IJ57" s="300" t="str">
        <f t="shared" si="503"/>
        <v/>
      </c>
      <c r="IK57" s="300" t="str">
        <f t="shared" si="504"/>
        <v/>
      </c>
      <c r="IL57" s="919" t="str">
        <f t="shared" si="505"/>
        <v/>
      </c>
      <c r="IM57" s="517" t="str">
        <f>IF(A57=FALSE,"",Cotations!BE57)</f>
        <v/>
      </c>
      <c r="IN57" s="517" t="str">
        <f>IF(A57=FALSE,"",Cotations!BF57)</f>
        <v/>
      </c>
      <c r="IO57" s="493" t="str">
        <f>IF(A57=FALSE,"",Cotations!BG57)</f>
        <v/>
      </c>
      <c r="IP57" s="517" t="str">
        <f>IF(A57=FALSE,"",IF(IM57="N/A",0,IF(INDEX(LISTES!$F$105:$F$109,MATCH(IM57,LISTES!$C$105:$C$109,0))="FIX",IF(INDEX(LISTES!$E$105:$E$109,MATCH(IM57,LISTES!$C$105:$C$109,0))=12,IN57/12*L57,IN57/365*M57),IO57*IL57)))</f>
        <v/>
      </c>
      <c r="IQ57" s="294" t="str">
        <f t="shared" si="506"/>
        <v/>
      </c>
      <c r="IR57" s="494" t="str">
        <f>IF(A57=FALSE,"",IQ57*Cotations!BH57)</f>
        <v/>
      </c>
      <c r="IS57" s="494" t="str">
        <f>IF(A57=FALSE,"",IQ57*Cotations!BI57)</f>
        <v/>
      </c>
      <c r="IT57" s="338" t="str">
        <f t="shared" si="507"/>
        <v/>
      </c>
      <c r="IU57" s="919" t="str">
        <f>IF(A57=FALSE,"",((IG57*TAXE)-(IG57*TAXE*II57))+IF(IM57="N/A",0,IF(INDEX(LISTES!$F$105:$F$109,MATCH(IM57,LISTES!$C$105:$C$109,0))="FIX",IN57,IO57*IL57)))</f>
        <v/>
      </c>
      <c r="JA57" s="492" t="str">
        <f>IF(A57=FALSE,"",Cotations!D57)</f>
        <v/>
      </c>
      <c r="JB57" s="495" t="str">
        <f>IF(A57=FALSE,"",IF(LISTES!$A$17=1,Cotations!BJ57,Cotations!$BK$4))</f>
        <v/>
      </c>
      <c r="JC57" s="291" t="str">
        <f t="shared" si="508"/>
        <v/>
      </c>
      <c r="JD57" s="291" t="str">
        <f t="shared" si="509"/>
        <v/>
      </c>
      <c r="JE57" s="456" t="str">
        <f t="shared" si="510"/>
        <v/>
      </c>
      <c r="JF57" s="496" t="str">
        <f>IF(A57=FALSE,"",IF(JA57="POEA",Cotations!BM57,IF(JA57="FIXE",Cotations!$BM$4,Cotations!$BO$4*Y57)))</f>
        <v/>
      </c>
      <c r="JG57" s="300" t="str">
        <f t="shared" si="511"/>
        <v/>
      </c>
      <c r="JH57" s="522" t="str">
        <f>IF(A57=FALSE,"",IF(Cotations!$BL$4="monthly",JG57/12*L57,JG57/365*M57))</f>
        <v/>
      </c>
      <c r="JI57" s="489" t="str">
        <f>IF(A57=FALSE,"",Cotations!$BP$4)</f>
        <v/>
      </c>
      <c r="JJ57" s="300" t="str">
        <f t="shared" si="512"/>
        <v/>
      </c>
      <c r="JK57" s="300" t="str">
        <f t="shared" si="513"/>
        <v/>
      </c>
      <c r="JL57" s="294" t="str">
        <f t="shared" si="514"/>
        <v/>
      </c>
      <c r="JM57" s="494" t="str">
        <f>IF(A57=FALSE,"",Cotations!$BQ$4)</f>
        <v/>
      </c>
      <c r="JN57" s="522" t="str">
        <f>IF(A57=FALSE,"",Cotations!$BR$4)</f>
        <v/>
      </c>
      <c r="JO57" s="489" t="str">
        <f>IF(A57=FALSE,"",Cotations!$BS$4)</f>
        <v/>
      </c>
      <c r="JP57" s="494" t="str">
        <f>IF(A57=FALSE,"",IF(JM57="N/A",0,IF(INDEX(LISTES!$F$105:$F$109,MATCH(JM57,LISTES!$C$105:$C$109,0))="FIX",IF(INDEX(LISTES!$E$105:$E$109,MATCH(JM57,LISTES!$C$105:$C$109,0))=12,JN57/12*L57,JN57/365*M57),JO57*JL57)))</f>
        <v/>
      </c>
      <c r="JQ57" s="294" t="str">
        <f t="shared" si="515"/>
        <v/>
      </c>
      <c r="JR57" s="494" t="str">
        <f>IF(A57=FALSE,"",JQ57*Cotations!$BT$4)</f>
        <v/>
      </c>
      <c r="JS57" s="494" t="str">
        <f>IF(A57=FALSE,"",JQ57*Cotations!$BU$4)</f>
        <v/>
      </c>
      <c r="JT57" s="294" t="str">
        <f t="shared" si="516"/>
        <v/>
      </c>
      <c r="JU57" s="919" t="str">
        <f>IF(A57=FALSE,"",((JG57*TAXE)-(JG57*TAXE*JI57))+IF(JM57="N/A",0,IF(INDEX(LISTES!$F$105:$F$109,MATCH(JM57,LISTES!$C$105:$C$109,0))="FIX",JN57,JO57*JL57)))</f>
        <v/>
      </c>
      <c r="KA57" s="492" t="str">
        <f>IF(A57=FALSE,"",Cotations!D57)</f>
        <v/>
      </c>
      <c r="KB57" s="491" t="str">
        <f>IF(A57=FALSE,"",IF(LISTES!$A$17=1,Cotations!BJ57,Cotations!BK57))</f>
        <v/>
      </c>
      <c r="KC57" s="285" t="str">
        <f t="shared" si="517"/>
        <v/>
      </c>
      <c r="KD57" s="300"/>
      <c r="KE57" s="461" t="str">
        <f t="shared" si="518"/>
        <v/>
      </c>
      <c r="KF57" s="490" t="str">
        <f>IF(A57=FALSE,"",IF(KA57="POEA",Cotations!BM57,IF(KA57="FIXE",Cotations!BN57,IF(Cotations!BO57*Y57&lt;50000,Z57,Cotations!BO57*Y57))))</f>
        <v/>
      </c>
      <c r="KG57" s="300" t="str">
        <f t="shared" si="519"/>
        <v/>
      </c>
      <c r="KH57" s="522" t="str">
        <f>IF(A57=FALSE,"",IF(Cotations!BL57="monthly",KG57/12*L57,KG57/365*M57))</f>
        <v/>
      </c>
      <c r="KI57" s="489" t="str">
        <f>IF(A57=FALSE,"",IF(Cotations!BP57="","",Cotations!BP57))</f>
        <v/>
      </c>
      <c r="KJ57" s="300" t="str">
        <f t="shared" si="520"/>
        <v/>
      </c>
      <c r="KK57" s="300" t="str">
        <f t="shared" si="521"/>
        <v/>
      </c>
      <c r="KL57" s="919" t="str">
        <f t="shared" si="522"/>
        <v/>
      </c>
      <c r="KM57" s="517" t="str">
        <f>IF(A57=FALSE,"",Cotations!BQ57)</f>
        <v/>
      </c>
      <c r="KN57" s="515" t="str">
        <f>IF(A57=FALSE,"",Cotations!BR57)</f>
        <v/>
      </c>
      <c r="KO57" s="493" t="str">
        <f>IF(A57=FALSE,"",Cotations!BS57)</f>
        <v/>
      </c>
      <c r="KP57" s="517" t="str">
        <f>IF(A57=FALSE,"",IF(KM57="N/A",0,IF(INDEX(LISTES!$F$105:$F$109,MATCH(KM57,LISTES!$C$105:$C$109,0))="FIX",IF(INDEX(LISTES!$E$105:$E$109,MATCH(KM57,LISTES!$C$105:$C$109,0))=12,KN57/12*L57,KN57/365*M57),KO57*KL57)))</f>
        <v/>
      </c>
      <c r="KQ57" s="294" t="str">
        <f t="shared" si="523"/>
        <v/>
      </c>
      <c r="KR57" s="494" t="str">
        <f>IF(A57=FALSE,"",KQ57*Cotations!BT57)</f>
        <v/>
      </c>
      <c r="KS57" s="494" t="str">
        <f>IF(A57=FALSE,"",KQ57*Cotations!BU57)</f>
        <v/>
      </c>
      <c r="KT57" s="338" t="str">
        <f t="shared" si="524"/>
        <v/>
      </c>
      <c r="KU57" s="919" t="str">
        <f>IF(A57=FALSE,"",((KG57*TAXE)-(KG57*TAXE*KI57))+IF(KM57="N/A",0,IF(INDEX(LISTES!$F$105:$F$109,MATCH(KM57,LISTES!$C$105:$C$109,0))="FIX",KN57,KO57*KL57)))</f>
        <v/>
      </c>
      <c r="LA57" s="497" t="str">
        <f>IF(A57=FALSE,"",Cotations!D57)</f>
        <v/>
      </c>
      <c r="LB57" s="498" t="str">
        <f>IF(A57=FALSE,"",IF(LISTES!$A$17=1,Cotations!BV57,Cotations!$BW$4))</f>
        <v/>
      </c>
      <c r="LC57" s="499" t="str">
        <f t="shared" si="525"/>
        <v/>
      </c>
      <c r="LD57" s="499" t="str">
        <f t="shared" si="526"/>
        <v/>
      </c>
      <c r="LE57" s="500" t="str">
        <f t="shared" si="527"/>
        <v/>
      </c>
      <c r="LF57" s="501" t="str">
        <f>IF(A57=FALSE,"",IF(LA57="POEA",Cotations!EJ57,IF(LA57="FIXE",Cotations!$BY$4,Cotations!$CA$4*Y57)))</f>
        <v/>
      </c>
      <c r="LG57" s="502" t="str">
        <f t="shared" si="528"/>
        <v/>
      </c>
      <c r="LH57" s="520" t="str">
        <f>IF(A57=FALSE,"",IF(Cotations!$BX$4="monthly",LG57/12*L57,LG57/365*M57))</f>
        <v/>
      </c>
      <c r="LI57" s="503" t="str">
        <f>IF(A57=FALSE,"",Cotations!$CB$4)</f>
        <v/>
      </c>
      <c r="LJ57" s="502" t="str">
        <f t="shared" si="529"/>
        <v/>
      </c>
      <c r="LK57" s="502" t="str">
        <f t="shared" si="530"/>
        <v/>
      </c>
      <c r="LL57" s="504" t="str">
        <f t="shared" si="531"/>
        <v/>
      </c>
      <c r="LM57" s="505" t="str">
        <f>IF(A57=FALSE,"",Cotations!$CC$4)</f>
        <v/>
      </c>
      <c r="LN57" s="503" t="str">
        <f>IF(A57=FALSE,"",Cotations!$CD$4)</f>
        <v/>
      </c>
      <c r="LO57" s="503" t="str">
        <f>IF(A57=FALSE,"",Cotations!$CE$4)</f>
        <v/>
      </c>
      <c r="LP57" s="505" t="str">
        <f>IF(A57=FALSE,"",IF(LM57="N/A",0,IF(INDEX(LISTES!$F$105:$F$109,MATCH(LM57,LISTES!$C$105:$C$109,0))="FIX",IF(INDEX(LISTES!$E$105:$E$109,MATCH(LM57,LISTES!$C$105:$C$109,0))=12,LN57/12*L57,LN57/365*M57),LO57*LL57)))</f>
        <v/>
      </c>
      <c r="LQ57" s="504" t="str">
        <f t="shared" si="532"/>
        <v/>
      </c>
      <c r="LR57" s="505" t="str">
        <f>IF(A57=FALSE,"",LQ57*Cotations!$CF$4)</f>
        <v/>
      </c>
      <c r="LS57" s="505" t="str">
        <f>IF(A57=FALSE,"",LQ57*Cotations!$CG$4)</f>
        <v/>
      </c>
      <c r="LT57" s="506" t="str">
        <f t="shared" si="533"/>
        <v/>
      </c>
      <c r="LU57" s="919" t="str">
        <f>IF(A57=FALSE,"",((LG57*TAXE)-(LG57*TAXE*LI57))+IF(LM57="N/A",0,IF(INDEX(LISTES!$F$105:$F$109,MATCH(LM57,LISTES!$C$105:$C$109,0))="FIX",LN57,LO57*LL57)))</f>
        <v/>
      </c>
      <c r="MA57" s="492" t="str">
        <f>IF(A57=FALSE,"",Cotations!D57)</f>
        <v/>
      </c>
      <c r="MB57" s="491" t="str">
        <f>IF(A57=FALSE,"",IF(LISTES!$A$17=1,Cotations!BV57,Cotations!BW57))</f>
        <v/>
      </c>
      <c r="MC57" s="285" t="str">
        <f t="shared" si="534"/>
        <v/>
      </c>
      <c r="MD57" s="300"/>
      <c r="ME57" s="461" t="str">
        <f t="shared" si="535"/>
        <v/>
      </c>
      <c r="MF57" s="490" t="str">
        <f>IF(A57=FALSE,"",IF(MA57="POEA",Cotations!BY57,IF(MA57="FIXE",Cotations!BZ57,IF(Cotations!CA57*Y57&lt;50000,Z57,Cotations!CA57*Y57))))</f>
        <v/>
      </c>
      <c r="MG57" s="300" t="str">
        <f t="shared" si="536"/>
        <v/>
      </c>
      <c r="MH57" s="522" t="str">
        <f>IF(A57=FALSE,"",IF(Cotations!BX57="monthly",MG57/12*L57,MG57/365*M57))</f>
        <v/>
      </c>
      <c r="MI57" s="489" t="str">
        <f>IF(A57=FALSE,"",IF(Cotations!CB57="","",Cotations!CB57))</f>
        <v/>
      </c>
      <c r="MJ57" s="300" t="str">
        <f t="shared" si="537"/>
        <v/>
      </c>
      <c r="MK57" s="300" t="str">
        <f t="shared" si="538"/>
        <v/>
      </c>
      <c r="ML57" s="919" t="str">
        <f t="shared" si="539"/>
        <v/>
      </c>
      <c r="MM57" s="517" t="str">
        <f>IF(A57=FALSE,"",Cotations!CC57)</f>
        <v/>
      </c>
      <c r="MN57" s="515" t="str">
        <f>IF(A57=FALSE,"",Cotations!CD57)</f>
        <v/>
      </c>
      <c r="MO57" s="493" t="str">
        <f>IF(A57=FALSE,"",Cotations!CE57)</f>
        <v/>
      </c>
      <c r="MP57" s="517" t="str">
        <f>IF(A57=FALSE,"",IF(MM57="N/A",0,IF(INDEX(LISTES!$F$105:$F$109,MATCH(MM57,LISTES!$C$105:$C$109,0))="FIX",IF(INDEX(LISTES!$E$105:$E$109,MATCH(MM57,LISTES!$C$105:$C$109,0))=12,MN57/12*L57,MN57/365*M57),MO57*ML57)))</f>
        <v/>
      </c>
      <c r="MQ57" s="294" t="str">
        <f t="shared" si="540"/>
        <v/>
      </c>
      <c r="MR57" s="494" t="str">
        <f>IF(A57=FALSE,"",MQ57*Cotations!CF57)</f>
        <v/>
      </c>
      <c r="MS57" s="494" t="str">
        <f>IF(A57=FALSE,"",MQ57*Cotations!CG57)</f>
        <v/>
      </c>
      <c r="MT57" s="338" t="str">
        <f t="shared" si="541"/>
        <v/>
      </c>
      <c r="MU57" s="919" t="str">
        <f>IF(A57=FALSE,"",((MG57*TAXE)-(MG57*TAXE*MI57))+IF(MM57="N/A",0,IF(INDEX(LISTES!$F$105:$F$109,MATCH(MM57,LISTES!$C$105:$C$109,0))="FIX",MN57,MO57*ML57)))</f>
        <v/>
      </c>
      <c r="NA57" s="497" t="str">
        <f>IF(A57=FALSE,"",Cotations!D57)</f>
        <v/>
      </c>
      <c r="NB57" s="498" t="str">
        <f>IF(A57=FALSE,"",IF(LISTES!$A$17=1,Cotations!CH57,Cotations!$CI$4))</f>
        <v/>
      </c>
      <c r="NC57" s="499" t="str">
        <f t="shared" si="542"/>
        <v/>
      </c>
      <c r="ND57" s="499" t="str">
        <f t="shared" si="543"/>
        <v/>
      </c>
      <c r="NE57" s="500" t="str">
        <f t="shared" si="544"/>
        <v/>
      </c>
      <c r="NF57" s="501" t="str">
        <f>IF(A57=FALSE,"",IF(NA57="POEA",Cotations!CK57,IF(NA57="FIXE",Cotations!$CK$4,Cotations!$CM$4*Y57)))</f>
        <v/>
      </c>
      <c r="NG57" s="502" t="str">
        <f t="shared" si="545"/>
        <v/>
      </c>
      <c r="NH57" s="520" t="str">
        <f>IF(A57=FALSE,"",IF(Cotations!$CJ$4="monthly",NG57/12*L57,NG57/365*M57))</f>
        <v/>
      </c>
      <c r="NI57" s="503" t="str">
        <f>IF(A57=FALSE,"",Cotations!$CN$4)</f>
        <v/>
      </c>
      <c r="NJ57" s="502" t="str">
        <f t="shared" si="546"/>
        <v/>
      </c>
      <c r="NK57" s="502" t="str">
        <f t="shared" si="547"/>
        <v/>
      </c>
      <c r="NL57" s="504" t="str">
        <f t="shared" si="548"/>
        <v/>
      </c>
      <c r="NM57" s="505" t="str">
        <f>IF(A57=FALSE,"",Cotations!$CO$4)</f>
        <v/>
      </c>
      <c r="NN57" s="520" t="str">
        <f>IF(A57=FALSE,"",Cotations!$CP$4)</f>
        <v/>
      </c>
      <c r="NO57" s="503" t="str">
        <f>IF(A57=FALSE,"",Cotations!$CQ$4)</f>
        <v/>
      </c>
      <c r="NP57" s="505" t="str">
        <f>IF(A57=FALSE,"",IF(NM57="N/A",0,IF(INDEX(LISTES!$F$105:$F$109,MATCH(NM57,LISTES!$C$105:$C$109,0))="FIX",IF(INDEX(LISTES!$E$105:$E$109,MATCH(NM57,LISTES!$C$105:$C$109,0))=12,NN57/12*L57,NN57/365*M57),NO57*NL57)))</f>
        <v/>
      </c>
      <c r="NQ57" s="504" t="str">
        <f t="shared" si="549"/>
        <v/>
      </c>
      <c r="NR57" s="505" t="str">
        <f>IF(A57=FALSE,"",NQ57*Cotations!$CR$4)</f>
        <v/>
      </c>
      <c r="NS57" s="505" t="str">
        <f>IF(A57=FALSE,"",NQ57*Cotations!$CS$4)</f>
        <v/>
      </c>
      <c r="NT57" s="506" t="str">
        <f t="shared" si="550"/>
        <v/>
      </c>
      <c r="NU57" s="919" t="str">
        <f>IF(A57=FALSE,"",((NG57*TAXE)-(NG57*TAXE*NI57))+IF(NM57="N/A",0,IF(INDEX(LISTES!$F$105:$F$109,MATCH(NM57,LISTES!$C$105:$C$109,0))="FIX",NN57,NO57*NL57)))</f>
        <v/>
      </c>
      <c r="OA57" s="492" t="str">
        <f>IF(A57=FALSE,"",Cotations!D57)</f>
        <v/>
      </c>
      <c r="OB57" s="491" t="str">
        <f>IF(A57=FALSE,"",IF(LISTES!$A$17=1,Cotations!CH57,Cotations!CI57))</f>
        <v/>
      </c>
      <c r="OC57" s="285" t="str">
        <f t="shared" si="551"/>
        <v/>
      </c>
      <c r="OD57" s="300"/>
      <c r="OE57" s="461" t="str">
        <f t="shared" si="552"/>
        <v/>
      </c>
      <c r="OF57" s="490" t="str">
        <f>IF(A57=FALSE,"",IF(OA57="POEA",Cotations!CK57,IF(OA57="FIXE",Cotations!CL57,IF(Cotations!CM57*Y57&lt;50000,Z57,Cotations!CM57*Y57))))</f>
        <v/>
      </c>
      <c r="OG57" s="300" t="str">
        <f t="shared" si="553"/>
        <v/>
      </c>
      <c r="OH57" s="522" t="str">
        <f>IF(A57=FALSE,"",IF(Cotations!CJ57="monthly",OG57/12*L57,OG57/365*M57))</f>
        <v/>
      </c>
      <c r="OI57" s="489" t="str">
        <f>IF(A57=FALSE,"",IF(Cotations!CN57="","",Cotations!CN57))</f>
        <v/>
      </c>
      <c r="OJ57" s="300" t="str">
        <f t="shared" si="554"/>
        <v/>
      </c>
      <c r="OK57" s="300" t="str">
        <f t="shared" si="555"/>
        <v/>
      </c>
      <c r="OL57" s="919" t="str">
        <f t="shared" si="556"/>
        <v/>
      </c>
      <c r="OM57" s="517" t="str">
        <f>IF(A57=FALSE,"",Cotations!CO57)</f>
        <v/>
      </c>
      <c r="ON57" s="515" t="str">
        <f>IF(A57=FALSE,"",Cotations!CP57)</f>
        <v/>
      </c>
      <c r="OO57" s="493" t="str">
        <f>IF(A57=FALSE,"",Cotations!CQ57)</f>
        <v/>
      </c>
      <c r="OP57" s="517" t="str">
        <f>IF(A57=FALSE,"",IF(OM57="N/A",0,IF(INDEX(LISTES!$F$105:$F$109,MATCH(OM57,LISTES!$C$105:$C$109,0))="FIX",IF(INDEX(LISTES!$E$105:$E$109,MATCH(OM57,LISTES!$C$105:$C$109,0))=12,ON57/12*L57,ON57/365*M57),OO57*OL57)))</f>
        <v/>
      </c>
      <c r="OQ57" s="294" t="str">
        <f t="shared" si="557"/>
        <v/>
      </c>
      <c r="OR57" s="494" t="str">
        <f>IF(A57=FALSE,"",OQ57*Cotations!CR57)</f>
        <v/>
      </c>
      <c r="OS57" s="494" t="str">
        <f>IF(A57=FALSE,"",OQ57*Cotations!CS57)</f>
        <v/>
      </c>
      <c r="OT57" s="338" t="str">
        <f t="shared" si="558"/>
        <v/>
      </c>
      <c r="OU57" s="919" t="str">
        <f>IF(A57=FALSE,"",((OG57*TAXE)-(OG57*TAXE*OI57))+IF(OM57="N/A",0,IF(INDEX(LISTES!$F$105:$F$109,MATCH(OM57,LISTES!$C$105:$C$109,0))="FIX",ON57,OO57*OL57)))</f>
        <v/>
      </c>
      <c r="PA57" s="497" t="str">
        <f t="shared" si="559"/>
        <v/>
      </c>
      <c r="PB57" s="498" t="str">
        <f>IF(A57=FALSE,"",IF(LISTES!$A$17=1,Cotations!CT57,Cotations!$CU$4))</f>
        <v/>
      </c>
      <c r="PC57" s="499" t="str">
        <f t="shared" si="560"/>
        <v/>
      </c>
      <c r="PD57" s="499" t="str">
        <f t="shared" si="561"/>
        <v/>
      </c>
      <c r="PE57" s="500" t="str">
        <f t="shared" si="562"/>
        <v/>
      </c>
      <c r="PF57" s="501" t="str">
        <f>IF(A57=FALSE,"",Cotations!$CY$4*Y57)</f>
        <v/>
      </c>
      <c r="PG57" s="502" t="str">
        <f t="shared" si="563"/>
        <v/>
      </c>
      <c r="PH57" s="520" t="str">
        <f>IF(A57=FALSE,"",IF(Cotations!$CV$4="monthly",PG57/12*L57,PG57/365*M57))</f>
        <v/>
      </c>
      <c r="PI57" s="503" t="str">
        <f>IF(A57=FALSE,"",Cotations!$CZ$4)</f>
        <v/>
      </c>
      <c r="PJ57" s="502" t="str">
        <f t="shared" si="564"/>
        <v/>
      </c>
      <c r="PK57" s="502" t="str">
        <f t="shared" si="565"/>
        <v/>
      </c>
      <c r="PL57" s="504" t="str">
        <f t="shared" si="566"/>
        <v/>
      </c>
      <c r="PM57" s="505" t="str">
        <f>IF(A57=FALSE,"",Cotations!$DA$4)</f>
        <v/>
      </c>
      <c r="PN57" s="520" t="str">
        <f>IF(A57=FALSE,"",Cotations!$DB$4)</f>
        <v/>
      </c>
      <c r="PO57" s="503" t="str">
        <f>IF(A57=FALSE,"",Cotations!$DC$4)</f>
        <v/>
      </c>
      <c r="PP57" s="505" t="str">
        <f>IF(A57=FALSE,"",IF(PM57="N/A",0,IF(INDEX(LISTES!$F$105:$F$109,MATCH(PM57,LISTES!$C$105:$C$109,0))="FIX",IF(INDEX(LISTES!$E$105:$E$109,MATCH(PM57,LISTES!$C$105:$C$109,0))=12,PN57/12*L57,PN57/365*M57),PO57*PL57)))</f>
        <v/>
      </c>
      <c r="PQ57" s="504" t="str">
        <f t="shared" si="567"/>
        <v/>
      </c>
      <c r="PR57" s="505" t="str">
        <f>IF(A57=FALSE,"",PQ57*Cotations!$DD$4)</f>
        <v/>
      </c>
      <c r="PS57" s="505" t="str">
        <f>IF(A57=FALSE,"",PQ57*Cotations!$DE$4)</f>
        <v/>
      </c>
      <c r="PT57" s="506" t="str">
        <f t="shared" si="568"/>
        <v/>
      </c>
      <c r="PU57" s="919" t="str">
        <f>IF(A57=FALSE,"",((PG57*TAXE)-(PG57*TAXE*PI57))+IF(PM57="N/A",0,IF(INDEX(LISTES!$F$105:$F$109,MATCH(PM57,LISTES!$C$105:$C$109,0))="FIX",PN57,PO57*PL57)))</f>
        <v/>
      </c>
      <c r="QA57" s="492" t="str">
        <f t="shared" si="569"/>
        <v/>
      </c>
      <c r="QB57" s="491" t="str">
        <f>IF(A57=FALSE,"",IF(LISTES!$A$17=1,Cotations!CT57,Cotations!CU57))</f>
        <v/>
      </c>
      <c r="QC57" s="285" t="str">
        <f t="shared" si="570"/>
        <v/>
      </c>
      <c r="QD57" s="300"/>
      <c r="QE57" s="461" t="str">
        <f t="shared" si="571"/>
        <v/>
      </c>
      <c r="QF57" s="490" t="str">
        <f>IF(A57=FALSE,"",Cotations!CY57*AA57)</f>
        <v/>
      </c>
      <c r="QG57" s="300" t="str">
        <f t="shared" si="572"/>
        <v/>
      </c>
      <c r="QH57" s="522" t="str">
        <f>IF(A57=FALSE,"",IF(Cotations!CV57="monthly",QG57/12*L57,QG57/365*M57))</f>
        <v/>
      </c>
      <c r="QI57" s="489" t="str">
        <f>IF(A57=FALSE,"",IF(Cotations!CZ57="","",Cotations!CZ57))</f>
        <v/>
      </c>
      <c r="QJ57" s="300" t="str">
        <f t="shared" si="573"/>
        <v/>
      </c>
      <c r="QK57" s="300" t="str">
        <f t="shared" si="574"/>
        <v/>
      </c>
      <c r="QL57" s="919" t="str">
        <f t="shared" si="575"/>
        <v/>
      </c>
      <c r="QM57" s="517" t="str">
        <f>IF(A57=FALSE,"",Cotations!DA57)</f>
        <v/>
      </c>
      <c r="QN57" s="515" t="str">
        <f>IF(A57=FALSE,"",Cotations!DB57)</f>
        <v/>
      </c>
      <c r="QO57" s="493" t="str">
        <f>IF(A57=FALSE,"",Cotations!DC57)</f>
        <v/>
      </c>
      <c r="QP57" s="517" t="str">
        <f>IF(A57=FALSE,"",IF(QM57="N/A",0,IF(INDEX(LISTES!$F$105:$F$109,MATCH(QM57,LISTES!$C$105:$C$109,0))="FIX",IF(INDEX(LISTES!$E$105:$E$109,MATCH(QM57,LISTES!$C$105:$C$109,0))=12,QN57/12*L57,QN57/365*M57),QO57*QL57)))</f>
        <v/>
      </c>
      <c r="QQ57" s="294" t="str">
        <f t="shared" si="576"/>
        <v/>
      </c>
      <c r="QR57" s="494" t="str">
        <f>IF(A57=FALSE,"",QQ57*Cotations!DD57)</f>
        <v/>
      </c>
      <c r="QS57" s="494" t="str">
        <f>IF(A57=FALSE,"",QQ57*Cotations!DE57)</f>
        <v/>
      </c>
      <c r="QT57" s="338" t="str">
        <f t="shared" si="577"/>
        <v/>
      </c>
      <c r="QU57" s="919" t="str">
        <f>IF(A57=FALSE,"",((QG57*TAXE)-(QG57*TAXE*QI57))+IF(QM57="N/A",0,IF(INDEX(LISTES!$F$105:$F$109,MATCH(QM57,LISTES!$C$105:$C$109,0))="FIX",QN57,QO57*QL57)))</f>
        <v/>
      </c>
      <c r="RA57" s="497" t="str">
        <f t="shared" si="578"/>
        <v/>
      </c>
      <c r="RB57" s="498" t="str">
        <f>IF(A57=FALSE,"",IF(LISTES!$A$17=1,Cotations!DF57,Cotations!$DG$4))</f>
        <v/>
      </c>
      <c r="RC57" s="499" t="str">
        <f t="shared" si="579"/>
        <v/>
      </c>
      <c r="RD57" s="499" t="str">
        <f t="shared" si="580"/>
        <v/>
      </c>
      <c r="RE57" s="500" t="str">
        <f t="shared" si="581"/>
        <v/>
      </c>
      <c r="RF57" s="501" t="str">
        <f>IF(A57=FALSE,"",Cotations!$DK$4*Y57)</f>
        <v/>
      </c>
      <c r="RG57" s="502" t="str">
        <f t="shared" si="582"/>
        <v/>
      </c>
      <c r="RH57" s="520" t="str">
        <f>IF(A57=FALSE,"",IF(Cotations!$DH$4="monthly",RG57/12*L57,RG57/365*M57))</f>
        <v/>
      </c>
      <c r="RI57" s="503" t="str">
        <f>IF(A57=FALSE,"",Cotations!$DL$4)</f>
        <v/>
      </c>
      <c r="RJ57" s="502" t="str">
        <f t="shared" si="583"/>
        <v/>
      </c>
      <c r="RK57" s="502" t="str">
        <f t="shared" si="584"/>
        <v/>
      </c>
      <c r="RL57" s="504" t="str">
        <f t="shared" si="585"/>
        <v/>
      </c>
      <c r="RM57" s="505" t="str">
        <f>IF(A57=FALSE,"",Cotations!$DM$4)</f>
        <v/>
      </c>
      <c r="RN57" s="520" t="str">
        <f>IF(A57=FALSE,"",Cotations!$DN$4)</f>
        <v/>
      </c>
      <c r="RO57" s="503" t="str">
        <f>IF(A57=FALSE,"",Cotations!$DO$4)</f>
        <v/>
      </c>
      <c r="RP57" s="505" t="str">
        <f>IF(A57=FALSE,"",IF(RM57="N/A",0,IF(INDEX(LISTES!$F$105:$F$109,MATCH(RM57,LISTES!$C$105:$C$109,0))="FIX",IF(INDEX(LISTES!$E$105:$E$109,MATCH(RM57,LISTES!$C$105:$C$109,0))=12,RN57/12*L57,RN57/365*M57),RO57*RL57)))</f>
        <v/>
      </c>
      <c r="RQ57" s="504" t="str">
        <f t="shared" si="586"/>
        <v/>
      </c>
      <c r="RR57" s="505" t="str">
        <f>IF(A57=FALSE,"",RQ57*Cotations!$DP$4)</f>
        <v/>
      </c>
      <c r="RS57" s="505" t="str">
        <f>IF(A57=FALSE,"",RQ57*Cotations!$DQ$4)</f>
        <v/>
      </c>
      <c r="RT57" s="506" t="str">
        <f t="shared" si="587"/>
        <v/>
      </c>
      <c r="RU57" s="919" t="str">
        <f>IF(A57=FALSE,"",((RG57*TAXE)-(RG57*TAXE*RI57))+IF(RM57="N/A",0,IF(INDEX(LISTES!$F$105:$F$109,MATCH(RM57,LISTES!$C$105:$C$109,0))="FIX",RN57,RO57*RL57)))</f>
        <v/>
      </c>
      <c r="SA57" s="492" t="str">
        <f t="shared" si="588"/>
        <v/>
      </c>
      <c r="SB57" s="491" t="str">
        <f>IF(A57=FALSE,"",IF(LISTES!$A$17=1,Cotations!DF57,Cotations!DG57))</f>
        <v/>
      </c>
      <c r="SC57" s="285" t="str">
        <f t="shared" si="589"/>
        <v/>
      </c>
      <c r="SD57" s="300"/>
      <c r="SE57" s="461" t="str">
        <f t="shared" si="590"/>
        <v/>
      </c>
      <c r="SF57" s="490" t="str">
        <f>IF(A57=FALSE,"",Cotations!DK57*AA57)</f>
        <v/>
      </c>
      <c r="SG57" s="300" t="str">
        <f t="shared" si="591"/>
        <v/>
      </c>
      <c r="SH57" s="522" t="str">
        <f>IF(A57=FALSE,"",IF(Cotations!DH57="monthly",SG57/12*L57,SG57/365*M57))</f>
        <v/>
      </c>
      <c r="SI57" s="489" t="str">
        <f>IF(A57=FALSE,"",IF(Cotations!DL57="","",Cotations!DL57))</f>
        <v/>
      </c>
      <c r="SJ57" s="300" t="str">
        <f t="shared" si="592"/>
        <v/>
      </c>
      <c r="SK57" s="300" t="str">
        <f t="shared" si="593"/>
        <v/>
      </c>
      <c r="SL57" s="919" t="str">
        <f t="shared" si="594"/>
        <v/>
      </c>
      <c r="SM57" s="285" t="str">
        <f>IF(A57=FALSE,"",Cotations!DM57)</f>
        <v/>
      </c>
      <c r="SN57" s="515" t="str">
        <f>IF(A57=FALSE,"",Cotations!DN57)</f>
        <v/>
      </c>
      <c r="SO57" s="493" t="str">
        <f>IF(A57=FALSE,"",Cotations!DO57)</f>
        <v/>
      </c>
      <c r="SP57" s="517" t="str">
        <f>IF(A57=FALSE,"",IF(SM57="N/A",0,IF(INDEX(LISTES!$F$105:$F$109,MATCH(SM57,LISTES!$C$105:$C$109,0))="FIX",IF(INDEX(LISTES!$E$105:$E$109,MATCH(SM57,LISTES!$C$105:$C$109,0))=12,SN57/12*L57,SN57/365*M57),SO57*SL57)))</f>
        <v/>
      </c>
      <c r="SQ57" s="294" t="str">
        <f t="shared" si="595"/>
        <v/>
      </c>
      <c r="SR57" s="494" t="str">
        <f>IF(A57=FALSE,"",SQ57*Cotations!DP57)</f>
        <v/>
      </c>
      <c r="SS57" s="494" t="str">
        <f>IF(A57=FALSE,"",SQ57*Cotations!DQ57)</f>
        <v/>
      </c>
      <c r="ST57" s="338" t="str">
        <f t="shared" si="596"/>
        <v/>
      </c>
      <c r="SU57" s="919" t="str">
        <f>IF(A57=FALSE,"",((SG57*TAXE)-(SG57*TAXE*SI57))+IF(SM57="N/A",0,IF(INDEX(LISTES!$F$105:$F$109,MATCH(SM57,LISTES!$C$105:$C$109,0))="FIX",SN57,SO57*SL57)))</f>
        <v/>
      </c>
      <c r="TA57" s="492" t="str">
        <f>IF(A57=FALSE,"",Cotations!D57)</f>
        <v/>
      </c>
      <c r="TB57" s="491" t="str">
        <f>IF(A57=FALSE,"",IF(LISTES!$A$17=1,Cotations!DR57,Cotations!DS57))</f>
        <v/>
      </c>
      <c r="TC57" s="285" t="str">
        <f t="shared" si="597"/>
        <v/>
      </c>
      <c r="TD57" s="300" t="str">
        <f>IF(A57=FALSE,"",Detail!CQ57)</f>
        <v/>
      </c>
      <c r="TE57" s="461" t="str">
        <f t="shared" si="598"/>
        <v/>
      </c>
      <c r="TF57" s="490" t="str">
        <f>IF(A57=FALSE,"",IF(TA57="FIXE",Cotations!DU57,Cotations!DV57*Y57))</f>
        <v/>
      </c>
      <c r="TG57" s="300" t="str">
        <f t="shared" si="599"/>
        <v/>
      </c>
      <c r="TH57" s="522" t="str">
        <f>IF(A57=FALSE,"",IF(Cotations!DT57="monthly",TG57/12*L57,TG57/365*M57))</f>
        <v/>
      </c>
      <c r="TI57" s="489" t="str">
        <f>IF(A57=FALSE,"",IF(Cotations!DW57="","",Cotations!DW57))</f>
        <v/>
      </c>
      <c r="TJ57" s="300" t="str">
        <f t="shared" si="600"/>
        <v/>
      </c>
      <c r="TK57" s="300" t="str">
        <f t="shared" si="601"/>
        <v/>
      </c>
      <c r="TL57" s="919" t="str">
        <f t="shared" si="602"/>
        <v/>
      </c>
      <c r="TM57" s="517" t="str">
        <f>IF(A57=FALSE,"",Cotations!DX57)</f>
        <v/>
      </c>
      <c r="TN57" s="517" t="str">
        <f>IF(A57=FALSE,"",Cotations!DY57)</f>
        <v/>
      </c>
      <c r="TO57" s="493" t="str">
        <f>IF(A57=FALSE,"",Cotations!DZ57)</f>
        <v/>
      </c>
      <c r="TP57" s="517" t="str">
        <f>IF(A57=FALSE,"",IF(TM57="N/A",0,IF(INDEX(LISTES!$F$105:$F$109,MATCH(TM57,LISTES!$C$105:$C$109,0))="FIX",IF(INDEX(LISTES!$E$105:$E$109,MATCH(TM57,LISTES!$C$105:$C$109,0))=12,TN57/12*L57,TN57/365*M57),TO57*TL57)))</f>
        <v/>
      </c>
      <c r="TQ57" s="294" t="str">
        <f t="shared" si="603"/>
        <v/>
      </c>
      <c r="TR57" s="494" t="str">
        <f>IF(A57=FALSE,"",TQ57*Cotations!EA57)</f>
        <v/>
      </c>
      <c r="TS57" s="494" t="str">
        <f>IF(A57=FALSE,"",TQ57*Cotations!EB57)</f>
        <v/>
      </c>
      <c r="TT57" s="338" t="str">
        <f t="shared" si="604"/>
        <v/>
      </c>
      <c r="TU57" s="919" t="str">
        <f>IF(A57=FALSE,"",((TG57*(1+TAXE)-(TG57*(1+TAXE)*TI57))+IF(TM57="N/A",0,IF(INDEX(LISTES!$F$105:$F$109,MATCH(TM57,LISTES!$C$105:$C$109,0))="FIX",TN57,TO57*TL57))))</f>
        <v/>
      </c>
      <c r="UA57" s="492" t="str">
        <f>IF(A57=FALSE,"",Cotations!D57)</f>
        <v/>
      </c>
      <c r="UB57" s="491" t="str">
        <f>IF(A57=FALSE,"",IF(LISTES!$A$17=1,Cotations!EC57,Cotations!ED57))</f>
        <v/>
      </c>
      <c r="UC57" s="285" t="str">
        <f t="shared" si="605"/>
        <v/>
      </c>
      <c r="UD57" s="300" t="str">
        <f>IF(A57=FALSE,"",Detail!CY57)</f>
        <v/>
      </c>
      <c r="UE57" s="461" t="str">
        <f t="shared" si="606"/>
        <v/>
      </c>
      <c r="UF57" s="490" t="str">
        <f>IF(A57=FALSE,"",IF(UA57="FIXE",Cotations!EF57,Cotations!EG57*Y57))</f>
        <v/>
      </c>
      <c r="UG57" s="300" t="str">
        <f t="shared" si="607"/>
        <v/>
      </c>
      <c r="UH57" s="522" t="str">
        <f>IF(A57=FALSE,"",IF(Cotations!EE57="monthly",UG57/12*L57,UG57/365*M57))</f>
        <v/>
      </c>
      <c r="UI57" s="489" t="str">
        <f>IF(A57=FALSE,"",IF(Cotations!EH57="","",Cotations!EH57))</f>
        <v/>
      </c>
      <c r="UJ57" s="300" t="str">
        <f t="shared" si="608"/>
        <v/>
      </c>
      <c r="UK57" s="300" t="str">
        <f t="shared" si="609"/>
        <v/>
      </c>
      <c r="UL57" s="919" t="str">
        <f t="shared" si="610"/>
        <v/>
      </c>
      <c r="UM57" s="517" t="str">
        <f>IF(A57=FALSE,"",Cotations!EI57)</f>
        <v/>
      </c>
      <c r="UN57" s="517" t="str">
        <f>IF(A57=FALSE,"",Cotations!EJ57)</f>
        <v/>
      </c>
      <c r="UO57" s="493" t="str">
        <f>IF(A57=FALSE,"",Cotations!EK57)</f>
        <v/>
      </c>
      <c r="UP57" s="517" t="str">
        <f>IF(A57=FALSE,"",IF(UM57="N/A",0,IF(INDEX(LISTES!$F$105:$F$109,MATCH(UM57,LISTES!$C$105:$C$109,0))="FIX",IF(INDEX(LISTES!$E$105:$E$109,MATCH(UM57,LISTES!$C$105:$C$109,0))=12,UN57/12*L57,UN57/365*M57),UO57*UL57)))</f>
        <v/>
      </c>
      <c r="UQ57" s="294" t="str">
        <f t="shared" si="611"/>
        <v/>
      </c>
      <c r="UR57" s="494" t="str">
        <f>IF(A57=FALSE,"",UQ57*Cotations!EL57)</f>
        <v/>
      </c>
      <c r="US57" s="494" t="str">
        <f>IF(A57=FALSE,"",UQ57*Cotations!EM57)</f>
        <v/>
      </c>
      <c r="UT57" s="338" t="str">
        <f t="shared" si="612"/>
        <v/>
      </c>
      <c r="UU57" s="919" t="str">
        <f>IF(A57=FALSE,"",((UG57*(1+TAXE)-(UG57*(1+TAXE)*UI57))+IF(UM57="N/A",0,IF(INDEX(LISTES!$F$105:$F$109,MATCH(UM57,LISTES!$C$105:$C$109,0))="FIX",UN57,UO57*UL57))))</f>
        <v/>
      </c>
      <c r="VA57" s="492" t="str">
        <f>IF(A57=FALSE,"",Cotations!D57)</f>
        <v/>
      </c>
      <c r="VB57" s="519" t="str">
        <f>IF(A57=FALSE,"",IF(LISTES!$A$17=1,Cotations!EN57,Cotations!EO57))</f>
        <v/>
      </c>
      <c r="VC57" s="291" t="str">
        <f t="shared" si="613"/>
        <v/>
      </c>
      <c r="VD57" s="291" t="str">
        <f t="shared" si="614"/>
        <v/>
      </c>
      <c r="VE57" s="291"/>
      <c r="VF57" s="463"/>
      <c r="VG57" s="463" t="str">
        <f t="shared" si="615"/>
        <v/>
      </c>
      <c r="VH57" s="522" t="str">
        <f>IF(A57=FALSE,"",IF(Cotations!$AQ$4="monthly",VG57/12*L57,VG57/365*M57))</f>
        <v/>
      </c>
      <c r="VI57" s="489" t="str">
        <f>IF(A57=FALSE,"",Cotations!$AR$4)</f>
        <v/>
      </c>
      <c r="VJ57" s="300" t="str">
        <f t="shared" si="616"/>
        <v/>
      </c>
      <c r="VK57" s="300" t="str">
        <f t="shared" si="617"/>
        <v/>
      </c>
      <c r="VL57" s="294" t="str">
        <f t="shared" si="618"/>
        <v/>
      </c>
      <c r="VM57" s="494" t="str">
        <f>IF(A57=FALSE,"",Cotations!$AS$4)</f>
        <v/>
      </c>
      <c r="VN57" s="494" t="str">
        <f>IF(A57=FALSE,"",Cotations!$AT$4)</f>
        <v/>
      </c>
      <c r="VO57" s="489" t="str">
        <f>IF(A57=FALSE,"",Cotations!$AU$4)</f>
        <v/>
      </c>
      <c r="VP57" s="494" t="str">
        <f>IF(A57=FALSE,"",IF(VM57="N/A",0,IF(INDEX(LISTES!$F$105:$F$109,MATCH(VM57,LISTES!$C$105:$C$109,0))="FIX",IF(INDEX(LISTES!$E$105:$E$109,MATCH(VM57,LISTES!$C$105:$C$109,0))=12,VN57/12*L57,VN57/365*M57),VO57*VL57)))</f>
        <v/>
      </c>
      <c r="VQ57" s="294" t="str">
        <f t="shared" si="619"/>
        <v/>
      </c>
      <c r="VR57" s="494" t="str">
        <f>IF(A57=FALSE,"",VQ57*Cotations!$AV$4)</f>
        <v/>
      </c>
      <c r="VS57" s="494" t="str">
        <f>IF(A57=FALSE,"",VQ57*Cotations!$AW$4)</f>
        <v/>
      </c>
      <c r="VT57" s="465" t="str">
        <f t="shared" si="620"/>
        <v/>
      </c>
      <c r="VU57" s="919" t="str">
        <f>IF(A57=FALSE,"",((VG57*TAXE)-(VG57*TAXE*VI57))+IF(VM57="N/A",0,IF(INDEX(LISTES!$F$105:$F$109,MATCH(VM57,LISTES!$C$105:$C$109,0))="FIX",VN57,VO57*VL57)))</f>
        <v/>
      </c>
      <c r="WA57" s="492" t="str">
        <f>IF(A57=FALSE,"",Cotations!D57)</f>
        <v/>
      </c>
      <c r="WB57" s="519" t="str">
        <f>IF(A57=FALSE,"",IF(LISTES!$A$17=1,Cotations!EW57,Cotations!EX57))</f>
        <v/>
      </c>
      <c r="WC57" s="291" t="str">
        <f t="shared" si="621"/>
        <v/>
      </c>
      <c r="WD57" s="291" t="str">
        <f t="shared" si="622"/>
        <v/>
      </c>
      <c r="WE57" s="291"/>
      <c r="WF57" s="463"/>
      <c r="WG57" s="463" t="str">
        <f t="shared" si="623"/>
        <v/>
      </c>
      <c r="WH57" s="522" t="str">
        <f>IF(A57=FALSE,"",IF(Cotations!$AQ$4="monthly",WG57/12*L57,WG57/365*M57))</f>
        <v/>
      </c>
      <c r="WI57" s="489" t="str">
        <f>IF(A57=FALSE,"",Cotations!$AR$4)</f>
        <v/>
      </c>
      <c r="WJ57" s="300" t="str">
        <f t="shared" si="624"/>
        <v/>
      </c>
      <c r="WK57" s="300" t="str">
        <f t="shared" si="625"/>
        <v/>
      </c>
      <c r="WL57" s="294" t="str">
        <f t="shared" si="626"/>
        <v/>
      </c>
      <c r="WM57" s="494" t="str">
        <f>IF(A57=FALSE,"",Cotations!$AS$4)</f>
        <v/>
      </c>
      <c r="WN57" s="494" t="str">
        <f>IF(A57=FALSE,"",Cotations!$AT$4)</f>
        <v/>
      </c>
      <c r="WO57" s="489" t="str">
        <f>IF(A57=FALSE,"",Cotations!$AU$4)</f>
        <v/>
      </c>
      <c r="WP57" s="494" t="str">
        <f>IF(A57=FALSE,"",IF(WM57="N/A",0,IF(INDEX(LISTES!$F$105:$F$109,MATCH(WM57,LISTES!$C$105:$C$109,0))="FIX",IF(INDEX(LISTES!$E$105:$E$109,MATCH(WM57,LISTES!$C$105:$C$109,0))=12,WN57/12*L57,WN57/365*M57),WO57*WL57)))</f>
        <v/>
      </c>
      <c r="WQ57" s="294" t="str">
        <f t="shared" si="627"/>
        <v/>
      </c>
      <c r="WR57" s="494" t="str">
        <f>IF(A57=FALSE,"",WQ57*Cotations!$AV$4)</f>
        <v/>
      </c>
      <c r="WS57" s="494" t="str">
        <f>IF(A57=FALSE,"",WQ57*Cotations!$AW$4)</f>
        <v/>
      </c>
      <c r="WT57" s="465" t="str">
        <f t="shared" si="628"/>
        <v/>
      </c>
      <c r="WU57" s="919" t="str">
        <f>IF(A57=FALSE,"",((WG57*TAXE)-(WG57*TAXE*WI57))+IF(WM57="N/A",0,IF(INDEX(LISTES!$F$105:$F$109,MATCH(WM57,LISTES!$C$105:$C$109,0))="FIX",WN57,WO57*WL57)))</f>
        <v/>
      </c>
    </row>
    <row r="58" spans="1:619">
      <c r="A58" s="942" t="b">
        <f t="shared" si="433"/>
        <v>0</v>
      </c>
      <c r="B58" s="942" t="b">
        <f>IF(NAMES!$B$9=TRUE,TRUE,FALSE)</f>
        <v>1</v>
      </c>
      <c r="C58" s="942" t="b">
        <f t="shared" si="413"/>
        <v>0</v>
      </c>
      <c r="D58" s="942" t="b">
        <f t="shared" si="414"/>
        <v>0</v>
      </c>
      <c r="E58" s="274" t="b">
        <f>IF(Cotations!C58="","",Cotations!C58)</f>
        <v>0</v>
      </c>
      <c r="F58" s="274" t="str">
        <f>IF(Cotations!D58="","",Cotations!D58)</f>
        <v>PROP</v>
      </c>
      <c r="G58" s="274" t="str">
        <f>IF(Cotations!E58="","",Cotations!E58)</f>
        <v>2016-2017!</v>
      </c>
      <c r="H58" s="274" t="str">
        <f>IF(Cotations!F58="","",Cotations!F58)</f>
        <v>SINGLE</v>
      </c>
      <c r="I58" s="274" t="str">
        <f>IF(Cotations!G58="","",Cotations!G58)</f>
        <v/>
      </c>
      <c r="J58" s="274" t="str">
        <f>IF(Cotations!H58="","",Cotations!H58)</f>
        <v/>
      </c>
      <c r="K58" s="274" t="str">
        <f>IF(Cotations!I58="","",Cotations!I58)</f>
        <v/>
      </c>
      <c r="L58" s="274" t="str">
        <f>IF(A58=FALSE,"",IF(Cotations!N58="","",Cotations!N58))</f>
        <v/>
      </c>
      <c r="M58" s="274" t="str">
        <f>IF(Cotations!P58="","",Cotations!P58)</f>
        <v/>
      </c>
      <c r="N58" s="724" t="str">
        <f>IF(NAMES!$B$10=TRUE,Cotations!J58,Cotations!L58)</f>
        <v/>
      </c>
      <c r="O58" s="724" t="str">
        <f>IF(NAMES!$B$10=TRUE,Cotations!K58,Cotations!M58)</f>
        <v/>
      </c>
      <c r="P58" s="943" t="str">
        <f t="shared" si="415"/>
        <v/>
      </c>
      <c r="Q58" s="724" t="str">
        <f>IF(A58=FALSE,"",IF(Crewlist!Y58="","",Crewlist!Y58))</f>
        <v/>
      </c>
      <c r="R58" s="78" t="str">
        <f>IF(Cotations!U58="","",Cotations!U58)</f>
        <v/>
      </c>
      <c r="S58" s="943" t="str">
        <f t="shared" si="416"/>
        <v/>
      </c>
      <c r="T58" s="919" t="str">
        <f>IF(A58=FALSE,"",VLOOKUP($U$15:$U$120,Currency!$A$2:$D$10,4,0)*Crewlist!N58)</f>
        <v/>
      </c>
      <c r="U58" s="1355" t="str">
        <f>IF(A58=FALSE,"",IF(IT58=0,Crewlist!M58&amp;"/"&amp;EX58,Crewlist!M58&amp;"/"&amp;IT58))</f>
        <v/>
      </c>
      <c r="V58" s="919" t="str">
        <f>IF(A58=FALSE,"",VLOOKUP($U$15:$U$120,Currency!$A$2:$D$10,4,0)*Detail!Q58)</f>
        <v/>
      </c>
      <c r="W58" s="1355" t="str">
        <f>IF(A58=FALSE,"",IF(IT58=0,Detail!R58&amp;"/"&amp;EX58,Detail!R58&amp;"/"&amp;IT58))</f>
        <v/>
      </c>
      <c r="X58" s="919" t="str">
        <f>IF(A58=FALSE,"",IF(LISTES!$C$17="Crewlist",Calcul!T58,Calcul!V58))</f>
        <v/>
      </c>
      <c r="Y58" s="758" t="str">
        <f t="shared" si="417"/>
        <v/>
      </c>
      <c r="Z58" s="758" t="str">
        <f>IF(A58=FALSE,"",IF(X58=0,0,IF((Cotations!BC58*12*X58)&lt;50000,50000,(12*X58))))</f>
        <v/>
      </c>
      <c r="AA58" s="758" t="str">
        <f t="shared" si="418"/>
        <v/>
      </c>
      <c r="AB58" s="758" t="str">
        <f>IF(A58=FALSE,"",IF(Crewlist!O58=0,"",Crewlist!O58))</f>
        <v/>
      </c>
      <c r="AC58" s="758" t="str">
        <f>IF(I58="","",VLOOKUP($AB$15:$AB$120,Currency!$A$15:$B$34,2,0))</f>
        <v/>
      </c>
      <c r="AD58" s="758" t="str">
        <f t="shared" si="419"/>
        <v/>
      </c>
      <c r="AE58" s="758" t="str">
        <f t="shared" si="420"/>
        <v/>
      </c>
      <c r="AF58" s="758" t="str">
        <f t="shared" si="421"/>
        <v/>
      </c>
      <c r="AG58" s="758" t="str">
        <f t="shared" si="422"/>
        <v/>
      </c>
      <c r="AH58" s="1355" t="str">
        <f t="shared" si="434"/>
        <v/>
      </c>
      <c r="AI58" s="919" t="str">
        <f t="shared" si="423"/>
        <v/>
      </c>
      <c r="AJ58" s="1382" t="str">
        <f t="shared" si="424"/>
        <v/>
      </c>
      <c r="AK58" s="1382" t="str">
        <f t="shared" si="425"/>
        <v/>
      </c>
      <c r="AL58" s="238" t="str">
        <f t="shared" si="435"/>
        <v/>
      </c>
      <c r="AM58" s="238" t="str">
        <f t="shared" si="436"/>
        <v/>
      </c>
      <c r="AN58" s="1374" t="str">
        <f t="shared" si="437"/>
        <v/>
      </c>
      <c r="AO58" s="238" t="str">
        <f t="shared" si="438"/>
        <v/>
      </c>
      <c r="AP58" s="342" t="str">
        <f>IF(A58=FALSE,"",INDEX(Rates!$Z$5:$Z$367,MATCH(EB58,colchoice,0)))</f>
        <v/>
      </c>
      <c r="AQ58" s="238" t="str">
        <f t="shared" si="439"/>
        <v/>
      </c>
      <c r="AR58" s="238" t="str">
        <f t="shared" si="440"/>
        <v/>
      </c>
      <c r="AS58" s="238" t="str">
        <f t="shared" si="441"/>
        <v/>
      </c>
      <c r="AT58" s="238" t="str">
        <f t="shared" si="442"/>
        <v/>
      </c>
      <c r="AU58" s="238" t="str">
        <f t="shared" si="443"/>
        <v/>
      </c>
      <c r="AV58" s="238" t="str">
        <f t="shared" si="429"/>
        <v/>
      </c>
      <c r="AW58" s="238" t="str">
        <f t="shared" si="444"/>
        <v/>
      </c>
      <c r="AX58" s="238" t="str">
        <f t="shared" si="445"/>
        <v/>
      </c>
      <c r="AY58" s="238" t="str">
        <f t="shared" si="446"/>
        <v/>
      </c>
      <c r="AZ58" s="238" t="str">
        <f t="shared" si="447"/>
        <v/>
      </c>
      <c r="BA58" s="238" t="str">
        <f t="shared" si="448"/>
        <v/>
      </c>
      <c r="BB58" s="552" t="str">
        <f t="shared" si="449"/>
        <v/>
      </c>
      <c r="BC58" s="347" t="str">
        <f t="shared" si="450"/>
        <v/>
      </c>
      <c r="BD58" s="239" t="str">
        <f t="shared" si="430"/>
        <v/>
      </c>
      <c r="BE58" s="239" t="str">
        <f>IF(A58=FALSE,"",IF(ALLTHESAME=TRUE,IF(DF58&lt;&gt;$BC$7,0,INDEX(DD58:DZ58,1,MATCH(Structure!$D$12,$DD$14:$DZ$14,0))),IF(EC58&lt;&gt;$BC$7,0,INDEX(EA58:EZ58,1,MATCH(Structure!$D$12,$EA$14:$EZ$14,0)))))</f>
        <v/>
      </c>
      <c r="BF58" s="239" t="str">
        <f>IF(A58=FALSE,"",IF(ALLTHESAME=TRUE,IF(FC58&lt;&gt;$BC$7,0,INDEX(FA58:FZ58,1,MATCH(Structure!$D$12,$FA$14:$FZ$14,0))),IF(GC58&lt;&gt;$BC$7,0,INDEX(GA58:GZ58,1,MATCH(Structure!$D$12,$GA$14:$GZ$14,0)))))</f>
        <v/>
      </c>
      <c r="BG58" s="239" t="str">
        <f>IF(A58=FALSE,"",IF(ALLTHESAME=TRUE,IF(VC58&lt;&gt;$BC$7,0,INDEX(VA58:VZ58,1,MATCH(Structure!$D$12,$VA$14:$VZ$14,0))),IF(VC58&lt;&gt;$BC$7,0,INDEX(VA58:VZ58,1,MATCH(Structure!$D$12,$VA$14:$VZ$14,0)))))</f>
        <v/>
      </c>
      <c r="BH58" s="239" t="str">
        <f>IF(A58=FALSE,"",IF(ALLTHESAME=TRUE,IF(WC58&lt;&gt;$BC$7,0,INDEX(WA58:WY58,1,MATCH(Structure!$D$12,$WA$14:$WZ$14,0))),IF(WC58&lt;&gt;$BC$7,0,INDEX(WA58:WZ58,1,MATCH(Structure!$D$12,$WA$14:$WZ$14,0)))))</f>
        <v/>
      </c>
      <c r="BI58" s="763" t="str">
        <f>IF(A58=FALSE,"",IF(ALLTHESAME=TRUE,IF(HC58&lt;&gt;$BC$7,0,INDEX(HA58:HZ58,1,MATCH(Structure!$D$12,$HA$14:$HZ$14,0)))+TK58,IF(IC58&lt;&gt;$BC$7,0,INDEX(IA58:IZ58,1,MATCH(Structure!$D$12,$IA$14:$IZ$14,0)))+TK58))</f>
        <v/>
      </c>
      <c r="BJ58" s="239" t="str">
        <f>IF(A58=FALSE,"",IF(ALLTHESAME=TRUE,IF(JC58&lt;&gt;$BC$7,0,INDEX(JA58:JZ58,1,MATCH(Structure!$D$12,$JA$14:$JZ$14,0))),IF(KC58&lt;&gt;$BC$7,0,INDEX(KA58:KZ58,1,MATCH(Structure!$D$12,$KA$14:$KZ$14,0)))))</f>
        <v/>
      </c>
      <c r="BK58" s="763" t="str">
        <f>IF(A58=FALSE,"",IF(ALLTHESAME=TRUE,IF(LC58&lt;&gt;$BC$7,0,INDEX(LA58:LZ58,1,MATCH(Structure!$D$12,$LA$14:$LZ$14,0)))+UK58,IF(MC58&lt;&gt;$BC$7,0,INDEX(MA58:MZ58,1,MATCH(Structure!$D$12,$MA$14:$MZ$14,0)))+UK58))</f>
        <v/>
      </c>
      <c r="BL58" s="239" t="str">
        <f>IF(A58=FALSE,"",IF(ALLTHESAME=TRUE,IF(NC58&lt;&gt;$BC$7,0,INDEX(NA58:NZ58,1,MATCH(Structure!$D$12,$NA$14:$NZ$14,0))),IF(OC58&lt;&gt;$BC$7,0,INDEX(OA58:OZ58,1,MATCH(Structure!$D$12,$OA$14:$OZ$14,0)))))</f>
        <v/>
      </c>
      <c r="BM58" s="239" t="str">
        <f>IF(A58=FALSE,"",IF(ALLTHESAME=TRUE,IF(PC58&lt;&gt;$BC$7,0,INDEX(PA58:PZ58,1,MATCH(Structure!$D$12,$PA$14:$PZ$14,0))),IF(QC58&lt;&gt;$BC$7,0,INDEX(QA58:QZ58,1,MATCH(Structure!$D$12,$QA$14:$QZ$14,0)))))</f>
        <v/>
      </c>
      <c r="BN58" s="341" t="str">
        <f>IF(A58=FALSE,"",IF(ALLTHESAME=TRUE,IF(RC58&lt;&gt;$BC$7,0,INDEX(RA58:RZ58,1,MATCH(Structure!$D$12,$RA$14:$RZ$14,0))),IF(SC58&lt;&gt;$BC$7,0,INDEX(SA58:TA58,1,MATCH(Structure!$D$12,$SA$14:$TA$14,0)))))</f>
        <v/>
      </c>
      <c r="BO58" s="507" t="str">
        <f t="shared" si="451"/>
        <v/>
      </c>
      <c r="BP58" s="239" t="str">
        <f t="shared" si="452"/>
        <v/>
      </c>
      <c r="BQ58" s="239" t="str">
        <f>IF(A58=FALSE,"",IF(ALLTHESAME=TRUE,IF(DF58&lt;&gt;$BO$7,0,INDEX(DD58:DZ58,1,MATCH(Structure!$D$12,$DD$14:$DZ$14,0))),IF(EC58&lt;&gt;$BO$7,0,INDEX(EA58:EZ58,1,MATCH(Structure!$D$12,$EA$14:$EZ$14,0)))))</f>
        <v/>
      </c>
      <c r="BR58" s="239" t="str">
        <f>IF(A58=FALSE,"",IF(ALLTHESAME=TRUE,IF(FC58&lt;&gt;$BO$7,0,INDEX(FA58:FZ58,1,MATCH(Structure!$D$12,$FA$14:$FZ$14,0))),IF(GC58&lt;&gt;$BO$7,0,INDEX(GA58:GZ58,1,MATCH(Structure!$D$12,$GA$14:$GZ$14,0)))))</f>
        <v/>
      </c>
      <c r="BS58" s="239" t="str">
        <f>IF(A58=FALSE,"",IF(ALLTHESAME=TRUE,IF(HC58&lt;&gt;$BO$7,0,INDEX(HA58:HZ58,1,MATCH(Structure!$D$12,$HA$14:$HZ$14,0))),IF(IC58&lt;&gt;$BO$7,0,INDEX(IA58:IZ58,1,MATCH(Structure!$D$12,$IA$14:$IZ$14,0)))))</f>
        <v/>
      </c>
      <c r="BT58" s="239" t="str">
        <f>IF(A58=FALSE,"",IF(ALLTHESAME=TRUE,IF(JC58&lt;&gt;$BO$7,0,INDEX(JA58:JZ58,1,MATCH(Structure!$D$12,$JA$14:$JZ$14,0))),IF(KC58&lt;&gt;$BO$7,0,INDEX(KA58:KZ58,1,MATCH(Structure!$D$12,$KA$14:$KZ$14,0)))))</f>
        <v/>
      </c>
      <c r="BU58" s="239" t="str">
        <f>IF(A58=FALSE,"",IF(ALLTHESAME=TRUE,IF(LC58&lt;&gt;$BO$7,0,INDEX(LA58:LZ58,1,MATCH(Structure!$D$12,$LA$14:$LZ$14,0))),IF(MC58&lt;&gt;$BO$7,0,INDEX(MA58:MZ58,1,MATCH(Structure!$D$12,$MA$14:$MZ$14,0)))))</f>
        <v/>
      </c>
      <c r="BV58" s="239" t="str">
        <f>IF(A58=FALSE,"",IF(ALLTHESAME=TRUE,IF(NC58&lt;&gt;$BO$7,0,INDEX(NA58:NZ58,1,MATCH(Structure!$D$12,$NA$14:$NZ$14,0))),IF(OC58&lt;&gt;$BO$7,0,INDEX(OA58:OZ58,1,MATCH(Structure!$D$12,$OA$14:$OZ$14,0)))))</f>
        <v/>
      </c>
      <c r="BW58" s="239" t="str">
        <f>IF(A58=FALSE,"",IF(ALLTHESAME=TRUE,IF(PC58&lt;&gt;$BO$7,0,INDEX(PA58:PZ58,1,MATCH(Structure!$D$12,$PA$14:$PZ$14,0))),IF(QC58&lt;&gt;$BO$7,0,INDEX(QA58:QZ58,1,MATCH(Structure!$D$12,$QA$14:$QZ$14,0)))))</f>
        <v/>
      </c>
      <c r="BX58" s="341" t="str">
        <f>IF(A58=FALSE,"",IF(ALLTHESAME=TRUE,IF(RC58&lt;&gt;$BO$7,0,INDEX(RA58:RZ58,1,MATCH(Structure!$D$12,$RA$14:$RZ$14,0))),IF(SC58&lt;&gt;$BO$7,0,INDEX(SA58:TA58,1,MATCH(Structure!$D$12,$SA$14:$TA$14,0)))))</f>
        <v/>
      </c>
      <c r="BY58" s="347" t="str">
        <f t="shared" si="453"/>
        <v/>
      </c>
      <c r="BZ58" s="507" t="str">
        <f t="shared" si="454"/>
        <v/>
      </c>
      <c r="CA58" s="239" t="str">
        <f t="shared" si="455"/>
        <v/>
      </c>
      <c r="CB58" s="239" t="str">
        <f>IF(A58=FALSE,"",IF(ALLTHESAME=TRUE,INDEX(DD58:DZ58,MATCH(DF58,DF58:DF163,0),MATCH(Structure!$D$17,$DD$14:$DZ$14,0)),INDEX(EA58:EZ58,MATCH(EC58,EC58:EC163,0),MATCH(Structure!$D$17,$EA$14:$EZ$14,0))))</f>
        <v/>
      </c>
      <c r="CC58" s="239" t="str">
        <f>IF(A58=FALSE,"",IF(ALLTHESAME=TRUE,INDEX(FA58:FZ58,MATCH(FC58,FC58:FC163,0),MATCH(Structure!$D$17,$FA$14:$FZ$14,0)),INDEX(GA58:GZ58,MATCH(GC58,GC58:GC163,0),MATCH(Structure!$D$17,$GA$14:$GZ$14,0))))</f>
        <v/>
      </c>
      <c r="CD58" s="239" t="str">
        <f>IF(A58=FALSE,"",IF(ALLTHESAME=TRUE,INDEX(HA58:HZ58,MATCH(HC58,HC58:HC163,0),MATCH(Structure!$D$17,$HA$14:$HZ$14,0)),INDEX(IA58:IZ58,MATCH(IC58,IC58:IC163,0),MATCH(Structure!$D$17,$IA$14:$IZ$14,0))))</f>
        <v/>
      </c>
      <c r="CE58" s="239" t="str">
        <f>IF(A58=FALSE,"",IF(ALLTHESAME=TRUE,INDEX(JA58:JZ58,MATCH(JC58,JC58:JC163,0),MATCH(Structure!$D$17,$JA$14:$JZ$14,0)),INDEX(KA58:KZ58,MATCH(KC58,KC58:KC163,0),MATCH(Structure!$D$17,$KA$14:$KZ$14,0))))</f>
        <v/>
      </c>
      <c r="CF58" s="239" t="str">
        <f>IF(A58=FALSE,"",IF(ALLTHESAME=TRUE,INDEX(LA58:LZ58,MATCH(LC58,LC58:LC163,0),MATCH(Structure!$D$17,$LA$14:$LZ$14,0)),INDEX(MA58:MZ58,MATCH(MC58,MC58:MC163,0),MATCH(Structure!$D$17,$MA$14:$MZ$14,0))))</f>
        <v/>
      </c>
      <c r="CG58" s="239" t="str">
        <f>IF(A58=FALSE,"",IF(ALLTHESAME=TRUE,INDEX(NA58:NZ58,MATCH(NC58,NC58:NC163,0),MATCH(Structure!$D$17,$NA$14:$NZ$14,0)),INDEX(OA58:OZ58,MATCH(OC58,OC58:OC163,0),MATCH(Structure!$D$17,$OA$14:$OZ$14,0))))</f>
        <v/>
      </c>
      <c r="CH58" s="239" t="str">
        <f>IF(A58=FALSE,"",IF(ALLTHESAME=TRUE,INDEX(PA58:PZ58,MATCH(PC58,PC58:PC163,0),MATCH(Structure!$D$17,$PA$14:$PZ$14,0)),INDEX(QA58:QZ58,MATCH(QC58,QC58:QC163,0),MATCH(Structure!$D$17,$QA$14:$QZ$14,0))))</f>
        <v/>
      </c>
      <c r="CI58" s="341" t="str">
        <f>IF(A58=FALSE,"",IF(ALLTHESAME=TRUE,INDEX(RA58:RZ58,MATCH(RC58,RC58:RC163,0),MATCH(Structure!$D$17,$RA$14:$RZ$14,0)),INDEX(SA58:TC58,MATCH(SC58,SC58:SC163,0),MATCH(Structure!$D$17,$SA$14:$TC$14,0))))</f>
        <v/>
      </c>
      <c r="CJ58" s="347"/>
      <c r="CK58" s="239" t="str">
        <f t="shared" si="456"/>
        <v/>
      </c>
      <c r="CL58" s="239" t="str">
        <f>IF(A58=FALSE,"",IF(ALLTHESAME=TRUE,INDEX(DD58:DZ58,MATCH(DF58,DF58:DF163,0),MATCH(Structure!$D$22,$DD$14:$DZ$14,0)),INDEX(EA58:EZ58,MATCH(EC58,EC58:EC163,0),MATCH(Structure!$D$22,$EA$14:$EZ$14,0))))</f>
        <v/>
      </c>
      <c r="CM58" s="239" t="str">
        <f>IF(A58=FALSE,"",IF(ALLTHESAME=TRUE,INDEX(FA58:FZ58,MATCH(FC58,FC58:FC163,0),MATCH(Structure!$D$22,$FA$14:$FZ$14,0)),INDEX(GA58:GZ58,MATCH(GC58,GC58:GC163,0),MATCH(Structure!$D$22,$GA$14:$GZ$14,0))))</f>
        <v/>
      </c>
      <c r="CN58" s="239" t="str">
        <f>IF(A58=FALSE,"",IF(ALLTHESAME=TRUE,INDEX(HA58:HZ58,MATCH(HC58,HC58:HC163,0),MATCH(Structure!$D$22,$HA$14:$HZ$14,0)),INDEX(IA58:IZ58,MATCH(IC58,IC58:IC163,0),MATCH(Structure!$D$22,$IA$14:$IZ$14,0))))</f>
        <v/>
      </c>
      <c r="CO58" s="239" t="str">
        <f>IF(A58=FALSE,"",IF(ALLTHESAME=TRUE,INDEX(JA58:JZ58,MATCH(JC58,JC58:JC163,0),MATCH(Structure!$D$22,$JA$14:$JZ$14,0)),INDEX(KA58:KZ58,MATCH(KC58,KC58:KC163,0),MATCH(Structure!$D$22,$KA$14:$KZ$14,0))))</f>
        <v/>
      </c>
      <c r="CP58" s="239" t="str">
        <f>IF(A58=FALSE,"",IF(ALLTHESAME=TRUE,INDEX(LA58:LZ58,MATCH(LC58,LC58:LC163,0),MATCH(Structure!$D$22,$LA$14:$LZ$14,0)),INDEX(MA58:MZ58,MATCH(MC58,MC58:MC163,0),MATCH(Structure!$D$22,$MA$14:$MZ$14,0))))</f>
        <v/>
      </c>
      <c r="CQ58" s="239" t="str">
        <f>IF(A58=FALSE,"",IF(ALLTHESAME=TRUE,INDEX(NA58:NZ58,MATCH(NC58,NC58:NC163,0),MATCH(Structure!$D$22,$NA$14:$NZ$14,0)),INDEX(OA58:OZ58,MATCH(OC58,OC58:OC163,0),MATCH(Structure!$D$22,$OA$14:$OZ$14,0))))</f>
        <v/>
      </c>
      <c r="CR58" s="239" t="str">
        <f>IF(A58=FALSE,"",IF(ALLTHESAME=TRUE,INDEX(PA58:PZ58,MATCH(PC58,PC58:PC163,0),MATCH(Structure!$D$22,$PA$14:$PZ$14,0)),INDEX(QA58:QZ58,MATCH(QC58,QC58:QC163,0),MATCH(Structure!$D$22,$QA$14:$QZ$14,0))))</f>
        <v/>
      </c>
      <c r="CS58" s="341" t="str">
        <f>IF(A58=FALSE,"",IF(ALLTHESAME=TRUE,INDEX(RA58:RZ58,MATCH(RC58,RC58:RC163,0),MATCH(Structure!$D$22,$RA$14:$RZ$14,0)),INDEX(SA58:TC58,MATCH(SC58,SC58:SC163,0),MATCH(Structure!$D$22,$SA$14:$TC$14,0))))</f>
        <v/>
      </c>
      <c r="CT58" s="347"/>
      <c r="CU58" s="239" t="str">
        <f t="shared" si="457"/>
        <v/>
      </c>
      <c r="CV58" s="239" t="str">
        <f>IF(A58=FALSE,"",IF(ALLTHESAME=TRUE,INDEX(DD58:DZ58,MATCH(DF58,DF58:DF163,0),MATCH(Structure!$D$8,$DD$14:$DZ$14,0)),INDEX(EA58:EZ58,MATCH(EC58,EC58:EC163,0),MATCH(Structure!$D$8,$EA$14:$EZ$14,0))))</f>
        <v/>
      </c>
      <c r="CW58" s="239" t="str">
        <f>IF(A58=FALSE,"",IF(ALLTHESAME=TRUE,INDEX(FA58:FZ58,MATCH(FC58,FC58:FC163,0),MATCH(Structure!$D$8,$FA$14:$FZ$14,0)),INDEX(GA58:GZ58,MATCH(GC58,GC58:GC163,0),MATCH(Structure!$D$8,$GA$14:$GZ$14,0))))</f>
        <v/>
      </c>
      <c r="CX58" s="239" t="str">
        <f>IF(A58=FALSE,"",IF(ALLTHESAME=TRUE,INDEX(HA58:HZ58,MATCH(HC58,HC58:HC163,0),MATCH(Structure!$D$8,$HA$14:$HZ$14,0)),INDEX(IA58:IZ58,MATCH(IC58,IC58:IC163,0),MATCH(Structure!$D$8,$IA$14:$IZ$14,0))))</f>
        <v/>
      </c>
      <c r="CY58" s="239" t="str">
        <f>IF(A58=FALSE,"",IF(ALLTHESAME=TRUE,INDEX(JA58:JZ58,MATCH(JC58,JC58:JC163,0),MATCH(Structure!$D$8,$JA$14:$JZ$14,0)),INDEX(KA58:KZ58,MATCH(KC58,KC58:KC163,0),MATCH(Structure!$D$8,$KA$14:$KZ$14,0))))</f>
        <v/>
      </c>
      <c r="CZ58" s="239" t="str">
        <f>IF(A58=FALSE,"",IF(ALLTHESAME=TRUE,INDEX(LA58:LZ58,MATCH(LC58,LC58:LC163,0),MATCH(Structure!$D$8,$LA$14:$LZ$14,0)),INDEX(MA58:MZ58,MATCH(MC58,MC58:MC163,0),MATCH(Structure!$D$8,$MA$14:$MZ$14,0))))</f>
        <v/>
      </c>
      <c r="DA58" s="239" t="str">
        <f>IF(A58=FALSE,"",IF(ALLTHESAME=TRUE,INDEX(NA58:NZ58,MATCH(NC58,NC58:NC163,0),MATCH(Structure!$D$8,$NA$14:$NZ$14,0)),INDEX(OA58:OZ58,MATCH(OC58,OC58:OC163,0),MATCH(Structure!$D$8,$OA$14:$OZ$14,0))))</f>
        <v/>
      </c>
      <c r="DB58" s="239" t="str">
        <f>IF(A58=FALSE,"",IF(ALLTHESAME=TRUE,INDEX(PA58:PZ58,MATCH(PC58,PC58:PC163,0),MATCH(Structure!$D$8,$PA$14:$PZ$14,0)),INDEX(QA58:QZ58,MATCH(QC58,QC58:QC163,0),MATCH(Structure!$D$8,$QA$14:$QZ$14,0))))</f>
        <v/>
      </c>
      <c r="DC58" s="341" t="str">
        <f>IF(A58=FALSE,"",IF(ALLTHESAME=TRUE,INDEX(RA58:RZ58,MATCH(RC58,RC58:RC163,0),MATCH(Structure!$D$8,$RA$14:$RZ$14,0)),INDEX(SA58:TC58,MATCH(SC58,SC58:SC163,0),MATCH(Structure!$D$8,$SA$14:$TC$14,0))))</f>
        <v/>
      </c>
      <c r="DD58" s="492" t="str">
        <f>IF(A58=FALSE,"",Cotations!D58)</f>
        <v/>
      </c>
      <c r="DE58" s="492" t="str">
        <f>IF(A58=FALSE,"",IF(LISTES!$A$17=1,Cotations!AF58,Cotations!$AG$4))</f>
        <v/>
      </c>
      <c r="DF58" s="291" t="str">
        <f t="shared" si="458"/>
        <v/>
      </c>
      <c r="DG58" s="291" t="str">
        <f t="shared" si="459"/>
        <v/>
      </c>
      <c r="DH58" s="291"/>
      <c r="DI58" s="463"/>
      <c r="DJ58" s="463" t="str">
        <f t="shared" si="460"/>
        <v/>
      </c>
      <c r="DK58" s="522" t="str">
        <f>IF(A58=FALSE,"",IF(Cotations!$AH$4="monthly",DJ58/12*L58,DJ58/365*M58))</f>
        <v/>
      </c>
      <c r="DL58" s="489" t="str">
        <f>IF(A58=FALSE,"",Cotations!$AI$4)</f>
        <v/>
      </c>
      <c r="DM58" s="300" t="str">
        <f t="shared" si="461"/>
        <v/>
      </c>
      <c r="DN58" s="300" t="str">
        <f t="shared" si="462"/>
        <v/>
      </c>
      <c r="DO58" s="294" t="str">
        <f t="shared" si="463"/>
        <v/>
      </c>
      <c r="DP58" s="494" t="str">
        <f>IF(A58=FALSE,"",Cotations!$AJ$4)</f>
        <v/>
      </c>
      <c r="DQ58" s="494" t="str">
        <f>IF(A58=FALSE,"",Cotations!$AK$4)</f>
        <v/>
      </c>
      <c r="DR58" s="489" t="str">
        <f>IF(A58=FALSE,"",Cotations!$AL$4)</f>
        <v/>
      </c>
      <c r="DS58" s="494" t="str">
        <f>IF(A58=FALSE,"",IF(DP58="N/A",0,IF(INDEX(LISTES!$F$105:$F$109,MATCH(DP58,LISTES!$C$105:$C$109,0))="FIX",IF(INDEX(LISTES!$E$105:$E$109,MATCH(DP58,LISTES!$C$105:$C$109,0))=12,DQ58/12*L58,DQ58/365*M58),DR58*DO58)))</f>
        <v/>
      </c>
      <c r="DT58" s="294" t="str">
        <f t="shared" si="464"/>
        <v/>
      </c>
      <c r="DU58" s="294" t="str">
        <f>IF(A58=FALSE,"",DT58*Cotations!$AM$4)</f>
        <v/>
      </c>
      <c r="DV58" s="294" t="str">
        <f>IF(A58=FALSE,"",DT58*Cotations!$AN$4)</f>
        <v/>
      </c>
      <c r="DW58" s="465" t="str">
        <f t="shared" si="465"/>
        <v/>
      </c>
      <c r="DX58" s="919" t="str">
        <f>IF(A58=FALSE,"",((DJ58*TAXE)-(DJ58*TAXE*DL58))+IF(DP58="N/A",0,IF(INDEX(LISTES!$F$105:$F$109,MATCH(DP58,LISTES!$C$105:$C$109,0))="FIX",DQ58,DR58*DO58)))</f>
        <v/>
      </c>
      <c r="DY58" s="466"/>
      <c r="DZ58" s="466"/>
      <c r="EA58" s="492" t="str">
        <f>IF(A58=FALSE,"",Cotations!D58)</f>
        <v/>
      </c>
      <c r="EB58" s="494" t="str">
        <f>IF(A58=FALSE,"",IF(LISTES!$A$17=1,Cotations!AF58,Cotations!AG58))</f>
        <v/>
      </c>
      <c r="EC58" s="284" t="str">
        <f t="shared" si="466"/>
        <v/>
      </c>
      <c r="ED58" s="284" t="str">
        <f t="shared" si="467"/>
        <v/>
      </c>
      <c r="EE58" s="284"/>
      <c r="EF58" s="284"/>
      <c r="EG58" s="284" t="str">
        <f t="shared" si="468"/>
        <v/>
      </c>
      <c r="EH58" s="1365" t="str">
        <f t="shared" si="469"/>
        <v/>
      </c>
      <c r="EI58" s="1365" t="str">
        <f t="shared" si="470"/>
        <v/>
      </c>
      <c r="EJ58" s="515" t="str">
        <f>IF(A58=FALSE,"",IF(Cotations!AH58="monthly",EG58/12*L58,EG58/365*M58))</f>
        <v/>
      </c>
      <c r="EK58" s="1364" t="str">
        <f>IF(A58=FALSE,"",IF(Cotations!AH58="monthly",EI58/12*L58,EI58/365*M58))</f>
        <v/>
      </c>
      <c r="EL58" s="493" t="str">
        <f>IF(A58=FALSE,"",IF(Cotations!AI58="","",Cotations!AI58))</f>
        <v/>
      </c>
      <c r="EM58" s="284" t="str">
        <f t="shared" si="471"/>
        <v/>
      </c>
      <c r="EN58" s="284" t="str">
        <f t="shared" si="472"/>
        <v/>
      </c>
      <c r="EO58" s="1365" t="str">
        <f t="shared" si="432"/>
        <v/>
      </c>
      <c r="EP58" s="284" t="str">
        <f t="shared" si="473"/>
        <v/>
      </c>
      <c r="EQ58" s="515" t="str">
        <f>IF(A58=FALSE,"",Cotations!AJ58)</f>
        <v/>
      </c>
      <c r="ER58" s="515" t="str">
        <f>IF(A58=FALSE,"",IF(Cotations!AK58="","",Cotations!AK58))</f>
        <v/>
      </c>
      <c r="ES58" s="493" t="str">
        <f>IF(A58=FALSE,"",Cotations!AL58)</f>
        <v/>
      </c>
      <c r="ET58" s="515" t="str">
        <f>IF(A58=FALSE,"",IF(EQ58="N/A",0,IF(INDEX(LISTES!$F$105:$F$109,MATCH(EQ58,LISTES!$C$105:$C$109,0))="FIX",IF(INDEX(LISTES!$E$105:$E$109,MATCH(EQ58,LISTES!$C$105:$C$109,0))=12,ER58/12*L58,ER58/365*M58),ES58*EP58)))</f>
        <v/>
      </c>
      <c r="EU58" s="294" t="str">
        <f t="shared" si="474"/>
        <v/>
      </c>
      <c r="EV58" s="494" t="str">
        <f>IF(A58=FALSE,"",EU58*Cotations!AM58)</f>
        <v/>
      </c>
      <c r="EW58" s="494" t="str">
        <f>IF(A58=FALSE,"",EU58*Cotations!AN58)</f>
        <v/>
      </c>
      <c r="EX58" s="334" t="str">
        <f t="shared" si="475"/>
        <v/>
      </c>
      <c r="EY58" s="919" t="str">
        <f>IF(A58=FALSE,"",((EG58*TAXE)-(EG58*TAXE*EL58)+EH58)+IF(EQ58="N/A",0,IF(INDEX(LISTES!$F$105:$F$109,MATCH(EQ58,LISTES!$C$105:$C$109,0))="FIX",ER58,ES58*EP58)))</f>
        <v/>
      </c>
      <c r="FA58" s="492" t="str">
        <f>IF(A58=FALSE,"",Cotations!D58)</f>
        <v/>
      </c>
      <c r="FB58" s="519" t="str">
        <f>IF(A58=FALSE,"",IF(LISTES!$A$17=1,Cotations!AO58,Cotations!$AP$4))</f>
        <v/>
      </c>
      <c r="FC58" s="291" t="str">
        <f t="shared" si="476"/>
        <v/>
      </c>
      <c r="FD58" s="291" t="str">
        <f t="shared" si="477"/>
        <v/>
      </c>
      <c r="FE58" s="291"/>
      <c r="FF58" s="463"/>
      <c r="FG58" s="463" t="str">
        <f t="shared" si="478"/>
        <v/>
      </c>
      <c r="FH58" s="522" t="str">
        <f>IF(A58=FALSE,"",IF(Cotations!$AQ$4="monthly",FG58/12*L58,FG58/365*M58))</f>
        <v/>
      </c>
      <c r="FI58" s="453" t="str">
        <f>IF(A58=FALSE,"",Cotations!$AR$4)</f>
        <v/>
      </c>
      <c r="FJ58" s="300" t="str">
        <f t="shared" si="479"/>
        <v/>
      </c>
      <c r="FK58" s="300" t="str">
        <f t="shared" si="480"/>
        <v/>
      </c>
      <c r="FL58" s="294" t="str">
        <f t="shared" si="481"/>
        <v/>
      </c>
      <c r="FM58" s="494" t="str">
        <f>IF(A58=FALSE,"",Cotations!$AS$4)</f>
        <v/>
      </c>
      <c r="FN58" s="494" t="str">
        <f>IF(A58=FALSE,"",Cotations!$AT$4)</f>
        <v/>
      </c>
      <c r="FO58" s="489" t="str">
        <f>IF(A58=FALSE,"",Cotations!$AU$4)</f>
        <v/>
      </c>
      <c r="FP58" s="494" t="str">
        <f>IF(A58=FALSE,"",IF(FM58="N/A",0,IF(INDEX(LISTES!$F$105:$F$109,MATCH(FM58,LISTES!$C$105:$C$109,0))="FIX",IF(INDEX(LISTES!$E$105:$E$109,MATCH(FM58,LISTES!$C$105:$C$109,0))=12,FN58/12*L58,FN58/365*M58),FO58*FL58)))</f>
        <v/>
      </c>
      <c r="FQ58" s="294" t="str">
        <f t="shared" si="482"/>
        <v/>
      </c>
      <c r="FR58" s="494" t="str">
        <f>IF(A58=FALSE,"",FQ58*Cotations!$AV$4)</f>
        <v/>
      </c>
      <c r="FS58" s="494" t="str">
        <f>IF(A58=FALSE,"",FQ58*Cotations!$AW$4)</f>
        <v/>
      </c>
      <c r="FT58" s="465" t="str">
        <f t="shared" si="483"/>
        <v/>
      </c>
      <c r="FU58" s="919" t="str">
        <f>IF(A58=FALSE,"",((FG58*TAXE)-(FG58*TAXE*FI58))+IF(FM58="N/A",0,IF(INDEX(LISTES!$F$105:$F$109,MATCH(FM58,LISTES!$C$105:$C$109,0))="FIX",FN58,FO58*FL58)))</f>
        <v/>
      </c>
      <c r="FV58" s="478"/>
      <c r="FW58" s="478"/>
      <c r="FX58" s="478"/>
      <c r="FY58" s="478"/>
      <c r="FZ58" s="478"/>
      <c r="GA58" s="492" t="str">
        <f>IF(A58=FALSE,"",Cotations!D58)</f>
        <v/>
      </c>
      <c r="GB58" s="494" t="str">
        <f>IF(A58=FALSE,"",IF(LISTES!$A$17=1,Cotations!AO58,Cotations!AP58))</f>
        <v/>
      </c>
      <c r="GC58" s="284" t="str">
        <f t="shared" si="484"/>
        <v/>
      </c>
      <c r="GD58" s="515" t="str">
        <f>IF(A58=FALSE,"",IF(Detail!AM58="","",Detail!AM58))</f>
        <v/>
      </c>
      <c r="GE58" s="284"/>
      <c r="GF58" s="284"/>
      <c r="GG58" s="284" t="str">
        <f t="shared" si="485"/>
        <v/>
      </c>
      <c r="GH58" s="515" t="str">
        <f>IF(A58=FALSE,"",IF(Cotations!AQ58="monthly",GG58/12*L58,GG58/365*M58))</f>
        <v/>
      </c>
      <c r="GI58" s="493" t="str">
        <f>IF(A58=FALSE,"",IF(Cotations!AR58="","",Cotations!AR58))</f>
        <v/>
      </c>
      <c r="GJ58" s="284" t="str">
        <f t="shared" si="486"/>
        <v/>
      </c>
      <c r="GK58" s="284" t="str">
        <f t="shared" si="487"/>
        <v/>
      </c>
      <c r="GL58" s="284" t="str">
        <f t="shared" si="488"/>
        <v/>
      </c>
      <c r="GM58" s="515" t="str">
        <f>IF(A58=FALSE,"",Cotations!AS58)</f>
        <v/>
      </c>
      <c r="GN58" s="515" t="str">
        <f>IF(A58=FALSE,"",Cotations!AT58)</f>
        <v/>
      </c>
      <c r="GO58" s="493" t="str">
        <f>IF(A58=FALSE,"",Cotations!AU58)</f>
        <v/>
      </c>
      <c r="GP58" s="515" t="str">
        <f>IF(A58=FALSE,"",IF(GM58="N/A",0,IF(INDEX(LISTES!$F$105:$F$109,MATCH(GM58,LISTES!$C$105:$C$109,0))="FIX",IF(INDEX(LISTES!$E$105:$E$109,MATCH(GM58,LISTES!$C$105:$C$109,0))=12,GN58/12*L58,GN58/365*M58),GO58*GL58)))</f>
        <v/>
      </c>
      <c r="GQ58" s="294" t="str">
        <f t="shared" si="489"/>
        <v/>
      </c>
      <c r="GR58" s="494" t="str">
        <f>IF(A58=FALSE,"",GQ58*Cotations!AV58)</f>
        <v/>
      </c>
      <c r="GS58" s="494" t="str">
        <f>IF(A58=FALSE,"",GQ58*Cotations!AW58)</f>
        <v/>
      </c>
      <c r="GT58" s="334" t="str">
        <f t="shared" si="490"/>
        <v/>
      </c>
      <c r="GU58" s="919" t="str">
        <f>IF(A58=FALSE,"",((GG58*TAXE)-(GG58*TAXE*GI58))+IF(GM58="N/A",0,IF(INDEX(LISTES!$F$105:$F$109,MATCH(GM58,LISTES!$C$105:$C$109,0))="FIX",GN58,GO58*GL58)))</f>
        <v/>
      </c>
      <c r="GV58" s="478"/>
      <c r="GW58" s="466"/>
      <c r="GX58" s="466"/>
      <c r="GY58" s="466"/>
      <c r="GZ58" s="466"/>
      <c r="HA58" s="492" t="str">
        <f>IF(A58=FALSE,"",Cotations!D58)</f>
        <v/>
      </c>
      <c r="HB58" s="495" t="str">
        <f>IF(A58=FALSE,"",IF(LISTES!$A$17=1,Cotations!AX58,Cotations!$AY$4))</f>
        <v/>
      </c>
      <c r="HC58" s="291" t="str">
        <f t="shared" si="491"/>
        <v/>
      </c>
      <c r="HD58" s="291" t="str">
        <f t="shared" si="492"/>
        <v/>
      </c>
      <c r="HE58" s="456" t="str">
        <f t="shared" si="493"/>
        <v/>
      </c>
      <c r="HF58" s="496" t="str">
        <f>IF(A58=FALSE,"",IF(HA58="POEA",Cotations!BA58,IF(HA58="FIXE",Cotations!$BA$4,Cotations!$BC$4*Y58)))</f>
        <v/>
      </c>
      <c r="HG58" s="300" t="str">
        <f t="shared" si="494"/>
        <v/>
      </c>
      <c r="HH58" s="522" t="str">
        <f>IF(A58=FALSE,"",IF(Cotations!$AZ$4="monthly",HG58/12*L58,HG58/365*M58))</f>
        <v/>
      </c>
      <c r="HI58" s="489" t="str">
        <f>IF(A58=FALSE,"",Cotations!$BD$4)</f>
        <v/>
      </c>
      <c r="HJ58" s="300" t="str">
        <f t="shared" si="495"/>
        <v/>
      </c>
      <c r="HK58" s="300" t="str">
        <f t="shared" si="496"/>
        <v/>
      </c>
      <c r="HL58" s="294" t="str">
        <f t="shared" si="497"/>
        <v/>
      </c>
      <c r="HM58" s="494" t="str">
        <f>IF(A58=FALSE,"",Cotations!$BE$4)</f>
        <v/>
      </c>
      <c r="HN58" s="522" t="str">
        <f>IF(A58=FALSE,"",Cotations!$BF$4)</f>
        <v/>
      </c>
      <c r="HO58" s="489" t="str">
        <f>IF(A58=FALSE,"",Cotations!$BG$4)</f>
        <v/>
      </c>
      <c r="HP58" s="494" t="str">
        <f>IF(A58=FALSE,"",IF(HM58="N/A",0,IF(INDEX(LISTES!$F$105:$F$109,MATCH(HM58,LISTES!$C$105:$C$109,0))="FIX",IF(INDEX(LISTES!$E$105:$E$109,MATCH(HM58,LISTES!$C$105:$C$109,0))=12,HN58/12*L58,HN58/365*M58),HO58*HL58)))</f>
        <v/>
      </c>
      <c r="HQ58" s="294" t="str">
        <f t="shared" si="498"/>
        <v/>
      </c>
      <c r="HR58" s="494" t="str">
        <f>IF(A58=FALSE,"",HQ58*Cotations!$BH$4)</f>
        <v/>
      </c>
      <c r="HS58" s="494" t="str">
        <f>IF(A58=FALSE,"",HQ58*Cotations!$BI$4)</f>
        <v/>
      </c>
      <c r="HT58" s="294" t="str">
        <f t="shared" si="499"/>
        <v/>
      </c>
      <c r="HU58" s="919" t="str">
        <f>IF(A58=FALSE,"",((HG58*TAXE)-(HG58*TAXE*HI58))+IF(HM58="N/A",0,IF(INDEX(LISTES!$F$105:$F$109,MATCH(HM58,LISTES!$C$105:$C$109,0))="FIX",HN58,HO58*HL58)))</f>
        <v/>
      </c>
      <c r="IA58" s="492" t="str">
        <f>IF(A58=FALSE,"",Cotations!D58)</f>
        <v/>
      </c>
      <c r="IB58" s="491" t="str">
        <f>IF(A58=FALSE,"",IF(LISTES!$A$17=1,Cotations!AX58,Cotations!AY58))</f>
        <v/>
      </c>
      <c r="IC58" s="285" t="str">
        <f t="shared" si="500"/>
        <v/>
      </c>
      <c r="ID58" s="300" t="str">
        <f>IF(A58=FALSE,"",IF(LISTES!$A$17=3,Detail!AU58,lig1_Formula_PREVOY))</f>
        <v/>
      </c>
      <c r="IE58" s="461" t="str">
        <f t="shared" si="501"/>
        <v/>
      </c>
      <c r="IF58" s="490" t="str">
        <f>IF(A58=FALSE,"",IF(IA58="POEA",Cotations!BA58,IF(HA58="FIXE",Cotations!BB58,IF(Cotations!BC58*Y58&lt;50000,Z58,Cotations!BC58*Y58))))</f>
        <v/>
      </c>
      <c r="IG58" s="300" t="str">
        <f t="shared" si="502"/>
        <v/>
      </c>
      <c r="IH58" s="522" t="str">
        <f>IF(A58=FALSE,"",IF(Cotations!AZ58="monthly",IG58/12*L58,IG58/365*M58))</f>
        <v/>
      </c>
      <c r="II58" s="489" t="str">
        <f>IF(A58=FALSE,"",IF(Cotations!BD58="","",Cotations!BD58))</f>
        <v/>
      </c>
      <c r="IJ58" s="300" t="str">
        <f t="shared" si="503"/>
        <v/>
      </c>
      <c r="IK58" s="300" t="str">
        <f t="shared" si="504"/>
        <v/>
      </c>
      <c r="IL58" s="919" t="str">
        <f t="shared" si="505"/>
        <v/>
      </c>
      <c r="IM58" s="517" t="str">
        <f>IF(A58=FALSE,"",Cotations!BE58)</f>
        <v/>
      </c>
      <c r="IN58" s="517" t="str">
        <f>IF(A58=FALSE,"",Cotations!BF58)</f>
        <v/>
      </c>
      <c r="IO58" s="493" t="str">
        <f>IF(A58=FALSE,"",Cotations!BG58)</f>
        <v/>
      </c>
      <c r="IP58" s="517" t="str">
        <f>IF(A58=FALSE,"",IF(IM58="N/A",0,IF(INDEX(LISTES!$F$105:$F$109,MATCH(IM58,LISTES!$C$105:$C$109,0))="FIX",IF(INDEX(LISTES!$E$105:$E$109,MATCH(IM58,LISTES!$C$105:$C$109,0))=12,IN58/12*L58,IN58/365*M58),IO58*IL58)))</f>
        <v/>
      </c>
      <c r="IQ58" s="294" t="str">
        <f t="shared" si="506"/>
        <v/>
      </c>
      <c r="IR58" s="494" t="str">
        <f>IF(A58=FALSE,"",IQ58*Cotations!BH58)</f>
        <v/>
      </c>
      <c r="IS58" s="494" t="str">
        <f>IF(A58=FALSE,"",IQ58*Cotations!BI58)</f>
        <v/>
      </c>
      <c r="IT58" s="338" t="str">
        <f t="shared" si="507"/>
        <v/>
      </c>
      <c r="IU58" s="919" t="str">
        <f>IF(A58=FALSE,"",((IG58*TAXE)-(IG58*TAXE*II58))+IF(IM58="N/A",0,IF(INDEX(LISTES!$F$105:$F$109,MATCH(IM58,LISTES!$C$105:$C$109,0))="FIX",IN58,IO58*IL58)))</f>
        <v/>
      </c>
      <c r="JA58" s="492" t="str">
        <f>IF(A58=FALSE,"",Cotations!D58)</f>
        <v/>
      </c>
      <c r="JB58" s="495" t="str">
        <f>IF(A58=FALSE,"",IF(LISTES!$A$17=1,Cotations!BJ58,Cotations!$BK$4))</f>
        <v/>
      </c>
      <c r="JC58" s="291" t="str">
        <f t="shared" si="508"/>
        <v/>
      </c>
      <c r="JD58" s="291" t="str">
        <f t="shared" si="509"/>
        <v/>
      </c>
      <c r="JE58" s="456" t="str">
        <f t="shared" si="510"/>
        <v/>
      </c>
      <c r="JF58" s="496" t="str">
        <f>IF(A58=FALSE,"",IF(JA58="POEA",Cotations!BM58,IF(JA58="FIXE",Cotations!$BM$4,Cotations!$BO$4*Y58)))</f>
        <v/>
      </c>
      <c r="JG58" s="300" t="str">
        <f t="shared" si="511"/>
        <v/>
      </c>
      <c r="JH58" s="522" t="str">
        <f>IF(A58=FALSE,"",IF(Cotations!$BL$4="monthly",JG58/12*L58,JG58/365*M58))</f>
        <v/>
      </c>
      <c r="JI58" s="489" t="str">
        <f>IF(A58=FALSE,"",Cotations!$BP$4)</f>
        <v/>
      </c>
      <c r="JJ58" s="300" t="str">
        <f t="shared" si="512"/>
        <v/>
      </c>
      <c r="JK58" s="300" t="str">
        <f t="shared" si="513"/>
        <v/>
      </c>
      <c r="JL58" s="294" t="str">
        <f t="shared" si="514"/>
        <v/>
      </c>
      <c r="JM58" s="494" t="str">
        <f>IF(A58=FALSE,"",Cotations!$BQ$4)</f>
        <v/>
      </c>
      <c r="JN58" s="522" t="str">
        <f>IF(A58=FALSE,"",Cotations!$BR$4)</f>
        <v/>
      </c>
      <c r="JO58" s="489" t="str">
        <f>IF(A58=FALSE,"",Cotations!$BS$4)</f>
        <v/>
      </c>
      <c r="JP58" s="494" t="str">
        <f>IF(A58=FALSE,"",IF(JM58="N/A",0,IF(INDEX(LISTES!$F$105:$F$109,MATCH(JM58,LISTES!$C$105:$C$109,0))="FIX",IF(INDEX(LISTES!$E$105:$E$109,MATCH(JM58,LISTES!$C$105:$C$109,0))=12,JN58/12*L58,JN58/365*M58),JO58*JL58)))</f>
        <v/>
      </c>
      <c r="JQ58" s="294" t="str">
        <f t="shared" si="515"/>
        <v/>
      </c>
      <c r="JR58" s="494" t="str">
        <f>IF(A58=FALSE,"",JQ58*Cotations!$BT$4)</f>
        <v/>
      </c>
      <c r="JS58" s="494" t="str">
        <f>IF(A58=FALSE,"",JQ58*Cotations!$BU$4)</f>
        <v/>
      </c>
      <c r="JT58" s="294" t="str">
        <f t="shared" si="516"/>
        <v/>
      </c>
      <c r="JU58" s="919" t="str">
        <f>IF(A58=FALSE,"",((JG58*TAXE)-(JG58*TAXE*JI58))+IF(JM58="N/A",0,IF(INDEX(LISTES!$F$105:$F$109,MATCH(JM58,LISTES!$C$105:$C$109,0))="FIX",JN58,JO58*JL58)))</f>
        <v/>
      </c>
      <c r="KA58" s="492" t="str">
        <f>IF(A58=FALSE,"",Cotations!D58)</f>
        <v/>
      </c>
      <c r="KB58" s="491" t="str">
        <f>IF(A58=FALSE,"",IF(LISTES!$A$17=1,Cotations!BJ58,Cotations!BK58))</f>
        <v/>
      </c>
      <c r="KC58" s="285" t="str">
        <f t="shared" si="517"/>
        <v/>
      </c>
      <c r="KD58" s="300"/>
      <c r="KE58" s="461" t="str">
        <f t="shared" si="518"/>
        <v/>
      </c>
      <c r="KF58" s="490" t="str">
        <f>IF(A58=FALSE,"",IF(KA58="POEA",Cotations!BM58,IF(KA58="FIXE",Cotations!BN58,IF(Cotations!BO58*Y58&lt;50000,Z58,Cotations!BO58*Y58))))</f>
        <v/>
      </c>
      <c r="KG58" s="300" t="str">
        <f t="shared" si="519"/>
        <v/>
      </c>
      <c r="KH58" s="522" t="str">
        <f>IF(A58=FALSE,"",IF(Cotations!BL58="monthly",KG58/12*L58,KG58/365*M58))</f>
        <v/>
      </c>
      <c r="KI58" s="489" t="str">
        <f>IF(A58=FALSE,"",IF(Cotations!BP58="","",Cotations!BP58))</f>
        <v/>
      </c>
      <c r="KJ58" s="300" t="str">
        <f t="shared" si="520"/>
        <v/>
      </c>
      <c r="KK58" s="300" t="str">
        <f t="shared" si="521"/>
        <v/>
      </c>
      <c r="KL58" s="919" t="str">
        <f t="shared" si="522"/>
        <v/>
      </c>
      <c r="KM58" s="517" t="str">
        <f>IF(A58=FALSE,"",Cotations!BQ58)</f>
        <v/>
      </c>
      <c r="KN58" s="515" t="str">
        <f>IF(A58=FALSE,"",Cotations!BR58)</f>
        <v/>
      </c>
      <c r="KO58" s="493" t="str">
        <f>IF(A58=FALSE,"",Cotations!BS58)</f>
        <v/>
      </c>
      <c r="KP58" s="517" t="str">
        <f>IF(A58=FALSE,"",IF(KM58="N/A",0,IF(INDEX(LISTES!$F$105:$F$109,MATCH(KM58,LISTES!$C$105:$C$109,0))="FIX",IF(INDEX(LISTES!$E$105:$E$109,MATCH(KM58,LISTES!$C$105:$C$109,0))=12,KN58/12*L58,KN58/365*M58),KO58*KL58)))</f>
        <v/>
      </c>
      <c r="KQ58" s="294" t="str">
        <f t="shared" si="523"/>
        <v/>
      </c>
      <c r="KR58" s="494" t="str">
        <f>IF(A58=FALSE,"",KQ58*Cotations!BT58)</f>
        <v/>
      </c>
      <c r="KS58" s="494" t="str">
        <f>IF(A58=FALSE,"",KQ58*Cotations!BU58)</f>
        <v/>
      </c>
      <c r="KT58" s="338" t="str">
        <f t="shared" si="524"/>
        <v/>
      </c>
      <c r="KU58" s="919" t="str">
        <f>IF(A58=FALSE,"",((KG58*TAXE)-(KG58*TAXE*KI58))+IF(KM58="N/A",0,IF(INDEX(LISTES!$F$105:$F$109,MATCH(KM58,LISTES!$C$105:$C$109,0))="FIX",KN58,KO58*KL58)))</f>
        <v/>
      </c>
      <c r="LA58" s="497" t="str">
        <f>IF(A58=FALSE,"",Cotations!D58)</f>
        <v/>
      </c>
      <c r="LB58" s="498" t="str">
        <f>IF(A58=FALSE,"",IF(LISTES!$A$17=1,Cotations!BV58,Cotations!$BW$4))</f>
        <v/>
      </c>
      <c r="LC58" s="499" t="str">
        <f t="shared" si="525"/>
        <v/>
      </c>
      <c r="LD58" s="499" t="str">
        <f t="shared" si="526"/>
        <v/>
      </c>
      <c r="LE58" s="500" t="str">
        <f t="shared" si="527"/>
        <v/>
      </c>
      <c r="LF58" s="501" t="str">
        <f>IF(A58=FALSE,"",IF(LA58="POEA",Cotations!EJ58,IF(LA58="FIXE",Cotations!$BY$4,Cotations!$CA$4*Y58)))</f>
        <v/>
      </c>
      <c r="LG58" s="502" t="str">
        <f t="shared" si="528"/>
        <v/>
      </c>
      <c r="LH58" s="520" t="str">
        <f>IF(A58=FALSE,"",IF(Cotations!$BX$4="monthly",LG58/12*L58,LG58/365*M58))</f>
        <v/>
      </c>
      <c r="LI58" s="503" t="str">
        <f>IF(A58=FALSE,"",Cotations!$CB$4)</f>
        <v/>
      </c>
      <c r="LJ58" s="502" t="str">
        <f t="shared" si="529"/>
        <v/>
      </c>
      <c r="LK58" s="502" t="str">
        <f t="shared" si="530"/>
        <v/>
      </c>
      <c r="LL58" s="504" t="str">
        <f t="shared" si="531"/>
        <v/>
      </c>
      <c r="LM58" s="505" t="str">
        <f>IF(A58=FALSE,"",Cotations!$CC$4)</f>
        <v/>
      </c>
      <c r="LN58" s="503" t="str">
        <f>IF(A58=FALSE,"",Cotations!$CD$4)</f>
        <v/>
      </c>
      <c r="LO58" s="503" t="str">
        <f>IF(A58=FALSE,"",Cotations!$CE$4)</f>
        <v/>
      </c>
      <c r="LP58" s="505" t="str">
        <f>IF(A58=FALSE,"",IF(LM58="N/A",0,IF(INDEX(LISTES!$F$105:$F$109,MATCH(LM58,LISTES!$C$105:$C$109,0))="FIX",IF(INDEX(LISTES!$E$105:$E$109,MATCH(LM58,LISTES!$C$105:$C$109,0))=12,LN58/12*L58,LN58/365*M58),LO58*LL58)))</f>
        <v/>
      </c>
      <c r="LQ58" s="504" t="str">
        <f t="shared" si="532"/>
        <v/>
      </c>
      <c r="LR58" s="505" t="str">
        <f>IF(A58=FALSE,"",LQ58*Cotations!$CF$4)</f>
        <v/>
      </c>
      <c r="LS58" s="505" t="str">
        <f>IF(A58=FALSE,"",LQ58*Cotations!$CG$4)</f>
        <v/>
      </c>
      <c r="LT58" s="506" t="str">
        <f t="shared" si="533"/>
        <v/>
      </c>
      <c r="LU58" s="919" t="str">
        <f>IF(A58=FALSE,"",((LG58*TAXE)-(LG58*TAXE*LI58))+IF(LM58="N/A",0,IF(INDEX(LISTES!$F$105:$F$109,MATCH(LM58,LISTES!$C$105:$C$109,0))="FIX",LN58,LO58*LL58)))</f>
        <v/>
      </c>
      <c r="MA58" s="492" t="str">
        <f>IF(A58=FALSE,"",Cotations!D58)</f>
        <v/>
      </c>
      <c r="MB58" s="491" t="str">
        <f>IF(A58=FALSE,"",IF(LISTES!$A$17=1,Cotations!BV58,Cotations!BW58))</f>
        <v/>
      </c>
      <c r="MC58" s="285" t="str">
        <f t="shared" si="534"/>
        <v/>
      </c>
      <c r="MD58" s="300"/>
      <c r="ME58" s="461" t="str">
        <f t="shared" si="535"/>
        <v/>
      </c>
      <c r="MF58" s="490" t="str">
        <f>IF(A58=FALSE,"",IF(MA58="POEA",Cotations!BY58,IF(MA58="FIXE",Cotations!BZ58,IF(Cotations!CA58*Y58&lt;50000,Z58,Cotations!CA58*Y58))))</f>
        <v/>
      </c>
      <c r="MG58" s="300" t="str">
        <f t="shared" si="536"/>
        <v/>
      </c>
      <c r="MH58" s="522" t="str">
        <f>IF(A58=FALSE,"",IF(Cotations!BX58="monthly",MG58/12*L58,MG58/365*M58))</f>
        <v/>
      </c>
      <c r="MI58" s="489" t="str">
        <f>IF(A58=FALSE,"",IF(Cotations!CB58="","",Cotations!CB58))</f>
        <v/>
      </c>
      <c r="MJ58" s="300" t="str">
        <f t="shared" si="537"/>
        <v/>
      </c>
      <c r="MK58" s="300" t="str">
        <f t="shared" si="538"/>
        <v/>
      </c>
      <c r="ML58" s="919" t="str">
        <f t="shared" si="539"/>
        <v/>
      </c>
      <c r="MM58" s="517" t="str">
        <f>IF(A58=FALSE,"",Cotations!CC58)</f>
        <v/>
      </c>
      <c r="MN58" s="515" t="str">
        <f>IF(A58=FALSE,"",Cotations!CD58)</f>
        <v/>
      </c>
      <c r="MO58" s="493" t="str">
        <f>IF(A58=FALSE,"",Cotations!CE58)</f>
        <v/>
      </c>
      <c r="MP58" s="517" t="str">
        <f>IF(A58=FALSE,"",IF(MM58="N/A",0,IF(INDEX(LISTES!$F$105:$F$109,MATCH(MM58,LISTES!$C$105:$C$109,0))="FIX",IF(INDEX(LISTES!$E$105:$E$109,MATCH(MM58,LISTES!$C$105:$C$109,0))=12,MN58/12*L58,MN58/365*M58),MO58*ML58)))</f>
        <v/>
      </c>
      <c r="MQ58" s="294" t="str">
        <f t="shared" si="540"/>
        <v/>
      </c>
      <c r="MR58" s="494" t="str">
        <f>IF(A58=FALSE,"",MQ58*Cotations!CF58)</f>
        <v/>
      </c>
      <c r="MS58" s="494" t="str">
        <f>IF(A58=FALSE,"",MQ58*Cotations!CG58)</f>
        <v/>
      </c>
      <c r="MT58" s="338" t="str">
        <f t="shared" si="541"/>
        <v/>
      </c>
      <c r="MU58" s="919" t="str">
        <f>IF(A58=FALSE,"",((MG58*TAXE)-(MG58*TAXE*MI58))+IF(MM58="N/A",0,IF(INDEX(LISTES!$F$105:$F$109,MATCH(MM58,LISTES!$C$105:$C$109,0))="FIX",MN58,MO58*ML58)))</f>
        <v/>
      </c>
      <c r="NA58" s="497" t="str">
        <f>IF(A58=FALSE,"",Cotations!D58)</f>
        <v/>
      </c>
      <c r="NB58" s="498" t="str">
        <f>IF(A58=FALSE,"",IF(LISTES!$A$17=1,Cotations!CH58,Cotations!$CI$4))</f>
        <v/>
      </c>
      <c r="NC58" s="499" t="str">
        <f t="shared" si="542"/>
        <v/>
      </c>
      <c r="ND58" s="499" t="str">
        <f t="shared" si="543"/>
        <v/>
      </c>
      <c r="NE58" s="500" t="str">
        <f t="shared" si="544"/>
        <v/>
      </c>
      <c r="NF58" s="501" t="str">
        <f>IF(A58=FALSE,"",IF(NA58="POEA",Cotations!CK58,IF(NA58="FIXE",Cotations!$CK$4,Cotations!$CM$4*Y58)))</f>
        <v/>
      </c>
      <c r="NG58" s="502" t="str">
        <f t="shared" si="545"/>
        <v/>
      </c>
      <c r="NH58" s="520" t="str">
        <f>IF(A58=FALSE,"",IF(Cotations!$CJ$4="monthly",NG58/12*L58,NG58/365*M58))</f>
        <v/>
      </c>
      <c r="NI58" s="503" t="str">
        <f>IF(A58=FALSE,"",Cotations!$CN$4)</f>
        <v/>
      </c>
      <c r="NJ58" s="502" t="str">
        <f t="shared" si="546"/>
        <v/>
      </c>
      <c r="NK58" s="502" t="str">
        <f t="shared" si="547"/>
        <v/>
      </c>
      <c r="NL58" s="504" t="str">
        <f t="shared" si="548"/>
        <v/>
      </c>
      <c r="NM58" s="505" t="str">
        <f>IF(A58=FALSE,"",Cotations!$CO$4)</f>
        <v/>
      </c>
      <c r="NN58" s="520" t="str">
        <f>IF(A58=FALSE,"",Cotations!$CP$4)</f>
        <v/>
      </c>
      <c r="NO58" s="503" t="str">
        <f>IF(A58=FALSE,"",Cotations!$CQ$4)</f>
        <v/>
      </c>
      <c r="NP58" s="505" t="str">
        <f>IF(A58=FALSE,"",IF(NM58="N/A",0,IF(INDEX(LISTES!$F$105:$F$109,MATCH(NM58,LISTES!$C$105:$C$109,0))="FIX",IF(INDEX(LISTES!$E$105:$E$109,MATCH(NM58,LISTES!$C$105:$C$109,0))=12,NN58/12*L58,NN58/365*M58),NO58*NL58)))</f>
        <v/>
      </c>
      <c r="NQ58" s="504" t="str">
        <f t="shared" si="549"/>
        <v/>
      </c>
      <c r="NR58" s="505" t="str">
        <f>IF(A58=FALSE,"",NQ58*Cotations!$CR$4)</f>
        <v/>
      </c>
      <c r="NS58" s="505" t="str">
        <f>IF(A58=FALSE,"",NQ58*Cotations!$CS$4)</f>
        <v/>
      </c>
      <c r="NT58" s="506" t="str">
        <f t="shared" si="550"/>
        <v/>
      </c>
      <c r="NU58" s="919" t="str">
        <f>IF(A58=FALSE,"",((NG58*TAXE)-(NG58*TAXE*NI58))+IF(NM58="N/A",0,IF(INDEX(LISTES!$F$105:$F$109,MATCH(NM58,LISTES!$C$105:$C$109,0))="FIX",NN58,NO58*NL58)))</f>
        <v/>
      </c>
      <c r="OA58" s="492" t="str">
        <f>IF(A58=FALSE,"",Cotations!D58)</f>
        <v/>
      </c>
      <c r="OB58" s="491" t="str">
        <f>IF(A58=FALSE,"",IF(LISTES!$A$17=1,Cotations!CH58,Cotations!CI58))</f>
        <v/>
      </c>
      <c r="OC58" s="285" t="str">
        <f t="shared" si="551"/>
        <v/>
      </c>
      <c r="OD58" s="300"/>
      <c r="OE58" s="461" t="str">
        <f t="shared" si="552"/>
        <v/>
      </c>
      <c r="OF58" s="490" t="str">
        <f>IF(A58=FALSE,"",IF(OA58="POEA",Cotations!CK58,IF(OA58="FIXE",Cotations!CL58,IF(Cotations!CM58*Y58&lt;50000,Z58,Cotations!CM58*Y58))))</f>
        <v/>
      </c>
      <c r="OG58" s="300" t="str">
        <f t="shared" si="553"/>
        <v/>
      </c>
      <c r="OH58" s="522" t="str">
        <f>IF(A58=FALSE,"",IF(Cotations!CJ58="monthly",OG58/12*L58,OG58/365*M58))</f>
        <v/>
      </c>
      <c r="OI58" s="489" t="str">
        <f>IF(A58=FALSE,"",IF(Cotations!CN58="","",Cotations!CN58))</f>
        <v/>
      </c>
      <c r="OJ58" s="300" t="str">
        <f t="shared" si="554"/>
        <v/>
      </c>
      <c r="OK58" s="300" t="str">
        <f t="shared" si="555"/>
        <v/>
      </c>
      <c r="OL58" s="919" t="str">
        <f t="shared" si="556"/>
        <v/>
      </c>
      <c r="OM58" s="517" t="str">
        <f>IF(A58=FALSE,"",Cotations!CO58)</f>
        <v/>
      </c>
      <c r="ON58" s="515" t="str">
        <f>IF(A58=FALSE,"",Cotations!CP58)</f>
        <v/>
      </c>
      <c r="OO58" s="493" t="str">
        <f>IF(A58=FALSE,"",Cotations!CQ58)</f>
        <v/>
      </c>
      <c r="OP58" s="517" t="str">
        <f>IF(A58=FALSE,"",IF(OM58="N/A",0,IF(INDEX(LISTES!$F$105:$F$109,MATCH(OM58,LISTES!$C$105:$C$109,0))="FIX",IF(INDEX(LISTES!$E$105:$E$109,MATCH(OM58,LISTES!$C$105:$C$109,0))=12,ON58/12*L58,ON58/365*M58),OO58*OL58)))</f>
        <v/>
      </c>
      <c r="OQ58" s="294" t="str">
        <f t="shared" si="557"/>
        <v/>
      </c>
      <c r="OR58" s="494" t="str">
        <f>IF(A58=FALSE,"",OQ58*Cotations!CR58)</f>
        <v/>
      </c>
      <c r="OS58" s="494" t="str">
        <f>IF(A58=FALSE,"",OQ58*Cotations!CS58)</f>
        <v/>
      </c>
      <c r="OT58" s="338" t="str">
        <f t="shared" si="558"/>
        <v/>
      </c>
      <c r="OU58" s="919" t="str">
        <f>IF(A58=FALSE,"",((OG58*TAXE)-(OG58*TAXE*OI58))+IF(OM58="N/A",0,IF(INDEX(LISTES!$F$105:$F$109,MATCH(OM58,LISTES!$C$105:$C$109,0))="FIX",ON58,OO58*OL58)))</f>
        <v/>
      </c>
      <c r="PA58" s="497" t="str">
        <f t="shared" si="559"/>
        <v/>
      </c>
      <c r="PB58" s="498" t="str">
        <f>IF(A58=FALSE,"",IF(LISTES!$A$17=1,Cotations!CT58,Cotations!$CU$4))</f>
        <v/>
      </c>
      <c r="PC58" s="499" t="str">
        <f t="shared" si="560"/>
        <v/>
      </c>
      <c r="PD58" s="499" t="str">
        <f t="shared" si="561"/>
        <v/>
      </c>
      <c r="PE58" s="500" t="str">
        <f t="shared" si="562"/>
        <v/>
      </c>
      <c r="PF58" s="501" t="str">
        <f>IF(A58=FALSE,"",Cotations!$CY$4*Y58)</f>
        <v/>
      </c>
      <c r="PG58" s="502" t="str">
        <f t="shared" si="563"/>
        <v/>
      </c>
      <c r="PH58" s="520" t="str">
        <f>IF(A58=FALSE,"",IF(Cotations!$CV$4="monthly",PG58/12*L58,PG58/365*M58))</f>
        <v/>
      </c>
      <c r="PI58" s="503" t="str">
        <f>IF(A58=FALSE,"",Cotations!$CZ$4)</f>
        <v/>
      </c>
      <c r="PJ58" s="502" t="str">
        <f t="shared" si="564"/>
        <v/>
      </c>
      <c r="PK58" s="502" t="str">
        <f t="shared" si="565"/>
        <v/>
      </c>
      <c r="PL58" s="504" t="str">
        <f t="shared" si="566"/>
        <v/>
      </c>
      <c r="PM58" s="505" t="str">
        <f>IF(A58=FALSE,"",Cotations!$DA$4)</f>
        <v/>
      </c>
      <c r="PN58" s="520" t="str">
        <f>IF(A58=FALSE,"",Cotations!$DB$4)</f>
        <v/>
      </c>
      <c r="PO58" s="503" t="str">
        <f>IF(A58=FALSE,"",Cotations!$DC$4)</f>
        <v/>
      </c>
      <c r="PP58" s="505" t="str">
        <f>IF(A58=FALSE,"",IF(PM58="N/A",0,IF(INDEX(LISTES!$F$105:$F$109,MATCH(PM58,LISTES!$C$105:$C$109,0))="FIX",IF(INDEX(LISTES!$E$105:$E$109,MATCH(PM58,LISTES!$C$105:$C$109,0))=12,PN58/12*L58,PN58/365*M58),PO58*PL58)))</f>
        <v/>
      </c>
      <c r="PQ58" s="504" t="str">
        <f t="shared" si="567"/>
        <v/>
      </c>
      <c r="PR58" s="505" t="str">
        <f>IF(A58=FALSE,"",PQ58*Cotations!$DD$4)</f>
        <v/>
      </c>
      <c r="PS58" s="505" t="str">
        <f>IF(A58=FALSE,"",PQ58*Cotations!$DE$4)</f>
        <v/>
      </c>
      <c r="PT58" s="506" t="str">
        <f t="shared" si="568"/>
        <v/>
      </c>
      <c r="PU58" s="919" t="str">
        <f>IF(A58=FALSE,"",((PG58*TAXE)-(PG58*TAXE*PI58))+IF(PM58="N/A",0,IF(INDEX(LISTES!$F$105:$F$109,MATCH(PM58,LISTES!$C$105:$C$109,0))="FIX",PN58,PO58*PL58)))</f>
        <v/>
      </c>
      <c r="QA58" s="492" t="str">
        <f t="shared" si="569"/>
        <v/>
      </c>
      <c r="QB58" s="491" t="str">
        <f>IF(A58=FALSE,"",IF(LISTES!$A$17=1,Cotations!CT58,Cotations!CU58))</f>
        <v/>
      </c>
      <c r="QC58" s="285" t="str">
        <f t="shared" si="570"/>
        <v/>
      </c>
      <c r="QD58" s="300"/>
      <c r="QE58" s="461" t="str">
        <f t="shared" si="571"/>
        <v/>
      </c>
      <c r="QF58" s="490" t="str">
        <f>IF(A58=FALSE,"",Cotations!CY58*AA58)</f>
        <v/>
      </c>
      <c r="QG58" s="300" t="str">
        <f t="shared" si="572"/>
        <v/>
      </c>
      <c r="QH58" s="522" t="str">
        <f>IF(A58=FALSE,"",IF(Cotations!CV58="monthly",QG58/12*L58,QG58/365*M58))</f>
        <v/>
      </c>
      <c r="QI58" s="489" t="str">
        <f>IF(A58=FALSE,"",IF(Cotations!CZ58="","",Cotations!CZ58))</f>
        <v/>
      </c>
      <c r="QJ58" s="300" t="str">
        <f t="shared" si="573"/>
        <v/>
      </c>
      <c r="QK58" s="300" t="str">
        <f t="shared" si="574"/>
        <v/>
      </c>
      <c r="QL58" s="919" t="str">
        <f t="shared" si="575"/>
        <v/>
      </c>
      <c r="QM58" s="517" t="str">
        <f>IF(A58=FALSE,"",Cotations!DA58)</f>
        <v/>
      </c>
      <c r="QN58" s="515" t="str">
        <f>IF(A58=FALSE,"",Cotations!DB58)</f>
        <v/>
      </c>
      <c r="QO58" s="493" t="str">
        <f>IF(A58=FALSE,"",Cotations!DC58)</f>
        <v/>
      </c>
      <c r="QP58" s="517" t="str">
        <f>IF(A58=FALSE,"",IF(QM58="N/A",0,IF(INDEX(LISTES!$F$105:$F$109,MATCH(QM58,LISTES!$C$105:$C$109,0))="FIX",IF(INDEX(LISTES!$E$105:$E$109,MATCH(QM58,LISTES!$C$105:$C$109,0))=12,QN58/12*L58,QN58/365*M58),QO58*QL58)))</f>
        <v/>
      </c>
      <c r="QQ58" s="294" t="str">
        <f t="shared" si="576"/>
        <v/>
      </c>
      <c r="QR58" s="494" t="str">
        <f>IF(A58=FALSE,"",QQ58*Cotations!DD58)</f>
        <v/>
      </c>
      <c r="QS58" s="494" t="str">
        <f>IF(A58=FALSE,"",QQ58*Cotations!DE58)</f>
        <v/>
      </c>
      <c r="QT58" s="338" t="str">
        <f t="shared" si="577"/>
        <v/>
      </c>
      <c r="QU58" s="919" t="str">
        <f>IF(A58=FALSE,"",((QG58*TAXE)-(QG58*TAXE*QI58))+IF(QM58="N/A",0,IF(INDEX(LISTES!$F$105:$F$109,MATCH(QM58,LISTES!$C$105:$C$109,0))="FIX",QN58,QO58*QL58)))</f>
        <v/>
      </c>
      <c r="RA58" s="497" t="str">
        <f t="shared" si="578"/>
        <v/>
      </c>
      <c r="RB58" s="498" t="str">
        <f>IF(A58=FALSE,"",IF(LISTES!$A$17=1,Cotations!DF58,Cotations!$DG$4))</f>
        <v/>
      </c>
      <c r="RC58" s="499" t="str">
        <f t="shared" si="579"/>
        <v/>
      </c>
      <c r="RD58" s="499" t="str">
        <f t="shared" si="580"/>
        <v/>
      </c>
      <c r="RE58" s="500" t="str">
        <f t="shared" si="581"/>
        <v/>
      </c>
      <c r="RF58" s="501" t="str">
        <f>IF(A58=FALSE,"",Cotations!$DK$4*Y58)</f>
        <v/>
      </c>
      <c r="RG58" s="502" t="str">
        <f t="shared" si="582"/>
        <v/>
      </c>
      <c r="RH58" s="520" t="str">
        <f>IF(A58=FALSE,"",IF(Cotations!$DH$4="monthly",RG58/12*L58,RG58/365*M58))</f>
        <v/>
      </c>
      <c r="RI58" s="503" t="str">
        <f>IF(A58=FALSE,"",Cotations!$DL$4)</f>
        <v/>
      </c>
      <c r="RJ58" s="502" t="str">
        <f t="shared" si="583"/>
        <v/>
      </c>
      <c r="RK58" s="502" t="str">
        <f t="shared" si="584"/>
        <v/>
      </c>
      <c r="RL58" s="504" t="str">
        <f t="shared" si="585"/>
        <v/>
      </c>
      <c r="RM58" s="505" t="str">
        <f>IF(A58=FALSE,"",Cotations!$DM$4)</f>
        <v/>
      </c>
      <c r="RN58" s="520" t="str">
        <f>IF(A58=FALSE,"",Cotations!$DN$4)</f>
        <v/>
      </c>
      <c r="RO58" s="503" t="str">
        <f>IF(A58=FALSE,"",Cotations!$DO$4)</f>
        <v/>
      </c>
      <c r="RP58" s="505" t="str">
        <f>IF(A58=FALSE,"",IF(RM58="N/A",0,IF(INDEX(LISTES!$F$105:$F$109,MATCH(RM58,LISTES!$C$105:$C$109,0))="FIX",IF(INDEX(LISTES!$E$105:$E$109,MATCH(RM58,LISTES!$C$105:$C$109,0))=12,RN58/12*L58,RN58/365*M58),RO58*RL58)))</f>
        <v/>
      </c>
      <c r="RQ58" s="504" t="str">
        <f t="shared" si="586"/>
        <v/>
      </c>
      <c r="RR58" s="505" t="str">
        <f>IF(A58=FALSE,"",RQ58*Cotations!$DP$4)</f>
        <v/>
      </c>
      <c r="RS58" s="505" t="str">
        <f>IF(A58=FALSE,"",RQ58*Cotations!$DQ$4)</f>
        <v/>
      </c>
      <c r="RT58" s="506" t="str">
        <f t="shared" si="587"/>
        <v/>
      </c>
      <c r="RU58" s="919" t="str">
        <f>IF(A58=FALSE,"",((RG58*TAXE)-(RG58*TAXE*RI58))+IF(RM58="N/A",0,IF(INDEX(LISTES!$F$105:$F$109,MATCH(RM58,LISTES!$C$105:$C$109,0))="FIX",RN58,RO58*RL58)))</f>
        <v/>
      </c>
      <c r="SA58" s="492" t="str">
        <f t="shared" si="588"/>
        <v/>
      </c>
      <c r="SB58" s="491" t="str">
        <f>IF(A58=FALSE,"",IF(LISTES!$A$17=1,Cotations!DF58,Cotations!DG58))</f>
        <v/>
      </c>
      <c r="SC58" s="285" t="str">
        <f t="shared" si="589"/>
        <v/>
      </c>
      <c r="SD58" s="300"/>
      <c r="SE58" s="461" t="str">
        <f t="shared" si="590"/>
        <v/>
      </c>
      <c r="SF58" s="490" t="str">
        <f>IF(A58=FALSE,"",Cotations!DK58*AA58)</f>
        <v/>
      </c>
      <c r="SG58" s="300" t="str">
        <f t="shared" si="591"/>
        <v/>
      </c>
      <c r="SH58" s="522" t="str">
        <f>IF(A58=FALSE,"",IF(Cotations!DH58="monthly",SG58/12*L58,SG58/365*M58))</f>
        <v/>
      </c>
      <c r="SI58" s="489" t="str">
        <f>IF(A58=FALSE,"",IF(Cotations!DL58="","",Cotations!DL58))</f>
        <v/>
      </c>
      <c r="SJ58" s="300" t="str">
        <f t="shared" si="592"/>
        <v/>
      </c>
      <c r="SK58" s="300" t="str">
        <f t="shared" si="593"/>
        <v/>
      </c>
      <c r="SL58" s="919" t="str">
        <f t="shared" si="594"/>
        <v/>
      </c>
      <c r="SM58" s="285" t="str">
        <f>IF(A58=FALSE,"",Cotations!DM58)</f>
        <v/>
      </c>
      <c r="SN58" s="515" t="str">
        <f>IF(A58=FALSE,"",Cotations!DN58)</f>
        <v/>
      </c>
      <c r="SO58" s="493" t="str">
        <f>IF(A58=FALSE,"",Cotations!DO58)</f>
        <v/>
      </c>
      <c r="SP58" s="517" t="str">
        <f>IF(A58=FALSE,"",IF(SM58="N/A",0,IF(INDEX(LISTES!$F$105:$F$109,MATCH(SM58,LISTES!$C$105:$C$109,0))="FIX",IF(INDEX(LISTES!$E$105:$E$109,MATCH(SM58,LISTES!$C$105:$C$109,0))=12,SN58/12*L58,SN58/365*M58),SO58*SL58)))</f>
        <v/>
      </c>
      <c r="SQ58" s="294" t="str">
        <f t="shared" si="595"/>
        <v/>
      </c>
      <c r="SR58" s="494" t="str">
        <f>IF(A58=FALSE,"",SQ58*Cotations!DP58)</f>
        <v/>
      </c>
      <c r="SS58" s="494" t="str">
        <f>IF(A58=FALSE,"",SQ58*Cotations!DQ58)</f>
        <v/>
      </c>
      <c r="ST58" s="338" t="str">
        <f t="shared" si="596"/>
        <v/>
      </c>
      <c r="SU58" s="919" t="str">
        <f>IF(A58=FALSE,"",((SG58*TAXE)-(SG58*TAXE*SI58))+IF(SM58="N/A",0,IF(INDEX(LISTES!$F$105:$F$109,MATCH(SM58,LISTES!$C$105:$C$109,0))="FIX",SN58,SO58*SL58)))</f>
        <v/>
      </c>
      <c r="TA58" s="492" t="str">
        <f>IF(A58=FALSE,"",Cotations!D58)</f>
        <v/>
      </c>
      <c r="TB58" s="491" t="str">
        <f>IF(A58=FALSE,"",IF(LISTES!$A$17=1,Cotations!DR58,Cotations!DS58))</f>
        <v/>
      </c>
      <c r="TC58" s="285" t="str">
        <f t="shared" si="597"/>
        <v/>
      </c>
      <c r="TD58" s="300" t="str">
        <f>IF(A58=FALSE,"",Detail!CQ58)</f>
        <v/>
      </c>
      <c r="TE58" s="461" t="str">
        <f t="shared" si="598"/>
        <v/>
      </c>
      <c r="TF58" s="490" t="str">
        <f>IF(A58=FALSE,"",IF(TA58="FIXE",Cotations!DU58,Cotations!DV58*Y58))</f>
        <v/>
      </c>
      <c r="TG58" s="300" t="str">
        <f t="shared" si="599"/>
        <v/>
      </c>
      <c r="TH58" s="522" t="str">
        <f>IF(A58=FALSE,"",IF(Cotations!DT58="monthly",TG58/12*L58,TG58/365*M58))</f>
        <v/>
      </c>
      <c r="TI58" s="489" t="str">
        <f>IF(A58=FALSE,"",IF(Cotations!DW58="","",Cotations!DW58))</f>
        <v/>
      </c>
      <c r="TJ58" s="300" t="str">
        <f t="shared" si="600"/>
        <v/>
      </c>
      <c r="TK58" s="300" t="str">
        <f t="shared" si="601"/>
        <v/>
      </c>
      <c r="TL58" s="919" t="str">
        <f t="shared" si="602"/>
        <v/>
      </c>
      <c r="TM58" s="517" t="str">
        <f>IF(A58=FALSE,"",Cotations!DX58)</f>
        <v/>
      </c>
      <c r="TN58" s="517" t="str">
        <f>IF(A58=FALSE,"",Cotations!DY58)</f>
        <v/>
      </c>
      <c r="TO58" s="493" t="str">
        <f>IF(A58=FALSE,"",Cotations!DZ58)</f>
        <v/>
      </c>
      <c r="TP58" s="517" t="str">
        <f>IF(A58=FALSE,"",IF(TM58="N/A",0,IF(INDEX(LISTES!$F$105:$F$109,MATCH(TM58,LISTES!$C$105:$C$109,0))="FIX",IF(INDEX(LISTES!$E$105:$E$109,MATCH(TM58,LISTES!$C$105:$C$109,0))=12,TN58/12*L58,TN58/365*M58),TO58*TL58)))</f>
        <v/>
      </c>
      <c r="TQ58" s="294" t="str">
        <f t="shared" si="603"/>
        <v/>
      </c>
      <c r="TR58" s="494" t="str">
        <f>IF(A58=FALSE,"",TQ58*Cotations!EA58)</f>
        <v/>
      </c>
      <c r="TS58" s="494" t="str">
        <f>IF(A58=FALSE,"",TQ58*Cotations!EB58)</f>
        <v/>
      </c>
      <c r="TT58" s="338" t="str">
        <f t="shared" si="604"/>
        <v/>
      </c>
      <c r="TU58" s="919" t="str">
        <f>IF(A58=FALSE,"",((TG58*(1+TAXE)-(TG58*(1+TAXE)*TI58))+IF(TM58="N/A",0,IF(INDEX(LISTES!$F$105:$F$109,MATCH(TM58,LISTES!$C$105:$C$109,0))="FIX",TN58,TO58*TL58))))</f>
        <v/>
      </c>
      <c r="UA58" s="492" t="str">
        <f>IF(A58=FALSE,"",Cotations!D58)</f>
        <v/>
      </c>
      <c r="UB58" s="491" t="str">
        <f>IF(A58=FALSE,"",IF(LISTES!$A$17=1,Cotations!EC58,Cotations!ED58))</f>
        <v/>
      </c>
      <c r="UC58" s="285" t="str">
        <f t="shared" si="605"/>
        <v/>
      </c>
      <c r="UD58" s="300" t="str">
        <f>IF(A58=FALSE,"",Detail!CY58)</f>
        <v/>
      </c>
      <c r="UE58" s="461" t="str">
        <f t="shared" si="606"/>
        <v/>
      </c>
      <c r="UF58" s="490" t="str">
        <f>IF(A58=FALSE,"",IF(UA58="FIXE",Cotations!EF58,Cotations!EG58*Y58))</f>
        <v/>
      </c>
      <c r="UG58" s="300" t="str">
        <f t="shared" si="607"/>
        <v/>
      </c>
      <c r="UH58" s="522" t="str">
        <f>IF(A58=FALSE,"",IF(Cotations!EE58="monthly",UG58/12*L58,UG58/365*M58))</f>
        <v/>
      </c>
      <c r="UI58" s="489" t="str">
        <f>IF(A58=FALSE,"",IF(Cotations!EH58="","",Cotations!EH58))</f>
        <v/>
      </c>
      <c r="UJ58" s="300" t="str">
        <f t="shared" si="608"/>
        <v/>
      </c>
      <c r="UK58" s="300" t="str">
        <f t="shared" si="609"/>
        <v/>
      </c>
      <c r="UL58" s="919" t="str">
        <f t="shared" si="610"/>
        <v/>
      </c>
      <c r="UM58" s="517" t="str">
        <f>IF(A58=FALSE,"",Cotations!EI58)</f>
        <v/>
      </c>
      <c r="UN58" s="517" t="str">
        <f>IF(A58=FALSE,"",Cotations!EJ58)</f>
        <v/>
      </c>
      <c r="UO58" s="493" t="str">
        <f>IF(A58=FALSE,"",Cotations!EK58)</f>
        <v/>
      </c>
      <c r="UP58" s="517" t="str">
        <f>IF(A58=FALSE,"",IF(UM58="N/A",0,IF(INDEX(LISTES!$F$105:$F$109,MATCH(UM58,LISTES!$C$105:$C$109,0))="FIX",IF(INDEX(LISTES!$E$105:$E$109,MATCH(UM58,LISTES!$C$105:$C$109,0))=12,UN58/12*L58,UN58/365*M58),UO58*UL58)))</f>
        <v/>
      </c>
      <c r="UQ58" s="294" t="str">
        <f t="shared" si="611"/>
        <v/>
      </c>
      <c r="UR58" s="494" t="str">
        <f>IF(A58=FALSE,"",UQ58*Cotations!EL58)</f>
        <v/>
      </c>
      <c r="US58" s="494" t="str">
        <f>IF(A58=FALSE,"",UQ58*Cotations!EM58)</f>
        <v/>
      </c>
      <c r="UT58" s="338" t="str">
        <f t="shared" si="612"/>
        <v/>
      </c>
      <c r="UU58" s="919" t="str">
        <f>IF(A58=FALSE,"",((UG58*(1+TAXE)-(UG58*(1+TAXE)*UI58))+IF(UM58="N/A",0,IF(INDEX(LISTES!$F$105:$F$109,MATCH(UM58,LISTES!$C$105:$C$109,0))="FIX",UN58,UO58*UL58))))</f>
        <v/>
      </c>
      <c r="VA58" s="492" t="str">
        <f>IF(A58=FALSE,"",Cotations!D58)</f>
        <v/>
      </c>
      <c r="VB58" s="519" t="str">
        <f>IF(A58=FALSE,"",IF(LISTES!$A$17=1,Cotations!EN58,Cotations!EO58))</f>
        <v/>
      </c>
      <c r="VC58" s="291" t="str">
        <f t="shared" si="613"/>
        <v/>
      </c>
      <c r="VD58" s="291" t="str">
        <f t="shared" si="614"/>
        <v/>
      </c>
      <c r="VE58" s="291"/>
      <c r="VF58" s="463"/>
      <c r="VG58" s="463" t="str">
        <f t="shared" si="615"/>
        <v/>
      </c>
      <c r="VH58" s="522" t="str">
        <f>IF(A58=FALSE,"",IF(Cotations!$AQ$4="monthly",VG58/12*L58,VG58/365*M58))</f>
        <v/>
      </c>
      <c r="VI58" s="489" t="str">
        <f>IF(A58=FALSE,"",Cotations!$AR$4)</f>
        <v/>
      </c>
      <c r="VJ58" s="300" t="str">
        <f t="shared" si="616"/>
        <v/>
      </c>
      <c r="VK58" s="300" t="str">
        <f t="shared" si="617"/>
        <v/>
      </c>
      <c r="VL58" s="294" t="str">
        <f t="shared" si="618"/>
        <v/>
      </c>
      <c r="VM58" s="494" t="str">
        <f>IF(A58=FALSE,"",Cotations!$AS$4)</f>
        <v/>
      </c>
      <c r="VN58" s="494" t="str">
        <f>IF(A58=FALSE,"",Cotations!$AT$4)</f>
        <v/>
      </c>
      <c r="VO58" s="489" t="str">
        <f>IF(A58=FALSE,"",Cotations!$AU$4)</f>
        <v/>
      </c>
      <c r="VP58" s="494" t="str">
        <f>IF(A58=FALSE,"",IF(VM58="N/A",0,IF(INDEX(LISTES!$F$105:$F$109,MATCH(VM58,LISTES!$C$105:$C$109,0))="FIX",IF(INDEX(LISTES!$E$105:$E$109,MATCH(VM58,LISTES!$C$105:$C$109,0))=12,VN58/12*L58,VN58/365*M58),VO58*VL58)))</f>
        <v/>
      </c>
      <c r="VQ58" s="294" t="str">
        <f t="shared" si="619"/>
        <v/>
      </c>
      <c r="VR58" s="494" t="str">
        <f>IF(A58=FALSE,"",VQ58*Cotations!$AV$4)</f>
        <v/>
      </c>
      <c r="VS58" s="494" t="str">
        <f>IF(A58=FALSE,"",VQ58*Cotations!$AW$4)</f>
        <v/>
      </c>
      <c r="VT58" s="465" t="str">
        <f t="shared" si="620"/>
        <v/>
      </c>
      <c r="VU58" s="919" t="str">
        <f>IF(A58=FALSE,"",((VG58*TAXE)-(VG58*TAXE*VI58))+IF(VM58="N/A",0,IF(INDEX(LISTES!$F$105:$F$109,MATCH(VM58,LISTES!$C$105:$C$109,0))="FIX",VN58,VO58*VL58)))</f>
        <v/>
      </c>
      <c r="WA58" s="492" t="str">
        <f>IF(A58=FALSE,"",Cotations!D58)</f>
        <v/>
      </c>
      <c r="WB58" s="519" t="str">
        <f>IF(A58=FALSE,"",IF(LISTES!$A$17=1,Cotations!EW58,Cotations!EX58))</f>
        <v/>
      </c>
      <c r="WC58" s="291" t="str">
        <f t="shared" si="621"/>
        <v/>
      </c>
      <c r="WD58" s="291" t="str">
        <f t="shared" si="622"/>
        <v/>
      </c>
      <c r="WE58" s="291"/>
      <c r="WF58" s="463"/>
      <c r="WG58" s="463" t="str">
        <f t="shared" si="623"/>
        <v/>
      </c>
      <c r="WH58" s="522" t="str">
        <f>IF(A58=FALSE,"",IF(Cotations!$AQ$4="monthly",WG58/12*L58,WG58/365*M58))</f>
        <v/>
      </c>
      <c r="WI58" s="489" t="str">
        <f>IF(A58=FALSE,"",Cotations!$AR$4)</f>
        <v/>
      </c>
      <c r="WJ58" s="300" t="str">
        <f t="shared" si="624"/>
        <v/>
      </c>
      <c r="WK58" s="300" t="str">
        <f t="shared" si="625"/>
        <v/>
      </c>
      <c r="WL58" s="294" t="str">
        <f t="shared" si="626"/>
        <v/>
      </c>
      <c r="WM58" s="494" t="str">
        <f>IF(A58=FALSE,"",Cotations!$AS$4)</f>
        <v/>
      </c>
      <c r="WN58" s="494" t="str">
        <f>IF(A58=FALSE,"",Cotations!$AT$4)</f>
        <v/>
      </c>
      <c r="WO58" s="489" t="str">
        <f>IF(A58=FALSE,"",Cotations!$AU$4)</f>
        <v/>
      </c>
      <c r="WP58" s="494" t="str">
        <f>IF(A58=FALSE,"",IF(WM58="N/A",0,IF(INDEX(LISTES!$F$105:$F$109,MATCH(WM58,LISTES!$C$105:$C$109,0))="FIX",IF(INDEX(LISTES!$E$105:$E$109,MATCH(WM58,LISTES!$C$105:$C$109,0))=12,WN58/12*L58,WN58/365*M58),WO58*WL58)))</f>
        <v/>
      </c>
      <c r="WQ58" s="294" t="str">
        <f t="shared" si="627"/>
        <v/>
      </c>
      <c r="WR58" s="494" t="str">
        <f>IF(A58=FALSE,"",WQ58*Cotations!$AV$4)</f>
        <v/>
      </c>
      <c r="WS58" s="494" t="str">
        <f>IF(A58=FALSE,"",WQ58*Cotations!$AW$4)</f>
        <v/>
      </c>
      <c r="WT58" s="465" t="str">
        <f t="shared" si="628"/>
        <v/>
      </c>
      <c r="WU58" s="919" t="str">
        <f>IF(A58=FALSE,"",((WG58*TAXE)-(WG58*TAXE*WI58))+IF(WM58="N/A",0,IF(INDEX(LISTES!$F$105:$F$109,MATCH(WM58,LISTES!$C$105:$C$109,0))="FIX",WN58,WO58*WL58)))</f>
        <v/>
      </c>
    </row>
    <row r="59" spans="1:619">
      <c r="A59" s="942" t="b">
        <f t="shared" si="433"/>
        <v>0</v>
      </c>
      <c r="B59" s="942" t="b">
        <f>IF(NAMES!$B$9=TRUE,TRUE,FALSE)</f>
        <v>1</v>
      </c>
      <c r="C59" s="942" t="b">
        <f t="shared" si="413"/>
        <v>0</v>
      </c>
      <c r="D59" s="942" t="b">
        <f t="shared" si="414"/>
        <v>0</v>
      </c>
      <c r="E59" s="274" t="b">
        <f>IF(Cotations!C59="","",Cotations!C59)</f>
        <v>0</v>
      </c>
      <c r="F59" s="274" t="str">
        <f>IF(Cotations!D59="","",Cotations!D59)</f>
        <v>PROP</v>
      </c>
      <c r="G59" s="274" t="str">
        <f>IF(Cotations!E59="","",Cotations!E59)</f>
        <v>2016-2017!</v>
      </c>
      <c r="H59" s="274" t="str">
        <f>IF(Cotations!F59="","",Cotations!F59)</f>
        <v>SINGLE</v>
      </c>
      <c r="I59" s="274" t="str">
        <f>IF(Cotations!G59="","",Cotations!G59)</f>
        <v/>
      </c>
      <c r="J59" s="274" t="str">
        <f>IF(Cotations!H59="","",Cotations!H59)</f>
        <v/>
      </c>
      <c r="K59" s="274" t="str">
        <f>IF(Cotations!I59="","",Cotations!I59)</f>
        <v/>
      </c>
      <c r="L59" s="274" t="str">
        <f>IF(A59=FALSE,"",IF(Cotations!N59="","",Cotations!N59))</f>
        <v/>
      </c>
      <c r="M59" s="274" t="str">
        <f>IF(Cotations!P59="","",Cotations!P59)</f>
        <v/>
      </c>
      <c r="N59" s="724" t="str">
        <f>IF(NAMES!$B$10=TRUE,Cotations!J59,Cotations!L59)</f>
        <v/>
      </c>
      <c r="O59" s="724" t="str">
        <f>IF(NAMES!$B$10=TRUE,Cotations!K59,Cotations!M59)</f>
        <v/>
      </c>
      <c r="P59" s="943" t="str">
        <f t="shared" si="415"/>
        <v/>
      </c>
      <c r="Q59" s="724" t="str">
        <f>IF(A59=FALSE,"",IF(Crewlist!Y59="","",Crewlist!Y59))</f>
        <v/>
      </c>
      <c r="R59" s="78" t="str">
        <f>IF(Cotations!U59="","",Cotations!U59)</f>
        <v/>
      </c>
      <c r="S59" s="943" t="str">
        <f t="shared" si="416"/>
        <v/>
      </c>
      <c r="T59" s="919" t="str">
        <f>IF(A59=FALSE,"",VLOOKUP($U$15:$U$120,Currency!$A$2:$D$10,4,0)*Crewlist!N59)</f>
        <v/>
      </c>
      <c r="U59" s="1355" t="str">
        <f>IF(A59=FALSE,"",IF(IT59=0,Crewlist!M59&amp;"/"&amp;EX59,Crewlist!M59&amp;"/"&amp;IT59))</f>
        <v/>
      </c>
      <c r="V59" s="919" t="str">
        <f>IF(A59=FALSE,"",VLOOKUP($U$15:$U$120,Currency!$A$2:$D$10,4,0)*Detail!Q59)</f>
        <v/>
      </c>
      <c r="W59" s="1355" t="str">
        <f>IF(A59=FALSE,"",IF(IT59=0,Detail!R59&amp;"/"&amp;EX59,Detail!R59&amp;"/"&amp;IT59))</f>
        <v/>
      </c>
      <c r="X59" s="919" t="str">
        <f>IF(A59=FALSE,"",IF(LISTES!$C$17="Crewlist",Calcul!T59,Calcul!V59))</f>
        <v/>
      </c>
      <c r="Y59" s="758" t="str">
        <f t="shared" si="417"/>
        <v/>
      </c>
      <c r="Z59" s="758" t="str">
        <f>IF(A59=FALSE,"",IF(X59=0,0,IF((Cotations!BC59*12*X59)&lt;50000,50000,(12*X59))))</f>
        <v/>
      </c>
      <c r="AA59" s="758" t="str">
        <f t="shared" si="418"/>
        <v/>
      </c>
      <c r="AB59" s="758" t="str">
        <f>IF(A59=FALSE,"",IF(Crewlist!O59=0,"",Crewlist!O59))</f>
        <v/>
      </c>
      <c r="AC59" s="758" t="str">
        <f>IF(I59="","",VLOOKUP($AB$15:$AB$120,Currency!$A$15:$B$34,2,0))</f>
        <v/>
      </c>
      <c r="AD59" s="758" t="str">
        <f t="shared" si="419"/>
        <v/>
      </c>
      <c r="AE59" s="758" t="str">
        <f t="shared" si="420"/>
        <v/>
      </c>
      <c r="AF59" s="758" t="str">
        <f t="shared" si="421"/>
        <v/>
      </c>
      <c r="AG59" s="758" t="str">
        <f t="shared" si="422"/>
        <v/>
      </c>
      <c r="AH59" s="1355" t="str">
        <f t="shared" si="434"/>
        <v/>
      </c>
      <c r="AI59" s="919" t="str">
        <f t="shared" si="423"/>
        <v/>
      </c>
      <c r="AJ59" s="1382" t="str">
        <f t="shared" si="424"/>
        <v/>
      </c>
      <c r="AK59" s="1382" t="str">
        <f t="shared" si="425"/>
        <v/>
      </c>
      <c r="AL59" s="238" t="str">
        <f t="shared" si="435"/>
        <v/>
      </c>
      <c r="AM59" s="238" t="str">
        <f t="shared" si="436"/>
        <v/>
      </c>
      <c r="AN59" s="1374" t="str">
        <f t="shared" si="437"/>
        <v/>
      </c>
      <c r="AO59" s="238" t="str">
        <f t="shared" si="438"/>
        <v/>
      </c>
      <c r="AP59" s="342" t="str">
        <f>IF(A59=FALSE,"",INDEX(Rates!$Z$5:$Z$367,MATCH(EB59,colchoice,0)))</f>
        <v/>
      </c>
      <c r="AQ59" s="238" t="str">
        <f t="shared" si="439"/>
        <v/>
      </c>
      <c r="AR59" s="238" t="str">
        <f t="shared" si="440"/>
        <v/>
      </c>
      <c r="AS59" s="238" t="str">
        <f t="shared" si="441"/>
        <v/>
      </c>
      <c r="AT59" s="238" t="str">
        <f t="shared" si="442"/>
        <v/>
      </c>
      <c r="AU59" s="238" t="str">
        <f t="shared" si="443"/>
        <v/>
      </c>
      <c r="AV59" s="238" t="str">
        <f t="shared" si="429"/>
        <v/>
      </c>
      <c r="AW59" s="238" t="str">
        <f t="shared" si="444"/>
        <v/>
      </c>
      <c r="AX59" s="238" t="str">
        <f t="shared" si="445"/>
        <v/>
      </c>
      <c r="AY59" s="238" t="str">
        <f t="shared" si="446"/>
        <v/>
      </c>
      <c r="AZ59" s="238" t="str">
        <f t="shared" si="447"/>
        <v/>
      </c>
      <c r="BA59" s="238" t="str">
        <f t="shared" si="448"/>
        <v/>
      </c>
      <c r="BB59" s="552" t="str">
        <f t="shared" si="449"/>
        <v/>
      </c>
      <c r="BC59" s="347" t="str">
        <f t="shared" si="450"/>
        <v/>
      </c>
      <c r="BD59" s="239" t="str">
        <f t="shared" si="430"/>
        <v/>
      </c>
      <c r="BE59" s="239" t="str">
        <f>IF(A59=FALSE,"",IF(ALLTHESAME=TRUE,IF(DF59&lt;&gt;$BC$7,0,INDEX(DD59:DZ59,1,MATCH(Structure!$D$12,$DD$14:$DZ$14,0))),IF(EC59&lt;&gt;$BC$7,0,INDEX(EA59:EZ59,1,MATCH(Structure!$D$12,$EA$14:$EZ$14,0)))))</f>
        <v/>
      </c>
      <c r="BF59" s="239" t="str">
        <f>IF(A59=FALSE,"",IF(ALLTHESAME=TRUE,IF(FC59&lt;&gt;$BC$7,0,INDEX(FA59:FZ59,1,MATCH(Structure!$D$12,$FA$14:$FZ$14,0))),IF(GC59&lt;&gt;$BC$7,0,INDEX(GA59:GZ59,1,MATCH(Structure!$D$12,$GA$14:$GZ$14,0)))))</f>
        <v/>
      </c>
      <c r="BG59" s="239" t="str">
        <f>IF(A59=FALSE,"",IF(ALLTHESAME=TRUE,IF(VC59&lt;&gt;$BC$7,0,INDEX(VA59:VZ59,1,MATCH(Structure!$D$12,$VA$14:$VZ$14,0))),IF(VC59&lt;&gt;$BC$7,0,INDEX(VA59:VZ59,1,MATCH(Structure!$D$12,$VA$14:$VZ$14,0)))))</f>
        <v/>
      </c>
      <c r="BH59" s="239" t="str">
        <f>IF(A59=FALSE,"",IF(ALLTHESAME=TRUE,IF(WC59&lt;&gt;$BC$7,0,INDEX(WA59:WY59,1,MATCH(Structure!$D$12,$WA$14:$WZ$14,0))),IF(WC59&lt;&gt;$BC$7,0,INDEX(WA59:WZ59,1,MATCH(Structure!$D$12,$WA$14:$WZ$14,0)))))</f>
        <v/>
      </c>
      <c r="BI59" s="763" t="str">
        <f>IF(A59=FALSE,"",IF(ALLTHESAME=TRUE,IF(HC59&lt;&gt;$BC$7,0,INDEX(HA59:HZ59,1,MATCH(Structure!$D$12,$HA$14:$HZ$14,0)))+TK59,IF(IC59&lt;&gt;$BC$7,0,INDEX(IA59:IZ59,1,MATCH(Structure!$D$12,$IA$14:$IZ$14,0)))+TK59))</f>
        <v/>
      </c>
      <c r="BJ59" s="239" t="str">
        <f>IF(A59=FALSE,"",IF(ALLTHESAME=TRUE,IF(JC59&lt;&gt;$BC$7,0,INDEX(JA59:JZ59,1,MATCH(Structure!$D$12,$JA$14:$JZ$14,0))),IF(KC59&lt;&gt;$BC$7,0,INDEX(KA59:KZ59,1,MATCH(Structure!$D$12,$KA$14:$KZ$14,0)))))</f>
        <v/>
      </c>
      <c r="BK59" s="763" t="str">
        <f>IF(A59=FALSE,"",IF(ALLTHESAME=TRUE,IF(LC59&lt;&gt;$BC$7,0,INDEX(LA59:LZ59,1,MATCH(Structure!$D$12,$LA$14:$LZ$14,0)))+UK59,IF(MC59&lt;&gt;$BC$7,0,INDEX(MA59:MZ59,1,MATCH(Structure!$D$12,$MA$14:$MZ$14,0)))+UK59))</f>
        <v/>
      </c>
      <c r="BL59" s="239" t="str">
        <f>IF(A59=FALSE,"",IF(ALLTHESAME=TRUE,IF(NC59&lt;&gt;$BC$7,0,INDEX(NA59:NZ59,1,MATCH(Structure!$D$12,$NA$14:$NZ$14,0))),IF(OC59&lt;&gt;$BC$7,0,INDEX(OA59:OZ59,1,MATCH(Structure!$D$12,$OA$14:$OZ$14,0)))))</f>
        <v/>
      </c>
      <c r="BM59" s="239" t="str">
        <f>IF(A59=FALSE,"",IF(ALLTHESAME=TRUE,IF(PC59&lt;&gt;$BC$7,0,INDEX(PA59:PZ59,1,MATCH(Structure!$D$12,$PA$14:$PZ$14,0))),IF(QC59&lt;&gt;$BC$7,0,INDEX(QA59:QZ59,1,MATCH(Structure!$D$12,$QA$14:$QZ$14,0)))))</f>
        <v/>
      </c>
      <c r="BN59" s="341" t="str">
        <f>IF(A59=FALSE,"",IF(ALLTHESAME=TRUE,IF(RC59&lt;&gt;$BC$7,0,INDEX(RA59:RZ59,1,MATCH(Structure!$D$12,$RA$14:$RZ$14,0))),IF(SC59&lt;&gt;$BC$7,0,INDEX(SA59:TA59,1,MATCH(Structure!$D$12,$SA$14:$TA$14,0)))))</f>
        <v/>
      </c>
      <c r="BO59" s="507" t="str">
        <f t="shared" si="451"/>
        <v/>
      </c>
      <c r="BP59" s="239" t="str">
        <f t="shared" si="452"/>
        <v/>
      </c>
      <c r="BQ59" s="239" t="str">
        <f>IF(A59=FALSE,"",IF(ALLTHESAME=TRUE,IF(DF59&lt;&gt;$BO$7,0,INDEX(DD59:DZ59,1,MATCH(Structure!$D$12,$DD$14:$DZ$14,0))),IF(EC59&lt;&gt;$BO$7,0,INDEX(EA59:EZ59,1,MATCH(Structure!$D$12,$EA$14:$EZ$14,0)))))</f>
        <v/>
      </c>
      <c r="BR59" s="239" t="str">
        <f>IF(A59=FALSE,"",IF(ALLTHESAME=TRUE,IF(FC59&lt;&gt;$BO$7,0,INDEX(FA59:FZ59,1,MATCH(Structure!$D$12,$FA$14:$FZ$14,0))),IF(GC59&lt;&gt;$BO$7,0,INDEX(GA59:GZ59,1,MATCH(Structure!$D$12,$GA$14:$GZ$14,0)))))</f>
        <v/>
      </c>
      <c r="BS59" s="239" t="str">
        <f>IF(A59=FALSE,"",IF(ALLTHESAME=TRUE,IF(HC59&lt;&gt;$BO$7,0,INDEX(HA59:HZ59,1,MATCH(Structure!$D$12,$HA$14:$HZ$14,0))),IF(IC59&lt;&gt;$BO$7,0,INDEX(IA59:IZ59,1,MATCH(Structure!$D$12,$IA$14:$IZ$14,0)))))</f>
        <v/>
      </c>
      <c r="BT59" s="239" t="str">
        <f>IF(A59=FALSE,"",IF(ALLTHESAME=TRUE,IF(JC59&lt;&gt;$BO$7,0,INDEX(JA59:JZ59,1,MATCH(Structure!$D$12,$JA$14:$JZ$14,0))),IF(KC59&lt;&gt;$BO$7,0,INDEX(KA59:KZ59,1,MATCH(Structure!$D$12,$KA$14:$KZ$14,0)))))</f>
        <v/>
      </c>
      <c r="BU59" s="239" t="str">
        <f>IF(A59=FALSE,"",IF(ALLTHESAME=TRUE,IF(LC59&lt;&gt;$BO$7,0,INDEX(LA59:LZ59,1,MATCH(Structure!$D$12,$LA$14:$LZ$14,0))),IF(MC59&lt;&gt;$BO$7,0,INDEX(MA59:MZ59,1,MATCH(Structure!$D$12,$MA$14:$MZ$14,0)))))</f>
        <v/>
      </c>
      <c r="BV59" s="239" t="str">
        <f>IF(A59=FALSE,"",IF(ALLTHESAME=TRUE,IF(NC59&lt;&gt;$BO$7,0,INDEX(NA59:NZ59,1,MATCH(Structure!$D$12,$NA$14:$NZ$14,0))),IF(OC59&lt;&gt;$BO$7,0,INDEX(OA59:OZ59,1,MATCH(Structure!$D$12,$OA$14:$OZ$14,0)))))</f>
        <v/>
      </c>
      <c r="BW59" s="239" t="str">
        <f>IF(A59=FALSE,"",IF(ALLTHESAME=TRUE,IF(PC59&lt;&gt;$BO$7,0,INDEX(PA59:PZ59,1,MATCH(Structure!$D$12,$PA$14:$PZ$14,0))),IF(QC59&lt;&gt;$BO$7,0,INDEX(QA59:QZ59,1,MATCH(Structure!$D$12,$QA$14:$QZ$14,0)))))</f>
        <v/>
      </c>
      <c r="BX59" s="341" t="str">
        <f>IF(A59=FALSE,"",IF(ALLTHESAME=TRUE,IF(RC59&lt;&gt;$BO$7,0,INDEX(RA59:RZ59,1,MATCH(Structure!$D$12,$RA$14:$RZ$14,0))),IF(SC59&lt;&gt;$BO$7,0,INDEX(SA59:TA59,1,MATCH(Structure!$D$12,$SA$14:$TA$14,0)))))</f>
        <v/>
      </c>
      <c r="BY59" s="347" t="str">
        <f t="shared" si="453"/>
        <v/>
      </c>
      <c r="BZ59" s="507" t="str">
        <f t="shared" si="454"/>
        <v/>
      </c>
      <c r="CA59" s="239" t="str">
        <f t="shared" si="455"/>
        <v/>
      </c>
      <c r="CB59" s="239" t="str">
        <f>IF(A59=FALSE,"",IF(ALLTHESAME=TRUE,INDEX(DD59:DZ59,MATCH(DF59,DF59:DF164,0),MATCH(Structure!$D$17,$DD$14:$DZ$14,0)),INDEX(EA59:EZ59,MATCH(EC59,EC59:EC164,0),MATCH(Structure!$D$17,$EA$14:$EZ$14,0))))</f>
        <v/>
      </c>
      <c r="CC59" s="239" t="str">
        <f>IF(A59=FALSE,"",IF(ALLTHESAME=TRUE,INDEX(FA59:FZ59,MATCH(FC59,FC59:FC164,0),MATCH(Structure!$D$17,$FA$14:$FZ$14,0)),INDEX(GA59:GZ59,MATCH(GC59,GC59:GC164,0),MATCH(Structure!$D$17,$GA$14:$GZ$14,0))))</f>
        <v/>
      </c>
      <c r="CD59" s="239" t="str">
        <f>IF(A59=FALSE,"",IF(ALLTHESAME=TRUE,INDEX(HA59:HZ59,MATCH(HC59,HC59:HC164,0),MATCH(Structure!$D$17,$HA$14:$HZ$14,0)),INDEX(IA59:IZ59,MATCH(IC59,IC59:IC164,0),MATCH(Structure!$D$17,$IA$14:$IZ$14,0))))</f>
        <v/>
      </c>
      <c r="CE59" s="239" t="str">
        <f>IF(A59=FALSE,"",IF(ALLTHESAME=TRUE,INDEX(JA59:JZ59,MATCH(JC59,JC59:JC164,0),MATCH(Structure!$D$17,$JA$14:$JZ$14,0)),INDEX(KA59:KZ59,MATCH(KC59,KC59:KC164,0),MATCH(Structure!$D$17,$KA$14:$KZ$14,0))))</f>
        <v/>
      </c>
      <c r="CF59" s="239" t="str">
        <f>IF(A59=FALSE,"",IF(ALLTHESAME=TRUE,INDEX(LA59:LZ59,MATCH(LC59,LC59:LC164,0),MATCH(Structure!$D$17,$LA$14:$LZ$14,0)),INDEX(MA59:MZ59,MATCH(MC59,MC59:MC164,0),MATCH(Structure!$D$17,$MA$14:$MZ$14,0))))</f>
        <v/>
      </c>
      <c r="CG59" s="239" t="str">
        <f>IF(A59=FALSE,"",IF(ALLTHESAME=TRUE,INDEX(NA59:NZ59,MATCH(NC59,NC59:NC164,0),MATCH(Structure!$D$17,$NA$14:$NZ$14,0)),INDEX(OA59:OZ59,MATCH(OC59,OC59:OC164,0),MATCH(Structure!$D$17,$OA$14:$OZ$14,0))))</f>
        <v/>
      </c>
      <c r="CH59" s="239" t="str">
        <f>IF(A59=FALSE,"",IF(ALLTHESAME=TRUE,INDEX(PA59:PZ59,MATCH(PC59,PC59:PC164,0),MATCH(Structure!$D$17,$PA$14:$PZ$14,0)),INDEX(QA59:QZ59,MATCH(QC59,QC59:QC164,0),MATCH(Structure!$D$17,$QA$14:$QZ$14,0))))</f>
        <v/>
      </c>
      <c r="CI59" s="341" t="str">
        <f>IF(A59=FALSE,"",IF(ALLTHESAME=TRUE,INDEX(RA59:RZ59,MATCH(RC59,RC59:RC164,0),MATCH(Structure!$D$17,$RA$14:$RZ$14,0)),INDEX(SA59:TC59,MATCH(SC59,SC59:SC164,0),MATCH(Structure!$D$17,$SA$14:$TC$14,0))))</f>
        <v/>
      </c>
      <c r="CJ59" s="347"/>
      <c r="CK59" s="239" t="str">
        <f t="shared" si="456"/>
        <v/>
      </c>
      <c r="CL59" s="239" t="str">
        <f>IF(A59=FALSE,"",IF(ALLTHESAME=TRUE,INDEX(DD59:DZ59,MATCH(DF59,DF59:DF164,0),MATCH(Structure!$D$22,$DD$14:$DZ$14,0)),INDEX(EA59:EZ59,MATCH(EC59,EC59:EC164,0),MATCH(Structure!$D$22,$EA$14:$EZ$14,0))))</f>
        <v/>
      </c>
      <c r="CM59" s="239" t="str">
        <f>IF(A59=FALSE,"",IF(ALLTHESAME=TRUE,INDEX(FA59:FZ59,MATCH(FC59,FC59:FC164,0),MATCH(Structure!$D$22,$FA$14:$FZ$14,0)),INDEX(GA59:GZ59,MATCH(GC59,GC59:GC164,0),MATCH(Structure!$D$22,$GA$14:$GZ$14,0))))</f>
        <v/>
      </c>
      <c r="CN59" s="239" t="str">
        <f>IF(A59=FALSE,"",IF(ALLTHESAME=TRUE,INDEX(HA59:HZ59,MATCH(HC59,HC59:HC164,0),MATCH(Structure!$D$22,$HA$14:$HZ$14,0)),INDEX(IA59:IZ59,MATCH(IC59,IC59:IC164,0),MATCH(Structure!$D$22,$IA$14:$IZ$14,0))))</f>
        <v/>
      </c>
      <c r="CO59" s="239" t="str">
        <f>IF(A59=FALSE,"",IF(ALLTHESAME=TRUE,INDEX(JA59:JZ59,MATCH(JC59,JC59:JC164,0),MATCH(Structure!$D$22,$JA$14:$JZ$14,0)),INDEX(KA59:KZ59,MATCH(KC59,KC59:KC164,0),MATCH(Structure!$D$22,$KA$14:$KZ$14,0))))</f>
        <v/>
      </c>
      <c r="CP59" s="239" t="str">
        <f>IF(A59=FALSE,"",IF(ALLTHESAME=TRUE,INDEX(LA59:LZ59,MATCH(LC59,LC59:LC164,0),MATCH(Structure!$D$22,$LA$14:$LZ$14,0)),INDEX(MA59:MZ59,MATCH(MC59,MC59:MC164,0),MATCH(Structure!$D$22,$MA$14:$MZ$14,0))))</f>
        <v/>
      </c>
      <c r="CQ59" s="239" t="str">
        <f>IF(A59=FALSE,"",IF(ALLTHESAME=TRUE,INDEX(NA59:NZ59,MATCH(NC59,NC59:NC164,0),MATCH(Structure!$D$22,$NA$14:$NZ$14,0)),INDEX(OA59:OZ59,MATCH(OC59,OC59:OC164,0),MATCH(Structure!$D$22,$OA$14:$OZ$14,0))))</f>
        <v/>
      </c>
      <c r="CR59" s="239" t="str">
        <f>IF(A59=FALSE,"",IF(ALLTHESAME=TRUE,INDEX(PA59:PZ59,MATCH(PC59,PC59:PC164,0),MATCH(Structure!$D$22,$PA$14:$PZ$14,0)),INDEX(QA59:QZ59,MATCH(QC59,QC59:QC164,0),MATCH(Structure!$D$22,$QA$14:$QZ$14,0))))</f>
        <v/>
      </c>
      <c r="CS59" s="341" t="str">
        <f>IF(A59=FALSE,"",IF(ALLTHESAME=TRUE,INDEX(RA59:RZ59,MATCH(RC59,RC59:RC164,0),MATCH(Structure!$D$22,$RA$14:$RZ$14,0)),INDEX(SA59:TC59,MATCH(SC59,SC59:SC164,0),MATCH(Structure!$D$22,$SA$14:$TC$14,0))))</f>
        <v/>
      </c>
      <c r="CT59" s="347"/>
      <c r="CU59" s="239" t="str">
        <f t="shared" si="457"/>
        <v/>
      </c>
      <c r="CV59" s="239" t="str">
        <f>IF(A59=FALSE,"",IF(ALLTHESAME=TRUE,INDEX(DD59:DZ59,MATCH(DF59,DF59:DF164,0),MATCH(Structure!$D$8,$DD$14:$DZ$14,0)),INDEX(EA59:EZ59,MATCH(EC59,EC59:EC164,0),MATCH(Structure!$D$8,$EA$14:$EZ$14,0))))</f>
        <v/>
      </c>
      <c r="CW59" s="239" t="str">
        <f>IF(A59=FALSE,"",IF(ALLTHESAME=TRUE,INDEX(FA59:FZ59,MATCH(FC59,FC59:FC164,0),MATCH(Structure!$D$8,$FA$14:$FZ$14,0)),INDEX(GA59:GZ59,MATCH(GC59,GC59:GC164,0),MATCH(Structure!$D$8,$GA$14:$GZ$14,0))))</f>
        <v/>
      </c>
      <c r="CX59" s="239" t="str">
        <f>IF(A59=FALSE,"",IF(ALLTHESAME=TRUE,INDEX(HA59:HZ59,MATCH(HC59,HC59:HC164,0),MATCH(Structure!$D$8,$HA$14:$HZ$14,0)),INDEX(IA59:IZ59,MATCH(IC59,IC59:IC164,0),MATCH(Structure!$D$8,$IA$14:$IZ$14,0))))</f>
        <v/>
      </c>
      <c r="CY59" s="239" t="str">
        <f>IF(A59=FALSE,"",IF(ALLTHESAME=TRUE,INDEX(JA59:JZ59,MATCH(JC59,JC59:JC164,0),MATCH(Structure!$D$8,$JA$14:$JZ$14,0)),INDEX(KA59:KZ59,MATCH(KC59,KC59:KC164,0),MATCH(Structure!$D$8,$KA$14:$KZ$14,0))))</f>
        <v/>
      </c>
      <c r="CZ59" s="239" t="str">
        <f>IF(A59=FALSE,"",IF(ALLTHESAME=TRUE,INDEX(LA59:LZ59,MATCH(LC59,LC59:LC164,0),MATCH(Structure!$D$8,$LA$14:$LZ$14,0)),INDEX(MA59:MZ59,MATCH(MC59,MC59:MC164,0),MATCH(Structure!$D$8,$MA$14:$MZ$14,0))))</f>
        <v/>
      </c>
      <c r="DA59" s="239" t="str">
        <f>IF(A59=FALSE,"",IF(ALLTHESAME=TRUE,INDEX(NA59:NZ59,MATCH(NC59,NC59:NC164,0),MATCH(Structure!$D$8,$NA$14:$NZ$14,0)),INDEX(OA59:OZ59,MATCH(OC59,OC59:OC164,0),MATCH(Structure!$D$8,$OA$14:$OZ$14,0))))</f>
        <v/>
      </c>
      <c r="DB59" s="239" t="str">
        <f>IF(A59=FALSE,"",IF(ALLTHESAME=TRUE,INDEX(PA59:PZ59,MATCH(PC59,PC59:PC164,0),MATCH(Structure!$D$8,$PA$14:$PZ$14,0)),INDEX(QA59:QZ59,MATCH(QC59,QC59:QC164,0),MATCH(Structure!$D$8,$QA$14:$QZ$14,0))))</f>
        <v/>
      </c>
      <c r="DC59" s="341" t="str">
        <f>IF(A59=FALSE,"",IF(ALLTHESAME=TRUE,INDEX(RA59:RZ59,MATCH(RC59,RC59:RC164,0),MATCH(Structure!$D$8,$RA$14:$RZ$14,0)),INDEX(SA59:TC59,MATCH(SC59,SC59:SC164,0),MATCH(Structure!$D$8,$SA$14:$TC$14,0))))</f>
        <v/>
      </c>
      <c r="DD59" s="492" t="str">
        <f>IF(A59=FALSE,"",Cotations!D59)</f>
        <v/>
      </c>
      <c r="DE59" s="492" t="str">
        <f>IF(A59=FALSE,"",IF(LISTES!$A$17=1,Cotations!AF59,Cotations!$AG$4))</f>
        <v/>
      </c>
      <c r="DF59" s="291" t="str">
        <f t="shared" si="458"/>
        <v/>
      </c>
      <c r="DG59" s="291" t="str">
        <f t="shared" si="459"/>
        <v/>
      </c>
      <c r="DH59" s="291"/>
      <c r="DI59" s="463"/>
      <c r="DJ59" s="463" t="str">
        <f t="shared" si="460"/>
        <v/>
      </c>
      <c r="DK59" s="522" t="str">
        <f>IF(A59=FALSE,"",IF(Cotations!$AH$4="monthly",DJ59/12*L59,DJ59/365*M59))</f>
        <v/>
      </c>
      <c r="DL59" s="489" t="str">
        <f>IF(A59=FALSE,"",Cotations!$AI$4)</f>
        <v/>
      </c>
      <c r="DM59" s="300" t="str">
        <f t="shared" si="461"/>
        <v/>
      </c>
      <c r="DN59" s="300" t="str">
        <f t="shared" si="462"/>
        <v/>
      </c>
      <c r="DO59" s="294" t="str">
        <f t="shared" si="463"/>
        <v/>
      </c>
      <c r="DP59" s="494" t="str">
        <f>IF(A59=FALSE,"",Cotations!$AJ$4)</f>
        <v/>
      </c>
      <c r="DQ59" s="494" t="str">
        <f>IF(A59=FALSE,"",Cotations!$AK$4)</f>
        <v/>
      </c>
      <c r="DR59" s="489" t="str">
        <f>IF(A59=FALSE,"",Cotations!$AL$4)</f>
        <v/>
      </c>
      <c r="DS59" s="494" t="str">
        <f>IF(A59=FALSE,"",IF(DP59="N/A",0,IF(INDEX(LISTES!$F$105:$F$109,MATCH(DP59,LISTES!$C$105:$C$109,0))="FIX",IF(INDEX(LISTES!$E$105:$E$109,MATCH(DP59,LISTES!$C$105:$C$109,0))=12,DQ59/12*L59,DQ59/365*M59),DR59*DO59)))</f>
        <v/>
      </c>
      <c r="DT59" s="294" t="str">
        <f t="shared" si="464"/>
        <v/>
      </c>
      <c r="DU59" s="294" t="str">
        <f>IF(A59=FALSE,"",DT59*Cotations!$AM$4)</f>
        <v/>
      </c>
      <c r="DV59" s="294" t="str">
        <f>IF(A59=FALSE,"",DT59*Cotations!$AN$4)</f>
        <v/>
      </c>
      <c r="DW59" s="465" t="str">
        <f t="shared" si="465"/>
        <v/>
      </c>
      <c r="DX59" s="919" t="str">
        <f>IF(A59=FALSE,"",((DJ59*TAXE)-(DJ59*TAXE*DL59))+IF(DP59="N/A",0,IF(INDEX(LISTES!$F$105:$F$109,MATCH(DP59,LISTES!$C$105:$C$109,0))="FIX",DQ59,DR59*DO59)))</f>
        <v/>
      </c>
      <c r="DY59" s="466"/>
      <c r="DZ59" s="466"/>
      <c r="EA59" s="492" t="str">
        <f>IF(A59=FALSE,"",Cotations!D59)</f>
        <v/>
      </c>
      <c r="EB59" s="494" t="str">
        <f>IF(A59=FALSE,"",IF(LISTES!$A$17=1,Cotations!AF59,Cotations!AG59))</f>
        <v/>
      </c>
      <c r="EC59" s="284" t="str">
        <f t="shared" si="466"/>
        <v/>
      </c>
      <c r="ED59" s="284" t="str">
        <f t="shared" si="467"/>
        <v/>
      </c>
      <c r="EE59" s="284"/>
      <c r="EF59" s="284"/>
      <c r="EG59" s="284" t="str">
        <f t="shared" si="468"/>
        <v/>
      </c>
      <c r="EH59" s="1365" t="str">
        <f t="shared" si="469"/>
        <v/>
      </c>
      <c r="EI59" s="1365" t="str">
        <f t="shared" si="470"/>
        <v/>
      </c>
      <c r="EJ59" s="515" t="str">
        <f>IF(A59=FALSE,"",IF(Cotations!AH59="monthly",EG59/12*L59,EG59/365*M59))</f>
        <v/>
      </c>
      <c r="EK59" s="1364" t="str">
        <f>IF(A59=FALSE,"",IF(Cotations!AH59="monthly",EI59/12*L59,EI59/365*M59))</f>
        <v/>
      </c>
      <c r="EL59" s="493" t="str">
        <f>IF(A59=FALSE,"",IF(Cotations!AI59="","",Cotations!AI59))</f>
        <v/>
      </c>
      <c r="EM59" s="284" t="str">
        <f t="shared" si="471"/>
        <v/>
      </c>
      <c r="EN59" s="284" t="str">
        <f t="shared" si="472"/>
        <v/>
      </c>
      <c r="EO59" s="1365" t="str">
        <f t="shared" si="432"/>
        <v/>
      </c>
      <c r="EP59" s="284" t="str">
        <f t="shared" si="473"/>
        <v/>
      </c>
      <c r="EQ59" s="515" t="str">
        <f>IF(A59=FALSE,"",Cotations!AJ59)</f>
        <v/>
      </c>
      <c r="ER59" s="515" t="str">
        <f>IF(A59=FALSE,"",IF(Cotations!AK59="","",Cotations!AK59))</f>
        <v/>
      </c>
      <c r="ES59" s="493" t="str">
        <f>IF(A59=FALSE,"",Cotations!AL59)</f>
        <v/>
      </c>
      <c r="ET59" s="515" t="str">
        <f>IF(A59=FALSE,"",IF(EQ59="N/A",0,IF(INDEX(LISTES!$F$105:$F$109,MATCH(EQ59,LISTES!$C$105:$C$109,0))="FIX",IF(INDEX(LISTES!$E$105:$E$109,MATCH(EQ59,LISTES!$C$105:$C$109,0))=12,ER59/12*L59,ER59/365*M59),ES59*EP59)))</f>
        <v/>
      </c>
      <c r="EU59" s="294" t="str">
        <f t="shared" si="474"/>
        <v/>
      </c>
      <c r="EV59" s="494" t="str">
        <f>IF(A59=FALSE,"",EU59*Cotations!AM59)</f>
        <v/>
      </c>
      <c r="EW59" s="494" t="str">
        <f>IF(A59=FALSE,"",EU59*Cotations!AN59)</f>
        <v/>
      </c>
      <c r="EX59" s="334" t="str">
        <f t="shared" si="475"/>
        <v/>
      </c>
      <c r="EY59" s="919" t="str">
        <f>IF(A59=FALSE,"",((EG59*TAXE)-(EG59*TAXE*EL59)+EH59)+IF(EQ59="N/A",0,IF(INDEX(LISTES!$F$105:$F$109,MATCH(EQ59,LISTES!$C$105:$C$109,0))="FIX",ER59,ES59*EP59)))</f>
        <v/>
      </c>
      <c r="FA59" s="492" t="str">
        <f>IF(A59=FALSE,"",Cotations!D59)</f>
        <v/>
      </c>
      <c r="FB59" s="519" t="str">
        <f>IF(A59=FALSE,"",IF(LISTES!$A$17=1,Cotations!AO59,Cotations!$AP$4))</f>
        <v/>
      </c>
      <c r="FC59" s="291" t="str">
        <f t="shared" si="476"/>
        <v/>
      </c>
      <c r="FD59" s="291" t="str">
        <f t="shared" si="477"/>
        <v/>
      </c>
      <c r="FE59" s="291"/>
      <c r="FF59" s="463"/>
      <c r="FG59" s="463" t="str">
        <f t="shared" si="478"/>
        <v/>
      </c>
      <c r="FH59" s="522" t="str">
        <f>IF(A59=FALSE,"",IF(Cotations!$AQ$4="monthly",FG59/12*L59,FG59/365*M59))</f>
        <v/>
      </c>
      <c r="FI59" s="453" t="str">
        <f>IF(A59=FALSE,"",Cotations!$AR$4)</f>
        <v/>
      </c>
      <c r="FJ59" s="300" t="str">
        <f t="shared" si="479"/>
        <v/>
      </c>
      <c r="FK59" s="300" t="str">
        <f t="shared" si="480"/>
        <v/>
      </c>
      <c r="FL59" s="294" t="str">
        <f t="shared" si="481"/>
        <v/>
      </c>
      <c r="FM59" s="494" t="str">
        <f>IF(A59=FALSE,"",Cotations!$AS$4)</f>
        <v/>
      </c>
      <c r="FN59" s="494" t="str">
        <f>IF(A59=FALSE,"",Cotations!$AT$4)</f>
        <v/>
      </c>
      <c r="FO59" s="489" t="str">
        <f>IF(A59=FALSE,"",Cotations!$AU$4)</f>
        <v/>
      </c>
      <c r="FP59" s="494" t="str">
        <f>IF(A59=FALSE,"",IF(FM59="N/A",0,IF(INDEX(LISTES!$F$105:$F$109,MATCH(FM59,LISTES!$C$105:$C$109,0))="FIX",IF(INDEX(LISTES!$E$105:$E$109,MATCH(FM59,LISTES!$C$105:$C$109,0))=12,FN59/12*L59,FN59/365*M59),FO59*FL59)))</f>
        <v/>
      </c>
      <c r="FQ59" s="294" t="str">
        <f t="shared" si="482"/>
        <v/>
      </c>
      <c r="FR59" s="494" t="str">
        <f>IF(A59=FALSE,"",FQ59*Cotations!$AV$4)</f>
        <v/>
      </c>
      <c r="FS59" s="494" t="str">
        <f>IF(A59=FALSE,"",FQ59*Cotations!$AW$4)</f>
        <v/>
      </c>
      <c r="FT59" s="465" t="str">
        <f t="shared" si="483"/>
        <v/>
      </c>
      <c r="FU59" s="919" t="str">
        <f>IF(A59=FALSE,"",((FG59*TAXE)-(FG59*TAXE*FI59))+IF(FM59="N/A",0,IF(INDEX(LISTES!$F$105:$F$109,MATCH(FM59,LISTES!$C$105:$C$109,0))="FIX",FN59,FO59*FL59)))</f>
        <v/>
      </c>
      <c r="FV59" s="478"/>
      <c r="FW59" s="478"/>
      <c r="FX59" s="478"/>
      <c r="FY59" s="478"/>
      <c r="FZ59" s="478"/>
      <c r="GA59" s="492" t="str">
        <f>IF(A59=FALSE,"",Cotations!D59)</f>
        <v/>
      </c>
      <c r="GB59" s="494" t="str">
        <f>IF(A59=FALSE,"",IF(LISTES!$A$17=1,Cotations!AO59,Cotations!AP59))</f>
        <v/>
      </c>
      <c r="GC59" s="284" t="str">
        <f t="shared" si="484"/>
        <v/>
      </c>
      <c r="GD59" s="515" t="str">
        <f>IF(A59=FALSE,"",IF(Detail!AM59="","",Detail!AM59))</f>
        <v/>
      </c>
      <c r="GE59" s="284"/>
      <c r="GF59" s="284"/>
      <c r="GG59" s="284" t="str">
        <f t="shared" si="485"/>
        <v/>
      </c>
      <c r="GH59" s="515" t="str">
        <f>IF(A59=FALSE,"",IF(Cotations!AQ59="monthly",GG59/12*L59,GG59/365*M59))</f>
        <v/>
      </c>
      <c r="GI59" s="493" t="str">
        <f>IF(A59=FALSE,"",IF(Cotations!AR59="","",Cotations!AR59))</f>
        <v/>
      </c>
      <c r="GJ59" s="284" t="str">
        <f t="shared" si="486"/>
        <v/>
      </c>
      <c r="GK59" s="284" t="str">
        <f t="shared" si="487"/>
        <v/>
      </c>
      <c r="GL59" s="284" t="str">
        <f t="shared" si="488"/>
        <v/>
      </c>
      <c r="GM59" s="515" t="str">
        <f>IF(A59=FALSE,"",Cotations!AS59)</f>
        <v/>
      </c>
      <c r="GN59" s="515" t="str">
        <f>IF(A59=FALSE,"",Cotations!AT59)</f>
        <v/>
      </c>
      <c r="GO59" s="493" t="str">
        <f>IF(A59=FALSE,"",Cotations!AU59)</f>
        <v/>
      </c>
      <c r="GP59" s="515" t="str">
        <f>IF(A59=FALSE,"",IF(GM59="N/A",0,IF(INDEX(LISTES!$F$105:$F$109,MATCH(GM59,LISTES!$C$105:$C$109,0))="FIX",IF(INDEX(LISTES!$E$105:$E$109,MATCH(GM59,LISTES!$C$105:$C$109,0))=12,GN59/12*L59,GN59/365*M59),GO59*GL59)))</f>
        <v/>
      </c>
      <c r="GQ59" s="294" t="str">
        <f t="shared" si="489"/>
        <v/>
      </c>
      <c r="GR59" s="494" t="str">
        <f>IF(A59=FALSE,"",GQ59*Cotations!AV59)</f>
        <v/>
      </c>
      <c r="GS59" s="494" t="str">
        <f>IF(A59=FALSE,"",GQ59*Cotations!AW59)</f>
        <v/>
      </c>
      <c r="GT59" s="334" t="str">
        <f t="shared" si="490"/>
        <v/>
      </c>
      <c r="GU59" s="919" t="str">
        <f>IF(A59=FALSE,"",((GG59*TAXE)-(GG59*TAXE*GI59))+IF(GM59="N/A",0,IF(INDEX(LISTES!$F$105:$F$109,MATCH(GM59,LISTES!$C$105:$C$109,0))="FIX",GN59,GO59*GL59)))</f>
        <v/>
      </c>
      <c r="GV59" s="478"/>
      <c r="GW59" s="466"/>
      <c r="GX59" s="466"/>
      <c r="GY59" s="466"/>
      <c r="GZ59" s="466"/>
      <c r="HA59" s="492" t="str">
        <f>IF(A59=FALSE,"",Cotations!D59)</f>
        <v/>
      </c>
      <c r="HB59" s="495" t="str">
        <f>IF(A59=FALSE,"",IF(LISTES!$A$17=1,Cotations!AX59,Cotations!$AY$4))</f>
        <v/>
      </c>
      <c r="HC59" s="291" t="str">
        <f t="shared" si="491"/>
        <v/>
      </c>
      <c r="HD59" s="291" t="str">
        <f t="shared" si="492"/>
        <v/>
      </c>
      <c r="HE59" s="456" t="str">
        <f t="shared" si="493"/>
        <v/>
      </c>
      <c r="HF59" s="496" t="str">
        <f>IF(A59=FALSE,"",IF(HA59="POEA",Cotations!BA59,IF(HA59="FIXE",Cotations!$BA$4,Cotations!$BC$4*Y59)))</f>
        <v/>
      </c>
      <c r="HG59" s="300" t="str">
        <f t="shared" si="494"/>
        <v/>
      </c>
      <c r="HH59" s="522" t="str">
        <f>IF(A59=FALSE,"",IF(Cotations!$AZ$4="monthly",HG59/12*L59,HG59/365*M59))</f>
        <v/>
      </c>
      <c r="HI59" s="489" t="str">
        <f>IF(A59=FALSE,"",Cotations!$BD$4)</f>
        <v/>
      </c>
      <c r="HJ59" s="300" t="str">
        <f t="shared" si="495"/>
        <v/>
      </c>
      <c r="HK59" s="300" t="str">
        <f t="shared" si="496"/>
        <v/>
      </c>
      <c r="HL59" s="294" t="str">
        <f t="shared" si="497"/>
        <v/>
      </c>
      <c r="HM59" s="494" t="str">
        <f>IF(A59=FALSE,"",Cotations!$BE$4)</f>
        <v/>
      </c>
      <c r="HN59" s="522" t="str">
        <f>IF(A59=FALSE,"",Cotations!$BF$4)</f>
        <v/>
      </c>
      <c r="HO59" s="489" t="str">
        <f>IF(A59=FALSE,"",Cotations!$BG$4)</f>
        <v/>
      </c>
      <c r="HP59" s="494" t="str">
        <f>IF(A59=FALSE,"",IF(HM59="N/A",0,IF(INDEX(LISTES!$F$105:$F$109,MATCH(HM59,LISTES!$C$105:$C$109,0))="FIX",IF(INDEX(LISTES!$E$105:$E$109,MATCH(HM59,LISTES!$C$105:$C$109,0))=12,HN59/12*L59,HN59/365*M59),HO59*HL59)))</f>
        <v/>
      </c>
      <c r="HQ59" s="294" t="str">
        <f t="shared" si="498"/>
        <v/>
      </c>
      <c r="HR59" s="494" t="str">
        <f>IF(A59=FALSE,"",HQ59*Cotations!$BH$4)</f>
        <v/>
      </c>
      <c r="HS59" s="494" t="str">
        <f>IF(A59=FALSE,"",HQ59*Cotations!$BI$4)</f>
        <v/>
      </c>
      <c r="HT59" s="294" t="str">
        <f t="shared" si="499"/>
        <v/>
      </c>
      <c r="HU59" s="919" t="str">
        <f>IF(A59=FALSE,"",((HG59*TAXE)-(HG59*TAXE*HI59))+IF(HM59="N/A",0,IF(INDEX(LISTES!$F$105:$F$109,MATCH(HM59,LISTES!$C$105:$C$109,0))="FIX",HN59,HO59*HL59)))</f>
        <v/>
      </c>
      <c r="IA59" s="492" t="str">
        <f>IF(A59=FALSE,"",Cotations!D59)</f>
        <v/>
      </c>
      <c r="IB59" s="491" t="str">
        <f>IF(A59=FALSE,"",IF(LISTES!$A$17=1,Cotations!AX59,Cotations!AY59))</f>
        <v/>
      </c>
      <c r="IC59" s="285" t="str">
        <f t="shared" si="500"/>
        <v/>
      </c>
      <c r="ID59" s="300" t="str">
        <f>IF(A59=FALSE,"",IF(LISTES!$A$17=3,Detail!AU59,lig1_Formula_PREVOY))</f>
        <v/>
      </c>
      <c r="IE59" s="461" t="str">
        <f t="shared" si="501"/>
        <v/>
      </c>
      <c r="IF59" s="490" t="str">
        <f>IF(A59=FALSE,"",IF(IA59="POEA",Cotations!BA59,IF(HA59="FIXE",Cotations!BB59,IF(Cotations!BC59*Y59&lt;50000,Z59,Cotations!BC59*Y59))))</f>
        <v/>
      </c>
      <c r="IG59" s="300" t="str">
        <f t="shared" si="502"/>
        <v/>
      </c>
      <c r="IH59" s="522" t="str">
        <f>IF(A59=FALSE,"",IF(Cotations!AZ59="monthly",IG59/12*L59,IG59/365*M59))</f>
        <v/>
      </c>
      <c r="II59" s="489" t="str">
        <f>IF(A59=FALSE,"",IF(Cotations!BD59="","",Cotations!BD59))</f>
        <v/>
      </c>
      <c r="IJ59" s="300" t="str">
        <f t="shared" si="503"/>
        <v/>
      </c>
      <c r="IK59" s="300" t="str">
        <f t="shared" si="504"/>
        <v/>
      </c>
      <c r="IL59" s="919" t="str">
        <f t="shared" si="505"/>
        <v/>
      </c>
      <c r="IM59" s="517" t="str">
        <f>IF(A59=FALSE,"",Cotations!BE59)</f>
        <v/>
      </c>
      <c r="IN59" s="517" t="str">
        <f>IF(A59=FALSE,"",Cotations!BF59)</f>
        <v/>
      </c>
      <c r="IO59" s="493" t="str">
        <f>IF(A59=FALSE,"",Cotations!BG59)</f>
        <v/>
      </c>
      <c r="IP59" s="517" t="str">
        <f>IF(A59=FALSE,"",IF(IM59="N/A",0,IF(INDEX(LISTES!$F$105:$F$109,MATCH(IM59,LISTES!$C$105:$C$109,0))="FIX",IF(INDEX(LISTES!$E$105:$E$109,MATCH(IM59,LISTES!$C$105:$C$109,0))=12,IN59/12*L59,IN59/365*M59),IO59*IL59)))</f>
        <v/>
      </c>
      <c r="IQ59" s="294" t="str">
        <f t="shared" si="506"/>
        <v/>
      </c>
      <c r="IR59" s="494" t="str">
        <f>IF(A59=FALSE,"",IQ59*Cotations!BH59)</f>
        <v/>
      </c>
      <c r="IS59" s="494" t="str">
        <f>IF(A59=FALSE,"",IQ59*Cotations!BI59)</f>
        <v/>
      </c>
      <c r="IT59" s="338" t="str">
        <f t="shared" si="507"/>
        <v/>
      </c>
      <c r="IU59" s="919" t="str">
        <f>IF(A59=FALSE,"",((IG59*TAXE)-(IG59*TAXE*II59))+IF(IM59="N/A",0,IF(INDEX(LISTES!$F$105:$F$109,MATCH(IM59,LISTES!$C$105:$C$109,0))="FIX",IN59,IO59*IL59)))</f>
        <v/>
      </c>
      <c r="JA59" s="492" t="str">
        <f>IF(A59=FALSE,"",Cotations!D59)</f>
        <v/>
      </c>
      <c r="JB59" s="495" t="str">
        <f>IF(A59=FALSE,"",IF(LISTES!$A$17=1,Cotations!BJ59,Cotations!$BK$4))</f>
        <v/>
      </c>
      <c r="JC59" s="291" t="str">
        <f t="shared" si="508"/>
        <v/>
      </c>
      <c r="JD59" s="291" t="str">
        <f t="shared" si="509"/>
        <v/>
      </c>
      <c r="JE59" s="456" t="str">
        <f t="shared" si="510"/>
        <v/>
      </c>
      <c r="JF59" s="496" t="str">
        <f>IF(A59=FALSE,"",IF(JA59="POEA",Cotations!BM59,IF(JA59="FIXE",Cotations!$BM$4,Cotations!$BO$4*Y59)))</f>
        <v/>
      </c>
      <c r="JG59" s="300" t="str">
        <f t="shared" si="511"/>
        <v/>
      </c>
      <c r="JH59" s="522" t="str">
        <f>IF(A59=FALSE,"",IF(Cotations!$BL$4="monthly",JG59/12*L59,JG59/365*M59))</f>
        <v/>
      </c>
      <c r="JI59" s="489" t="str">
        <f>IF(A59=FALSE,"",Cotations!$BP$4)</f>
        <v/>
      </c>
      <c r="JJ59" s="300" t="str">
        <f t="shared" si="512"/>
        <v/>
      </c>
      <c r="JK59" s="300" t="str">
        <f t="shared" si="513"/>
        <v/>
      </c>
      <c r="JL59" s="294" t="str">
        <f t="shared" si="514"/>
        <v/>
      </c>
      <c r="JM59" s="494" t="str">
        <f>IF(A59=FALSE,"",Cotations!$BQ$4)</f>
        <v/>
      </c>
      <c r="JN59" s="522" t="str">
        <f>IF(A59=FALSE,"",Cotations!$BR$4)</f>
        <v/>
      </c>
      <c r="JO59" s="489" t="str">
        <f>IF(A59=FALSE,"",Cotations!$BS$4)</f>
        <v/>
      </c>
      <c r="JP59" s="494" t="str">
        <f>IF(A59=FALSE,"",IF(JM59="N/A",0,IF(INDEX(LISTES!$F$105:$F$109,MATCH(JM59,LISTES!$C$105:$C$109,0))="FIX",IF(INDEX(LISTES!$E$105:$E$109,MATCH(JM59,LISTES!$C$105:$C$109,0))=12,JN59/12*L59,JN59/365*M59),JO59*JL59)))</f>
        <v/>
      </c>
      <c r="JQ59" s="294" t="str">
        <f t="shared" si="515"/>
        <v/>
      </c>
      <c r="JR59" s="494" t="str">
        <f>IF(A59=FALSE,"",JQ59*Cotations!$BT$4)</f>
        <v/>
      </c>
      <c r="JS59" s="494" t="str">
        <f>IF(A59=FALSE,"",JQ59*Cotations!$BU$4)</f>
        <v/>
      </c>
      <c r="JT59" s="294" t="str">
        <f t="shared" si="516"/>
        <v/>
      </c>
      <c r="JU59" s="919" t="str">
        <f>IF(A59=FALSE,"",((JG59*TAXE)-(JG59*TAXE*JI59))+IF(JM59="N/A",0,IF(INDEX(LISTES!$F$105:$F$109,MATCH(JM59,LISTES!$C$105:$C$109,0))="FIX",JN59,JO59*JL59)))</f>
        <v/>
      </c>
      <c r="KA59" s="492" t="str">
        <f>IF(A59=FALSE,"",Cotations!D59)</f>
        <v/>
      </c>
      <c r="KB59" s="491" t="str">
        <f>IF(A59=FALSE,"",IF(LISTES!$A$17=1,Cotations!BJ59,Cotations!BK59))</f>
        <v/>
      </c>
      <c r="KC59" s="285" t="str">
        <f t="shared" si="517"/>
        <v/>
      </c>
      <c r="KD59" s="300"/>
      <c r="KE59" s="461" t="str">
        <f t="shared" si="518"/>
        <v/>
      </c>
      <c r="KF59" s="490" t="str">
        <f>IF(A59=FALSE,"",IF(KA59="POEA",Cotations!BM59,IF(KA59="FIXE",Cotations!BN59,IF(Cotations!BO59*Y59&lt;50000,Z59,Cotations!BO59*Y59))))</f>
        <v/>
      </c>
      <c r="KG59" s="300" t="str">
        <f t="shared" si="519"/>
        <v/>
      </c>
      <c r="KH59" s="522" t="str">
        <f>IF(A59=FALSE,"",IF(Cotations!BL59="monthly",KG59/12*L59,KG59/365*M59))</f>
        <v/>
      </c>
      <c r="KI59" s="489" t="str">
        <f>IF(A59=FALSE,"",IF(Cotations!BP59="","",Cotations!BP59))</f>
        <v/>
      </c>
      <c r="KJ59" s="300" t="str">
        <f t="shared" si="520"/>
        <v/>
      </c>
      <c r="KK59" s="300" t="str">
        <f t="shared" si="521"/>
        <v/>
      </c>
      <c r="KL59" s="919" t="str">
        <f t="shared" si="522"/>
        <v/>
      </c>
      <c r="KM59" s="517" t="str">
        <f>IF(A59=FALSE,"",Cotations!BQ59)</f>
        <v/>
      </c>
      <c r="KN59" s="515" t="str">
        <f>IF(A59=FALSE,"",Cotations!BR59)</f>
        <v/>
      </c>
      <c r="KO59" s="493" t="str">
        <f>IF(A59=FALSE,"",Cotations!BS59)</f>
        <v/>
      </c>
      <c r="KP59" s="517" t="str">
        <f>IF(A59=FALSE,"",IF(KM59="N/A",0,IF(INDEX(LISTES!$F$105:$F$109,MATCH(KM59,LISTES!$C$105:$C$109,0))="FIX",IF(INDEX(LISTES!$E$105:$E$109,MATCH(KM59,LISTES!$C$105:$C$109,0))=12,KN59/12*L59,KN59/365*M59),KO59*KL59)))</f>
        <v/>
      </c>
      <c r="KQ59" s="294" t="str">
        <f t="shared" si="523"/>
        <v/>
      </c>
      <c r="KR59" s="494" t="str">
        <f>IF(A59=FALSE,"",KQ59*Cotations!BT59)</f>
        <v/>
      </c>
      <c r="KS59" s="494" t="str">
        <f>IF(A59=FALSE,"",KQ59*Cotations!BU59)</f>
        <v/>
      </c>
      <c r="KT59" s="338" t="str">
        <f t="shared" si="524"/>
        <v/>
      </c>
      <c r="KU59" s="919" t="str">
        <f>IF(A59=FALSE,"",((KG59*TAXE)-(KG59*TAXE*KI59))+IF(KM59="N/A",0,IF(INDEX(LISTES!$F$105:$F$109,MATCH(KM59,LISTES!$C$105:$C$109,0))="FIX",KN59,KO59*KL59)))</f>
        <v/>
      </c>
      <c r="LA59" s="497" t="str">
        <f>IF(A59=FALSE,"",Cotations!D59)</f>
        <v/>
      </c>
      <c r="LB59" s="498" t="str">
        <f>IF(A59=FALSE,"",IF(LISTES!$A$17=1,Cotations!BV59,Cotations!$BW$4))</f>
        <v/>
      </c>
      <c r="LC59" s="499" t="str">
        <f t="shared" si="525"/>
        <v/>
      </c>
      <c r="LD59" s="499" t="str">
        <f t="shared" si="526"/>
        <v/>
      </c>
      <c r="LE59" s="500" t="str">
        <f t="shared" si="527"/>
        <v/>
      </c>
      <c r="LF59" s="501" t="str">
        <f>IF(A59=FALSE,"",IF(LA59="POEA",Cotations!EJ59,IF(LA59="FIXE",Cotations!$BY$4,Cotations!$CA$4*Y59)))</f>
        <v/>
      </c>
      <c r="LG59" s="502" t="str">
        <f t="shared" si="528"/>
        <v/>
      </c>
      <c r="LH59" s="520" t="str">
        <f>IF(A59=FALSE,"",IF(Cotations!$BX$4="monthly",LG59/12*L59,LG59/365*M59))</f>
        <v/>
      </c>
      <c r="LI59" s="503" t="str">
        <f>IF(A59=FALSE,"",Cotations!$CB$4)</f>
        <v/>
      </c>
      <c r="LJ59" s="502" t="str">
        <f t="shared" si="529"/>
        <v/>
      </c>
      <c r="LK59" s="502" t="str">
        <f t="shared" si="530"/>
        <v/>
      </c>
      <c r="LL59" s="504" t="str">
        <f t="shared" si="531"/>
        <v/>
      </c>
      <c r="LM59" s="505" t="str">
        <f>IF(A59=FALSE,"",Cotations!$CC$4)</f>
        <v/>
      </c>
      <c r="LN59" s="503" t="str">
        <f>IF(A59=FALSE,"",Cotations!$CD$4)</f>
        <v/>
      </c>
      <c r="LO59" s="503" t="str">
        <f>IF(A59=FALSE,"",Cotations!$CE$4)</f>
        <v/>
      </c>
      <c r="LP59" s="505" t="str">
        <f>IF(A59=FALSE,"",IF(LM59="N/A",0,IF(INDEX(LISTES!$F$105:$F$109,MATCH(LM59,LISTES!$C$105:$C$109,0))="FIX",IF(INDEX(LISTES!$E$105:$E$109,MATCH(LM59,LISTES!$C$105:$C$109,0))=12,LN59/12*L59,LN59/365*M59),LO59*LL59)))</f>
        <v/>
      </c>
      <c r="LQ59" s="504" t="str">
        <f t="shared" si="532"/>
        <v/>
      </c>
      <c r="LR59" s="505" t="str">
        <f>IF(A59=FALSE,"",LQ59*Cotations!$CF$4)</f>
        <v/>
      </c>
      <c r="LS59" s="505" t="str">
        <f>IF(A59=FALSE,"",LQ59*Cotations!$CG$4)</f>
        <v/>
      </c>
      <c r="LT59" s="506" t="str">
        <f t="shared" si="533"/>
        <v/>
      </c>
      <c r="LU59" s="919" t="str">
        <f>IF(A59=FALSE,"",((LG59*TAXE)-(LG59*TAXE*LI59))+IF(LM59="N/A",0,IF(INDEX(LISTES!$F$105:$F$109,MATCH(LM59,LISTES!$C$105:$C$109,0))="FIX",LN59,LO59*LL59)))</f>
        <v/>
      </c>
      <c r="MA59" s="492" t="str">
        <f>IF(A59=FALSE,"",Cotations!D59)</f>
        <v/>
      </c>
      <c r="MB59" s="491" t="str">
        <f>IF(A59=FALSE,"",IF(LISTES!$A$17=1,Cotations!BV59,Cotations!BW59))</f>
        <v/>
      </c>
      <c r="MC59" s="285" t="str">
        <f t="shared" si="534"/>
        <v/>
      </c>
      <c r="MD59" s="300"/>
      <c r="ME59" s="461" t="str">
        <f t="shared" si="535"/>
        <v/>
      </c>
      <c r="MF59" s="490" t="str">
        <f>IF(A59=FALSE,"",IF(MA59="POEA",Cotations!BY59,IF(MA59="FIXE",Cotations!BZ59,IF(Cotations!CA59*Y59&lt;50000,Z59,Cotations!CA59*Y59))))</f>
        <v/>
      </c>
      <c r="MG59" s="300" t="str">
        <f t="shared" si="536"/>
        <v/>
      </c>
      <c r="MH59" s="522" t="str">
        <f>IF(A59=FALSE,"",IF(Cotations!BX59="monthly",MG59/12*L59,MG59/365*M59))</f>
        <v/>
      </c>
      <c r="MI59" s="489" t="str">
        <f>IF(A59=FALSE,"",IF(Cotations!CB59="","",Cotations!CB59))</f>
        <v/>
      </c>
      <c r="MJ59" s="300" t="str">
        <f t="shared" si="537"/>
        <v/>
      </c>
      <c r="MK59" s="300" t="str">
        <f t="shared" si="538"/>
        <v/>
      </c>
      <c r="ML59" s="919" t="str">
        <f t="shared" si="539"/>
        <v/>
      </c>
      <c r="MM59" s="517" t="str">
        <f>IF(A59=FALSE,"",Cotations!CC59)</f>
        <v/>
      </c>
      <c r="MN59" s="515" t="str">
        <f>IF(A59=FALSE,"",Cotations!CD59)</f>
        <v/>
      </c>
      <c r="MO59" s="493" t="str">
        <f>IF(A59=FALSE,"",Cotations!CE59)</f>
        <v/>
      </c>
      <c r="MP59" s="517" t="str">
        <f>IF(A59=FALSE,"",IF(MM59="N/A",0,IF(INDEX(LISTES!$F$105:$F$109,MATCH(MM59,LISTES!$C$105:$C$109,0))="FIX",IF(INDEX(LISTES!$E$105:$E$109,MATCH(MM59,LISTES!$C$105:$C$109,0))=12,MN59/12*L59,MN59/365*M59),MO59*ML59)))</f>
        <v/>
      </c>
      <c r="MQ59" s="294" t="str">
        <f t="shared" si="540"/>
        <v/>
      </c>
      <c r="MR59" s="494" t="str">
        <f>IF(A59=FALSE,"",MQ59*Cotations!CF59)</f>
        <v/>
      </c>
      <c r="MS59" s="494" t="str">
        <f>IF(A59=FALSE,"",MQ59*Cotations!CG59)</f>
        <v/>
      </c>
      <c r="MT59" s="338" t="str">
        <f t="shared" si="541"/>
        <v/>
      </c>
      <c r="MU59" s="919" t="str">
        <f>IF(A59=FALSE,"",((MG59*TAXE)-(MG59*TAXE*MI59))+IF(MM59="N/A",0,IF(INDEX(LISTES!$F$105:$F$109,MATCH(MM59,LISTES!$C$105:$C$109,0))="FIX",MN59,MO59*ML59)))</f>
        <v/>
      </c>
      <c r="NA59" s="497" t="str">
        <f>IF(A59=FALSE,"",Cotations!D59)</f>
        <v/>
      </c>
      <c r="NB59" s="498" t="str">
        <f>IF(A59=FALSE,"",IF(LISTES!$A$17=1,Cotations!CH59,Cotations!$CI$4))</f>
        <v/>
      </c>
      <c r="NC59" s="499" t="str">
        <f t="shared" si="542"/>
        <v/>
      </c>
      <c r="ND59" s="499" t="str">
        <f t="shared" si="543"/>
        <v/>
      </c>
      <c r="NE59" s="500" t="str">
        <f t="shared" si="544"/>
        <v/>
      </c>
      <c r="NF59" s="501" t="str">
        <f>IF(A59=FALSE,"",IF(NA59="POEA",Cotations!CK59,IF(NA59="FIXE",Cotations!$CK$4,Cotations!$CM$4*Y59)))</f>
        <v/>
      </c>
      <c r="NG59" s="502" t="str">
        <f t="shared" si="545"/>
        <v/>
      </c>
      <c r="NH59" s="520" t="str">
        <f>IF(A59=FALSE,"",IF(Cotations!$CJ$4="monthly",NG59/12*L59,NG59/365*M59))</f>
        <v/>
      </c>
      <c r="NI59" s="503" t="str">
        <f>IF(A59=FALSE,"",Cotations!$CN$4)</f>
        <v/>
      </c>
      <c r="NJ59" s="502" t="str">
        <f t="shared" si="546"/>
        <v/>
      </c>
      <c r="NK59" s="502" t="str">
        <f t="shared" si="547"/>
        <v/>
      </c>
      <c r="NL59" s="504" t="str">
        <f t="shared" si="548"/>
        <v/>
      </c>
      <c r="NM59" s="505" t="str">
        <f>IF(A59=FALSE,"",Cotations!$CO$4)</f>
        <v/>
      </c>
      <c r="NN59" s="520" t="str">
        <f>IF(A59=FALSE,"",Cotations!$CP$4)</f>
        <v/>
      </c>
      <c r="NO59" s="503" t="str">
        <f>IF(A59=FALSE,"",Cotations!$CQ$4)</f>
        <v/>
      </c>
      <c r="NP59" s="505" t="str">
        <f>IF(A59=FALSE,"",IF(NM59="N/A",0,IF(INDEX(LISTES!$F$105:$F$109,MATCH(NM59,LISTES!$C$105:$C$109,0))="FIX",IF(INDEX(LISTES!$E$105:$E$109,MATCH(NM59,LISTES!$C$105:$C$109,0))=12,NN59/12*L59,NN59/365*M59),NO59*NL59)))</f>
        <v/>
      </c>
      <c r="NQ59" s="504" t="str">
        <f t="shared" si="549"/>
        <v/>
      </c>
      <c r="NR59" s="505" t="str">
        <f>IF(A59=FALSE,"",NQ59*Cotations!$CR$4)</f>
        <v/>
      </c>
      <c r="NS59" s="505" t="str">
        <f>IF(A59=FALSE,"",NQ59*Cotations!$CS$4)</f>
        <v/>
      </c>
      <c r="NT59" s="506" t="str">
        <f t="shared" si="550"/>
        <v/>
      </c>
      <c r="NU59" s="919" t="str">
        <f>IF(A59=FALSE,"",((NG59*TAXE)-(NG59*TAXE*NI59))+IF(NM59="N/A",0,IF(INDEX(LISTES!$F$105:$F$109,MATCH(NM59,LISTES!$C$105:$C$109,0))="FIX",NN59,NO59*NL59)))</f>
        <v/>
      </c>
      <c r="OA59" s="492" t="str">
        <f>IF(A59=FALSE,"",Cotations!D59)</f>
        <v/>
      </c>
      <c r="OB59" s="491" t="str">
        <f>IF(A59=FALSE,"",IF(LISTES!$A$17=1,Cotations!CH59,Cotations!CI59))</f>
        <v/>
      </c>
      <c r="OC59" s="285" t="str">
        <f t="shared" si="551"/>
        <v/>
      </c>
      <c r="OD59" s="300"/>
      <c r="OE59" s="461" t="str">
        <f t="shared" si="552"/>
        <v/>
      </c>
      <c r="OF59" s="490" t="str">
        <f>IF(A59=FALSE,"",IF(OA59="POEA",Cotations!CK59,IF(OA59="FIXE",Cotations!CL59,IF(Cotations!CM59*Y59&lt;50000,Z59,Cotations!CM59*Y59))))</f>
        <v/>
      </c>
      <c r="OG59" s="300" t="str">
        <f t="shared" si="553"/>
        <v/>
      </c>
      <c r="OH59" s="522" t="str">
        <f>IF(A59=FALSE,"",IF(Cotations!CJ59="monthly",OG59/12*L59,OG59/365*M59))</f>
        <v/>
      </c>
      <c r="OI59" s="489" t="str">
        <f>IF(A59=FALSE,"",IF(Cotations!CN59="","",Cotations!CN59))</f>
        <v/>
      </c>
      <c r="OJ59" s="300" t="str">
        <f t="shared" si="554"/>
        <v/>
      </c>
      <c r="OK59" s="300" t="str">
        <f t="shared" si="555"/>
        <v/>
      </c>
      <c r="OL59" s="919" t="str">
        <f t="shared" si="556"/>
        <v/>
      </c>
      <c r="OM59" s="517" t="str">
        <f>IF(A59=FALSE,"",Cotations!CO59)</f>
        <v/>
      </c>
      <c r="ON59" s="515" t="str">
        <f>IF(A59=FALSE,"",Cotations!CP59)</f>
        <v/>
      </c>
      <c r="OO59" s="493" t="str">
        <f>IF(A59=FALSE,"",Cotations!CQ59)</f>
        <v/>
      </c>
      <c r="OP59" s="517" t="str">
        <f>IF(A59=FALSE,"",IF(OM59="N/A",0,IF(INDEX(LISTES!$F$105:$F$109,MATCH(OM59,LISTES!$C$105:$C$109,0))="FIX",IF(INDEX(LISTES!$E$105:$E$109,MATCH(OM59,LISTES!$C$105:$C$109,0))=12,ON59/12*L59,ON59/365*M59),OO59*OL59)))</f>
        <v/>
      </c>
      <c r="OQ59" s="294" t="str">
        <f t="shared" si="557"/>
        <v/>
      </c>
      <c r="OR59" s="494" t="str">
        <f>IF(A59=FALSE,"",OQ59*Cotations!CR59)</f>
        <v/>
      </c>
      <c r="OS59" s="494" t="str">
        <f>IF(A59=FALSE,"",OQ59*Cotations!CS59)</f>
        <v/>
      </c>
      <c r="OT59" s="338" t="str">
        <f t="shared" si="558"/>
        <v/>
      </c>
      <c r="OU59" s="919" t="str">
        <f>IF(A59=FALSE,"",((OG59*TAXE)-(OG59*TAXE*OI59))+IF(OM59="N/A",0,IF(INDEX(LISTES!$F$105:$F$109,MATCH(OM59,LISTES!$C$105:$C$109,0))="FIX",ON59,OO59*OL59)))</f>
        <v/>
      </c>
      <c r="PA59" s="497" t="str">
        <f t="shared" si="559"/>
        <v/>
      </c>
      <c r="PB59" s="498" t="str">
        <f>IF(A59=FALSE,"",IF(LISTES!$A$17=1,Cotations!CT59,Cotations!$CU$4))</f>
        <v/>
      </c>
      <c r="PC59" s="499" t="str">
        <f t="shared" si="560"/>
        <v/>
      </c>
      <c r="PD59" s="499" t="str">
        <f t="shared" si="561"/>
        <v/>
      </c>
      <c r="PE59" s="500" t="str">
        <f t="shared" si="562"/>
        <v/>
      </c>
      <c r="PF59" s="501" t="str">
        <f>IF(A59=FALSE,"",Cotations!$CY$4*Y59)</f>
        <v/>
      </c>
      <c r="PG59" s="502" t="str">
        <f t="shared" si="563"/>
        <v/>
      </c>
      <c r="PH59" s="520" t="str">
        <f>IF(A59=FALSE,"",IF(Cotations!$CV$4="monthly",PG59/12*L59,PG59/365*M59))</f>
        <v/>
      </c>
      <c r="PI59" s="503" t="str">
        <f>IF(A59=FALSE,"",Cotations!$CZ$4)</f>
        <v/>
      </c>
      <c r="PJ59" s="502" t="str">
        <f t="shared" si="564"/>
        <v/>
      </c>
      <c r="PK59" s="502" t="str">
        <f t="shared" si="565"/>
        <v/>
      </c>
      <c r="PL59" s="504" t="str">
        <f t="shared" si="566"/>
        <v/>
      </c>
      <c r="PM59" s="505" t="str">
        <f>IF(A59=FALSE,"",Cotations!$DA$4)</f>
        <v/>
      </c>
      <c r="PN59" s="520" t="str">
        <f>IF(A59=FALSE,"",Cotations!$DB$4)</f>
        <v/>
      </c>
      <c r="PO59" s="503" t="str">
        <f>IF(A59=FALSE,"",Cotations!$DC$4)</f>
        <v/>
      </c>
      <c r="PP59" s="505" t="str">
        <f>IF(A59=FALSE,"",IF(PM59="N/A",0,IF(INDEX(LISTES!$F$105:$F$109,MATCH(PM59,LISTES!$C$105:$C$109,0))="FIX",IF(INDEX(LISTES!$E$105:$E$109,MATCH(PM59,LISTES!$C$105:$C$109,0))=12,PN59/12*L59,PN59/365*M59),PO59*PL59)))</f>
        <v/>
      </c>
      <c r="PQ59" s="504" t="str">
        <f t="shared" si="567"/>
        <v/>
      </c>
      <c r="PR59" s="505" t="str">
        <f>IF(A59=FALSE,"",PQ59*Cotations!$DD$4)</f>
        <v/>
      </c>
      <c r="PS59" s="505" t="str">
        <f>IF(A59=FALSE,"",PQ59*Cotations!$DE$4)</f>
        <v/>
      </c>
      <c r="PT59" s="506" t="str">
        <f t="shared" si="568"/>
        <v/>
      </c>
      <c r="PU59" s="919" t="str">
        <f>IF(A59=FALSE,"",((PG59*TAXE)-(PG59*TAXE*PI59))+IF(PM59="N/A",0,IF(INDEX(LISTES!$F$105:$F$109,MATCH(PM59,LISTES!$C$105:$C$109,0))="FIX",PN59,PO59*PL59)))</f>
        <v/>
      </c>
      <c r="QA59" s="492" t="str">
        <f t="shared" si="569"/>
        <v/>
      </c>
      <c r="QB59" s="491" t="str">
        <f>IF(A59=FALSE,"",IF(LISTES!$A$17=1,Cotations!CT59,Cotations!CU59))</f>
        <v/>
      </c>
      <c r="QC59" s="285" t="str">
        <f t="shared" si="570"/>
        <v/>
      </c>
      <c r="QD59" s="300"/>
      <c r="QE59" s="461" t="str">
        <f t="shared" si="571"/>
        <v/>
      </c>
      <c r="QF59" s="490" t="str">
        <f>IF(A59=FALSE,"",Cotations!CY59*AA59)</f>
        <v/>
      </c>
      <c r="QG59" s="300" t="str">
        <f t="shared" si="572"/>
        <v/>
      </c>
      <c r="QH59" s="522" t="str">
        <f>IF(A59=FALSE,"",IF(Cotations!CV59="monthly",QG59/12*L59,QG59/365*M59))</f>
        <v/>
      </c>
      <c r="QI59" s="489" t="str">
        <f>IF(A59=FALSE,"",IF(Cotations!CZ59="","",Cotations!CZ59))</f>
        <v/>
      </c>
      <c r="QJ59" s="300" t="str">
        <f t="shared" si="573"/>
        <v/>
      </c>
      <c r="QK59" s="300" t="str">
        <f t="shared" si="574"/>
        <v/>
      </c>
      <c r="QL59" s="919" t="str">
        <f t="shared" si="575"/>
        <v/>
      </c>
      <c r="QM59" s="517" t="str">
        <f>IF(A59=FALSE,"",Cotations!DA59)</f>
        <v/>
      </c>
      <c r="QN59" s="515" t="str">
        <f>IF(A59=FALSE,"",Cotations!DB59)</f>
        <v/>
      </c>
      <c r="QO59" s="493" t="str">
        <f>IF(A59=FALSE,"",Cotations!DC59)</f>
        <v/>
      </c>
      <c r="QP59" s="517" t="str">
        <f>IF(A59=FALSE,"",IF(QM59="N/A",0,IF(INDEX(LISTES!$F$105:$F$109,MATCH(QM59,LISTES!$C$105:$C$109,0))="FIX",IF(INDEX(LISTES!$E$105:$E$109,MATCH(QM59,LISTES!$C$105:$C$109,0))=12,QN59/12*L59,QN59/365*M59),QO59*QL59)))</f>
        <v/>
      </c>
      <c r="QQ59" s="294" t="str">
        <f t="shared" si="576"/>
        <v/>
      </c>
      <c r="QR59" s="494" t="str">
        <f>IF(A59=FALSE,"",QQ59*Cotations!DD59)</f>
        <v/>
      </c>
      <c r="QS59" s="494" t="str">
        <f>IF(A59=FALSE,"",QQ59*Cotations!DE59)</f>
        <v/>
      </c>
      <c r="QT59" s="338" t="str">
        <f t="shared" si="577"/>
        <v/>
      </c>
      <c r="QU59" s="919" t="str">
        <f>IF(A59=FALSE,"",((QG59*TAXE)-(QG59*TAXE*QI59))+IF(QM59="N/A",0,IF(INDEX(LISTES!$F$105:$F$109,MATCH(QM59,LISTES!$C$105:$C$109,0))="FIX",QN59,QO59*QL59)))</f>
        <v/>
      </c>
      <c r="RA59" s="497" t="str">
        <f t="shared" si="578"/>
        <v/>
      </c>
      <c r="RB59" s="498" t="str">
        <f>IF(A59=FALSE,"",IF(LISTES!$A$17=1,Cotations!DF59,Cotations!$DG$4))</f>
        <v/>
      </c>
      <c r="RC59" s="499" t="str">
        <f t="shared" si="579"/>
        <v/>
      </c>
      <c r="RD59" s="499" t="str">
        <f t="shared" si="580"/>
        <v/>
      </c>
      <c r="RE59" s="500" t="str">
        <f t="shared" si="581"/>
        <v/>
      </c>
      <c r="RF59" s="501" t="str">
        <f>IF(A59=FALSE,"",Cotations!$DK$4*Y59)</f>
        <v/>
      </c>
      <c r="RG59" s="502" t="str">
        <f t="shared" si="582"/>
        <v/>
      </c>
      <c r="RH59" s="520" t="str">
        <f>IF(A59=FALSE,"",IF(Cotations!$DH$4="monthly",RG59/12*L59,RG59/365*M59))</f>
        <v/>
      </c>
      <c r="RI59" s="503" t="str">
        <f>IF(A59=FALSE,"",Cotations!$DL$4)</f>
        <v/>
      </c>
      <c r="RJ59" s="502" t="str">
        <f t="shared" si="583"/>
        <v/>
      </c>
      <c r="RK59" s="502" t="str">
        <f t="shared" si="584"/>
        <v/>
      </c>
      <c r="RL59" s="504" t="str">
        <f t="shared" si="585"/>
        <v/>
      </c>
      <c r="RM59" s="505" t="str">
        <f>IF(A59=FALSE,"",Cotations!$DM$4)</f>
        <v/>
      </c>
      <c r="RN59" s="520" t="str">
        <f>IF(A59=FALSE,"",Cotations!$DN$4)</f>
        <v/>
      </c>
      <c r="RO59" s="503" t="str">
        <f>IF(A59=FALSE,"",Cotations!$DO$4)</f>
        <v/>
      </c>
      <c r="RP59" s="505" t="str">
        <f>IF(A59=FALSE,"",IF(RM59="N/A",0,IF(INDEX(LISTES!$F$105:$F$109,MATCH(RM59,LISTES!$C$105:$C$109,0))="FIX",IF(INDEX(LISTES!$E$105:$E$109,MATCH(RM59,LISTES!$C$105:$C$109,0))=12,RN59/12*L59,RN59/365*M59),RO59*RL59)))</f>
        <v/>
      </c>
      <c r="RQ59" s="504" t="str">
        <f t="shared" si="586"/>
        <v/>
      </c>
      <c r="RR59" s="505" t="str">
        <f>IF(A59=FALSE,"",RQ59*Cotations!$DP$4)</f>
        <v/>
      </c>
      <c r="RS59" s="505" t="str">
        <f>IF(A59=FALSE,"",RQ59*Cotations!$DQ$4)</f>
        <v/>
      </c>
      <c r="RT59" s="506" t="str">
        <f t="shared" si="587"/>
        <v/>
      </c>
      <c r="RU59" s="919" t="str">
        <f>IF(A59=FALSE,"",((RG59*TAXE)-(RG59*TAXE*RI59))+IF(RM59="N/A",0,IF(INDEX(LISTES!$F$105:$F$109,MATCH(RM59,LISTES!$C$105:$C$109,0))="FIX",RN59,RO59*RL59)))</f>
        <v/>
      </c>
      <c r="SA59" s="492" t="str">
        <f t="shared" si="588"/>
        <v/>
      </c>
      <c r="SB59" s="491" t="str">
        <f>IF(A59=FALSE,"",IF(LISTES!$A$17=1,Cotations!DF59,Cotations!DG59))</f>
        <v/>
      </c>
      <c r="SC59" s="285" t="str">
        <f t="shared" si="589"/>
        <v/>
      </c>
      <c r="SD59" s="300"/>
      <c r="SE59" s="461" t="str">
        <f t="shared" si="590"/>
        <v/>
      </c>
      <c r="SF59" s="490" t="str">
        <f>IF(A59=FALSE,"",Cotations!DK59*AA59)</f>
        <v/>
      </c>
      <c r="SG59" s="300" t="str">
        <f t="shared" si="591"/>
        <v/>
      </c>
      <c r="SH59" s="522" t="str">
        <f>IF(A59=FALSE,"",IF(Cotations!DH59="monthly",SG59/12*L59,SG59/365*M59))</f>
        <v/>
      </c>
      <c r="SI59" s="489" t="str">
        <f>IF(A59=FALSE,"",IF(Cotations!DL59="","",Cotations!DL59))</f>
        <v/>
      </c>
      <c r="SJ59" s="300" t="str">
        <f t="shared" si="592"/>
        <v/>
      </c>
      <c r="SK59" s="300" t="str">
        <f t="shared" si="593"/>
        <v/>
      </c>
      <c r="SL59" s="919" t="str">
        <f t="shared" si="594"/>
        <v/>
      </c>
      <c r="SM59" s="285" t="str">
        <f>IF(A59=FALSE,"",Cotations!DM59)</f>
        <v/>
      </c>
      <c r="SN59" s="515" t="str">
        <f>IF(A59=FALSE,"",Cotations!DN59)</f>
        <v/>
      </c>
      <c r="SO59" s="493" t="str">
        <f>IF(A59=FALSE,"",Cotations!DO59)</f>
        <v/>
      </c>
      <c r="SP59" s="517" t="str">
        <f>IF(A59=FALSE,"",IF(SM59="N/A",0,IF(INDEX(LISTES!$F$105:$F$109,MATCH(SM59,LISTES!$C$105:$C$109,0))="FIX",IF(INDEX(LISTES!$E$105:$E$109,MATCH(SM59,LISTES!$C$105:$C$109,0))=12,SN59/12*L59,SN59/365*M59),SO59*SL59)))</f>
        <v/>
      </c>
      <c r="SQ59" s="294" t="str">
        <f t="shared" si="595"/>
        <v/>
      </c>
      <c r="SR59" s="494" t="str">
        <f>IF(A59=FALSE,"",SQ59*Cotations!DP59)</f>
        <v/>
      </c>
      <c r="SS59" s="494" t="str">
        <f>IF(A59=FALSE,"",SQ59*Cotations!DQ59)</f>
        <v/>
      </c>
      <c r="ST59" s="338" t="str">
        <f t="shared" si="596"/>
        <v/>
      </c>
      <c r="SU59" s="919" t="str">
        <f>IF(A59=FALSE,"",((SG59*TAXE)-(SG59*TAXE*SI59))+IF(SM59="N/A",0,IF(INDEX(LISTES!$F$105:$F$109,MATCH(SM59,LISTES!$C$105:$C$109,0))="FIX",SN59,SO59*SL59)))</f>
        <v/>
      </c>
      <c r="TA59" s="492" t="str">
        <f>IF(A59=FALSE,"",Cotations!D59)</f>
        <v/>
      </c>
      <c r="TB59" s="491" t="str">
        <f>IF(A59=FALSE,"",IF(LISTES!$A$17=1,Cotations!DR59,Cotations!DS59))</f>
        <v/>
      </c>
      <c r="TC59" s="285" t="str">
        <f t="shared" si="597"/>
        <v/>
      </c>
      <c r="TD59" s="300" t="str">
        <f>IF(A59=FALSE,"",Detail!CQ59)</f>
        <v/>
      </c>
      <c r="TE59" s="461" t="str">
        <f t="shared" si="598"/>
        <v/>
      </c>
      <c r="TF59" s="490" t="str">
        <f>IF(A59=FALSE,"",IF(TA59="FIXE",Cotations!DU59,Cotations!DV59*Y59))</f>
        <v/>
      </c>
      <c r="TG59" s="300" t="str">
        <f t="shared" si="599"/>
        <v/>
      </c>
      <c r="TH59" s="522" t="str">
        <f>IF(A59=FALSE,"",IF(Cotations!DT59="monthly",TG59/12*L59,TG59/365*M59))</f>
        <v/>
      </c>
      <c r="TI59" s="489" t="str">
        <f>IF(A59=FALSE,"",IF(Cotations!DW59="","",Cotations!DW59))</f>
        <v/>
      </c>
      <c r="TJ59" s="300" t="str">
        <f t="shared" si="600"/>
        <v/>
      </c>
      <c r="TK59" s="300" t="str">
        <f t="shared" si="601"/>
        <v/>
      </c>
      <c r="TL59" s="919" t="str">
        <f t="shared" si="602"/>
        <v/>
      </c>
      <c r="TM59" s="517" t="str">
        <f>IF(A59=FALSE,"",Cotations!DX59)</f>
        <v/>
      </c>
      <c r="TN59" s="517" t="str">
        <f>IF(A59=FALSE,"",Cotations!DY59)</f>
        <v/>
      </c>
      <c r="TO59" s="493" t="str">
        <f>IF(A59=FALSE,"",Cotations!DZ59)</f>
        <v/>
      </c>
      <c r="TP59" s="517" t="str">
        <f>IF(A59=FALSE,"",IF(TM59="N/A",0,IF(INDEX(LISTES!$F$105:$F$109,MATCH(TM59,LISTES!$C$105:$C$109,0))="FIX",IF(INDEX(LISTES!$E$105:$E$109,MATCH(TM59,LISTES!$C$105:$C$109,0))=12,TN59/12*L59,TN59/365*M59),TO59*TL59)))</f>
        <v/>
      </c>
      <c r="TQ59" s="294" t="str">
        <f t="shared" si="603"/>
        <v/>
      </c>
      <c r="TR59" s="494" t="str">
        <f>IF(A59=FALSE,"",TQ59*Cotations!EA59)</f>
        <v/>
      </c>
      <c r="TS59" s="494" t="str">
        <f>IF(A59=FALSE,"",TQ59*Cotations!EB59)</f>
        <v/>
      </c>
      <c r="TT59" s="338" t="str">
        <f t="shared" si="604"/>
        <v/>
      </c>
      <c r="TU59" s="919" t="str">
        <f>IF(A59=FALSE,"",((TG59*(1+TAXE)-(TG59*(1+TAXE)*TI59))+IF(TM59="N/A",0,IF(INDEX(LISTES!$F$105:$F$109,MATCH(TM59,LISTES!$C$105:$C$109,0))="FIX",TN59,TO59*TL59))))</f>
        <v/>
      </c>
      <c r="UA59" s="492" t="str">
        <f>IF(A59=FALSE,"",Cotations!D59)</f>
        <v/>
      </c>
      <c r="UB59" s="491" t="str">
        <f>IF(A59=FALSE,"",IF(LISTES!$A$17=1,Cotations!EC59,Cotations!ED59))</f>
        <v/>
      </c>
      <c r="UC59" s="285" t="str">
        <f t="shared" si="605"/>
        <v/>
      </c>
      <c r="UD59" s="300" t="str">
        <f>IF(A59=FALSE,"",Detail!CY59)</f>
        <v/>
      </c>
      <c r="UE59" s="461" t="str">
        <f t="shared" si="606"/>
        <v/>
      </c>
      <c r="UF59" s="490" t="str">
        <f>IF(A59=FALSE,"",IF(UA59="FIXE",Cotations!EF59,Cotations!EG59*Y59))</f>
        <v/>
      </c>
      <c r="UG59" s="300" t="str">
        <f t="shared" si="607"/>
        <v/>
      </c>
      <c r="UH59" s="522" t="str">
        <f>IF(A59=FALSE,"",IF(Cotations!EE59="monthly",UG59/12*L59,UG59/365*M59))</f>
        <v/>
      </c>
      <c r="UI59" s="489" t="str">
        <f>IF(A59=FALSE,"",IF(Cotations!EH59="","",Cotations!EH59))</f>
        <v/>
      </c>
      <c r="UJ59" s="300" t="str">
        <f t="shared" si="608"/>
        <v/>
      </c>
      <c r="UK59" s="300" t="str">
        <f t="shared" si="609"/>
        <v/>
      </c>
      <c r="UL59" s="919" t="str">
        <f t="shared" si="610"/>
        <v/>
      </c>
      <c r="UM59" s="517" t="str">
        <f>IF(A59=FALSE,"",Cotations!EI59)</f>
        <v/>
      </c>
      <c r="UN59" s="517" t="str">
        <f>IF(A59=FALSE,"",Cotations!EJ59)</f>
        <v/>
      </c>
      <c r="UO59" s="493" t="str">
        <f>IF(A59=FALSE,"",Cotations!EK59)</f>
        <v/>
      </c>
      <c r="UP59" s="517" t="str">
        <f>IF(A59=FALSE,"",IF(UM59="N/A",0,IF(INDEX(LISTES!$F$105:$F$109,MATCH(UM59,LISTES!$C$105:$C$109,0))="FIX",IF(INDEX(LISTES!$E$105:$E$109,MATCH(UM59,LISTES!$C$105:$C$109,0))=12,UN59/12*L59,UN59/365*M59),UO59*UL59)))</f>
        <v/>
      </c>
      <c r="UQ59" s="294" t="str">
        <f t="shared" si="611"/>
        <v/>
      </c>
      <c r="UR59" s="494" t="str">
        <f>IF(A59=FALSE,"",UQ59*Cotations!EL59)</f>
        <v/>
      </c>
      <c r="US59" s="494" t="str">
        <f>IF(A59=FALSE,"",UQ59*Cotations!EM59)</f>
        <v/>
      </c>
      <c r="UT59" s="338" t="str">
        <f t="shared" si="612"/>
        <v/>
      </c>
      <c r="UU59" s="919" t="str">
        <f>IF(A59=FALSE,"",((UG59*(1+TAXE)-(UG59*(1+TAXE)*UI59))+IF(UM59="N/A",0,IF(INDEX(LISTES!$F$105:$F$109,MATCH(UM59,LISTES!$C$105:$C$109,0))="FIX",UN59,UO59*UL59))))</f>
        <v/>
      </c>
      <c r="VA59" s="492" t="str">
        <f>IF(A59=FALSE,"",Cotations!D59)</f>
        <v/>
      </c>
      <c r="VB59" s="519" t="str">
        <f>IF(A59=FALSE,"",IF(LISTES!$A$17=1,Cotations!EN59,Cotations!EO59))</f>
        <v/>
      </c>
      <c r="VC59" s="291" t="str">
        <f t="shared" si="613"/>
        <v/>
      </c>
      <c r="VD59" s="291" t="str">
        <f t="shared" si="614"/>
        <v/>
      </c>
      <c r="VE59" s="291"/>
      <c r="VF59" s="463"/>
      <c r="VG59" s="463" t="str">
        <f t="shared" si="615"/>
        <v/>
      </c>
      <c r="VH59" s="522" t="str">
        <f>IF(A59=FALSE,"",IF(Cotations!$AQ$4="monthly",VG59/12*L59,VG59/365*M59))</f>
        <v/>
      </c>
      <c r="VI59" s="489" t="str">
        <f>IF(A59=FALSE,"",Cotations!$AR$4)</f>
        <v/>
      </c>
      <c r="VJ59" s="300" t="str">
        <f t="shared" si="616"/>
        <v/>
      </c>
      <c r="VK59" s="300" t="str">
        <f t="shared" si="617"/>
        <v/>
      </c>
      <c r="VL59" s="294" t="str">
        <f t="shared" si="618"/>
        <v/>
      </c>
      <c r="VM59" s="494" t="str">
        <f>IF(A59=FALSE,"",Cotations!$AS$4)</f>
        <v/>
      </c>
      <c r="VN59" s="494" t="str">
        <f>IF(A59=FALSE,"",Cotations!$AT$4)</f>
        <v/>
      </c>
      <c r="VO59" s="489" t="str">
        <f>IF(A59=FALSE,"",Cotations!$AU$4)</f>
        <v/>
      </c>
      <c r="VP59" s="494" t="str">
        <f>IF(A59=FALSE,"",IF(VM59="N/A",0,IF(INDEX(LISTES!$F$105:$F$109,MATCH(VM59,LISTES!$C$105:$C$109,0))="FIX",IF(INDEX(LISTES!$E$105:$E$109,MATCH(VM59,LISTES!$C$105:$C$109,0))=12,VN59/12*L59,VN59/365*M59),VO59*VL59)))</f>
        <v/>
      </c>
      <c r="VQ59" s="294" t="str">
        <f t="shared" si="619"/>
        <v/>
      </c>
      <c r="VR59" s="494" t="str">
        <f>IF(A59=FALSE,"",VQ59*Cotations!$AV$4)</f>
        <v/>
      </c>
      <c r="VS59" s="494" t="str">
        <f>IF(A59=FALSE,"",VQ59*Cotations!$AW$4)</f>
        <v/>
      </c>
      <c r="VT59" s="465" t="str">
        <f t="shared" si="620"/>
        <v/>
      </c>
      <c r="VU59" s="919" t="str">
        <f>IF(A59=FALSE,"",((VG59*TAXE)-(VG59*TAXE*VI59))+IF(VM59="N/A",0,IF(INDEX(LISTES!$F$105:$F$109,MATCH(VM59,LISTES!$C$105:$C$109,0))="FIX",VN59,VO59*VL59)))</f>
        <v/>
      </c>
      <c r="WA59" s="492" t="str">
        <f>IF(A59=FALSE,"",Cotations!D59)</f>
        <v/>
      </c>
      <c r="WB59" s="519" t="str">
        <f>IF(A59=FALSE,"",IF(LISTES!$A$17=1,Cotations!EW59,Cotations!EX59))</f>
        <v/>
      </c>
      <c r="WC59" s="291" t="str">
        <f t="shared" si="621"/>
        <v/>
      </c>
      <c r="WD59" s="291" t="str">
        <f t="shared" si="622"/>
        <v/>
      </c>
      <c r="WE59" s="291"/>
      <c r="WF59" s="463"/>
      <c r="WG59" s="463" t="str">
        <f t="shared" si="623"/>
        <v/>
      </c>
      <c r="WH59" s="522" t="str">
        <f>IF(A59=FALSE,"",IF(Cotations!$AQ$4="monthly",WG59/12*L59,WG59/365*M59))</f>
        <v/>
      </c>
      <c r="WI59" s="489" t="str">
        <f>IF(A59=FALSE,"",Cotations!$AR$4)</f>
        <v/>
      </c>
      <c r="WJ59" s="300" t="str">
        <f t="shared" si="624"/>
        <v/>
      </c>
      <c r="WK59" s="300" t="str">
        <f t="shared" si="625"/>
        <v/>
      </c>
      <c r="WL59" s="294" t="str">
        <f t="shared" si="626"/>
        <v/>
      </c>
      <c r="WM59" s="494" t="str">
        <f>IF(A59=FALSE,"",Cotations!$AS$4)</f>
        <v/>
      </c>
      <c r="WN59" s="494" t="str">
        <f>IF(A59=FALSE,"",Cotations!$AT$4)</f>
        <v/>
      </c>
      <c r="WO59" s="489" t="str">
        <f>IF(A59=FALSE,"",Cotations!$AU$4)</f>
        <v/>
      </c>
      <c r="WP59" s="494" t="str">
        <f>IF(A59=FALSE,"",IF(WM59="N/A",0,IF(INDEX(LISTES!$F$105:$F$109,MATCH(WM59,LISTES!$C$105:$C$109,0))="FIX",IF(INDEX(LISTES!$E$105:$E$109,MATCH(WM59,LISTES!$C$105:$C$109,0))=12,WN59/12*L59,WN59/365*M59),WO59*WL59)))</f>
        <v/>
      </c>
      <c r="WQ59" s="294" t="str">
        <f t="shared" si="627"/>
        <v/>
      </c>
      <c r="WR59" s="494" t="str">
        <f>IF(A59=FALSE,"",WQ59*Cotations!$AV$4)</f>
        <v/>
      </c>
      <c r="WS59" s="494" t="str">
        <f>IF(A59=FALSE,"",WQ59*Cotations!$AW$4)</f>
        <v/>
      </c>
      <c r="WT59" s="465" t="str">
        <f t="shared" si="628"/>
        <v/>
      </c>
      <c r="WU59" s="919" t="str">
        <f>IF(A59=FALSE,"",((WG59*TAXE)-(WG59*TAXE*WI59))+IF(WM59="N/A",0,IF(INDEX(LISTES!$F$105:$F$109,MATCH(WM59,LISTES!$C$105:$C$109,0))="FIX",WN59,WO59*WL59)))</f>
        <v/>
      </c>
    </row>
    <row r="60" spans="1:619">
      <c r="A60" s="942" t="b">
        <f t="shared" si="433"/>
        <v>0</v>
      </c>
      <c r="B60" s="942" t="b">
        <f>IF(NAMES!$B$9=TRUE,TRUE,FALSE)</f>
        <v>1</v>
      </c>
      <c r="C60" s="942" t="b">
        <f t="shared" si="413"/>
        <v>0</v>
      </c>
      <c r="D60" s="942" t="b">
        <f t="shared" si="414"/>
        <v>0</v>
      </c>
      <c r="E60" s="274" t="b">
        <f>IF(Cotations!C60="","",Cotations!C60)</f>
        <v>0</v>
      </c>
      <c r="F60" s="274" t="str">
        <f>IF(Cotations!D60="","",Cotations!D60)</f>
        <v>PROP</v>
      </c>
      <c r="G60" s="274" t="str">
        <f>IF(Cotations!E60="","",Cotations!E60)</f>
        <v>2016-2017!</v>
      </c>
      <c r="H60" s="274" t="str">
        <f>IF(Cotations!F60="","",Cotations!F60)</f>
        <v>SINGLE</v>
      </c>
      <c r="I60" s="274" t="str">
        <f>IF(Cotations!G60="","",Cotations!G60)</f>
        <v/>
      </c>
      <c r="J60" s="274" t="str">
        <f>IF(Cotations!H60="","",Cotations!H60)</f>
        <v/>
      </c>
      <c r="K60" s="274" t="str">
        <f>IF(Cotations!I60="","",Cotations!I60)</f>
        <v/>
      </c>
      <c r="L60" s="274" t="str">
        <f>IF(A60=FALSE,"",IF(Cotations!N60="","",Cotations!N60))</f>
        <v/>
      </c>
      <c r="M60" s="274" t="str">
        <f>IF(Cotations!P60="","",Cotations!P60)</f>
        <v/>
      </c>
      <c r="N60" s="724" t="str">
        <f>IF(NAMES!$B$10=TRUE,Cotations!J60,Cotations!L60)</f>
        <v/>
      </c>
      <c r="O60" s="724" t="str">
        <f>IF(NAMES!$B$10=TRUE,Cotations!K60,Cotations!M60)</f>
        <v/>
      </c>
      <c r="P60" s="943" t="str">
        <f t="shared" si="415"/>
        <v/>
      </c>
      <c r="Q60" s="724" t="str">
        <f>IF(A60=FALSE,"",IF(Crewlist!Y60="","",Crewlist!Y60))</f>
        <v/>
      </c>
      <c r="R60" s="78" t="str">
        <f>IF(Cotations!U60="","",Cotations!U60)</f>
        <v/>
      </c>
      <c r="S60" s="943" t="str">
        <f t="shared" si="416"/>
        <v/>
      </c>
      <c r="T60" s="919" t="str">
        <f>IF(A60=FALSE,"",VLOOKUP($U$15:$U$120,Currency!$A$2:$D$10,4,0)*Crewlist!N60)</f>
        <v/>
      </c>
      <c r="U60" s="1355" t="str">
        <f>IF(A60=FALSE,"",IF(IT60=0,Crewlist!M60&amp;"/"&amp;EX60,Crewlist!M60&amp;"/"&amp;IT60))</f>
        <v/>
      </c>
      <c r="V60" s="919" t="str">
        <f>IF(A60=FALSE,"",VLOOKUP($U$15:$U$120,Currency!$A$2:$D$10,4,0)*Detail!Q60)</f>
        <v/>
      </c>
      <c r="W60" s="1355" t="str">
        <f>IF(A60=FALSE,"",IF(IT60=0,Detail!R60&amp;"/"&amp;EX60,Detail!R60&amp;"/"&amp;IT60))</f>
        <v/>
      </c>
      <c r="X60" s="919" t="str">
        <f>IF(A60=FALSE,"",IF(LISTES!$C$17="Crewlist",Calcul!T60,Calcul!V60))</f>
        <v/>
      </c>
      <c r="Y60" s="758" t="str">
        <f t="shared" si="417"/>
        <v/>
      </c>
      <c r="Z60" s="758" t="str">
        <f>IF(A60=FALSE,"",IF(X60=0,0,IF((Cotations!BC60*12*X60)&lt;50000,50000,(12*X60))))</f>
        <v/>
      </c>
      <c r="AA60" s="758" t="str">
        <f t="shared" si="418"/>
        <v/>
      </c>
      <c r="AB60" s="758" t="str">
        <f>IF(A60=FALSE,"",IF(Crewlist!O60=0,"",Crewlist!O60))</f>
        <v/>
      </c>
      <c r="AC60" s="758" t="str">
        <f>IF(I60="","",VLOOKUP($AB$15:$AB$120,Currency!$A$15:$B$34,2,0))</f>
        <v/>
      </c>
      <c r="AD60" s="758" t="str">
        <f t="shared" si="419"/>
        <v/>
      </c>
      <c r="AE60" s="758" t="str">
        <f t="shared" si="420"/>
        <v/>
      </c>
      <c r="AF60" s="758" t="str">
        <f t="shared" si="421"/>
        <v/>
      </c>
      <c r="AG60" s="758" t="str">
        <f t="shared" si="422"/>
        <v/>
      </c>
      <c r="AH60" s="1355" t="str">
        <f t="shared" si="434"/>
        <v/>
      </c>
      <c r="AI60" s="919" t="str">
        <f t="shared" si="423"/>
        <v/>
      </c>
      <c r="AJ60" s="1382" t="str">
        <f t="shared" si="424"/>
        <v/>
      </c>
      <c r="AK60" s="1382" t="str">
        <f t="shared" si="425"/>
        <v/>
      </c>
      <c r="AL60" s="238" t="str">
        <f t="shared" si="435"/>
        <v/>
      </c>
      <c r="AM60" s="238" t="str">
        <f t="shared" si="436"/>
        <v/>
      </c>
      <c r="AN60" s="1374" t="str">
        <f t="shared" si="437"/>
        <v/>
      </c>
      <c r="AO60" s="238" t="str">
        <f t="shared" si="438"/>
        <v/>
      </c>
      <c r="AP60" s="342" t="str">
        <f>IF(A60=FALSE,"",INDEX(Rates!$Z$5:$Z$367,MATCH(EB60,colchoice,0)))</f>
        <v/>
      </c>
      <c r="AQ60" s="238" t="str">
        <f t="shared" si="439"/>
        <v/>
      </c>
      <c r="AR60" s="238" t="str">
        <f t="shared" si="440"/>
        <v/>
      </c>
      <c r="AS60" s="238" t="str">
        <f t="shared" si="441"/>
        <v/>
      </c>
      <c r="AT60" s="238" t="str">
        <f t="shared" si="442"/>
        <v/>
      </c>
      <c r="AU60" s="238" t="str">
        <f t="shared" si="443"/>
        <v/>
      </c>
      <c r="AV60" s="238" t="str">
        <f t="shared" si="429"/>
        <v/>
      </c>
      <c r="AW60" s="238" t="str">
        <f t="shared" si="444"/>
        <v/>
      </c>
      <c r="AX60" s="238" t="str">
        <f t="shared" si="445"/>
        <v/>
      </c>
      <c r="AY60" s="238" t="str">
        <f t="shared" si="446"/>
        <v/>
      </c>
      <c r="AZ60" s="238" t="str">
        <f t="shared" si="447"/>
        <v/>
      </c>
      <c r="BA60" s="238" t="str">
        <f t="shared" si="448"/>
        <v/>
      </c>
      <c r="BB60" s="552" t="str">
        <f t="shared" si="449"/>
        <v/>
      </c>
      <c r="BC60" s="347" t="str">
        <f t="shared" si="450"/>
        <v/>
      </c>
      <c r="BD60" s="239" t="str">
        <f t="shared" si="430"/>
        <v/>
      </c>
      <c r="BE60" s="239" t="str">
        <f>IF(A60=FALSE,"",IF(ALLTHESAME=TRUE,IF(DF60&lt;&gt;$BC$7,0,INDEX(DD60:DZ60,1,MATCH(Structure!$D$12,$DD$14:$DZ$14,0))),IF(EC60&lt;&gt;$BC$7,0,INDEX(EA60:EZ60,1,MATCH(Structure!$D$12,$EA$14:$EZ$14,0)))))</f>
        <v/>
      </c>
      <c r="BF60" s="239" t="str">
        <f>IF(A60=FALSE,"",IF(ALLTHESAME=TRUE,IF(FC60&lt;&gt;$BC$7,0,INDEX(FA60:FZ60,1,MATCH(Structure!$D$12,$FA$14:$FZ$14,0))),IF(GC60&lt;&gt;$BC$7,0,INDEX(GA60:GZ60,1,MATCH(Structure!$D$12,$GA$14:$GZ$14,0)))))</f>
        <v/>
      </c>
      <c r="BG60" s="239" t="str">
        <f>IF(A60=FALSE,"",IF(ALLTHESAME=TRUE,IF(VC60&lt;&gt;$BC$7,0,INDEX(VA60:VZ60,1,MATCH(Structure!$D$12,$VA$14:$VZ$14,0))),IF(VC60&lt;&gt;$BC$7,0,INDEX(VA60:VZ60,1,MATCH(Structure!$D$12,$VA$14:$VZ$14,0)))))</f>
        <v/>
      </c>
      <c r="BH60" s="239" t="str">
        <f>IF(A60=FALSE,"",IF(ALLTHESAME=TRUE,IF(WC60&lt;&gt;$BC$7,0,INDEX(WA60:WY60,1,MATCH(Structure!$D$12,$WA$14:$WZ$14,0))),IF(WC60&lt;&gt;$BC$7,0,INDEX(WA60:WZ60,1,MATCH(Structure!$D$12,$WA$14:$WZ$14,0)))))</f>
        <v/>
      </c>
      <c r="BI60" s="763" t="str">
        <f>IF(A60=FALSE,"",IF(ALLTHESAME=TRUE,IF(HC60&lt;&gt;$BC$7,0,INDEX(HA60:HZ60,1,MATCH(Structure!$D$12,$HA$14:$HZ$14,0)))+TK60,IF(IC60&lt;&gt;$BC$7,0,INDEX(IA60:IZ60,1,MATCH(Structure!$D$12,$IA$14:$IZ$14,0)))+TK60))</f>
        <v/>
      </c>
      <c r="BJ60" s="239" t="str">
        <f>IF(A60=FALSE,"",IF(ALLTHESAME=TRUE,IF(JC60&lt;&gt;$BC$7,0,INDEX(JA60:JZ60,1,MATCH(Structure!$D$12,$JA$14:$JZ$14,0))),IF(KC60&lt;&gt;$BC$7,0,INDEX(KA60:KZ60,1,MATCH(Structure!$D$12,$KA$14:$KZ$14,0)))))</f>
        <v/>
      </c>
      <c r="BK60" s="763" t="str">
        <f>IF(A60=FALSE,"",IF(ALLTHESAME=TRUE,IF(LC60&lt;&gt;$BC$7,0,INDEX(LA60:LZ60,1,MATCH(Structure!$D$12,$LA$14:$LZ$14,0)))+UK60,IF(MC60&lt;&gt;$BC$7,0,INDEX(MA60:MZ60,1,MATCH(Structure!$D$12,$MA$14:$MZ$14,0)))+UK60))</f>
        <v/>
      </c>
      <c r="BL60" s="239" t="str">
        <f>IF(A60=FALSE,"",IF(ALLTHESAME=TRUE,IF(NC60&lt;&gt;$BC$7,0,INDEX(NA60:NZ60,1,MATCH(Structure!$D$12,$NA$14:$NZ$14,0))),IF(OC60&lt;&gt;$BC$7,0,INDEX(OA60:OZ60,1,MATCH(Structure!$D$12,$OA$14:$OZ$14,0)))))</f>
        <v/>
      </c>
      <c r="BM60" s="239" t="str">
        <f>IF(A60=FALSE,"",IF(ALLTHESAME=TRUE,IF(PC60&lt;&gt;$BC$7,0,INDEX(PA60:PZ60,1,MATCH(Structure!$D$12,$PA$14:$PZ$14,0))),IF(QC60&lt;&gt;$BC$7,0,INDEX(QA60:QZ60,1,MATCH(Structure!$D$12,$QA$14:$QZ$14,0)))))</f>
        <v/>
      </c>
      <c r="BN60" s="341" t="str">
        <f>IF(A60=FALSE,"",IF(ALLTHESAME=TRUE,IF(RC60&lt;&gt;$BC$7,0,INDEX(RA60:RZ60,1,MATCH(Structure!$D$12,$RA$14:$RZ$14,0))),IF(SC60&lt;&gt;$BC$7,0,INDEX(SA60:TA60,1,MATCH(Structure!$D$12,$SA$14:$TA$14,0)))))</f>
        <v/>
      </c>
      <c r="BO60" s="507" t="str">
        <f t="shared" si="451"/>
        <v/>
      </c>
      <c r="BP60" s="239" t="str">
        <f t="shared" si="452"/>
        <v/>
      </c>
      <c r="BQ60" s="239" t="str">
        <f>IF(A60=FALSE,"",IF(ALLTHESAME=TRUE,IF(DF60&lt;&gt;$BO$7,0,INDEX(DD60:DZ60,1,MATCH(Structure!$D$12,$DD$14:$DZ$14,0))),IF(EC60&lt;&gt;$BO$7,0,INDEX(EA60:EZ60,1,MATCH(Structure!$D$12,$EA$14:$EZ$14,0)))))</f>
        <v/>
      </c>
      <c r="BR60" s="239" t="str">
        <f>IF(A60=FALSE,"",IF(ALLTHESAME=TRUE,IF(FC60&lt;&gt;$BO$7,0,INDEX(FA60:FZ60,1,MATCH(Structure!$D$12,$FA$14:$FZ$14,0))),IF(GC60&lt;&gt;$BO$7,0,INDEX(GA60:GZ60,1,MATCH(Structure!$D$12,$GA$14:$GZ$14,0)))))</f>
        <v/>
      </c>
      <c r="BS60" s="239" t="str">
        <f>IF(A60=FALSE,"",IF(ALLTHESAME=TRUE,IF(HC60&lt;&gt;$BO$7,0,INDEX(HA60:HZ60,1,MATCH(Structure!$D$12,$HA$14:$HZ$14,0))),IF(IC60&lt;&gt;$BO$7,0,INDEX(IA60:IZ60,1,MATCH(Structure!$D$12,$IA$14:$IZ$14,0)))))</f>
        <v/>
      </c>
      <c r="BT60" s="239" t="str">
        <f>IF(A60=FALSE,"",IF(ALLTHESAME=TRUE,IF(JC60&lt;&gt;$BO$7,0,INDEX(JA60:JZ60,1,MATCH(Structure!$D$12,$JA$14:$JZ$14,0))),IF(KC60&lt;&gt;$BO$7,0,INDEX(KA60:KZ60,1,MATCH(Structure!$D$12,$KA$14:$KZ$14,0)))))</f>
        <v/>
      </c>
      <c r="BU60" s="239" t="str">
        <f>IF(A60=FALSE,"",IF(ALLTHESAME=TRUE,IF(LC60&lt;&gt;$BO$7,0,INDEX(LA60:LZ60,1,MATCH(Structure!$D$12,$LA$14:$LZ$14,0))),IF(MC60&lt;&gt;$BO$7,0,INDEX(MA60:MZ60,1,MATCH(Structure!$D$12,$MA$14:$MZ$14,0)))))</f>
        <v/>
      </c>
      <c r="BV60" s="239" t="str">
        <f>IF(A60=FALSE,"",IF(ALLTHESAME=TRUE,IF(NC60&lt;&gt;$BO$7,0,INDEX(NA60:NZ60,1,MATCH(Structure!$D$12,$NA$14:$NZ$14,0))),IF(OC60&lt;&gt;$BO$7,0,INDEX(OA60:OZ60,1,MATCH(Structure!$D$12,$OA$14:$OZ$14,0)))))</f>
        <v/>
      </c>
      <c r="BW60" s="239" t="str">
        <f>IF(A60=FALSE,"",IF(ALLTHESAME=TRUE,IF(PC60&lt;&gt;$BO$7,0,INDEX(PA60:PZ60,1,MATCH(Structure!$D$12,$PA$14:$PZ$14,0))),IF(QC60&lt;&gt;$BO$7,0,INDEX(QA60:QZ60,1,MATCH(Structure!$D$12,$QA$14:$QZ$14,0)))))</f>
        <v/>
      </c>
      <c r="BX60" s="341" t="str">
        <f>IF(A60=FALSE,"",IF(ALLTHESAME=TRUE,IF(RC60&lt;&gt;$BO$7,0,INDEX(RA60:RZ60,1,MATCH(Structure!$D$12,$RA$14:$RZ$14,0))),IF(SC60&lt;&gt;$BO$7,0,INDEX(SA60:TA60,1,MATCH(Structure!$D$12,$SA$14:$TA$14,0)))))</f>
        <v/>
      </c>
      <c r="BY60" s="347" t="str">
        <f t="shared" si="453"/>
        <v/>
      </c>
      <c r="BZ60" s="507" t="str">
        <f t="shared" si="454"/>
        <v/>
      </c>
      <c r="CA60" s="239" t="str">
        <f t="shared" si="455"/>
        <v/>
      </c>
      <c r="CB60" s="239" t="str">
        <f>IF(A60=FALSE,"",IF(ALLTHESAME=TRUE,INDEX(DD60:DZ60,MATCH(DF60,DF60:DF165,0),MATCH(Structure!$D$17,$DD$14:$DZ$14,0)),INDEX(EA60:EZ60,MATCH(EC60,EC60:EC165,0),MATCH(Structure!$D$17,$EA$14:$EZ$14,0))))</f>
        <v/>
      </c>
      <c r="CC60" s="239" t="str">
        <f>IF(A60=FALSE,"",IF(ALLTHESAME=TRUE,INDEX(FA60:FZ60,MATCH(FC60,FC60:FC165,0),MATCH(Structure!$D$17,$FA$14:$FZ$14,0)),INDEX(GA60:GZ60,MATCH(GC60,GC60:GC165,0),MATCH(Structure!$D$17,$GA$14:$GZ$14,0))))</f>
        <v/>
      </c>
      <c r="CD60" s="239" t="str">
        <f>IF(A60=FALSE,"",IF(ALLTHESAME=TRUE,INDEX(HA60:HZ60,MATCH(HC60,HC60:HC165,0),MATCH(Structure!$D$17,$HA$14:$HZ$14,0)),INDEX(IA60:IZ60,MATCH(IC60,IC60:IC165,0),MATCH(Structure!$D$17,$IA$14:$IZ$14,0))))</f>
        <v/>
      </c>
      <c r="CE60" s="239" t="str">
        <f>IF(A60=FALSE,"",IF(ALLTHESAME=TRUE,INDEX(JA60:JZ60,MATCH(JC60,JC60:JC165,0),MATCH(Structure!$D$17,$JA$14:$JZ$14,0)),INDEX(KA60:KZ60,MATCH(KC60,KC60:KC165,0),MATCH(Structure!$D$17,$KA$14:$KZ$14,0))))</f>
        <v/>
      </c>
      <c r="CF60" s="239" t="str">
        <f>IF(A60=FALSE,"",IF(ALLTHESAME=TRUE,INDEX(LA60:LZ60,MATCH(LC60,LC60:LC165,0),MATCH(Structure!$D$17,$LA$14:$LZ$14,0)),INDEX(MA60:MZ60,MATCH(MC60,MC60:MC165,0),MATCH(Structure!$D$17,$MA$14:$MZ$14,0))))</f>
        <v/>
      </c>
      <c r="CG60" s="239" t="str">
        <f>IF(A60=FALSE,"",IF(ALLTHESAME=TRUE,INDEX(NA60:NZ60,MATCH(NC60,NC60:NC165,0),MATCH(Structure!$D$17,$NA$14:$NZ$14,0)),INDEX(OA60:OZ60,MATCH(OC60,OC60:OC165,0),MATCH(Structure!$D$17,$OA$14:$OZ$14,0))))</f>
        <v/>
      </c>
      <c r="CH60" s="239" t="str">
        <f>IF(A60=FALSE,"",IF(ALLTHESAME=TRUE,INDEX(PA60:PZ60,MATCH(PC60,PC60:PC165,0),MATCH(Structure!$D$17,$PA$14:$PZ$14,0)),INDEX(QA60:QZ60,MATCH(QC60,QC60:QC165,0),MATCH(Structure!$D$17,$QA$14:$QZ$14,0))))</f>
        <v/>
      </c>
      <c r="CI60" s="341" t="str">
        <f>IF(A60=FALSE,"",IF(ALLTHESAME=TRUE,INDEX(RA60:RZ60,MATCH(RC60,RC60:RC165,0),MATCH(Structure!$D$17,$RA$14:$RZ$14,0)),INDEX(SA60:TC60,MATCH(SC60,SC60:SC165,0),MATCH(Structure!$D$17,$SA$14:$TC$14,0))))</f>
        <v/>
      </c>
      <c r="CJ60" s="347"/>
      <c r="CK60" s="239" t="str">
        <f t="shared" si="456"/>
        <v/>
      </c>
      <c r="CL60" s="239" t="str">
        <f>IF(A60=FALSE,"",IF(ALLTHESAME=TRUE,INDEX(DD60:DZ60,MATCH(DF60,DF60:DF165,0),MATCH(Structure!$D$22,$DD$14:$DZ$14,0)),INDEX(EA60:EZ60,MATCH(EC60,EC60:EC165,0),MATCH(Structure!$D$22,$EA$14:$EZ$14,0))))</f>
        <v/>
      </c>
      <c r="CM60" s="239" t="str">
        <f>IF(A60=FALSE,"",IF(ALLTHESAME=TRUE,INDEX(FA60:FZ60,MATCH(FC60,FC60:FC165,0),MATCH(Structure!$D$22,$FA$14:$FZ$14,0)),INDEX(GA60:GZ60,MATCH(GC60,GC60:GC165,0),MATCH(Structure!$D$22,$GA$14:$GZ$14,0))))</f>
        <v/>
      </c>
      <c r="CN60" s="239" t="str">
        <f>IF(A60=FALSE,"",IF(ALLTHESAME=TRUE,INDEX(HA60:HZ60,MATCH(HC60,HC60:HC165,0),MATCH(Structure!$D$22,$HA$14:$HZ$14,0)),INDEX(IA60:IZ60,MATCH(IC60,IC60:IC165,0),MATCH(Structure!$D$22,$IA$14:$IZ$14,0))))</f>
        <v/>
      </c>
      <c r="CO60" s="239" t="str">
        <f>IF(A60=FALSE,"",IF(ALLTHESAME=TRUE,INDEX(JA60:JZ60,MATCH(JC60,JC60:JC165,0),MATCH(Structure!$D$22,$JA$14:$JZ$14,0)),INDEX(KA60:KZ60,MATCH(KC60,KC60:KC165,0),MATCH(Structure!$D$22,$KA$14:$KZ$14,0))))</f>
        <v/>
      </c>
      <c r="CP60" s="239" t="str">
        <f>IF(A60=FALSE,"",IF(ALLTHESAME=TRUE,INDEX(LA60:LZ60,MATCH(LC60,LC60:LC165,0),MATCH(Structure!$D$22,$LA$14:$LZ$14,0)),INDEX(MA60:MZ60,MATCH(MC60,MC60:MC165,0),MATCH(Structure!$D$22,$MA$14:$MZ$14,0))))</f>
        <v/>
      </c>
      <c r="CQ60" s="239" t="str">
        <f>IF(A60=FALSE,"",IF(ALLTHESAME=TRUE,INDEX(NA60:NZ60,MATCH(NC60,NC60:NC165,0),MATCH(Structure!$D$22,$NA$14:$NZ$14,0)),INDEX(OA60:OZ60,MATCH(OC60,OC60:OC165,0),MATCH(Structure!$D$22,$OA$14:$OZ$14,0))))</f>
        <v/>
      </c>
      <c r="CR60" s="239" t="str">
        <f>IF(A60=FALSE,"",IF(ALLTHESAME=TRUE,INDEX(PA60:PZ60,MATCH(PC60,PC60:PC165,0),MATCH(Structure!$D$22,$PA$14:$PZ$14,0)),INDEX(QA60:QZ60,MATCH(QC60,QC60:QC165,0),MATCH(Structure!$D$22,$QA$14:$QZ$14,0))))</f>
        <v/>
      </c>
      <c r="CS60" s="341" t="str">
        <f>IF(A60=FALSE,"",IF(ALLTHESAME=TRUE,INDEX(RA60:RZ60,MATCH(RC60,RC60:RC165,0),MATCH(Structure!$D$22,$RA$14:$RZ$14,0)),INDEX(SA60:TC60,MATCH(SC60,SC60:SC165,0),MATCH(Structure!$D$22,$SA$14:$TC$14,0))))</f>
        <v/>
      </c>
      <c r="CT60" s="347"/>
      <c r="CU60" s="239" t="str">
        <f t="shared" si="457"/>
        <v/>
      </c>
      <c r="CV60" s="239" t="str">
        <f>IF(A60=FALSE,"",IF(ALLTHESAME=TRUE,INDEX(DD60:DZ60,MATCH(DF60,DF60:DF165,0),MATCH(Structure!$D$8,$DD$14:$DZ$14,0)),INDEX(EA60:EZ60,MATCH(EC60,EC60:EC165,0),MATCH(Structure!$D$8,$EA$14:$EZ$14,0))))</f>
        <v/>
      </c>
      <c r="CW60" s="239" t="str">
        <f>IF(A60=FALSE,"",IF(ALLTHESAME=TRUE,INDEX(FA60:FZ60,MATCH(FC60,FC60:FC165,0),MATCH(Structure!$D$8,$FA$14:$FZ$14,0)),INDEX(GA60:GZ60,MATCH(GC60,GC60:GC165,0),MATCH(Structure!$D$8,$GA$14:$GZ$14,0))))</f>
        <v/>
      </c>
      <c r="CX60" s="239" t="str">
        <f>IF(A60=FALSE,"",IF(ALLTHESAME=TRUE,INDEX(HA60:HZ60,MATCH(HC60,HC60:HC165,0),MATCH(Structure!$D$8,$HA$14:$HZ$14,0)),INDEX(IA60:IZ60,MATCH(IC60,IC60:IC165,0),MATCH(Structure!$D$8,$IA$14:$IZ$14,0))))</f>
        <v/>
      </c>
      <c r="CY60" s="239" t="str">
        <f>IF(A60=FALSE,"",IF(ALLTHESAME=TRUE,INDEX(JA60:JZ60,MATCH(JC60,JC60:JC165,0),MATCH(Structure!$D$8,$JA$14:$JZ$14,0)),INDEX(KA60:KZ60,MATCH(KC60,KC60:KC165,0),MATCH(Structure!$D$8,$KA$14:$KZ$14,0))))</f>
        <v/>
      </c>
      <c r="CZ60" s="239" t="str">
        <f>IF(A60=FALSE,"",IF(ALLTHESAME=TRUE,INDEX(LA60:LZ60,MATCH(LC60,LC60:LC165,0),MATCH(Structure!$D$8,$LA$14:$LZ$14,0)),INDEX(MA60:MZ60,MATCH(MC60,MC60:MC165,0),MATCH(Structure!$D$8,$MA$14:$MZ$14,0))))</f>
        <v/>
      </c>
      <c r="DA60" s="239" t="str">
        <f>IF(A60=FALSE,"",IF(ALLTHESAME=TRUE,INDEX(NA60:NZ60,MATCH(NC60,NC60:NC165,0),MATCH(Structure!$D$8,$NA$14:$NZ$14,0)),INDEX(OA60:OZ60,MATCH(OC60,OC60:OC165,0),MATCH(Structure!$D$8,$OA$14:$OZ$14,0))))</f>
        <v/>
      </c>
      <c r="DB60" s="239" t="str">
        <f>IF(A60=FALSE,"",IF(ALLTHESAME=TRUE,INDEX(PA60:PZ60,MATCH(PC60,PC60:PC165,0),MATCH(Structure!$D$8,$PA$14:$PZ$14,0)),INDEX(QA60:QZ60,MATCH(QC60,QC60:QC165,0),MATCH(Structure!$D$8,$QA$14:$QZ$14,0))))</f>
        <v/>
      </c>
      <c r="DC60" s="341" t="str">
        <f>IF(A60=FALSE,"",IF(ALLTHESAME=TRUE,INDEX(RA60:RZ60,MATCH(RC60,RC60:RC165,0),MATCH(Structure!$D$8,$RA$14:$RZ$14,0)),INDEX(SA60:TC60,MATCH(SC60,SC60:SC165,0),MATCH(Structure!$D$8,$SA$14:$TC$14,0))))</f>
        <v/>
      </c>
      <c r="DD60" s="492" t="str">
        <f>IF(A60=FALSE,"",Cotations!D60)</f>
        <v/>
      </c>
      <c r="DE60" s="492" t="str">
        <f>IF(A60=FALSE,"",IF(LISTES!$A$17=1,Cotations!AF60,Cotations!$AG$4))</f>
        <v/>
      </c>
      <c r="DF60" s="291" t="str">
        <f t="shared" si="458"/>
        <v/>
      </c>
      <c r="DG60" s="291" t="str">
        <f t="shared" si="459"/>
        <v/>
      </c>
      <c r="DH60" s="291"/>
      <c r="DI60" s="463"/>
      <c r="DJ60" s="463" t="str">
        <f t="shared" si="460"/>
        <v/>
      </c>
      <c r="DK60" s="522" t="str">
        <f>IF(A60=FALSE,"",IF(Cotations!$AH$4="monthly",DJ60/12*L60,DJ60/365*M60))</f>
        <v/>
      </c>
      <c r="DL60" s="489" t="str">
        <f>IF(A60=FALSE,"",Cotations!$AI$4)</f>
        <v/>
      </c>
      <c r="DM60" s="300" t="str">
        <f t="shared" si="461"/>
        <v/>
      </c>
      <c r="DN60" s="300" t="str">
        <f t="shared" si="462"/>
        <v/>
      </c>
      <c r="DO60" s="294" t="str">
        <f t="shared" si="463"/>
        <v/>
      </c>
      <c r="DP60" s="494" t="str">
        <f>IF(A60=FALSE,"",Cotations!$AJ$4)</f>
        <v/>
      </c>
      <c r="DQ60" s="494" t="str">
        <f>IF(A60=FALSE,"",Cotations!$AK$4)</f>
        <v/>
      </c>
      <c r="DR60" s="489" t="str">
        <f>IF(A60=FALSE,"",Cotations!$AL$4)</f>
        <v/>
      </c>
      <c r="DS60" s="494" t="str">
        <f>IF(A60=FALSE,"",IF(DP60="N/A",0,IF(INDEX(LISTES!$F$105:$F$109,MATCH(DP60,LISTES!$C$105:$C$109,0))="FIX",IF(INDEX(LISTES!$E$105:$E$109,MATCH(DP60,LISTES!$C$105:$C$109,0))=12,DQ60/12*L60,DQ60/365*M60),DR60*DO60)))</f>
        <v/>
      </c>
      <c r="DT60" s="294" t="str">
        <f t="shared" si="464"/>
        <v/>
      </c>
      <c r="DU60" s="294" t="str">
        <f>IF(A60=FALSE,"",DT60*Cotations!$AM$4)</f>
        <v/>
      </c>
      <c r="DV60" s="294" t="str">
        <f>IF(A60=FALSE,"",DT60*Cotations!$AN$4)</f>
        <v/>
      </c>
      <c r="DW60" s="465" t="str">
        <f t="shared" si="465"/>
        <v/>
      </c>
      <c r="DX60" s="919" t="str">
        <f>IF(A60=FALSE,"",((DJ60*TAXE)-(DJ60*TAXE*DL60))+IF(DP60="N/A",0,IF(INDEX(LISTES!$F$105:$F$109,MATCH(DP60,LISTES!$C$105:$C$109,0))="FIX",DQ60,DR60*DO60)))</f>
        <v/>
      </c>
      <c r="DY60" s="466"/>
      <c r="DZ60" s="466"/>
      <c r="EA60" s="492" t="str">
        <f>IF(A60=FALSE,"",Cotations!D60)</f>
        <v/>
      </c>
      <c r="EB60" s="494" t="str">
        <f>IF(A60=FALSE,"",IF(LISTES!$A$17=1,Cotations!AF60,Cotations!AG60))</f>
        <v/>
      </c>
      <c r="EC60" s="284" t="str">
        <f t="shared" si="466"/>
        <v/>
      </c>
      <c r="ED60" s="284" t="str">
        <f t="shared" si="467"/>
        <v/>
      </c>
      <c r="EE60" s="284"/>
      <c r="EF60" s="284"/>
      <c r="EG60" s="284" t="str">
        <f t="shared" si="468"/>
        <v/>
      </c>
      <c r="EH60" s="1365" t="str">
        <f t="shared" si="469"/>
        <v/>
      </c>
      <c r="EI60" s="1365" t="str">
        <f t="shared" si="470"/>
        <v/>
      </c>
      <c r="EJ60" s="515" t="str">
        <f>IF(A60=FALSE,"",IF(Cotations!AH60="monthly",EG60/12*L60,EG60/365*M60))</f>
        <v/>
      </c>
      <c r="EK60" s="1364" t="str">
        <f>IF(A60=FALSE,"",IF(Cotations!AH60="monthly",EI60/12*L60,EI60/365*M60))</f>
        <v/>
      </c>
      <c r="EL60" s="493" t="str">
        <f>IF(A60=FALSE,"",IF(Cotations!AI60="","",Cotations!AI60))</f>
        <v/>
      </c>
      <c r="EM60" s="284" t="str">
        <f t="shared" si="471"/>
        <v/>
      </c>
      <c r="EN60" s="284" t="str">
        <f t="shared" si="472"/>
        <v/>
      </c>
      <c r="EO60" s="1365" t="str">
        <f t="shared" si="432"/>
        <v/>
      </c>
      <c r="EP60" s="284" t="str">
        <f t="shared" si="473"/>
        <v/>
      </c>
      <c r="EQ60" s="515" t="str">
        <f>IF(A60=FALSE,"",Cotations!AJ60)</f>
        <v/>
      </c>
      <c r="ER60" s="515" t="str">
        <f>IF(A60=FALSE,"",IF(Cotations!AK60="","",Cotations!AK60))</f>
        <v/>
      </c>
      <c r="ES60" s="493" t="str">
        <f>IF(A60=FALSE,"",Cotations!AL60)</f>
        <v/>
      </c>
      <c r="ET60" s="515" t="str">
        <f>IF(A60=FALSE,"",IF(EQ60="N/A",0,IF(INDEX(LISTES!$F$105:$F$109,MATCH(EQ60,LISTES!$C$105:$C$109,0))="FIX",IF(INDEX(LISTES!$E$105:$E$109,MATCH(EQ60,LISTES!$C$105:$C$109,0))=12,ER60/12*L60,ER60/365*M60),ES60*EP60)))</f>
        <v/>
      </c>
      <c r="EU60" s="294" t="str">
        <f t="shared" si="474"/>
        <v/>
      </c>
      <c r="EV60" s="494" t="str">
        <f>IF(A60=FALSE,"",EU60*Cotations!AM60)</f>
        <v/>
      </c>
      <c r="EW60" s="494" t="str">
        <f>IF(A60=FALSE,"",EU60*Cotations!AN60)</f>
        <v/>
      </c>
      <c r="EX60" s="334" t="str">
        <f t="shared" si="475"/>
        <v/>
      </c>
      <c r="EY60" s="919" t="str">
        <f>IF(A60=FALSE,"",((EG60*TAXE)-(EG60*TAXE*EL60)+EH60)+IF(EQ60="N/A",0,IF(INDEX(LISTES!$F$105:$F$109,MATCH(EQ60,LISTES!$C$105:$C$109,0))="FIX",ER60,ES60*EP60)))</f>
        <v/>
      </c>
      <c r="FA60" s="492" t="str">
        <f>IF(A60=FALSE,"",Cotations!D60)</f>
        <v/>
      </c>
      <c r="FB60" s="519" t="str">
        <f>IF(A60=FALSE,"",IF(LISTES!$A$17=1,Cotations!AO60,Cotations!$AP$4))</f>
        <v/>
      </c>
      <c r="FC60" s="291" t="str">
        <f t="shared" si="476"/>
        <v/>
      </c>
      <c r="FD60" s="291" t="str">
        <f t="shared" si="477"/>
        <v/>
      </c>
      <c r="FE60" s="291"/>
      <c r="FF60" s="463"/>
      <c r="FG60" s="463" t="str">
        <f t="shared" si="478"/>
        <v/>
      </c>
      <c r="FH60" s="522" t="str">
        <f>IF(A60=FALSE,"",IF(Cotations!$AQ$4="monthly",FG60/12*L60,FG60/365*M60))</f>
        <v/>
      </c>
      <c r="FI60" s="453" t="str">
        <f>IF(A60=FALSE,"",Cotations!$AR$4)</f>
        <v/>
      </c>
      <c r="FJ60" s="300" t="str">
        <f t="shared" si="479"/>
        <v/>
      </c>
      <c r="FK60" s="300" t="str">
        <f t="shared" si="480"/>
        <v/>
      </c>
      <c r="FL60" s="294" t="str">
        <f t="shared" si="481"/>
        <v/>
      </c>
      <c r="FM60" s="494" t="str">
        <f>IF(A60=FALSE,"",Cotations!$AS$4)</f>
        <v/>
      </c>
      <c r="FN60" s="494" t="str">
        <f>IF(A60=FALSE,"",Cotations!$AT$4)</f>
        <v/>
      </c>
      <c r="FO60" s="489" t="str">
        <f>IF(A60=FALSE,"",Cotations!$AU$4)</f>
        <v/>
      </c>
      <c r="FP60" s="494" t="str">
        <f>IF(A60=FALSE,"",IF(FM60="N/A",0,IF(INDEX(LISTES!$F$105:$F$109,MATCH(FM60,LISTES!$C$105:$C$109,0))="FIX",IF(INDEX(LISTES!$E$105:$E$109,MATCH(FM60,LISTES!$C$105:$C$109,0))=12,FN60/12*L60,FN60/365*M60),FO60*FL60)))</f>
        <v/>
      </c>
      <c r="FQ60" s="294" t="str">
        <f t="shared" si="482"/>
        <v/>
      </c>
      <c r="FR60" s="494" t="str">
        <f>IF(A60=FALSE,"",FQ60*Cotations!$AV$4)</f>
        <v/>
      </c>
      <c r="FS60" s="494" t="str">
        <f>IF(A60=FALSE,"",FQ60*Cotations!$AW$4)</f>
        <v/>
      </c>
      <c r="FT60" s="465" t="str">
        <f t="shared" si="483"/>
        <v/>
      </c>
      <c r="FU60" s="919" t="str">
        <f>IF(A60=FALSE,"",((FG60*TAXE)-(FG60*TAXE*FI60))+IF(FM60="N/A",0,IF(INDEX(LISTES!$F$105:$F$109,MATCH(FM60,LISTES!$C$105:$C$109,0))="FIX",FN60,FO60*FL60)))</f>
        <v/>
      </c>
      <c r="FV60" s="478"/>
      <c r="FW60" s="478"/>
      <c r="FX60" s="478"/>
      <c r="FY60" s="478"/>
      <c r="FZ60" s="478"/>
      <c r="GA60" s="492" t="str">
        <f>IF(A60=FALSE,"",Cotations!D60)</f>
        <v/>
      </c>
      <c r="GB60" s="494" t="str">
        <f>IF(A60=FALSE,"",IF(LISTES!$A$17=1,Cotations!AO60,Cotations!AP60))</f>
        <v/>
      </c>
      <c r="GC60" s="284" t="str">
        <f t="shared" si="484"/>
        <v/>
      </c>
      <c r="GD60" s="515" t="str">
        <f>IF(A60=FALSE,"",IF(Detail!AM60="","",Detail!AM60))</f>
        <v/>
      </c>
      <c r="GE60" s="284"/>
      <c r="GF60" s="284"/>
      <c r="GG60" s="284" t="str">
        <f t="shared" si="485"/>
        <v/>
      </c>
      <c r="GH60" s="515" t="str">
        <f>IF(A60=FALSE,"",IF(Cotations!AQ60="monthly",GG60/12*L60,GG60/365*M60))</f>
        <v/>
      </c>
      <c r="GI60" s="493" t="str">
        <f>IF(A60=FALSE,"",IF(Cotations!AR60="","",Cotations!AR60))</f>
        <v/>
      </c>
      <c r="GJ60" s="284" t="str">
        <f t="shared" si="486"/>
        <v/>
      </c>
      <c r="GK60" s="284" t="str">
        <f t="shared" si="487"/>
        <v/>
      </c>
      <c r="GL60" s="284" t="str">
        <f t="shared" si="488"/>
        <v/>
      </c>
      <c r="GM60" s="515" t="str">
        <f>IF(A60=FALSE,"",Cotations!AS60)</f>
        <v/>
      </c>
      <c r="GN60" s="515" t="str">
        <f>IF(A60=FALSE,"",Cotations!AT60)</f>
        <v/>
      </c>
      <c r="GO60" s="493" t="str">
        <f>IF(A60=FALSE,"",Cotations!AU60)</f>
        <v/>
      </c>
      <c r="GP60" s="515" t="str">
        <f>IF(A60=FALSE,"",IF(GM60="N/A",0,IF(INDEX(LISTES!$F$105:$F$109,MATCH(GM60,LISTES!$C$105:$C$109,0))="FIX",IF(INDEX(LISTES!$E$105:$E$109,MATCH(GM60,LISTES!$C$105:$C$109,0))=12,GN60/12*L60,GN60/365*M60),GO60*GL60)))</f>
        <v/>
      </c>
      <c r="GQ60" s="294" t="str">
        <f t="shared" si="489"/>
        <v/>
      </c>
      <c r="GR60" s="494" t="str">
        <f>IF(A60=FALSE,"",GQ60*Cotations!AV60)</f>
        <v/>
      </c>
      <c r="GS60" s="494" t="str">
        <f>IF(A60=FALSE,"",GQ60*Cotations!AW60)</f>
        <v/>
      </c>
      <c r="GT60" s="334" t="str">
        <f t="shared" si="490"/>
        <v/>
      </c>
      <c r="GU60" s="919" t="str">
        <f>IF(A60=FALSE,"",((GG60*TAXE)-(GG60*TAXE*GI60))+IF(GM60="N/A",0,IF(INDEX(LISTES!$F$105:$F$109,MATCH(GM60,LISTES!$C$105:$C$109,0))="FIX",GN60,GO60*GL60)))</f>
        <v/>
      </c>
      <c r="GV60" s="478"/>
      <c r="GW60" s="466"/>
      <c r="GX60" s="466"/>
      <c r="GY60" s="466"/>
      <c r="GZ60" s="466"/>
      <c r="HA60" s="492" t="str">
        <f>IF(A60=FALSE,"",Cotations!D60)</f>
        <v/>
      </c>
      <c r="HB60" s="495" t="str">
        <f>IF(A60=FALSE,"",IF(LISTES!$A$17=1,Cotations!AX60,Cotations!$AY$4))</f>
        <v/>
      </c>
      <c r="HC60" s="291" t="str">
        <f t="shared" si="491"/>
        <v/>
      </c>
      <c r="HD60" s="291" t="str">
        <f t="shared" si="492"/>
        <v/>
      </c>
      <c r="HE60" s="456" t="str">
        <f t="shared" si="493"/>
        <v/>
      </c>
      <c r="HF60" s="496" t="str">
        <f>IF(A60=FALSE,"",IF(HA60="POEA",Cotations!BA60,IF(HA60="FIXE",Cotations!$BA$4,Cotations!$BC$4*Y60)))</f>
        <v/>
      </c>
      <c r="HG60" s="300" t="str">
        <f t="shared" si="494"/>
        <v/>
      </c>
      <c r="HH60" s="522" t="str">
        <f>IF(A60=FALSE,"",IF(Cotations!$AZ$4="monthly",HG60/12*L60,HG60/365*M60))</f>
        <v/>
      </c>
      <c r="HI60" s="489" t="str">
        <f>IF(A60=FALSE,"",Cotations!$BD$4)</f>
        <v/>
      </c>
      <c r="HJ60" s="300" t="str">
        <f t="shared" si="495"/>
        <v/>
      </c>
      <c r="HK60" s="300" t="str">
        <f t="shared" si="496"/>
        <v/>
      </c>
      <c r="HL60" s="294" t="str">
        <f t="shared" si="497"/>
        <v/>
      </c>
      <c r="HM60" s="494" t="str">
        <f>IF(A60=FALSE,"",Cotations!$BE$4)</f>
        <v/>
      </c>
      <c r="HN60" s="522" t="str">
        <f>IF(A60=FALSE,"",Cotations!$BF$4)</f>
        <v/>
      </c>
      <c r="HO60" s="489" t="str">
        <f>IF(A60=FALSE,"",Cotations!$BG$4)</f>
        <v/>
      </c>
      <c r="HP60" s="494" t="str">
        <f>IF(A60=FALSE,"",IF(HM60="N/A",0,IF(INDEX(LISTES!$F$105:$F$109,MATCH(HM60,LISTES!$C$105:$C$109,0))="FIX",IF(INDEX(LISTES!$E$105:$E$109,MATCH(HM60,LISTES!$C$105:$C$109,0))=12,HN60/12*L60,HN60/365*M60),HO60*HL60)))</f>
        <v/>
      </c>
      <c r="HQ60" s="294" t="str">
        <f t="shared" si="498"/>
        <v/>
      </c>
      <c r="HR60" s="494" t="str">
        <f>IF(A60=FALSE,"",HQ60*Cotations!$BH$4)</f>
        <v/>
      </c>
      <c r="HS60" s="494" t="str">
        <f>IF(A60=FALSE,"",HQ60*Cotations!$BI$4)</f>
        <v/>
      </c>
      <c r="HT60" s="294" t="str">
        <f t="shared" si="499"/>
        <v/>
      </c>
      <c r="HU60" s="919" t="str">
        <f>IF(A60=FALSE,"",((HG60*TAXE)-(HG60*TAXE*HI60))+IF(HM60="N/A",0,IF(INDEX(LISTES!$F$105:$F$109,MATCH(HM60,LISTES!$C$105:$C$109,0))="FIX",HN60,HO60*HL60)))</f>
        <v/>
      </c>
      <c r="IA60" s="492" t="str">
        <f>IF(A60=FALSE,"",Cotations!D60)</f>
        <v/>
      </c>
      <c r="IB60" s="491" t="str">
        <f>IF(A60=FALSE,"",IF(LISTES!$A$17=1,Cotations!AX60,Cotations!AY60))</f>
        <v/>
      </c>
      <c r="IC60" s="285" t="str">
        <f t="shared" si="500"/>
        <v/>
      </c>
      <c r="ID60" s="300" t="str">
        <f>IF(A60=FALSE,"",IF(LISTES!$A$17=3,Detail!AU60,lig1_Formula_PREVOY))</f>
        <v/>
      </c>
      <c r="IE60" s="461" t="str">
        <f t="shared" si="501"/>
        <v/>
      </c>
      <c r="IF60" s="490" t="str">
        <f>IF(A60=FALSE,"",IF(IA60="POEA",Cotations!BA60,IF(HA60="FIXE",Cotations!BB60,IF(Cotations!BC60*Y60&lt;50000,Z60,Cotations!BC60*Y60))))</f>
        <v/>
      </c>
      <c r="IG60" s="300" t="str">
        <f t="shared" si="502"/>
        <v/>
      </c>
      <c r="IH60" s="522" t="str">
        <f>IF(A60=FALSE,"",IF(Cotations!AZ60="monthly",IG60/12*L60,IG60/365*M60))</f>
        <v/>
      </c>
      <c r="II60" s="489" t="str">
        <f>IF(A60=FALSE,"",IF(Cotations!BD60="","",Cotations!BD60))</f>
        <v/>
      </c>
      <c r="IJ60" s="300" t="str">
        <f t="shared" si="503"/>
        <v/>
      </c>
      <c r="IK60" s="300" t="str">
        <f t="shared" si="504"/>
        <v/>
      </c>
      <c r="IL60" s="919" t="str">
        <f t="shared" si="505"/>
        <v/>
      </c>
      <c r="IM60" s="517" t="str">
        <f>IF(A60=FALSE,"",Cotations!BE60)</f>
        <v/>
      </c>
      <c r="IN60" s="517" t="str">
        <f>IF(A60=FALSE,"",Cotations!BF60)</f>
        <v/>
      </c>
      <c r="IO60" s="493" t="str">
        <f>IF(A60=FALSE,"",Cotations!BG60)</f>
        <v/>
      </c>
      <c r="IP60" s="517" t="str">
        <f>IF(A60=FALSE,"",IF(IM60="N/A",0,IF(INDEX(LISTES!$F$105:$F$109,MATCH(IM60,LISTES!$C$105:$C$109,0))="FIX",IF(INDEX(LISTES!$E$105:$E$109,MATCH(IM60,LISTES!$C$105:$C$109,0))=12,IN60/12*L60,IN60/365*M60),IO60*IL60)))</f>
        <v/>
      </c>
      <c r="IQ60" s="294" t="str">
        <f t="shared" si="506"/>
        <v/>
      </c>
      <c r="IR60" s="494" t="str">
        <f>IF(A60=FALSE,"",IQ60*Cotations!BH60)</f>
        <v/>
      </c>
      <c r="IS60" s="494" t="str">
        <f>IF(A60=FALSE,"",IQ60*Cotations!BI60)</f>
        <v/>
      </c>
      <c r="IT60" s="338" t="str">
        <f t="shared" si="507"/>
        <v/>
      </c>
      <c r="IU60" s="919" t="str">
        <f>IF(A60=FALSE,"",((IG60*TAXE)-(IG60*TAXE*II60))+IF(IM60="N/A",0,IF(INDEX(LISTES!$F$105:$F$109,MATCH(IM60,LISTES!$C$105:$C$109,0))="FIX",IN60,IO60*IL60)))</f>
        <v/>
      </c>
      <c r="JA60" s="492" t="str">
        <f>IF(A60=FALSE,"",Cotations!D60)</f>
        <v/>
      </c>
      <c r="JB60" s="495" t="str">
        <f>IF(A60=FALSE,"",IF(LISTES!$A$17=1,Cotations!BJ60,Cotations!$BK$4))</f>
        <v/>
      </c>
      <c r="JC60" s="291" t="str">
        <f t="shared" si="508"/>
        <v/>
      </c>
      <c r="JD60" s="291" t="str">
        <f t="shared" si="509"/>
        <v/>
      </c>
      <c r="JE60" s="456" t="str">
        <f t="shared" si="510"/>
        <v/>
      </c>
      <c r="JF60" s="496" t="str">
        <f>IF(A60=FALSE,"",IF(JA60="POEA",Cotations!BM60,IF(JA60="FIXE",Cotations!$BM$4,Cotations!$BO$4*Y60)))</f>
        <v/>
      </c>
      <c r="JG60" s="300" t="str">
        <f t="shared" si="511"/>
        <v/>
      </c>
      <c r="JH60" s="522" t="str">
        <f>IF(A60=FALSE,"",IF(Cotations!$BL$4="monthly",JG60/12*L60,JG60/365*M60))</f>
        <v/>
      </c>
      <c r="JI60" s="489" t="str">
        <f>IF(A60=FALSE,"",Cotations!$BP$4)</f>
        <v/>
      </c>
      <c r="JJ60" s="300" t="str">
        <f t="shared" si="512"/>
        <v/>
      </c>
      <c r="JK60" s="300" t="str">
        <f t="shared" si="513"/>
        <v/>
      </c>
      <c r="JL60" s="294" t="str">
        <f t="shared" si="514"/>
        <v/>
      </c>
      <c r="JM60" s="494" t="str">
        <f>IF(A60=FALSE,"",Cotations!$BQ$4)</f>
        <v/>
      </c>
      <c r="JN60" s="522" t="str">
        <f>IF(A60=FALSE,"",Cotations!$BR$4)</f>
        <v/>
      </c>
      <c r="JO60" s="489" t="str">
        <f>IF(A60=FALSE,"",Cotations!$BS$4)</f>
        <v/>
      </c>
      <c r="JP60" s="494" t="str">
        <f>IF(A60=FALSE,"",IF(JM60="N/A",0,IF(INDEX(LISTES!$F$105:$F$109,MATCH(JM60,LISTES!$C$105:$C$109,0))="FIX",IF(INDEX(LISTES!$E$105:$E$109,MATCH(JM60,LISTES!$C$105:$C$109,0))=12,JN60/12*L60,JN60/365*M60),JO60*JL60)))</f>
        <v/>
      </c>
      <c r="JQ60" s="294" t="str">
        <f t="shared" si="515"/>
        <v/>
      </c>
      <c r="JR60" s="494" t="str">
        <f>IF(A60=FALSE,"",JQ60*Cotations!$BT$4)</f>
        <v/>
      </c>
      <c r="JS60" s="494" t="str">
        <f>IF(A60=FALSE,"",JQ60*Cotations!$BU$4)</f>
        <v/>
      </c>
      <c r="JT60" s="294" t="str">
        <f t="shared" si="516"/>
        <v/>
      </c>
      <c r="JU60" s="919" t="str">
        <f>IF(A60=FALSE,"",((JG60*TAXE)-(JG60*TAXE*JI60))+IF(JM60="N/A",0,IF(INDEX(LISTES!$F$105:$F$109,MATCH(JM60,LISTES!$C$105:$C$109,0))="FIX",JN60,JO60*JL60)))</f>
        <v/>
      </c>
      <c r="KA60" s="492" t="str">
        <f>IF(A60=FALSE,"",Cotations!D60)</f>
        <v/>
      </c>
      <c r="KB60" s="491" t="str">
        <f>IF(A60=FALSE,"",IF(LISTES!$A$17=1,Cotations!BJ60,Cotations!BK60))</f>
        <v/>
      </c>
      <c r="KC60" s="285" t="str">
        <f t="shared" si="517"/>
        <v/>
      </c>
      <c r="KD60" s="300"/>
      <c r="KE60" s="461" t="str">
        <f t="shared" si="518"/>
        <v/>
      </c>
      <c r="KF60" s="490" t="str">
        <f>IF(A60=FALSE,"",IF(KA60="POEA",Cotations!BM60,IF(KA60="FIXE",Cotations!BN60,IF(Cotations!BO60*Y60&lt;50000,Z60,Cotations!BO60*Y60))))</f>
        <v/>
      </c>
      <c r="KG60" s="300" t="str">
        <f t="shared" si="519"/>
        <v/>
      </c>
      <c r="KH60" s="522" t="str">
        <f>IF(A60=FALSE,"",IF(Cotations!BL60="monthly",KG60/12*L60,KG60/365*M60))</f>
        <v/>
      </c>
      <c r="KI60" s="489" t="str">
        <f>IF(A60=FALSE,"",IF(Cotations!BP60="","",Cotations!BP60))</f>
        <v/>
      </c>
      <c r="KJ60" s="300" t="str">
        <f t="shared" si="520"/>
        <v/>
      </c>
      <c r="KK60" s="300" t="str">
        <f t="shared" si="521"/>
        <v/>
      </c>
      <c r="KL60" s="919" t="str">
        <f t="shared" si="522"/>
        <v/>
      </c>
      <c r="KM60" s="517" t="str">
        <f>IF(A60=FALSE,"",Cotations!BQ60)</f>
        <v/>
      </c>
      <c r="KN60" s="515" t="str">
        <f>IF(A60=FALSE,"",Cotations!BR60)</f>
        <v/>
      </c>
      <c r="KO60" s="493" t="str">
        <f>IF(A60=FALSE,"",Cotations!BS60)</f>
        <v/>
      </c>
      <c r="KP60" s="517" t="str">
        <f>IF(A60=FALSE,"",IF(KM60="N/A",0,IF(INDEX(LISTES!$F$105:$F$109,MATCH(KM60,LISTES!$C$105:$C$109,0))="FIX",IF(INDEX(LISTES!$E$105:$E$109,MATCH(KM60,LISTES!$C$105:$C$109,0))=12,KN60/12*L60,KN60/365*M60),KO60*KL60)))</f>
        <v/>
      </c>
      <c r="KQ60" s="294" t="str">
        <f t="shared" si="523"/>
        <v/>
      </c>
      <c r="KR60" s="494" t="str">
        <f>IF(A60=FALSE,"",KQ60*Cotations!BT60)</f>
        <v/>
      </c>
      <c r="KS60" s="494" t="str">
        <f>IF(A60=FALSE,"",KQ60*Cotations!BU60)</f>
        <v/>
      </c>
      <c r="KT60" s="338" t="str">
        <f t="shared" si="524"/>
        <v/>
      </c>
      <c r="KU60" s="919" t="str">
        <f>IF(A60=FALSE,"",((KG60*TAXE)-(KG60*TAXE*KI60))+IF(KM60="N/A",0,IF(INDEX(LISTES!$F$105:$F$109,MATCH(KM60,LISTES!$C$105:$C$109,0))="FIX",KN60,KO60*KL60)))</f>
        <v/>
      </c>
      <c r="LA60" s="497" t="str">
        <f>IF(A60=FALSE,"",Cotations!D60)</f>
        <v/>
      </c>
      <c r="LB60" s="498" t="str">
        <f>IF(A60=FALSE,"",IF(LISTES!$A$17=1,Cotations!BV60,Cotations!$BW$4))</f>
        <v/>
      </c>
      <c r="LC60" s="499" t="str">
        <f t="shared" si="525"/>
        <v/>
      </c>
      <c r="LD60" s="499" t="str">
        <f t="shared" si="526"/>
        <v/>
      </c>
      <c r="LE60" s="500" t="str">
        <f t="shared" si="527"/>
        <v/>
      </c>
      <c r="LF60" s="501" t="str">
        <f>IF(A60=FALSE,"",IF(LA60="POEA",Cotations!EJ60,IF(LA60="FIXE",Cotations!$BY$4,Cotations!$CA$4*Y60)))</f>
        <v/>
      </c>
      <c r="LG60" s="502" t="str">
        <f t="shared" si="528"/>
        <v/>
      </c>
      <c r="LH60" s="520" t="str">
        <f>IF(A60=FALSE,"",IF(Cotations!$BX$4="monthly",LG60/12*L60,LG60/365*M60))</f>
        <v/>
      </c>
      <c r="LI60" s="503" t="str">
        <f>IF(A60=FALSE,"",Cotations!$CB$4)</f>
        <v/>
      </c>
      <c r="LJ60" s="502" t="str">
        <f t="shared" si="529"/>
        <v/>
      </c>
      <c r="LK60" s="502" t="str">
        <f t="shared" si="530"/>
        <v/>
      </c>
      <c r="LL60" s="504" t="str">
        <f t="shared" si="531"/>
        <v/>
      </c>
      <c r="LM60" s="505" t="str">
        <f>IF(A60=FALSE,"",Cotations!$CC$4)</f>
        <v/>
      </c>
      <c r="LN60" s="503" t="str">
        <f>IF(A60=FALSE,"",Cotations!$CD$4)</f>
        <v/>
      </c>
      <c r="LO60" s="503" t="str">
        <f>IF(A60=FALSE,"",Cotations!$CE$4)</f>
        <v/>
      </c>
      <c r="LP60" s="505" t="str">
        <f>IF(A60=FALSE,"",IF(LM60="N/A",0,IF(INDEX(LISTES!$F$105:$F$109,MATCH(LM60,LISTES!$C$105:$C$109,0))="FIX",IF(INDEX(LISTES!$E$105:$E$109,MATCH(LM60,LISTES!$C$105:$C$109,0))=12,LN60/12*L60,LN60/365*M60),LO60*LL60)))</f>
        <v/>
      </c>
      <c r="LQ60" s="504" t="str">
        <f t="shared" si="532"/>
        <v/>
      </c>
      <c r="LR60" s="505" t="str">
        <f>IF(A60=FALSE,"",LQ60*Cotations!$CF$4)</f>
        <v/>
      </c>
      <c r="LS60" s="505" t="str">
        <f>IF(A60=FALSE,"",LQ60*Cotations!$CG$4)</f>
        <v/>
      </c>
      <c r="LT60" s="506" t="str">
        <f t="shared" si="533"/>
        <v/>
      </c>
      <c r="LU60" s="919" t="str">
        <f>IF(A60=FALSE,"",((LG60*TAXE)-(LG60*TAXE*LI60))+IF(LM60="N/A",0,IF(INDEX(LISTES!$F$105:$F$109,MATCH(LM60,LISTES!$C$105:$C$109,0))="FIX",LN60,LO60*LL60)))</f>
        <v/>
      </c>
      <c r="MA60" s="492" t="str">
        <f>IF(A60=FALSE,"",Cotations!D60)</f>
        <v/>
      </c>
      <c r="MB60" s="491" t="str">
        <f>IF(A60=FALSE,"",IF(LISTES!$A$17=1,Cotations!BV60,Cotations!BW60))</f>
        <v/>
      </c>
      <c r="MC60" s="285" t="str">
        <f t="shared" si="534"/>
        <v/>
      </c>
      <c r="MD60" s="300"/>
      <c r="ME60" s="461" t="str">
        <f t="shared" si="535"/>
        <v/>
      </c>
      <c r="MF60" s="490" t="str">
        <f>IF(A60=FALSE,"",IF(MA60="POEA",Cotations!BY60,IF(MA60="FIXE",Cotations!BZ60,IF(Cotations!CA60*Y60&lt;50000,Z60,Cotations!CA60*Y60))))</f>
        <v/>
      </c>
      <c r="MG60" s="300" t="str">
        <f t="shared" si="536"/>
        <v/>
      </c>
      <c r="MH60" s="522" t="str">
        <f>IF(A60=FALSE,"",IF(Cotations!BX60="monthly",MG60/12*L60,MG60/365*M60))</f>
        <v/>
      </c>
      <c r="MI60" s="489" t="str">
        <f>IF(A60=FALSE,"",IF(Cotations!CB60="","",Cotations!CB60))</f>
        <v/>
      </c>
      <c r="MJ60" s="300" t="str">
        <f t="shared" si="537"/>
        <v/>
      </c>
      <c r="MK60" s="300" t="str">
        <f t="shared" si="538"/>
        <v/>
      </c>
      <c r="ML60" s="919" t="str">
        <f t="shared" si="539"/>
        <v/>
      </c>
      <c r="MM60" s="517" t="str">
        <f>IF(A60=FALSE,"",Cotations!CC60)</f>
        <v/>
      </c>
      <c r="MN60" s="515" t="str">
        <f>IF(A60=FALSE,"",Cotations!CD60)</f>
        <v/>
      </c>
      <c r="MO60" s="493" t="str">
        <f>IF(A60=FALSE,"",Cotations!CE60)</f>
        <v/>
      </c>
      <c r="MP60" s="517" t="str">
        <f>IF(A60=FALSE,"",IF(MM60="N/A",0,IF(INDEX(LISTES!$F$105:$F$109,MATCH(MM60,LISTES!$C$105:$C$109,0))="FIX",IF(INDEX(LISTES!$E$105:$E$109,MATCH(MM60,LISTES!$C$105:$C$109,0))=12,MN60/12*L60,MN60/365*M60),MO60*ML60)))</f>
        <v/>
      </c>
      <c r="MQ60" s="294" t="str">
        <f t="shared" si="540"/>
        <v/>
      </c>
      <c r="MR60" s="494" t="str">
        <f>IF(A60=FALSE,"",MQ60*Cotations!CF60)</f>
        <v/>
      </c>
      <c r="MS60" s="494" t="str">
        <f>IF(A60=FALSE,"",MQ60*Cotations!CG60)</f>
        <v/>
      </c>
      <c r="MT60" s="338" t="str">
        <f t="shared" si="541"/>
        <v/>
      </c>
      <c r="MU60" s="919" t="str">
        <f>IF(A60=FALSE,"",((MG60*TAXE)-(MG60*TAXE*MI60))+IF(MM60="N/A",0,IF(INDEX(LISTES!$F$105:$F$109,MATCH(MM60,LISTES!$C$105:$C$109,0))="FIX",MN60,MO60*ML60)))</f>
        <v/>
      </c>
      <c r="NA60" s="497" t="str">
        <f>IF(A60=FALSE,"",Cotations!D60)</f>
        <v/>
      </c>
      <c r="NB60" s="498" t="str">
        <f>IF(A60=FALSE,"",IF(LISTES!$A$17=1,Cotations!CH60,Cotations!$CI$4))</f>
        <v/>
      </c>
      <c r="NC60" s="499" t="str">
        <f t="shared" si="542"/>
        <v/>
      </c>
      <c r="ND60" s="499" t="str">
        <f t="shared" si="543"/>
        <v/>
      </c>
      <c r="NE60" s="500" t="str">
        <f t="shared" si="544"/>
        <v/>
      </c>
      <c r="NF60" s="501" t="str">
        <f>IF(A60=FALSE,"",IF(NA60="POEA",Cotations!CK60,IF(NA60="FIXE",Cotations!$CK$4,Cotations!$CM$4*Y60)))</f>
        <v/>
      </c>
      <c r="NG60" s="502" t="str">
        <f t="shared" si="545"/>
        <v/>
      </c>
      <c r="NH60" s="520" t="str">
        <f>IF(A60=FALSE,"",IF(Cotations!$CJ$4="monthly",NG60/12*L60,NG60/365*M60))</f>
        <v/>
      </c>
      <c r="NI60" s="503" t="str">
        <f>IF(A60=FALSE,"",Cotations!$CN$4)</f>
        <v/>
      </c>
      <c r="NJ60" s="502" t="str">
        <f t="shared" si="546"/>
        <v/>
      </c>
      <c r="NK60" s="502" t="str">
        <f t="shared" si="547"/>
        <v/>
      </c>
      <c r="NL60" s="504" t="str">
        <f t="shared" si="548"/>
        <v/>
      </c>
      <c r="NM60" s="505" t="str">
        <f>IF(A60=FALSE,"",Cotations!$CO$4)</f>
        <v/>
      </c>
      <c r="NN60" s="520" t="str">
        <f>IF(A60=FALSE,"",Cotations!$CP$4)</f>
        <v/>
      </c>
      <c r="NO60" s="503" t="str">
        <f>IF(A60=FALSE,"",Cotations!$CQ$4)</f>
        <v/>
      </c>
      <c r="NP60" s="505" t="str">
        <f>IF(A60=FALSE,"",IF(NM60="N/A",0,IF(INDEX(LISTES!$F$105:$F$109,MATCH(NM60,LISTES!$C$105:$C$109,0))="FIX",IF(INDEX(LISTES!$E$105:$E$109,MATCH(NM60,LISTES!$C$105:$C$109,0))=12,NN60/12*L60,NN60/365*M60),NO60*NL60)))</f>
        <v/>
      </c>
      <c r="NQ60" s="504" t="str">
        <f t="shared" si="549"/>
        <v/>
      </c>
      <c r="NR60" s="505" t="str">
        <f>IF(A60=FALSE,"",NQ60*Cotations!$CR$4)</f>
        <v/>
      </c>
      <c r="NS60" s="505" t="str">
        <f>IF(A60=FALSE,"",NQ60*Cotations!$CS$4)</f>
        <v/>
      </c>
      <c r="NT60" s="506" t="str">
        <f t="shared" si="550"/>
        <v/>
      </c>
      <c r="NU60" s="919" t="str">
        <f>IF(A60=FALSE,"",((NG60*TAXE)-(NG60*TAXE*NI60))+IF(NM60="N/A",0,IF(INDEX(LISTES!$F$105:$F$109,MATCH(NM60,LISTES!$C$105:$C$109,0))="FIX",NN60,NO60*NL60)))</f>
        <v/>
      </c>
      <c r="OA60" s="492" t="str">
        <f>IF(A60=FALSE,"",Cotations!D60)</f>
        <v/>
      </c>
      <c r="OB60" s="491" t="str">
        <f>IF(A60=FALSE,"",IF(LISTES!$A$17=1,Cotations!CH60,Cotations!CI60))</f>
        <v/>
      </c>
      <c r="OC60" s="285" t="str">
        <f t="shared" si="551"/>
        <v/>
      </c>
      <c r="OD60" s="300"/>
      <c r="OE60" s="461" t="str">
        <f t="shared" si="552"/>
        <v/>
      </c>
      <c r="OF60" s="490" t="str">
        <f>IF(A60=FALSE,"",IF(OA60="POEA",Cotations!CK60,IF(OA60="FIXE",Cotations!CL60,IF(Cotations!CM60*Y60&lt;50000,Z60,Cotations!CM60*Y60))))</f>
        <v/>
      </c>
      <c r="OG60" s="300" t="str">
        <f t="shared" si="553"/>
        <v/>
      </c>
      <c r="OH60" s="522" t="str">
        <f>IF(A60=FALSE,"",IF(Cotations!CJ60="monthly",OG60/12*L60,OG60/365*M60))</f>
        <v/>
      </c>
      <c r="OI60" s="489" t="str">
        <f>IF(A60=FALSE,"",IF(Cotations!CN60="","",Cotations!CN60))</f>
        <v/>
      </c>
      <c r="OJ60" s="300" t="str">
        <f t="shared" si="554"/>
        <v/>
      </c>
      <c r="OK60" s="300" t="str">
        <f t="shared" si="555"/>
        <v/>
      </c>
      <c r="OL60" s="919" t="str">
        <f t="shared" si="556"/>
        <v/>
      </c>
      <c r="OM60" s="517" t="str">
        <f>IF(A60=FALSE,"",Cotations!CO60)</f>
        <v/>
      </c>
      <c r="ON60" s="515" t="str">
        <f>IF(A60=FALSE,"",Cotations!CP60)</f>
        <v/>
      </c>
      <c r="OO60" s="493" t="str">
        <f>IF(A60=FALSE,"",Cotations!CQ60)</f>
        <v/>
      </c>
      <c r="OP60" s="517" t="str">
        <f>IF(A60=FALSE,"",IF(OM60="N/A",0,IF(INDEX(LISTES!$F$105:$F$109,MATCH(OM60,LISTES!$C$105:$C$109,0))="FIX",IF(INDEX(LISTES!$E$105:$E$109,MATCH(OM60,LISTES!$C$105:$C$109,0))=12,ON60/12*L60,ON60/365*M60),OO60*OL60)))</f>
        <v/>
      </c>
      <c r="OQ60" s="294" t="str">
        <f t="shared" si="557"/>
        <v/>
      </c>
      <c r="OR60" s="494" t="str">
        <f>IF(A60=FALSE,"",OQ60*Cotations!CR60)</f>
        <v/>
      </c>
      <c r="OS60" s="494" t="str">
        <f>IF(A60=FALSE,"",OQ60*Cotations!CS60)</f>
        <v/>
      </c>
      <c r="OT60" s="338" t="str">
        <f t="shared" si="558"/>
        <v/>
      </c>
      <c r="OU60" s="919" t="str">
        <f>IF(A60=FALSE,"",((OG60*TAXE)-(OG60*TAXE*OI60))+IF(OM60="N/A",0,IF(INDEX(LISTES!$F$105:$F$109,MATCH(OM60,LISTES!$C$105:$C$109,0))="FIX",ON60,OO60*OL60)))</f>
        <v/>
      </c>
      <c r="PA60" s="497" t="str">
        <f t="shared" si="559"/>
        <v/>
      </c>
      <c r="PB60" s="498" t="str">
        <f>IF(A60=FALSE,"",IF(LISTES!$A$17=1,Cotations!CT60,Cotations!$CU$4))</f>
        <v/>
      </c>
      <c r="PC60" s="499" t="str">
        <f t="shared" si="560"/>
        <v/>
      </c>
      <c r="PD60" s="499" t="str">
        <f t="shared" si="561"/>
        <v/>
      </c>
      <c r="PE60" s="500" t="str">
        <f t="shared" si="562"/>
        <v/>
      </c>
      <c r="PF60" s="501" t="str">
        <f>IF(A60=FALSE,"",Cotations!$CY$4*Y60)</f>
        <v/>
      </c>
      <c r="PG60" s="502" t="str">
        <f t="shared" si="563"/>
        <v/>
      </c>
      <c r="PH60" s="520" t="str">
        <f>IF(A60=FALSE,"",IF(Cotations!$CV$4="monthly",PG60/12*L60,PG60/365*M60))</f>
        <v/>
      </c>
      <c r="PI60" s="503" t="str">
        <f>IF(A60=FALSE,"",Cotations!$CZ$4)</f>
        <v/>
      </c>
      <c r="PJ60" s="502" t="str">
        <f t="shared" si="564"/>
        <v/>
      </c>
      <c r="PK60" s="502" t="str">
        <f t="shared" si="565"/>
        <v/>
      </c>
      <c r="PL60" s="504" t="str">
        <f t="shared" si="566"/>
        <v/>
      </c>
      <c r="PM60" s="505" t="str">
        <f>IF(A60=FALSE,"",Cotations!$DA$4)</f>
        <v/>
      </c>
      <c r="PN60" s="520" t="str">
        <f>IF(A60=FALSE,"",Cotations!$DB$4)</f>
        <v/>
      </c>
      <c r="PO60" s="503" t="str">
        <f>IF(A60=FALSE,"",Cotations!$DC$4)</f>
        <v/>
      </c>
      <c r="PP60" s="505" t="str">
        <f>IF(A60=FALSE,"",IF(PM60="N/A",0,IF(INDEX(LISTES!$F$105:$F$109,MATCH(PM60,LISTES!$C$105:$C$109,0))="FIX",IF(INDEX(LISTES!$E$105:$E$109,MATCH(PM60,LISTES!$C$105:$C$109,0))=12,PN60/12*L60,PN60/365*M60),PO60*PL60)))</f>
        <v/>
      </c>
      <c r="PQ60" s="504" t="str">
        <f t="shared" si="567"/>
        <v/>
      </c>
      <c r="PR60" s="505" t="str">
        <f>IF(A60=FALSE,"",PQ60*Cotations!$DD$4)</f>
        <v/>
      </c>
      <c r="PS60" s="505" t="str">
        <f>IF(A60=FALSE,"",PQ60*Cotations!$DE$4)</f>
        <v/>
      </c>
      <c r="PT60" s="506" t="str">
        <f t="shared" si="568"/>
        <v/>
      </c>
      <c r="PU60" s="919" t="str">
        <f>IF(A60=FALSE,"",((PG60*TAXE)-(PG60*TAXE*PI60))+IF(PM60="N/A",0,IF(INDEX(LISTES!$F$105:$F$109,MATCH(PM60,LISTES!$C$105:$C$109,0))="FIX",PN60,PO60*PL60)))</f>
        <v/>
      </c>
      <c r="QA60" s="492" t="str">
        <f t="shared" si="569"/>
        <v/>
      </c>
      <c r="QB60" s="491" t="str">
        <f>IF(A60=FALSE,"",IF(LISTES!$A$17=1,Cotations!CT60,Cotations!CU60))</f>
        <v/>
      </c>
      <c r="QC60" s="285" t="str">
        <f t="shared" si="570"/>
        <v/>
      </c>
      <c r="QD60" s="300"/>
      <c r="QE60" s="461" t="str">
        <f t="shared" si="571"/>
        <v/>
      </c>
      <c r="QF60" s="490" t="str">
        <f>IF(A60=FALSE,"",Cotations!CY60*AA60)</f>
        <v/>
      </c>
      <c r="QG60" s="300" t="str">
        <f t="shared" si="572"/>
        <v/>
      </c>
      <c r="QH60" s="522" t="str">
        <f>IF(A60=FALSE,"",IF(Cotations!CV60="monthly",QG60/12*L60,QG60/365*M60))</f>
        <v/>
      </c>
      <c r="QI60" s="489" t="str">
        <f>IF(A60=FALSE,"",IF(Cotations!CZ60="","",Cotations!CZ60))</f>
        <v/>
      </c>
      <c r="QJ60" s="300" t="str">
        <f t="shared" si="573"/>
        <v/>
      </c>
      <c r="QK60" s="300" t="str">
        <f t="shared" si="574"/>
        <v/>
      </c>
      <c r="QL60" s="919" t="str">
        <f t="shared" si="575"/>
        <v/>
      </c>
      <c r="QM60" s="517" t="str">
        <f>IF(A60=FALSE,"",Cotations!DA60)</f>
        <v/>
      </c>
      <c r="QN60" s="515" t="str">
        <f>IF(A60=FALSE,"",Cotations!DB60)</f>
        <v/>
      </c>
      <c r="QO60" s="493" t="str">
        <f>IF(A60=FALSE,"",Cotations!DC60)</f>
        <v/>
      </c>
      <c r="QP60" s="517" t="str">
        <f>IF(A60=FALSE,"",IF(QM60="N/A",0,IF(INDEX(LISTES!$F$105:$F$109,MATCH(QM60,LISTES!$C$105:$C$109,0))="FIX",IF(INDEX(LISTES!$E$105:$E$109,MATCH(QM60,LISTES!$C$105:$C$109,0))=12,QN60/12*L60,QN60/365*M60),QO60*QL60)))</f>
        <v/>
      </c>
      <c r="QQ60" s="294" t="str">
        <f t="shared" si="576"/>
        <v/>
      </c>
      <c r="QR60" s="494" t="str">
        <f>IF(A60=FALSE,"",QQ60*Cotations!DD60)</f>
        <v/>
      </c>
      <c r="QS60" s="494" t="str">
        <f>IF(A60=FALSE,"",QQ60*Cotations!DE60)</f>
        <v/>
      </c>
      <c r="QT60" s="338" t="str">
        <f t="shared" si="577"/>
        <v/>
      </c>
      <c r="QU60" s="919" t="str">
        <f>IF(A60=FALSE,"",((QG60*TAXE)-(QG60*TAXE*QI60))+IF(QM60="N/A",0,IF(INDEX(LISTES!$F$105:$F$109,MATCH(QM60,LISTES!$C$105:$C$109,0))="FIX",QN60,QO60*QL60)))</f>
        <v/>
      </c>
      <c r="RA60" s="497" t="str">
        <f t="shared" si="578"/>
        <v/>
      </c>
      <c r="RB60" s="498" t="str">
        <f>IF(A60=FALSE,"",IF(LISTES!$A$17=1,Cotations!DF60,Cotations!$DG$4))</f>
        <v/>
      </c>
      <c r="RC60" s="499" t="str">
        <f t="shared" si="579"/>
        <v/>
      </c>
      <c r="RD60" s="499" t="str">
        <f t="shared" si="580"/>
        <v/>
      </c>
      <c r="RE60" s="500" t="str">
        <f t="shared" si="581"/>
        <v/>
      </c>
      <c r="RF60" s="501" t="str">
        <f>IF(A60=FALSE,"",Cotations!$DK$4*Y60)</f>
        <v/>
      </c>
      <c r="RG60" s="502" t="str">
        <f t="shared" si="582"/>
        <v/>
      </c>
      <c r="RH60" s="520" t="str">
        <f>IF(A60=FALSE,"",IF(Cotations!$DH$4="monthly",RG60/12*L60,RG60/365*M60))</f>
        <v/>
      </c>
      <c r="RI60" s="503" t="str">
        <f>IF(A60=FALSE,"",Cotations!$DL$4)</f>
        <v/>
      </c>
      <c r="RJ60" s="502" t="str">
        <f t="shared" si="583"/>
        <v/>
      </c>
      <c r="RK60" s="502" t="str">
        <f t="shared" si="584"/>
        <v/>
      </c>
      <c r="RL60" s="504" t="str">
        <f t="shared" si="585"/>
        <v/>
      </c>
      <c r="RM60" s="505" t="str">
        <f>IF(A60=FALSE,"",Cotations!$DM$4)</f>
        <v/>
      </c>
      <c r="RN60" s="520" t="str">
        <f>IF(A60=FALSE,"",Cotations!$DN$4)</f>
        <v/>
      </c>
      <c r="RO60" s="503" t="str">
        <f>IF(A60=FALSE,"",Cotations!$DO$4)</f>
        <v/>
      </c>
      <c r="RP60" s="505" t="str">
        <f>IF(A60=FALSE,"",IF(RM60="N/A",0,IF(INDEX(LISTES!$F$105:$F$109,MATCH(RM60,LISTES!$C$105:$C$109,0))="FIX",IF(INDEX(LISTES!$E$105:$E$109,MATCH(RM60,LISTES!$C$105:$C$109,0))=12,RN60/12*L60,RN60/365*M60),RO60*RL60)))</f>
        <v/>
      </c>
      <c r="RQ60" s="504" t="str">
        <f t="shared" si="586"/>
        <v/>
      </c>
      <c r="RR60" s="505" t="str">
        <f>IF(A60=FALSE,"",RQ60*Cotations!$DP$4)</f>
        <v/>
      </c>
      <c r="RS60" s="505" t="str">
        <f>IF(A60=FALSE,"",RQ60*Cotations!$DQ$4)</f>
        <v/>
      </c>
      <c r="RT60" s="506" t="str">
        <f t="shared" si="587"/>
        <v/>
      </c>
      <c r="RU60" s="919" t="str">
        <f>IF(A60=FALSE,"",((RG60*TAXE)-(RG60*TAXE*RI60))+IF(RM60="N/A",0,IF(INDEX(LISTES!$F$105:$F$109,MATCH(RM60,LISTES!$C$105:$C$109,0))="FIX",RN60,RO60*RL60)))</f>
        <v/>
      </c>
      <c r="SA60" s="492" t="str">
        <f t="shared" si="588"/>
        <v/>
      </c>
      <c r="SB60" s="491" t="str">
        <f>IF(A60=FALSE,"",IF(LISTES!$A$17=1,Cotations!DF60,Cotations!DG60))</f>
        <v/>
      </c>
      <c r="SC60" s="285" t="str">
        <f t="shared" si="589"/>
        <v/>
      </c>
      <c r="SD60" s="300"/>
      <c r="SE60" s="461" t="str">
        <f t="shared" si="590"/>
        <v/>
      </c>
      <c r="SF60" s="490" t="str">
        <f>IF(A60=FALSE,"",Cotations!DK60*AA60)</f>
        <v/>
      </c>
      <c r="SG60" s="300" t="str">
        <f t="shared" si="591"/>
        <v/>
      </c>
      <c r="SH60" s="522" t="str">
        <f>IF(A60=FALSE,"",IF(Cotations!DH60="monthly",SG60/12*L60,SG60/365*M60))</f>
        <v/>
      </c>
      <c r="SI60" s="489" t="str">
        <f>IF(A60=FALSE,"",IF(Cotations!DL60="","",Cotations!DL60))</f>
        <v/>
      </c>
      <c r="SJ60" s="300" t="str">
        <f t="shared" si="592"/>
        <v/>
      </c>
      <c r="SK60" s="300" t="str">
        <f t="shared" si="593"/>
        <v/>
      </c>
      <c r="SL60" s="919" t="str">
        <f t="shared" si="594"/>
        <v/>
      </c>
      <c r="SM60" s="285" t="str">
        <f>IF(A60=FALSE,"",Cotations!DM60)</f>
        <v/>
      </c>
      <c r="SN60" s="515" t="str">
        <f>IF(A60=FALSE,"",Cotations!DN60)</f>
        <v/>
      </c>
      <c r="SO60" s="493" t="str">
        <f>IF(A60=FALSE,"",Cotations!DO60)</f>
        <v/>
      </c>
      <c r="SP60" s="517" t="str">
        <f>IF(A60=FALSE,"",IF(SM60="N/A",0,IF(INDEX(LISTES!$F$105:$F$109,MATCH(SM60,LISTES!$C$105:$C$109,0))="FIX",IF(INDEX(LISTES!$E$105:$E$109,MATCH(SM60,LISTES!$C$105:$C$109,0))=12,SN60/12*L60,SN60/365*M60),SO60*SL60)))</f>
        <v/>
      </c>
      <c r="SQ60" s="294" t="str">
        <f t="shared" si="595"/>
        <v/>
      </c>
      <c r="SR60" s="494" t="str">
        <f>IF(A60=FALSE,"",SQ60*Cotations!DP60)</f>
        <v/>
      </c>
      <c r="SS60" s="494" t="str">
        <f>IF(A60=FALSE,"",SQ60*Cotations!DQ60)</f>
        <v/>
      </c>
      <c r="ST60" s="338" t="str">
        <f t="shared" si="596"/>
        <v/>
      </c>
      <c r="SU60" s="919" t="str">
        <f>IF(A60=FALSE,"",((SG60*TAXE)-(SG60*TAXE*SI60))+IF(SM60="N/A",0,IF(INDEX(LISTES!$F$105:$F$109,MATCH(SM60,LISTES!$C$105:$C$109,0))="FIX",SN60,SO60*SL60)))</f>
        <v/>
      </c>
      <c r="TA60" s="492" t="str">
        <f>IF(A60=FALSE,"",Cotations!D60)</f>
        <v/>
      </c>
      <c r="TB60" s="491" t="str">
        <f>IF(A60=FALSE,"",IF(LISTES!$A$17=1,Cotations!DR60,Cotations!DS60))</f>
        <v/>
      </c>
      <c r="TC60" s="285" t="str">
        <f t="shared" si="597"/>
        <v/>
      </c>
      <c r="TD60" s="300" t="str">
        <f>IF(A60=FALSE,"",Detail!CQ60)</f>
        <v/>
      </c>
      <c r="TE60" s="461" t="str">
        <f t="shared" si="598"/>
        <v/>
      </c>
      <c r="TF60" s="490" t="str">
        <f>IF(A60=FALSE,"",IF(TA60="FIXE",Cotations!DU60,Cotations!DV60*Y60))</f>
        <v/>
      </c>
      <c r="TG60" s="300" t="str">
        <f t="shared" si="599"/>
        <v/>
      </c>
      <c r="TH60" s="522" t="str">
        <f>IF(A60=FALSE,"",IF(Cotations!DT60="monthly",TG60/12*L60,TG60/365*M60))</f>
        <v/>
      </c>
      <c r="TI60" s="489" t="str">
        <f>IF(A60=FALSE,"",IF(Cotations!DW60="","",Cotations!DW60))</f>
        <v/>
      </c>
      <c r="TJ60" s="300" t="str">
        <f t="shared" si="600"/>
        <v/>
      </c>
      <c r="TK60" s="300" t="str">
        <f t="shared" si="601"/>
        <v/>
      </c>
      <c r="TL60" s="919" t="str">
        <f t="shared" si="602"/>
        <v/>
      </c>
      <c r="TM60" s="517" t="str">
        <f>IF(A60=FALSE,"",Cotations!DX60)</f>
        <v/>
      </c>
      <c r="TN60" s="517" t="str">
        <f>IF(A60=FALSE,"",Cotations!DY60)</f>
        <v/>
      </c>
      <c r="TO60" s="493" t="str">
        <f>IF(A60=FALSE,"",Cotations!DZ60)</f>
        <v/>
      </c>
      <c r="TP60" s="517" t="str">
        <f>IF(A60=FALSE,"",IF(TM60="N/A",0,IF(INDEX(LISTES!$F$105:$F$109,MATCH(TM60,LISTES!$C$105:$C$109,0))="FIX",IF(INDEX(LISTES!$E$105:$E$109,MATCH(TM60,LISTES!$C$105:$C$109,0))=12,TN60/12*L60,TN60/365*M60),TO60*TL60)))</f>
        <v/>
      </c>
      <c r="TQ60" s="294" t="str">
        <f t="shared" si="603"/>
        <v/>
      </c>
      <c r="TR60" s="494" t="str">
        <f>IF(A60=FALSE,"",TQ60*Cotations!EA60)</f>
        <v/>
      </c>
      <c r="TS60" s="494" t="str">
        <f>IF(A60=FALSE,"",TQ60*Cotations!EB60)</f>
        <v/>
      </c>
      <c r="TT60" s="338" t="str">
        <f t="shared" si="604"/>
        <v/>
      </c>
      <c r="TU60" s="919" t="str">
        <f>IF(A60=FALSE,"",((TG60*(1+TAXE)-(TG60*(1+TAXE)*TI60))+IF(TM60="N/A",0,IF(INDEX(LISTES!$F$105:$F$109,MATCH(TM60,LISTES!$C$105:$C$109,0))="FIX",TN60,TO60*TL60))))</f>
        <v/>
      </c>
      <c r="UA60" s="492" t="str">
        <f>IF(A60=FALSE,"",Cotations!D60)</f>
        <v/>
      </c>
      <c r="UB60" s="491" t="str">
        <f>IF(A60=FALSE,"",IF(LISTES!$A$17=1,Cotations!EC60,Cotations!ED60))</f>
        <v/>
      </c>
      <c r="UC60" s="285" t="str">
        <f t="shared" si="605"/>
        <v/>
      </c>
      <c r="UD60" s="300" t="str">
        <f>IF(A60=FALSE,"",Detail!CY60)</f>
        <v/>
      </c>
      <c r="UE60" s="461" t="str">
        <f t="shared" si="606"/>
        <v/>
      </c>
      <c r="UF60" s="490" t="str">
        <f>IF(A60=FALSE,"",IF(UA60="FIXE",Cotations!EF60,Cotations!EG60*Y60))</f>
        <v/>
      </c>
      <c r="UG60" s="300" t="str">
        <f t="shared" si="607"/>
        <v/>
      </c>
      <c r="UH60" s="522" t="str">
        <f>IF(A60=FALSE,"",IF(Cotations!EE60="monthly",UG60/12*L60,UG60/365*M60))</f>
        <v/>
      </c>
      <c r="UI60" s="489" t="str">
        <f>IF(A60=FALSE,"",IF(Cotations!EH60="","",Cotations!EH60))</f>
        <v/>
      </c>
      <c r="UJ60" s="300" t="str">
        <f t="shared" si="608"/>
        <v/>
      </c>
      <c r="UK60" s="300" t="str">
        <f t="shared" si="609"/>
        <v/>
      </c>
      <c r="UL60" s="919" t="str">
        <f t="shared" si="610"/>
        <v/>
      </c>
      <c r="UM60" s="517" t="str">
        <f>IF(A60=FALSE,"",Cotations!EI60)</f>
        <v/>
      </c>
      <c r="UN60" s="517" t="str">
        <f>IF(A60=FALSE,"",Cotations!EJ60)</f>
        <v/>
      </c>
      <c r="UO60" s="493" t="str">
        <f>IF(A60=FALSE,"",Cotations!EK60)</f>
        <v/>
      </c>
      <c r="UP60" s="517" t="str">
        <f>IF(A60=FALSE,"",IF(UM60="N/A",0,IF(INDEX(LISTES!$F$105:$F$109,MATCH(UM60,LISTES!$C$105:$C$109,0))="FIX",IF(INDEX(LISTES!$E$105:$E$109,MATCH(UM60,LISTES!$C$105:$C$109,0))=12,UN60/12*L60,UN60/365*M60),UO60*UL60)))</f>
        <v/>
      </c>
      <c r="UQ60" s="294" t="str">
        <f t="shared" si="611"/>
        <v/>
      </c>
      <c r="UR60" s="494" t="str">
        <f>IF(A60=FALSE,"",UQ60*Cotations!EL60)</f>
        <v/>
      </c>
      <c r="US60" s="494" t="str">
        <f>IF(A60=FALSE,"",UQ60*Cotations!EM60)</f>
        <v/>
      </c>
      <c r="UT60" s="338" t="str">
        <f t="shared" si="612"/>
        <v/>
      </c>
      <c r="UU60" s="919" t="str">
        <f>IF(A60=FALSE,"",((UG60*(1+TAXE)-(UG60*(1+TAXE)*UI60))+IF(UM60="N/A",0,IF(INDEX(LISTES!$F$105:$F$109,MATCH(UM60,LISTES!$C$105:$C$109,0))="FIX",UN60,UO60*UL60))))</f>
        <v/>
      </c>
      <c r="VA60" s="492" t="str">
        <f>IF(A60=FALSE,"",Cotations!D60)</f>
        <v/>
      </c>
      <c r="VB60" s="519" t="str">
        <f>IF(A60=FALSE,"",IF(LISTES!$A$17=1,Cotations!EN60,Cotations!EO60))</f>
        <v/>
      </c>
      <c r="VC60" s="291" t="str">
        <f t="shared" si="613"/>
        <v/>
      </c>
      <c r="VD60" s="291" t="str">
        <f t="shared" si="614"/>
        <v/>
      </c>
      <c r="VE60" s="291"/>
      <c r="VF60" s="463"/>
      <c r="VG60" s="463" t="str">
        <f t="shared" si="615"/>
        <v/>
      </c>
      <c r="VH60" s="522" t="str">
        <f>IF(A60=FALSE,"",IF(Cotations!$AQ$4="monthly",VG60/12*L60,VG60/365*M60))</f>
        <v/>
      </c>
      <c r="VI60" s="489" t="str">
        <f>IF(A60=FALSE,"",Cotations!$AR$4)</f>
        <v/>
      </c>
      <c r="VJ60" s="300" t="str">
        <f t="shared" si="616"/>
        <v/>
      </c>
      <c r="VK60" s="300" t="str">
        <f t="shared" si="617"/>
        <v/>
      </c>
      <c r="VL60" s="294" t="str">
        <f t="shared" si="618"/>
        <v/>
      </c>
      <c r="VM60" s="494" t="str">
        <f>IF(A60=FALSE,"",Cotations!$AS$4)</f>
        <v/>
      </c>
      <c r="VN60" s="494" t="str">
        <f>IF(A60=FALSE,"",Cotations!$AT$4)</f>
        <v/>
      </c>
      <c r="VO60" s="489" t="str">
        <f>IF(A60=FALSE,"",Cotations!$AU$4)</f>
        <v/>
      </c>
      <c r="VP60" s="494" t="str">
        <f>IF(A60=FALSE,"",IF(VM60="N/A",0,IF(INDEX(LISTES!$F$105:$F$109,MATCH(VM60,LISTES!$C$105:$C$109,0))="FIX",IF(INDEX(LISTES!$E$105:$E$109,MATCH(VM60,LISTES!$C$105:$C$109,0))=12,VN60/12*L60,VN60/365*M60),VO60*VL60)))</f>
        <v/>
      </c>
      <c r="VQ60" s="294" t="str">
        <f t="shared" si="619"/>
        <v/>
      </c>
      <c r="VR60" s="494" t="str">
        <f>IF(A60=FALSE,"",VQ60*Cotations!$AV$4)</f>
        <v/>
      </c>
      <c r="VS60" s="494" t="str">
        <f>IF(A60=FALSE,"",VQ60*Cotations!$AW$4)</f>
        <v/>
      </c>
      <c r="VT60" s="465" t="str">
        <f t="shared" si="620"/>
        <v/>
      </c>
      <c r="VU60" s="919" t="str">
        <f>IF(A60=FALSE,"",((VG60*TAXE)-(VG60*TAXE*VI60))+IF(VM60="N/A",0,IF(INDEX(LISTES!$F$105:$F$109,MATCH(VM60,LISTES!$C$105:$C$109,0))="FIX",VN60,VO60*VL60)))</f>
        <v/>
      </c>
      <c r="WA60" s="492" t="str">
        <f>IF(A60=FALSE,"",Cotations!D60)</f>
        <v/>
      </c>
      <c r="WB60" s="519" t="str">
        <f>IF(A60=FALSE,"",IF(LISTES!$A$17=1,Cotations!EW60,Cotations!EX60))</f>
        <v/>
      </c>
      <c r="WC60" s="291" t="str">
        <f t="shared" si="621"/>
        <v/>
      </c>
      <c r="WD60" s="291" t="str">
        <f t="shared" si="622"/>
        <v/>
      </c>
      <c r="WE60" s="291"/>
      <c r="WF60" s="463"/>
      <c r="WG60" s="463" t="str">
        <f t="shared" si="623"/>
        <v/>
      </c>
      <c r="WH60" s="522" t="str">
        <f>IF(A60=FALSE,"",IF(Cotations!$AQ$4="monthly",WG60/12*L60,WG60/365*M60))</f>
        <v/>
      </c>
      <c r="WI60" s="489" t="str">
        <f>IF(A60=FALSE,"",Cotations!$AR$4)</f>
        <v/>
      </c>
      <c r="WJ60" s="300" t="str">
        <f t="shared" si="624"/>
        <v/>
      </c>
      <c r="WK60" s="300" t="str">
        <f t="shared" si="625"/>
        <v/>
      </c>
      <c r="WL60" s="294" t="str">
        <f t="shared" si="626"/>
        <v/>
      </c>
      <c r="WM60" s="494" t="str">
        <f>IF(A60=FALSE,"",Cotations!$AS$4)</f>
        <v/>
      </c>
      <c r="WN60" s="494" t="str">
        <f>IF(A60=FALSE,"",Cotations!$AT$4)</f>
        <v/>
      </c>
      <c r="WO60" s="489" t="str">
        <f>IF(A60=FALSE,"",Cotations!$AU$4)</f>
        <v/>
      </c>
      <c r="WP60" s="494" t="str">
        <f>IF(A60=FALSE,"",IF(WM60="N/A",0,IF(INDEX(LISTES!$F$105:$F$109,MATCH(WM60,LISTES!$C$105:$C$109,0))="FIX",IF(INDEX(LISTES!$E$105:$E$109,MATCH(WM60,LISTES!$C$105:$C$109,0))=12,WN60/12*L60,WN60/365*M60),WO60*WL60)))</f>
        <v/>
      </c>
      <c r="WQ60" s="294" t="str">
        <f t="shared" si="627"/>
        <v/>
      </c>
      <c r="WR60" s="494" t="str">
        <f>IF(A60=FALSE,"",WQ60*Cotations!$AV$4)</f>
        <v/>
      </c>
      <c r="WS60" s="494" t="str">
        <f>IF(A60=FALSE,"",WQ60*Cotations!$AW$4)</f>
        <v/>
      </c>
      <c r="WT60" s="465" t="str">
        <f t="shared" si="628"/>
        <v/>
      </c>
      <c r="WU60" s="919" t="str">
        <f>IF(A60=FALSE,"",((WG60*TAXE)-(WG60*TAXE*WI60))+IF(WM60="N/A",0,IF(INDEX(LISTES!$F$105:$F$109,MATCH(WM60,LISTES!$C$105:$C$109,0))="FIX",WN60,WO60*WL60)))</f>
        <v/>
      </c>
    </row>
    <row r="61" spans="1:619">
      <c r="A61" s="942" t="b">
        <f t="shared" si="433"/>
        <v>0</v>
      </c>
      <c r="B61" s="942" t="b">
        <f>IF(NAMES!$B$9=TRUE,TRUE,FALSE)</f>
        <v>1</v>
      </c>
      <c r="C61" s="942" t="b">
        <f t="shared" si="413"/>
        <v>0</v>
      </c>
      <c r="D61" s="942" t="b">
        <f t="shared" si="414"/>
        <v>0</v>
      </c>
      <c r="E61" s="274" t="b">
        <f>IF(Cotations!C61="","",Cotations!C61)</f>
        <v>0</v>
      </c>
      <c r="F61" s="274" t="str">
        <f>IF(Cotations!D61="","",Cotations!D61)</f>
        <v>PROP</v>
      </c>
      <c r="G61" s="274" t="str">
        <f>IF(Cotations!E61="","",Cotations!E61)</f>
        <v>2016-2017!</v>
      </c>
      <c r="H61" s="274" t="str">
        <f>IF(Cotations!F61="","",Cotations!F61)</f>
        <v>SINGLE</v>
      </c>
      <c r="I61" s="274" t="str">
        <f>IF(Cotations!G61="","",Cotations!G61)</f>
        <v/>
      </c>
      <c r="J61" s="274" t="str">
        <f>IF(Cotations!H61="","",Cotations!H61)</f>
        <v/>
      </c>
      <c r="K61" s="274" t="str">
        <f>IF(Cotations!I61="","",Cotations!I61)</f>
        <v/>
      </c>
      <c r="L61" s="274" t="str">
        <f>IF(A61=FALSE,"",IF(Cotations!N61="","",Cotations!N61))</f>
        <v/>
      </c>
      <c r="M61" s="274" t="str">
        <f>IF(Cotations!P61="","",Cotations!P61)</f>
        <v/>
      </c>
      <c r="N61" s="724" t="str">
        <f>IF(NAMES!$B$10=TRUE,Cotations!J61,Cotations!L61)</f>
        <v/>
      </c>
      <c r="O61" s="724" t="str">
        <f>IF(NAMES!$B$10=TRUE,Cotations!K61,Cotations!M61)</f>
        <v/>
      </c>
      <c r="P61" s="943" t="str">
        <f t="shared" si="415"/>
        <v/>
      </c>
      <c r="Q61" s="724" t="str">
        <f>IF(A61=FALSE,"",IF(Crewlist!Y61="","",Crewlist!Y61))</f>
        <v/>
      </c>
      <c r="R61" s="78" t="str">
        <f>IF(Cotations!U61="","",Cotations!U61)</f>
        <v/>
      </c>
      <c r="S61" s="943" t="str">
        <f t="shared" si="416"/>
        <v/>
      </c>
      <c r="T61" s="919" t="str">
        <f>IF(A61=FALSE,"",VLOOKUP($U$15:$U$120,Currency!$A$2:$D$10,4,0)*Crewlist!N61)</f>
        <v/>
      </c>
      <c r="U61" s="1355" t="str">
        <f>IF(A61=FALSE,"",IF(IT61=0,Crewlist!M61&amp;"/"&amp;EX61,Crewlist!M61&amp;"/"&amp;IT61))</f>
        <v/>
      </c>
      <c r="V61" s="919" t="str">
        <f>IF(A61=FALSE,"",VLOOKUP($U$15:$U$120,Currency!$A$2:$D$10,4,0)*Detail!Q61)</f>
        <v/>
      </c>
      <c r="W61" s="1355" t="str">
        <f>IF(A61=FALSE,"",IF(IT61=0,Detail!R61&amp;"/"&amp;EX61,Detail!R61&amp;"/"&amp;IT61))</f>
        <v/>
      </c>
      <c r="X61" s="919" t="str">
        <f>IF(A61=FALSE,"",IF(LISTES!$C$17="Crewlist",Calcul!T61,Calcul!V61))</f>
        <v/>
      </c>
      <c r="Y61" s="758" t="str">
        <f t="shared" si="417"/>
        <v/>
      </c>
      <c r="Z61" s="758" t="str">
        <f>IF(A61=FALSE,"",IF(X61=0,0,IF((Cotations!BC61*12*X61)&lt;50000,50000,(12*X61))))</f>
        <v/>
      </c>
      <c r="AA61" s="758" t="str">
        <f t="shared" si="418"/>
        <v/>
      </c>
      <c r="AB61" s="758" t="str">
        <f>IF(A61=FALSE,"",IF(Crewlist!O61=0,"",Crewlist!O61))</f>
        <v/>
      </c>
      <c r="AC61" s="758" t="str">
        <f>IF(I61="","",VLOOKUP($AB$15:$AB$120,Currency!$A$15:$B$34,2,0))</f>
        <v/>
      </c>
      <c r="AD61" s="758" t="str">
        <f t="shared" si="419"/>
        <v/>
      </c>
      <c r="AE61" s="758" t="str">
        <f t="shared" si="420"/>
        <v/>
      </c>
      <c r="AF61" s="758" t="str">
        <f t="shared" si="421"/>
        <v/>
      </c>
      <c r="AG61" s="758" t="str">
        <f t="shared" si="422"/>
        <v/>
      </c>
      <c r="AH61" s="1355" t="str">
        <f t="shared" si="434"/>
        <v/>
      </c>
      <c r="AI61" s="919" t="str">
        <f t="shared" si="423"/>
        <v/>
      </c>
      <c r="AJ61" s="1382" t="str">
        <f t="shared" si="424"/>
        <v/>
      </c>
      <c r="AK61" s="1382" t="str">
        <f t="shared" si="425"/>
        <v/>
      </c>
      <c r="AL61" s="238" t="str">
        <f t="shared" si="435"/>
        <v/>
      </c>
      <c r="AM61" s="238" t="str">
        <f t="shared" si="436"/>
        <v/>
      </c>
      <c r="AN61" s="1374" t="str">
        <f t="shared" si="437"/>
        <v/>
      </c>
      <c r="AO61" s="238" t="str">
        <f t="shared" si="438"/>
        <v/>
      </c>
      <c r="AP61" s="342" t="str">
        <f>IF(A61=FALSE,"",INDEX(Rates!$Z$5:$Z$367,MATCH(EB61,colchoice,0)))</f>
        <v/>
      </c>
      <c r="AQ61" s="238" t="str">
        <f t="shared" si="439"/>
        <v/>
      </c>
      <c r="AR61" s="238" t="str">
        <f t="shared" si="440"/>
        <v/>
      </c>
      <c r="AS61" s="238" t="str">
        <f t="shared" si="441"/>
        <v/>
      </c>
      <c r="AT61" s="238" t="str">
        <f t="shared" si="442"/>
        <v/>
      </c>
      <c r="AU61" s="238" t="str">
        <f t="shared" si="443"/>
        <v/>
      </c>
      <c r="AV61" s="238" t="str">
        <f t="shared" si="429"/>
        <v/>
      </c>
      <c r="AW61" s="238" t="str">
        <f t="shared" si="444"/>
        <v/>
      </c>
      <c r="AX61" s="238" t="str">
        <f t="shared" si="445"/>
        <v/>
      </c>
      <c r="AY61" s="238" t="str">
        <f t="shared" si="446"/>
        <v/>
      </c>
      <c r="AZ61" s="238" t="str">
        <f t="shared" si="447"/>
        <v/>
      </c>
      <c r="BA61" s="238" t="str">
        <f t="shared" si="448"/>
        <v/>
      </c>
      <c r="BB61" s="552" t="str">
        <f t="shared" si="449"/>
        <v/>
      </c>
      <c r="BC61" s="347" t="str">
        <f t="shared" si="450"/>
        <v/>
      </c>
      <c r="BD61" s="239" t="str">
        <f t="shared" si="430"/>
        <v/>
      </c>
      <c r="BE61" s="239" t="str">
        <f>IF(A61=FALSE,"",IF(ALLTHESAME=TRUE,IF(DF61&lt;&gt;$BC$7,0,INDEX(DD61:DZ61,1,MATCH(Structure!$D$12,$DD$14:$DZ$14,0))),IF(EC61&lt;&gt;$BC$7,0,INDEX(EA61:EZ61,1,MATCH(Structure!$D$12,$EA$14:$EZ$14,0)))))</f>
        <v/>
      </c>
      <c r="BF61" s="239" t="str">
        <f>IF(A61=FALSE,"",IF(ALLTHESAME=TRUE,IF(FC61&lt;&gt;$BC$7,0,INDEX(FA61:FZ61,1,MATCH(Structure!$D$12,$FA$14:$FZ$14,0))),IF(GC61&lt;&gt;$BC$7,0,INDEX(GA61:GZ61,1,MATCH(Structure!$D$12,$GA$14:$GZ$14,0)))))</f>
        <v/>
      </c>
      <c r="BG61" s="239" t="str">
        <f>IF(A61=FALSE,"",IF(ALLTHESAME=TRUE,IF(VC61&lt;&gt;$BC$7,0,INDEX(VA61:VZ61,1,MATCH(Structure!$D$12,$VA$14:$VZ$14,0))),IF(VC61&lt;&gt;$BC$7,0,INDEX(VA61:VZ61,1,MATCH(Structure!$D$12,$VA$14:$VZ$14,0)))))</f>
        <v/>
      </c>
      <c r="BH61" s="239" t="str">
        <f>IF(A61=FALSE,"",IF(ALLTHESAME=TRUE,IF(WC61&lt;&gt;$BC$7,0,INDEX(WA61:WY61,1,MATCH(Structure!$D$12,$WA$14:$WZ$14,0))),IF(WC61&lt;&gt;$BC$7,0,INDEX(WA61:WZ61,1,MATCH(Structure!$D$12,$WA$14:$WZ$14,0)))))</f>
        <v/>
      </c>
      <c r="BI61" s="763" t="str">
        <f>IF(A61=FALSE,"",IF(ALLTHESAME=TRUE,IF(HC61&lt;&gt;$BC$7,0,INDEX(HA61:HZ61,1,MATCH(Structure!$D$12,$HA$14:$HZ$14,0)))+TK61,IF(IC61&lt;&gt;$BC$7,0,INDEX(IA61:IZ61,1,MATCH(Structure!$D$12,$IA$14:$IZ$14,0)))+TK61))</f>
        <v/>
      </c>
      <c r="BJ61" s="239" t="str">
        <f>IF(A61=FALSE,"",IF(ALLTHESAME=TRUE,IF(JC61&lt;&gt;$BC$7,0,INDEX(JA61:JZ61,1,MATCH(Structure!$D$12,$JA$14:$JZ$14,0))),IF(KC61&lt;&gt;$BC$7,0,INDEX(KA61:KZ61,1,MATCH(Structure!$D$12,$KA$14:$KZ$14,0)))))</f>
        <v/>
      </c>
      <c r="BK61" s="763" t="str">
        <f>IF(A61=FALSE,"",IF(ALLTHESAME=TRUE,IF(LC61&lt;&gt;$BC$7,0,INDEX(LA61:LZ61,1,MATCH(Structure!$D$12,$LA$14:$LZ$14,0)))+UK61,IF(MC61&lt;&gt;$BC$7,0,INDEX(MA61:MZ61,1,MATCH(Structure!$D$12,$MA$14:$MZ$14,0)))+UK61))</f>
        <v/>
      </c>
      <c r="BL61" s="239" t="str">
        <f>IF(A61=FALSE,"",IF(ALLTHESAME=TRUE,IF(NC61&lt;&gt;$BC$7,0,INDEX(NA61:NZ61,1,MATCH(Structure!$D$12,$NA$14:$NZ$14,0))),IF(OC61&lt;&gt;$BC$7,0,INDEX(OA61:OZ61,1,MATCH(Structure!$D$12,$OA$14:$OZ$14,0)))))</f>
        <v/>
      </c>
      <c r="BM61" s="239" t="str">
        <f>IF(A61=FALSE,"",IF(ALLTHESAME=TRUE,IF(PC61&lt;&gt;$BC$7,0,INDEX(PA61:PZ61,1,MATCH(Structure!$D$12,$PA$14:$PZ$14,0))),IF(QC61&lt;&gt;$BC$7,0,INDEX(QA61:QZ61,1,MATCH(Structure!$D$12,$QA$14:$QZ$14,0)))))</f>
        <v/>
      </c>
      <c r="BN61" s="341" t="str">
        <f>IF(A61=FALSE,"",IF(ALLTHESAME=TRUE,IF(RC61&lt;&gt;$BC$7,0,INDEX(RA61:RZ61,1,MATCH(Structure!$D$12,$RA$14:$RZ$14,0))),IF(SC61&lt;&gt;$BC$7,0,INDEX(SA61:TA61,1,MATCH(Structure!$D$12,$SA$14:$TA$14,0)))))</f>
        <v/>
      </c>
      <c r="BO61" s="507" t="str">
        <f t="shared" si="451"/>
        <v/>
      </c>
      <c r="BP61" s="239" t="str">
        <f t="shared" si="452"/>
        <v/>
      </c>
      <c r="BQ61" s="239" t="str">
        <f>IF(A61=FALSE,"",IF(ALLTHESAME=TRUE,IF(DF61&lt;&gt;$BO$7,0,INDEX(DD61:DZ61,1,MATCH(Structure!$D$12,$DD$14:$DZ$14,0))),IF(EC61&lt;&gt;$BO$7,0,INDEX(EA61:EZ61,1,MATCH(Structure!$D$12,$EA$14:$EZ$14,0)))))</f>
        <v/>
      </c>
      <c r="BR61" s="239" t="str">
        <f>IF(A61=FALSE,"",IF(ALLTHESAME=TRUE,IF(FC61&lt;&gt;$BO$7,0,INDEX(FA61:FZ61,1,MATCH(Structure!$D$12,$FA$14:$FZ$14,0))),IF(GC61&lt;&gt;$BO$7,0,INDEX(GA61:GZ61,1,MATCH(Structure!$D$12,$GA$14:$GZ$14,0)))))</f>
        <v/>
      </c>
      <c r="BS61" s="239" t="str">
        <f>IF(A61=FALSE,"",IF(ALLTHESAME=TRUE,IF(HC61&lt;&gt;$BO$7,0,INDEX(HA61:HZ61,1,MATCH(Structure!$D$12,$HA$14:$HZ$14,0))),IF(IC61&lt;&gt;$BO$7,0,INDEX(IA61:IZ61,1,MATCH(Structure!$D$12,$IA$14:$IZ$14,0)))))</f>
        <v/>
      </c>
      <c r="BT61" s="239" t="str">
        <f>IF(A61=FALSE,"",IF(ALLTHESAME=TRUE,IF(JC61&lt;&gt;$BO$7,0,INDEX(JA61:JZ61,1,MATCH(Structure!$D$12,$JA$14:$JZ$14,0))),IF(KC61&lt;&gt;$BO$7,0,INDEX(KA61:KZ61,1,MATCH(Structure!$D$12,$KA$14:$KZ$14,0)))))</f>
        <v/>
      </c>
      <c r="BU61" s="239" t="str">
        <f>IF(A61=FALSE,"",IF(ALLTHESAME=TRUE,IF(LC61&lt;&gt;$BO$7,0,INDEX(LA61:LZ61,1,MATCH(Structure!$D$12,$LA$14:$LZ$14,0))),IF(MC61&lt;&gt;$BO$7,0,INDEX(MA61:MZ61,1,MATCH(Structure!$D$12,$MA$14:$MZ$14,0)))))</f>
        <v/>
      </c>
      <c r="BV61" s="239" t="str">
        <f>IF(A61=FALSE,"",IF(ALLTHESAME=TRUE,IF(NC61&lt;&gt;$BO$7,0,INDEX(NA61:NZ61,1,MATCH(Structure!$D$12,$NA$14:$NZ$14,0))),IF(OC61&lt;&gt;$BO$7,0,INDEX(OA61:OZ61,1,MATCH(Structure!$D$12,$OA$14:$OZ$14,0)))))</f>
        <v/>
      </c>
      <c r="BW61" s="239" t="str">
        <f>IF(A61=FALSE,"",IF(ALLTHESAME=TRUE,IF(PC61&lt;&gt;$BO$7,0,INDEX(PA61:PZ61,1,MATCH(Structure!$D$12,$PA$14:$PZ$14,0))),IF(QC61&lt;&gt;$BO$7,0,INDEX(QA61:QZ61,1,MATCH(Structure!$D$12,$QA$14:$QZ$14,0)))))</f>
        <v/>
      </c>
      <c r="BX61" s="341" t="str">
        <f>IF(A61=FALSE,"",IF(ALLTHESAME=TRUE,IF(RC61&lt;&gt;$BO$7,0,INDEX(RA61:RZ61,1,MATCH(Structure!$D$12,$RA$14:$RZ$14,0))),IF(SC61&lt;&gt;$BO$7,0,INDEX(SA61:TA61,1,MATCH(Structure!$D$12,$SA$14:$TA$14,0)))))</f>
        <v/>
      </c>
      <c r="BY61" s="347" t="str">
        <f t="shared" si="453"/>
        <v/>
      </c>
      <c r="BZ61" s="507" t="str">
        <f t="shared" si="454"/>
        <v/>
      </c>
      <c r="CA61" s="239" t="str">
        <f t="shared" si="455"/>
        <v/>
      </c>
      <c r="CB61" s="239" t="str">
        <f>IF(A61=FALSE,"",IF(ALLTHESAME=TRUE,INDEX(DD61:DZ61,MATCH(DF61,DF61:DF166,0),MATCH(Structure!$D$17,$DD$14:$DZ$14,0)),INDEX(EA61:EZ61,MATCH(EC61,EC61:EC166,0),MATCH(Structure!$D$17,$EA$14:$EZ$14,0))))</f>
        <v/>
      </c>
      <c r="CC61" s="239" t="str">
        <f>IF(A61=FALSE,"",IF(ALLTHESAME=TRUE,INDEX(FA61:FZ61,MATCH(FC61,FC61:FC166,0),MATCH(Structure!$D$17,$FA$14:$FZ$14,0)),INDEX(GA61:GZ61,MATCH(GC61,GC61:GC166,0),MATCH(Structure!$D$17,$GA$14:$GZ$14,0))))</f>
        <v/>
      </c>
      <c r="CD61" s="239" t="str">
        <f>IF(A61=FALSE,"",IF(ALLTHESAME=TRUE,INDEX(HA61:HZ61,MATCH(HC61,HC61:HC166,0),MATCH(Structure!$D$17,$HA$14:$HZ$14,0)),INDEX(IA61:IZ61,MATCH(IC61,IC61:IC166,0),MATCH(Structure!$D$17,$IA$14:$IZ$14,0))))</f>
        <v/>
      </c>
      <c r="CE61" s="239" t="str">
        <f>IF(A61=FALSE,"",IF(ALLTHESAME=TRUE,INDEX(JA61:JZ61,MATCH(JC61,JC61:JC166,0),MATCH(Structure!$D$17,$JA$14:$JZ$14,0)),INDEX(KA61:KZ61,MATCH(KC61,KC61:KC166,0),MATCH(Structure!$D$17,$KA$14:$KZ$14,0))))</f>
        <v/>
      </c>
      <c r="CF61" s="239" t="str">
        <f>IF(A61=FALSE,"",IF(ALLTHESAME=TRUE,INDEX(LA61:LZ61,MATCH(LC61,LC61:LC166,0),MATCH(Structure!$D$17,$LA$14:$LZ$14,0)),INDEX(MA61:MZ61,MATCH(MC61,MC61:MC166,0),MATCH(Structure!$D$17,$MA$14:$MZ$14,0))))</f>
        <v/>
      </c>
      <c r="CG61" s="239" t="str">
        <f>IF(A61=FALSE,"",IF(ALLTHESAME=TRUE,INDEX(NA61:NZ61,MATCH(NC61,NC61:NC166,0),MATCH(Structure!$D$17,$NA$14:$NZ$14,0)),INDEX(OA61:OZ61,MATCH(OC61,OC61:OC166,0),MATCH(Structure!$D$17,$OA$14:$OZ$14,0))))</f>
        <v/>
      </c>
      <c r="CH61" s="239" t="str">
        <f>IF(A61=FALSE,"",IF(ALLTHESAME=TRUE,INDEX(PA61:PZ61,MATCH(PC61,PC61:PC166,0),MATCH(Structure!$D$17,$PA$14:$PZ$14,0)),INDEX(QA61:QZ61,MATCH(QC61,QC61:QC166,0),MATCH(Structure!$D$17,$QA$14:$QZ$14,0))))</f>
        <v/>
      </c>
      <c r="CI61" s="341" t="str">
        <f>IF(A61=FALSE,"",IF(ALLTHESAME=TRUE,INDEX(RA61:RZ61,MATCH(RC61,RC61:RC166,0),MATCH(Structure!$D$17,$RA$14:$RZ$14,0)),INDEX(SA61:TC61,MATCH(SC61,SC61:SC166,0),MATCH(Structure!$D$17,$SA$14:$TC$14,0))))</f>
        <v/>
      </c>
      <c r="CJ61" s="347"/>
      <c r="CK61" s="239" t="str">
        <f t="shared" si="456"/>
        <v/>
      </c>
      <c r="CL61" s="239" t="str">
        <f>IF(A61=FALSE,"",IF(ALLTHESAME=TRUE,INDEX(DD61:DZ61,MATCH(DF61,DF61:DF166,0),MATCH(Structure!$D$22,$DD$14:$DZ$14,0)),INDEX(EA61:EZ61,MATCH(EC61,EC61:EC166,0),MATCH(Structure!$D$22,$EA$14:$EZ$14,0))))</f>
        <v/>
      </c>
      <c r="CM61" s="239" t="str">
        <f>IF(A61=FALSE,"",IF(ALLTHESAME=TRUE,INDEX(FA61:FZ61,MATCH(FC61,FC61:FC166,0),MATCH(Structure!$D$22,$FA$14:$FZ$14,0)),INDEX(GA61:GZ61,MATCH(GC61,GC61:GC166,0),MATCH(Structure!$D$22,$GA$14:$GZ$14,0))))</f>
        <v/>
      </c>
      <c r="CN61" s="239" t="str">
        <f>IF(A61=FALSE,"",IF(ALLTHESAME=TRUE,INDEX(HA61:HZ61,MATCH(HC61,HC61:HC166,0),MATCH(Structure!$D$22,$HA$14:$HZ$14,0)),INDEX(IA61:IZ61,MATCH(IC61,IC61:IC166,0),MATCH(Structure!$D$22,$IA$14:$IZ$14,0))))</f>
        <v/>
      </c>
      <c r="CO61" s="239" t="str">
        <f>IF(A61=FALSE,"",IF(ALLTHESAME=TRUE,INDEX(JA61:JZ61,MATCH(JC61,JC61:JC166,0),MATCH(Structure!$D$22,$JA$14:$JZ$14,0)),INDEX(KA61:KZ61,MATCH(KC61,KC61:KC166,0),MATCH(Structure!$D$22,$KA$14:$KZ$14,0))))</f>
        <v/>
      </c>
      <c r="CP61" s="239" t="str">
        <f>IF(A61=FALSE,"",IF(ALLTHESAME=TRUE,INDEX(LA61:LZ61,MATCH(LC61,LC61:LC166,0),MATCH(Structure!$D$22,$LA$14:$LZ$14,0)),INDEX(MA61:MZ61,MATCH(MC61,MC61:MC166,0),MATCH(Structure!$D$22,$MA$14:$MZ$14,0))))</f>
        <v/>
      </c>
      <c r="CQ61" s="239" t="str">
        <f>IF(A61=FALSE,"",IF(ALLTHESAME=TRUE,INDEX(NA61:NZ61,MATCH(NC61,NC61:NC166,0),MATCH(Structure!$D$22,$NA$14:$NZ$14,0)),INDEX(OA61:OZ61,MATCH(OC61,OC61:OC166,0),MATCH(Structure!$D$22,$OA$14:$OZ$14,0))))</f>
        <v/>
      </c>
      <c r="CR61" s="239" t="str">
        <f>IF(A61=FALSE,"",IF(ALLTHESAME=TRUE,INDEX(PA61:PZ61,MATCH(PC61,PC61:PC166,0),MATCH(Structure!$D$22,$PA$14:$PZ$14,0)),INDEX(QA61:QZ61,MATCH(QC61,QC61:QC166,0),MATCH(Structure!$D$22,$QA$14:$QZ$14,0))))</f>
        <v/>
      </c>
      <c r="CS61" s="341" t="str">
        <f>IF(A61=FALSE,"",IF(ALLTHESAME=TRUE,INDEX(RA61:RZ61,MATCH(RC61,RC61:RC166,0),MATCH(Structure!$D$22,$RA$14:$RZ$14,0)),INDEX(SA61:TC61,MATCH(SC61,SC61:SC166,0),MATCH(Structure!$D$22,$SA$14:$TC$14,0))))</f>
        <v/>
      </c>
      <c r="CT61" s="347"/>
      <c r="CU61" s="239" t="str">
        <f t="shared" si="457"/>
        <v/>
      </c>
      <c r="CV61" s="239" t="str">
        <f>IF(A61=FALSE,"",IF(ALLTHESAME=TRUE,INDEX(DD61:DZ61,MATCH(DF61,DF61:DF166,0),MATCH(Structure!$D$8,$DD$14:$DZ$14,0)),INDEX(EA61:EZ61,MATCH(EC61,EC61:EC166,0),MATCH(Structure!$D$8,$EA$14:$EZ$14,0))))</f>
        <v/>
      </c>
      <c r="CW61" s="239" t="str">
        <f>IF(A61=FALSE,"",IF(ALLTHESAME=TRUE,INDEX(FA61:FZ61,MATCH(FC61,FC61:FC166,0),MATCH(Structure!$D$8,$FA$14:$FZ$14,0)),INDEX(GA61:GZ61,MATCH(GC61,GC61:GC166,0),MATCH(Structure!$D$8,$GA$14:$GZ$14,0))))</f>
        <v/>
      </c>
      <c r="CX61" s="239" t="str">
        <f>IF(A61=FALSE,"",IF(ALLTHESAME=TRUE,INDEX(HA61:HZ61,MATCH(HC61,HC61:HC166,0),MATCH(Structure!$D$8,$HA$14:$HZ$14,0)),INDEX(IA61:IZ61,MATCH(IC61,IC61:IC166,0),MATCH(Structure!$D$8,$IA$14:$IZ$14,0))))</f>
        <v/>
      </c>
      <c r="CY61" s="239" t="str">
        <f>IF(A61=FALSE,"",IF(ALLTHESAME=TRUE,INDEX(JA61:JZ61,MATCH(JC61,JC61:JC166,0),MATCH(Structure!$D$8,$JA$14:$JZ$14,0)),INDEX(KA61:KZ61,MATCH(KC61,KC61:KC166,0),MATCH(Structure!$D$8,$KA$14:$KZ$14,0))))</f>
        <v/>
      </c>
      <c r="CZ61" s="239" t="str">
        <f>IF(A61=FALSE,"",IF(ALLTHESAME=TRUE,INDEX(LA61:LZ61,MATCH(LC61,LC61:LC166,0),MATCH(Structure!$D$8,$LA$14:$LZ$14,0)),INDEX(MA61:MZ61,MATCH(MC61,MC61:MC166,0),MATCH(Structure!$D$8,$MA$14:$MZ$14,0))))</f>
        <v/>
      </c>
      <c r="DA61" s="239" t="str">
        <f>IF(A61=FALSE,"",IF(ALLTHESAME=TRUE,INDEX(NA61:NZ61,MATCH(NC61,NC61:NC166,0),MATCH(Structure!$D$8,$NA$14:$NZ$14,0)),INDEX(OA61:OZ61,MATCH(OC61,OC61:OC166,0),MATCH(Structure!$D$8,$OA$14:$OZ$14,0))))</f>
        <v/>
      </c>
      <c r="DB61" s="239" t="str">
        <f>IF(A61=FALSE,"",IF(ALLTHESAME=TRUE,INDEX(PA61:PZ61,MATCH(PC61,PC61:PC166,0),MATCH(Structure!$D$8,$PA$14:$PZ$14,0)),INDEX(QA61:QZ61,MATCH(QC61,QC61:QC166,0),MATCH(Structure!$D$8,$QA$14:$QZ$14,0))))</f>
        <v/>
      </c>
      <c r="DC61" s="341" t="str">
        <f>IF(A61=FALSE,"",IF(ALLTHESAME=TRUE,INDEX(RA61:RZ61,MATCH(RC61,RC61:RC166,0),MATCH(Structure!$D$8,$RA$14:$RZ$14,0)),INDEX(SA61:TC61,MATCH(SC61,SC61:SC166,0),MATCH(Structure!$D$8,$SA$14:$TC$14,0))))</f>
        <v/>
      </c>
      <c r="DD61" s="492" t="str">
        <f>IF(A61=FALSE,"",Cotations!D61)</f>
        <v/>
      </c>
      <c r="DE61" s="492" t="str">
        <f>IF(A61=FALSE,"",IF(LISTES!$A$17=1,Cotations!AF61,Cotations!$AG$4))</f>
        <v/>
      </c>
      <c r="DF61" s="291" t="str">
        <f t="shared" si="458"/>
        <v/>
      </c>
      <c r="DG61" s="291" t="str">
        <f t="shared" si="459"/>
        <v/>
      </c>
      <c r="DH61" s="291"/>
      <c r="DI61" s="463"/>
      <c r="DJ61" s="463" t="str">
        <f t="shared" si="460"/>
        <v/>
      </c>
      <c r="DK61" s="522" t="str">
        <f>IF(A61=FALSE,"",IF(Cotations!$AH$4="monthly",DJ61/12*L61,DJ61/365*M61))</f>
        <v/>
      </c>
      <c r="DL61" s="489" t="str">
        <f>IF(A61=FALSE,"",Cotations!$AI$4)</f>
        <v/>
      </c>
      <c r="DM61" s="300" t="str">
        <f t="shared" si="461"/>
        <v/>
      </c>
      <c r="DN61" s="300" t="str">
        <f t="shared" si="462"/>
        <v/>
      </c>
      <c r="DO61" s="294" t="str">
        <f t="shared" si="463"/>
        <v/>
      </c>
      <c r="DP61" s="494" t="str">
        <f>IF(A61=FALSE,"",Cotations!$AJ$4)</f>
        <v/>
      </c>
      <c r="DQ61" s="494" t="str">
        <f>IF(A61=FALSE,"",Cotations!$AK$4)</f>
        <v/>
      </c>
      <c r="DR61" s="489" t="str">
        <f>IF(A61=FALSE,"",Cotations!$AL$4)</f>
        <v/>
      </c>
      <c r="DS61" s="494" t="str">
        <f>IF(A61=FALSE,"",IF(DP61="N/A",0,IF(INDEX(LISTES!$F$105:$F$109,MATCH(DP61,LISTES!$C$105:$C$109,0))="FIX",IF(INDEX(LISTES!$E$105:$E$109,MATCH(DP61,LISTES!$C$105:$C$109,0))=12,DQ61/12*L61,DQ61/365*M61),DR61*DO61)))</f>
        <v/>
      </c>
      <c r="DT61" s="294" t="str">
        <f t="shared" si="464"/>
        <v/>
      </c>
      <c r="DU61" s="294" t="str">
        <f>IF(A61=FALSE,"",DT61*Cotations!$AM$4)</f>
        <v/>
      </c>
      <c r="DV61" s="294" t="str">
        <f>IF(A61=FALSE,"",DT61*Cotations!$AN$4)</f>
        <v/>
      </c>
      <c r="DW61" s="465" t="str">
        <f t="shared" si="465"/>
        <v/>
      </c>
      <c r="DX61" s="919" t="str">
        <f>IF(A61=FALSE,"",((DJ61*TAXE)-(DJ61*TAXE*DL61))+IF(DP61="N/A",0,IF(INDEX(LISTES!$F$105:$F$109,MATCH(DP61,LISTES!$C$105:$C$109,0))="FIX",DQ61,DR61*DO61)))</f>
        <v/>
      </c>
      <c r="DY61" s="466"/>
      <c r="DZ61" s="466"/>
      <c r="EA61" s="492" t="str">
        <f>IF(A61=FALSE,"",Cotations!D61)</f>
        <v/>
      </c>
      <c r="EB61" s="494" t="str">
        <f>IF(A61=FALSE,"",IF(LISTES!$A$17=1,Cotations!AF61,Cotations!AG61))</f>
        <v/>
      </c>
      <c r="EC61" s="284" t="str">
        <f t="shared" si="466"/>
        <v/>
      </c>
      <c r="ED61" s="284" t="str">
        <f t="shared" si="467"/>
        <v/>
      </c>
      <c r="EE61" s="284"/>
      <c r="EF61" s="284"/>
      <c r="EG61" s="284" t="str">
        <f t="shared" si="468"/>
        <v/>
      </c>
      <c r="EH61" s="1365" t="str">
        <f t="shared" si="469"/>
        <v/>
      </c>
      <c r="EI61" s="1365" t="str">
        <f t="shared" si="470"/>
        <v/>
      </c>
      <c r="EJ61" s="515" t="str">
        <f>IF(A61=FALSE,"",IF(Cotations!AH61="monthly",EG61/12*L61,EG61/365*M61))</f>
        <v/>
      </c>
      <c r="EK61" s="1364" t="str">
        <f>IF(A61=FALSE,"",IF(Cotations!AH61="monthly",EI61/12*L61,EI61/365*M61))</f>
        <v/>
      </c>
      <c r="EL61" s="493" t="str">
        <f>IF(A61=FALSE,"",IF(Cotations!AI61="","",Cotations!AI61))</f>
        <v/>
      </c>
      <c r="EM61" s="284" t="str">
        <f t="shared" si="471"/>
        <v/>
      </c>
      <c r="EN61" s="284" t="str">
        <f t="shared" si="472"/>
        <v/>
      </c>
      <c r="EO61" s="1365" t="str">
        <f t="shared" si="432"/>
        <v/>
      </c>
      <c r="EP61" s="284" t="str">
        <f t="shared" si="473"/>
        <v/>
      </c>
      <c r="EQ61" s="515" t="str">
        <f>IF(A61=FALSE,"",Cotations!AJ61)</f>
        <v/>
      </c>
      <c r="ER61" s="515" t="str">
        <f>IF(A61=FALSE,"",IF(Cotations!AK61="","",Cotations!AK61))</f>
        <v/>
      </c>
      <c r="ES61" s="493" t="str">
        <f>IF(A61=FALSE,"",Cotations!AL61)</f>
        <v/>
      </c>
      <c r="ET61" s="515" t="str">
        <f>IF(A61=FALSE,"",IF(EQ61="N/A",0,IF(INDEX(LISTES!$F$105:$F$109,MATCH(EQ61,LISTES!$C$105:$C$109,0))="FIX",IF(INDEX(LISTES!$E$105:$E$109,MATCH(EQ61,LISTES!$C$105:$C$109,0))=12,ER61/12*L61,ER61/365*M61),ES61*EP61)))</f>
        <v/>
      </c>
      <c r="EU61" s="294" t="str">
        <f t="shared" si="474"/>
        <v/>
      </c>
      <c r="EV61" s="494" t="str">
        <f>IF(A61=FALSE,"",EU61*Cotations!AM61)</f>
        <v/>
      </c>
      <c r="EW61" s="494" t="str">
        <f>IF(A61=FALSE,"",EU61*Cotations!AN61)</f>
        <v/>
      </c>
      <c r="EX61" s="334" t="str">
        <f t="shared" si="475"/>
        <v/>
      </c>
      <c r="EY61" s="919" t="str">
        <f>IF(A61=FALSE,"",((EG61*TAXE)-(EG61*TAXE*EL61)+EH61)+IF(EQ61="N/A",0,IF(INDEX(LISTES!$F$105:$F$109,MATCH(EQ61,LISTES!$C$105:$C$109,0))="FIX",ER61,ES61*EP61)))</f>
        <v/>
      </c>
      <c r="FA61" s="492" t="str">
        <f>IF(A61=FALSE,"",Cotations!D61)</f>
        <v/>
      </c>
      <c r="FB61" s="519" t="str">
        <f>IF(A61=FALSE,"",IF(LISTES!$A$17=1,Cotations!AO61,Cotations!$AP$4))</f>
        <v/>
      </c>
      <c r="FC61" s="291" t="str">
        <f t="shared" si="476"/>
        <v/>
      </c>
      <c r="FD61" s="291" t="str">
        <f t="shared" si="477"/>
        <v/>
      </c>
      <c r="FE61" s="291"/>
      <c r="FF61" s="463"/>
      <c r="FG61" s="463" t="str">
        <f t="shared" si="478"/>
        <v/>
      </c>
      <c r="FH61" s="522" t="str">
        <f>IF(A61=FALSE,"",IF(Cotations!$AQ$4="monthly",FG61/12*L61,FG61/365*M61))</f>
        <v/>
      </c>
      <c r="FI61" s="453" t="str">
        <f>IF(A61=FALSE,"",Cotations!$AR$4)</f>
        <v/>
      </c>
      <c r="FJ61" s="300" t="str">
        <f t="shared" si="479"/>
        <v/>
      </c>
      <c r="FK61" s="300" t="str">
        <f t="shared" si="480"/>
        <v/>
      </c>
      <c r="FL61" s="294" t="str">
        <f t="shared" si="481"/>
        <v/>
      </c>
      <c r="FM61" s="494" t="str">
        <f>IF(A61=FALSE,"",Cotations!$AS$4)</f>
        <v/>
      </c>
      <c r="FN61" s="494" t="str">
        <f>IF(A61=FALSE,"",Cotations!$AT$4)</f>
        <v/>
      </c>
      <c r="FO61" s="489" t="str">
        <f>IF(A61=FALSE,"",Cotations!$AU$4)</f>
        <v/>
      </c>
      <c r="FP61" s="494" t="str">
        <f>IF(A61=FALSE,"",IF(FM61="N/A",0,IF(INDEX(LISTES!$F$105:$F$109,MATCH(FM61,LISTES!$C$105:$C$109,0))="FIX",IF(INDEX(LISTES!$E$105:$E$109,MATCH(FM61,LISTES!$C$105:$C$109,0))=12,FN61/12*L61,FN61/365*M61),FO61*FL61)))</f>
        <v/>
      </c>
      <c r="FQ61" s="294" t="str">
        <f t="shared" si="482"/>
        <v/>
      </c>
      <c r="FR61" s="494" t="str">
        <f>IF(A61=FALSE,"",FQ61*Cotations!$AV$4)</f>
        <v/>
      </c>
      <c r="FS61" s="494" t="str">
        <f>IF(A61=FALSE,"",FQ61*Cotations!$AW$4)</f>
        <v/>
      </c>
      <c r="FT61" s="465" t="str">
        <f t="shared" si="483"/>
        <v/>
      </c>
      <c r="FU61" s="919" t="str">
        <f>IF(A61=FALSE,"",((FG61*TAXE)-(FG61*TAXE*FI61))+IF(FM61="N/A",0,IF(INDEX(LISTES!$F$105:$F$109,MATCH(FM61,LISTES!$C$105:$C$109,0))="FIX",FN61,FO61*FL61)))</f>
        <v/>
      </c>
      <c r="FV61" s="478"/>
      <c r="FW61" s="478"/>
      <c r="FX61" s="478"/>
      <c r="FY61" s="478"/>
      <c r="FZ61" s="478"/>
      <c r="GA61" s="492" t="str">
        <f>IF(A61=FALSE,"",Cotations!D61)</f>
        <v/>
      </c>
      <c r="GB61" s="494" t="str">
        <f>IF(A61=FALSE,"",IF(LISTES!$A$17=1,Cotations!AO61,Cotations!AP61))</f>
        <v/>
      </c>
      <c r="GC61" s="284" t="str">
        <f t="shared" si="484"/>
        <v/>
      </c>
      <c r="GD61" s="515" t="str">
        <f>IF(A61=FALSE,"",IF(Detail!AM61="","",Detail!AM61))</f>
        <v/>
      </c>
      <c r="GE61" s="284"/>
      <c r="GF61" s="284"/>
      <c r="GG61" s="284" t="str">
        <f t="shared" si="485"/>
        <v/>
      </c>
      <c r="GH61" s="515" t="str">
        <f>IF(A61=FALSE,"",IF(Cotations!AQ61="monthly",GG61/12*L61,GG61/365*M61))</f>
        <v/>
      </c>
      <c r="GI61" s="493" t="str">
        <f>IF(A61=FALSE,"",IF(Cotations!AR61="","",Cotations!AR61))</f>
        <v/>
      </c>
      <c r="GJ61" s="284" t="str">
        <f t="shared" si="486"/>
        <v/>
      </c>
      <c r="GK61" s="284" t="str">
        <f t="shared" si="487"/>
        <v/>
      </c>
      <c r="GL61" s="284" t="str">
        <f t="shared" si="488"/>
        <v/>
      </c>
      <c r="GM61" s="515" t="str">
        <f>IF(A61=FALSE,"",Cotations!AS61)</f>
        <v/>
      </c>
      <c r="GN61" s="515" t="str">
        <f>IF(A61=FALSE,"",Cotations!AT61)</f>
        <v/>
      </c>
      <c r="GO61" s="493" t="str">
        <f>IF(A61=FALSE,"",Cotations!AU61)</f>
        <v/>
      </c>
      <c r="GP61" s="515" t="str">
        <f>IF(A61=FALSE,"",IF(GM61="N/A",0,IF(INDEX(LISTES!$F$105:$F$109,MATCH(GM61,LISTES!$C$105:$C$109,0))="FIX",IF(INDEX(LISTES!$E$105:$E$109,MATCH(GM61,LISTES!$C$105:$C$109,0))=12,GN61/12*L61,GN61/365*M61),GO61*GL61)))</f>
        <v/>
      </c>
      <c r="GQ61" s="294" t="str">
        <f t="shared" si="489"/>
        <v/>
      </c>
      <c r="GR61" s="494" t="str">
        <f>IF(A61=FALSE,"",GQ61*Cotations!AV61)</f>
        <v/>
      </c>
      <c r="GS61" s="494" t="str">
        <f>IF(A61=FALSE,"",GQ61*Cotations!AW61)</f>
        <v/>
      </c>
      <c r="GT61" s="334" t="str">
        <f t="shared" si="490"/>
        <v/>
      </c>
      <c r="GU61" s="919" t="str">
        <f>IF(A61=FALSE,"",((GG61*TAXE)-(GG61*TAXE*GI61))+IF(GM61="N/A",0,IF(INDEX(LISTES!$F$105:$F$109,MATCH(GM61,LISTES!$C$105:$C$109,0))="FIX",GN61,GO61*GL61)))</f>
        <v/>
      </c>
      <c r="GV61" s="478"/>
      <c r="GW61" s="466"/>
      <c r="GX61" s="466"/>
      <c r="GY61" s="466"/>
      <c r="GZ61" s="466"/>
      <c r="HA61" s="492" t="str">
        <f>IF(A61=FALSE,"",Cotations!D61)</f>
        <v/>
      </c>
      <c r="HB61" s="495" t="str">
        <f>IF(A61=FALSE,"",IF(LISTES!$A$17=1,Cotations!AX61,Cotations!$AY$4))</f>
        <v/>
      </c>
      <c r="HC61" s="291" t="str">
        <f t="shared" si="491"/>
        <v/>
      </c>
      <c r="HD61" s="291" t="str">
        <f t="shared" si="492"/>
        <v/>
      </c>
      <c r="HE61" s="456" t="str">
        <f t="shared" si="493"/>
        <v/>
      </c>
      <c r="HF61" s="496" t="str">
        <f>IF(A61=FALSE,"",IF(HA61="POEA",Cotations!BA61,IF(HA61="FIXE",Cotations!$BA$4,Cotations!$BC$4*Y61)))</f>
        <v/>
      </c>
      <c r="HG61" s="300" t="str">
        <f t="shared" si="494"/>
        <v/>
      </c>
      <c r="HH61" s="522" t="str">
        <f>IF(A61=FALSE,"",IF(Cotations!$AZ$4="monthly",HG61/12*L61,HG61/365*M61))</f>
        <v/>
      </c>
      <c r="HI61" s="489" t="str">
        <f>IF(A61=FALSE,"",Cotations!$BD$4)</f>
        <v/>
      </c>
      <c r="HJ61" s="300" t="str">
        <f t="shared" si="495"/>
        <v/>
      </c>
      <c r="HK61" s="300" t="str">
        <f t="shared" si="496"/>
        <v/>
      </c>
      <c r="HL61" s="294" t="str">
        <f t="shared" si="497"/>
        <v/>
      </c>
      <c r="HM61" s="494" t="str">
        <f>IF(A61=FALSE,"",Cotations!$BE$4)</f>
        <v/>
      </c>
      <c r="HN61" s="522" t="str">
        <f>IF(A61=FALSE,"",Cotations!$BF$4)</f>
        <v/>
      </c>
      <c r="HO61" s="489" t="str">
        <f>IF(A61=FALSE,"",Cotations!$BG$4)</f>
        <v/>
      </c>
      <c r="HP61" s="494" t="str">
        <f>IF(A61=FALSE,"",IF(HM61="N/A",0,IF(INDEX(LISTES!$F$105:$F$109,MATCH(HM61,LISTES!$C$105:$C$109,0))="FIX",IF(INDEX(LISTES!$E$105:$E$109,MATCH(HM61,LISTES!$C$105:$C$109,0))=12,HN61/12*L61,HN61/365*M61),HO61*HL61)))</f>
        <v/>
      </c>
      <c r="HQ61" s="294" t="str">
        <f t="shared" si="498"/>
        <v/>
      </c>
      <c r="HR61" s="494" t="str">
        <f>IF(A61=FALSE,"",HQ61*Cotations!$BH$4)</f>
        <v/>
      </c>
      <c r="HS61" s="494" t="str">
        <f>IF(A61=FALSE,"",HQ61*Cotations!$BI$4)</f>
        <v/>
      </c>
      <c r="HT61" s="294" t="str">
        <f t="shared" si="499"/>
        <v/>
      </c>
      <c r="HU61" s="919" t="str">
        <f>IF(A61=FALSE,"",((HG61*TAXE)-(HG61*TAXE*HI61))+IF(HM61="N/A",0,IF(INDEX(LISTES!$F$105:$F$109,MATCH(HM61,LISTES!$C$105:$C$109,0))="FIX",HN61,HO61*HL61)))</f>
        <v/>
      </c>
      <c r="IA61" s="492" t="str">
        <f>IF(A61=FALSE,"",Cotations!D61)</f>
        <v/>
      </c>
      <c r="IB61" s="491" t="str">
        <f>IF(A61=FALSE,"",IF(LISTES!$A$17=1,Cotations!AX61,Cotations!AY61))</f>
        <v/>
      </c>
      <c r="IC61" s="285" t="str">
        <f t="shared" si="500"/>
        <v/>
      </c>
      <c r="ID61" s="300" t="str">
        <f>IF(A61=FALSE,"",IF(LISTES!$A$17=3,Detail!AU61,lig1_Formula_PREVOY))</f>
        <v/>
      </c>
      <c r="IE61" s="461" t="str">
        <f t="shared" si="501"/>
        <v/>
      </c>
      <c r="IF61" s="490" t="str">
        <f>IF(A61=FALSE,"",IF(IA61="POEA",Cotations!BA61,IF(HA61="FIXE",Cotations!BB61,IF(Cotations!BC61*Y61&lt;50000,Z61,Cotations!BC61*Y61))))</f>
        <v/>
      </c>
      <c r="IG61" s="300" t="str">
        <f t="shared" si="502"/>
        <v/>
      </c>
      <c r="IH61" s="522" t="str">
        <f>IF(A61=FALSE,"",IF(Cotations!AZ61="monthly",IG61/12*L61,IG61/365*M61))</f>
        <v/>
      </c>
      <c r="II61" s="489" t="str">
        <f>IF(A61=FALSE,"",IF(Cotations!BD61="","",Cotations!BD61))</f>
        <v/>
      </c>
      <c r="IJ61" s="300" t="str">
        <f t="shared" si="503"/>
        <v/>
      </c>
      <c r="IK61" s="300" t="str">
        <f t="shared" si="504"/>
        <v/>
      </c>
      <c r="IL61" s="919" t="str">
        <f t="shared" si="505"/>
        <v/>
      </c>
      <c r="IM61" s="517" t="str">
        <f>IF(A61=FALSE,"",Cotations!BE61)</f>
        <v/>
      </c>
      <c r="IN61" s="517" t="str">
        <f>IF(A61=FALSE,"",Cotations!BF61)</f>
        <v/>
      </c>
      <c r="IO61" s="493" t="str">
        <f>IF(A61=FALSE,"",Cotations!BG61)</f>
        <v/>
      </c>
      <c r="IP61" s="517" t="str">
        <f>IF(A61=FALSE,"",IF(IM61="N/A",0,IF(INDEX(LISTES!$F$105:$F$109,MATCH(IM61,LISTES!$C$105:$C$109,0))="FIX",IF(INDEX(LISTES!$E$105:$E$109,MATCH(IM61,LISTES!$C$105:$C$109,0))=12,IN61/12*L61,IN61/365*M61),IO61*IL61)))</f>
        <v/>
      </c>
      <c r="IQ61" s="294" t="str">
        <f t="shared" si="506"/>
        <v/>
      </c>
      <c r="IR61" s="494" t="str">
        <f>IF(A61=FALSE,"",IQ61*Cotations!BH61)</f>
        <v/>
      </c>
      <c r="IS61" s="494" t="str">
        <f>IF(A61=FALSE,"",IQ61*Cotations!BI61)</f>
        <v/>
      </c>
      <c r="IT61" s="338" t="str">
        <f t="shared" si="507"/>
        <v/>
      </c>
      <c r="IU61" s="919" t="str">
        <f>IF(A61=FALSE,"",((IG61*TAXE)-(IG61*TAXE*II61))+IF(IM61="N/A",0,IF(INDEX(LISTES!$F$105:$F$109,MATCH(IM61,LISTES!$C$105:$C$109,0))="FIX",IN61,IO61*IL61)))</f>
        <v/>
      </c>
      <c r="JA61" s="492" t="str">
        <f>IF(A61=FALSE,"",Cotations!D61)</f>
        <v/>
      </c>
      <c r="JB61" s="495" t="str">
        <f>IF(A61=FALSE,"",IF(LISTES!$A$17=1,Cotations!BJ61,Cotations!$BK$4))</f>
        <v/>
      </c>
      <c r="JC61" s="291" t="str">
        <f t="shared" si="508"/>
        <v/>
      </c>
      <c r="JD61" s="291" t="str">
        <f t="shared" si="509"/>
        <v/>
      </c>
      <c r="JE61" s="456" t="str">
        <f t="shared" si="510"/>
        <v/>
      </c>
      <c r="JF61" s="496" t="str">
        <f>IF(A61=FALSE,"",IF(JA61="POEA",Cotations!BM61,IF(JA61="FIXE",Cotations!$BM$4,Cotations!$BO$4*Y61)))</f>
        <v/>
      </c>
      <c r="JG61" s="300" t="str">
        <f t="shared" si="511"/>
        <v/>
      </c>
      <c r="JH61" s="522" t="str">
        <f>IF(A61=FALSE,"",IF(Cotations!$BL$4="monthly",JG61/12*L61,JG61/365*M61))</f>
        <v/>
      </c>
      <c r="JI61" s="489" t="str">
        <f>IF(A61=FALSE,"",Cotations!$BP$4)</f>
        <v/>
      </c>
      <c r="JJ61" s="300" t="str">
        <f t="shared" si="512"/>
        <v/>
      </c>
      <c r="JK61" s="300" t="str">
        <f t="shared" si="513"/>
        <v/>
      </c>
      <c r="JL61" s="294" t="str">
        <f t="shared" si="514"/>
        <v/>
      </c>
      <c r="JM61" s="494" t="str">
        <f>IF(A61=FALSE,"",Cotations!$BQ$4)</f>
        <v/>
      </c>
      <c r="JN61" s="522" t="str">
        <f>IF(A61=FALSE,"",Cotations!$BR$4)</f>
        <v/>
      </c>
      <c r="JO61" s="489" t="str">
        <f>IF(A61=FALSE,"",Cotations!$BS$4)</f>
        <v/>
      </c>
      <c r="JP61" s="494" t="str">
        <f>IF(A61=FALSE,"",IF(JM61="N/A",0,IF(INDEX(LISTES!$F$105:$F$109,MATCH(JM61,LISTES!$C$105:$C$109,0))="FIX",IF(INDEX(LISTES!$E$105:$E$109,MATCH(JM61,LISTES!$C$105:$C$109,0))=12,JN61/12*L61,JN61/365*M61),JO61*JL61)))</f>
        <v/>
      </c>
      <c r="JQ61" s="294" t="str">
        <f t="shared" si="515"/>
        <v/>
      </c>
      <c r="JR61" s="494" t="str">
        <f>IF(A61=FALSE,"",JQ61*Cotations!$BT$4)</f>
        <v/>
      </c>
      <c r="JS61" s="494" t="str">
        <f>IF(A61=FALSE,"",JQ61*Cotations!$BU$4)</f>
        <v/>
      </c>
      <c r="JT61" s="294" t="str">
        <f t="shared" si="516"/>
        <v/>
      </c>
      <c r="JU61" s="919" t="str">
        <f>IF(A61=FALSE,"",((JG61*TAXE)-(JG61*TAXE*JI61))+IF(JM61="N/A",0,IF(INDEX(LISTES!$F$105:$F$109,MATCH(JM61,LISTES!$C$105:$C$109,0))="FIX",JN61,JO61*JL61)))</f>
        <v/>
      </c>
      <c r="KA61" s="492" t="str">
        <f>IF(A61=FALSE,"",Cotations!D61)</f>
        <v/>
      </c>
      <c r="KB61" s="491" t="str">
        <f>IF(A61=FALSE,"",IF(LISTES!$A$17=1,Cotations!BJ61,Cotations!BK61))</f>
        <v/>
      </c>
      <c r="KC61" s="285" t="str">
        <f t="shared" si="517"/>
        <v/>
      </c>
      <c r="KD61" s="300"/>
      <c r="KE61" s="461" t="str">
        <f t="shared" si="518"/>
        <v/>
      </c>
      <c r="KF61" s="490" t="str">
        <f>IF(A61=FALSE,"",IF(KA61="POEA",Cotations!BM61,IF(KA61="FIXE",Cotations!BN61,IF(Cotations!BO61*Y61&lt;50000,Z61,Cotations!BO61*Y61))))</f>
        <v/>
      </c>
      <c r="KG61" s="300" t="str">
        <f t="shared" si="519"/>
        <v/>
      </c>
      <c r="KH61" s="522" t="str">
        <f>IF(A61=FALSE,"",IF(Cotations!BL61="monthly",KG61/12*L61,KG61/365*M61))</f>
        <v/>
      </c>
      <c r="KI61" s="489" t="str">
        <f>IF(A61=FALSE,"",IF(Cotations!BP61="","",Cotations!BP61))</f>
        <v/>
      </c>
      <c r="KJ61" s="300" t="str">
        <f t="shared" si="520"/>
        <v/>
      </c>
      <c r="KK61" s="300" t="str">
        <f t="shared" si="521"/>
        <v/>
      </c>
      <c r="KL61" s="919" t="str">
        <f t="shared" si="522"/>
        <v/>
      </c>
      <c r="KM61" s="517" t="str">
        <f>IF(A61=FALSE,"",Cotations!BQ61)</f>
        <v/>
      </c>
      <c r="KN61" s="515" t="str">
        <f>IF(A61=FALSE,"",Cotations!BR61)</f>
        <v/>
      </c>
      <c r="KO61" s="493" t="str">
        <f>IF(A61=FALSE,"",Cotations!BS61)</f>
        <v/>
      </c>
      <c r="KP61" s="517" t="str">
        <f>IF(A61=FALSE,"",IF(KM61="N/A",0,IF(INDEX(LISTES!$F$105:$F$109,MATCH(KM61,LISTES!$C$105:$C$109,0))="FIX",IF(INDEX(LISTES!$E$105:$E$109,MATCH(KM61,LISTES!$C$105:$C$109,0))=12,KN61/12*L61,KN61/365*M61),KO61*KL61)))</f>
        <v/>
      </c>
      <c r="KQ61" s="294" t="str">
        <f t="shared" si="523"/>
        <v/>
      </c>
      <c r="KR61" s="494" t="str">
        <f>IF(A61=FALSE,"",KQ61*Cotations!BT61)</f>
        <v/>
      </c>
      <c r="KS61" s="494" t="str">
        <f>IF(A61=FALSE,"",KQ61*Cotations!BU61)</f>
        <v/>
      </c>
      <c r="KT61" s="338" t="str">
        <f t="shared" si="524"/>
        <v/>
      </c>
      <c r="KU61" s="919" t="str">
        <f>IF(A61=FALSE,"",((KG61*TAXE)-(KG61*TAXE*KI61))+IF(KM61="N/A",0,IF(INDEX(LISTES!$F$105:$F$109,MATCH(KM61,LISTES!$C$105:$C$109,0))="FIX",KN61,KO61*KL61)))</f>
        <v/>
      </c>
      <c r="LA61" s="497" t="str">
        <f>IF(A61=FALSE,"",Cotations!D61)</f>
        <v/>
      </c>
      <c r="LB61" s="498" t="str">
        <f>IF(A61=FALSE,"",IF(LISTES!$A$17=1,Cotations!BV61,Cotations!$BW$4))</f>
        <v/>
      </c>
      <c r="LC61" s="499" t="str">
        <f t="shared" si="525"/>
        <v/>
      </c>
      <c r="LD61" s="499" t="str">
        <f t="shared" si="526"/>
        <v/>
      </c>
      <c r="LE61" s="500" t="str">
        <f t="shared" si="527"/>
        <v/>
      </c>
      <c r="LF61" s="501" t="str">
        <f>IF(A61=FALSE,"",IF(LA61="POEA",Cotations!EJ61,IF(LA61="FIXE",Cotations!$BY$4,Cotations!$CA$4*Y61)))</f>
        <v/>
      </c>
      <c r="LG61" s="502" t="str">
        <f t="shared" si="528"/>
        <v/>
      </c>
      <c r="LH61" s="520" t="str">
        <f>IF(A61=FALSE,"",IF(Cotations!$BX$4="monthly",LG61/12*L61,LG61/365*M61))</f>
        <v/>
      </c>
      <c r="LI61" s="503" t="str">
        <f>IF(A61=FALSE,"",Cotations!$CB$4)</f>
        <v/>
      </c>
      <c r="LJ61" s="502" t="str">
        <f t="shared" si="529"/>
        <v/>
      </c>
      <c r="LK61" s="502" t="str">
        <f t="shared" si="530"/>
        <v/>
      </c>
      <c r="LL61" s="504" t="str">
        <f t="shared" si="531"/>
        <v/>
      </c>
      <c r="LM61" s="505" t="str">
        <f>IF(A61=FALSE,"",Cotations!$CC$4)</f>
        <v/>
      </c>
      <c r="LN61" s="503" t="str">
        <f>IF(A61=FALSE,"",Cotations!$CD$4)</f>
        <v/>
      </c>
      <c r="LO61" s="503" t="str">
        <f>IF(A61=FALSE,"",Cotations!$CE$4)</f>
        <v/>
      </c>
      <c r="LP61" s="505" t="str">
        <f>IF(A61=FALSE,"",IF(LM61="N/A",0,IF(INDEX(LISTES!$F$105:$F$109,MATCH(LM61,LISTES!$C$105:$C$109,0))="FIX",IF(INDEX(LISTES!$E$105:$E$109,MATCH(LM61,LISTES!$C$105:$C$109,0))=12,LN61/12*L61,LN61/365*M61),LO61*LL61)))</f>
        <v/>
      </c>
      <c r="LQ61" s="504" t="str">
        <f t="shared" si="532"/>
        <v/>
      </c>
      <c r="LR61" s="505" t="str">
        <f>IF(A61=FALSE,"",LQ61*Cotations!$CF$4)</f>
        <v/>
      </c>
      <c r="LS61" s="505" t="str">
        <f>IF(A61=FALSE,"",LQ61*Cotations!$CG$4)</f>
        <v/>
      </c>
      <c r="LT61" s="506" t="str">
        <f t="shared" si="533"/>
        <v/>
      </c>
      <c r="LU61" s="919" t="str">
        <f>IF(A61=FALSE,"",((LG61*TAXE)-(LG61*TAXE*LI61))+IF(LM61="N/A",0,IF(INDEX(LISTES!$F$105:$F$109,MATCH(LM61,LISTES!$C$105:$C$109,0))="FIX",LN61,LO61*LL61)))</f>
        <v/>
      </c>
      <c r="MA61" s="492" t="str">
        <f>IF(A61=FALSE,"",Cotations!D61)</f>
        <v/>
      </c>
      <c r="MB61" s="491" t="str">
        <f>IF(A61=FALSE,"",IF(LISTES!$A$17=1,Cotations!BV61,Cotations!BW61))</f>
        <v/>
      </c>
      <c r="MC61" s="285" t="str">
        <f t="shared" si="534"/>
        <v/>
      </c>
      <c r="MD61" s="300"/>
      <c r="ME61" s="461" t="str">
        <f t="shared" si="535"/>
        <v/>
      </c>
      <c r="MF61" s="490" t="str">
        <f>IF(A61=FALSE,"",IF(MA61="POEA",Cotations!BY61,IF(MA61="FIXE",Cotations!BZ61,IF(Cotations!CA61*Y61&lt;50000,Z61,Cotations!CA61*Y61))))</f>
        <v/>
      </c>
      <c r="MG61" s="300" t="str">
        <f t="shared" si="536"/>
        <v/>
      </c>
      <c r="MH61" s="522" t="str">
        <f>IF(A61=FALSE,"",IF(Cotations!BX61="monthly",MG61/12*L61,MG61/365*M61))</f>
        <v/>
      </c>
      <c r="MI61" s="489" t="str">
        <f>IF(A61=FALSE,"",IF(Cotations!CB61="","",Cotations!CB61))</f>
        <v/>
      </c>
      <c r="MJ61" s="300" t="str">
        <f t="shared" si="537"/>
        <v/>
      </c>
      <c r="MK61" s="300" t="str">
        <f t="shared" si="538"/>
        <v/>
      </c>
      <c r="ML61" s="919" t="str">
        <f t="shared" si="539"/>
        <v/>
      </c>
      <c r="MM61" s="517" t="str">
        <f>IF(A61=FALSE,"",Cotations!CC61)</f>
        <v/>
      </c>
      <c r="MN61" s="515" t="str">
        <f>IF(A61=FALSE,"",Cotations!CD61)</f>
        <v/>
      </c>
      <c r="MO61" s="493" t="str">
        <f>IF(A61=FALSE,"",Cotations!CE61)</f>
        <v/>
      </c>
      <c r="MP61" s="517" t="str">
        <f>IF(A61=FALSE,"",IF(MM61="N/A",0,IF(INDEX(LISTES!$F$105:$F$109,MATCH(MM61,LISTES!$C$105:$C$109,0))="FIX",IF(INDEX(LISTES!$E$105:$E$109,MATCH(MM61,LISTES!$C$105:$C$109,0))=12,MN61/12*L61,MN61/365*M61),MO61*ML61)))</f>
        <v/>
      </c>
      <c r="MQ61" s="294" t="str">
        <f t="shared" si="540"/>
        <v/>
      </c>
      <c r="MR61" s="494" t="str">
        <f>IF(A61=FALSE,"",MQ61*Cotations!CF61)</f>
        <v/>
      </c>
      <c r="MS61" s="494" t="str">
        <f>IF(A61=FALSE,"",MQ61*Cotations!CG61)</f>
        <v/>
      </c>
      <c r="MT61" s="338" t="str">
        <f t="shared" si="541"/>
        <v/>
      </c>
      <c r="MU61" s="919" t="str">
        <f>IF(A61=FALSE,"",((MG61*TAXE)-(MG61*TAXE*MI61))+IF(MM61="N/A",0,IF(INDEX(LISTES!$F$105:$F$109,MATCH(MM61,LISTES!$C$105:$C$109,0))="FIX",MN61,MO61*ML61)))</f>
        <v/>
      </c>
      <c r="NA61" s="497" t="str">
        <f>IF(A61=FALSE,"",Cotations!D61)</f>
        <v/>
      </c>
      <c r="NB61" s="498" t="str">
        <f>IF(A61=FALSE,"",IF(LISTES!$A$17=1,Cotations!CH61,Cotations!$CI$4))</f>
        <v/>
      </c>
      <c r="NC61" s="499" t="str">
        <f t="shared" si="542"/>
        <v/>
      </c>
      <c r="ND61" s="499" t="str">
        <f t="shared" si="543"/>
        <v/>
      </c>
      <c r="NE61" s="500" t="str">
        <f t="shared" si="544"/>
        <v/>
      </c>
      <c r="NF61" s="501" t="str">
        <f>IF(A61=FALSE,"",IF(NA61="POEA",Cotations!CK61,IF(NA61="FIXE",Cotations!$CK$4,Cotations!$CM$4*Y61)))</f>
        <v/>
      </c>
      <c r="NG61" s="502" t="str">
        <f t="shared" si="545"/>
        <v/>
      </c>
      <c r="NH61" s="520" t="str">
        <f>IF(A61=FALSE,"",IF(Cotations!$CJ$4="monthly",NG61/12*L61,NG61/365*M61))</f>
        <v/>
      </c>
      <c r="NI61" s="503" t="str">
        <f>IF(A61=FALSE,"",Cotations!$CN$4)</f>
        <v/>
      </c>
      <c r="NJ61" s="502" t="str">
        <f t="shared" si="546"/>
        <v/>
      </c>
      <c r="NK61" s="502" t="str">
        <f t="shared" si="547"/>
        <v/>
      </c>
      <c r="NL61" s="504" t="str">
        <f t="shared" si="548"/>
        <v/>
      </c>
      <c r="NM61" s="505" t="str">
        <f>IF(A61=FALSE,"",Cotations!$CO$4)</f>
        <v/>
      </c>
      <c r="NN61" s="520" t="str">
        <f>IF(A61=FALSE,"",Cotations!$CP$4)</f>
        <v/>
      </c>
      <c r="NO61" s="503" t="str">
        <f>IF(A61=FALSE,"",Cotations!$CQ$4)</f>
        <v/>
      </c>
      <c r="NP61" s="505" t="str">
        <f>IF(A61=FALSE,"",IF(NM61="N/A",0,IF(INDEX(LISTES!$F$105:$F$109,MATCH(NM61,LISTES!$C$105:$C$109,0))="FIX",IF(INDEX(LISTES!$E$105:$E$109,MATCH(NM61,LISTES!$C$105:$C$109,0))=12,NN61/12*L61,NN61/365*M61),NO61*NL61)))</f>
        <v/>
      </c>
      <c r="NQ61" s="504" t="str">
        <f t="shared" si="549"/>
        <v/>
      </c>
      <c r="NR61" s="505" t="str">
        <f>IF(A61=FALSE,"",NQ61*Cotations!$CR$4)</f>
        <v/>
      </c>
      <c r="NS61" s="505" t="str">
        <f>IF(A61=FALSE,"",NQ61*Cotations!$CS$4)</f>
        <v/>
      </c>
      <c r="NT61" s="506" t="str">
        <f t="shared" si="550"/>
        <v/>
      </c>
      <c r="NU61" s="919" t="str">
        <f>IF(A61=FALSE,"",((NG61*TAXE)-(NG61*TAXE*NI61))+IF(NM61="N/A",0,IF(INDEX(LISTES!$F$105:$F$109,MATCH(NM61,LISTES!$C$105:$C$109,0))="FIX",NN61,NO61*NL61)))</f>
        <v/>
      </c>
      <c r="OA61" s="492" t="str">
        <f>IF(A61=FALSE,"",Cotations!D61)</f>
        <v/>
      </c>
      <c r="OB61" s="491" t="str">
        <f>IF(A61=FALSE,"",IF(LISTES!$A$17=1,Cotations!CH61,Cotations!CI61))</f>
        <v/>
      </c>
      <c r="OC61" s="285" t="str">
        <f t="shared" si="551"/>
        <v/>
      </c>
      <c r="OD61" s="300"/>
      <c r="OE61" s="461" t="str">
        <f t="shared" si="552"/>
        <v/>
      </c>
      <c r="OF61" s="490" t="str">
        <f>IF(A61=FALSE,"",IF(OA61="POEA",Cotations!CK61,IF(OA61="FIXE",Cotations!CL61,IF(Cotations!CM61*Y61&lt;50000,Z61,Cotations!CM61*Y61))))</f>
        <v/>
      </c>
      <c r="OG61" s="300" t="str">
        <f t="shared" si="553"/>
        <v/>
      </c>
      <c r="OH61" s="522" t="str">
        <f>IF(A61=FALSE,"",IF(Cotations!CJ61="monthly",OG61/12*L61,OG61/365*M61))</f>
        <v/>
      </c>
      <c r="OI61" s="489" t="str">
        <f>IF(A61=FALSE,"",IF(Cotations!CN61="","",Cotations!CN61))</f>
        <v/>
      </c>
      <c r="OJ61" s="300" t="str">
        <f t="shared" si="554"/>
        <v/>
      </c>
      <c r="OK61" s="300" t="str">
        <f t="shared" si="555"/>
        <v/>
      </c>
      <c r="OL61" s="919" t="str">
        <f t="shared" si="556"/>
        <v/>
      </c>
      <c r="OM61" s="517" t="str">
        <f>IF(A61=FALSE,"",Cotations!CO61)</f>
        <v/>
      </c>
      <c r="ON61" s="515" t="str">
        <f>IF(A61=FALSE,"",Cotations!CP61)</f>
        <v/>
      </c>
      <c r="OO61" s="493" t="str">
        <f>IF(A61=FALSE,"",Cotations!CQ61)</f>
        <v/>
      </c>
      <c r="OP61" s="517" t="str">
        <f>IF(A61=FALSE,"",IF(OM61="N/A",0,IF(INDEX(LISTES!$F$105:$F$109,MATCH(OM61,LISTES!$C$105:$C$109,0))="FIX",IF(INDEX(LISTES!$E$105:$E$109,MATCH(OM61,LISTES!$C$105:$C$109,0))=12,ON61/12*L61,ON61/365*M61),OO61*OL61)))</f>
        <v/>
      </c>
      <c r="OQ61" s="294" t="str">
        <f t="shared" si="557"/>
        <v/>
      </c>
      <c r="OR61" s="494" t="str">
        <f>IF(A61=FALSE,"",OQ61*Cotations!CR61)</f>
        <v/>
      </c>
      <c r="OS61" s="494" t="str">
        <f>IF(A61=FALSE,"",OQ61*Cotations!CS61)</f>
        <v/>
      </c>
      <c r="OT61" s="338" t="str">
        <f t="shared" si="558"/>
        <v/>
      </c>
      <c r="OU61" s="919" t="str">
        <f>IF(A61=FALSE,"",((OG61*TAXE)-(OG61*TAXE*OI61))+IF(OM61="N/A",0,IF(INDEX(LISTES!$F$105:$F$109,MATCH(OM61,LISTES!$C$105:$C$109,0))="FIX",ON61,OO61*OL61)))</f>
        <v/>
      </c>
      <c r="PA61" s="497" t="str">
        <f t="shared" si="559"/>
        <v/>
      </c>
      <c r="PB61" s="498" t="str">
        <f>IF(A61=FALSE,"",IF(LISTES!$A$17=1,Cotations!CT61,Cotations!$CU$4))</f>
        <v/>
      </c>
      <c r="PC61" s="499" t="str">
        <f t="shared" si="560"/>
        <v/>
      </c>
      <c r="PD61" s="499" t="str">
        <f t="shared" si="561"/>
        <v/>
      </c>
      <c r="PE61" s="500" t="str">
        <f t="shared" si="562"/>
        <v/>
      </c>
      <c r="PF61" s="501" t="str">
        <f>IF(A61=FALSE,"",Cotations!$CY$4*Y61)</f>
        <v/>
      </c>
      <c r="PG61" s="502" t="str">
        <f t="shared" si="563"/>
        <v/>
      </c>
      <c r="PH61" s="520" t="str">
        <f>IF(A61=FALSE,"",IF(Cotations!$CV$4="monthly",PG61/12*L61,PG61/365*M61))</f>
        <v/>
      </c>
      <c r="PI61" s="503" t="str">
        <f>IF(A61=FALSE,"",Cotations!$CZ$4)</f>
        <v/>
      </c>
      <c r="PJ61" s="502" t="str">
        <f t="shared" si="564"/>
        <v/>
      </c>
      <c r="PK61" s="502" t="str">
        <f t="shared" si="565"/>
        <v/>
      </c>
      <c r="PL61" s="504" t="str">
        <f t="shared" si="566"/>
        <v/>
      </c>
      <c r="PM61" s="505" t="str">
        <f>IF(A61=FALSE,"",Cotations!$DA$4)</f>
        <v/>
      </c>
      <c r="PN61" s="520" t="str">
        <f>IF(A61=FALSE,"",Cotations!$DB$4)</f>
        <v/>
      </c>
      <c r="PO61" s="503" t="str">
        <f>IF(A61=FALSE,"",Cotations!$DC$4)</f>
        <v/>
      </c>
      <c r="PP61" s="505" t="str">
        <f>IF(A61=FALSE,"",IF(PM61="N/A",0,IF(INDEX(LISTES!$F$105:$F$109,MATCH(PM61,LISTES!$C$105:$C$109,0))="FIX",IF(INDEX(LISTES!$E$105:$E$109,MATCH(PM61,LISTES!$C$105:$C$109,0))=12,PN61/12*L61,PN61/365*M61),PO61*PL61)))</f>
        <v/>
      </c>
      <c r="PQ61" s="504" t="str">
        <f t="shared" si="567"/>
        <v/>
      </c>
      <c r="PR61" s="505" t="str">
        <f>IF(A61=FALSE,"",PQ61*Cotations!$DD$4)</f>
        <v/>
      </c>
      <c r="PS61" s="505" t="str">
        <f>IF(A61=FALSE,"",PQ61*Cotations!$DE$4)</f>
        <v/>
      </c>
      <c r="PT61" s="506" t="str">
        <f t="shared" si="568"/>
        <v/>
      </c>
      <c r="PU61" s="919" t="str">
        <f>IF(A61=FALSE,"",((PG61*TAXE)-(PG61*TAXE*PI61))+IF(PM61="N/A",0,IF(INDEX(LISTES!$F$105:$F$109,MATCH(PM61,LISTES!$C$105:$C$109,0))="FIX",PN61,PO61*PL61)))</f>
        <v/>
      </c>
      <c r="QA61" s="492" t="str">
        <f t="shared" si="569"/>
        <v/>
      </c>
      <c r="QB61" s="491" t="str">
        <f>IF(A61=FALSE,"",IF(LISTES!$A$17=1,Cotations!CT61,Cotations!CU61))</f>
        <v/>
      </c>
      <c r="QC61" s="285" t="str">
        <f t="shared" si="570"/>
        <v/>
      </c>
      <c r="QD61" s="300"/>
      <c r="QE61" s="461" t="str">
        <f t="shared" si="571"/>
        <v/>
      </c>
      <c r="QF61" s="490" t="str">
        <f>IF(A61=FALSE,"",Cotations!CY61*AA61)</f>
        <v/>
      </c>
      <c r="QG61" s="300" t="str">
        <f t="shared" si="572"/>
        <v/>
      </c>
      <c r="QH61" s="522" t="str">
        <f>IF(A61=FALSE,"",IF(Cotations!CV61="monthly",QG61/12*L61,QG61/365*M61))</f>
        <v/>
      </c>
      <c r="QI61" s="489" t="str">
        <f>IF(A61=FALSE,"",IF(Cotations!CZ61="","",Cotations!CZ61))</f>
        <v/>
      </c>
      <c r="QJ61" s="300" t="str">
        <f t="shared" si="573"/>
        <v/>
      </c>
      <c r="QK61" s="300" t="str">
        <f t="shared" si="574"/>
        <v/>
      </c>
      <c r="QL61" s="919" t="str">
        <f t="shared" si="575"/>
        <v/>
      </c>
      <c r="QM61" s="517" t="str">
        <f>IF(A61=FALSE,"",Cotations!DA61)</f>
        <v/>
      </c>
      <c r="QN61" s="515" t="str">
        <f>IF(A61=FALSE,"",Cotations!DB61)</f>
        <v/>
      </c>
      <c r="QO61" s="493" t="str">
        <f>IF(A61=FALSE,"",Cotations!DC61)</f>
        <v/>
      </c>
      <c r="QP61" s="517" t="str">
        <f>IF(A61=FALSE,"",IF(QM61="N/A",0,IF(INDEX(LISTES!$F$105:$F$109,MATCH(QM61,LISTES!$C$105:$C$109,0))="FIX",IF(INDEX(LISTES!$E$105:$E$109,MATCH(QM61,LISTES!$C$105:$C$109,0))=12,QN61/12*L61,QN61/365*M61),QO61*QL61)))</f>
        <v/>
      </c>
      <c r="QQ61" s="294" t="str">
        <f t="shared" si="576"/>
        <v/>
      </c>
      <c r="QR61" s="494" t="str">
        <f>IF(A61=FALSE,"",QQ61*Cotations!DD61)</f>
        <v/>
      </c>
      <c r="QS61" s="494" t="str">
        <f>IF(A61=FALSE,"",QQ61*Cotations!DE61)</f>
        <v/>
      </c>
      <c r="QT61" s="338" t="str">
        <f t="shared" si="577"/>
        <v/>
      </c>
      <c r="QU61" s="919" t="str">
        <f>IF(A61=FALSE,"",((QG61*TAXE)-(QG61*TAXE*QI61))+IF(QM61="N/A",0,IF(INDEX(LISTES!$F$105:$F$109,MATCH(QM61,LISTES!$C$105:$C$109,0))="FIX",QN61,QO61*QL61)))</f>
        <v/>
      </c>
      <c r="RA61" s="497" t="str">
        <f t="shared" si="578"/>
        <v/>
      </c>
      <c r="RB61" s="498" t="str">
        <f>IF(A61=FALSE,"",IF(LISTES!$A$17=1,Cotations!DF61,Cotations!$DG$4))</f>
        <v/>
      </c>
      <c r="RC61" s="499" t="str">
        <f t="shared" si="579"/>
        <v/>
      </c>
      <c r="RD61" s="499" t="str">
        <f t="shared" si="580"/>
        <v/>
      </c>
      <c r="RE61" s="500" t="str">
        <f t="shared" si="581"/>
        <v/>
      </c>
      <c r="RF61" s="501" t="str">
        <f>IF(A61=FALSE,"",Cotations!$DK$4*Y61)</f>
        <v/>
      </c>
      <c r="RG61" s="502" t="str">
        <f t="shared" si="582"/>
        <v/>
      </c>
      <c r="RH61" s="520" t="str">
        <f>IF(A61=FALSE,"",IF(Cotations!$DH$4="monthly",RG61/12*L61,RG61/365*M61))</f>
        <v/>
      </c>
      <c r="RI61" s="503" t="str">
        <f>IF(A61=FALSE,"",Cotations!$DL$4)</f>
        <v/>
      </c>
      <c r="RJ61" s="502" t="str">
        <f t="shared" si="583"/>
        <v/>
      </c>
      <c r="RK61" s="502" t="str">
        <f t="shared" si="584"/>
        <v/>
      </c>
      <c r="RL61" s="504" t="str">
        <f t="shared" si="585"/>
        <v/>
      </c>
      <c r="RM61" s="505" t="str">
        <f>IF(A61=FALSE,"",Cotations!$DM$4)</f>
        <v/>
      </c>
      <c r="RN61" s="520" t="str">
        <f>IF(A61=FALSE,"",Cotations!$DN$4)</f>
        <v/>
      </c>
      <c r="RO61" s="503" t="str">
        <f>IF(A61=FALSE,"",Cotations!$DO$4)</f>
        <v/>
      </c>
      <c r="RP61" s="505" t="str">
        <f>IF(A61=FALSE,"",IF(RM61="N/A",0,IF(INDEX(LISTES!$F$105:$F$109,MATCH(RM61,LISTES!$C$105:$C$109,0))="FIX",IF(INDEX(LISTES!$E$105:$E$109,MATCH(RM61,LISTES!$C$105:$C$109,0))=12,RN61/12*L61,RN61/365*M61),RO61*RL61)))</f>
        <v/>
      </c>
      <c r="RQ61" s="504" t="str">
        <f t="shared" si="586"/>
        <v/>
      </c>
      <c r="RR61" s="505" t="str">
        <f>IF(A61=FALSE,"",RQ61*Cotations!$DP$4)</f>
        <v/>
      </c>
      <c r="RS61" s="505" t="str">
        <f>IF(A61=FALSE,"",RQ61*Cotations!$DQ$4)</f>
        <v/>
      </c>
      <c r="RT61" s="506" t="str">
        <f t="shared" si="587"/>
        <v/>
      </c>
      <c r="RU61" s="919" t="str">
        <f>IF(A61=FALSE,"",((RG61*TAXE)-(RG61*TAXE*RI61))+IF(RM61="N/A",0,IF(INDEX(LISTES!$F$105:$F$109,MATCH(RM61,LISTES!$C$105:$C$109,0))="FIX",RN61,RO61*RL61)))</f>
        <v/>
      </c>
      <c r="SA61" s="492" t="str">
        <f t="shared" si="588"/>
        <v/>
      </c>
      <c r="SB61" s="491" t="str">
        <f>IF(A61=FALSE,"",IF(LISTES!$A$17=1,Cotations!DF61,Cotations!DG61))</f>
        <v/>
      </c>
      <c r="SC61" s="285" t="str">
        <f t="shared" si="589"/>
        <v/>
      </c>
      <c r="SD61" s="300"/>
      <c r="SE61" s="461" t="str">
        <f t="shared" si="590"/>
        <v/>
      </c>
      <c r="SF61" s="490" t="str">
        <f>IF(A61=FALSE,"",Cotations!DK61*AA61)</f>
        <v/>
      </c>
      <c r="SG61" s="300" t="str">
        <f t="shared" si="591"/>
        <v/>
      </c>
      <c r="SH61" s="522" t="str">
        <f>IF(A61=FALSE,"",IF(Cotations!DH61="monthly",SG61/12*L61,SG61/365*M61))</f>
        <v/>
      </c>
      <c r="SI61" s="489" t="str">
        <f>IF(A61=FALSE,"",IF(Cotations!DL61="","",Cotations!DL61))</f>
        <v/>
      </c>
      <c r="SJ61" s="300" t="str">
        <f t="shared" si="592"/>
        <v/>
      </c>
      <c r="SK61" s="300" t="str">
        <f t="shared" si="593"/>
        <v/>
      </c>
      <c r="SL61" s="919" t="str">
        <f t="shared" si="594"/>
        <v/>
      </c>
      <c r="SM61" s="285" t="str">
        <f>IF(A61=FALSE,"",Cotations!DM61)</f>
        <v/>
      </c>
      <c r="SN61" s="515" t="str">
        <f>IF(A61=FALSE,"",Cotations!DN61)</f>
        <v/>
      </c>
      <c r="SO61" s="493" t="str">
        <f>IF(A61=FALSE,"",Cotations!DO61)</f>
        <v/>
      </c>
      <c r="SP61" s="517" t="str">
        <f>IF(A61=FALSE,"",IF(SM61="N/A",0,IF(INDEX(LISTES!$F$105:$F$109,MATCH(SM61,LISTES!$C$105:$C$109,0))="FIX",IF(INDEX(LISTES!$E$105:$E$109,MATCH(SM61,LISTES!$C$105:$C$109,0))=12,SN61/12*L61,SN61/365*M61),SO61*SL61)))</f>
        <v/>
      </c>
      <c r="SQ61" s="294" t="str">
        <f t="shared" si="595"/>
        <v/>
      </c>
      <c r="SR61" s="494" t="str">
        <f>IF(A61=FALSE,"",SQ61*Cotations!DP61)</f>
        <v/>
      </c>
      <c r="SS61" s="494" t="str">
        <f>IF(A61=FALSE,"",SQ61*Cotations!DQ61)</f>
        <v/>
      </c>
      <c r="ST61" s="338" t="str">
        <f t="shared" si="596"/>
        <v/>
      </c>
      <c r="SU61" s="919" t="str">
        <f>IF(A61=FALSE,"",((SG61*TAXE)-(SG61*TAXE*SI61))+IF(SM61="N/A",0,IF(INDEX(LISTES!$F$105:$F$109,MATCH(SM61,LISTES!$C$105:$C$109,0))="FIX",SN61,SO61*SL61)))</f>
        <v/>
      </c>
      <c r="TA61" s="492" t="str">
        <f>IF(A61=FALSE,"",Cotations!D61)</f>
        <v/>
      </c>
      <c r="TB61" s="491" t="str">
        <f>IF(A61=FALSE,"",IF(LISTES!$A$17=1,Cotations!DR61,Cotations!DS61))</f>
        <v/>
      </c>
      <c r="TC61" s="285" t="str">
        <f t="shared" si="597"/>
        <v/>
      </c>
      <c r="TD61" s="300" t="str">
        <f>IF(A61=FALSE,"",Detail!CQ61)</f>
        <v/>
      </c>
      <c r="TE61" s="461" t="str">
        <f t="shared" si="598"/>
        <v/>
      </c>
      <c r="TF61" s="490" t="str">
        <f>IF(A61=FALSE,"",IF(TA61="FIXE",Cotations!DU61,Cotations!DV61*Y61))</f>
        <v/>
      </c>
      <c r="TG61" s="300" t="str">
        <f t="shared" si="599"/>
        <v/>
      </c>
      <c r="TH61" s="522" t="str">
        <f>IF(A61=FALSE,"",IF(Cotations!DT61="monthly",TG61/12*L61,TG61/365*M61))</f>
        <v/>
      </c>
      <c r="TI61" s="489" t="str">
        <f>IF(A61=FALSE,"",IF(Cotations!DW61="","",Cotations!DW61))</f>
        <v/>
      </c>
      <c r="TJ61" s="300" t="str">
        <f t="shared" si="600"/>
        <v/>
      </c>
      <c r="TK61" s="300" t="str">
        <f t="shared" si="601"/>
        <v/>
      </c>
      <c r="TL61" s="919" t="str">
        <f t="shared" si="602"/>
        <v/>
      </c>
      <c r="TM61" s="517" t="str">
        <f>IF(A61=FALSE,"",Cotations!DX61)</f>
        <v/>
      </c>
      <c r="TN61" s="517" t="str">
        <f>IF(A61=FALSE,"",Cotations!DY61)</f>
        <v/>
      </c>
      <c r="TO61" s="493" t="str">
        <f>IF(A61=FALSE,"",Cotations!DZ61)</f>
        <v/>
      </c>
      <c r="TP61" s="517" t="str">
        <f>IF(A61=FALSE,"",IF(TM61="N/A",0,IF(INDEX(LISTES!$F$105:$F$109,MATCH(TM61,LISTES!$C$105:$C$109,0))="FIX",IF(INDEX(LISTES!$E$105:$E$109,MATCH(TM61,LISTES!$C$105:$C$109,0))=12,TN61/12*L61,TN61/365*M61),TO61*TL61)))</f>
        <v/>
      </c>
      <c r="TQ61" s="294" t="str">
        <f t="shared" si="603"/>
        <v/>
      </c>
      <c r="TR61" s="494" t="str">
        <f>IF(A61=FALSE,"",TQ61*Cotations!EA61)</f>
        <v/>
      </c>
      <c r="TS61" s="494" t="str">
        <f>IF(A61=FALSE,"",TQ61*Cotations!EB61)</f>
        <v/>
      </c>
      <c r="TT61" s="338" t="str">
        <f t="shared" si="604"/>
        <v/>
      </c>
      <c r="TU61" s="919" t="str">
        <f>IF(A61=FALSE,"",((TG61*(1+TAXE)-(TG61*(1+TAXE)*TI61))+IF(TM61="N/A",0,IF(INDEX(LISTES!$F$105:$F$109,MATCH(TM61,LISTES!$C$105:$C$109,0))="FIX",TN61,TO61*TL61))))</f>
        <v/>
      </c>
      <c r="UA61" s="492" t="str">
        <f>IF(A61=FALSE,"",Cotations!D61)</f>
        <v/>
      </c>
      <c r="UB61" s="491" t="str">
        <f>IF(A61=FALSE,"",IF(LISTES!$A$17=1,Cotations!EC61,Cotations!ED61))</f>
        <v/>
      </c>
      <c r="UC61" s="285" t="str">
        <f t="shared" si="605"/>
        <v/>
      </c>
      <c r="UD61" s="300" t="str">
        <f>IF(A61=FALSE,"",Detail!CY61)</f>
        <v/>
      </c>
      <c r="UE61" s="461" t="str">
        <f t="shared" si="606"/>
        <v/>
      </c>
      <c r="UF61" s="490" t="str">
        <f>IF(A61=FALSE,"",IF(UA61="FIXE",Cotations!EF61,Cotations!EG61*Y61))</f>
        <v/>
      </c>
      <c r="UG61" s="300" t="str">
        <f t="shared" si="607"/>
        <v/>
      </c>
      <c r="UH61" s="522" t="str">
        <f>IF(A61=FALSE,"",IF(Cotations!EE61="monthly",UG61/12*L61,UG61/365*M61))</f>
        <v/>
      </c>
      <c r="UI61" s="489" t="str">
        <f>IF(A61=FALSE,"",IF(Cotations!EH61="","",Cotations!EH61))</f>
        <v/>
      </c>
      <c r="UJ61" s="300" t="str">
        <f t="shared" si="608"/>
        <v/>
      </c>
      <c r="UK61" s="300" t="str">
        <f t="shared" si="609"/>
        <v/>
      </c>
      <c r="UL61" s="919" t="str">
        <f t="shared" si="610"/>
        <v/>
      </c>
      <c r="UM61" s="517" t="str">
        <f>IF(A61=FALSE,"",Cotations!EI61)</f>
        <v/>
      </c>
      <c r="UN61" s="517" t="str">
        <f>IF(A61=FALSE,"",Cotations!EJ61)</f>
        <v/>
      </c>
      <c r="UO61" s="493" t="str">
        <f>IF(A61=FALSE,"",Cotations!EK61)</f>
        <v/>
      </c>
      <c r="UP61" s="517" t="str">
        <f>IF(A61=FALSE,"",IF(UM61="N/A",0,IF(INDEX(LISTES!$F$105:$F$109,MATCH(UM61,LISTES!$C$105:$C$109,0))="FIX",IF(INDEX(LISTES!$E$105:$E$109,MATCH(UM61,LISTES!$C$105:$C$109,0))=12,UN61/12*L61,UN61/365*M61),UO61*UL61)))</f>
        <v/>
      </c>
      <c r="UQ61" s="294" t="str">
        <f t="shared" si="611"/>
        <v/>
      </c>
      <c r="UR61" s="494" t="str">
        <f>IF(A61=FALSE,"",UQ61*Cotations!EL61)</f>
        <v/>
      </c>
      <c r="US61" s="494" t="str">
        <f>IF(A61=FALSE,"",UQ61*Cotations!EM61)</f>
        <v/>
      </c>
      <c r="UT61" s="338" t="str">
        <f t="shared" si="612"/>
        <v/>
      </c>
      <c r="UU61" s="919" t="str">
        <f>IF(A61=FALSE,"",((UG61*(1+TAXE)-(UG61*(1+TAXE)*UI61))+IF(UM61="N/A",0,IF(INDEX(LISTES!$F$105:$F$109,MATCH(UM61,LISTES!$C$105:$C$109,0))="FIX",UN61,UO61*UL61))))</f>
        <v/>
      </c>
      <c r="VA61" s="492" t="str">
        <f>IF(A61=FALSE,"",Cotations!D61)</f>
        <v/>
      </c>
      <c r="VB61" s="519" t="str">
        <f>IF(A61=FALSE,"",IF(LISTES!$A$17=1,Cotations!EN61,Cotations!EO61))</f>
        <v/>
      </c>
      <c r="VC61" s="291" t="str">
        <f t="shared" si="613"/>
        <v/>
      </c>
      <c r="VD61" s="291" t="str">
        <f t="shared" si="614"/>
        <v/>
      </c>
      <c r="VE61" s="291"/>
      <c r="VF61" s="463"/>
      <c r="VG61" s="463" t="str">
        <f t="shared" si="615"/>
        <v/>
      </c>
      <c r="VH61" s="522" t="str">
        <f>IF(A61=FALSE,"",IF(Cotations!$AQ$4="monthly",VG61/12*L61,VG61/365*M61))</f>
        <v/>
      </c>
      <c r="VI61" s="489" t="str">
        <f>IF(A61=FALSE,"",Cotations!$AR$4)</f>
        <v/>
      </c>
      <c r="VJ61" s="300" t="str">
        <f t="shared" si="616"/>
        <v/>
      </c>
      <c r="VK61" s="300" t="str">
        <f t="shared" si="617"/>
        <v/>
      </c>
      <c r="VL61" s="294" t="str">
        <f t="shared" si="618"/>
        <v/>
      </c>
      <c r="VM61" s="494" t="str">
        <f>IF(A61=FALSE,"",Cotations!$AS$4)</f>
        <v/>
      </c>
      <c r="VN61" s="494" t="str">
        <f>IF(A61=FALSE,"",Cotations!$AT$4)</f>
        <v/>
      </c>
      <c r="VO61" s="489" t="str">
        <f>IF(A61=FALSE,"",Cotations!$AU$4)</f>
        <v/>
      </c>
      <c r="VP61" s="494" t="str">
        <f>IF(A61=FALSE,"",IF(VM61="N/A",0,IF(INDEX(LISTES!$F$105:$F$109,MATCH(VM61,LISTES!$C$105:$C$109,0))="FIX",IF(INDEX(LISTES!$E$105:$E$109,MATCH(VM61,LISTES!$C$105:$C$109,0))=12,VN61/12*L61,VN61/365*M61),VO61*VL61)))</f>
        <v/>
      </c>
      <c r="VQ61" s="294" t="str">
        <f t="shared" si="619"/>
        <v/>
      </c>
      <c r="VR61" s="494" t="str">
        <f>IF(A61=FALSE,"",VQ61*Cotations!$AV$4)</f>
        <v/>
      </c>
      <c r="VS61" s="494" t="str">
        <f>IF(A61=FALSE,"",VQ61*Cotations!$AW$4)</f>
        <v/>
      </c>
      <c r="VT61" s="465" t="str">
        <f t="shared" si="620"/>
        <v/>
      </c>
      <c r="VU61" s="919" t="str">
        <f>IF(A61=FALSE,"",((VG61*TAXE)-(VG61*TAXE*VI61))+IF(VM61="N/A",0,IF(INDEX(LISTES!$F$105:$F$109,MATCH(VM61,LISTES!$C$105:$C$109,0))="FIX",VN61,VO61*VL61)))</f>
        <v/>
      </c>
      <c r="WA61" s="492" t="str">
        <f>IF(A61=FALSE,"",Cotations!D61)</f>
        <v/>
      </c>
      <c r="WB61" s="519" t="str">
        <f>IF(A61=FALSE,"",IF(LISTES!$A$17=1,Cotations!EW61,Cotations!EX61))</f>
        <v/>
      </c>
      <c r="WC61" s="291" t="str">
        <f t="shared" si="621"/>
        <v/>
      </c>
      <c r="WD61" s="291" t="str">
        <f t="shared" si="622"/>
        <v/>
      </c>
      <c r="WE61" s="291"/>
      <c r="WF61" s="463"/>
      <c r="WG61" s="463" t="str">
        <f t="shared" si="623"/>
        <v/>
      </c>
      <c r="WH61" s="522" t="str">
        <f>IF(A61=FALSE,"",IF(Cotations!$AQ$4="monthly",WG61/12*L61,WG61/365*M61))</f>
        <v/>
      </c>
      <c r="WI61" s="489" t="str">
        <f>IF(A61=FALSE,"",Cotations!$AR$4)</f>
        <v/>
      </c>
      <c r="WJ61" s="300" t="str">
        <f t="shared" si="624"/>
        <v/>
      </c>
      <c r="WK61" s="300" t="str">
        <f t="shared" si="625"/>
        <v/>
      </c>
      <c r="WL61" s="294" t="str">
        <f t="shared" si="626"/>
        <v/>
      </c>
      <c r="WM61" s="494" t="str">
        <f>IF(A61=FALSE,"",Cotations!$AS$4)</f>
        <v/>
      </c>
      <c r="WN61" s="494" t="str">
        <f>IF(A61=FALSE,"",Cotations!$AT$4)</f>
        <v/>
      </c>
      <c r="WO61" s="489" t="str">
        <f>IF(A61=FALSE,"",Cotations!$AU$4)</f>
        <v/>
      </c>
      <c r="WP61" s="494" t="str">
        <f>IF(A61=FALSE,"",IF(WM61="N/A",0,IF(INDEX(LISTES!$F$105:$F$109,MATCH(WM61,LISTES!$C$105:$C$109,0))="FIX",IF(INDEX(LISTES!$E$105:$E$109,MATCH(WM61,LISTES!$C$105:$C$109,0))=12,WN61/12*L61,WN61/365*M61),WO61*WL61)))</f>
        <v/>
      </c>
      <c r="WQ61" s="294" t="str">
        <f t="shared" si="627"/>
        <v/>
      </c>
      <c r="WR61" s="494" t="str">
        <f>IF(A61=FALSE,"",WQ61*Cotations!$AV$4)</f>
        <v/>
      </c>
      <c r="WS61" s="494" t="str">
        <f>IF(A61=FALSE,"",WQ61*Cotations!$AW$4)</f>
        <v/>
      </c>
      <c r="WT61" s="465" t="str">
        <f t="shared" si="628"/>
        <v/>
      </c>
      <c r="WU61" s="919" t="str">
        <f>IF(A61=FALSE,"",((WG61*TAXE)-(WG61*TAXE*WI61))+IF(WM61="N/A",0,IF(INDEX(LISTES!$F$105:$F$109,MATCH(WM61,LISTES!$C$105:$C$109,0))="FIX",WN61,WO61*WL61)))</f>
        <v/>
      </c>
    </row>
    <row r="62" spans="1:619">
      <c r="A62" s="942" t="b">
        <f t="shared" si="433"/>
        <v>0</v>
      </c>
      <c r="B62" s="942" t="b">
        <f>IF(NAMES!$B$9=TRUE,TRUE,FALSE)</f>
        <v>1</v>
      </c>
      <c r="C62" s="942" t="b">
        <f t="shared" si="413"/>
        <v>0</v>
      </c>
      <c r="D62" s="942" t="b">
        <f t="shared" si="414"/>
        <v>0</v>
      </c>
      <c r="E62" s="274" t="b">
        <f>IF(Cotations!C62="","",Cotations!C62)</f>
        <v>0</v>
      </c>
      <c r="F62" s="274" t="str">
        <f>IF(Cotations!D62="","",Cotations!D62)</f>
        <v>PROP</v>
      </c>
      <c r="G62" s="274" t="str">
        <f>IF(Cotations!E62="","",Cotations!E62)</f>
        <v>2016-2017!</v>
      </c>
      <c r="H62" s="274" t="str">
        <f>IF(Cotations!F62="","",Cotations!F62)</f>
        <v>SINGLE</v>
      </c>
      <c r="I62" s="274" t="str">
        <f>IF(Cotations!G62="","",Cotations!G62)</f>
        <v/>
      </c>
      <c r="J62" s="274" t="str">
        <f>IF(Cotations!H62="","",Cotations!H62)</f>
        <v/>
      </c>
      <c r="K62" s="274" t="str">
        <f>IF(Cotations!I62="","",Cotations!I62)</f>
        <v/>
      </c>
      <c r="L62" s="274" t="str">
        <f>IF(A62=FALSE,"",IF(Cotations!N62="","",Cotations!N62))</f>
        <v/>
      </c>
      <c r="M62" s="274" t="str">
        <f>IF(Cotations!P62="","",Cotations!P62)</f>
        <v/>
      </c>
      <c r="N62" s="724" t="str">
        <f>IF(NAMES!$B$10=TRUE,Cotations!J62,Cotations!L62)</f>
        <v/>
      </c>
      <c r="O62" s="724" t="str">
        <f>IF(NAMES!$B$10=TRUE,Cotations!K62,Cotations!M62)</f>
        <v/>
      </c>
      <c r="P62" s="943" t="str">
        <f t="shared" si="415"/>
        <v/>
      </c>
      <c r="Q62" s="724" t="str">
        <f>IF(A62=FALSE,"",IF(Crewlist!Y62="","",Crewlist!Y62))</f>
        <v/>
      </c>
      <c r="R62" s="78" t="str">
        <f>IF(Cotations!U62="","",Cotations!U62)</f>
        <v/>
      </c>
      <c r="S62" s="943" t="str">
        <f t="shared" si="416"/>
        <v/>
      </c>
      <c r="T62" s="919" t="str">
        <f>IF(A62=FALSE,"",VLOOKUP($U$15:$U$120,Currency!$A$2:$D$10,4,0)*Crewlist!N62)</f>
        <v/>
      </c>
      <c r="U62" s="1355" t="str">
        <f>IF(A62=FALSE,"",IF(IT62=0,Crewlist!M62&amp;"/"&amp;EX62,Crewlist!M62&amp;"/"&amp;IT62))</f>
        <v/>
      </c>
      <c r="V62" s="919" t="str">
        <f>IF(A62=FALSE,"",VLOOKUP($U$15:$U$120,Currency!$A$2:$D$10,4,0)*Detail!Q62)</f>
        <v/>
      </c>
      <c r="W62" s="1355" t="str">
        <f>IF(A62=FALSE,"",IF(IT62=0,Detail!R62&amp;"/"&amp;EX62,Detail!R62&amp;"/"&amp;IT62))</f>
        <v/>
      </c>
      <c r="X62" s="919" t="str">
        <f>IF(A62=FALSE,"",IF(LISTES!$C$17="Crewlist",Calcul!T62,Calcul!V62))</f>
        <v/>
      </c>
      <c r="Y62" s="758" t="str">
        <f t="shared" si="417"/>
        <v/>
      </c>
      <c r="Z62" s="758" t="str">
        <f>IF(A62=FALSE,"",IF(X62=0,0,IF((Cotations!BC62*12*X62)&lt;50000,50000,(12*X62))))</f>
        <v/>
      </c>
      <c r="AA62" s="758" t="str">
        <f t="shared" si="418"/>
        <v/>
      </c>
      <c r="AB62" s="758" t="str">
        <f>IF(A62=FALSE,"",IF(Crewlist!O62=0,"",Crewlist!O62))</f>
        <v/>
      </c>
      <c r="AC62" s="758" t="str">
        <f>IF(I62="","",VLOOKUP($AB$15:$AB$120,Currency!$A$15:$B$34,2,0))</f>
        <v/>
      </c>
      <c r="AD62" s="758" t="str">
        <f t="shared" si="419"/>
        <v/>
      </c>
      <c r="AE62" s="758" t="str">
        <f t="shared" si="420"/>
        <v/>
      </c>
      <c r="AF62" s="758" t="str">
        <f t="shared" si="421"/>
        <v/>
      </c>
      <c r="AG62" s="758" t="str">
        <f t="shared" si="422"/>
        <v/>
      </c>
      <c r="AH62" s="1355" t="str">
        <f t="shared" si="434"/>
        <v/>
      </c>
      <c r="AI62" s="919" t="str">
        <f t="shared" si="423"/>
        <v/>
      </c>
      <c r="AJ62" s="1382" t="str">
        <f t="shared" si="424"/>
        <v/>
      </c>
      <c r="AK62" s="1382" t="str">
        <f t="shared" si="425"/>
        <v/>
      </c>
      <c r="AL62" s="238" t="str">
        <f t="shared" si="435"/>
        <v/>
      </c>
      <c r="AM62" s="238" t="str">
        <f t="shared" si="436"/>
        <v/>
      </c>
      <c r="AN62" s="1374" t="str">
        <f t="shared" si="437"/>
        <v/>
      </c>
      <c r="AO62" s="238" t="str">
        <f t="shared" si="438"/>
        <v/>
      </c>
      <c r="AP62" s="342" t="str">
        <f>IF(A62=FALSE,"",INDEX(Rates!$Z$5:$Z$367,MATCH(EB62,colchoice,0)))</f>
        <v/>
      </c>
      <c r="AQ62" s="238" t="str">
        <f t="shared" si="439"/>
        <v/>
      </c>
      <c r="AR62" s="238" t="str">
        <f t="shared" si="440"/>
        <v/>
      </c>
      <c r="AS62" s="238" t="str">
        <f t="shared" si="441"/>
        <v/>
      </c>
      <c r="AT62" s="238" t="str">
        <f t="shared" si="442"/>
        <v/>
      </c>
      <c r="AU62" s="238" t="str">
        <f t="shared" si="443"/>
        <v/>
      </c>
      <c r="AV62" s="238" t="str">
        <f t="shared" si="429"/>
        <v/>
      </c>
      <c r="AW62" s="238" t="str">
        <f t="shared" si="444"/>
        <v/>
      </c>
      <c r="AX62" s="238" t="str">
        <f t="shared" si="445"/>
        <v/>
      </c>
      <c r="AY62" s="238" t="str">
        <f t="shared" si="446"/>
        <v/>
      </c>
      <c r="AZ62" s="238" t="str">
        <f t="shared" si="447"/>
        <v/>
      </c>
      <c r="BA62" s="238" t="str">
        <f t="shared" si="448"/>
        <v/>
      </c>
      <c r="BB62" s="552" t="str">
        <f t="shared" si="449"/>
        <v/>
      </c>
      <c r="BC62" s="347" t="str">
        <f t="shared" si="450"/>
        <v/>
      </c>
      <c r="BD62" s="239" t="str">
        <f t="shared" si="430"/>
        <v/>
      </c>
      <c r="BE62" s="239" t="str">
        <f>IF(A62=FALSE,"",IF(ALLTHESAME=TRUE,IF(DF62&lt;&gt;$BC$7,0,INDEX(DD62:DZ62,1,MATCH(Structure!$D$12,$DD$14:$DZ$14,0))),IF(EC62&lt;&gt;$BC$7,0,INDEX(EA62:EZ62,1,MATCH(Structure!$D$12,$EA$14:$EZ$14,0)))))</f>
        <v/>
      </c>
      <c r="BF62" s="239" t="str">
        <f>IF(A62=FALSE,"",IF(ALLTHESAME=TRUE,IF(FC62&lt;&gt;$BC$7,0,INDEX(FA62:FZ62,1,MATCH(Structure!$D$12,$FA$14:$FZ$14,0))),IF(GC62&lt;&gt;$BC$7,0,INDEX(GA62:GZ62,1,MATCH(Structure!$D$12,$GA$14:$GZ$14,0)))))</f>
        <v/>
      </c>
      <c r="BG62" s="239" t="str">
        <f>IF(A62=FALSE,"",IF(ALLTHESAME=TRUE,IF(VC62&lt;&gt;$BC$7,0,INDEX(VA62:VZ62,1,MATCH(Structure!$D$12,$VA$14:$VZ$14,0))),IF(VC62&lt;&gt;$BC$7,0,INDEX(VA62:VZ62,1,MATCH(Structure!$D$12,$VA$14:$VZ$14,0)))))</f>
        <v/>
      </c>
      <c r="BH62" s="239" t="str">
        <f>IF(A62=FALSE,"",IF(ALLTHESAME=TRUE,IF(WC62&lt;&gt;$BC$7,0,INDEX(WA62:WY62,1,MATCH(Structure!$D$12,$WA$14:$WZ$14,0))),IF(WC62&lt;&gt;$BC$7,0,INDEX(WA62:WZ62,1,MATCH(Structure!$D$12,$WA$14:$WZ$14,0)))))</f>
        <v/>
      </c>
      <c r="BI62" s="763" t="str">
        <f>IF(A62=FALSE,"",IF(ALLTHESAME=TRUE,IF(HC62&lt;&gt;$BC$7,0,INDEX(HA62:HZ62,1,MATCH(Structure!$D$12,$HA$14:$HZ$14,0)))+TK62,IF(IC62&lt;&gt;$BC$7,0,INDEX(IA62:IZ62,1,MATCH(Structure!$D$12,$IA$14:$IZ$14,0)))+TK62))</f>
        <v/>
      </c>
      <c r="BJ62" s="239" t="str">
        <f>IF(A62=FALSE,"",IF(ALLTHESAME=TRUE,IF(JC62&lt;&gt;$BC$7,0,INDEX(JA62:JZ62,1,MATCH(Structure!$D$12,$JA$14:$JZ$14,0))),IF(KC62&lt;&gt;$BC$7,0,INDEX(KA62:KZ62,1,MATCH(Structure!$D$12,$KA$14:$KZ$14,0)))))</f>
        <v/>
      </c>
      <c r="BK62" s="763" t="str">
        <f>IF(A62=FALSE,"",IF(ALLTHESAME=TRUE,IF(LC62&lt;&gt;$BC$7,0,INDEX(LA62:LZ62,1,MATCH(Structure!$D$12,$LA$14:$LZ$14,0)))+UK62,IF(MC62&lt;&gt;$BC$7,0,INDEX(MA62:MZ62,1,MATCH(Structure!$D$12,$MA$14:$MZ$14,0)))+UK62))</f>
        <v/>
      </c>
      <c r="BL62" s="239" t="str">
        <f>IF(A62=FALSE,"",IF(ALLTHESAME=TRUE,IF(NC62&lt;&gt;$BC$7,0,INDEX(NA62:NZ62,1,MATCH(Structure!$D$12,$NA$14:$NZ$14,0))),IF(OC62&lt;&gt;$BC$7,0,INDEX(OA62:OZ62,1,MATCH(Structure!$D$12,$OA$14:$OZ$14,0)))))</f>
        <v/>
      </c>
      <c r="BM62" s="239" t="str">
        <f>IF(A62=FALSE,"",IF(ALLTHESAME=TRUE,IF(PC62&lt;&gt;$BC$7,0,INDEX(PA62:PZ62,1,MATCH(Structure!$D$12,$PA$14:$PZ$14,0))),IF(QC62&lt;&gt;$BC$7,0,INDEX(QA62:QZ62,1,MATCH(Structure!$D$12,$QA$14:$QZ$14,0)))))</f>
        <v/>
      </c>
      <c r="BN62" s="341" t="str">
        <f>IF(A62=FALSE,"",IF(ALLTHESAME=TRUE,IF(RC62&lt;&gt;$BC$7,0,INDEX(RA62:RZ62,1,MATCH(Structure!$D$12,$RA$14:$RZ$14,0))),IF(SC62&lt;&gt;$BC$7,0,INDEX(SA62:TA62,1,MATCH(Structure!$D$12,$SA$14:$TA$14,0)))))</f>
        <v/>
      </c>
      <c r="BO62" s="507" t="str">
        <f t="shared" si="451"/>
        <v/>
      </c>
      <c r="BP62" s="239" t="str">
        <f t="shared" si="452"/>
        <v/>
      </c>
      <c r="BQ62" s="239" t="str">
        <f>IF(A62=FALSE,"",IF(ALLTHESAME=TRUE,IF(DF62&lt;&gt;$BO$7,0,INDEX(DD62:DZ62,1,MATCH(Structure!$D$12,$DD$14:$DZ$14,0))),IF(EC62&lt;&gt;$BO$7,0,INDEX(EA62:EZ62,1,MATCH(Structure!$D$12,$EA$14:$EZ$14,0)))))</f>
        <v/>
      </c>
      <c r="BR62" s="239" t="str">
        <f>IF(A62=FALSE,"",IF(ALLTHESAME=TRUE,IF(FC62&lt;&gt;$BO$7,0,INDEX(FA62:FZ62,1,MATCH(Structure!$D$12,$FA$14:$FZ$14,0))),IF(GC62&lt;&gt;$BO$7,0,INDEX(GA62:GZ62,1,MATCH(Structure!$D$12,$GA$14:$GZ$14,0)))))</f>
        <v/>
      </c>
      <c r="BS62" s="239" t="str">
        <f>IF(A62=FALSE,"",IF(ALLTHESAME=TRUE,IF(HC62&lt;&gt;$BO$7,0,INDEX(HA62:HZ62,1,MATCH(Structure!$D$12,$HA$14:$HZ$14,0))),IF(IC62&lt;&gt;$BO$7,0,INDEX(IA62:IZ62,1,MATCH(Structure!$D$12,$IA$14:$IZ$14,0)))))</f>
        <v/>
      </c>
      <c r="BT62" s="239" t="str">
        <f>IF(A62=FALSE,"",IF(ALLTHESAME=TRUE,IF(JC62&lt;&gt;$BO$7,0,INDEX(JA62:JZ62,1,MATCH(Structure!$D$12,$JA$14:$JZ$14,0))),IF(KC62&lt;&gt;$BO$7,0,INDEX(KA62:KZ62,1,MATCH(Structure!$D$12,$KA$14:$KZ$14,0)))))</f>
        <v/>
      </c>
      <c r="BU62" s="239" t="str">
        <f>IF(A62=FALSE,"",IF(ALLTHESAME=TRUE,IF(LC62&lt;&gt;$BO$7,0,INDEX(LA62:LZ62,1,MATCH(Structure!$D$12,$LA$14:$LZ$14,0))),IF(MC62&lt;&gt;$BO$7,0,INDEX(MA62:MZ62,1,MATCH(Structure!$D$12,$MA$14:$MZ$14,0)))))</f>
        <v/>
      </c>
      <c r="BV62" s="239" t="str">
        <f>IF(A62=FALSE,"",IF(ALLTHESAME=TRUE,IF(NC62&lt;&gt;$BO$7,0,INDEX(NA62:NZ62,1,MATCH(Structure!$D$12,$NA$14:$NZ$14,0))),IF(OC62&lt;&gt;$BO$7,0,INDEX(OA62:OZ62,1,MATCH(Structure!$D$12,$OA$14:$OZ$14,0)))))</f>
        <v/>
      </c>
      <c r="BW62" s="239" t="str">
        <f>IF(A62=FALSE,"",IF(ALLTHESAME=TRUE,IF(PC62&lt;&gt;$BO$7,0,INDEX(PA62:PZ62,1,MATCH(Structure!$D$12,$PA$14:$PZ$14,0))),IF(QC62&lt;&gt;$BO$7,0,INDEX(QA62:QZ62,1,MATCH(Structure!$D$12,$QA$14:$QZ$14,0)))))</f>
        <v/>
      </c>
      <c r="BX62" s="341" t="str">
        <f>IF(A62=FALSE,"",IF(ALLTHESAME=TRUE,IF(RC62&lt;&gt;$BO$7,0,INDEX(RA62:RZ62,1,MATCH(Structure!$D$12,$RA$14:$RZ$14,0))),IF(SC62&lt;&gt;$BO$7,0,INDEX(SA62:TA62,1,MATCH(Structure!$D$12,$SA$14:$TA$14,0)))))</f>
        <v/>
      </c>
      <c r="BY62" s="347" t="str">
        <f t="shared" si="453"/>
        <v/>
      </c>
      <c r="BZ62" s="507" t="str">
        <f t="shared" si="454"/>
        <v/>
      </c>
      <c r="CA62" s="239" t="str">
        <f t="shared" si="455"/>
        <v/>
      </c>
      <c r="CB62" s="239" t="str">
        <f>IF(A62=FALSE,"",IF(ALLTHESAME=TRUE,INDEX(DD62:DZ62,MATCH(DF62,DF62:DF167,0),MATCH(Structure!$D$17,$DD$14:$DZ$14,0)),INDEX(EA62:EZ62,MATCH(EC62,EC62:EC167,0),MATCH(Structure!$D$17,$EA$14:$EZ$14,0))))</f>
        <v/>
      </c>
      <c r="CC62" s="239" t="str">
        <f>IF(A62=FALSE,"",IF(ALLTHESAME=TRUE,INDEX(FA62:FZ62,MATCH(FC62,FC62:FC167,0),MATCH(Structure!$D$17,$FA$14:$FZ$14,0)),INDEX(GA62:GZ62,MATCH(GC62,GC62:GC167,0),MATCH(Structure!$D$17,$GA$14:$GZ$14,0))))</f>
        <v/>
      </c>
      <c r="CD62" s="239" t="str">
        <f>IF(A62=FALSE,"",IF(ALLTHESAME=TRUE,INDEX(HA62:HZ62,MATCH(HC62,HC62:HC167,0),MATCH(Structure!$D$17,$HA$14:$HZ$14,0)),INDEX(IA62:IZ62,MATCH(IC62,IC62:IC167,0),MATCH(Structure!$D$17,$IA$14:$IZ$14,0))))</f>
        <v/>
      </c>
      <c r="CE62" s="239" t="str">
        <f>IF(A62=FALSE,"",IF(ALLTHESAME=TRUE,INDEX(JA62:JZ62,MATCH(JC62,JC62:JC167,0),MATCH(Structure!$D$17,$JA$14:$JZ$14,0)),INDEX(KA62:KZ62,MATCH(KC62,KC62:KC167,0),MATCH(Structure!$D$17,$KA$14:$KZ$14,0))))</f>
        <v/>
      </c>
      <c r="CF62" s="239" t="str">
        <f>IF(A62=FALSE,"",IF(ALLTHESAME=TRUE,INDEX(LA62:LZ62,MATCH(LC62,LC62:LC167,0),MATCH(Structure!$D$17,$LA$14:$LZ$14,0)),INDEX(MA62:MZ62,MATCH(MC62,MC62:MC167,0),MATCH(Structure!$D$17,$MA$14:$MZ$14,0))))</f>
        <v/>
      </c>
      <c r="CG62" s="239" t="str">
        <f>IF(A62=FALSE,"",IF(ALLTHESAME=TRUE,INDEX(NA62:NZ62,MATCH(NC62,NC62:NC167,0),MATCH(Structure!$D$17,$NA$14:$NZ$14,0)),INDEX(OA62:OZ62,MATCH(OC62,OC62:OC167,0),MATCH(Structure!$D$17,$OA$14:$OZ$14,0))))</f>
        <v/>
      </c>
      <c r="CH62" s="239" t="str">
        <f>IF(A62=FALSE,"",IF(ALLTHESAME=TRUE,INDEX(PA62:PZ62,MATCH(PC62,PC62:PC167,0),MATCH(Structure!$D$17,$PA$14:$PZ$14,0)),INDEX(QA62:QZ62,MATCH(QC62,QC62:QC167,0),MATCH(Structure!$D$17,$QA$14:$QZ$14,0))))</f>
        <v/>
      </c>
      <c r="CI62" s="341" t="str">
        <f>IF(A62=FALSE,"",IF(ALLTHESAME=TRUE,INDEX(RA62:RZ62,MATCH(RC62,RC62:RC167,0),MATCH(Structure!$D$17,$RA$14:$RZ$14,0)),INDEX(SA62:TC62,MATCH(SC62,SC62:SC167,0),MATCH(Structure!$D$17,$SA$14:$TC$14,0))))</f>
        <v/>
      </c>
      <c r="CJ62" s="347"/>
      <c r="CK62" s="239" t="str">
        <f t="shared" si="456"/>
        <v/>
      </c>
      <c r="CL62" s="239" t="str">
        <f>IF(A62=FALSE,"",IF(ALLTHESAME=TRUE,INDEX(DD62:DZ62,MATCH(DF62,DF62:DF167,0),MATCH(Structure!$D$22,$DD$14:$DZ$14,0)),INDEX(EA62:EZ62,MATCH(EC62,EC62:EC167,0),MATCH(Structure!$D$22,$EA$14:$EZ$14,0))))</f>
        <v/>
      </c>
      <c r="CM62" s="239" t="str">
        <f>IF(A62=FALSE,"",IF(ALLTHESAME=TRUE,INDEX(FA62:FZ62,MATCH(FC62,FC62:FC167,0),MATCH(Structure!$D$22,$FA$14:$FZ$14,0)),INDEX(GA62:GZ62,MATCH(GC62,GC62:GC167,0),MATCH(Structure!$D$22,$GA$14:$GZ$14,0))))</f>
        <v/>
      </c>
      <c r="CN62" s="239" t="str">
        <f>IF(A62=FALSE,"",IF(ALLTHESAME=TRUE,INDEX(HA62:HZ62,MATCH(HC62,HC62:HC167,0),MATCH(Structure!$D$22,$HA$14:$HZ$14,0)),INDEX(IA62:IZ62,MATCH(IC62,IC62:IC167,0),MATCH(Structure!$D$22,$IA$14:$IZ$14,0))))</f>
        <v/>
      </c>
      <c r="CO62" s="239" t="str">
        <f>IF(A62=FALSE,"",IF(ALLTHESAME=TRUE,INDEX(JA62:JZ62,MATCH(JC62,JC62:JC167,0),MATCH(Structure!$D$22,$JA$14:$JZ$14,0)),INDEX(KA62:KZ62,MATCH(KC62,KC62:KC167,0),MATCH(Structure!$D$22,$KA$14:$KZ$14,0))))</f>
        <v/>
      </c>
      <c r="CP62" s="239" t="str">
        <f>IF(A62=FALSE,"",IF(ALLTHESAME=TRUE,INDEX(LA62:LZ62,MATCH(LC62,LC62:LC167,0),MATCH(Structure!$D$22,$LA$14:$LZ$14,0)),INDEX(MA62:MZ62,MATCH(MC62,MC62:MC167,0),MATCH(Structure!$D$22,$MA$14:$MZ$14,0))))</f>
        <v/>
      </c>
      <c r="CQ62" s="239" t="str">
        <f>IF(A62=FALSE,"",IF(ALLTHESAME=TRUE,INDEX(NA62:NZ62,MATCH(NC62,NC62:NC167,0),MATCH(Structure!$D$22,$NA$14:$NZ$14,0)),INDEX(OA62:OZ62,MATCH(OC62,OC62:OC167,0),MATCH(Structure!$D$22,$OA$14:$OZ$14,0))))</f>
        <v/>
      </c>
      <c r="CR62" s="239" t="str">
        <f>IF(A62=FALSE,"",IF(ALLTHESAME=TRUE,INDEX(PA62:PZ62,MATCH(PC62,PC62:PC167,0),MATCH(Structure!$D$22,$PA$14:$PZ$14,0)),INDEX(QA62:QZ62,MATCH(QC62,QC62:QC167,0),MATCH(Structure!$D$22,$QA$14:$QZ$14,0))))</f>
        <v/>
      </c>
      <c r="CS62" s="341" t="str">
        <f>IF(A62=FALSE,"",IF(ALLTHESAME=TRUE,INDEX(RA62:RZ62,MATCH(RC62,RC62:RC167,0),MATCH(Structure!$D$22,$RA$14:$RZ$14,0)),INDEX(SA62:TC62,MATCH(SC62,SC62:SC167,0),MATCH(Structure!$D$22,$SA$14:$TC$14,0))))</f>
        <v/>
      </c>
      <c r="CT62" s="347"/>
      <c r="CU62" s="239" t="str">
        <f t="shared" si="457"/>
        <v/>
      </c>
      <c r="CV62" s="239" t="str">
        <f>IF(A62=FALSE,"",IF(ALLTHESAME=TRUE,INDEX(DD62:DZ62,MATCH(DF62,DF62:DF167,0),MATCH(Structure!$D$8,$DD$14:$DZ$14,0)),INDEX(EA62:EZ62,MATCH(EC62,EC62:EC167,0),MATCH(Structure!$D$8,$EA$14:$EZ$14,0))))</f>
        <v/>
      </c>
      <c r="CW62" s="239" t="str">
        <f>IF(A62=FALSE,"",IF(ALLTHESAME=TRUE,INDEX(FA62:FZ62,MATCH(FC62,FC62:FC167,0),MATCH(Structure!$D$8,$FA$14:$FZ$14,0)),INDEX(GA62:GZ62,MATCH(GC62,GC62:GC167,0),MATCH(Structure!$D$8,$GA$14:$GZ$14,0))))</f>
        <v/>
      </c>
      <c r="CX62" s="239" t="str">
        <f>IF(A62=FALSE,"",IF(ALLTHESAME=TRUE,INDEX(HA62:HZ62,MATCH(HC62,HC62:HC167,0),MATCH(Structure!$D$8,$HA$14:$HZ$14,0)),INDEX(IA62:IZ62,MATCH(IC62,IC62:IC167,0),MATCH(Structure!$D$8,$IA$14:$IZ$14,0))))</f>
        <v/>
      </c>
      <c r="CY62" s="239" t="str">
        <f>IF(A62=FALSE,"",IF(ALLTHESAME=TRUE,INDEX(JA62:JZ62,MATCH(JC62,JC62:JC167,0),MATCH(Structure!$D$8,$JA$14:$JZ$14,0)),INDEX(KA62:KZ62,MATCH(KC62,KC62:KC167,0),MATCH(Structure!$D$8,$KA$14:$KZ$14,0))))</f>
        <v/>
      </c>
      <c r="CZ62" s="239" t="str">
        <f>IF(A62=FALSE,"",IF(ALLTHESAME=TRUE,INDEX(LA62:LZ62,MATCH(LC62,LC62:LC167,0),MATCH(Structure!$D$8,$LA$14:$LZ$14,0)),INDEX(MA62:MZ62,MATCH(MC62,MC62:MC167,0),MATCH(Structure!$D$8,$MA$14:$MZ$14,0))))</f>
        <v/>
      </c>
      <c r="DA62" s="239" t="str">
        <f>IF(A62=FALSE,"",IF(ALLTHESAME=TRUE,INDEX(NA62:NZ62,MATCH(NC62,NC62:NC167,0),MATCH(Structure!$D$8,$NA$14:$NZ$14,0)),INDEX(OA62:OZ62,MATCH(OC62,OC62:OC167,0),MATCH(Structure!$D$8,$OA$14:$OZ$14,0))))</f>
        <v/>
      </c>
      <c r="DB62" s="239" t="str">
        <f>IF(A62=FALSE,"",IF(ALLTHESAME=TRUE,INDEX(PA62:PZ62,MATCH(PC62,PC62:PC167,0),MATCH(Structure!$D$8,$PA$14:$PZ$14,0)),INDEX(QA62:QZ62,MATCH(QC62,QC62:QC167,0),MATCH(Structure!$D$8,$QA$14:$QZ$14,0))))</f>
        <v/>
      </c>
      <c r="DC62" s="341" t="str">
        <f>IF(A62=FALSE,"",IF(ALLTHESAME=TRUE,INDEX(RA62:RZ62,MATCH(RC62,RC62:RC167,0),MATCH(Structure!$D$8,$RA$14:$RZ$14,0)),INDEX(SA62:TC62,MATCH(SC62,SC62:SC167,0),MATCH(Structure!$D$8,$SA$14:$TC$14,0))))</f>
        <v/>
      </c>
      <c r="DD62" s="492" t="str">
        <f>IF(A62=FALSE,"",Cotations!D62)</f>
        <v/>
      </c>
      <c r="DE62" s="492" t="str">
        <f>IF(A62=FALSE,"",IF(LISTES!$A$17=1,Cotations!AF62,Cotations!$AG$4))</f>
        <v/>
      </c>
      <c r="DF62" s="291" t="str">
        <f t="shared" si="458"/>
        <v/>
      </c>
      <c r="DG62" s="291" t="str">
        <f t="shared" si="459"/>
        <v/>
      </c>
      <c r="DH62" s="291"/>
      <c r="DI62" s="463"/>
      <c r="DJ62" s="463" t="str">
        <f t="shared" si="460"/>
        <v/>
      </c>
      <c r="DK62" s="522" t="str">
        <f>IF(A62=FALSE,"",IF(Cotations!$AH$4="monthly",DJ62/12*L62,DJ62/365*M62))</f>
        <v/>
      </c>
      <c r="DL62" s="489" t="str">
        <f>IF(A62=FALSE,"",Cotations!$AI$4)</f>
        <v/>
      </c>
      <c r="DM62" s="300" t="str">
        <f t="shared" si="461"/>
        <v/>
      </c>
      <c r="DN62" s="300" t="str">
        <f t="shared" si="462"/>
        <v/>
      </c>
      <c r="DO62" s="294" t="str">
        <f t="shared" si="463"/>
        <v/>
      </c>
      <c r="DP62" s="494" t="str">
        <f>IF(A62=FALSE,"",Cotations!$AJ$4)</f>
        <v/>
      </c>
      <c r="DQ62" s="494" t="str">
        <f>IF(A62=FALSE,"",Cotations!$AK$4)</f>
        <v/>
      </c>
      <c r="DR62" s="489" t="str">
        <f>IF(A62=FALSE,"",Cotations!$AL$4)</f>
        <v/>
      </c>
      <c r="DS62" s="494" t="str">
        <f>IF(A62=FALSE,"",IF(DP62="N/A",0,IF(INDEX(LISTES!$F$105:$F$109,MATCH(DP62,LISTES!$C$105:$C$109,0))="FIX",IF(INDEX(LISTES!$E$105:$E$109,MATCH(DP62,LISTES!$C$105:$C$109,0))=12,DQ62/12*L62,DQ62/365*M62),DR62*DO62)))</f>
        <v/>
      </c>
      <c r="DT62" s="294" t="str">
        <f t="shared" si="464"/>
        <v/>
      </c>
      <c r="DU62" s="294" t="str">
        <f>IF(A62=FALSE,"",DT62*Cotations!$AM$4)</f>
        <v/>
      </c>
      <c r="DV62" s="294" t="str">
        <f>IF(A62=FALSE,"",DT62*Cotations!$AN$4)</f>
        <v/>
      </c>
      <c r="DW62" s="465" t="str">
        <f t="shared" si="465"/>
        <v/>
      </c>
      <c r="DX62" s="919" t="str">
        <f>IF(A62=FALSE,"",((DJ62*TAXE)-(DJ62*TAXE*DL62))+IF(DP62="N/A",0,IF(INDEX(LISTES!$F$105:$F$109,MATCH(DP62,LISTES!$C$105:$C$109,0))="FIX",DQ62,DR62*DO62)))</f>
        <v/>
      </c>
      <c r="DY62" s="466"/>
      <c r="DZ62" s="466"/>
      <c r="EA62" s="492" t="str">
        <f>IF(A62=FALSE,"",Cotations!D62)</f>
        <v/>
      </c>
      <c r="EB62" s="494" t="str">
        <f>IF(A62=FALSE,"",IF(LISTES!$A$17=1,Cotations!AF62,Cotations!AG62))</f>
        <v/>
      </c>
      <c r="EC62" s="284" t="str">
        <f t="shared" si="466"/>
        <v/>
      </c>
      <c r="ED62" s="284" t="str">
        <f t="shared" si="467"/>
        <v/>
      </c>
      <c r="EE62" s="284"/>
      <c r="EF62" s="284"/>
      <c r="EG62" s="284" t="str">
        <f t="shared" si="468"/>
        <v/>
      </c>
      <c r="EH62" s="1365" t="str">
        <f t="shared" si="469"/>
        <v/>
      </c>
      <c r="EI62" s="1365" t="str">
        <f t="shared" si="470"/>
        <v/>
      </c>
      <c r="EJ62" s="515" t="str">
        <f>IF(A62=FALSE,"",IF(Cotations!AH62="monthly",EG62/12*L62,EG62/365*M62))</f>
        <v/>
      </c>
      <c r="EK62" s="1364" t="str">
        <f>IF(A62=FALSE,"",IF(Cotations!AH62="monthly",EI62/12*L62,EI62/365*M62))</f>
        <v/>
      </c>
      <c r="EL62" s="493" t="str">
        <f>IF(A62=FALSE,"",IF(Cotations!AI62="","",Cotations!AI62))</f>
        <v/>
      </c>
      <c r="EM62" s="284" t="str">
        <f t="shared" si="471"/>
        <v/>
      </c>
      <c r="EN62" s="284" t="str">
        <f t="shared" si="472"/>
        <v/>
      </c>
      <c r="EO62" s="1365" t="str">
        <f t="shared" si="432"/>
        <v/>
      </c>
      <c r="EP62" s="284" t="str">
        <f t="shared" si="473"/>
        <v/>
      </c>
      <c r="EQ62" s="515" t="str">
        <f>IF(A62=FALSE,"",Cotations!AJ62)</f>
        <v/>
      </c>
      <c r="ER62" s="515" t="str">
        <f>IF(A62=FALSE,"",IF(Cotations!AK62="","",Cotations!AK62))</f>
        <v/>
      </c>
      <c r="ES62" s="493" t="str">
        <f>IF(A62=FALSE,"",Cotations!AL62)</f>
        <v/>
      </c>
      <c r="ET62" s="515" t="str">
        <f>IF(A62=FALSE,"",IF(EQ62="N/A",0,IF(INDEX(LISTES!$F$105:$F$109,MATCH(EQ62,LISTES!$C$105:$C$109,0))="FIX",IF(INDEX(LISTES!$E$105:$E$109,MATCH(EQ62,LISTES!$C$105:$C$109,0))=12,ER62/12*L62,ER62/365*M62),ES62*EP62)))</f>
        <v/>
      </c>
      <c r="EU62" s="294" t="str">
        <f t="shared" si="474"/>
        <v/>
      </c>
      <c r="EV62" s="494" t="str">
        <f>IF(A62=FALSE,"",EU62*Cotations!AM62)</f>
        <v/>
      </c>
      <c r="EW62" s="494" t="str">
        <f>IF(A62=FALSE,"",EU62*Cotations!AN62)</f>
        <v/>
      </c>
      <c r="EX62" s="334" t="str">
        <f t="shared" si="475"/>
        <v/>
      </c>
      <c r="EY62" s="919" t="str">
        <f>IF(A62=FALSE,"",((EG62*TAXE)-(EG62*TAXE*EL62)+EH62)+IF(EQ62="N/A",0,IF(INDEX(LISTES!$F$105:$F$109,MATCH(EQ62,LISTES!$C$105:$C$109,0))="FIX",ER62,ES62*EP62)))</f>
        <v/>
      </c>
      <c r="FA62" s="492" t="str">
        <f>IF(A62=FALSE,"",Cotations!D62)</f>
        <v/>
      </c>
      <c r="FB62" s="519" t="str">
        <f>IF(A62=FALSE,"",IF(LISTES!$A$17=1,Cotations!AO62,Cotations!$AP$4))</f>
        <v/>
      </c>
      <c r="FC62" s="291" t="str">
        <f t="shared" si="476"/>
        <v/>
      </c>
      <c r="FD62" s="291" t="str">
        <f t="shared" si="477"/>
        <v/>
      </c>
      <c r="FE62" s="291"/>
      <c r="FF62" s="463"/>
      <c r="FG62" s="463" t="str">
        <f t="shared" si="478"/>
        <v/>
      </c>
      <c r="FH62" s="522" t="str">
        <f>IF(A62=FALSE,"",IF(Cotations!$AQ$4="monthly",FG62/12*L62,FG62/365*M62))</f>
        <v/>
      </c>
      <c r="FI62" s="453" t="str">
        <f>IF(A62=FALSE,"",Cotations!$AR$4)</f>
        <v/>
      </c>
      <c r="FJ62" s="300" t="str">
        <f t="shared" si="479"/>
        <v/>
      </c>
      <c r="FK62" s="300" t="str">
        <f t="shared" si="480"/>
        <v/>
      </c>
      <c r="FL62" s="294" t="str">
        <f t="shared" si="481"/>
        <v/>
      </c>
      <c r="FM62" s="494" t="str">
        <f>IF(A62=FALSE,"",Cotations!$AS$4)</f>
        <v/>
      </c>
      <c r="FN62" s="494" t="str">
        <f>IF(A62=FALSE,"",Cotations!$AT$4)</f>
        <v/>
      </c>
      <c r="FO62" s="489" t="str">
        <f>IF(A62=FALSE,"",Cotations!$AU$4)</f>
        <v/>
      </c>
      <c r="FP62" s="494" t="str">
        <f>IF(A62=FALSE,"",IF(FM62="N/A",0,IF(INDEX(LISTES!$F$105:$F$109,MATCH(FM62,LISTES!$C$105:$C$109,0))="FIX",IF(INDEX(LISTES!$E$105:$E$109,MATCH(FM62,LISTES!$C$105:$C$109,0))=12,FN62/12*L62,FN62/365*M62),FO62*FL62)))</f>
        <v/>
      </c>
      <c r="FQ62" s="294" t="str">
        <f t="shared" si="482"/>
        <v/>
      </c>
      <c r="FR62" s="494" t="str">
        <f>IF(A62=FALSE,"",FQ62*Cotations!$AV$4)</f>
        <v/>
      </c>
      <c r="FS62" s="494" t="str">
        <f>IF(A62=FALSE,"",FQ62*Cotations!$AW$4)</f>
        <v/>
      </c>
      <c r="FT62" s="465" t="str">
        <f t="shared" si="483"/>
        <v/>
      </c>
      <c r="FU62" s="919" t="str">
        <f>IF(A62=FALSE,"",((FG62*TAXE)-(FG62*TAXE*FI62))+IF(FM62="N/A",0,IF(INDEX(LISTES!$F$105:$F$109,MATCH(FM62,LISTES!$C$105:$C$109,0))="FIX",FN62,FO62*FL62)))</f>
        <v/>
      </c>
      <c r="FV62" s="478"/>
      <c r="FW62" s="478"/>
      <c r="FX62" s="478"/>
      <c r="FY62" s="478"/>
      <c r="FZ62" s="478"/>
      <c r="GA62" s="492" t="str">
        <f>IF(A62=FALSE,"",Cotations!D62)</f>
        <v/>
      </c>
      <c r="GB62" s="494" t="str">
        <f>IF(A62=FALSE,"",IF(LISTES!$A$17=1,Cotations!AO62,Cotations!AP62))</f>
        <v/>
      </c>
      <c r="GC62" s="284" t="str">
        <f t="shared" si="484"/>
        <v/>
      </c>
      <c r="GD62" s="515" t="str">
        <f>IF(A62=FALSE,"",IF(Detail!AM62="","",Detail!AM62))</f>
        <v/>
      </c>
      <c r="GE62" s="284"/>
      <c r="GF62" s="284"/>
      <c r="GG62" s="284" t="str">
        <f t="shared" si="485"/>
        <v/>
      </c>
      <c r="GH62" s="515" t="str">
        <f>IF(A62=FALSE,"",IF(Cotations!AQ62="monthly",GG62/12*L62,GG62/365*M62))</f>
        <v/>
      </c>
      <c r="GI62" s="493" t="str">
        <f>IF(A62=FALSE,"",IF(Cotations!AR62="","",Cotations!AR62))</f>
        <v/>
      </c>
      <c r="GJ62" s="284" t="str">
        <f t="shared" si="486"/>
        <v/>
      </c>
      <c r="GK62" s="284" t="str">
        <f t="shared" si="487"/>
        <v/>
      </c>
      <c r="GL62" s="284" t="str">
        <f t="shared" si="488"/>
        <v/>
      </c>
      <c r="GM62" s="515" t="str">
        <f>IF(A62=FALSE,"",Cotations!AS62)</f>
        <v/>
      </c>
      <c r="GN62" s="515" t="str">
        <f>IF(A62=FALSE,"",Cotations!AT62)</f>
        <v/>
      </c>
      <c r="GO62" s="493" t="str">
        <f>IF(A62=FALSE,"",Cotations!AU62)</f>
        <v/>
      </c>
      <c r="GP62" s="515" t="str">
        <f>IF(A62=FALSE,"",IF(GM62="N/A",0,IF(INDEX(LISTES!$F$105:$F$109,MATCH(GM62,LISTES!$C$105:$C$109,0))="FIX",IF(INDEX(LISTES!$E$105:$E$109,MATCH(GM62,LISTES!$C$105:$C$109,0))=12,GN62/12*L62,GN62/365*M62),GO62*GL62)))</f>
        <v/>
      </c>
      <c r="GQ62" s="294" t="str">
        <f t="shared" si="489"/>
        <v/>
      </c>
      <c r="GR62" s="494" t="str">
        <f>IF(A62=FALSE,"",GQ62*Cotations!AV62)</f>
        <v/>
      </c>
      <c r="GS62" s="494" t="str">
        <f>IF(A62=FALSE,"",GQ62*Cotations!AW62)</f>
        <v/>
      </c>
      <c r="GT62" s="334" t="str">
        <f t="shared" si="490"/>
        <v/>
      </c>
      <c r="GU62" s="919" t="str">
        <f>IF(A62=FALSE,"",((GG62*TAXE)-(GG62*TAXE*GI62))+IF(GM62="N/A",0,IF(INDEX(LISTES!$F$105:$F$109,MATCH(GM62,LISTES!$C$105:$C$109,0))="FIX",GN62,GO62*GL62)))</f>
        <v/>
      </c>
      <c r="GV62" s="478"/>
      <c r="GW62" s="466"/>
      <c r="GX62" s="466"/>
      <c r="GY62" s="466"/>
      <c r="GZ62" s="466"/>
      <c r="HA62" s="492" t="str">
        <f>IF(A62=FALSE,"",Cotations!D62)</f>
        <v/>
      </c>
      <c r="HB62" s="495" t="str">
        <f>IF(A62=FALSE,"",IF(LISTES!$A$17=1,Cotations!AX62,Cotations!$AY$4))</f>
        <v/>
      </c>
      <c r="HC62" s="291" t="str">
        <f t="shared" si="491"/>
        <v/>
      </c>
      <c r="HD62" s="291" t="str">
        <f t="shared" si="492"/>
        <v/>
      </c>
      <c r="HE62" s="456" t="str">
        <f t="shared" si="493"/>
        <v/>
      </c>
      <c r="HF62" s="496" t="str">
        <f>IF(A62=FALSE,"",IF(HA62="POEA",Cotations!BA62,IF(HA62="FIXE",Cotations!$BA$4,Cotations!$BC$4*Y62)))</f>
        <v/>
      </c>
      <c r="HG62" s="300" t="str">
        <f t="shared" si="494"/>
        <v/>
      </c>
      <c r="HH62" s="522" t="str">
        <f>IF(A62=FALSE,"",IF(Cotations!$AZ$4="monthly",HG62/12*L62,HG62/365*M62))</f>
        <v/>
      </c>
      <c r="HI62" s="489" t="str">
        <f>IF(A62=FALSE,"",Cotations!$BD$4)</f>
        <v/>
      </c>
      <c r="HJ62" s="300" t="str">
        <f t="shared" si="495"/>
        <v/>
      </c>
      <c r="HK62" s="300" t="str">
        <f t="shared" si="496"/>
        <v/>
      </c>
      <c r="HL62" s="294" t="str">
        <f t="shared" si="497"/>
        <v/>
      </c>
      <c r="HM62" s="494" t="str">
        <f>IF(A62=FALSE,"",Cotations!$BE$4)</f>
        <v/>
      </c>
      <c r="HN62" s="522" t="str">
        <f>IF(A62=FALSE,"",Cotations!$BF$4)</f>
        <v/>
      </c>
      <c r="HO62" s="489" t="str">
        <f>IF(A62=FALSE,"",Cotations!$BG$4)</f>
        <v/>
      </c>
      <c r="HP62" s="494" t="str">
        <f>IF(A62=FALSE,"",IF(HM62="N/A",0,IF(INDEX(LISTES!$F$105:$F$109,MATCH(HM62,LISTES!$C$105:$C$109,0))="FIX",IF(INDEX(LISTES!$E$105:$E$109,MATCH(HM62,LISTES!$C$105:$C$109,0))=12,HN62/12*L62,HN62/365*M62),HO62*HL62)))</f>
        <v/>
      </c>
      <c r="HQ62" s="294" t="str">
        <f t="shared" si="498"/>
        <v/>
      </c>
      <c r="HR62" s="494" t="str">
        <f>IF(A62=FALSE,"",HQ62*Cotations!$BH$4)</f>
        <v/>
      </c>
      <c r="HS62" s="494" t="str">
        <f>IF(A62=FALSE,"",HQ62*Cotations!$BI$4)</f>
        <v/>
      </c>
      <c r="HT62" s="294" t="str">
        <f t="shared" si="499"/>
        <v/>
      </c>
      <c r="HU62" s="919" t="str">
        <f>IF(A62=FALSE,"",((HG62*TAXE)-(HG62*TAXE*HI62))+IF(HM62="N/A",0,IF(INDEX(LISTES!$F$105:$F$109,MATCH(HM62,LISTES!$C$105:$C$109,0))="FIX",HN62,HO62*HL62)))</f>
        <v/>
      </c>
      <c r="IA62" s="492" t="str">
        <f>IF(A62=FALSE,"",Cotations!D62)</f>
        <v/>
      </c>
      <c r="IB62" s="491" t="str">
        <f>IF(A62=FALSE,"",IF(LISTES!$A$17=1,Cotations!AX62,Cotations!AY62))</f>
        <v/>
      </c>
      <c r="IC62" s="285" t="str">
        <f t="shared" si="500"/>
        <v/>
      </c>
      <c r="ID62" s="300" t="str">
        <f>IF(A62=FALSE,"",IF(LISTES!$A$17=3,Detail!AU62,lig1_Formula_PREVOY))</f>
        <v/>
      </c>
      <c r="IE62" s="461" t="str">
        <f t="shared" si="501"/>
        <v/>
      </c>
      <c r="IF62" s="490" t="str">
        <f>IF(A62=FALSE,"",IF(IA62="POEA",Cotations!BA62,IF(HA62="FIXE",Cotations!BB62,IF(Cotations!BC62*Y62&lt;50000,Z62,Cotations!BC62*Y62))))</f>
        <v/>
      </c>
      <c r="IG62" s="300" t="str">
        <f t="shared" si="502"/>
        <v/>
      </c>
      <c r="IH62" s="522" t="str">
        <f>IF(A62=FALSE,"",IF(Cotations!AZ62="monthly",IG62/12*L62,IG62/365*M62))</f>
        <v/>
      </c>
      <c r="II62" s="489" t="str">
        <f>IF(A62=FALSE,"",IF(Cotations!BD62="","",Cotations!BD62))</f>
        <v/>
      </c>
      <c r="IJ62" s="300" t="str">
        <f t="shared" si="503"/>
        <v/>
      </c>
      <c r="IK62" s="300" t="str">
        <f t="shared" si="504"/>
        <v/>
      </c>
      <c r="IL62" s="919" t="str">
        <f t="shared" si="505"/>
        <v/>
      </c>
      <c r="IM62" s="517" t="str">
        <f>IF(A62=FALSE,"",Cotations!BE62)</f>
        <v/>
      </c>
      <c r="IN62" s="517" t="str">
        <f>IF(A62=FALSE,"",Cotations!BF62)</f>
        <v/>
      </c>
      <c r="IO62" s="493" t="str">
        <f>IF(A62=FALSE,"",Cotations!BG62)</f>
        <v/>
      </c>
      <c r="IP62" s="517" t="str">
        <f>IF(A62=FALSE,"",IF(IM62="N/A",0,IF(INDEX(LISTES!$F$105:$F$109,MATCH(IM62,LISTES!$C$105:$C$109,0))="FIX",IF(INDEX(LISTES!$E$105:$E$109,MATCH(IM62,LISTES!$C$105:$C$109,0))=12,IN62/12*L62,IN62/365*M62),IO62*IL62)))</f>
        <v/>
      </c>
      <c r="IQ62" s="294" t="str">
        <f t="shared" si="506"/>
        <v/>
      </c>
      <c r="IR62" s="494" t="str">
        <f>IF(A62=FALSE,"",IQ62*Cotations!BH62)</f>
        <v/>
      </c>
      <c r="IS62" s="494" t="str">
        <f>IF(A62=FALSE,"",IQ62*Cotations!BI62)</f>
        <v/>
      </c>
      <c r="IT62" s="338" t="str">
        <f t="shared" si="507"/>
        <v/>
      </c>
      <c r="IU62" s="919" t="str">
        <f>IF(A62=FALSE,"",((IG62*TAXE)-(IG62*TAXE*II62))+IF(IM62="N/A",0,IF(INDEX(LISTES!$F$105:$F$109,MATCH(IM62,LISTES!$C$105:$C$109,0))="FIX",IN62,IO62*IL62)))</f>
        <v/>
      </c>
      <c r="JA62" s="492" t="str">
        <f>IF(A62=FALSE,"",Cotations!D62)</f>
        <v/>
      </c>
      <c r="JB62" s="495" t="str">
        <f>IF(A62=FALSE,"",IF(LISTES!$A$17=1,Cotations!BJ62,Cotations!$BK$4))</f>
        <v/>
      </c>
      <c r="JC62" s="291" t="str">
        <f t="shared" si="508"/>
        <v/>
      </c>
      <c r="JD62" s="291" t="str">
        <f t="shared" si="509"/>
        <v/>
      </c>
      <c r="JE62" s="456" t="str">
        <f t="shared" si="510"/>
        <v/>
      </c>
      <c r="JF62" s="496" t="str">
        <f>IF(A62=FALSE,"",IF(JA62="POEA",Cotations!BM62,IF(JA62="FIXE",Cotations!$BM$4,Cotations!$BO$4*Y62)))</f>
        <v/>
      </c>
      <c r="JG62" s="300" t="str">
        <f t="shared" si="511"/>
        <v/>
      </c>
      <c r="JH62" s="522" t="str">
        <f>IF(A62=FALSE,"",IF(Cotations!$BL$4="monthly",JG62/12*L62,JG62/365*M62))</f>
        <v/>
      </c>
      <c r="JI62" s="489" t="str">
        <f>IF(A62=FALSE,"",Cotations!$BP$4)</f>
        <v/>
      </c>
      <c r="JJ62" s="300" t="str">
        <f t="shared" si="512"/>
        <v/>
      </c>
      <c r="JK62" s="300" t="str">
        <f t="shared" si="513"/>
        <v/>
      </c>
      <c r="JL62" s="294" t="str">
        <f t="shared" si="514"/>
        <v/>
      </c>
      <c r="JM62" s="494" t="str">
        <f>IF(A62=FALSE,"",Cotations!$BQ$4)</f>
        <v/>
      </c>
      <c r="JN62" s="522" t="str">
        <f>IF(A62=FALSE,"",Cotations!$BR$4)</f>
        <v/>
      </c>
      <c r="JO62" s="489" t="str">
        <f>IF(A62=FALSE,"",Cotations!$BS$4)</f>
        <v/>
      </c>
      <c r="JP62" s="494" t="str">
        <f>IF(A62=FALSE,"",IF(JM62="N/A",0,IF(INDEX(LISTES!$F$105:$F$109,MATCH(JM62,LISTES!$C$105:$C$109,0))="FIX",IF(INDEX(LISTES!$E$105:$E$109,MATCH(JM62,LISTES!$C$105:$C$109,0))=12,JN62/12*L62,JN62/365*M62),JO62*JL62)))</f>
        <v/>
      </c>
      <c r="JQ62" s="294" t="str">
        <f t="shared" si="515"/>
        <v/>
      </c>
      <c r="JR62" s="494" t="str">
        <f>IF(A62=FALSE,"",JQ62*Cotations!$BT$4)</f>
        <v/>
      </c>
      <c r="JS62" s="494" t="str">
        <f>IF(A62=FALSE,"",JQ62*Cotations!$BU$4)</f>
        <v/>
      </c>
      <c r="JT62" s="294" t="str">
        <f t="shared" si="516"/>
        <v/>
      </c>
      <c r="JU62" s="919" t="str">
        <f>IF(A62=FALSE,"",((JG62*TAXE)-(JG62*TAXE*JI62))+IF(JM62="N/A",0,IF(INDEX(LISTES!$F$105:$F$109,MATCH(JM62,LISTES!$C$105:$C$109,0))="FIX",JN62,JO62*JL62)))</f>
        <v/>
      </c>
      <c r="KA62" s="492" t="str">
        <f>IF(A62=FALSE,"",Cotations!D62)</f>
        <v/>
      </c>
      <c r="KB62" s="491" t="str">
        <f>IF(A62=FALSE,"",IF(LISTES!$A$17=1,Cotations!BJ62,Cotations!BK62))</f>
        <v/>
      </c>
      <c r="KC62" s="285" t="str">
        <f t="shared" si="517"/>
        <v/>
      </c>
      <c r="KD62" s="300"/>
      <c r="KE62" s="461" t="str">
        <f t="shared" si="518"/>
        <v/>
      </c>
      <c r="KF62" s="490" t="str">
        <f>IF(A62=FALSE,"",IF(KA62="POEA",Cotations!BM62,IF(KA62="FIXE",Cotations!BN62,IF(Cotations!BO62*Y62&lt;50000,Z62,Cotations!BO62*Y62))))</f>
        <v/>
      </c>
      <c r="KG62" s="300" t="str">
        <f t="shared" si="519"/>
        <v/>
      </c>
      <c r="KH62" s="522" t="str">
        <f>IF(A62=FALSE,"",IF(Cotations!BL62="monthly",KG62/12*L62,KG62/365*M62))</f>
        <v/>
      </c>
      <c r="KI62" s="489" t="str">
        <f>IF(A62=FALSE,"",IF(Cotations!BP62="","",Cotations!BP62))</f>
        <v/>
      </c>
      <c r="KJ62" s="300" t="str">
        <f t="shared" si="520"/>
        <v/>
      </c>
      <c r="KK62" s="300" t="str">
        <f t="shared" si="521"/>
        <v/>
      </c>
      <c r="KL62" s="919" t="str">
        <f t="shared" si="522"/>
        <v/>
      </c>
      <c r="KM62" s="517" t="str">
        <f>IF(A62=FALSE,"",Cotations!BQ62)</f>
        <v/>
      </c>
      <c r="KN62" s="515" t="str">
        <f>IF(A62=FALSE,"",Cotations!BR62)</f>
        <v/>
      </c>
      <c r="KO62" s="493" t="str">
        <f>IF(A62=FALSE,"",Cotations!BS62)</f>
        <v/>
      </c>
      <c r="KP62" s="517" t="str">
        <f>IF(A62=FALSE,"",IF(KM62="N/A",0,IF(INDEX(LISTES!$F$105:$F$109,MATCH(KM62,LISTES!$C$105:$C$109,0))="FIX",IF(INDEX(LISTES!$E$105:$E$109,MATCH(KM62,LISTES!$C$105:$C$109,0))=12,KN62/12*L62,KN62/365*M62),KO62*KL62)))</f>
        <v/>
      </c>
      <c r="KQ62" s="294" t="str">
        <f t="shared" si="523"/>
        <v/>
      </c>
      <c r="KR62" s="494" t="str">
        <f>IF(A62=FALSE,"",KQ62*Cotations!BT62)</f>
        <v/>
      </c>
      <c r="KS62" s="494" t="str">
        <f>IF(A62=FALSE,"",KQ62*Cotations!BU62)</f>
        <v/>
      </c>
      <c r="KT62" s="338" t="str">
        <f t="shared" si="524"/>
        <v/>
      </c>
      <c r="KU62" s="919" t="str">
        <f>IF(A62=FALSE,"",((KG62*TAXE)-(KG62*TAXE*KI62))+IF(KM62="N/A",0,IF(INDEX(LISTES!$F$105:$F$109,MATCH(KM62,LISTES!$C$105:$C$109,0))="FIX",KN62,KO62*KL62)))</f>
        <v/>
      </c>
      <c r="LA62" s="497" t="str">
        <f>IF(A62=FALSE,"",Cotations!D62)</f>
        <v/>
      </c>
      <c r="LB62" s="498" t="str">
        <f>IF(A62=FALSE,"",IF(LISTES!$A$17=1,Cotations!BV62,Cotations!$BW$4))</f>
        <v/>
      </c>
      <c r="LC62" s="499" t="str">
        <f t="shared" si="525"/>
        <v/>
      </c>
      <c r="LD62" s="499" t="str">
        <f t="shared" si="526"/>
        <v/>
      </c>
      <c r="LE62" s="500" t="str">
        <f t="shared" si="527"/>
        <v/>
      </c>
      <c r="LF62" s="501" t="str">
        <f>IF(A62=FALSE,"",IF(LA62="POEA",Cotations!EJ62,IF(LA62="FIXE",Cotations!$BY$4,Cotations!$CA$4*Y62)))</f>
        <v/>
      </c>
      <c r="LG62" s="502" t="str">
        <f t="shared" si="528"/>
        <v/>
      </c>
      <c r="LH62" s="520" t="str">
        <f>IF(A62=FALSE,"",IF(Cotations!$BX$4="monthly",LG62/12*L62,LG62/365*M62))</f>
        <v/>
      </c>
      <c r="LI62" s="503" t="str">
        <f>IF(A62=FALSE,"",Cotations!$CB$4)</f>
        <v/>
      </c>
      <c r="LJ62" s="502" t="str">
        <f t="shared" si="529"/>
        <v/>
      </c>
      <c r="LK62" s="502" t="str">
        <f t="shared" si="530"/>
        <v/>
      </c>
      <c r="LL62" s="504" t="str">
        <f t="shared" si="531"/>
        <v/>
      </c>
      <c r="LM62" s="505" t="str">
        <f>IF(A62=FALSE,"",Cotations!$CC$4)</f>
        <v/>
      </c>
      <c r="LN62" s="503" t="str">
        <f>IF(A62=FALSE,"",Cotations!$CD$4)</f>
        <v/>
      </c>
      <c r="LO62" s="503" t="str">
        <f>IF(A62=FALSE,"",Cotations!$CE$4)</f>
        <v/>
      </c>
      <c r="LP62" s="505" t="str">
        <f>IF(A62=FALSE,"",IF(LM62="N/A",0,IF(INDEX(LISTES!$F$105:$F$109,MATCH(LM62,LISTES!$C$105:$C$109,0))="FIX",IF(INDEX(LISTES!$E$105:$E$109,MATCH(LM62,LISTES!$C$105:$C$109,0))=12,LN62/12*L62,LN62/365*M62),LO62*LL62)))</f>
        <v/>
      </c>
      <c r="LQ62" s="504" t="str">
        <f t="shared" si="532"/>
        <v/>
      </c>
      <c r="LR62" s="505" t="str">
        <f>IF(A62=FALSE,"",LQ62*Cotations!$CF$4)</f>
        <v/>
      </c>
      <c r="LS62" s="505" t="str">
        <f>IF(A62=FALSE,"",LQ62*Cotations!$CG$4)</f>
        <v/>
      </c>
      <c r="LT62" s="506" t="str">
        <f t="shared" si="533"/>
        <v/>
      </c>
      <c r="LU62" s="919" t="str">
        <f>IF(A62=FALSE,"",((LG62*TAXE)-(LG62*TAXE*LI62))+IF(LM62="N/A",0,IF(INDEX(LISTES!$F$105:$F$109,MATCH(LM62,LISTES!$C$105:$C$109,0))="FIX",LN62,LO62*LL62)))</f>
        <v/>
      </c>
      <c r="MA62" s="492" t="str">
        <f>IF(A62=FALSE,"",Cotations!D62)</f>
        <v/>
      </c>
      <c r="MB62" s="491" t="str">
        <f>IF(A62=FALSE,"",IF(LISTES!$A$17=1,Cotations!BV62,Cotations!BW62))</f>
        <v/>
      </c>
      <c r="MC62" s="285" t="str">
        <f t="shared" si="534"/>
        <v/>
      </c>
      <c r="MD62" s="300"/>
      <c r="ME62" s="461" t="str">
        <f t="shared" si="535"/>
        <v/>
      </c>
      <c r="MF62" s="490" t="str">
        <f>IF(A62=FALSE,"",IF(MA62="POEA",Cotations!BY62,IF(MA62="FIXE",Cotations!BZ62,IF(Cotations!CA62*Y62&lt;50000,Z62,Cotations!CA62*Y62))))</f>
        <v/>
      </c>
      <c r="MG62" s="300" t="str">
        <f t="shared" si="536"/>
        <v/>
      </c>
      <c r="MH62" s="522" t="str">
        <f>IF(A62=FALSE,"",IF(Cotations!BX62="monthly",MG62/12*L62,MG62/365*M62))</f>
        <v/>
      </c>
      <c r="MI62" s="489" t="str">
        <f>IF(A62=FALSE,"",IF(Cotations!CB62="","",Cotations!CB62))</f>
        <v/>
      </c>
      <c r="MJ62" s="300" t="str">
        <f t="shared" si="537"/>
        <v/>
      </c>
      <c r="MK62" s="300" t="str">
        <f t="shared" si="538"/>
        <v/>
      </c>
      <c r="ML62" s="919" t="str">
        <f t="shared" si="539"/>
        <v/>
      </c>
      <c r="MM62" s="517" t="str">
        <f>IF(A62=FALSE,"",Cotations!CC62)</f>
        <v/>
      </c>
      <c r="MN62" s="515" t="str">
        <f>IF(A62=FALSE,"",Cotations!CD62)</f>
        <v/>
      </c>
      <c r="MO62" s="493" t="str">
        <f>IF(A62=FALSE,"",Cotations!CE62)</f>
        <v/>
      </c>
      <c r="MP62" s="517" t="str">
        <f>IF(A62=FALSE,"",IF(MM62="N/A",0,IF(INDEX(LISTES!$F$105:$F$109,MATCH(MM62,LISTES!$C$105:$C$109,0))="FIX",IF(INDEX(LISTES!$E$105:$E$109,MATCH(MM62,LISTES!$C$105:$C$109,0))=12,MN62/12*L62,MN62/365*M62),MO62*ML62)))</f>
        <v/>
      </c>
      <c r="MQ62" s="294" t="str">
        <f t="shared" si="540"/>
        <v/>
      </c>
      <c r="MR62" s="494" t="str">
        <f>IF(A62=FALSE,"",MQ62*Cotations!CF62)</f>
        <v/>
      </c>
      <c r="MS62" s="494" t="str">
        <f>IF(A62=FALSE,"",MQ62*Cotations!CG62)</f>
        <v/>
      </c>
      <c r="MT62" s="338" t="str">
        <f t="shared" si="541"/>
        <v/>
      </c>
      <c r="MU62" s="919" t="str">
        <f>IF(A62=FALSE,"",((MG62*TAXE)-(MG62*TAXE*MI62))+IF(MM62="N/A",0,IF(INDEX(LISTES!$F$105:$F$109,MATCH(MM62,LISTES!$C$105:$C$109,0))="FIX",MN62,MO62*ML62)))</f>
        <v/>
      </c>
      <c r="NA62" s="497" t="str">
        <f>IF(A62=FALSE,"",Cotations!D62)</f>
        <v/>
      </c>
      <c r="NB62" s="498" t="str">
        <f>IF(A62=FALSE,"",IF(LISTES!$A$17=1,Cotations!CH62,Cotations!$CI$4))</f>
        <v/>
      </c>
      <c r="NC62" s="499" t="str">
        <f t="shared" si="542"/>
        <v/>
      </c>
      <c r="ND62" s="499" t="str">
        <f t="shared" si="543"/>
        <v/>
      </c>
      <c r="NE62" s="500" t="str">
        <f t="shared" si="544"/>
        <v/>
      </c>
      <c r="NF62" s="501" t="str">
        <f>IF(A62=FALSE,"",IF(NA62="POEA",Cotations!CK62,IF(NA62="FIXE",Cotations!$CK$4,Cotations!$CM$4*Y62)))</f>
        <v/>
      </c>
      <c r="NG62" s="502" t="str">
        <f t="shared" si="545"/>
        <v/>
      </c>
      <c r="NH62" s="520" t="str">
        <f>IF(A62=FALSE,"",IF(Cotations!$CJ$4="monthly",NG62/12*L62,NG62/365*M62))</f>
        <v/>
      </c>
      <c r="NI62" s="503" t="str">
        <f>IF(A62=FALSE,"",Cotations!$CN$4)</f>
        <v/>
      </c>
      <c r="NJ62" s="502" t="str">
        <f t="shared" si="546"/>
        <v/>
      </c>
      <c r="NK62" s="502" t="str">
        <f t="shared" si="547"/>
        <v/>
      </c>
      <c r="NL62" s="504" t="str">
        <f t="shared" si="548"/>
        <v/>
      </c>
      <c r="NM62" s="505" t="str">
        <f>IF(A62=FALSE,"",Cotations!$CO$4)</f>
        <v/>
      </c>
      <c r="NN62" s="520" t="str">
        <f>IF(A62=FALSE,"",Cotations!$CP$4)</f>
        <v/>
      </c>
      <c r="NO62" s="503" t="str">
        <f>IF(A62=FALSE,"",Cotations!$CQ$4)</f>
        <v/>
      </c>
      <c r="NP62" s="505" t="str">
        <f>IF(A62=FALSE,"",IF(NM62="N/A",0,IF(INDEX(LISTES!$F$105:$F$109,MATCH(NM62,LISTES!$C$105:$C$109,0))="FIX",IF(INDEX(LISTES!$E$105:$E$109,MATCH(NM62,LISTES!$C$105:$C$109,0))=12,NN62/12*L62,NN62/365*M62),NO62*NL62)))</f>
        <v/>
      </c>
      <c r="NQ62" s="504" t="str">
        <f t="shared" si="549"/>
        <v/>
      </c>
      <c r="NR62" s="505" t="str">
        <f>IF(A62=FALSE,"",NQ62*Cotations!$CR$4)</f>
        <v/>
      </c>
      <c r="NS62" s="505" t="str">
        <f>IF(A62=FALSE,"",NQ62*Cotations!$CS$4)</f>
        <v/>
      </c>
      <c r="NT62" s="506" t="str">
        <f t="shared" si="550"/>
        <v/>
      </c>
      <c r="NU62" s="919" t="str">
        <f>IF(A62=FALSE,"",((NG62*TAXE)-(NG62*TAXE*NI62))+IF(NM62="N/A",0,IF(INDEX(LISTES!$F$105:$F$109,MATCH(NM62,LISTES!$C$105:$C$109,0))="FIX",NN62,NO62*NL62)))</f>
        <v/>
      </c>
      <c r="OA62" s="492" t="str">
        <f>IF(A62=FALSE,"",Cotations!D62)</f>
        <v/>
      </c>
      <c r="OB62" s="491" t="str">
        <f>IF(A62=FALSE,"",IF(LISTES!$A$17=1,Cotations!CH62,Cotations!CI62))</f>
        <v/>
      </c>
      <c r="OC62" s="285" t="str">
        <f t="shared" si="551"/>
        <v/>
      </c>
      <c r="OD62" s="300"/>
      <c r="OE62" s="461" t="str">
        <f t="shared" si="552"/>
        <v/>
      </c>
      <c r="OF62" s="490" t="str">
        <f>IF(A62=FALSE,"",IF(OA62="POEA",Cotations!CK62,IF(OA62="FIXE",Cotations!CL62,IF(Cotations!CM62*Y62&lt;50000,Z62,Cotations!CM62*Y62))))</f>
        <v/>
      </c>
      <c r="OG62" s="300" t="str">
        <f t="shared" si="553"/>
        <v/>
      </c>
      <c r="OH62" s="522" t="str">
        <f>IF(A62=FALSE,"",IF(Cotations!CJ62="monthly",OG62/12*L62,OG62/365*M62))</f>
        <v/>
      </c>
      <c r="OI62" s="489" t="str">
        <f>IF(A62=FALSE,"",IF(Cotations!CN62="","",Cotations!CN62))</f>
        <v/>
      </c>
      <c r="OJ62" s="300" t="str">
        <f t="shared" si="554"/>
        <v/>
      </c>
      <c r="OK62" s="300" t="str">
        <f t="shared" si="555"/>
        <v/>
      </c>
      <c r="OL62" s="919" t="str">
        <f t="shared" si="556"/>
        <v/>
      </c>
      <c r="OM62" s="517" t="str">
        <f>IF(A62=FALSE,"",Cotations!CO62)</f>
        <v/>
      </c>
      <c r="ON62" s="515" t="str">
        <f>IF(A62=FALSE,"",Cotations!CP62)</f>
        <v/>
      </c>
      <c r="OO62" s="493" t="str">
        <f>IF(A62=FALSE,"",Cotations!CQ62)</f>
        <v/>
      </c>
      <c r="OP62" s="517" t="str">
        <f>IF(A62=FALSE,"",IF(OM62="N/A",0,IF(INDEX(LISTES!$F$105:$F$109,MATCH(OM62,LISTES!$C$105:$C$109,0))="FIX",IF(INDEX(LISTES!$E$105:$E$109,MATCH(OM62,LISTES!$C$105:$C$109,0))=12,ON62/12*L62,ON62/365*M62),OO62*OL62)))</f>
        <v/>
      </c>
      <c r="OQ62" s="294" t="str">
        <f t="shared" si="557"/>
        <v/>
      </c>
      <c r="OR62" s="494" t="str">
        <f>IF(A62=FALSE,"",OQ62*Cotations!CR62)</f>
        <v/>
      </c>
      <c r="OS62" s="494" t="str">
        <f>IF(A62=FALSE,"",OQ62*Cotations!CS62)</f>
        <v/>
      </c>
      <c r="OT62" s="338" t="str">
        <f t="shared" si="558"/>
        <v/>
      </c>
      <c r="OU62" s="919" t="str">
        <f>IF(A62=FALSE,"",((OG62*TAXE)-(OG62*TAXE*OI62))+IF(OM62="N/A",0,IF(INDEX(LISTES!$F$105:$F$109,MATCH(OM62,LISTES!$C$105:$C$109,0))="FIX",ON62,OO62*OL62)))</f>
        <v/>
      </c>
      <c r="PA62" s="497" t="str">
        <f t="shared" si="559"/>
        <v/>
      </c>
      <c r="PB62" s="498" t="str">
        <f>IF(A62=FALSE,"",IF(LISTES!$A$17=1,Cotations!CT62,Cotations!$CU$4))</f>
        <v/>
      </c>
      <c r="PC62" s="499" t="str">
        <f t="shared" si="560"/>
        <v/>
      </c>
      <c r="PD62" s="499" t="str">
        <f t="shared" si="561"/>
        <v/>
      </c>
      <c r="PE62" s="500" t="str">
        <f t="shared" si="562"/>
        <v/>
      </c>
      <c r="PF62" s="501" t="str">
        <f>IF(A62=FALSE,"",Cotations!$CY$4*Y62)</f>
        <v/>
      </c>
      <c r="PG62" s="502" t="str">
        <f t="shared" si="563"/>
        <v/>
      </c>
      <c r="PH62" s="520" t="str">
        <f>IF(A62=FALSE,"",IF(Cotations!$CV$4="monthly",PG62/12*L62,PG62/365*M62))</f>
        <v/>
      </c>
      <c r="PI62" s="503" t="str">
        <f>IF(A62=FALSE,"",Cotations!$CZ$4)</f>
        <v/>
      </c>
      <c r="PJ62" s="502" t="str">
        <f t="shared" si="564"/>
        <v/>
      </c>
      <c r="PK62" s="502" t="str">
        <f t="shared" si="565"/>
        <v/>
      </c>
      <c r="PL62" s="504" t="str">
        <f t="shared" si="566"/>
        <v/>
      </c>
      <c r="PM62" s="505" t="str">
        <f>IF(A62=FALSE,"",Cotations!$DA$4)</f>
        <v/>
      </c>
      <c r="PN62" s="520" t="str">
        <f>IF(A62=FALSE,"",Cotations!$DB$4)</f>
        <v/>
      </c>
      <c r="PO62" s="503" t="str">
        <f>IF(A62=FALSE,"",Cotations!$DC$4)</f>
        <v/>
      </c>
      <c r="PP62" s="505" t="str">
        <f>IF(A62=FALSE,"",IF(PM62="N/A",0,IF(INDEX(LISTES!$F$105:$F$109,MATCH(PM62,LISTES!$C$105:$C$109,0))="FIX",IF(INDEX(LISTES!$E$105:$E$109,MATCH(PM62,LISTES!$C$105:$C$109,0))=12,PN62/12*L62,PN62/365*M62),PO62*PL62)))</f>
        <v/>
      </c>
      <c r="PQ62" s="504" t="str">
        <f t="shared" si="567"/>
        <v/>
      </c>
      <c r="PR62" s="505" t="str">
        <f>IF(A62=FALSE,"",PQ62*Cotations!$DD$4)</f>
        <v/>
      </c>
      <c r="PS62" s="505" t="str">
        <f>IF(A62=FALSE,"",PQ62*Cotations!$DE$4)</f>
        <v/>
      </c>
      <c r="PT62" s="506" t="str">
        <f t="shared" si="568"/>
        <v/>
      </c>
      <c r="PU62" s="919" t="str">
        <f>IF(A62=FALSE,"",((PG62*TAXE)-(PG62*TAXE*PI62))+IF(PM62="N/A",0,IF(INDEX(LISTES!$F$105:$F$109,MATCH(PM62,LISTES!$C$105:$C$109,0))="FIX",PN62,PO62*PL62)))</f>
        <v/>
      </c>
      <c r="QA62" s="492" t="str">
        <f t="shared" si="569"/>
        <v/>
      </c>
      <c r="QB62" s="491" t="str">
        <f>IF(A62=FALSE,"",IF(LISTES!$A$17=1,Cotations!CT62,Cotations!CU62))</f>
        <v/>
      </c>
      <c r="QC62" s="285" t="str">
        <f t="shared" si="570"/>
        <v/>
      </c>
      <c r="QD62" s="300"/>
      <c r="QE62" s="461" t="str">
        <f t="shared" si="571"/>
        <v/>
      </c>
      <c r="QF62" s="490" t="str">
        <f>IF(A62=FALSE,"",Cotations!CY62*AA62)</f>
        <v/>
      </c>
      <c r="QG62" s="300" t="str">
        <f t="shared" si="572"/>
        <v/>
      </c>
      <c r="QH62" s="522" t="str">
        <f>IF(A62=FALSE,"",IF(Cotations!CV62="monthly",QG62/12*L62,QG62/365*M62))</f>
        <v/>
      </c>
      <c r="QI62" s="489" t="str">
        <f>IF(A62=FALSE,"",IF(Cotations!CZ62="","",Cotations!CZ62))</f>
        <v/>
      </c>
      <c r="QJ62" s="300" t="str">
        <f t="shared" si="573"/>
        <v/>
      </c>
      <c r="QK62" s="300" t="str">
        <f t="shared" si="574"/>
        <v/>
      </c>
      <c r="QL62" s="919" t="str">
        <f t="shared" si="575"/>
        <v/>
      </c>
      <c r="QM62" s="517" t="str">
        <f>IF(A62=FALSE,"",Cotations!DA62)</f>
        <v/>
      </c>
      <c r="QN62" s="515" t="str">
        <f>IF(A62=FALSE,"",Cotations!DB62)</f>
        <v/>
      </c>
      <c r="QO62" s="493" t="str">
        <f>IF(A62=FALSE,"",Cotations!DC62)</f>
        <v/>
      </c>
      <c r="QP62" s="517" t="str">
        <f>IF(A62=FALSE,"",IF(QM62="N/A",0,IF(INDEX(LISTES!$F$105:$F$109,MATCH(QM62,LISTES!$C$105:$C$109,0))="FIX",IF(INDEX(LISTES!$E$105:$E$109,MATCH(QM62,LISTES!$C$105:$C$109,0))=12,QN62/12*L62,QN62/365*M62),QO62*QL62)))</f>
        <v/>
      </c>
      <c r="QQ62" s="294" t="str">
        <f t="shared" si="576"/>
        <v/>
      </c>
      <c r="QR62" s="494" t="str">
        <f>IF(A62=FALSE,"",QQ62*Cotations!DD62)</f>
        <v/>
      </c>
      <c r="QS62" s="494" t="str">
        <f>IF(A62=FALSE,"",QQ62*Cotations!DE62)</f>
        <v/>
      </c>
      <c r="QT62" s="338" t="str">
        <f t="shared" si="577"/>
        <v/>
      </c>
      <c r="QU62" s="919" t="str">
        <f>IF(A62=FALSE,"",((QG62*TAXE)-(QG62*TAXE*QI62))+IF(QM62="N/A",0,IF(INDEX(LISTES!$F$105:$F$109,MATCH(QM62,LISTES!$C$105:$C$109,0))="FIX",QN62,QO62*QL62)))</f>
        <v/>
      </c>
      <c r="RA62" s="497" t="str">
        <f t="shared" si="578"/>
        <v/>
      </c>
      <c r="RB62" s="498" t="str">
        <f>IF(A62=FALSE,"",IF(LISTES!$A$17=1,Cotations!DF62,Cotations!$DG$4))</f>
        <v/>
      </c>
      <c r="RC62" s="499" t="str">
        <f t="shared" si="579"/>
        <v/>
      </c>
      <c r="RD62" s="499" t="str">
        <f t="shared" si="580"/>
        <v/>
      </c>
      <c r="RE62" s="500" t="str">
        <f t="shared" si="581"/>
        <v/>
      </c>
      <c r="RF62" s="501" t="str">
        <f>IF(A62=FALSE,"",Cotations!$DK$4*Y62)</f>
        <v/>
      </c>
      <c r="RG62" s="502" t="str">
        <f t="shared" si="582"/>
        <v/>
      </c>
      <c r="RH62" s="520" t="str">
        <f>IF(A62=FALSE,"",IF(Cotations!$DH$4="monthly",RG62/12*L62,RG62/365*M62))</f>
        <v/>
      </c>
      <c r="RI62" s="503" t="str">
        <f>IF(A62=FALSE,"",Cotations!$DL$4)</f>
        <v/>
      </c>
      <c r="RJ62" s="502" t="str">
        <f t="shared" si="583"/>
        <v/>
      </c>
      <c r="RK62" s="502" t="str">
        <f t="shared" si="584"/>
        <v/>
      </c>
      <c r="RL62" s="504" t="str">
        <f t="shared" si="585"/>
        <v/>
      </c>
      <c r="RM62" s="505" t="str">
        <f>IF(A62=FALSE,"",Cotations!$DM$4)</f>
        <v/>
      </c>
      <c r="RN62" s="520" t="str">
        <f>IF(A62=FALSE,"",Cotations!$DN$4)</f>
        <v/>
      </c>
      <c r="RO62" s="503" t="str">
        <f>IF(A62=FALSE,"",Cotations!$DO$4)</f>
        <v/>
      </c>
      <c r="RP62" s="505" t="str">
        <f>IF(A62=FALSE,"",IF(RM62="N/A",0,IF(INDEX(LISTES!$F$105:$F$109,MATCH(RM62,LISTES!$C$105:$C$109,0))="FIX",IF(INDEX(LISTES!$E$105:$E$109,MATCH(RM62,LISTES!$C$105:$C$109,0))=12,RN62/12*L62,RN62/365*M62),RO62*RL62)))</f>
        <v/>
      </c>
      <c r="RQ62" s="504" t="str">
        <f t="shared" si="586"/>
        <v/>
      </c>
      <c r="RR62" s="505" t="str">
        <f>IF(A62=FALSE,"",RQ62*Cotations!$DP$4)</f>
        <v/>
      </c>
      <c r="RS62" s="505" t="str">
        <f>IF(A62=FALSE,"",RQ62*Cotations!$DQ$4)</f>
        <v/>
      </c>
      <c r="RT62" s="506" t="str">
        <f t="shared" si="587"/>
        <v/>
      </c>
      <c r="RU62" s="919" t="str">
        <f>IF(A62=FALSE,"",((RG62*TAXE)-(RG62*TAXE*RI62))+IF(RM62="N/A",0,IF(INDEX(LISTES!$F$105:$F$109,MATCH(RM62,LISTES!$C$105:$C$109,0))="FIX",RN62,RO62*RL62)))</f>
        <v/>
      </c>
      <c r="SA62" s="492" t="str">
        <f t="shared" si="588"/>
        <v/>
      </c>
      <c r="SB62" s="491" t="str">
        <f>IF(A62=FALSE,"",IF(LISTES!$A$17=1,Cotations!DF62,Cotations!DG62))</f>
        <v/>
      </c>
      <c r="SC62" s="285" t="str">
        <f t="shared" si="589"/>
        <v/>
      </c>
      <c r="SD62" s="300"/>
      <c r="SE62" s="461" t="str">
        <f t="shared" si="590"/>
        <v/>
      </c>
      <c r="SF62" s="490" t="str">
        <f>IF(A62=FALSE,"",Cotations!DK62*AA62)</f>
        <v/>
      </c>
      <c r="SG62" s="300" t="str">
        <f t="shared" si="591"/>
        <v/>
      </c>
      <c r="SH62" s="522" t="str">
        <f>IF(A62=FALSE,"",IF(Cotations!DH62="monthly",SG62/12*L62,SG62/365*M62))</f>
        <v/>
      </c>
      <c r="SI62" s="489" t="str">
        <f>IF(A62=FALSE,"",IF(Cotations!DL62="","",Cotations!DL62))</f>
        <v/>
      </c>
      <c r="SJ62" s="300" t="str">
        <f t="shared" si="592"/>
        <v/>
      </c>
      <c r="SK62" s="300" t="str">
        <f t="shared" si="593"/>
        <v/>
      </c>
      <c r="SL62" s="919" t="str">
        <f t="shared" si="594"/>
        <v/>
      </c>
      <c r="SM62" s="285" t="str">
        <f>IF(A62=FALSE,"",Cotations!DM62)</f>
        <v/>
      </c>
      <c r="SN62" s="515" t="str">
        <f>IF(A62=FALSE,"",Cotations!DN62)</f>
        <v/>
      </c>
      <c r="SO62" s="493" t="str">
        <f>IF(A62=FALSE,"",Cotations!DO62)</f>
        <v/>
      </c>
      <c r="SP62" s="517" t="str">
        <f>IF(A62=FALSE,"",IF(SM62="N/A",0,IF(INDEX(LISTES!$F$105:$F$109,MATCH(SM62,LISTES!$C$105:$C$109,0))="FIX",IF(INDEX(LISTES!$E$105:$E$109,MATCH(SM62,LISTES!$C$105:$C$109,0))=12,SN62/12*L62,SN62/365*M62),SO62*SL62)))</f>
        <v/>
      </c>
      <c r="SQ62" s="294" t="str">
        <f t="shared" si="595"/>
        <v/>
      </c>
      <c r="SR62" s="494" t="str">
        <f>IF(A62=FALSE,"",SQ62*Cotations!DP62)</f>
        <v/>
      </c>
      <c r="SS62" s="494" t="str">
        <f>IF(A62=FALSE,"",SQ62*Cotations!DQ62)</f>
        <v/>
      </c>
      <c r="ST62" s="338" t="str">
        <f t="shared" si="596"/>
        <v/>
      </c>
      <c r="SU62" s="919" t="str">
        <f>IF(A62=FALSE,"",((SG62*TAXE)-(SG62*TAXE*SI62))+IF(SM62="N/A",0,IF(INDEX(LISTES!$F$105:$F$109,MATCH(SM62,LISTES!$C$105:$C$109,0))="FIX",SN62,SO62*SL62)))</f>
        <v/>
      </c>
      <c r="TA62" s="492" t="str">
        <f>IF(A62=FALSE,"",Cotations!D62)</f>
        <v/>
      </c>
      <c r="TB62" s="491" t="str">
        <f>IF(A62=FALSE,"",IF(LISTES!$A$17=1,Cotations!DR62,Cotations!DS62))</f>
        <v/>
      </c>
      <c r="TC62" s="285" t="str">
        <f t="shared" si="597"/>
        <v/>
      </c>
      <c r="TD62" s="300" t="str">
        <f>IF(A62=FALSE,"",Detail!CQ62)</f>
        <v/>
      </c>
      <c r="TE62" s="461" t="str">
        <f t="shared" si="598"/>
        <v/>
      </c>
      <c r="TF62" s="490" t="str">
        <f>IF(A62=FALSE,"",IF(TA62="FIXE",Cotations!DU62,Cotations!DV62*Y62))</f>
        <v/>
      </c>
      <c r="TG62" s="300" t="str">
        <f t="shared" si="599"/>
        <v/>
      </c>
      <c r="TH62" s="522" t="str">
        <f>IF(A62=FALSE,"",IF(Cotations!DT62="monthly",TG62/12*L62,TG62/365*M62))</f>
        <v/>
      </c>
      <c r="TI62" s="489" t="str">
        <f>IF(A62=FALSE,"",IF(Cotations!DW62="","",Cotations!DW62))</f>
        <v/>
      </c>
      <c r="TJ62" s="300" t="str">
        <f t="shared" si="600"/>
        <v/>
      </c>
      <c r="TK62" s="300" t="str">
        <f t="shared" si="601"/>
        <v/>
      </c>
      <c r="TL62" s="919" t="str">
        <f t="shared" si="602"/>
        <v/>
      </c>
      <c r="TM62" s="517" t="str">
        <f>IF(A62=FALSE,"",Cotations!DX62)</f>
        <v/>
      </c>
      <c r="TN62" s="517" t="str">
        <f>IF(A62=FALSE,"",Cotations!DY62)</f>
        <v/>
      </c>
      <c r="TO62" s="493" t="str">
        <f>IF(A62=FALSE,"",Cotations!DZ62)</f>
        <v/>
      </c>
      <c r="TP62" s="517" t="str">
        <f>IF(A62=FALSE,"",IF(TM62="N/A",0,IF(INDEX(LISTES!$F$105:$F$109,MATCH(TM62,LISTES!$C$105:$C$109,0))="FIX",IF(INDEX(LISTES!$E$105:$E$109,MATCH(TM62,LISTES!$C$105:$C$109,0))=12,TN62/12*L62,TN62/365*M62),TO62*TL62)))</f>
        <v/>
      </c>
      <c r="TQ62" s="294" t="str">
        <f t="shared" si="603"/>
        <v/>
      </c>
      <c r="TR62" s="494" t="str">
        <f>IF(A62=FALSE,"",TQ62*Cotations!EA62)</f>
        <v/>
      </c>
      <c r="TS62" s="494" t="str">
        <f>IF(A62=FALSE,"",TQ62*Cotations!EB62)</f>
        <v/>
      </c>
      <c r="TT62" s="338" t="str">
        <f t="shared" si="604"/>
        <v/>
      </c>
      <c r="TU62" s="919" t="str">
        <f>IF(A62=FALSE,"",((TG62*(1+TAXE)-(TG62*(1+TAXE)*TI62))+IF(TM62="N/A",0,IF(INDEX(LISTES!$F$105:$F$109,MATCH(TM62,LISTES!$C$105:$C$109,0))="FIX",TN62,TO62*TL62))))</f>
        <v/>
      </c>
      <c r="UA62" s="492" t="str">
        <f>IF(A62=FALSE,"",Cotations!D62)</f>
        <v/>
      </c>
      <c r="UB62" s="491" t="str">
        <f>IF(A62=FALSE,"",IF(LISTES!$A$17=1,Cotations!EC62,Cotations!ED62))</f>
        <v/>
      </c>
      <c r="UC62" s="285" t="str">
        <f t="shared" si="605"/>
        <v/>
      </c>
      <c r="UD62" s="300" t="str">
        <f>IF(A62=FALSE,"",Detail!CY62)</f>
        <v/>
      </c>
      <c r="UE62" s="461" t="str">
        <f t="shared" si="606"/>
        <v/>
      </c>
      <c r="UF62" s="490" t="str">
        <f>IF(A62=FALSE,"",IF(UA62="FIXE",Cotations!EF62,Cotations!EG62*Y62))</f>
        <v/>
      </c>
      <c r="UG62" s="300" t="str">
        <f t="shared" si="607"/>
        <v/>
      </c>
      <c r="UH62" s="522" t="str">
        <f>IF(A62=FALSE,"",IF(Cotations!EE62="monthly",UG62/12*L62,UG62/365*M62))</f>
        <v/>
      </c>
      <c r="UI62" s="489" t="str">
        <f>IF(A62=FALSE,"",IF(Cotations!EH62="","",Cotations!EH62))</f>
        <v/>
      </c>
      <c r="UJ62" s="300" t="str">
        <f t="shared" si="608"/>
        <v/>
      </c>
      <c r="UK62" s="300" t="str">
        <f t="shared" si="609"/>
        <v/>
      </c>
      <c r="UL62" s="919" t="str">
        <f t="shared" si="610"/>
        <v/>
      </c>
      <c r="UM62" s="517" t="str">
        <f>IF(A62=FALSE,"",Cotations!EI62)</f>
        <v/>
      </c>
      <c r="UN62" s="517" t="str">
        <f>IF(A62=FALSE,"",Cotations!EJ62)</f>
        <v/>
      </c>
      <c r="UO62" s="493" t="str">
        <f>IF(A62=FALSE,"",Cotations!EK62)</f>
        <v/>
      </c>
      <c r="UP62" s="517" t="str">
        <f>IF(A62=FALSE,"",IF(UM62="N/A",0,IF(INDEX(LISTES!$F$105:$F$109,MATCH(UM62,LISTES!$C$105:$C$109,0))="FIX",IF(INDEX(LISTES!$E$105:$E$109,MATCH(UM62,LISTES!$C$105:$C$109,0))=12,UN62/12*L62,UN62/365*M62),UO62*UL62)))</f>
        <v/>
      </c>
      <c r="UQ62" s="294" t="str">
        <f t="shared" si="611"/>
        <v/>
      </c>
      <c r="UR62" s="494" t="str">
        <f>IF(A62=FALSE,"",UQ62*Cotations!EL62)</f>
        <v/>
      </c>
      <c r="US62" s="494" t="str">
        <f>IF(A62=FALSE,"",UQ62*Cotations!EM62)</f>
        <v/>
      </c>
      <c r="UT62" s="338" t="str">
        <f t="shared" si="612"/>
        <v/>
      </c>
      <c r="UU62" s="919" t="str">
        <f>IF(A62=FALSE,"",((UG62*(1+TAXE)-(UG62*(1+TAXE)*UI62))+IF(UM62="N/A",0,IF(INDEX(LISTES!$F$105:$F$109,MATCH(UM62,LISTES!$C$105:$C$109,0))="FIX",UN62,UO62*UL62))))</f>
        <v/>
      </c>
      <c r="VA62" s="492" t="str">
        <f>IF(A62=FALSE,"",Cotations!D62)</f>
        <v/>
      </c>
      <c r="VB62" s="519" t="str">
        <f>IF(A62=FALSE,"",IF(LISTES!$A$17=1,Cotations!EN62,Cotations!EO62))</f>
        <v/>
      </c>
      <c r="VC62" s="291" t="str">
        <f t="shared" si="613"/>
        <v/>
      </c>
      <c r="VD62" s="291" t="str">
        <f t="shared" si="614"/>
        <v/>
      </c>
      <c r="VE62" s="291"/>
      <c r="VF62" s="463"/>
      <c r="VG62" s="463" t="str">
        <f t="shared" si="615"/>
        <v/>
      </c>
      <c r="VH62" s="522" t="str">
        <f>IF(A62=FALSE,"",IF(Cotations!$AQ$4="monthly",VG62/12*L62,VG62/365*M62))</f>
        <v/>
      </c>
      <c r="VI62" s="489" t="str">
        <f>IF(A62=FALSE,"",Cotations!$AR$4)</f>
        <v/>
      </c>
      <c r="VJ62" s="300" t="str">
        <f t="shared" si="616"/>
        <v/>
      </c>
      <c r="VK62" s="300" t="str">
        <f t="shared" si="617"/>
        <v/>
      </c>
      <c r="VL62" s="294" t="str">
        <f t="shared" si="618"/>
        <v/>
      </c>
      <c r="VM62" s="494" t="str">
        <f>IF(A62=FALSE,"",Cotations!$AS$4)</f>
        <v/>
      </c>
      <c r="VN62" s="494" t="str">
        <f>IF(A62=FALSE,"",Cotations!$AT$4)</f>
        <v/>
      </c>
      <c r="VO62" s="489" t="str">
        <f>IF(A62=FALSE,"",Cotations!$AU$4)</f>
        <v/>
      </c>
      <c r="VP62" s="494" t="str">
        <f>IF(A62=FALSE,"",IF(VM62="N/A",0,IF(INDEX(LISTES!$F$105:$F$109,MATCH(VM62,LISTES!$C$105:$C$109,0))="FIX",IF(INDEX(LISTES!$E$105:$E$109,MATCH(VM62,LISTES!$C$105:$C$109,0))=12,VN62/12*L62,VN62/365*M62),VO62*VL62)))</f>
        <v/>
      </c>
      <c r="VQ62" s="294" t="str">
        <f t="shared" si="619"/>
        <v/>
      </c>
      <c r="VR62" s="494" t="str">
        <f>IF(A62=FALSE,"",VQ62*Cotations!$AV$4)</f>
        <v/>
      </c>
      <c r="VS62" s="494" t="str">
        <f>IF(A62=FALSE,"",VQ62*Cotations!$AW$4)</f>
        <v/>
      </c>
      <c r="VT62" s="465" t="str">
        <f t="shared" si="620"/>
        <v/>
      </c>
      <c r="VU62" s="919" t="str">
        <f>IF(A62=FALSE,"",((VG62*TAXE)-(VG62*TAXE*VI62))+IF(VM62="N/A",0,IF(INDEX(LISTES!$F$105:$F$109,MATCH(VM62,LISTES!$C$105:$C$109,0))="FIX",VN62,VO62*VL62)))</f>
        <v/>
      </c>
      <c r="WA62" s="492" t="str">
        <f>IF(A62=FALSE,"",Cotations!D62)</f>
        <v/>
      </c>
      <c r="WB62" s="519" t="str">
        <f>IF(A62=FALSE,"",IF(LISTES!$A$17=1,Cotations!EW62,Cotations!EX62))</f>
        <v/>
      </c>
      <c r="WC62" s="291" t="str">
        <f t="shared" si="621"/>
        <v/>
      </c>
      <c r="WD62" s="291" t="str">
        <f t="shared" si="622"/>
        <v/>
      </c>
      <c r="WE62" s="291"/>
      <c r="WF62" s="463"/>
      <c r="WG62" s="463" t="str">
        <f t="shared" si="623"/>
        <v/>
      </c>
      <c r="WH62" s="522" t="str">
        <f>IF(A62=FALSE,"",IF(Cotations!$AQ$4="monthly",WG62/12*L62,WG62/365*M62))</f>
        <v/>
      </c>
      <c r="WI62" s="489" t="str">
        <f>IF(A62=FALSE,"",Cotations!$AR$4)</f>
        <v/>
      </c>
      <c r="WJ62" s="300" t="str">
        <f t="shared" si="624"/>
        <v/>
      </c>
      <c r="WK62" s="300" t="str">
        <f t="shared" si="625"/>
        <v/>
      </c>
      <c r="WL62" s="294" t="str">
        <f t="shared" si="626"/>
        <v/>
      </c>
      <c r="WM62" s="494" t="str">
        <f>IF(A62=FALSE,"",Cotations!$AS$4)</f>
        <v/>
      </c>
      <c r="WN62" s="494" t="str">
        <f>IF(A62=FALSE,"",Cotations!$AT$4)</f>
        <v/>
      </c>
      <c r="WO62" s="489" t="str">
        <f>IF(A62=FALSE,"",Cotations!$AU$4)</f>
        <v/>
      </c>
      <c r="WP62" s="494" t="str">
        <f>IF(A62=FALSE,"",IF(WM62="N/A",0,IF(INDEX(LISTES!$F$105:$F$109,MATCH(WM62,LISTES!$C$105:$C$109,0))="FIX",IF(INDEX(LISTES!$E$105:$E$109,MATCH(WM62,LISTES!$C$105:$C$109,0))=12,WN62/12*L62,WN62/365*M62),WO62*WL62)))</f>
        <v/>
      </c>
      <c r="WQ62" s="294" t="str">
        <f t="shared" si="627"/>
        <v/>
      </c>
      <c r="WR62" s="494" t="str">
        <f>IF(A62=FALSE,"",WQ62*Cotations!$AV$4)</f>
        <v/>
      </c>
      <c r="WS62" s="494" t="str">
        <f>IF(A62=FALSE,"",WQ62*Cotations!$AW$4)</f>
        <v/>
      </c>
      <c r="WT62" s="465" t="str">
        <f t="shared" si="628"/>
        <v/>
      </c>
      <c r="WU62" s="919" t="str">
        <f>IF(A62=FALSE,"",((WG62*TAXE)-(WG62*TAXE*WI62))+IF(WM62="N/A",0,IF(INDEX(LISTES!$F$105:$F$109,MATCH(WM62,LISTES!$C$105:$C$109,0))="FIX",WN62,WO62*WL62)))</f>
        <v/>
      </c>
    </row>
    <row r="63" spans="1:619">
      <c r="A63" s="942" t="b">
        <f t="shared" si="433"/>
        <v>0</v>
      </c>
      <c r="B63" s="942" t="b">
        <f>IF(NAMES!$B$9=TRUE,TRUE,FALSE)</f>
        <v>1</v>
      </c>
      <c r="C63" s="942" t="b">
        <f t="shared" si="413"/>
        <v>0</v>
      </c>
      <c r="D63" s="942" t="b">
        <f t="shared" si="414"/>
        <v>0</v>
      </c>
      <c r="E63" s="274" t="b">
        <f>IF(Cotations!C63="","",Cotations!C63)</f>
        <v>0</v>
      </c>
      <c r="F63" s="274" t="str">
        <f>IF(Cotations!D63="","",Cotations!D63)</f>
        <v>PROP</v>
      </c>
      <c r="G63" s="274" t="str">
        <f>IF(Cotations!E63="","",Cotations!E63)</f>
        <v>2016-2017!</v>
      </c>
      <c r="H63" s="274" t="str">
        <f>IF(Cotations!F63="","",Cotations!F63)</f>
        <v>SINGLE</v>
      </c>
      <c r="I63" s="274" t="str">
        <f>IF(Cotations!G63="","",Cotations!G63)</f>
        <v/>
      </c>
      <c r="J63" s="274" t="str">
        <f>IF(Cotations!H63="","",Cotations!H63)</f>
        <v/>
      </c>
      <c r="K63" s="274" t="str">
        <f>IF(Cotations!I63="","",Cotations!I63)</f>
        <v/>
      </c>
      <c r="L63" s="274" t="str">
        <f>IF(A63=FALSE,"",IF(Cotations!N63="","",Cotations!N63))</f>
        <v/>
      </c>
      <c r="M63" s="274" t="str">
        <f>IF(Cotations!P63="","",Cotations!P63)</f>
        <v/>
      </c>
      <c r="N63" s="724" t="str">
        <f>IF(NAMES!$B$10=TRUE,Cotations!J63,Cotations!L63)</f>
        <v/>
      </c>
      <c r="O63" s="724" t="str">
        <f>IF(NAMES!$B$10=TRUE,Cotations!K63,Cotations!M63)</f>
        <v/>
      </c>
      <c r="P63" s="943" t="str">
        <f t="shared" si="415"/>
        <v/>
      </c>
      <c r="Q63" s="724" t="str">
        <f>IF(A63=FALSE,"",IF(Crewlist!Y63="","",Crewlist!Y63))</f>
        <v/>
      </c>
      <c r="R63" s="78" t="str">
        <f>IF(Cotations!U63="","",Cotations!U63)</f>
        <v/>
      </c>
      <c r="S63" s="943" t="str">
        <f t="shared" si="416"/>
        <v/>
      </c>
      <c r="T63" s="919" t="str">
        <f>IF(A63=FALSE,"",VLOOKUP($U$15:$U$120,Currency!$A$2:$D$10,4,0)*Crewlist!N63)</f>
        <v/>
      </c>
      <c r="U63" s="1355" t="str">
        <f>IF(A63=FALSE,"",IF(IT63=0,Crewlist!M63&amp;"/"&amp;EX63,Crewlist!M63&amp;"/"&amp;IT63))</f>
        <v/>
      </c>
      <c r="V63" s="919" t="str">
        <f>IF(A63=FALSE,"",VLOOKUP($U$15:$U$120,Currency!$A$2:$D$10,4,0)*Detail!Q63)</f>
        <v/>
      </c>
      <c r="W63" s="1355" t="str">
        <f>IF(A63=FALSE,"",IF(IT63=0,Detail!R63&amp;"/"&amp;EX63,Detail!R63&amp;"/"&amp;IT63))</f>
        <v/>
      </c>
      <c r="X63" s="919" t="str">
        <f>IF(A63=FALSE,"",IF(LISTES!$C$17="Crewlist",Calcul!T63,Calcul!V63))</f>
        <v/>
      </c>
      <c r="Y63" s="758" t="str">
        <f t="shared" si="417"/>
        <v/>
      </c>
      <c r="Z63" s="758" t="str">
        <f>IF(A63=FALSE,"",IF(X63=0,0,IF((Cotations!BC63*12*X63)&lt;50000,50000,(12*X63))))</f>
        <v/>
      </c>
      <c r="AA63" s="758" t="str">
        <f t="shared" si="418"/>
        <v/>
      </c>
      <c r="AB63" s="758" t="str">
        <f>IF(A63=FALSE,"",IF(Crewlist!O63=0,"",Crewlist!O63))</f>
        <v/>
      </c>
      <c r="AC63" s="758" t="str">
        <f>IF(I63="","",VLOOKUP($AB$15:$AB$120,Currency!$A$15:$B$34,2,0))</f>
        <v/>
      </c>
      <c r="AD63" s="758" t="str">
        <f t="shared" si="419"/>
        <v/>
      </c>
      <c r="AE63" s="758" t="str">
        <f t="shared" si="420"/>
        <v/>
      </c>
      <c r="AF63" s="758" t="str">
        <f t="shared" si="421"/>
        <v/>
      </c>
      <c r="AG63" s="758" t="str">
        <f t="shared" si="422"/>
        <v/>
      </c>
      <c r="AH63" s="1355" t="str">
        <f t="shared" si="434"/>
        <v/>
      </c>
      <c r="AI63" s="919" t="str">
        <f t="shared" si="423"/>
        <v/>
      </c>
      <c r="AJ63" s="1382" t="str">
        <f t="shared" si="424"/>
        <v/>
      </c>
      <c r="AK63" s="1382" t="str">
        <f t="shared" si="425"/>
        <v/>
      </c>
      <c r="AL63" s="238" t="str">
        <f t="shared" si="435"/>
        <v/>
      </c>
      <c r="AM63" s="238" t="str">
        <f t="shared" si="436"/>
        <v/>
      </c>
      <c r="AN63" s="1374" t="str">
        <f t="shared" si="437"/>
        <v/>
      </c>
      <c r="AO63" s="238" t="str">
        <f t="shared" si="438"/>
        <v/>
      </c>
      <c r="AP63" s="342" t="str">
        <f>IF(A63=FALSE,"",INDEX(Rates!$Z$5:$Z$367,MATCH(EB63,colchoice,0)))</f>
        <v/>
      </c>
      <c r="AQ63" s="238" t="str">
        <f t="shared" si="439"/>
        <v/>
      </c>
      <c r="AR63" s="238" t="str">
        <f t="shared" si="440"/>
        <v/>
      </c>
      <c r="AS63" s="238" t="str">
        <f t="shared" si="441"/>
        <v/>
      </c>
      <c r="AT63" s="238" t="str">
        <f t="shared" si="442"/>
        <v/>
      </c>
      <c r="AU63" s="238" t="str">
        <f t="shared" si="443"/>
        <v/>
      </c>
      <c r="AV63" s="238" t="str">
        <f t="shared" si="429"/>
        <v/>
      </c>
      <c r="AW63" s="238" t="str">
        <f t="shared" si="444"/>
        <v/>
      </c>
      <c r="AX63" s="238" t="str">
        <f t="shared" si="445"/>
        <v/>
      </c>
      <c r="AY63" s="238" t="str">
        <f t="shared" si="446"/>
        <v/>
      </c>
      <c r="AZ63" s="238" t="str">
        <f t="shared" si="447"/>
        <v/>
      </c>
      <c r="BA63" s="238" t="str">
        <f t="shared" si="448"/>
        <v/>
      </c>
      <c r="BB63" s="552" t="str">
        <f t="shared" si="449"/>
        <v/>
      </c>
      <c r="BC63" s="347" t="str">
        <f t="shared" si="450"/>
        <v/>
      </c>
      <c r="BD63" s="239" t="str">
        <f t="shared" si="430"/>
        <v/>
      </c>
      <c r="BE63" s="239" t="str">
        <f>IF(A63=FALSE,"",IF(ALLTHESAME=TRUE,IF(DF63&lt;&gt;$BC$7,0,INDEX(DD63:DZ63,1,MATCH(Structure!$D$12,$DD$14:$DZ$14,0))),IF(EC63&lt;&gt;$BC$7,0,INDEX(EA63:EZ63,1,MATCH(Structure!$D$12,$EA$14:$EZ$14,0)))))</f>
        <v/>
      </c>
      <c r="BF63" s="239" t="str">
        <f>IF(A63=FALSE,"",IF(ALLTHESAME=TRUE,IF(FC63&lt;&gt;$BC$7,0,INDEX(FA63:FZ63,1,MATCH(Structure!$D$12,$FA$14:$FZ$14,0))),IF(GC63&lt;&gt;$BC$7,0,INDEX(GA63:GZ63,1,MATCH(Structure!$D$12,$GA$14:$GZ$14,0)))))</f>
        <v/>
      </c>
      <c r="BG63" s="239" t="str">
        <f>IF(A63=FALSE,"",IF(ALLTHESAME=TRUE,IF(VC63&lt;&gt;$BC$7,0,INDEX(VA63:VZ63,1,MATCH(Structure!$D$12,$VA$14:$VZ$14,0))),IF(VC63&lt;&gt;$BC$7,0,INDEX(VA63:VZ63,1,MATCH(Structure!$D$12,$VA$14:$VZ$14,0)))))</f>
        <v/>
      </c>
      <c r="BH63" s="239" t="str">
        <f>IF(A63=FALSE,"",IF(ALLTHESAME=TRUE,IF(WC63&lt;&gt;$BC$7,0,INDEX(WA63:WY63,1,MATCH(Structure!$D$12,$WA$14:$WZ$14,0))),IF(WC63&lt;&gt;$BC$7,0,INDEX(WA63:WZ63,1,MATCH(Structure!$D$12,$WA$14:$WZ$14,0)))))</f>
        <v/>
      </c>
      <c r="BI63" s="763" t="str">
        <f>IF(A63=FALSE,"",IF(ALLTHESAME=TRUE,IF(HC63&lt;&gt;$BC$7,0,INDEX(HA63:HZ63,1,MATCH(Structure!$D$12,$HA$14:$HZ$14,0)))+TK63,IF(IC63&lt;&gt;$BC$7,0,INDEX(IA63:IZ63,1,MATCH(Structure!$D$12,$IA$14:$IZ$14,0)))+TK63))</f>
        <v/>
      </c>
      <c r="BJ63" s="239" t="str">
        <f>IF(A63=FALSE,"",IF(ALLTHESAME=TRUE,IF(JC63&lt;&gt;$BC$7,0,INDEX(JA63:JZ63,1,MATCH(Structure!$D$12,$JA$14:$JZ$14,0))),IF(KC63&lt;&gt;$BC$7,0,INDEX(KA63:KZ63,1,MATCH(Structure!$D$12,$KA$14:$KZ$14,0)))))</f>
        <v/>
      </c>
      <c r="BK63" s="763" t="str">
        <f>IF(A63=FALSE,"",IF(ALLTHESAME=TRUE,IF(LC63&lt;&gt;$BC$7,0,INDEX(LA63:LZ63,1,MATCH(Structure!$D$12,$LA$14:$LZ$14,0)))+UK63,IF(MC63&lt;&gt;$BC$7,0,INDEX(MA63:MZ63,1,MATCH(Structure!$D$12,$MA$14:$MZ$14,0)))+UK63))</f>
        <v/>
      </c>
      <c r="BL63" s="239" t="str">
        <f>IF(A63=FALSE,"",IF(ALLTHESAME=TRUE,IF(NC63&lt;&gt;$BC$7,0,INDEX(NA63:NZ63,1,MATCH(Structure!$D$12,$NA$14:$NZ$14,0))),IF(OC63&lt;&gt;$BC$7,0,INDEX(OA63:OZ63,1,MATCH(Structure!$D$12,$OA$14:$OZ$14,0)))))</f>
        <v/>
      </c>
      <c r="BM63" s="239" t="str">
        <f>IF(A63=FALSE,"",IF(ALLTHESAME=TRUE,IF(PC63&lt;&gt;$BC$7,0,INDEX(PA63:PZ63,1,MATCH(Structure!$D$12,$PA$14:$PZ$14,0))),IF(QC63&lt;&gt;$BC$7,0,INDEX(QA63:QZ63,1,MATCH(Structure!$D$12,$QA$14:$QZ$14,0)))))</f>
        <v/>
      </c>
      <c r="BN63" s="341" t="str">
        <f>IF(A63=FALSE,"",IF(ALLTHESAME=TRUE,IF(RC63&lt;&gt;$BC$7,0,INDEX(RA63:RZ63,1,MATCH(Structure!$D$12,$RA$14:$RZ$14,0))),IF(SC63&lt;&gt;$BC$7,0,INDEX(SA63:TA63,1,MATCH(Structure!$D$12,$SA$14:$TA$14,0)))))</f>
        <v/>
      </c>
      <c r="BO63" s="507" t="str">
        <f t="shared" si="451"/>
        <v/>
      </c>
      <c r="BP63" s="239" t="str">
        <f t="shared" si="452"/>
        <v/>
      </c>
      <c r="BQ63" s="239" t="str">
        <f>IF(A63=FALSE,"",IF(ALLTHESAME=TRUE,IF(DF63&lt;&gt;$BO$7,0,INDEX(DD63:DZ63,1,MATCH(Structure!$D$12,$DD$14:$DZ$14,0))),IF(EC63&lt;&gt;$BO$7,0,INDEX(EA63:EZ63,1,MATCH(Structure!$D$12,$EA$14:$EZ$14,0)))))</f>
        <v/>
      </c>
      <c r="BR63" s="239" t="str">
        <f>IF(A63=FALSE,"",IF(ALLTHESAME=TRUE,IF(FC63&lt;&gt;$BO$7,0,INDEX(FA63:FZ63,1,MATCH(Structure!$D$12,$FA$14:$FZ$14,0))),IF(GC63&lt;&gt;$BO$7,0,INDEX(GA63:GZ63,1,MATCH(Structure!$D$12,$GA$14:$GZ$14,0)))))</f>
        <v/>
      </c>
      <c r="BS63" s="239" t="str">
        <f>IF(A63=FALSE,"",IF(ALLTHESAME=TRUE,IF(HC63&lt;&gt;$BO$7,0,INDEX(HA63:HZ63,1,MATCH(Structure!$D$12,$HA$14:$HZ$14,0))),IF(IC63&lt;&gt;$BO$7,0,INDEX(IA63:IZ63,1,MATCH(Structure!$D$12,$IA$14:$IZ$14,0)))))</f>
        <v/>
      </c>
      <c r="BT63" s="239" t="str">
        <f>IF(A63=FALSE,"",IF(ALLTHESAME=TRUE,IF(JC63&lt;&gt;$BO$7,0,INDEX(JA63:JZ63,1,MATCH(Structure!$D$12,$JA$14:$JZ$14,0))),IF(KC63&lt;&gt;$BO$7,0,INDEX(KA63:KZ63,1,MATCH(Structure!$D$12,$KA$14:$KZ$14,0)))))</f>
        <v/>
      </c>
      <c r="BU63" s="239" t="str">
        <f>IF(A63=FALSE,"",IF(ALLTHESAME=TRUE,IF(LC63&lt;&gt;$BO$7,0,INDEX(LA63:LZ63,1,MATCH(Structure!$D$12,$LA$14:$LZ$14,0))),IF(MC63&lt;&gt;$BO$7,0,INDEX(MA63:MZ63,1,MATCH(Structure!$D$12,$MA$14:$MZ$14,0)))))</f>
        <v/>
      </c>
      <c r="BV63" s="239" t="str">
        <f>IF(A63=FALSE,"",IF(ALLTHESAME=TRUE,IF(NC63&lt;&gt;$BO$7,0,INDEX(NA63:NZ63,1,MATCH(Structure!$D$12,$NA$14:$NZ$14,0))),IF(OC63&lt;&gt;$BO$7,0,INDEX(OA63:OZ63,1,MATCH(Structure!$D$12,$OA$14:$OZ$14,0)))))</f>
        <v/>
      </c>
      <c r="BW63" s="239" t="str">
        <f>IF(A63=FALSE,"",IF(ALLTHESAME=TRUE,IF(PC63&lt;&gt;$BO$7,0,INDEX(PA63:PZ63,1,MATCH(Structure!$D$12,$PA$14:$PZ$14,0))),IF(QC63&lt;&gt;$BO$7,0,INDEX(QA63:QZ63,1,MATCH(Structure!$D$12,$QA$14:$QZ$14,0)))))</f>
        <v/>
      </c>
      <c r="BX63" s="341" t="str">
        <f>IF(A63=FALSE,"",IF(ALLTHESAME=TRUE,IF(RC63&lt;&gt;$BO$7,0,INDEX(RA63:RZ63,1,MATCH(Structure!$D$12,$RA$14:$RZ$14,0))),IF(SC63&lt;&gt;$BO$7,0,INDEX(SA63:TA63,1,MATCH(Structure!$D$12,$SA$14:$TA$14,0)))))</f>
        <v/>
      </c>
      <c r="BY63" s="347" t="str">
        <f t="shared" si="453"/>
        <v/>
      </c>
      <c r="BZ63" s="507" t="str">
        <f t="shared" si="454"/>
        <v/>
      </c>
      <c r="CA63" s="239" t="str">
        <f t="shared" si="455"/>
        <v/>
      </c>
      <c r="CB63" s="239" t="str">
        <f>IF(A63=FALSE,"",IF(ALLTHESAME=TRUE,INDEX(DD63:DZ63,MATCH(DF63,DF63:DF168,0),MATCH(Structure!$D$17,$DD$14:$DZ$14,0)),INDEX(EA63:EZ63,MATCH(EC63,EC63:EC168,0),MATCH(Structure!$D$17,$EA$14:$EZ$14,0))))</f>
        <v/>
      </c>
      <c r="CC63" s="239" t="str">
        <f>IF(A63=FALSE,"",IF(ALLTHESAME=TRUE,INDEX(FA63:FZ63,MATCH(FC63,FC63:FC168,0),MATCH(Structure!$D$17,$FA$14:$FZ$14,0)),INDEX(GA63:GZ63,MATCH(GC63,GC63:GC168,0),MATCH(Structure!$D$17,$GA$14:$GZ$14,0))))</f>
        <v/>
      </c>
      <c r="CD63" s="239" t="str">
        <f>IF(A63=FALSE,"",IF(ALLTHESAME=TRUE,INDEX(HA63:HZ63,MATCH(HC63,HC63:HC168,0),MATCH(Structure!$D$17,$HA$14:$HZ$14,0)),INDEX(IA63:IZ63,MATCH(IC63,IC63:IC168,0),MATCH(Structure!$D$17,$IA$14:$IZ$14,0))))</f>
        <v/>
      </c>
      <c r="CE63" s="239" t="str">
        <f>IF(A63=FALSE,"",IF(ALLTHESAME=TRUE,INDEX(JA63:JZ63,MATCH(JC63,JC63:JC168,0),MATCH(Structure!$D$17,$JA$14:$JZ$14,0)),INDEX(KA63:KZ63,MATCH(KC63,KC63:KC168,0),MATCH(Structure!$D$17,$KA$14:$KZ$14,0))))</f>
        <v/>
      </c>
      <c r="CF63" s="239" t="str">
        <f>IF(A63=FALSE,"",IF(ALLTHESAME=TRUE,INDEX(LA63:LZ63,MATCH(LC63,LC63:LC168,0),MATCH(Structure!$D$17,$LA$14:$LZ$14,0)),INDEX(MA63:MZ63,MATCH(MC63,MC63:MC168,0),MATCH(Structure!$D$17,$MA$14:$MZ$14,0))))</f>
        <v/>
      </c>
      <c r="CG63" s="239" t="str">
        <f>IF(A63=FALSE,"",IF(ALLTHESAME=TRUE,INDEX(NA63:NZ63,MATCH(NC63,NC63:NC168,0),MATCH(Structure!$D$17,$NA$14:$NZ$14,0)),INDEX(OA63:OZ63,MATCH(OC63,OC63:OC168,0),MATCH(Structure!$D$17,$OA$14:$OZ$14,0))))</f>
        <v/>
      </c>
      <c r="CH63" s="239" t="str">
        <f>IF(A63=FALSE,"",IF(ALLTHESAME=TRUE,INDEX(PA63:PZ63,MATCH(PC63,PC63:PC168,0),MATCH(Structure!$D$17,$PA$14:$PZ$14,0)),INDEX(QA63:QZ63,MATCH(QC63,QC63:QC168,0),MATCH(Structure!$D$17,$QA$14:$QZ$14,0))))</f>
        <v/>
      </c>
      <c r="CI63" s="341" t="str">
        <f>IF(A63=FALSE,"",IF(ALLTHESAME=TRUE,INDEX(RA63:RZ63,MATCH(RC63,RC63:RC168,0),MATCH(Structure!$D$17,$RA$14:$RZ$14,0)),INDEX(SA63:TC63,MATCH(SC63,SC63:SC168,0),MATCH(Structure!$D$17,$SA$14:$TC$14,0))))</f>
        <v/>
      </c>
      <c r="CJ63" s="347"/>
      <c r="CK63" s="239" t="str">
        <f t="shared" si="456"/>
        <v/>
      </c>
      <c r="CL63" s="239" t="str">
        <f>IF(A63=FALSE,"",IF(ALLTHESAME=TRUE,INDEX(DD63:DZ63,MATCH(DF63,DF63:DF168,0),MATCH(Structure!$D$22,$DD$14:$DZ$14,0)),INDEX(EA63:EZ63,MATCH(EC63,EC63:EC168,0),MATCH(Structure!$D$22,$EA$14:$EZ$14,0))))</f>
        <v/>
      </c>
      <c r="CM63" s="239" t="str">
        <f>IF(A63=FALSE,"",IF(ALLTHESAME=TRUE,INDEX(FA63:FZ63,MATCH(FC63,FC63:FC168,0),MATCH(Structure!$D$22,$FA$14:$FZ$14,0)),INDEX(GA63:GZ63,MATCH(GC63,GC63:GC168,0),MATCH(Structure!$D$22,$GA$14:$GZ$14,0))))</f>
        <v/>
      </c>
      <c r="CN63" s="239" t="str">
        <f>IF(A63=FALSE,"",IF(ALLTHESAME=TRUE,INDEX(HA63:HZ63,MATCH(HC63,HC63:HC168,0),MATCH(Structure!$D$22,$HA$14:$HZ$14,0)),INDEX(IA63:IZ63,MATCH(IC63,IC63:IC168,0),MATCH(Structure!$D$22,$IA$14:$IZ$14,0))))</f>
        <v/>
      </c>
      <c r="CO63" s="239" t="str">
        <f>IF(A63=FALSE,"",IF(ALLTHESAME=TRUE,INDEX(JA63:JZ63,MATCH(JC63,JC63:JC168,0),MATCH(Structure!$D$22,$JA$14:$JZ$14,0)),INDEX(KA63:KZ63,MATCH(KC63,KC63:KC168,0),MATCH(Structure!$D$22,$KA$14:$KZ$14,0))))</f>
        <v/>
      </c>
      <c r="CP63" s="239" t="str">
        <f>IF(A63=FALSE,"",IF(ALLTHESAME=TRUE,INDEX(LA63:LZ63,MATCH(LC63,LC63:LC168,0),MATCH(Structure!$D$22,$LA$14:$LZ$14,0)),INDEX(MA63:MZ63,MATCH(MC63,MC63:MC168,0),MATCH(Structure!$D$22,$MA$14:$MZ$14,0))))</f>
        <v/>
      </c>
      <c r="CQ63" s="239" t="str">
        <f>IF(A63=FALSE,"",IF(ALLTHESAME=TRUE,INDEX(NA63:NZ63,MATCH(NC63,NC63:NC168,0),MATCH(Structure!$D$22,$NA$14:$NZ$14,0)),INDEX(OA63:OZ63,MATCH(OC63,OC63:OC168,0),MATCH(Structure!$D$22,$OA$14:$OZ$14,0))))</f>
        <v/>
      </c>
      <c r="CR63" s="239" t="str">
        <f>IF(A63=FALSE,"",IF(ALLTHESAME=TRUE,INDEX(PA63:PZ63,MATCH(PC63,PC63:PC168,0),MATCH(Structure!$D$22,$PA$14:$PZ$14,0)),INDEX(QA63:QZ63,MATCH(QC63,QC63:QC168,0),MATCH(Structure!$D$22,$QA$14:$QZ$14,0))))</f>
        <v/>
      </c>
      <c r="CS63" s="341" t="str">
        <f>IF(A63=FALSE,"",IF(ALLTHESAME=TRUE,INDEX(RA63:RZ63,MATCH(RC63,RC63:RC168,0),MATCH(Structure!$D$22,$RA$14:$RZ$14,0)),INDEX(SA63:TC63,MATCH(SC63,SC63:SC168,0),MATCH(Structure!$D$22,$SA$14:$TC$14,0))))</f>
        <v/>
      </c>
      <c r="CT63" s="347"/>
      <c r="CU63" s="239" t="str">
        <f t="shared" si="457"/>
        <v/>
      </c>
      <c r="CV63" s="239" t="str">
        <f>IF(A63=FALSE,"",IF(ALLTHESAME=TRUE,INDEX(DD63:DZ63,MATCH(DF63,DF63:DF168,0),MATCH(Structure!$D$8,$DD$14:$DZ$14,0)),INDEX(EA63:EZ63,MATCH(EC63,EC63:EC168,0),MATCH(Structure!$D$8,$EA$14:$EZ$14,0))))</f>
        <v/>
      </c>
      <c r="CW63" s="239" t="str">
        <f>IF(A63=FALSE,"",IF(ALLTHESAME=TRUE,INDEX(FA63:FZ63,MATCH(FC63,FC63:FC168,0),MATCH(Structure!$D$8,$FA$14:$FZ$14,0)),INDEX(GA63:GZ63,MATCH(GC63,GC63:GC168,0),MATCH(Structure!$D$8,$GA$14:$GZ$14,0))))</f>
        <v/>
      </c>
      <c r="CX63" s="239" t="str">
        <f>IF(A63=FALSE,"",IF(ALLTHESAME=TRUE,INDEX(HA63:HZ63,MATCH(HC63,HC63:HC168,0),MATCH(Structure!$D$8,$HA$14:$HZ$14,0)),INDEX(IA63:IZ63,MATCH(IC63,IC63:IC168,0),MATCH(Structure!$D$8,$IA$14:$IZ$14,0))))</f>
        <v/>
      </c>
      <c r="CY63" s="239" t="str">
        <f>IF(A63=FALSE,"",IF(ALLTHESAME=TRUE,INDEX(JA63:JZ63,MATCH(JC63,JC63:JC168,0),MATCH(Structure!$D$8,$JA$14:$JZ$14,0)),INDEX(KA63:KZ63,MATCH(KC63,KC63:KC168,0),MATCH(Structure!$D$8,$KA$14:$KZ$14,0))))</f>
        <v/>
      </c>
      <c r="CZ63" s="239" t="str">
        <f>IF(A63=FALSE,"",IF(ALLTHESAME=TRUE,INDEX(LA63:LZ63,MATCH(LC63,LC63:LC168,0),MATCH(Structure!$D$8,$LA$14:$LZ$14,0)),INDEX(MA63:MZ63,MATCH(MC63,MC63:MC168,0),MATCH(Structure!$D$8,$MA$14:$MZ$14,0))))</f>
        <v/>
      </c>
      <c r="DA63" s="239" t="str">
        <f>IF(A63=FALSE,"",IF(ALLTHESAME=TRUE,INDEX(NA63:NZ63,MATCH(NC63,NC63:NC168,0),MATCH(Structure!$D$8,$NA$14:$NZ$14,0)),INDEX(OA63:OZ63,MATCH(OC63,OC63:OC168,0),MATCH(Structure!$D$8,$OA$14:$OZ$14,0))))</f>
        <v/>
      </c>
      <c r="DB63" s="239" t="str">
        <f>IF(A63=FALSE,"",IF(ALLTHESAME=TRUE,INDEX(PA63:PZ63,MATCH(PC63,PC63:PC168,0),MATCH(Structure!$D$8,$PA$14:$PZ$14,0)),INDEX(QA63:QZ63,MATCH(QC63,QC63:QC168,0),MATCH(Structure!$D$8,$QA$14:$QZ$14,0))))</f>
        <v/>
      </c>
      <c r="DC63" s="341" t="str">
        <f>IF(A63=FALSE,"",IF(ALLTHESAME=TRUE,INDEX(RA63:RZ63,MATCH(RC63,RC63:RC168,0),MATCH(Structure!$D$8,$RA$14:$RZ$14,0)),INDEX(SA63:TC63,MATCH(SC63,SC63:SC168,0),MATCH(Structure!$D$8,$SA$14:$TC$14,0))))</f>
        <v/>
      </c>
      <c r="DD63" s="492" t="str">
        <f>IF(A63=FALSE,"",Cotations!D63)</f>
        <v/>
      </c>
      <c r="DE63" s="492" t="str">
        <f>IF(A63=FALSE,"",IF(LISTES!$A$17=1,Cotations!AF63,Cotations!$AG$4))</f>
        <v/>
      </c>
      <c r="DF63" s="291" t="str">
        <f t="shared" si="458"/>
        <v/>
      </c>
      <c r="DG63" s="291" t="str">
        <f t="shared" si="459"/>
        <v/>
      </c>
      <c r="DH63" s="291"/>
      <c r="DI63" s="463"/>
      <c r="DJ63" s="463" t="str">
        <f t="shared" si="460"/>
        <v/>
      </c>
      <c r="DK63" s="522" t="str">
        <f>IF(A63=FALSE,"",IF(Cotations!$AH$4="monthly",DJ63/12*L63,DJ63/365*M63))</f>
        <v/>
      </c>
      <c r="DL63" s="489" t="str">
        <f>IF(A63=FALSE,"",Cotations!$AI$4)</f>
        <v/>
      </c>
      <c r="DM63" s="300" t="str">
        <f t="shared" si="461"/>
        <v/>
      </c>
      <c r="DN63" s="300" t="str">
        <f t="shared" si="462"/>
        <v/>
      </c>
      <c r="DO63" s="294" t="str">
        <f t="shared" si="463"/>
        <v/>
      </c>
      <c r="DP63" s="494" t="str">
        <f>IF(A63=FALSE,"",Cotations!$AJ$4)</f>
        <v/>
      </c>
      <c r="DQ63" s="494" t="str">
        <f>IF(A63=FALSE,"",Cotations!$AK$4)</f>
        <v/>
      </c>
      <c r="DR63" s="489" t="str">
        <f>IF(A63=FALSE,"",Cotations!$AL$4)</f>
        <v/>
      </c>
      <c r="DS63" s="494" t="str">
        <f>IF(A63=FALSE,"",IF(DP63="N/A",0,IF(INDEX(LISTES!$F$105:$F$109,MATCH(DP63,LISTES!$C$105:$C$109,0))="FIX",IF(INDEX(LISTES!$E$105:$E$109,MATCH(DP63,LISTES!$C$105:$C$109,0))=12,DQ63/12*L63,DQ63/365*M63),DR63*DO63)))</f>
        <v/>
      </c>
      <c r="DT63" s="294" t="str">
        <f t="shared" si="464"/>
        <v/>
      </c>
      <c r="DU63" s="294" t="str">
        <f>IF(A63=FALSE,"",DT63*Cotations!$AM$4)</f>
        <v/>
      </c>
      <c r="DV63" s="294" t="str">
        <f>IF(A63=FALSE,"",DT63*Cotations!$AN$4)</f>
        <v/>
      </c>
      <c r="DW63" s="465" t="str">
        <f t="shared" si="465"/>
        <v/>
      </c>
      <c r="DX63" s="919" t="str">
        <f>IF(A63=FALSE,"",((DJ63*TAXE)-(DJ63*TAXE*DL63))+IF(DP63="N/A",0,IF(INDEX(LISTES!$F$105:$F$109,MATCH(DP63,LISTES!$C$105:$C$109,0))="FIX",DQ63,DR63*DO63)))</f>
        <v/>
      </c>
      <c r="DY63" s="466"/>
      <c r="DZ63" s="466"/>
      <c r="EA63" s="492" t="str">
        <f>IF(A63=FALSE,"",Cotations!D63)</f>
        <v/>
      </c>
      <c r="EB63" s="494" t="str">
        <f>IF(A63=FALSE,"",IF(LISTES!$A$17=1,Cotations!AF63,Cotations!AG63))</f>
        <v/>
      </c>
      <c r="EC63" s="284" t="str">
        <f t="shared" si="466"/>
        <v/>
      </c>
      <c r="ED63" s="284" t="str">
        <f t="shared" si="467"/>
        <v/>
      </c>
      <c r="EE63" s="284"/>
      <c r="EF63" s="284"/>
      <c r="EG63" s="284" t="str">
        <f t="shared" si="468"/>
        <v/>
      </c>
      <c r="EH63" s="1365" t="str">
        <f t="shared" si="469"/>
        <v/>
      </c>
      <c r="EI63" s="1365" t="str">
        <f t="shared" si="470"/>
        <v/>
      </c>
      <c r="EJ63" s="515" t="str">
        <f>IF(A63=FALSE,"",IF(Cotations!AH63="monthly",EG63/12*L63,EG63/365*M63))</f>
        <v/>
      </c>
      <c r="EK63" s="1364" t="str">
        <f>IF(A63=FALSE,"",IF(Cotations!AH63="monthly",EI63/12*L63,EI63/365*M63))</f>
        <v/>
      </c>
      <c r="EL63" s="493" t="str">
        <f>IF(A63=FALSE,"",IF(Cotations!AI63="","",Cotations!AI63))</f>
        <v/>
      </c>
      <c r="EM63" s="284" t="str">
        <f t="shared" si="471"/>
        <v/>
      </c>
      <c r="EN63" s="284" t="str">
        <f t="shared" si="472"/>
        <v/>
      </c>
      <c r="EO63" s="1365" t="str">
        <f t="shared" si="432"/>
        <v/>
      </c>
      <c r="EP63" s="284" t="str">
        <f t="shared" si="473"/>
        <v/>
      </c>
      <c r="EQ63" s="515" t="str">
        <f>IF(A63=FALSE,"",Cotations!AJ63)</f>
        <v/>
      </c>
      <c r="ER63" s="515" t="str">
        <f>IF(A63=FALSE,"",IF(Cotations!AK63="","",Cotations!AK63))</f>
        <v/>
      </c>
      <c r="ES63" s="493" t="str">
        <f>IF(A63=FALSE,"",Cotations!AL63)</f>
        <v/>
      </c>
      <c r="ET63" s="515" t="str">
        <f>IF(A63=FALSE,"",IF(EQ63="N/A",0,IF(INDEX(LISTES!$F$105:$F$109,MATCH(EQ63,LISTES!$C$105:$C$109,0))="FIX",IF(INDEX(LISTES!$E$105:$E$109,MATCH(EQ63,LISTES!$C$105:$C$109,0))=12,ER63/12*L63,ER63/365*M63),ES63*EP63)))</f>
        <v/>
      </c>
      <c r="EU63" s="294" t="str">
        <f t="shared" si="474"/>
        <v/>
      </c>
      <c r="EV63" s="494" t="str">
        <f>IF(A63=FALSE,"",EU63*Cotations!AM63)</f>
        <v/>
      </c>
      <c r="EW63" s="494" t="str">
        <f>IF(A63=FALSE,"",EU63*Cotations!AN63)</f>
        <v/>
      </c>
      <c r="EX63" s="334" t="str">
        <f t="shared" si="475"/>
        <v/>
      </c>
      <c r="EY63" s="919" t="str">
        <f>IF(A63=FALSE,"",((EG63*TAXE)-(EG63*TAXE*EL63)+EH63)+IF(EQ63="N/A",0,IF(INDEX(LISTES!$F$105:$F$109,MATCH(EQ63,LISTES!$C$105:$C$109,0))="FIX",ER63,ES63*EP63)))</f>
        <v/>
      </c>
      <c r="FA63" s="492" t="str">
        <f>IF(A63=FALSE,"",Cotations!D63)</f>
        <v/>
      </c>
      <c r="FB63" s="519" t="str">
        <f>IF(A63=FALSE,"",IF(LISTES!$A$17=1,Cotations!AO63,Cotations!$AP$4))</f>
        <v/>
      </c>
      <c r="FC63" s="291" t="str">
        <f t="shared" si="476"/>
        <v/>
      </c>
      <c r="FD63" s="291" t="str">
        <f t="shared" si="477"/>
        <v/>
      </c>
      <c r="FE63" s="291"/>
      <c r="FF63" s="463"/>
      <c r="FG63" s="463" t="str">
        <f t="shared" si="478"/>
        <v/>
      </c>
      <c r="FH63" s="522" t="str">
        <f>IF(A63=FALSE,"",IF(Cotations!$AQ$4="monthly",FG63/12*L63,FG63/365*M63))</f>
        <v/>
      </c>
      <c r="FI63" s="453" t="str">
        <f>IF(A63=FALSE,"",Cotations!$AR$4)</f>
        <v/>
      </c>
      <c r="FJ63" s="300" t="str">
        <f t="shared" si="479"/>
        <v/>
      </c>
      <c r="FK63" s="300" t="str">
        <f t="shared" si="480"/>
        <v/>
      </c>
      <c r="FL63" s="294" t="str">
        <f t="shared" si="481"/>
        <v/>
      </c>
      <c r="FM63" s="494" t="str">
        <f>IF(A63=FALSE,"",Cotations!$AS$4)</f>
        <v/>
      </c>
      <c r="FN63" s="494" t="str">
        <f>IF(A63=FALSE,"",Cotations!$AT$4)</f>
        <v/>
      </c>
      <c r="FO63" s="489" t="str">
        <f>IF(A63=FALSE,"",Cotations!$AU$4)</f>
        <v/>
      </c>
      <c r="FP63" s="494" t="str">
        <f>IF(A63=FALSE,"",IF(FM63="N/A",0,IF(INDEX(LISTES!$F$105:$F$109,MATCH(FM63,LISTES!$C$105:$C$109,0))="FIX",IF(INDEX(LISTES!$E$105:$E$109,MATCH(FM63,LISTES!$C$105:$C$109,0))=12,FN63/12*L63,FN63/365*M63),FO63*FL63)))</f>
        <v/>
      </c>
      <c r="FQ63" s="294" t="str">
        <f t="shared" si="482"/>
        <v/>
      </c>
      <c r="FR63" s="494" t="str">
        <f>IF(A63=FALSE,"",FQ63*Cotations!$AV$4)</f>
        <v/>
      </c>
      <c r="FS63" s="494" t="str">
        <f>IF(A63=FALSE,"",FQ63*Cotations!$AW$4)</f>
        <v/>
      </c>
      <c r="FT63" s="465" t="str">
        <f t="shared" si="483"/>
        <v/>
      </c>
      <c r="FU63" s="919" t="str">
        <f>IF(A63=FALSE,"",((FG63*TAXE)-(FG63*TAXE*FI63))+IF(FM63="N/A",0,IF(INDEX(LISTES!$F$105:$F$109,MATCH(FM63,LISTES!$C$105:$C$109,0))="FIX",FN63,FO63*FL63)))</f>
        <v/>
      </c>
      <c r="FV63" s="478"/>
      <c r="FW63" s="478"/>
      <c r="FX63" s="478"/>
      <c r="FY63" s="478"/>
      <c r="FZ63" s="478"/>
      <c r="GA63" s="492" t="str">
        <f>IF(A63=FALSE,"",Cotations!D63)</f>
        <v/>
      </c>
      <c r="GB63" s="494" t="str">
        <f>IF(A63=FALSE,"",IF(LISTES!$A$17=1,Cotations!AO63,Cotations!AP63))</f>
        <v/>
      </c>
      <c r="GC63" s="284" t="str">
        <f t="shared" si="484"/>
        <v/>
      </c>
      <c r="GD63" s="515" t="str">
        <f>IF(A63=FALSE,"",IF(Detail!AM63="","",Detail!AM63))</f>
        <v/>
      </c>
      <c r="GE63" s="284"/>
      <c r="GF63" s="284"/>
      <c r="GG63" s="284" t="str">
        <f t="shared" si="485"/>
        <v/>
      </c>
      <c r="GH63" s="515" t="str">
        <f>IF(A63=FALSE,"",IF(Cotations!AQ63="monthly",GG63/12*L63,GG63/365*M63))</f>
        <v/>
      </c>
      <c r="GI63" s="493" t="str">
        <f>IF(A63=FALSE,"",IF(Cotations!AR63="","",Cotations!AR63))</f>
        <v/>
      </c>
      <c r="GJ63" s="284" t="str">
        <f t="shared" si="486"/>
        <v/>
      </c>
      <c r="GK63" s="284" t="str">
        <f t="shared" si="487"/>
        <v/>
      </c>
      <c r="GL63" s="284" t="str">
        <f t="shared" si="488"/>
        <v/>
      </c>
      <c r="GM63" s="515" t="str">
        <f>IF(A63=FALSE,"",Cotations!AS63)</f>
        <v/>
      </c>
      <c r="GN63" s="515" t="str">
        <f>IF(A63=FALSE,"",Cotations!AT63)</f>
        <v/>
      </c>
      <c r="GO63" s="493" t="str">
        <f>IF(A63=FALSE,"",Cotations!AU63)</f>
        <v/>
      </c>
      <c r="GP63" s="515" t="str">
        <f>IF(A63=FALSE,"",IF(GM63="N/A",0,IF(INDEX(LISTES!$F$105:$F$109,MATCH(GM63,LISTES!$C$105:$C$109,0))="FIX",IF(INDEX(LISTES!$E$105:$E$109,MATCH(GM63,LISTES!$C$105:$C$109,0))=12,GN63/12*L63,GN63/365*M63),GO63*GL63)))</f>
        <v/>
      </c>
      <c r="GQ63" s="294" t="str">
        <f t="shared" si="489"/>
        <v/>
      </c>
      <c r="GR63" s="494" t="str">
        <f>IF(A63=FALSE,"",GQ63*Cotations!AV63)</f>
        <v/>
      </c>
      <c r="GS63" s="494" t="str">
        <f>IF(A63=FALSE,"",GQ63*Cotations!AW63)</f>
        <v/>
      </c>
      <c r="GT63" s="334" t="str">
        <f t="shared" si="490"/>
        <v/>
      </c>
      <c r="GU63" s="919" t="str">
        <f>IF(A63=FALSE,"",((GG63*TAXE)-(GG63*TAXE*GI63))+IF(GM63="N/A",0,IF(INDEX(LISTES!$F$105:$F$109,MATCH(GM63,LISTES!$C$105:$C$109,0))="FIX",GN63,GO63*GL63)))</f>
        <v/>
      </c>
      <c r="GV63" s="478"/>
      <c r="GW63" s="466"/>
      <c r="GX63" s="466"/>
      <c r="GY63" s="466"/>
      <c r="GZ63" s="466"/>
      <c r="HA63" s="492" t="str">
        <f>IF(A63=FALSE,"",Cotations!D63)</f>
        <v/>
      </c>
      <c r="HB63" s="495" t="str">
        <f>IF(A63=FALSE,"",IF(LISTES!$A$17=1,Cotations!AX63,Cotations!$AY$4))</f>
        <v/>
      </c>
      <c r="HC63" s="291" t="str">
        <f t="shared" si="491"/>
        <v/>
      </c>
      <c r="HD63" s="291" t="str">
        <f t="shared" si="492"/>
        <v/>
      </c>
      <c r="HE63" s="456" t="str">
        <f t="shared" si="493"/>
        <v/>
      </c>
      <c r="HF63" s="496" t="str">
        <f>IF(A63=FALSE,"",IF(HA63="POEA",Cotations!BA63,IF(HA63="FIXE",Cotations!$BA$4,Cotations!$BC$4*Y63)))</f>
        <v/>
      </c>
      <c r="HG63" s="300" t="str">
        <f t="shared" si="494"/>
        <v/>
      </c>
      <c r="HH63" s="522" t="str">
        <f>IF(A63=FALSE,"",IF(Cotations!$AZ$4="monthly",HG63/12*L63,HG63/365*M63))</f>
        <v/>
      </c>
      <c r="HI63" s="489" t="str">
        <f>IF(A63=FALSE,"",Cotations!$BD$4)</f>
        <v/>
      </c>
      <c r="HJ63" s="300" t="str">
        <f t="shared" si="495"/>
        <v/>
      </c>
      <c r="HK63" s="300" t="str">
        <f t="shared" si="496"/>
        <v/>
      </c>
      <c r="HL63" s="294" t="str">
        <f t="shared" si="497"/>
        <v/>
      </c>
      <c r="HM63" s="494" t="str">
        <f>IF(A63=FALSE,"",Cotations!$BE$4)</f>
        <v/>
      </c>
      <c r="HN63" s="522" t="str">
        <f>IF(A63=FALSE,"",Cotations!$BF$4)</f>
        <v/>
      </c>
      <c r="HO63" s="489" t="str">
        <f>IF(A63=FALSE,"",Cotations!$BG$4)</f>
        <v/>
      </c>
      <c r="HP63" s="494" t="str">
        <f>IF(A63=FALSE,"",IF(HM63="N/A",0,IF(INDEX(LISTES!$F$105:$F$109,MATCH(HM63,LISTES!$C$105:$C$109,0))="FIX",IF(INDEX(LISTES!$E$105:$E$109,MATCH(HM63,LISTES!$C$105:$C$109,0))=12,HN63/12*L63,HN63/365*M63),HO63*HL63)))</f>
        <v/>
      </c>
      <c r="HQ63" s="294" t="str">
        <f t="shared" si="498"/>
        <v/>
      </c>
      <c r="HR63" s="494" t="str">
        <f>IF(A63=FALSE,"",HQ63*Cotations!$BH$4)</f>
        <v/>
      </c>
      <c r="HS63" s="494" t="str">
        <f>IF(A63=FALSE,"",HQ63*Cotations!$BI$4)</f>
        <v/>
      </c>
      <c r="HT63" s="294" t="str">
        <f t="shared" si="499"/>
        <v/>
      </c>
      <c r="HU63" s="919" t="str">
        <f>IF(A63=FALSE,"",((HG63*TAXE)-(HG63*TAXE*HI63))+IF(HM63="N/A",0,IF(INDEX(LISTES!$F$105:$F$109,MATCH(HM63,LISTES!$C$105:$C$109,0))="FIX",HN63,HO63*HL63)))</f>
        <v/>
      </c>
      <c r="IA63" s="492" t="str">
        <f>IF(A63=FALSE,"",Cotations!D63)</f>
        <v/>
      </c>
      <c r="IB63" s="491" t="str">
        <f>IF(A63=FALSE,"",IF(LISTES!$A$17=1,Cotations!AX63,Cotations!AY63))</f>
        <v/>
      </c>
      <c r="IC63" s="285" t="str">
        <f t="shared" si="500"/>
        <v/>
      </c>
      <c r="ID63" s="300" t="str">
        <f>IF(A63=FALSE,"",IF(LISTES!$A$17=3,Detail!AU63,lig1_Formula_PREVOY))</f>
        <v/>
      </c>
      <c r="IE63" s="461" t="str">
        <f t="shared" si="501"/>
        <v/>
      </c>
      <c r="IF63" s="490" t="str">
        <f>IF(A63=FALSE,"",IF(IA63="POEA",Cotations!BA63,IF(HA63="FIXE",Cotations!BB63,IF(Cotations!BC63*Y63&lt;50000,Z63,Cotations!BC63*Y63))))</f>
        <v/>
      </c>
      <c r="IG63" s="300" t="str">
        <f t="shared" si="502"/>
        <v/>
      </c>
      <c r="IH63" s="522" t="str">
        <f>IF(A63=FALSE,"",IF(Cotations!AZ63="monthly",IG63/12*L63,IG63/365*M63))</f>
        <v/>
      </c>
      <c r="II63" s="489" t="str">
        <f>IF(A63=FALSE,"",IF(Cotations!BD63="","",Cotations!BD63))</f>
        <v/>
      </c>
      <c r="IJ63" s="300" t="str">
        <f t="shared" si="503"/>
        <v/>
      </c>
      <c r="IK63" s="300" t="str">
        <f t="shared" si="504"/>
        <v/>
      </c>
      <c r="IL63" s="919" t="str">
        <f t="shared" si="505"/>
        <v/>
      </c>
      <c r="IM63" s="517" t="str">
        <f>IF(A63=FALSE,"",Cotations!BE63)</f>
        <v/>
      </c>
      <c r="IN63" s="517" t="str">
        <f>IF(A63=FALSE,"",Cotations!BF63)</f>
        <v/>
      </c>
      <c r="IO63" s="493" t="str">
        <f>IF(A63=FALSE,"",Cotations!BG63)</f>
        <v/>
      </c>
      <c r="IP63" s="517" t="str">
        <f>IF(A63=FALSE,"",IF(IM63="N/A",0,IF(INDEX(LISTES!$F$105:$F$109,MATCH(IM63,LISTES!$C$105:$C$109,0))="FIX",IF(INDEX(LISTES!$E$105:$E$109,MATCH(IM63,LISTES!$C$105:$C$109,0))=12,IN63/12*L63,IN63/365*M63),IO63*IL63)))</f>
        <v/>
      </c>
      <c r="IQ63" s="294" t="str">
        <f t="shared" si="506"/>
        <v/>
      </c>
      <c r="IR63" s="494" t="str">
        <f>IF(A63=FALSE,"",IQ63*Cotations!BH63)</f>
        <v/>
      </c>
      <c r="IS63" s="494" t="str">
        <f>IF(A63=FALSE,"",IQ63*Cotations!BI63)</f>
        <v/>
      </c>
      <c r="IT63" s="338" t="str">
        <f t="shared" si="507"/>
        <v/>
      </c>
      <c r="IU63" s="919" t="str">
        <f>IF(A63=FALSE,"",((IG63*TAXE)-(IG63*TAXE*II63))+IF(IM63="N/A",0,IF(INDEX(LISTES!$F$105:$F$109,MATCH(IM63,LISTES!$C$105:$C$109,0))="FIX",IN63,IO63*IL63)))</f>
        <v/>
      </c>
      <c r="JA63" s="492" t="str">
        <f>IF(A63=FALSE,"",Cotations!D63)</f>
        <v/>
      </c>
      <c r="JB63" s="495" t="str">
        <f>IF(A63=FALSE,"",IF(LISTES!$A$17=1,Cotations!BJ63,Cotations!$BK$4))</f>
        <v/>
      </c>
      <c r="JC63" s="291" t="str">
        <f t="shared" si="508"/>
        <v/>
      </c>
      <c r="JD63" s="291" t="str">
        <f t="shared" si="509"/>
        <v/>
      </c>
      <c r="JE63" s="456" t="str">
        <f t="shared" si="510"/>
        <v/>
      </c>
      <c r="JF63" s="496" t="str">
        <f>IF(A63=FALSE,"",IF(JA63="POEA",Cotations!BM63,IF(JA63="FIXE",Cotations!$BM$4,Cotations!$BO$4*Y63)))</f>
        <v/>
      </c>
      <c r="JG63" s="300" t="str">
        <f t="shared" si="511"/>
        <v/>
      </c>
      <c r="JH63" s="522" t="str">
        <f>IF(A63=FALSE,"",IF(Cotations!$BL$4="monthly",JG63/12*L63,JG63/365*M63))</f>
        <v/>
      </c>
      <c r="JI63" s="489" t="str">
        <f>IF(A63=FALSE,"",Cotations!$BP$4)</f>
        <v/>
      </c>
      <c r="JJ63" s="300" t="str">
        <f t="shared" si="512"/>
        <v/>
      </c>
      <c r="JK63" s="300" t="str">
        <f t="shared" si="513"/>
        <v/>
      </c>
      <c r="JL63" s="294" t="str">
        <f t="shared" si="514"/>
        <v/>
      </c>
      <c r="JM63" s="494" t="str">
        <f>IF(A63=FALSE,"",Cotations!$BQ$4)</f>
        <v/>
      </c>
      <c r="JN63" s="522" t="str">
        <f>IF(A63=FALSE,"",Cotations!$BR$4)</f>
        <v/>
      </c>
      <c r="JO63" s="489" t="str">
        <f>IF(A63=FALSE,"",Cotations!$BS$4)</f>
        <v/>
      </c>
      <c r="JP63" s="494" t="str">
        <f>IF(A63=FALSE,"",IF(JM63="N/A",0,IF(INDEX(LISTES!$F$105:$F$109,MATCH(JM63,LISTES!$C$105:$C$109,0))="FIX",IF(INDEX(LISTES!$E$105:$E$109,MATCH(JM63,LISTES!$C$105:$C$109,0))=12,JN63/12*L63,JN63/365*M63),JO63*JL63)))</f>
        <v/>
      </c>
      <c r="JQ63" s="294" t="str">
        <f t="shared" si="515"/>
        <v/>
      </c>
      <c r="JR63" s="494" t="str">
        <f>IF(A63=FALSE,"",JQ63*Cotations!$BT$4)</f>
        <v/>
      </c>
      <c r="JS63" s="494" t="str">
        <f>IF(A63=FALSE,"",JQ63*Cotations!$BU$4)</f>
        <v/>
      </c>
      <c r="JT63" s="294" t="str">
        <f t="shared" si="516"/>
        <v/>
      </c>
      <c r="JU63" s="919" t="str">
        <f>IF(A63=FALSE,"",((JG63*TAXE)-(JG63*TAXE*JI63))+IF(JM63="N/A",0,IF(INDEX(LISTES!$F$105:$F$109,MATCH(JM63,LISTES!$C$105:$C$109,0))="FIX",JN63,JO63*JL63)))</f>
        <v/>
      </c>
      <c r="KA63" s="492" t="str">
        <f>IF(A63=FALSE,"",Cotations!D63)</f>
        <v/>
      </c>
      <c r="KB63" s="491" t="str">
        <f>IF(A63=FALSE,"",IF(LISTES!$A$17=1,Cotations!BJ63,Cotations!BK63))</f>
        <v/>
      </c>
      <c r="KC63" s="285" t="str">
        <f t="shared" si="517"/>
        <v/>
      </c>
      <c r="KD63" s="300"/>
      <c r="KE63" s="461" t="str">
        <f t="shared" si="518"/>
        <v/>
      </c>
      <c r="KF63" s="490" t="str">
        <f>IF(A63=FALSE,"",IF(KA63="POEA",Cotations!BM63,IF(KA63="FIXE",Cotations!BN63,IF(Cotations!BO63*Y63&lt;50000,Z63,Cotations!BO63*Y63))))</f>
        <v/>
      </c>
      <c r="KG63" s="300" t="str">
        <f t="shared" si="519"/>
        <v/>
      </c>
      <c r="KH63" s="522" t="str">
        <f>IF(A63=FALSE,"",IF(Cotations!BL63="monthly",KG63/12*L63,KG63/365*M63))</f>
        <v/>
      </c>
      <c r="KI63" s="489" t="str">
        <f>IF(A63=FALSE,"",IF(Cotations!BP63="","",Cotations!BP63))</f>
        <v/>
      </c>
      <c r="KJ63" s="300" t="str">
        <f t="shared" si="520"/>
        <v/>
      </c>
      <c r="KK63" s="300" t="str">
        <f t="shared" si="521"/>
        <v/>
      </c>
      <c r="KL63" s="919" t="str">
        <f t="shared" si="522"/>
        <v/>
      </c>
      <c r="KM63" s="517" t="str">
        <f>IF(A63=FALSE,"",Cotations!BQ63)</f>
        <v/>
      </c>
      <c r="KN63" s="515" t="str">
        <f>IF(A63=FALSE,"",Cotations!BR63)</f>
        <v/>
      </c>
      <c r="KO63" s="493" t="str">
        <f>IF(A63=FALSE,"",Cotations!BS63)</f>
        <v/>
      </c>
      <c r="KP63" s="517" t="str">
        <f>IF(A63=FALSE,"",IF(KM63="N/A",0,IF(INDEX(LISTES!$F$105:$F$109,MATCH(KM63,LISTES!$C$105:$C$109,0))="FIX",IF(INDEX(LISTES!$E$105:$E$109,MATCH(KM63,LISTES!$C$105:$C$109,0))=12,KN63/12*L63,KN63/365*M63),KO63*KL63)))</f>
        <v/>
      </c>
      <c r="KQ63" s="294" t="str">
        <f t="shared" si="523"/>
        <v/>
      </c>
      <c r="KR63" s="494" t="str">
        <f>IF(A63=FALSE,"",KQ63*Cotations!BT63)</f>
        <v/>
      </c>
      <c r="KS63" s="494" t="str">
        <f>IF(A63=FALSE,"",KQ63*Cotations!BU63)</f>
        <v/>
      </c>
      <c r="KT63" s="338" t="str">
        <f t="shared" si="524"/>
        <v/>
      </c>
      <c r="KU63" s="919" t="str">
        <f>IF(A63=FALSE,"",((KG63*TAXE)-(KG63*TAXE*KI63))+IF(KM63="N/A",0,IF(INDEX(LISTES!$F$105:$F$109,MATCH(KM63,LISTES!$C$105:$C$109,0))="FIX",KN63,KO63*KL63)))</f>
        <v/>
      </c>
      <c r="LA63" s="497" t="str">
        <f>IF(A63=FALSE,"",Cotations!D63)</f>
        <v/>
      </c>
      <c r="LB63" s="498" t="str">
        <f>IF(A63=FALSE,"",IF(LISTES!$A$17=1,Cotations!BV63,Cotations!$BW$4))</f>
        <v/>
      </c>
      <c r="LC63" s="499" t="str">
        <f t="shared" si="525"/>
        <v/>
      </c>
      <c r="LD63" s="499" t="str">
        <f t="shared" si="526"/>
        <v/>
      </c>
      <c r="LE63" s="500" t="str">
        <f t="shared" si="527"/>
        <v/>
      </c>
      <c r="LF63" s="501" t="str">
        <f>IF(A63=FALSE,"",IF(LA63="POEA",Cotations!EJ63,IF(LA63="FIXE",Cotations!$BY$4,Cotations!$CA$4*Y63)))</f>
        <v/>
      </c>
      <c r="LG63" s="502" t="str">
        <f t="shared" si="528"/>
        <v/>
      </c>
      <c r="LH63" s="520" t="str">
        <f>IF(A63=FALSE,"",IF(Cotations!$BX$4="monthly",LG63/12*L63,LG63/365*M63))</f>
        <v/>
      </c>
      <c r="LI63" s="503" t="str">
        <f>IF(A63=FALSE,"",Cotations!$CB$4)</f>
        <v/>
      </c>
      <c r="LJ63" s="502" t="str">
        <f t="shared" si="529"/>
        <v/>
      </c>
      <c r="LK63" s="502" t="str">
        <f t="shared" si="530"/>
        <v/>
      </c>
      <c r="LL63" s="504" t="str">
        <f t="shared" si="531"/>
        <v/>
      </c>
      <c r="LM63" s="505" t="str">
        <f>IF(A63=FALSE,"",Cotations!$CC$4)</f>
        <v/>
      </c>
      <c r="LN63" s="503" t="str">
        <f>IF(A63=FALSE,"",Cotations!$CD$4)</f>
        <v/>
      </c>
      <c r="LO63" s="503" t="str">
        <f>IF(A63=FALSE,"",Cotations!$CE$4)</f>
        <v/>
      </c>
      <c r="LP63" s="505" t="str">
        <f>IF(A63=FALSE,"",IF(LM63="N/A",0,IF(INDEX(LISTES!$F$105:$F$109,MATCH(LM63,LISTES!$C$105:$C$109,0))="FIX",IF(INDEX(LISTES!$E$105:$E$109,MATCH(LM63,LISTES!$C$105:$C$109,0))=12,LN63/12*L63,LN63/365*M63),LO63*LL63)))</f>
        <v/>
      </c>
      <c r="LQ63" s="504" t="str">
        <f t="shared" si="532"/>
        <v/>
      </c>
      <c r="LR63" s="505" t="str">
        <f>IF(A63=FALSE,"",LQ63*Cotations!$CF$4)</f>
        <v/>
      </c>
      <c r="LS63" s="505" t="str">
        <f>IF(A63=FALSE,"",LQ63*Cotations!$CG$4)</f>
        <v/>
      </c>
      <c r="LT63" s="506" t="str">
        <f t="shared" si="533"/>
        <v/>
      </c>
      <c r="LU63" s="919" t="str">
        <f>IF(A63=FALSE,"",((LG63*TAXE)-(LG63*TAXE*LI63))+IF(LM63="N/A",0,IF(INDEX(LISTES!$F$105:$F$109,MATCH(LM63,LISTES!$C$105:$C$109,0))="FIX",LN63,LO63*LL63)))</f>
        <v/>
      </c>
      <c r="MA63" s="492" t="str">
        <f>IF(A63=FALSE,"",Cotations!D63)</f>
        <v/>
      </c>
      <c r="MB63" s="491" t="str">
        <f>IF(A63=FALSE,"",IF(LISTES!$A$17=1,Cotations!BV63,Cotations!BW63))</f>
        <v/>
      </c>
      <c r="MC63" s="285" t="str">
        <f t="shared" si="534"/>
        <v/>
      </c>
      <c r="MD63" s="300"/>
      <c r="ME63" s="461" t="str">
        <f t="shared" si="535"/>
        <v/>
      </c>
      <c r="MF63" s="490" t="str">
        <f>IF(A63=FALSE,"",IF(MA63="POEA",Cotations!BY63,IF(MA63="FIXE",Cotations!BZ63,IF(Cotations!CA63*Y63&lt;50000,Z63,Cotations!CA63*Y63))))</f>
        <v/>
      </c>
      <c r="MG63" s="300" t="str">
        <f t="shared" si="536"/>
        <v/>
      </c>
      <c r="MH63" s="522" t="str">
        <f>IF(A63=FALSE,"",IF(Cotations!BX63="monthly",MG63/12*L63,MG63/365*M63))</f>
        <v/>
      </c>
      <c r="MI63" s="489" t="str">
        <f>IF(A63=FALSE,"",IF(Cotations!CB63="","",Cotations!CB63))</f>
        <v/>
      </c>
      <c r="MJ63" s="300" t="str">
        <f t="shared" si="537"/>
        <v/>
      </c>
      <c r="MK63" s="300" t="str">
        <f t="shared" si="538"/>
        <v/>
      </c>
      <c r="ML63" s="919" t="str">
        <f t="shared" si="539"/>
        <v/>
      </c>
      <c r="MM63" s="517" t="str">
        <f>IF(A63=FALSE,"",Cotations!CC63)</f>
        <v/>
      </c>
      <c r="MN63" s="515" t="str">
        <f>IF(A63=FALSE,"",Cotations!CD63)</f>
        <v/>
      </c>
      <c r="MO63" s="493" t="str">
        <f>IF(A63=FALSE,"",Cotations!CE63)</f>
        <v/>
      </c>
      <c r="MP63" s="517" t="str">
        <f>IF(A63=FALSE,"",IF(MM63="N/A",0,IF(INDEX(LISTES!$F$105:$F$109,MATCH(MM63,LISTES!$C$105:$C$109,0))="FIX",IF(INDEX(LISTES!$E$105:$E$109,MATCH(MM63,LISTES!$C$105:$C$109,0))=12,MN63/12*L63,MN63/365*M63),MO63*ML63)))</f>
        <v/>
      </c>
      <c r="MQ63" s="294" t="str">
        <f t="shared" si="540"/>
        <v/>
      </c>
      <c r="MR63" s="494" t="str">
        <f>IF(A63=FALSE,"",MQ63*Cotations!CF63)</f>
        <v/>
      </c>
      <c r="MS63" s="494" t="str">
        <f>IF(A63=FALSE,"",MQ63*Cotations!CG63)</f>
        <v/>
      </c>
      <c r="MT63" s="338" t="str">
        <f t="shared" si="541"/>
        <v/>
      </c>
      <c r="MU63" s="919" t="str">
        <f>IF(A63=FALSE,"",((MG63*TAXE)-(MG63*TAXE*MI63))+IF(MM63="N/A",0,IF(INDEX(LISTES!$F$105:$F$109,MATCH(MM63,LISTES!$C$105:$C$109,0))="FIX",MN63,MO63*ML63)))</f>
        <v/>
      </c>
      <c r="NA63" s="497" t="str">
        <f>IF(A63=FALSE,"",Cotations!D63)</f>
        <v/>
      </c>
      <c r="NB63" s="498" t="str">
        <f>IF(A63=FALSE,"",IF(LISTES!$A$17=1,Cotations!CH63,Cotations!$CI$4))</f>
        <v/>
      </c>
      <c r="NC63" s="499" t="str">
        <f t="shared" si="542"/>
        <v/>
      </c>
      <c r="ND63" s="499" t="str">
        <f t="shared" si="543"/>
        <v/>
      </c>
      <c r="NE63" s="500" t="str">
        <f t="shared" si="544"/>
        <v/>
      </c>
      <c r="NF63" s="501" t="str">
        <f>IF(A63=FALSE,"",IF(NA63="POEA",Cotations!CK63,IF(NA63="FIXE",Cotations!$CK$4,Cotations!$CM$4*Y63)))</f>
        <v/>
      </c>
      <c r="NG63" s="502" t="str">
        <f t="shared" si="545"/>
        <v/>
      </c>
      <c r="NH63" s="520" t="str">
        <f>IF(A63=FALSE,"",IF(Cotations!$CJ$4="monthly",NG63/12*L63,NG63/365*M63))</f>
        <v/>
      </c>
      <c r="NI63" s="503" t="str">
        <f>IF(A63=FALSE,"",Cotations!$CN$4)</f>
        <v/>
      </c>
      <c r="NJ63" s="502" t="str">
        <f t="shared" si="546"/>
        <v/>
      </c>
      <c r="NK63" s="502" t="str">
        <f t="shared" si="547"/>
        <v/>
      </c>
      <c r="NL63" s="504" t="str">
        <f t="shared" si="548"/>
        <v/>
      </c>
      <c r="NM63" s="505" t="str">
        <f>IF(A63=FALSE,"",Cotations!$CO$4)</f>
        <v/>
      </c>
      <c r="NN63" s="520" t="str">
        <f>IF(A63=FALSE,"",Cotations!$CP$4)</f>
        <v/>
      </c>
      <c r="NO63" s="503" t="str">
        <f>IF(A63=FALSE,"",Cotations!$CQ$4)</f>
        <v/>
      </c>
      <c r="NP63" s="505" t="str">
        <f>IF(A63=FALSE,"",IF(NM63="N/A",0,IF(INDEX(LISTES!$F$105:$F$109,MATCH(NM63,LISTES!$C$105:$C$109,0))="FIX",IF(INDEX(LISTES!$E$105:$E$109,MATCH(NM63,LISTES!$C$105:$C$109,0))=12,NN63/12*L63,NN63/365*M63),NO63*NL63)))</f>
        <v/>
      </c>
      <c r="NQ63" s="504" t="str">
        <f t="shared" si="549"/>
        <v/>
      </c>
      <c r="NR63" s="505" t="str">
        <f>IF(A63=FALSE,"",NQ63*Cotations!$CR$4)</f>
        <v/>
      </c>
      <c r="NS63" s="505" t="str">
        <f>IF(A63=FALSE,"",NQ63*Cotations!$CS$4)</f>
        <v/>
      </c>
      <c r="NT63" s="506" t="str">
        <f t="shared" si="550"/>
        <v/>
      </c>
      <c r="NU63" s="919" t="str">
        <f>IF(A63=FALSE,"",((NG63*TAXE)-(NG63*TAXE*NI63))+IF(NM63="N/A",0,IF(INDEX(LISTES!$F$105:$F$109,MATCH(NM63,LISTES!$C$105:$C$109,0))="FIX",NN63,NO63*NL63)))</f>
        <v/>
      </c>
      <c r="OA63" s="492" t="str">
        <f>IF(A63=FALSE,"",Cotations!D63)</f>
        <v/>
      </c>
      <c r="OB63" s="491" t="str">
        <f>IF(A63=FALSE,"",IF(LISTES!$A$17=1,Cotations!CH63,Cotations!CI63))</f>
        <v/>
      </c>
      <c r="OC63" s="285" t="str">
        <f t="shared" si="551"/>
        <v/>
      </c>
      <c r="OD63" s="300"/>
      <c r="OE63" s="461" t="str">
        <f t="shared" si="552"/>
        <v/>
      </c>
      <c r="OF63" s="490" t="str">
        <f>IF(A63=FALSE,"",IF(OA63="POEA",Cotations!CK63,IF(OA63="FIXE",Cotations!CL63,IF(Cotations!CM63*Y63&lt;50000,Z63,Cotations!CM63*Y63))))</f>
        <v/>
      </c>
      <c r="OG63" s="300" t="str">
        <f t="shared" si="553"/>
        <v/>
      </c>
      <c r="OH63" s="522" t="str">
        <f>IF(A63=FALSE,"",IF(Cotations!CJ63="monthly",OG63/12*L63,OG63/365*M63))</f>
        <v/>
      </c>
      <c r="OI63" s="489" t="str">
        <f>IF(A63=FALSE,"",IF(Cotations!CN63="","",Cotations!CN63))</f>
        <v/>
      </c>
      <c r="OJ63" s="300" t="str">
        <f t="shared" si="554"/>
        <v/>
      </c>
      <c r="OK63" s="300" t="str">
        <f t="shared" si="555"/>
        <v/>
      </c>
      <c r="OL63" s="919" t="str">
        <f t="shared" si="556"/>
        <v/>
      </c>
      <c r="OM63" s="517" t="str">
        <f>IF(A63=FALSE,"",Cotations!CO63)</f>
        <v/>
      </c>
      <c r="ON63" s="515" t="str">
        <f>IF(A63=FALSE,"",Cotations!CP63)</f>
        <v/>
      </c>
      <c r="OO63" s="493" t="str">
        <f>IF(A63=FALSE,"",Cotations!CQ63)</f>
        <v/>
      </c>
      <c r="OP63" s="517" t="str">
        <f>IF(A63=FALSE,"",IF(OM63="N/A",0,IF(INDEX(LISTES!$F$105:$F$109,MATCH(OM63,LISTES!$C$105:$C$109,0))="FIX",IF(INDEX(LISTES!$E$105:$E$109,MATCH(OM63,LISTES!$C$105:$C$109,0))=12,ON63/12*L63,ON63/365*M63),OO63*OL63)))</f>
        <v/>
      </c>
      <c r="OQ63" s="294" t="str">
        <f t="shared" si="557"/>
        <v/>
      </c>
      <c r="OR63" s="494" t="str">
        <f>IF(A63=FALSE,"",OQ63*Cotations!CR63)</f>
        <v/>
      </c>
      <c r="OS63" s="494" t="str">
        <f>IF(A63=FALSE,"",OQ63*Cotations!CS63)</f>
        <v/>
      </c>
      <c r="OT63" s="338" t="str">
        <f t="shared" si="558"/>
        <v/>
      </c>
      <c r="OU63" s="919" t="str">
        <f>IF(A63=FALSE,"",((OG63*TAXE)-(OG63*TAXE*OI63))+IF(OM63="N/A",0,IF(INDEX(LISTES!$F$105:$F$109,MATCH(OM63,LISTES!$C$105:$C$109,0))="FIX",ON63,OO63*OL63)))</f>
        <v/>
      </c>
      <c r="PA63" s="497" t="str">
        <f t="shared" si="559"/>
        <v/>
      </c>
      <c r="PB63" s="498" t="str">
        <f>IF(A63=FALSE,"",IF(LISTES!$A$17=1,Cotations!CT63,Cotations!$CU$4))</f>
        <v/>
      </c>
      <c r="PC63" s="499" t="str">
        <f t="shared" si="560"/>
        <v/>
      </c>
      <c r="PD63" s="499" t="str">
        <f t="shared" si="561"/>
        <v/>
      </c>
      <c r="PE63" s="500" t="str">
        <f t="shared" si="562"/>
        <v/>
      </c>
      <c r="PF63" s="501" t="str">
        <f>IF(A63=FALSE,"",Cotations!$CY$4*Y63)</f>
        <v/>
      </c>
      <c r="PG63" s="502" t="str">
        <f t="shared" si="563"/>
        <v/>
      </c>
      <c r="PH63" s="520" t="str">
        <f>IF(A63=FALSE,"",IF(Cotations!$CV$4="monthly",PG63/12*L63,PG63/365*M63))</f>
        <v/>
      </c>
      <c r="PI63" s="503" t="str">
        <f>IF(A63=FALSE,"",Cotations!$CZ$4)</f>
        <v/>
      </c>
      <c r="PJ63" s="502" t="str">
        <f t="shared" si="564"/>
        <v/>
      </c>
      <c r="PK63" s="502" t="str">
        <f t="shared" si="565"/>
        <v/>
      </c>
      <c r="PL63" s="504" t="str">
        <f t="shared" si="566"/>
        <v/>
      </c>
      <c r="PM63" s="505" t="str">
        <f>IF(A63=FALSE,"",Cotations!$DA$4)</f>
        <v/>
      </c>
      <c r="PN63" s="520" t="str">
        <f>IF(A63=FALSE,"",Cotations!$DB$4)</f>
        <v/>
      </c>
      <c r="PO63" s="503" t="str">
        <f>IF(A63=FALSE,"",Cotations!$DC$4)</f>
        <v/>
      </c>
      <c r="PP63" s="505" t="str">
        <f>IF(A63=FALSE,"",IF(PM63="N/A",0,IF(INDEX(LISTES!$F$105:$F$109,MATCH(PM63,LISTES!$C$105:$C$109,0))="FIX",IF(INDEX(LISTES!$E$105:$E$109,MATCH(PM63,LISTES!$C$105:$C$109,0))=12,PN63/12*L63,PN63/365*M63),PO63*PL63)))</f>
        <v/>
      </c>
      <c r="PQ63" s="504" t="str">
        <f t="shared" si="567"/>
        <v/>
      </c>
      <c r="PR63" s="505" t="str">
        <f>IF(A63=FALSE,"",PQ63*Cotations!$DD$4)</f>
        <v/>
      </c>
      <c r="PS63" s="505" t="str">
        <f>IF(A63=FALSE,"",PQ63*Cotations!$DE$4)</f>
        <v/>
      </c>
      <c r="PT63" s="506" t="str">
        <f t="shared" si="568"/>
        <v/>
      </c>
      <c r="PU63" s="919" t="str">
        <f>IF(A63=FALSE,"",((PG63*TAXE)-(PG63*TAXE*PI63))+IF(PM63="N/A",0,IF(INDEX(LISTES!$F$105:$F$109,MATCH(PM63,LISTES!$C$105:$C$109,0))="FIX",PN63,PO63*PL63)))</f>
        <v/>
      </c>
      <c r="QA63" s="492" t="str">
        <f t="shared" si="569"/>
        <v/>
      </c>
      <c r="QB63" s="491" t="str">
        <f>IF(A63=FALSE,"",IF(LISTES!$A$17=1,Cotations!CT63,Cotations!CU63))</f>
        <v/>
      </c>
      <c r="QC63" s="285" t="str">
        <f t="shared" si="570"/>
        <v/>
      </c>
      <c r="QD63" s="300"/>
      <c r="QE63" s="461" t="str">
        <f t="shared" si="571"/>
        <v/>
      </c>
      <c r="QF63" s="490" t="str">
        <f>IF(A63=FALSE,"",Cotations!CY63*AA63)</f>
        <v/>
      </c>
      <c r="QG63" s="300" t="str">
        <f t="shared" si="572"/>
        <v/>
      </c>
      <c r="QH63" s="522" t="str">
        <f>IF(A63=FALSE,"",IF(Cotations!CV63="monthly",QG63/12*L63,QG63/365*M63))</f>
        <v/>
      </c>
      <c r="QI63" s="489" t="str">
        <f>IF(A63=FALSE,"",IF(Cotations!CZ63="","",Cotations!CZ63))</f>
        <v/>
      </c>
      <c r="QJ63" s="300" t="str">
        <f t="shared" si="573"/>
        <v/>
      </c>
      <c r="QK63" s="300" t="str">
        <f t="shared" si="574"/>
        <v/>
      </c>
      <c r="QL63" s="919" t="str">
        <f t="shared" si="575"/>
        <v/>
      </c>
      <c r="QM63" s="517" t="str">
        <f>IF(A63=FALSE,"",Cotations!DA63)</f>
        <v/>
      </c>
      <c r="QN63" s="515" t="str">
        <f>IF(A63=FALSE,"",Cotations!DB63)</f>
        <v/>
      </c>
      <c r="QO63" s="493" t="str">
        <f>IF(A63=FALSE,"",Cotations!DC63)</f>
        <v/>
      </c>
      <c r="QP63" s="517" t="str">
        <f>IF(A63=FALSE,"",IF(QM63="N/A",0,IF(INDEX(LISTES!$F$105:$F$109,MATCH(QM63,LISTES!$C$105:$C$109,0))="FIX",IF(INDEX(LISTES!$E$105:$E$109,MATCH(QM63,LISTES!$C$105:$C$109,0))=12,QN63/12*L63,QN63/365*M63),QO63*QL63)))</f>
        <v/>
      </c>
      <c r="QQ63" s="294" t="str">
        <f t="shared" si="576"/>
        <v/>
      </c>
      <c r="QR63" s="494" t="str">
        <f>IF(A63=FALSE,"",QQ63*Cotations!DD63)</f>
        <v/>
      </c>
      <c r="QS63" s="494" t="str">
        <f>IF(A63=FALSE,"",QQ63*Cotations!DE63)</f>
        <v/>
      </c>
      <c r="QT63" s="338" t="str">
        <f t="shared" si="577"/>
        <v/>
      </c>
      <c r="QU63" s="919" t="str">
        <f>IF(A63=FALSE,"",((QG63*TAXE)-(QG63*TAXE*QI63))+IF(QM63="N/A",0,IF(INDEX(LISTES!$F$105:$F$109,MATCH(QM63,LISTES!$C$105:$C$109,0))="FIX",QN63,QO63*QL63)))</f>
        <v/>
      </c>
      <c r="RA63" s="497" t="str">
        <f t="shared" si="578"/>
        <v/>
      </c>
      <c r="RB63" s="498" t="str">
        <f>IF(A63=FALSE,"",IF(LISTES!$A$17=1,Cotations!DF63,Cotations!$DG$4))</f>
        <v/>
      </c>
      <c r="RC63" s="499" t="str">
        <f t="shared" si="579"/>
        <v/>
      </c>
      <c r="RD63" s="499" t="str">
        <f t="shared" si="580"/>
        <v/>
      </c>
      <c r="RE63" s="500" t="str">
        <f t="shared" si="581"/>
        <v/>
      </c>
      <c r="RF63" s="501" t="str">
        <f>IF(A63=FALSE,"",Cotations!$DK$4*Y63)</f>
        <v/>
      </c>
      <c r="RG63" s="502" t="str">
        <f t="shared" si="582"/>
        <v/>
      </c>
      <c r="RH63" s="520" t="str">
        <f>IF(A63=FALSE,"",IF(Cotations!$DH$4="monthly",RG63/12*L63,RG63/365*M63))</f>
        <v/>
      </c>
      <c r="RI63" s="503" t="str">
        <f>IF(A63=FALSE,"",Cotations!$DL$4)</f>
        <v/>
      </c>
      <c r="RJ63" s="502" t="str">
        <f t="shared" si="583"/>
        <v/>
      </c>
      <c r="RK63" s="502" t="str">
        <f t="shared" si="584"/>
        <v/>
      </c>
      <c r="RL63" s="504" t="str">
        <f t="shared" si="585"/>
        <v/>
      </c>
      <c r="RM63" s="505" t="str">
        <f>IF(A63=FALSE,"",Cotations!$DM$4)</f>
        <v/>
      </c>
      <c r="RN63" s="520" t="str">
        <f>IF(A63=FALSE,"",Cotations!$DN$4)</f>
        <v/>
      </c>
      <c r="RO63" s="503" t="str">
        <f>IF(A63=FALSE,"",Cotations!$DO$4)</f>
        <v/>
      </c>
      <c r="RP63" s="505" t="str">
        <f>IF(A63=FALSE,"",IF(RM63="N/A",0,IF(INDEX(LISTES!$F$105:$F$109,MATCH(RM63,LISTES!$C$105:$C$109,0))="FIX",IF(INDEX(LISTES!$E$105:$E$109,MATCH(RM63,LISTES!$C$105:$C$109,0))=12,RN63/12*L63,RN63/365*M63),RO63*RL63)))</f>
        <v/>
      </c>
      <c r="RQ63" s="504" t="str">
        <f t="shared" si="586"/>
        <v/>
      </c>
      <c r="RR63" s="505" t="str">
        <f>IF(A63=FALSE,"",RQ63*Cotations!$DP$4)</f>
        <v/>
      </c>
      <c r="RS63" s="505" t="str">
        <f>IF(A63=FALSE,"",RQ63*Cotations!$DQ$4)</f>
        <v/>
      </c>
      <c r="RT63" s="506" t="str">
        <f t="shared" si="587"/>
        <v/>
      </c>
      <c r="RU63" s="919" t="str">
        <f>IF(A63=FALSE,"",((RG63*TAXE)-(RG63*TAXE*RI63))+IF(RM63="N/A",0,IF(INDEX(LISTES!$F$105:$F$109,MATCH(RM63,LISTES!$C$105:$C$109,0))="FIX",RN63,RO63*RL63)))</f>
        <v/>
      </c>
      <c r="SA63" s="492" t="str">
        <f t="shared" si="588"/>
        <v/>
      </c>
      <c r="SB63" s="491" t="str">
        <f>IF(A63=FALSE,"",IF(LISTES!$A$17=1,Cotations!DF63,Cotations!DG63))</f>
        <v/>
      </c>
      <c r="SC63" s="285" t="str">
        <f t="shared" si="589"/>
        <v/>
      </c>
      <c r="SD63" s="300"/>
      <c r="SE63" s="461" t="str">
        <f t="shared" si="590"/>
        <v/>
      </c>
      <c r="SF63" s="490" t="str">
        <f>IF(A63=FALSE,"",Cotations!DK63*AA63)</f>
        <v/>
      </c>
      <c r="SG63" s="300" t="str">
        <f t="shared" si="591"/>
        <v/>
      </c>
      <c r="SH63" s="522" t="str">
        <f>IF(A63=FALSE,"",IF(Cotations!DH63="monthly",SG63/12*L63,SG63/365*M63))</f>
        <v/>
      </c>
      <c r="SI63" s="489" t="str">
        <f>IF(A63=FALSE,"",IF(Cotations!DL63="","",Cotations!DL63))</f>
        <v/>
      </c>
      <c r="SJ63" s="300" t="str">
        <f t="shared" si="592"/>
        <v/>
      </c>
      <c r="SK63" s="300" t="str">
        <f t="shared" si="593"/>
        <v/>
      </c>
      <c r="SL63" s="919" t="str">
        <f t="shared" si="594"/>
        <v/>
      </c>
      <c r="SM63" s="285" t="str">
        <f>IF(A63=FALSE,"",Cotations!DM63)</f>
        <v/>
      </c>
      <c r="SN63" s="515" t="str">
        <f>IF(A63=FALSE,"",Cotations!DN63)</f>
        <v/>
      </c>
      <c r="SO63" s="493" t="str">
        <f>IF(A63=FALSE,"",Cotations!DO63)</f>
        <v/>
      </c>
      <c r="SP63" s="517" t="str">
        <f>IF(A63=FALSE,"",IF(SM63="N/A",0,IF(INDEX(LISTES!$F$105:$F$109,MATCH(SM63,LISTES!$C$105:$C$109,0))="FIX",IF(INDEX(LISTES!$E$105:$E$109,MATCH(SM63,LISTES!$C$105:$C$109,0))=12,SN63/12*L63,SN63/365*M63),SO63*SL63)))</f>
        <v/>
      </c>
      <c r="SQ63" s="294" t="str">
        <f t="shared" si="595"/>
        <v/>
      </c>
      <c r="SR63" s="494" t="str">
        <f>IF(A63=FALSE,"",SQ63*Cotations!DP63)</f>
        <v/>
      </c>
      <c r="SS63" s="494" t="str">
        <f>IF(A63=FALSE,"",SQ63*Cotations!DQ63)</f>
        <v/>
      </c>
      <c r="ST63" s="338" t="str">
        <f t="shared" si="596"/>
        <v/>
      </c>
      <c r="SU63" s="919" t="str">
        <f>IF(A63=FALSE,"",((SG63*TAXE)-(SG63*TAXE*SI63))+IF(SM63="N/A",0,IF(INDEX(LISTES!$F$105:$F$109,MATCH(SM63,LISTES!$C$105:$C$109,0))="FIX",SN63,SO63*SL63)))</f>
        <v/>
      </c>
      <c r="TA63" s="492" t="str">
        <f>IF(A63=FALSE,"",Cotations!D63)</f>
        <v/>
      </c>
      <c r="TB63" s="491" t="str">
        <f>IF(A63=FALSE,"",IF(LISTES!$A$17=1,Cotations!DR63,Cotations!DS63))</f>
        <v/>
      </c>
      <c r="TC63" s="285" t="str">
        <f t="shared" si="597"/>
        <v/>
      </c>
      <c r="TD63" s="300" t="str">
        <f>IF(A63=FALSE,"",Detail!CQ63)</f>
        <v/>
      </c>
      <c r="TE63" s="461" t="str">
        <f t="shared" si="598"/>
        <v/>
      </c>
      <c r="TF63" s="490" t="str">
        <f>IF(A63=FALSE,"",IF(TA63="FIXE",Cotations!DU63,Cotations!DV63*Y63))</f>
        <v/>
      </c>
      <c r="TG63" s="300" t="str">
        <f t="shared" si="599"/>
        <v/>
      </c>
      <c r="TH63" s="522" t="str">
        <f>IF(A63=FALSE,"",IF(Cotations!DT63="monthly",TG63/12*L63,TG63/365*M63))</f>
        <v/>
      </c>
      <c r="TI63" s="489" t="str">
        <f>IF(A63=FALSE,"",IF(Cotations!DW63="","",Cotations!DW63))</f>
        <v/>
      </c>
      <c r="TJ63" s="300" t="str">
        <f t="shared" si="600"/>
        <v/>
      </c>
      <c r="TK63" s="300" t="str">
        <f t="shared" si="601"/>
        <v/>
      </c>
      <c r="TL63" s="919" t="str">
        <f t="shared" si="602"/>
        <v/>
      </c>
      <c r="TM63" s="517" t="str">
        <f>IF(A63=FALSE,"",Cotations!DX63)</f>
        <v/>
      </c>
      <c r="TN63" s="517" t="str">
        <f>IF(A63=FALSE,"",Cotations!DY63)</f>
        <v/>
      </c>
      <c r="TO63" s="493" t="str">
        <f>IF(A63=FALSE,"",Cotations!DZ63)</f>
        <v/>
      </c>
      <c r="TP63" s="517" t="str">
        <f>IF(A63=FALSE,"",IF(TM63="N/A",0,IF(INDEX(LISTES!$F$105:$F$109,MATCH(TM63,LISTES!$C$105:$C$109,0))="FIX",IF(INDEX(LISTES!$E$105:$E$109,MATCH(TM63,LISTES!$C$105:$C$109,0))=12,TN63/12*L63,TN63/365*M63),TO63*TL63)))</f>
        <v/>
      </c>
      <c r="TQ63" s="294" t="str">
        <f t="shared" si="603"/>
        <v/>
      </c>
      <c r="TR63" s="494" t="str">
        <f>IF(A63=FALSE,"",TQ63*Cotations!EA63)</f>
        <v/>
      </c>
      <c r="TS63" s="494" t="str">
        <f>IF(A63=FALSE,"",TQ63*Cotations!EB63)</f>
        <v/>
      </c>
      <c r="TT63" s="338" t="str">
        <f t="shared" si="604"/>
        <v/>
      </c>
      <c r="TU63" s="919" t="str">
        <f>IF(A63=FALSE,"",((TG63*(1+TAXE)-(TG63*(1+TAXE)*TI63))+IF(TM63="N/A",0,IF(INDEX(LISTES!$F$105:$F$109,MATCH(TM63,LISTES!$C$105:$C$109,0))="FIX",TN63,TO63*TL63))))</f>
        <v/>
      </c>
      <c r="UA63" s="492" t="str">
        <f>IF(A63=FALSE,"",Cotations!D63)</f>
        <v/>
      </c>
      <c r="UB63" s="491" t="str">
        <f>IF(A63=FALSE,"",IF(LISTES!$A$17=1,Cotations!EC63,Cotations!ED63))</f>
        <v/>
      </c>
      <c r="UC63" s="285" t="str">
        <f t="shared" si="605"/>
        <v/>
      </c>
      <c r="UD63" s="300" t="str">
        <f>IF(A63=FALSE,"",Detail!CY63)</f>
        <v/>
      </c>
      <c r="UE63" s="461" t="str">
        <f t="shared" si="606"/>
        <v/>
      </c>
      <c r="UF63" s="490" t="str">
        <f>IF(A63=FALSE,"",IF(UA63="FIXE",Cotations!EF63,Cotations!EG63*Y63))</f>
        <v/>
      </c>
      <c r="UG63" s="300" t="str">
        <f t="shared" si="607"/>
        <v/>
      </c>
      <c r="UH63" s="522" t="str">
        <f>IF(A63=FALSE,"",IF(Cotations!EE63="monthly",UG63/12*L63,UG63/365*M63))</f>
        <v/>
      </c>
      <c r="UI63" s="489" t="str">
        <f>IF(A63=FALSE,"",IF(Cotations!EH63="","",Cotations!EH63))</f>
        <v/>
      </c>
      <c r="UJ63" s="300" t="str">
        <f t="shared" si="608"/>
        <v/>
      </c>
      <c r="UK63" s="300" t="str">
        <f t="shared" si="609"/>
        <v/>
      </c>
      <c r="UL63" s="919" t="str">
        <f t="shared" si="610"/>
        <v/>
      </c>
      <c r="UM63" s="517" t="str">
        <f>IF(A63=FALSE,"",Cotations!EI63)</f>
        <v/>
      </c>
      <c r="UN63" s="517" t="str">
        <f>IF(A63=FALSE,"",Cotations!EJ63)</f>
        <v/>
      </c>
      <c r="UO63" s="493" t="str">
        <f>IF(A63=FALSE,"",Cotations!EK63)</f>
        <v/>
      </c>
      <c r="UP63" s="517" t="str">
        <f>IF(A63=FALSE,"",IF(UM63="N/A",0,IF(INDEX(LISTES!$F$105:$F$109,MATCH(UM63,LISTES!$C$105:$C$109,0))="FIX",IF(INDEX(LISTES!$E$105:$E$109,MATCH(UM63,LISTES!$C$105:$C$109,0))=12,UN63/12*L63,UN63/365*M63),UO63*UL63)))</f>
        <v/>
      </c>
      <c r="UQ63" s="294" t="str">
        <f t="shared" si="611"/>
        <v/>
      </c>
      <c r="UR63" s="494" t="str">
        <f>IF(A63=FALSE,"",UQ63*Cotations!EL63)</f>
        <v/>
      </c>
      <c r="US63" s="494" t="str">
        <f>IF(A63=FALSE,"",UQ63*Cotations!EM63)</f>
        <v/>
      </c>
      <c r="UT63" s="338" t="str">
        <f t="shared" si="612"/>
        <v/>
      </c>
      <c r="UU63" s="919" t="str">
        <f>IF(A63=FALSE,"",((UG63*(1+TAXE)-(UG63*(1+TAXE)*UI63))+IF(UM63="N/A",0,IF(INDEX(LISTES!$F$105:$F$109,MATCH(UM63,LISTES!$C$105:$C$109,0))="FIX",UN63,UO63*UL63))))</f>
        <v/>
      </c>
      <c r="VA63" s="492" t="str">
        <f>IF(A63=FALSE,"",Cotations!D63)</f>
        <v/>
      </c>
      <c r="VB63" s="519" t="str">
        <f>IF(A63=FALSE,"",IF(LISTES!$A$17=1,Cotations!EN63,Cotations!EO63))</f>
        <v/>
      </c>
      <c r="VC63" s="291" t="str">
        <f t="shared" si="613"/>
        <v/>
      </c>
      <c r="VD63" s="291" t="str">
        <f t="shared" si="614"/>
        <v/>
      </c>
      <c r="VE63" s="291"/>
      <c r="VF63" s="463"/>
      <c r="VG63" s="463" t="str">
        <f t="shared" si="615"/>
        <v/>
      </c>
      <c r="VH63" s="522" t="str">
        <f>IF(A63=FALSE,"",IF(Cotations!$AQ$4="monthly",VG63/12*L63,VG63/365*M63))</f>
        <v/>
      </c>
      <c r="VI63" s="489" t="str">
        <f>IF(A63=FALSE,"",Cotations!$AR$4)</f>
        <v/>
      </c>
      <c r="VJ63" s="300" t="str">
        <f t="shared" si="616"/>
        <v/>
      </c>
      <c r="VK63" s="300" t="str">
        <f t="shared" si="617"/>
        <v/>
      </c>
      <c r="VL63" s="294" t="str">
        <f t="shared" si="618"/>
        <v/>
      </c>
      <c r="VM63" s="494" t="str">
        <f>IF(A63=FALSE,"",Cotations!$AS$4)</f>
        <v/>
      </c>
      <c r="VN63" s="494" t="str">
        <f>IF(A63=FALSE,"",Cotations!$AT$4)</f>
        <v/>
      </c>
      <c r="VO63" s="489" t="str">
        <f>IF(A63=FALSE,"",Cotations!$AU$4)</f>
        <v/>
      </c>
      <c r="VP63" s="494" t="str">
        <f>IF(A63=FALSE,"",IF(VM63="N/A",0,IF(INDEX(LISTES!$F$105:$F$109,MATCH(VM63,LISTES!$C$105:$C$109,0))="FIX",IF(INDEX(LISTES!$E$105:$E$109,MATCH(VM63,LISTES!$C$105:$C$109,0))=12,VN63/12*L63,VN63/365*M63),VO63*VL63)))</f>
        <v/>
      </c>
      <c r="VQ63" s="294" t="str">
        <f t="shared" si="619"/>
        <v/>
      </c>
      <c r="VR63" s="494" t="str">
        <f>IF(A63=FALSE,"",VQ63*Cotations!$AV$4)</f>
        <v/>
      </c>
      <c r="VS63" s="494" t="str">
        <f>IF(A63=FALSE,"",VQ63*Cotations!$AW$4)</f>
        <v/>
      </c>
      <c r="VT63" s="465" t="str">
        <f t="shared" si="620"/>
        <v/>
      </c>
      <c r="VU63" s="919" t="str">
        <f>IF(A63=FALSE,"",((VG63*TAXE)-(VG63*TAXE*VI63))+IF(VM63="N/A",0,IF(INDEX(LISTES!$F$105:$F$109,MATCH(VM63,LISTES!$C$105:$C$109,0))="FIX",VN63,VO63*VL63)))</f>
        <v/>
      </c>
      <c r="WA63" s="492" t="str">
        <f>IF(A63=FALSE,"",Cotations!D63)</f>
        <v/>
      </c>
      <c r="WB63" s="519" t="str">
        <f>IF(A63=FALSE,"",IF(LISTES!$A$17=1,Cotations!EW63,Cotations!EX63))</f>
        <v/>
      </c>
      <c r="WC63" s="291" t="str">
        <f t="shared" si="621"/>
        <v/>
      </c>
      <c r="WD63" s="291" t="str">
        <f t="shared" si="622"/>
        <v/>
      </c>
      <c r="WE63" s="291"/>
      <c r="WF63" s="463"/>
      <c r="WG63" s="463" t="str">
        <f t="shared" si="623"/>
        <v/>
      </c>
      <c r="WH63" s="522" t="str">
        <f>IF(A63=FALSE,"",IF(Cotations!$AQ$4="monthly",WG63/12*L63,WG63/365*M63))</f>
        <v/>
      </c>
      <c r="WI63" s="489" t="str">
        <f>IF(A63=FALSE,"",Cotations!$AR$4)</f>
        <v/>
      </c>
      <c r="WJ63" s="300" t="str">
        <f t="shared" si="624"/>
        <v/>
      </c>
      <c r="WK63" s="300" t="str">
        <f t="shared" si="625"/>
        <v/>
      </c>
      <c r="WL63" s="294" t="str">
        <f t="shared" si="626"/>
        <v/>
      </c>
      <c r="WM63" s="494" t="str">
        <f>IF(A63=FALSE,"",Cotations!$AS$4)</f>
        <v/>
      </c>
      <c r="WN63" s="494" t="str">
        <f>IF(A63=FALSE,"",Cotations!$AT$4)</f>
        <v/>
      </c>
      <c r="WO63" s="489" t="str">
        <f>IF(A63=FALSE,"",Cotations!$AU$4)</f>
        <v/>
      </c>
      <c r="WP63" s="494" t="str">
        <f>IF(A63=FALSE,"",IF(WM63="N/A",0,IF(INDEX(LISTES!$F$105:$F$109,MATCH(WM63,LISTES!$C$105:$C$109,0))="FIX",IF(INDEX(LISTES!$E$105:$E$109,MATCH(WM63,LISTES!$C$105:$C$109,0))=12,WN63/12*L63,WN63/365*M63),WO63*WL63)))</f>
        <v/>
      </c>
      <c r="WQ63" s="294" t="str">
        <f t="shared" si="627"/>
        <v/>
      </c>
      <c r="WR63" s="494" t="str">
        <f>IF(A63=FALSE,"",WQ63*Cotations!$AV$4)</f>
        <v/>
      </c>
      <c r="WS63" s="494" t="str">
        <f>IF(A63=FALSE,"",WQ63*Cotations!$AW$4)</f>
        <v/>
      </c>
      <c r="WT63" s="465" t="str">
        <f t="shared" si="628"/>
        <v/>
      </c>
      <c r="WU63" s="919" t="str">
        <f>IF(A63=FALSE,"",((WG63*TAXE)-(WG63*TAXE*WI63))+IF(WM63="N/A",0,IF(INDEX(LISTES!$F$105:$F$109,MATCH(WM63,LISTES!$C$105:$C$109,0))="FIX",WN63,WO63*WL63)))</f>
        <v/>
      </c>
    </row>
    <row r="64" spans="1:619">
      <c r="A64" s="942" t="b">
        <f t="shared" si="433"/>
        <v>0</v>
      </c>
      <c r="B64" s="942" t="b">
        <f>IF(NAMES!$B$9=TRUE,TRUE,FALSE)</f>
        <v>1</v>
      </c>
      <c r="C64" s="942" t="b">
        <f t="shared" si="413"/>
        <v>0</v>
      </c>
      <c r="D64" s="942" t="b">
        <f t="shared" si="414"/>
        <v>0</v>
      </c>
      <c r="E64" s="274" t="b">
        <f>IF(Cotations!C64="","",Cotations!C64)</f>
        <v>0</v>
      </c>
      <c r="F64" s="274" t="str">
        <f>IF(Cotations!D64="","",Cotations!D64)</f>
        <v>PROP</v>
      </c>
      <c r="G64" s="274" t="str">
        <f>IF(Cotations!E64="","",Cotations!E64)</f>
        <v>2016-2017!</v>
      </c>
      <c r="H64" s="274" t="str">
        <f>IF(Cotations!F64="","",Cotations!F64)</f>
        <v>SINGLE</v>
      </c>
      <c r="I64" s="274" t="str">
        <f>IF(Cotations!G64="","",Cotations!G64)</f>
        <v/>
      </c>
      <c r="J64" s="274" t="str">
        <f>IF(Cotations!H64="","",Cotations!H64)</f>
        <v/>
      </c>
      <c r="K64" s="274" t="str">
        <f>IF(Cotations!I64="","",Cotations!I64)</f>
        <v/>
      </c>
      <c r="L64" s="274" t="str">
        <f>IF(A64=FALSE,"",IF(Cotations!N64="","",Cotations!N64))</f>
        <v/>
      </c>
      <c r="M64" s="274" t="str">
        <f>IF(Cotations!P64="","",Cotations!P64)</f>
        <v/>
      </c>
      <c r="N64" s="724" t="str">
        <f>IF(NAMES!$B$10=TRUE,Cotations!J64,Cotations!L64)</f>
        <v/>
      </c>
      <c r="O64" s="724" t="str">
        <f>IF(NAMES!$B$10=TRUE,Cotations!K64,Cotations!M64)</f>
        <v/>
      </c>
      <c r="P64" s="943" t="str">
        <f t="shared" si="415"/>
        <v/>
      </c>
      <c r="Q64" s="724" t="str">
        <f>IF(A64=FALSE,"",IF(Crewlist!Y64="","",Crewlist!Y64))</f>
        <v/>
      </c>
      <c r="R64" s="78" t="str">
        <f>IF(Cotations!U64="","",Cotations!U64)</f>
        <v/>
      </c>
      <c r="S64" s="943" t="str">
        <f t="shared" si="416"/>
        <v/>
      </c>
      <c r="T64" s="919" t="str">
        <f>IF(A64=FALSE,"",VLOOKUP($U$15:$U$120,Currency!$A$2:$D$10,4,0)*Crewlist!N64)</f>
        <v/>
      </c>
      <c r="U64" s="1355" t="str">
        <f>IF(A64=FALSE,"",IF(IT64=0,Crewlist!M64&amp;"/"&amp;EX64,Crewlist!M64&amp;"/"&amp;IT64))</f>
        <v/>
      </c>
      <c r="V64" s="919" t="str">
        <f>IF(A64=FALSE,"",VLOOKUP($U$15:$U$120,Currency!$A$2:$D$10,4,0)*Detail!Q64)</f>
        <v/>
      </c>
      <c r="W64" s="1355" t="str">
        <f>IF(A64=FALSE,"",IF(IT64=0,Detail!R64&amp;"/"&amp;EX64,Detail!R64&amp;"/"&amp;IT64))</f>
        <v/>
      </c>
      <c r="X64" s="919" t="str">
        <f>IF(A64=FALSE,"",IF(LISTES!$C$17="Crewlist",Calcul!T64,Calcul!V64))</f>
        <v/>
      </c>
      <c r="Y64" s="758" t="str">
        <f t="shared" si="417"/>
        <v/>
      </c>
      <c r="Z64" s="758" t="str">
        <f>IF(A64=FALSE,"",IF(X64=0,0,IF((Cotations!BC64*12*X64)&lt;50000,50000,(12*X64))))</f>
        <v/>
      </c>
      <c r="AA64" s="758" t="str">
        <f t="shared" si="418"/>
        <v/>
      </c>
      <c r="AB64" s="758" t="str">
        <f>IF(A64=FALSE,"",IF(Crewlist!O64=0,"",Crewlist!O64))</f>
        <v/>
      </c>
      <c r="AC64" s="758" t="str">
        <f>IF(I64="","",VLOOKUP($AB$15:$AB$120,Currency!$A$15:$B$34,2,0))</f>
        <v/>
      </c>
      <c r="AD64" s="758" t="str">
        <f t="shared" si="419"/>
        <v/>
      </c>
      <c r="AE64" s="758" t="str">
        <f t="shared" si="420"/>
        <v/>
      </c>
      <c r="AF64" s="758" t="str">
        <f t="shared" si="421"/>
        <v/>
      </c>
      <c r="AG64" s="758" t="str">
        <f t="shared" si="422"/>
        <v/>
      </c>
      <c r="AH64" s="1355" t="str">
        <f t="shared" si="434"/>
        <v/>
      </c>
      <c r="AI64" s="919" t="str">
        <f t="shared" si="423"/>
        <v/>
      </c>
      <c r="AJ64" s="1382" t="str">
        <f t="shared" si="424"/>
        <v/>
      </c>
      <c r="AK64" s="1382" t="str">
        <f t="shared" si="425"/>
        <v/>
      </c>
      <c r="AL64" s="238" t="str">
        <f t="shared" si="435"/>
        <v/>
      </c>
      <c r="AM64" s="238" t="str">
        <f t="shared" si="436"/>
        <v/>
      </c>
      <c r="AN64" s="1374" t="str">
        <f t="shared" si="437"/>
        <v/>
      </c>
      <c r="AO64" s="238" t="str">
        <f t="shared" si="438"/>
        <v/>
      </c>
      <c r="AP64" s="342" t="str">
        <f>IF(A64=FALSE,"",INDEX(Rates!$Z$5:$Z$367,MATCH(EB64,colchoice,0)))</f>
        <v/>
      </c>
      <c r="AQ64" s="238" t="str">
        <f t="shared" si="439"/>
        <v/>
      </c>
      <c r="AR64" s="238" t="str">
        <f t="shared" si="440"/>
        <v/>
      </c>
      <c r="AS64" s="238" t="str">
        <f t="shared" si="441"/>
        <v/>
      </c>
      <c r="AT64" s="238" t="str">
        <f t="shared" si="442"/>
        <v/>
      </c>
      <c r="AU64" s="238" t="str">
        <f t="shared" si="443"/>
        <v/>
      </c>
      <c r="AV64" s="238" t="str">
        <f t="shared" si="429"/>
        <v/>
      </c>
      <c r="AW64" s="238" t="str">
        <f t="shared" si="444"/>
        <v/>
      </c>
      <c r="AX64" s="238" t="str">
        <f t="shared" si="445"/>
        <v/>
      </c>
      <c r="AY64" s="238" t="str">
        <f t="shared" si="446"/>
        <v/>
      </c>
      <c r="AZ64" s="238" t="str">
        <f t="shared" si="447"/>
        <v/>
      </c>
      <c r="BA64" s="238" t="str">
        <f t="shared" si="448"/>
        <v/>
      </c>
      <c r="BB64" s="552" t="str">
        <f t="shared" si="449"/>
        <v/>
      </c>
      <c r="BC64" s="347" t="str">
        <f t="shared" si="450"/>
        <v/>
      </c>
      <c r="BD64" s="239" t="str">
        <f t="shared" si="430"/>
        <v/>
      </c>
      <c r="BE64" s="239" t="str">
        <f>IF(A64=FALSE,"",IF(ALLTHESAME=TRUE,IF(DF64&lt;&gt;$BC$7,0,INDEX(DD64:DZ64,1,MATCH(Structure!$D$12,$DD$14:$DZ$14,0))),IF(EC64&lt;&gt;$BC$7,0,INDEX(EA64:EZ64,1,MATCH(Structure!$D$12,$EA$14:$EZ$14,0)))))</f>
        <v/>
      </c>
      <c r="BF64" s="239" t="str">
        <f>IF(A64=FALSE,"",IF(ALLTHESAME=TRUE,IF(FC64&lt;&gt;$BC$7,0,INDEX(FA64:FZ64,1,MATCH(Structure!$D$12,$FA$14:$FZ$14,0))),IF(GC64&lt;&gt;$BC$7,0,INDEX(GA64:GZ64,1,MATCH(Structure!$D$12,$GA$14:$GZ$14,0)))))</f>
        <v/>
      </c>
      <c r="BG64" s="239" t="str">
        <f>IF(A64=FALSE,"",IF(ALLTHESAME=TRUE,IF(VC64&lt;&gt;$BC$7,0,INDEX(VA64:VZ64,1,MATCH(Structure!$D$12,$VA$14:$VZ$14,0))),IF(VC64&lt;&gt;$BC$7,0,INDEX(VA64:VZ64,1,MATCH(Structure!$D$12,$VA$14:$VZ$14,0)))))</f>
        <v/>
      </c>
      <c r="BH64" s="239" t="str">
        <f>IF(A64=FALSE,"",IF(ALLTHESAME=TRUE,IF(WC64&lt;&gt;$BC$7,0,INDEX(WA64:WY64,1,MATCH(Structure!$D$12,$WA$14:$WZ$14,0))),IF(WC64&lt;&gt;$BC$7,0,INDEX(WA64:WZ64,1,MATCH(Structure!$D$12,$WA$14:$WZ$14,0)))))</f>
        <v/>
      </c>
      <c r="BI64" s="763" t="str">
        <f>IF(A64=FALSE,"",IF(ALLTHESAME=TRUE,IF(HC64&lt;&gt;$BC$7,0,INDEX(HA64:HZ64,1,MATCH(Structure!$D$12,$HA$14:$HZ$14,0)))+TK64,IF(IC64&lt;&gt;$BC$7,0,INDEX(IA64:IZ64,1,MATCH(Structure!$D$12,$IA$14:$IZ$14,0)))+TK64))</f>
        <v/>
      </c>
      <c r="BJ64" s="239" t="str">
        <f>IF(A64=FALSE,"",IF(ALLTHESAME=TRUE,IF(JC64&lt;&gt;$BC$7,0,INDEX(JA64:JZ64,1,MATCH(Structure!$D$12,$JA$14:$JZ$14,0))),IF(KC64&lt;&gt;$BC$7,0,INDEX(KA64:KZ64,1,MATCH(Structure!$D$12,$KA$14:$KZ$14,0)))))</f>
        <v/>
      </c>
      <c r="BK64" s="763" t="str">
        <f>IF(A64=FALSE,"",IF(ALLTHESAME=TRUE,IF(LC64&lt;&gt;$BC$7,0,INDEX(LA64:LZ64,1,MATCH(Structure!$D$12,$LA$14:$LZ$14,0)))+UK64,IF(MC64&lt;&gt;$BC$7,0,INDEX(MA64:MZ64,1,MATCH(Structure!$D$12,$MA$14:$MZ$14,0)))+UK64))</f>
        <v/>
      </c>
      <c r="BL64" s="239" t="str">
        <f>IF(A64=FALSE,"",IF(ALLTHESAME=TRUE,IF(NC64&lt;&gt;$BC$7,0,INDEX(NA64:NZ64,1,MATCH(Structure!$D$12,$NA$14:$NZ$14,0))),IF(OC64&lt;&gt;$BC$7,0,INDEX(OA64:OZ64,1,MATCH(Structure!$D$12,$OA$14:$OZ$14,0)))))</f>
        <v/>
      </c>
      <c r="BM64" s="239" t="str">
        <f>IF(A64=FALSE,"",IF(ALLTHESAME=TRUE,IF(PC64&lt;&gt;$BC$7,0,INDEX(PA64:PZ64,1,MATCH(Structure!$D$12,$PA$14:$PZ$14,0))),IF(QC64&lt;&gt;$BC$7,0,INDEX(QA64:QZ64,1,MATCH(Structure!$D$12,$QA$14:$QZ$14,0)))))</f>
        <v/>
      </c>
      <c r="BN64" s="341" t="str">
        <f>IF(A64=FALSE,"",IF(ALLTHESAME=TRUE,IF(RC64&lt;&gt;$BC$7,0,INDEX(RA64:RZ64,1,MATCH(Structure!$D$12,$RA$14:$RZ$14,0))),IF(SC64&lt;&gt;$BC$7,0,INDEX(SA64:TA64,1,MATCH(Structure!$D$12,$SA$14:$TA$14,0)))))</f>
        <v/>
      </c>
      <c r="BO64" s="507" t="str">
        <f t="shared" si="451"/>
        <v/>
      </c>
      <c r="BP64" s="239" t="str">
        <f t="shared" si="452"/>
        <v/>
      </c>
      <c r="BQ64" s="239" t="str">
        <f>IF(A64=FALSE,"",IF(ALLTHESAME=TRUE,IF(DF64&lt;&gt;$BO$7,0,INDEX(DD64:DZ64,1,MATCH(Structure!$D$12,$DD$14:$DZ$14,0))),IF(EC64&lt;&gt;$BO$7,0,INDEX(EA64:EZ64,1,MATCH(Structure!$D$12,$EA$14:$EZ$14,0)))))</f>
        <v/>
      </c>
      <c r="BR64" s="239" t="str">
        <f>IF(A64=FALSE,"",IF(ALLTHESAME=TRUE,IF(FC64&lt;&gt;$BO$7,0,INDEX(FA64:FZ64,1,MATCH(Structure!$D$12,$FA$14:$FZ$14,0))),IF(GC64&lt;&gt;$BO$7,0,INDEX(GA64:GZ64,1,MATCH(Structure!$D$12,$GA$14:$GZ$14,0)))))</f>
        <v/>
      </c>
      <c r="BS64" s="239" t="str">
        <f>IF(A64=FALSE,"",IF(ALLTHESAME=TRUE,IF(HC64&lt;&gt;$BO$7,0,INDEX(HA64:HZ64,1,MATCH(Structure!$D$12,$HA$14:$HZ$14,0))),IF(IC64&lt;&gt;$BO$7,0,INDEX(IA64:IZ64,1,MATCH(Structure!$D$12,$IA$14:$IZ$14,0)))))</f>
        <v/>
      </c>
      <c r="BT64" s="239" t="str">
        <f>IF(A64=FALSE,"",IF(ALLTHESAME=TRUE,IF(JC64&lt;&gt;$BO$7,0,INDEX(JA64:JZ64,1,MATCH(Structure!$D$12,$JA$14:$JZ$14,0))),IF(KC64&lt;&gt;$BO$7,0,INDEX(KA64:KZ64,1,MATCH(Structure!$D$12,$KA$14:$KZ$14,0)))))</f>
        <v/>
      </c>
      <c r="BU64" s="239" t="str">
        <f>IF(A64=FALSE,"",IF(ALLTHESAME=TRUE,IF(LC64&lt;&gt;$BO$7,0,INDEX(LA64:LZ64,1,MATCH(Structure!$D$12,$LA$14:$LZ$14,0))),IF(MC64&lt;&gt;$BO$7,0,INDEX(MA64:MZ64,1,MATCH(Structure!$D$12,$MA$14:$MZ$14,0)))))</f>
        <v/>
      </c>
      <c r="BV64" s="239" t="str">
        <f>IF(A64=FALSE,"",IF(ALLTHESAME=TRUE,IF(NC64&lt;&gt;$BO$7,0,INDEX(NA64:NZ64,1,MATCH(Structure!$D$12,$NA$14:$NZ$14,0))),IF(OC64&lt;&gt;$BO$7,0,INDEX(OA64:OZ64,1,MATCH(Structure!$D$12,$OA$14:$OZ$14,0)))))</f>
        <v/>
      </c>
      <c r="BW64" s="239" t="str">
        <f>IF(A64=FALSE,"",IF(ALLTHESAME=TRUE,IF(PC64&lt;&gt;$BO$7,0,INDEX(PA64:PZ64,1,MATCH(Structure!$D$12,$PA$14:$PZ$14,0))),IF(QC64&lt;&gt;$BO$7,0,INDEX(QA64:QZ64,1,MATCH(Structure!$D$12,$QA$14:$QZ$14,0)))))</f>
        <v/>
      </c>
      <c r="BX64" s="341" t="str">
        <f>IF(A64=FALSE,"",IF(ALLTHESAME=TRUE,IF(RC64&lt;&gt;$BO$7,0,INDEX(RA64:RZ64,1,MATCH(Structure!$D$12,$RA$14:$RZ$14,0))),IF(SC64&lt;&gt;$BO$7,0,INDEX(SA64:TA64,1,MATCH(Structure!$D$12,$SA$14:$TA$14,0)))))</f>
        <v/>
      </c>
      <c r="BY64" s="347" t="str">
        <f t="shared" si="453"/>
        <v/>
      </c>
      <c r="BZ64" s="507" t="str">
        <f t="shared" si="454"/>
        <v/>
      </c>
      <c r="CA64" s="239" t="str">
        <f t="shared" si="455"/>
        <v/>
      </c>
      <c r="CB64" s="239" t="str">
        <f>IF(A64=FALSE,"",IF(ALLTHESAME=TRUE,INDEX(DD64:DZ64,MATCH(DF64,DF64:DF169,0),MATCH(Structure!$D$17,$DD$14:$DZ$14,0)),INDEX(EA64:EZ64,MATCH(EC64,EC64:EC169,0),MATCH(Structure!$D$17,$EA$14:$EZ$14,0))))</f>
        <v/>
      </c>
      <c r="CC64" s="239" t="str">
        <f>IF(A64=FALSE,"",IF(ALLTHESAME=TRUE,INDEX(FA64:FZ64,MATCH(FC64,FC64:FC169,0),MATCH(Structure!$D$17,$FA$14:$FZ$14,0)),INDEX(GA64:GZ64,MATCH(GC64,GC64:GC169,0),MATCH(Structure!$D$17,$GA$14:$GZ$14,0))))</f>
        <v/>
      </c>
      <c r="CD64" s="239" t="str">
        <f>IF(A64=FALSE,"",IF(ALLTHESAME=TRUE,INDEX(HA64:HZ64,MATCH(HC64,HC64:HC169,0),MATCH(Structure!$D$17,$HA$14:$HZ$14,0)),INDEX(IA64:IZ64,MATCH(IC64,IC64:IC169,0),MATCH(Structure!$D$17,$IA$14:$IZ$14,0))))</f>
        <v/>
      </c>
      <c r="CE64" s="239" t="str">
        <f>IF(A64=FALSE,"",IF(ALLTHESAME=TRUE,INDEX(JA64:JZ64,MATCH(JC64,JC64:JC169,0),MATCH(Structure!$D$17,$JA$14:$JZ$14,0)),INDEX(KA64:KZ64,MATCH(KC64,KC64:KC169,0),MATCH(Structure!$D$17,$KA$14:$KZ$14,0))))</f>
        <v/>
      </c>
      <c r="CF64" s="239" t="str">
        <f>IF(A64=FALSE,"",IF(ALLTHESAME=TRUE,INDEX(LA64:LZ64,MATCH(LC64,LC64:LC169,0),MATCH(Structure!$D$17,$LA$14:$LZ$14,0)),INDEX(MA64:MZ64,MATCH(MC64,MC64:MC169,0),MATCH(Structure!$D$17,$MA$14:$MZ$14,0))))</f>
        <v/>
      </c>
      <c r="CG64" s="239" t="str">
        <f>IF(A64=FALSE,"",IF(ALLTHESAME=TRUE,INDEX(NA64:NZ64,MATCH(NC64,NC64:NC169,0),MATCH(Structure!$D$17,$NA$14:$NZ$14,0)),INDEX(OA64:OZ64,MATCH(OC64,OC64:OC169,0),MATCH(Structure!$D$17,$OA$14:$OZ$14,0))))</f>
        <v/>
      </c>
      <c r="CH64" s="239" t="str">
        <f>IF(A64=FALSE,"",IF(ALLTHESAME=TRUE,INDEX(PA64:PZ64,MATCH(PC64,PC64:PC169,0),MATCH(Structure!$D$17,$PA$14:$PZ$14,0)),INDEX(QA64:QZ64,MATCH(QC64,QC64:QC169,0),MATCH(Structure!$D$17,$QA$14:$QZ$14,0))))</f>
        <v/>
      </c>
      <c r="CI64" s="341" t="str">
        <f>IF(A64=FALSE,"",IF(ALLTHESAME=TRUE,INDEX(RA64:RZ64,MATCH(RC64,RC64:RC169,0),MATCH(Structure!$D$17,$RA$14:$RZ$14,0)),INDEX(SA64:TC64,MATCH(SC64,SC64:SC169,0),MATCH(Structure!$D$17,$SA$14:$TC$14,0))))</f>
        <v/>
      </c>
      <c r="CJ64" s="347"/>
      <c r="CK64" s="239" t="str">
        <f t="shared" si="456"/>
        <v/>
      </c>
      <c r="CL64" s="239" t="str">
        <f>IF(A64=FALSE,"",IF(ALLTHESAME=TRUE,INDEX(DD64:DZ64,MATCH(DF64,DF64:DF169,0),MATCH(Structure!$D$22,$DD$14:$DZ$14,0)),INDEX(EA64:EZ64,MATCH(EC64,EC64:EC169,0),MATCH(Structure!$D$22,$EA$14:$EZ$14,0))))</f>
        <v/>
      </c>
      <c r="CM64" s="239" t="str">
        <f>IF(A64=FALSE,"",IF(ALLTHESAME=TRUE,INDEX(FA64:FZ64,MATCH(FC64,FC64:FC169,0),MATCH(Structure!$D$22,$FA$14:$FZ$14,0)),INDEX(GA64:GZ64,MATCH(GC64,GC64:GC169,0),MATCH(Structure!$D$22,$GA$14:$GZ$14,0))))</f>
        <v/>
      </c>
      <c r="CN64" s="239" t="str">
        <f>IF(A64=FALSE,"",IF(ALLTHESAME=TRUE,INDEX(HA64:HZ64,MATCH(HC64,HC64:HC169,0),MATCH(Structure!$D$22,$HA$14:$HZ$14,0)),INDEX(IA64:IZ64,MATCH(IC64,IC64:IC169,0),MATCH(Structure!$D$22,$IA$14:$IZ$14,0))))</f>
        <v/>
      </c>
      <c r="CO64" s="239" t="str">
        <f>IF(A64=FALSE,"",IF(ALLTHESAME=TRUE,INDEX(JA64:JZ64,MATCH(JC64,JC64:JC169,0),MATCH(Structure!$D$22,$JA$14:$JZ$14,0)),INDEX(KA64:KZ64,MATCH(KC64,KC64:KC169,0),MATCH(Structure!$D$22,$KA$14:$KZ$14,0))))</f>
        <v/>
      </c>
      <c r="CP64" s="239" t="str">
        <f>IF(A64=FALSE,"",IF(ALLTHESAME=TRUE,INDEX(LA64:LZ64,MATCH(LC64,LC64:LC169,0),MATCH(Structure!$D$22,$LA$14:$LZ$14,0)),INDEX(MA64:MZ64,MATCH(MC64,MC64:MC169,0),MATCH(Structure!$D$22,$MA$14:$MZ$14,0))))</f>
        <v/>
      </c>
      <c r="CQ64" s="239" t="str">
        <f>IF(A64=FALSE,"",IF(ALLTHESAME=TRUE,INDEX(NA64:NZ64,MATCH(NC64,NC64:NC169,0),MATCH(Structure!$D$22,$NA$14:$NZ$14,0)),INDEX(OA64:OZ64,MATCH(OC64,OC64:OC169,0),MATCH(Structure!$D$22,$OA$14:$OZ$14,0))))</f>
        <v/>
      </c>
      <c r="CR64" s="239" t="str">
        <f>IF(A64=FALSE,"",IF(ALLTHESAME=TRUE,INDEX(PA64:PZ64,MATCH(PC64,PC64:PC169,0),MATCH(Structure!$D$22,$PA$14:$PZ$14,0)),INDEX(QA64:QZ64,MATCH(QC64,QC64:QC169,0),MATCH(Structure!$D$22,$QA$14:$QZ$14,0))))</f>
        <v/>
      </c>
      <c r="CS64" s="341" t="str">
        <f>IF(A64=FALSE,"",IF(ALLTHESAME=TRUE,INDEX(RA64:RZ64,MATCH(RC64,RC64:RC169,0),MATCH(Structure!$D$22,$RA$14:$RZ$14,0)),INDEX(SA64:TC64,MATCH(SC64,SC64:SC169,0),MATCH(Structure!$D$22,$SA$14:$TC$14,0))))</f>
        <v/>
      </c>
      <c r="CT64" s="347"/>
      <c r="CU64" s="239" t="str">
        <f t="shared" si="457"/>
        <v/>
      </c>
      <c r="CV64" s="239" t="str">
        <f>IF(A64=FALSE,"",IF(ALLTHESAME=TRUE,INDEX(DD64:DZ64,MATCH(DF64,DF64:DF169,0),MATCH(Structure!$D$8,$DD$14:$DZ$14,0)),INDEX(EA64:EZ64,MATCH(EC64,EC64:EC169,0),MATCH(Structure!$D$8,$EA$14:$EZ$14,0))))</f>
        <v/>
      </c>
      <c r="CW64" s="239" t="str">
        <f>IF(A64=FALSE,"",IF(ALLTHESAME=TRUE,INDEX(FA64:FZ64,MATCH(FC64,FC64:FC169,0),MATCH(Structure!$D$8,$FA$14:$FZ$14,0)),INDEX(GA64:GZ64,MATCH(GC64,GC64:GC169,0),MATCH(Structure!$D$8,$GA$14:$GZ$14,0))))</f>
        <v/>
      </c>
      <c r="CX64" s="239" t="str">
        <f>IF(A64=FALSE,"",IF(ALLTHESAME=TRUE,INDEX(HA64:HZ64,MATCH(HC64,HC64:HC169,0),MATCH(Structure!$D$8,$HA$14:$HZ$14,0)),INDEX(IA64:IZ64,MATCH(IC64,IC64:IC169,0),MATCH(Structure!$D$8,$IA$14:$IZ$14,0))))</f>
        <v/>
      </c>
      <c r="CY64" s="239" t="str">
        <f>IF(A64=FALSE,"",IF(ALLTHESAME=TRUE,INDEX(JA64:JZ64,MATCH(JC64,JC64:JC169,0),MATCH(Structure!$D$8,$JA$14:$JZ$14,0)),INDEX(KA64:KZ64,MATCH(KC64,KC64:KC169,0),MATCH(Structure!$D$8,$KA$14:$KZ$14,0))))</f>
        <v/>
      </c>
      <c r="CZ64" s="239" t="str">
        <f>IF(A64=FALSE,"",IF(ALLTHESAME=TRUE,INDEX(LA64:LZ64,MATCH(LC64,LC64:LC169,0),MATCH(Structure!$D$8,$LA$14:$LZ$14,0)),INDEX(MA64:MZ64,MATCH(MC64,MC64:MC169,0),MATCH(Structure!$D$8,$MA$14:$MZ$14,0))))</f>
        <v/>
      </c>
      <c r="DA64" s="239" t="str">
        <f>IF(A64=FALSE,"",IF(ALLTHESAME=TRUE,INDEX(NA64:NZ64,MATCH(NC64,NC64:NC169,0),MATCH(Structure!$D$8,$NA$14:$NZ$14,0)),INDEX(OA64:OZ64,MATCH(OC64,OC64:OC169,0),MATCH(Structure!$D$8,$OA$14:$OZ$14,0))))</f>
        <v/>
      </c>
      <c r="DB64" s="239" t="str">
        <f>IF(A64=FALSE,"",IF(ALLTHESAME=TRUE,INDEX(PA64:PZ64,MATCH(PC64,PC64:PC169,0),MATCH(Structure!$D$8,$PA$14:$PZ$14,0)),INDEX(QA64:QZ64,MATCH(QC64,QC64:QC169,0),MATCH(Structure!$D$8,$QA$14:$QZ$14,0))))</f>
        <v/>
      </c>
      <c r="DC64" s="341" t="str">
        <f>IF(A64=FALSE,"",IF(ALLTHESAME=TRUE,INDEX(RA64:RZ64,MATCH(RC64,RC64:RC169,0),MATCH(Structure!$D$8,$RA$14:$RZ$14,0)),INDEX(SA64:TC64,MATCH(SC64,SC64:SC169,0),MATCH(Structure!$D$8,$SA$14:$TC$14,0))))</f>
        <v/>
      </c>
      <c r="DD64" s="492" t="str">
        <f>IF(A64=FALSE,"",Cotations!D64)</f>
        <v/>
      </c>
      <c r="DE64" s="492" t="str">
        <f>IF(A64=FALSE,"",IF(LISTES!$A$17=1,Cotations!AF64,Cotations!$AG$4))</f>
        <v/>
      </c>
      <c r="DF64" s="291" t="str">
        <f t="shared" si="458"/>
        <v/>
      </c>
      <c r="DG64" s="291" t="str">
        <f t="shared" si="459"/>
        <v/>
      </c>
      <c r="DH64" s="291"/>
      <c r="DI64" s="463"/>
      <c r="DJ64" s="463" t="str">
        <f t="shared" si="460"/>
        <v/>
      </c>
      <c r="DK64" s="522" t="str">
        <f>IF(A64=FALSE,"",IF(Cotations!$AH$4="monthly",DJ64/12*L64,DJ64/365*M64))</f>
        <v/>
      </c>
      <c r="DL64" s="489" t="str">
        <f>IF(A64=FALSE,"",Cotations!$AI$4)</f>
        <v/>
      </c>
      <c r="DM64" s="300" t="str">
        <f t="shared" si="461"/>
        <v/>
      </c>
      <c r="DN64" s="300" t="str">
        <f t="shared" si="462"/>
        <v/>
      </c>
      <c r="DO64" s="294" t="str">
        <f t="shared" si="463"/>
        <v/>
      </c>
      <c r="DP64" s="494" t="str">
        <f>IF(A64=FALSE,"",Cotations!$AJ$4)</f>
        <v/>
      </c>
      <c r="DQ64" s="494" t="str">
        <f>IF(A64=FALSE,"",Cotations!$AK$4)</f>
        <v/>
      </c>
      <c r="DR64" s="489" t="str">
        <f>IF(A64=FALSE,"",Cotations!$AL$4)</f>
        <v/>
      </c>
      <c r="DS64" s="494" t="str">
        <f>IF(A64=FALSE,"",IF(DP64="N/A",0,IF(INDEX(LISTES!$F$105:$F$109,MATCH(DP64,LISTES!$C$105:$C$109,0))="FIX",IF(INDEX(LISTES!$E$105:$E$109,MATCH(DP64,LISTES!$C$105:$C$109,0))=12,DQ64/12*L64,DQ64/365*M64),DR64*DO64)))</f>
        <v/>
      </c>
      <c r="DT64" s="294" t="str">
        <f t="shared" si="464"/>
        <v/>
      </c>
      <c r="DU64" s="294" t="str">
        <f>IF(A64=FALSE,"",DT64*Cotations!$AM$4)</f>
        <v/>
      </c>
      <c r="DV64" s="294" t="str">
        <f>IF(A64=FALSE,"",DT64*Cotations!$AN$4)</f>
        <v/>
      </c>
      <c r="DW64" s="465" t="str">
        <f t="shared" si="465"/>
        <v/>
      </c>
      <c r="DX64" s="919" t="str">
        <f>IF(A64=FALSE,"",((DJ64*TAXE)-(DJ64*TAXE*DL64))+IF(DP64="N/A",0,IF(INDEX(LISTES!$F$105:$F$109,MATCH(DP64,LISTES!$C$105:$C$109,0))="FIX",DQ64,DR64*DO64)))</f>
        <v/>
      </c>
      <c r="DY64" s="466"/>
      <c r="DZ64" s="466"/>
      <c r="EA64" s="492" t="str">
        <f>IF(A64=FALSE,"",Cotations!D64)</f>
        <v/>
      </c>
      <c r="EB64" s="494" t="str">
        <f>IF(A64=FALSE,"",IF(LISTES!$A$17=1,Cotations!AF64,Cotations!AG64))</f>
        <v/>
      </c>
      <c r="EC64" s="284" t="str">
        <f t="shared" si="466"/>
        <v/>
      </c>
      <c r="ED64" s="284" t="str">
        <f t="shared" si="467"/>
        <v/>
      </c>
      <c r="EE64" s="284"/>
      <c r="EF64" s="284"/>
      <c r="EG64" s="284" t="str">
        <f t="shared" si="468"/>
        <v/>
      </c>
      <c r="EH64" s="1365" t="str">
        <f t="shared" si="469"/>
        <v/>
      </c>
      <c r="EI64" s="1365" t="str">
        <f t="shared" si="470"/>
        <v/>
      </c>
      <c r="EJ64" s="515" t="str">
        <f>IF(A64=FALSE,"",IF(Cotations!AH64="monthly",EG64/12*L64,EG64/365*M64))</f>
        <v/>
      </c>
      <c r="EK64" s="1364" t="str">
        <f>IF(A64=FALSE,"",IF(Cotations!AH64="monthly",EI64/12*L64,EI64/365*M64))</f>
        <v/>
      </c>
      <c r="EL64" s="493" t="str">
        <f>IF(A64=FALSE,"",IF(Cotations!AI64="","",Cotations!AI64))</f>
        <v/>
      </c>
      <c r="EM64" s="284" t="str">
        <f t="shared" si="471"/>
        <v/>
      </c>
      <c r="EN64" s="284" t="str">
        <f t="shared" si="472"/>
        <v/>
      </c>
      <c r="EO64" s="1365" t="str">
        <f t="shared" si="432"/>
        <v/>
      </c>
      <c r="EP64" s="284" t="str">
        <f t="shared" si="473"/>
        <v/>
      </c>
      <c r="EQ64" s="515" t="str">
        <f>IF(A64=FALSE,"",Cotations!AJ64)</f>
        <v/>
      </c>
      <c r="ER64" s="515" t="str">
        <f>IF(A64=FALSE,"",IF(Cotations!AK64="","",Cotations!AK64))</f>
        <v/>
      </c>
      <c r="ES64" s="493" t="str">
        <f>IF(A64=FALSE,"",Cotations!AL64)</f>
        <v/>
      </c>
      <c r="ET64" s="515" t="str">
        <f>IF(A64=FALSE,"",IF(EQ64="N/A",0,IF(INDEX(LISTES!$F$105:$F$109,MATCH(EQ64,LISTES!$C$105:$C$109,0))="FIX",IF(INDEX(LISTES!$E$105:$E$109,MATCH(EQ64,LISTES!$C$105:$C$109,0))=12,ER64/12*L64,ER64/365*M64),ES64*EP64)))</f>
        <v/>
      </c>
      <c r="EU64" s="294" t="str">
        <f t="shared" si="474"/>
        <v/>
      </c>
      <c r="EV64" s="494" t="str">
        <f>IF(A64=FALSE,"",EU64*Cotations!AM64)</f>
        <v/>
      </c>
      <c r="EW64" s="494" t="str">
        <f>IF(A64=FALSE,"",EU64*Cotations!AN64)</f>
        <v/>
      </c>
      <c r="EX64" s="334" t="str">
        <f t="shared" si="475"/>
        <v/>
      </c>
      <c r="EY64" s="919" t="str">
        <f>IF(A64=FALSE,"",((EG64*TAXE)-(EG64*TAXE*EL64)+EH64)+IF(EQ64="N/A",0,IF(INDEX(LISTES!$F$105:$F$109,MATCH(EQ64,LISTES!$C$105:$C$109,0))="FIX",ER64,ES64*EP64)))</f>
        <v/>
      </c>
      <c r="FA64" s="492" t="str">
        <f>IF(A64=FALSE,"",Cotations!D64)</f>
        <v/>
      </c>
      <c r="FB64" s="519" t="str">
        <f>IF(A64=FALSE,"",IF(LISTES!$A$17=1,Cotations!AO64,Cotations!$AP$4))</f>
        <v/>
      </c>
      <c r="FC64" s="291" t="str">
        <f t="shared" si="476"/>
        <v/>
      </c>
      <c r="FD64" s="291" t="str">
        <f t="shared" si="477"/>
        <v/>
      </c>
      <c r="FE64" s="291"/>
      <c r="FF64" s="463"/>
      <c r="FG64" s="463" t="str">
        <f t="shared" si="478"/>
        <v/>
      </c>
      <c r="FH64" s="522" t="str">
        <f>IF(A64=FALSE,"",IF(Cotations!$AQ$4="monthly",FG64/12*L64,FG64/365*M64))</f>
        <v/>
      </c>
      <c r="FI64" s="453" t="str">
        <f>IF(A64=FALSE,"",Cotations!$AR$4)</f>
        <v/>
      </c>
      <c r="FJ64" s="300" t="str">
        <f t="shared" si="479"/>
        <v/>
      </c>
      <c r="FK64" s="300" t="str">
        <f t="shared" si="480"/>
        <v/>
      </c>
      <c r="FL64" s="294" t="str">
        <f t="shared" si="481"/>
        <v/>
      </c>
      <c r="FM64" s="494" t="str">
        <f>IF(A64=FALSE,"",Cotations!$AS$4)</f>
        <v/>
      </c>
      <c r="FN64" s="494" t="str">
        <f>IF(A64=FALSE,"",Cotations!$AT$4)</f>
        <v/>
      </c>
      <c r="FO64" s="489" t="str">
        <f>IF(A64=FALSE,"",Cotations!$AU$4)</f>
        <v/>
      </c>
      <c r="FP64" s="494" t="str">
        <f>IF(A64=FALSE,"",IF(FM64="N/A",0,IF(INDEX(LISTES!$F$105:$F$109,MATCH(FM64,LISTES!$C$105:$C$109,0))="FIX",IF(INDEX(LISTES!$E$105:$E$109,MATCH(FM64,LISTES!$C$105:$C$109,0))=12,FN64/12*L64,FN64/365*M64),FO64*FL64)))</f>
        <v/>
      </c>
      <c r="FQ64" s="294" t="str">
        <f t="shared" si="482"/>
        <v/>
      </c>
      <c r="FR64" s="494" t="str">
        <f>IF(A64=FALSE,"",FQ64*Cotations!$AV$4)</f>
        <v/>
      </c>
      <c r="FS64" s="494" t="str">
        <f>IF(A64=FALSE,"",FQ64*Cotations!$AW$4)</f>
        <v/>
      </c>
      <c r="FT64" s="465" t="str">
        <f t="shared" si="483"/>
        <v/>
      </c>
      <c r="FU64" s="919" t="str">
        <f>IF(A64=FALSE,"",((FG64*TAXE)-(FG64*TAXE*FI64))+IF(FM64="N/A",0,IF(INDEX(LISTES!$F$105:$F$109,MATCH(FM64,LISTES!$C$105:$C$109,0))="FIX",FN64,FO64*FL64)))</f>
        <v/>
      </c>
      <c r="FV64" s="478"/>
      <c r="FW64" s="478"/>
      <c r="FX64" s="478"/>
      <c r="FY64" s="478"/>
      <c r="FZ64" s="478"/>
      <c r="GA64" s="492" t="str">
        <f>IF(A64=FALSE,"",Cotations!D64)</f>
        <v/>
      </c>
      <c r="GB64" s="494" t="str">
        <f>IF(A64=FALSE,"",IF(LISTES!$A$17=1,Cotations!AO64,Cotations!AP64))</f>
        <v/>
      </c>
      <c r="GC64" s="284" t="str">
        <f t="shared" si="484"/>
        <v/>
      </c>
      <c r="GD64" s="515" t="str">
        <f>IF(A64=FALSE,"",IF(Detail!AM64="","",Detail!AM64))</f>
        <v/>
      </c>
      <c r="GE64" s="284"/>
      <c r="GF64" s="284"/>
      <c r="GG64" s="284" t="str">
        <f t="shared" si="485"/>
        <v/>
      </c>
      <c r="GH64" s="515" t="str">
        <f>IF(A64=FALSE,"",IF(Cotations!AQ64="monthly",GG64/12*L64,GG64/365*M64))</f>
        <v/>
      </c>
      <c r="GI64" s="493" t="str">
        <f>IF(A64=FALSE,"",IF(Cotations!AR64="","",Cotations!AR64))</f>
        <v/>
      </c>
      <c r="GJ64" s="284" t="str">
        <f t="shared" si="486"/>
        <v/>
      </c>
      <c r="GK64" s="284" t="str">
        <f t="shared" si="487"/>
        <v/>
      </c>
      <c r="GL64" s="284" t="str">
        <f t="shared" si="488"/>
        <v/>
      </c>
      <c r="GM64" s="515" t="str">
        <f>IF(A64=FALSE,"",Cotations!AS64)</f>
        <v/>
      </c>
      <c r="GN64" s="515" t="str">
        <f>IF(A64=FALSE,"",Cotations!AT64)</f>
        <v/>
      </c>
      <c r="GO64" s="493" t="str">
        <f>IF(A64=FALSE,"",Cotations!AU64)</f>
        <v/>
      </c>
      <c r="GP64" s="515" t="str">
        <f>IF(A64=FALSE,"",IF(GM64="N/A",0,IF(INDEX(LISTES!$F$105:$F$109,MATCH(GM64,LISTES!$C$105:$C$109,0))="FIX",IF(INDEX(LISTES!$E$105:$E$109,MATCH(GM64,LISTES!$C$105:$C$109,0))=12,GN64/12*L64,GN64/365*M64),GO64*GL64)))</f>
        <v/>
      </c>
      <c r="GQ64" s="294" t="str">
        <f t="shared" si="489"/>
        <v/>
      </c>
      <c r="GR64" s="494" t="str">
        <f>IF(A64=FALSE,"",GQ64*Cotations!AV64)</f>
        <v/>
      </c>
      <c r="GS64" s="494" t="str">
        <f>IF(A64=FALSE,"",GQ64*Cotations!AW64)</f>
        <v/>
      </c>
      <c r="GT64" s="334" t="str">
        <f t="shared" si="490"/>
        <v/>
      </c>
      <c r="GU64" s="919" t="str">
        <f>IF(A64=FALSE,"",((GG64*TAXE)-(GG64*TAXE*GI64))+IF(GM64="N/A",0,IF(INDEX(LISTES!$F$105:$F$109,MATCH(GM64,LISTES!$C$105:$C$109,0))="FIX",GN64,GO64*GL64)))</f>
        <v/>
      </c>
      <c r="GV64" s="478"/>
      <c r="GW64" s="466"/>
      <c r="GX64" s="466"/>
      <c r="GY64" s="466"/>
      <c r="GZ64" s="466"/>
      <c r="HA64" s="492" t="str">
        <f>IF(A64=FALSE,"",Cotations!D64)</f>
        <v/>
      </c>
      <c r="HB64" s="495" t="str">
        <f>IF(A64=FALSE,"",IF(LISTES!$A$17=1,Cotations!AX64,Cotations!$AY$4))</f>
        <v/>
      </c>
      <c r="HC64" s="291" t="str">
        <f t="shared" si="491"/>
        <v/>
      </c>
      <c r="HD64" s="291" t="str">
        <f t="shared" si="492"/>
        <v/>
      </c>
      <c r="HE64" s="456" t="str">
        <f t="shared" si="493"/>
        <v/>
      </c>
      <c r="HF64" s="496" t="str">
        <f>IF(A64=FALSE,"",IF(HA64="POEA",Cotations!BA64,IF(HA64="FIXE",Cotations!$BA$4,Cotations!$BC$4*Y64)))</f>
        <v/>
      </c>
      <c r="HG64" s="300" t="str">
        <f t="shared" si="494"/>
        <v/>
      </c>
      <c r="HH64" s="522" t="str">
        <f>IF(A64=FALSE,"",IF(Cotations!$AZ$4="monthly",HG64/12*L64,HG64/365*M64))</f>
        <v/>
      </c>
      <c r="HI64" s="489" t="str">
        <f>IF(A64=FALSE,"",Cotations!$BD$4)</f>
        <v/>
      </c>
      <c r="HJ64" s="300" t="str">
        <f t="shared" si="495"/>
        <v/>
      </c>
      <c r="HK64" s="300" t="str">
        <f t="shared" si="496"/>
        <v/>
      </c>
      <c r="HL64" s="294" t="str">
        <f t="shared" si="497"/>
        <v/>
      </c>
      <c r="HM64" s="494" t="str">
        <f>IF(A64=FALSE,"",Cotations!$BE$4)</f>
        <v/>
      </c>
      <c r="HN64" s="522" t="str">
        <f>IF(A64=FALSE,"",Cotations!$BF$4)</f>
        <v/>
      </c>
      <c r="HO64" s="489" t="str">
        <f>IF(A64=FALSE,"",Cotations!$BG$4)</f>
        <v/>
      </c>
      <c r="HP64" s="494" t="str">
        <f>IF(A64=FALSE,"",IF(HM64="N/A",0,IF(INDEX(LISTES!$F$105:$F$109,MATCH(HM64,LISTES!$C$105:$C$109,0))="FIX",IF(INDEX(LISTES!$E$105:$E$109,MATCH(HM64,LISTES!$C$105:$C$109,0))=12,HN64/12*L64,HN64/365*M64),HO64*HL64)))</f>
        <v/>
      </c>
      <c r="HQ64" s="294" t="str">
        <f t="shared" si="498"/>
        <v/>
      </c>
      <c r="HR64" s="494" t="str">
        <f>IF(A64=FALSE,"",HQ64*Cotations!$BH$4)</f>
        <v/>
      </c>
      <c r="HS64" s="494" t="str">
        <f>IF(A64=FALSE,"",HQ64*Cotations!$BI$4)</f>
        <v/>
      </c>
      <c r="HT64" s="294" t="str">
        <f t="shared" si="499"/>
        <v/>
      </c>
      <c r="HU64" s="919" t="str">
        <f>IF(A64=FALSE,"",((HG64*TAXE)-(HG64*TAXE*HI64))+IF(HM64="N/A",0,IF(INDEX(LISTES!$F$105:$F$109,MATCH(HM64,LISTES!$C$105:$C$109,0))="FIX",HN64,HO64*HL64)))</f>
        <v/>
      </c>
      <c r="IA64" s="492" t="str">
        <f>IF(A64=FALSE,"",Cotations!D64)</f>
        <v/>
      </c>
      <c r="IB64" s="491" t="str">
        <f>IF(A64=FALSE,"",IF(LISTES!$A$17=1,Cotations!AX64,Cotations!AY64))</f>
        <v/>
      </c>
      <c r="IC64" s="285" t="str">
        <f t="shared" si="500"/>
        <v/>
      </c>
      <c r="ID64" s="300" t="str">
        <f>IF(A64=FALSE,"",IF(LISTES!$A$17=3,Detail!AU64,lig1_Formula_PREVOY))</f>
        <v/>
      </c>
      <c r="IE64" s="461" t="str">
        <f t="shared" si="501"/>
        <v/>
      </c>
      <c r="IF64" s="490" t="str">
        <f>IF(A64=FALSE,"",IF(IA64="POEA",Cotations!BA64,IF(HA64="FIXE",Cotations!BB64,IF(Cotations!BC64*Y64&lt;50000,Z64,Cotations!BC64*Y64))))</f>
        <v/>
      </c>
      <c r="IG64" s="300" t="str">
        <f t="shared" si="502"/>
        <v/>
      </c>
      <c r="IH64" s="522" t="str">
        <f>IF(A64=FALSE,"",IF(Cotations!AZ64="monthly",IG64/12*L64,IG64/365*M64))</f>
        <v/>
      </c>
      <c r="II64" s="489" t="str">
        <f>IF(A64=FALSE,"",IF(Cotations!BD64="","",Cotations!BD64))</f>
        <v/>
      </c>
      <c r="IJ64" s="300" t="str">
        <f t="shared" si="503"/>
        <v/>
      </c>
      <c r="IK64" s="300" t="str">
        <f t="shared" si="504"/>
        <v/>
      </c>
      <c r="IL64" s="919" t="str">
        <f t="shared" si="505"/>
        <v/>
      </c>
      <c r="IM64" s="517" t="str">
        <f>IF(A64=FALSE,"",Cotations!BE64)</f>
        <v/>
      </c>
      <c r="IN64" s="517" t="str">
        <f>IF(A64=FALSE,"",Cotations!BF64)</f>
        <v/>
      </c>
      <c r="IO64" s="493" t="str">
        <f>IF(A64=FALSE,"",Cotations!BG64)</f>
        <v/>
      </c>
      <c r="IP64" s="517" t="str">
        <f>IF(A64=FALSE,"",IF(IM64="N/A",0,IF(INDEX(LISTES!$F$105:$F$109,MATCH(IM64,LISTES!$C$105:$C$109,0))="FIX",IF(INDEX(LISTES!$E$105:$E$109,MATCH(IM64,LISTES!$C$105:$C$109,0))=12,IN64/12*L64,IN64/365*M64),IO64*IL64)))</f>
        <v/>
      </c>
      <c r="IQ64" s="294" t="str">
        <f t="shared" si="506"/>
        <v/>
      </c>
      <c r="IR64" s="494" t="str">
        <f>IF(A64=FALSE,"",IQ64*Cotations!BH64)</f>
        <v/>
      </c>
      <c r="IS64" s="494" t="str">
        <f>IF(A64=FALSE,"",IQ64*Cotations!BI64)</f>
        <v/>
      </c>
      <c r="IT64" s="338" t="str">
        <f t="shared" si="507"/>
        <v/>
      </c>
      <c r="IU64" s="919" t="str">
        <f>IF(A64=FALSE,"",((IG64*TAXE)-(IG64*TAXE*II64))+IF(IM64="N/A",0,IF(INDEX(LISTES!$F$105:$F$109,MATCH(IM64,LISTES!$C$105:$C$109,0))="FIX",IN64,IO64*IL64)))</f>
        <v/>
      </c>
      <c r="JA64" s="492" t="str">
        <f>IF(A64=FALSE,"",Cotations!D64)</f>
        <v/>
      </c>
      <c r="JB64" s="495" t="str">
        <f>IF(A64=FALSE,"",IF(LISTES!$A$17=1,Cotations!BJ64,Cotations!$BK$4))</f>
        <v/>
      </c>
      <c r="JC64" s="291" t="str">
        <f t="shared" si="508"/>
        <v/>
      </c>
      <c r="JD64" s="291" t="str">
        <f t="shared" si="509"/>
        <v/>
      </c>
      <c r="JE64" s="456" t="str">
        <f t="shared" si="510"/>
        <v/>
      </c>
      <c r="JF64" s="496" t="str">
        <f>IF(A64=FALSE,"",IF(JA64="POEA",Cotations!BM64,IF(JA64="FIXE",Cotations!$BM$4,Cotations!$BO$4*Y64)))</f>
        <v/>
      </c>
      <c r="JG64" s="300" t="str">
        <f t="shared" si="511"/>
        <v/>
      </c>
      <c r="JH64" s="522" t="str">
        <f>IF(A64=FALSE,"",IF(Cotations!$BL$4="monthly",JG64/12*L64,JG64/365*M64))</f>
        <v/>
      </c>
      <c r="JI64" s="489" t="str">
        <f>IF(A64=FALSE,"",Cotations!$BP$4)</f>
        <v/>
      </c>
      <c r="JJ64" s="300" t="str">
        <f t="shared" si="512"/>
        <v/>
      </c>
      <c r="JK64" s="300" t="str">
        <f t="shared" si="513"/>
        <v/>
      </c>
      <c r="JL64" s="294" t="str">
        <f t="shared" si="514"/>
        <v/>
      </c>
      <c r="JM64" s="494" t="str">
        <f>IF(A64=FALSE,"",Cotations!$BQ$4)</f>
        <v/>
      </c>
      <c r="JN64" s="522" t="str">
        <f>IF(A64=FALSE,"",Cotations!$BR$4)</f>
        <v/>
      </c>
      <c r="JO64" s="489" t="str">
        <f>IF(A64=FALSE,"",Cotations!$BS$4)</f>
        <v/>
      </c>
      <c r="JP64" s="494" t="str">
        <f>IF(A64=FALSE,"",IF(JM64="N/A",0,IF(INDEX(LISTES!$F$105:$F$109,MATCH(JM64,LISTES!$C$105:$C$109,0))="FIX",IF(INDEX(LISTES!$E$105:$E$109,MATCH(JM64,LISTES!$C$105:$C$109,0))=12,JN64/12*L64,JN64/365*M64),JO64*JL64)))</f>
        <v/>
      </c>
      <c r="JQ64" s="294" t="str">
        <f t="shared" si="515"/>
        <v/>
      </c>
      <c r="JR64" s="494" t="str">
        <f>IF(A64=FALSE,"",JQ64*Cotations!$BT$4)</f>
        <v/>
      </c>
      <c r="JS64" s="494" t="str">
        <f>IF(A64=FALSE,"",JQ64*Cotations!$BU$4)</f>
        <v/>
      </c>
      <c r="JT64" s="294" t="str">
        <f t="shared" si="516"/>
        <v/>
      </c>
      <c r="JU64" s="919" t="str">
        <f>IF(A64=FALSE,"",((JG64*TAXE)-(JG64*TAXE*JI64))+IF(JM64="N/A",0,IF(INDEX(LISTES!$F$105:$F$109,MATCH(JM64,LISTES!$C$105:$C$109,0))="FIX",JN64,JO64*JL64)))</f>
        <v/>
      </c>
      <c r="KA64" s="492" t="str">
        <f>IF(A64=FALSE,"",Cotations!D64)</f>
        <v/>
      </c>
      <c r="KB64" s="491" t="str">
        <f>IF(A64=FALSE,"",IF(LISTES!$A$17=1,Cotations!BJ64,Cotations!BK64))</f>
        <v/>
      </c>
      <c r="KC64" s="285" t="str">
        <f t="shared" si="517"/>
        <v/>
      </c>
      <c r="KD64" s="300"/>
      <c r="KE64" s="461" t="str">
        <f t="shared" si="518"/>
        <v/>
      </c>
      <c r="KF64" s="490" t="str">
        <f>IF(A64=FALSE,"",IF(KA64="POEA",Cotations!BM64,IF(KA64="FIXE",Cotations!BN64,IF(Cotations!BO64*Y64&lt;50000,Z64,Cotations!BO64*Y64))))</f>
        <v/>
      </c>
      <c r="KG64" s="300" t="str">
        <f t="shared" si="519"/>
        <v/>
      </c>
      <c r="KH64" s="522" t="str">
        <f>IF(A64=FALSE,"",IF(Cotations!BL64="monthly",KG64/12*L64,KG64/365*M64))</f>
        <v/>
      </c>
      <c r="KI64" s="489" t="str">
        <f>IF(A64=FALSE,"",IF(Cotations!BP64="","",Cotations!BP64))</f>
        <v/>
      </c>
      <c r="KJ64" s="300" t="str">
        <f t="shared" si="520"/>
        <v/>
      </c>
      <c r="KK64" s="300" t="str">
        <f t="shared" si="521"/>
        <v/>
      </c>
      <c r="KL64" s="919" t="str">
        <f t="shared" si="522"/>
        <v/>
      </c>
      <c r="KM64" s="517" t="str">
        <f>IF(A64=FALSE,"",Cotations!BQ64)</f>
        <v/>
      </c>
      <c r="KN64" s="515" t="str">
        <f>IF(A64=FALSE,"",Cotations!BR64)</f>
        <v/>
      </c>
      <c r="KO64" s="493" t="str">
        <f>IF(A64=FALSE,"",Cotations!BS64)</f>
        <v/>
      </c>
      <c r="KP64" s="517" t="str">
        <f>IF(A64=FALSE,"",IF(KM64="N/A",0,IF(INDEX(LISTES!$F$105:$F$109,MATCH(KM64,LISTES!$C$105:$C$109,0))="FIX",IF(INDEX(LISTES!$E$105:$E$109,MATCH(KM64,LISTES!$C$105:$C$109,0))=12,KN64/12*L64,KN64/365*M64),KO64*KL64)))</f>
        <v/>
      </c>
      <c r="KQ64" s="294" t="str">
        <f t="shared" si="523"/>
        <v/>
      </c>
      <c r="KR64" s="494" t="str">
        <f>IF(A64=FALSE,"",KQ64*Cotations!BT64)</f>
        <v/>
      </c>
      <c r="KS64" s="494" t="str">
        <f>IF(A64=FALSE,"",KQ64*Cotations!BU64)</f>
        <v/>
      </c>
      <c r="KT64" s="338" t="str">
        <f t="shared" si="524"/>
        <v/>
      </c>
      <c r="KU64" s="919" t="str">
        <f>IF(A64=FALSE,"",((KG64*TAXE)-(KG64*TAXE*KI64))+IF(KM64="N/A",0,IF(INDEX(LISTES!$F$105:$F$109,MATCH(KM64,LISTES!$C$105:$C$109,0))="FIX",KN64,KO64*KL64)))</f>
        <v/>
      </c>
      <c r="LA64" s="497" t="str">
        <f>IF(A64=FALSE,"",Cotations!D64)</f>
        <v/>
      </c>
      <c r="LB64" s="498" t="str">
        <f>IF(A64=FALSE,"",IF(LISTES!$A$17=1,Cotations!BV64,Cotations!$BW$4))</f>
        <v/>
      </c>
      <c r="LC64" s="499" t="str">
        <f t="shared" si="525"/>
        <v/>
      </c>
      <c r="LD64" s="499" t="str">
        <f t="shared" si="526"/>
        <v/>
      </c>
      <c r="LE64" s="500" t="str">
        <f t="shared" si="527"/>
        <v/>
      </c>
      <c r="LF64" s="501" t="str">
        <f>IF(A64=FALSE,"",IF(LA64="POEA",Cotations!EJ64,IF(LA64="FIXE",Cotations!$BY$4,Cotations!$CA$4*Y64)))</f>
        <v/>
      </c>
      <c r="LG64" s="502" t="str">
        <f t="shared" si="528"/>
        <v/>
      </c>
      <c r="LH64" s="520" t="str">
        <f>IF(A64=FALSE,"",IF(Cotations!$BX$4="monthly",LG64/12*L64,LG64/365*M64))</f>
        <v/>
      </c>
      <c r="LI64" s="503" t="str">
        <f>IF(A64=FALSE,"",Cotations!$CB$4)</f>
        <v/>
      </c>
      <c r="LJ64" s="502" t="str">
        <f t="shared" si="529"/>
        <v/>
      </c>
      <c r="LK64" s="502" t="str">
        <f t="shared" si="530"/>
        <v/>
      </c>
      <c r="LL64" s="504" t="str">
        <f t="shared" si="531"/>
        <v/>
      </c>
      <c r="LM64" s="505" t="str">
        <f>IF(A64=FALSE,"",Cotations!$CC$4)</f>
        <v/>
      </c>
      <c r="LN64" s="503" t="str">
        <f>IF(A64=FALSE,"",Cotations!$CD$4)</f>
        <v/>
      </c>
      <c r="LO64" s="503" t="str">
        <f>IF(A64=FALSE,"",Cotations!$CE$4)</f>
        <v/>
      </c>
      <c r="LP64" s="505" t="str">
        <f>IF(A64=FALSE,"",IF(LM64="N/A",0,IF(INDEX(LISTES!$F$105:$F$109,MATCH(LM64,LISTES!$C$105:$C$109,0))="FIX",IF(INDEX(LISTES!$E$105:$E$109,MATCH(LM64,LISTES!$C$105:$C$109,0))=12,LN64/12*L64,LN64/365*M64),LO64*LL64)))</f>
        <v/>
      </c>
      <c r="LQ64" s="504" t="str">
        <f t="shared" si="532"/>
        <v/>
      </c>
      <c r="LR64" s="505" t="str">
        <f>IF(A64=FALSE,"",LQ64*Cotations!$CF$4)</f>
        <v/>
      </c>
      <c r="LS64" s="505" t="str">
        <f>IF(A64=FALSE,"",LQ64*Cotations!$CG$4)</f>
        <v/>
      </c>
      <c r="LT64" s="506" t="str">
        <f t="shared" si="533"/>
        <v/>
      </c>
      <c r="LU64" s="919" t="str">
        <f>IF(A64=FALSE,"",((LG64*TAXE)-(LG64*TAXE*LI64))+IF(LM64="N/A",0,IF(INDEX(LISTES!$F$105:$F$109,MATCH(LM64,LISTES!$C$105:$C$109,0))="FIX",LN64,LO64*LL64)))</f>
        <v/>
      </c>
      <c r="MA64" s="492" t="str">
        <f>IF(A64=FALSE,"",Cotations!D64)</f>
        <v/>
      </c>
      <c r="MB64" s="491" t="str">
        <f>IF(A64=FALSE,"",IF(LISTES!$A$17=1,Cotations!BV64,Cotations!BW64))</f>
        <v/>
      </c>
      <c r="MC64" s="285" t="str">
        <f t="shared" si="534"/>
        <v/>
      </c>
      <c r="MD64" s="300"/>
      <c r="ME64" s="461" t="str">
        <f t="shared" si="535"/>
        <v/>
      </c>
      <c r="MF64" s="490" t="str">
        <f>IF(A64=FALSE,"",IF(MA64="POEA",Cotations!BY64,IF(MA64="FIXE",Cotations!BZ64,IF(Cotations!CA64*Y64&lt;50000,Z64,Cotations!CA64*Y64))))</f>
        <v/>
      </c>
      <c r="MG64" s="300" t="str">
        <f t="shared" si="536"/>
        <v/>
      </c>
      <c r="MH64" s="522" t="str">
        <f>IF(A64=FALSE,"",IF(Cotations!BX64="monthly",MG64/12*L64,MG64/365*M64))</f>
        <v/>
      </c>
      <c r="MI64" s="489" t="str">
        <f>IF(A64=FALSE,"",IF(Cotations!CB64="","",Cotations!CB64))</f>
        <v/>
      </c>
      <c r="MJ64" s="300" t="str">
        <f t="shared" si="537"/>
        <v/>
      </c>
      <c r="MK64" s="300" t="str">
        <f t="shared" si="538"/>
        <v/>
      </c>
      <c r="ML64" s="919" t="str">
        <f t="shared" si="539"/>
        <v/>
      </c>
      <c r="MM64" s="517" t="str">
        <f>IF(A64=FALSE,"",Cotations!CC64)</f>
        <v/>
      </c>
      <c r="MN64" s="515" t="str">
        <f>IF(A64=FALSE,"",Cotations!CD64)</f>
        <v/>
      </c>
      <c r="MO64" s="493" t="str">
        <f>IF(A64=FALSE,"",Cotations!CE64)</f>
        <v/>
      </c>
      <c r="MP64" s="517" t="str">
        <f>IF(A64=FALSE,"",IF(MM64="N/A",0,IF(INDEX(LISTES!$F$105:$F$109,MATCH(MM64,LISTES!$C$105:$C$109,0))="FIX",IF(INDEX(LISTES!$E$105:$E$109,MATCH(MM64,LISTES!$C$105:$C$109,0))=12,MN64/12*L64,MN64/365*M64),MO64*ML64)))</f>
        <v/>
      </c>
      <c r="MQ64" s="294" t="str">
        <f t="shared" si="540"/>
        <v/>
      </c>
      <c r="MR64" s="494" t="str">
        <f>IF(A64=FALSE,"",MQ64*Cotations!CF64)</f>
        <v/>
      </c>
      <c r="MS64" s="494" t="str">
        <f>IF(A64=FALSE,"",MQ64*Cotations!CG64)</f>
        <v/>
      </c>
      <c r="MT64" s="338" t="str">
        <f t="shared" si="541"/>
        <v/>
      </c>
      <c r="MU64" s="919" t="str">
        <f>IF(A64=FALSE,"",((MG64*TAXE)-(MG64*TAXE*MI64))+IF(MM64="N/A",0,IF(INDEX(LISTES!$F$105:$F$109,MATCH(MM64,LISTES!$C$105:$C$109,0))="FIX",MN64,MO64*ML64)))</f>
        <v/>
      </c>
      <c r="NA64" s="497" t="str">
        <f>IF(A64=FALSE,"",Cotations!D64)</f>
        <v/>
      </c>
      <c r="NB64" s="498" t="str">
        <f>IF(A64=FALSE,"",IF(LISTES!$A$17=1,Cotations!CH64,Cotations!$CI$4))</f>
        <v/>
      </c>
      <c r="NC64" s="499" t="str">
        <f t="shared" si="542"/>
        <v/>
      </c>
      <c r="ND64" s="499" t="str">
        <f t="shared" si="543"/>
        <v/>
      </c>
      <c r="NE64" s="500" t="str">
        <f t="shared" si="544"/>
        <v/>
      </c>
      <c r="NF64" s="501" t="str">
        <f>IF(A64=FALSE,"",IF(NA64="POEA",Cotations!CK64,IF(NA64="FIXE",Cotations!$CK$4,Cotations!$CM$4*Y64)))</f>
        <v/>
      </c>
      <c r="NG64" s="502" t="str">
        <f t="shared" si="545"/>
        <v/>
      </c>
      <c r="NH64" s="520" t="str">
        <f>IF(A64=FALSE,"",IF(Cotations!$CJ$4="monthly",NG64/12*L64,NG64/365*M64))</f>
        <v/>
      </c>
      <c r="NI64" s="503" t="str">
        <f>IF(A64=FALSE,"",Cotations!$CN$4)</f>
        <v/>
      </c>
      <c r="NJ64" s="502" t="str">
        <f t="shared" si="546"/>
        <v/>
      </c>
      <c r="NK64" s="502" t="str">
        <f t="shared" si="547"/>
        <v/>
      </c>
      <c r="NL64" s="504" t="str">
        <f t="shared" si="548"/>
        <v/>
      </c>
      <c r="NM64" s="505" t="str">
        <f>IF(A64=FALSE,"",Cotations!$CO$4)</f>
        <v/>
      </c>
      <c r="NN64" s="520" t="str">
        <f>IF(A64=FALSE,"",Cotations!$CP$4)</f>
        <v/>
      </c>
      <c r="NO64" s="503" t="str">
        <f>IF(A64=FALSE,"",Cotations!$CQ$4)</f>
        <v/>
      </c>
      <c r="NP64" s="505" t="str">
        <f>IF(A64=FALSE,"",IF(NM64="N/A",0,IF(INDEX(LISTES!$F$105:$F$109,MATCH(NM64,LISTES!$C$105:$C$109,0))="FIX",IF(INDEX(LISTES!$E$105:$E$109,MATCH(NM64,LISTES!$C$105:$C$109,0))=12,NN64/12*L64,NN64/365*M64),NO64*NL64)))</f>
        <v/>
      </c>
      <c r="NQ64" s="504" t="str">
        <f t="shared" si="549"/>
        <v/>
      </c>
      <c r="NR64" s="505" t="str">
        <f>IF(A64=FALSE,"",NQ64*Cotations!$CR$4)</f>
        <v/>
      </c>
      <c r="NS64" s="505" t="str">
        <f>IF(A64=FALSE,"",NQ64*Cotations!$CS$4)</f>
        <v/>
      </c>
      <c r="NT64" s="506" t="str">
        <f t="shared" si="550"/>
        <v/>
      </c>
      <c r="NU64" s="919" t="str">
        <f>IF(A64=FALSE,"",((NG64*TAXE)-(NG64*TAXE*NI64))+IF(NM64="N/A",0,IF(INDEX(LISTES!$F$105:$F$109,MATCH(NM64,LISTES!$C$105:$C$109,0))="FIX",NN64,NO64*NL64)))</f>
        <v/>
      </c>
      <c r="OA64" s="492" t="str">
        <f>IF(A64=FALSE,"",Cotations!D64)</f>
        <v/>
      </c>
      <c r="OB64" s="491" t="str">
        <f>IF(A64=FALSE,"",IF(LISTES!$A$17=1,Cotations!CH64,Cotations!CI64))</f>
        <v/>
      </c>
      <c r="OC64" s="285" t="str">
        <f t="shared" si="551"/>
        <v/>
      </c>
      <c r="OD64" s="300"/>
      <c r="OE64" s="461" t="str">
        <f t="shared" si="552"/>
        <v/>
      </c>
      <c r="OF64" s="490" t="str">
        <f>IF(A64=FALSE,"",IF(OA64="POEA",Cotations!CK64,IF(OA64="FIXE",Cotations!CL64,IF(Cotations!CM64*Y64&lt;50000,Z64,Cotations!CM64*Y64))))</f>
        <v/>
      </c>
      <c r="OG64" s="300" t="str">
        <f t="shared" si="553"/>
        <v/>
      </c>
      <c r="OH64" s="522" t="str">
        <f>IF(A64=FALSE,"",IF(Cotations!CJ64="monthly",OG64/12*L64,OG64/365*M64))</f>
        <v/>
      </c>
      <c r="OI64" s="489" t="str">
        <f>IF(A64=FALSE,"",IF(Cotations!CN64="","",Cotations!CN64))</f>
        <v/>
      </c>
      <c r="OJ64" s="300" t="str">
        <f t="shared" si="554"/>
        <v/>
      </c>
      <c r="OK64" s="300" t="str">
        <f t="shared" si="555"/>
        <v/>
      </c>
      <c r="OL64" s="919" t="str">
        <f t="shared" si="556"/>
        <v/>
      </c>
      <c r="OM64" s="517" t="str">
        <f>IF(A64=FALSE,"",Cotations!CO64)</f>
        <v/>
      </c>
      <c r="ON64" s="515" t="str">
        <f>IF(A64=FALSE,"",Cotations!CP64)</f>
        <v/>
      </c>
      <c r="OO64" s="493" t="str">
        <f>IF(A64=FALSE,"",Cotations!CQ64)</f>
        <v/>
      </c>
      <c r="OP64" s="517" t="str">
        <f>IF(A64=FALSE,"",IF(OM64="N/A",0,IF(INDEX(LISTES!$F$105:$F$109,MATCH(OM64,LISTES!$C$105:$C$109,0))="FIX",IF(INDEX(LISTES!$E$105:$E$109,MATCH(OM64,LISTES!$C$105:$C$109,0))=12,ON64/12*L64,ON64/365*M64),OO64*OL64)))</f>
        <v/>
      </c>
      <c r="OQ64" s="294" t="str">
        <f t="shared" si="557"/>
        <v/>
      </c>
      <c r="OR64" s="494" t="str">
        <f>IF(A64=FALSE,"",OQ64*Cotations!CR64)</f>
        <v/>
      </c>
      <c r="OS64" s="494" t="str">
        <f>IF(A64=FALSE,"",OQ64*Cotations!CS64)</f>
        <v/>
      </c>
      <c r="OT64" s="338" t="str">
        <f t="shared" si="558"/>
        <v/>
      </c>
      <c r="OU64" s="919" t="str">
        <f>IF(A64=FALSE,"",((OG64*TAXE)-(OG64*TAXE*OI64))+IF(OM64="N/A",0,IF(INDEX(LISTES!$F$105:$F$109,MATCH(OM64,LISTES!$C$105:$C$109,0))="FIX",ON64,OO64*OL64)))</f>
        <v/>
      </c>
      <c r="PA64" s="497" t="str">
        <f t="shared" si="559"/>
        <v/>
      </c>
      <c r="PB64" s="498" t="str">
        <f>IF(A64=FALSE,"",IF(LISTES!$A$17=1,Cotations!CT64,Cotations!$CU$4))</f>
        <v/>
      </c>
      <c r="PC64" s="499" t="str">
        <f t="shared" si="560"/>
        <v/>
      </c>
      <c r="PD64" s="499" t="str">
        <f t="shared" si="561"/>
        <v/>
      </c>
      <c r="PE64" s="500" t="str">
        <f t="shared" si="562"/>
        <v/>
      </c>
      <c r="PF64" s="501" t="str">
        <f>IF(A64=FALSE,"",Cotations!$CY$4*Y64)</f>
        <v/>
      </c>
      <c r="PG64" s="502" t="str">
        <f t="shared" si="563"/>
        <v/>
      </c>
      <c r="PH64" s="520" t="str">
        <f>IF(A64=FALSE,"",IF(Cotations!$CV$4="monthly",PG64/12*L64,PG64/365*M64))</f>
        <v/>
      </c>
      <c r="PI64" s="503" t="str">
        <f>IF(A64=FALSE,"",Cotations!$CZ$4)</f>
        <v/>
      </c>
      <c r="PJ64" s="502" t="str">
        <f t="shared" si="564"/>
        <v/>
      </c>
      <c r="PK64" s="502" t="str">
        <f t="shared" si="565"/>
        <v/>
      </c>
      <c r="PL64" s="504" t="str">
        <f t="shared" si="566"/>
        <v/>
      </c>
      <c r="PM64" s="505" t="str">
        <f>IF(A64=FALSE,"",Cotations!$DA$4)</f>
        <v/>
      </c>
      <c r="PN64" s="520" t="str">
        <f>IF(A64=FALSE,"",Cotations!$DB$4)</f>
        <v/>
      </c>
      <c r="PO64" s="503" t="str">
        <f>IF(A64=FALSE,"",Cotations!$DC$4)</f>
        <v/>
      </c>
      <c r="PP64" s="505" t="str">
        <f>IF(A64=FALSE,"",IF(PM64="N/A",0,IF(INDEX(LISTES!$F$105:$F$109,MATCH(PM64,LISTES!$C$105:$C$109,0))="FIX",IF(INDEX(LISTES!$E$105:$E$109,MATCH(PM64,LISTES!$C$105:$C$109,0))=12,PN64/12*L64,PN64/365*M64),PO64*PL64)))</f>
        <v/>
      </c>
      <c r="PQ64" s="504" t="str">
        <f t="shared" si="567"/>
        <v/>
      </c>
      <c r="PR64" s="505" t="str">
        <f>IF(A64=FALSE,"",PQ64*Cotations!$DD$4)</f>
        <v/>
      </c>
      <c r="PS64" s="505" t="str">
        <f>IF(A64=FALSE,"",PQ64*Cotations!$DE$4)</f>
        <v/>
      </c>
      <c r="PT64" s="506" t="str">
        <f t="shared" si="568"/>
        <v/>
      </c>
      <c r="PU64" s="919" t="str">
        <f>IF(A64=FALSE,"",((PG64*TAXE)-(PG64*TAXE*PI64))+IF(PM64="N/A",0,IF(INDEX(LISTES!$F$105:$F$109,MATCH(PM64,LISTES!$C$105:$C$109,0))="FIX",PN64,PO64*PL64)))</f>
        <v/>
      </c>
      <c r="QA64" s="492" t="str">
        <f t="shared" si="569"/>
        <v/>
      </c>
      <c r="QB64" s="491" t="str">
        <f>IF(A64=FALSE,"",IF(LISTES!$A$17=1,Cotations!CT64,Cotations!CU64))</f>
        <v/>
      </c>
      <c r="QC64" s="285" t="str">
        <f t="shared" si="570"/>
        <v/>
      </c>
      <c r="QD64" s="300"/>
      <c r="QE64" s="461" t="str">
        <f t="shared" si="571"/>
        <v/>
      </c>
      <c r="QF64" s="490" t="str">
        <f>IF(A64=FALSE,"",Cotations!CY64*AA64)</f>
        <v/>
      </c>
      <c r="QG64" s="300" t="str">
        <f t="shared" si="572"/>
        <v/>
      </c>
      <c r="QH64" s="522" t="str">
        <f>IF(A64=FALSE,"",IF(Cotations!CV64="monthly",QG64/12*L64,QG64/365*M64))</f>
        <v/>
      </c>
      <c r="QI64" s="489" t="str">
        <f>IF(A64=FALSE,"",IF(Cotations!CZ64="","",Cotations!CZ64))</f>
        <v/>
      </c>
      <c r="QJ64" s="300" t="str">
        <f t="shared" si="573"/>
        <v/>
      </c>
      <c r="QK64" s="300" t="str">
        <f t="shared" si="574"/>
        <v/>
      </c>
      <c r="QL64" s="919" t="str">
        <f t="shared" si="575"/>
        <v/>
      </c>
      <c r="QM64" s="517" t="str">
        <f>IF(A64=FALSE,"",Cotations!DA64)</f>
        <v/>
      </c>
      <c r="QN64" s="515" t="str">
        <f>IF(A64=FALSE,"",Cotations!DB64)</f>
        <v/>
      </c>
      <c r="QO64" s="493" t="str">
        <f>IF(A64=FALSE,"",Cotations!DC64)</f>
        <v/>
      </c>
      <c r="QP64" s="517" t="str">
        <f>IF(A64=FALSE,"",IF(QM64="N/A",0,IF(INDEX(LISTES!$F$105:$F$109,MATCH(QM64,LISTES!$C$105:$C$109,0))="FIX",IF(INDEX(LISTES!$E$105:$E$109,MATCH(QM64,LISTES!$C$105:$C$109,0))=12,QN64/12*L64,QN64/365*M64),QO64*QL64)))</f>
        <v/>
      </c>
      <c r="QQ64" s="294" t="str">
        <f t="shared" si="576"/>
        <v/>
      </c>
      <c r="QR64" s="494" t="str">
        <f>IF(A64=FALSE,"",QQ64*Cotations!DD64)</f>
        <v/>
      </c>
      <c r="QS64" s="494" t="str">
        <f>IF(A64=FALSE,"",QQ64*Cotations!DE64)</f>
        <v/>
      </c>
      <c r="QT64" s="338" t="str">
        <f t="shared" si="577"/>
        <v/>
      </c>
      <c r="QU64" s="919" t="str">
        <f>IF(A64=FALSE,"",((QG64*TAXE)-(QG64*TAXE*QI64))+IF(QM64="N/A",0,IF(INDEX(LISTES!$F$105:$F$109,MATCH(QM64,LISTES!$C$105:$C$109,0))="FIX",QN64,QO64*QL64)))</f>
        <v/>
      </c>
      <c r="RA64" s="497" t="str">
        <f t="shared" si="578"/>
        <v/>
      </c>
      <c r="RB64" s="498" t="str">
        <f>IF(A64=FALSE,"",IF(LISTES!$A$17=1,Cotations!DF64,Cotations!$DG$4))</f>
        <v/>
      </c>
      <c r="RC64" s="499" t="str">
        <f t="shared" si="579"/>
        <v/>
      </c>
      <c r="RD64" s="499" t="str">
        <f t="shared" si="580"/>
        <v/>
      </c>
      <c r="RE64" s="500" t="str">
        <f t="shared" si="581"/>
        <v/>
      </c>
      <c r="RF64" s="501" t="str">
        <f>IF(A64=FALSE,"",Cotations!$DK$4*Y64)</f>
        <v/>
      </c>
      <c r="RG64" s="502" t="str">
        <f t="shared" si="582"/>
        <v/>
      </c>
      <c r="RH64" s="520" t="str">
        <f>IF(A64=FALSE,"",IF(Cotations!$DH$4="monthly",RG64/12*L64,RG64/365*M64))</f>
        <v/>
      </c>
      <c r="RI64" s="503" t="str">
        <f>IF(A64=FALSE,"",Cotations!$DL$4)</f>
        <v/>
      </c>
      <c r="RJ64" s="502" t="str">
        <f t="shared" si="583"/>
        <v/>
      </c>
      <c r="RK64" s="502" t="str">
        <f t="shared" si="584"/>
        <v/>
      </c>
      <c r="RL64" s="504" t="str">
        <f t="shared" si="585"/>
        <v/>
      </c>
      <c r="RM64" s="505" t="str">
        <f>IF(A64=FALSE,"",Cotations!$DM$4)</f>
        <v/>
      </c>
      <c r="RN64" s="520" t="str">
        <f>IF(A64=FALSE,"",Cotations!$DN$4)</f>
        <v/>
      </c>
      <c r="RO64" s="503" t="str">
        <f>IF(A64=FALSE,"",Cotations!$DO$4)</f>
        <v/>
      </c>
      <c r="RP64" s="505" t="str">
        <f>IF(A64=FALSE,"",IF(RM64="N/A",0,IF(INDEX(LISTES!$F$105:$F$109,MATCH(RM64,LISTES!$C$105:$C$109,0))="FIX",IF(INDEX(LISTES!$E$105:$E$109,MATCH(RM64,LISTES!$C$105:$C$109,0))=12,RN64/12*L64,RN64/365*M64),RO64*RL64)))</f>
        <v/>
      </c>
      <c r="RQ64" s="504" t="str">
        <f t="shared" si="586"/>
        <v/>
      </c>
      <c r="RR64" s="505" t="str">
        <f>IF(A64=FALSE,"",RQ64*Cotations!$DP$4)</f>
        <v/>
      </c>
      <c r="RS64" s="505" t="str">
        <f>IF(A64=FALSE,"",RQ64*Cotations!$DQ$4)</f>
        <v/>
      </c>
      <c r="RT64" s="506" t="str">
        <f t="shared" si="587"/>
        <v/>
      </c>
      <c r="RU64" s="919" t="str">
        <f>IF(A64=FALSE,"",((RG64*TAXE)-(RG64*TAXE*RI64))+IF(RM64="N/A",0,IF(INDEX(LISTES!$F$105:$F$109,MATCH(RM64,LISTES!$C$105:$C$109,0))="FIX",RN64,RO64*RL64)))</f>
        <v/>
      </c>
      <c r="SA64" s="492" t="str">
        <f t="shared" si="588"/>
        <v/>
      </c>
      <c r="SB64" s="491" t="str">
        <f>IF(A64=FALSE,"",IF(LISTES!$A$17=1,Cotations!DF64,Cotations!DG64))</f>
        <v/>
      </c>
      <c r="SC64" s="285" t="str">
        <f t="shared" si="589"/>
        <v/>
      </c>
      <c r="SD64" s="300"/>
      <c r="SE64" s="461" t="str">
        <f t="shared" si="590"/>
        <v/>
      </c>
      <c r="SF64" s="490" t="str">
        <f>IF(A64=FALSE,"",Cotations!DK64*AA64)</f>
        <v/>
      </c>
      <c r="SG64" s="300" t="str">
        <f t="shared" si="591"/>
        <v/>
      </c>
      <c r="SH64" s="522" t="str">
        <f>IF(A64=FALSE,"",IF(Cotations!DH64="monthly",SG64/12*L64,SG64/365*M64))</f>
        <v/>
      </c>
      <c r="SI64" s="489" t="str">
        <f>IF(A64=FALSE,"",IF(Cotations!DL64="","",Cotations!DL64))</f>
        <v/>
      </c>
      <c r="SJ64" s="300" t="str">
        <f t="shared" si="592"/>
        <v/>
      </c>
      <c r="SK64" s="300" t="str">
        <f t="shared" si="593"/>
        <v/>
      </c>
      <c r="SL64" s="919" t="str">
        <f t="shared" si="594"/>
        <v/>
      </c>
      <c r="SM64" s="285" t="str">
        <f>IF(A64=FALSE,"",Cotations!DM64)</f>
        <v/>
      </c>
      <c r="SN64" s="515" t="str">
        <f>IF(A64=FALSE,"",Cotations!DN64)</f>
        <v/>
      </c>
      <c r="SO64" s="493" t="str">
        <f>IF(A64=FALSE,"",Cotations!DO64)</f>
        <v/>
      </c>
      <c r="SP64" s="517" t="str">
        <f>IF(A64=FALSE,"",IF(SM64="N/A",0,IF(INDEX(LISTES!$F$105:$F$109,MATCH(SM64,LISTES!$C$105:$C$109,0))="FIX",IF(INDEX(LISTES!$E$105:$E$109,MATCH(SM64,LISTES!$C$105:$C$109,0))=12,SN64/12*L64,SN64/365*M64),SO64*SL64)))</f>
        <v/>
      </c>
      <c r="SQ64" s="294" t="str">
        <f t="shared" si="595"/>
        <v/>
      </c>
      <c r="SR64" s="494" t="str">
        <f>IF(A64=FALSE,"",SQ64*Cotations!DP64)</f>
        <v/>
      </c>
      <c r="SS64" s="494" t="str">
        <f>IF(A64=FALSE,"",SQ64*Cotations!DQ64)</f>
        <v/>
      </c>
      <c r="ST64" s="338" t="str">
        <f t="shared" si="596"/>
        <v/>
      </c>
      <c r="SU64" s="919" t="str">
        <f>IF(A64=FALSE,"",((SG64*TAXE)-(SG64*TAXE*SI64))+IF(SM64="N/A",0,IF(INDEX(LISTES!$F$105:$F$109,MATCH(SM64,LISTES!$C$105:$C$109,0))="FIX",SN64,SO64*SL64)))</f>
        <v/>
      </c>
      <c r="TA64" s="492" t="str">
        <f>IF(A64=FALSE,"",Cotations!D64)</f>
        <v/>
      </c>
      <c r="TB64" s="491" t="str">
        <f>IF(A64=FALSE,"",IF(LISTES!$A$17=1,Cotations!DR64,Cotations!DS64))</f>
        <v/>
      </c>
      <c r="TC64" s="285" t="str">
        <f t="shared" si="597"/>
        <v/>
      </c>
      <c r="TD64" s="300" t="str">
        <f>IF(A64=FALSE,"",Detail!CQ64)</f>
        <v/>
      </c>
      <c r="TE64" s="461" t="str">
        <f t="shared" si="598"/>
        <v/>
      </c>
      <c r="TF64" s="490" t="str">
        <f>IF(A64=FALSE,"",IF(TA64="FIXE",Cotations!DU64,Cotations!DV64*Y64))</f>
        <v/>
      </c>
      <c r="TG64" s="300" t="str">
        <f t="shared" si="599"/>
        <v/>
      </c>
      <c r="TH64" s="522" t="str">
        <f>IF(A64=FALSE,"",IF(Cotations!DT64="monthly",TG64/12*L64,TG64/365*M64))</f>
        <v/>
      </c>
      <c r="TI64" s="489" t="str">
        <f>IF(A64=FALSE,"",IF(Cotations!DW64="","",Cotations!DW64))</f>
        <v/>
      </c>
      <c r="TJ64" s="300" t="str">
        <f t="shared" si="600"/>
        <v/>
      </c>
      <c r="TK64" s="300" t="str">
        <f t="shared" si="601"/>
        <v/>
      </c>
      <c r="TL64" s="919" t="str">
        <f t="shared" si="602"/>
        <v/>
      </c>
      <c r="TM64" s="517" t="str">
        <f>IF(A64=FALSE,"",Cotations!DX64)</f>
        <v/>
      </c>
      <c r="TN64" s="517" t="str">
        <f>IF(A64=FALSE,"",Cotations!DY64)</f>
        <v/>
      </c>
      <c r="TO64" s="493" t="str">
        <f>IF(A64=FALSE,"",Cotations!DZ64)</f>
        <v/>
      </c>
      <c r="TP64" s="517" t="str">
        <f>IF(A64=FALSE,"",IF(TM64="N/A",0,IF(INDEX(LISTES!$F$105:$F$109,MATCH(TM64,LISTES!$C$105:$C$109,0))="FIX",IF(INDEX(LISTES!$E$105:$E$109,MATCH(TM64,LISTES!$C$105:$C$109,0))=12,TN64/12*L64,TN64/365*M64),TO64*TL64)))</f>
        <v/>
      </c>
      <c r="TQ64" s="294" t="str">
        <f t="shared" si="603"/>
        <v/>
      </c>
      <c r="TR64" s="494" t="str">
        <f>IF(A64=FALSE,"",TQ64*Cotations!EA64)</f>
        <v/>
      </c>
      <c r="TS64" s="494" t="str">
        <f>IF(A64=FALSE,"",TQ64*Cotations!EB64)</f>
        <v/>
      </c>
      <c r="TT64" s="338" t="str">
        <f t="shared" si="604"/>
        <v/>
      </c>
      <c r="TU64" s="919" t="str">
        <f>IF(A64=FALSE,"",((TG64*(1+TAXE)-(TG64*(1+TAXE)*TI64))+IF(TM64="N/A",0,IF(INDEX(LISTES!$F$105:$F$109,MATCH(TM64,LISTES!$C$105:$C$109,0))="FIX",TN64,TO64*TL64))))</f>
        <v/>
      </c>
      <c r="UA64" s="492" t="str">
        <f>IF(A64=FALSE,"",Cotations!D64)</f>
        <v/>
      </c>
      <c r="UB64" s="491" t="str">
        <f>IF(A64=FALSE,"",IF(LISTES!$A$17=1,Cotations!EC64,Cotations!ED64))</f>
        <v/>
      </c>
      <c r="UC64" s="285" t="str">
        <f t="shared" si="605"/>
        <v/>
      </c>
      <c r="UD64" s="300" t="str">
        <f>IF(A64=FALSE,"",Detail!CY64)</f>
        <v/>
      </c>
      <c r="UE64" s="461" t="str">
        <f t="shared" si="606"/>
        <v/>
      </c>
      <c r="UF64" s="490" t="str">
        <f>IF(A64=FALSE,"",IF(UA64="FIXE",Cotations!EF64,Cotations!EG64*Y64))</f>
        <v/>
      </c>
      <c r="UG64" s="300" t="str">
        <f t="shared" si="607"/>
        <v/>
      </c>
      <c r="UH64" s="522" t="str">
        <f>IF(A64=FALSE,"",IF(Cotations!EE64="monthly",UG64/12*L64,UG64/365*M64))</f>
        <v/>
      </c>
      <c r="UI64" s="489" t="str">
        <f>IF(A64=FALSE,"",IF(Cotations!EH64="","",Cotations!EH64))</f>
        <v/>
      </c>
      <c r="UJ64" s="300" t="str">
        <f t="shared" si="608"/>
        <v/>
      </c>
      <c r="UK64" s="300" t="str">
        <f t="shared" si="609"/>
        <v/>
      </c>
      <c r="UL64" s="919" t="str">
        <f t="shared" si="610"/>
        <v/>
      </c>
      <c r="UM64" s="517" t="str">
        <f>IF(A64=FALSE,"",Cotations!EI64)</f>
        <v/>
      </c>
      <c r="UN64" s="517" t="str">
        <f>IF(A64=FALSE,"",Cotations!EJ64)</f>
        <v/>
      </c>
      <c r="UO64" s="493" t="str">
        <f>IF(A64=FALSE,"",Cotations!EK64)</f>
        <v/>
      </c>
      <c r="UP64" s="517" t="str">
        <f>IF(A64=FALSE,"",IF(UM64="N/A",0,IF(INDEX(LISTES!$F$105:$F$109,MATCH(UM64,LISTES!$C$105:$C$109,0))="FIX",IF(INDEX(LISTES!$E$105:$E$109,MATCH(UM64,LISTES!$C$105:$C$109,0))=12,UN64/12*L64,UN64/365*M64),UO64*UL64)))</f>
        <v/>
      </c>
      <c r="UQ64" s="294" t="str">
        <f t="shared" si="611"/>
        <v/>
      </c>
      <c r="UR64" s="494" t="str">
        <f>IF(A64=FALSE,"",UQ64*Cotations!EL64)</f>
        <v/>
      </c>
      <c r="US64" s="494" t="str">
        <f>IF(A64=FALSE,"",UQ64*Cotations!EM64)</f>
        <v/>
      </c>
      <c r="UT64" s="338" t="str">
        <f t="shared" si="612"/>
        <v/>
      </c>
      <c r="UU64" s="919" t="str">
        <f>IF(A64=FALSE,"",((UG64*(1+TAXE)-(UG64*(1+TAXE)*UI64))+IF(UM64="N/A",0,IF(INDEX(LISTES!$F$105:$F$109,MATCH(UM64,LISTES!$C$105:$C$109,0))="FIX",UN64,UO64*UL64))))</f>
        <v/>
      </c>
      <c r="VA64" s="492" t="str">
        <f>IF(A64=FALSE,"",Cotations!D64)</f>
        <v/>
      </c>
      <c r="VB64" s="519" t="str">
        <f>IF(A64=FALSE,"",IF(LISTES!$A$17=1,Cotations!EN64,Cotations!EO64))</f>
        <v/>
      </c>
      <c r="VC64" s="291" t="str">
        <f t="shared" si="613"/>
        <v/>
      </c>
      <c r="VD64" s="291" t="str">
        <f t="shared" si="614"/>
        <v/>
      </c>
      <c r="VE64" s="291"/>
      <c r="VF64" s="463"/>
      <c r="VG64" s="463" t="str">
        <f t="shared" si="615"/>
        <v/>
      </c>
      <c r="VH64" s="522" t="str">
        <f>IF(A64=FALSE,"",IF(Cotations!$AQ$4="monthly",VG64/12*L64,VG64/365*M64))</f>
        <v/>
      </c>
      <c r="VI64" s="489" t="str">
        <f>IF(A64=FALSE,"",Cotations!$AR$4)</f>
        <v/>
      </c>
      <c r="VJ64" s="300" t="str">
        <f t="shared" si="616"/>
        <v/>
      </c>
      <c r="VK64" s="300" t="str">
        <f t="shared" si="617"/>
        <v/>
      </c>
      <c r="VL64" s="294" t="str">
        <f t="shared" si="618"/>
        <v/>
      </c>
      <c r="VM64" s="494" t="str">
        <f>IF(A64=FALSE,"",Cotations!$AS$4)</f>
        <v/>
      </c>
      <c r="VN64" s="494" t="str">
        <f>IF(A64=FALSE,"",Cotations!$AT$4)</f>
        <v/>
      </c>
      <c r="VO64" s="489" t="str">
        <f>IF(A64=FALSE,"",Cotations!$AU$4)</f>
        <v/>
      </c>
      <c r="VP64" s="494" t="str">
        <f>IF(A64=FALSE,"",IF(VM64="N/A",0,IF(INDEX(LISTES!$F$105:$F$109,MATCH(VM64,LISTES!$C$105:$C$109,0))="FIX",IF(INDEX(LISTES!$E$105:$E$109,MATCH(VM64,LISTES!$C$105:$C$109,0))=12,VN64/12*L64,VN64/365*M64),VO64*VL64)))</f>
        <v/>
      </c>
      <c r="VQ64" s="294" t="str">
        <f t="shared" si="619"/>
        <v/>
      </c>
      <c r="VR64" s="494" t="str">
        <f>IF(A64=FALSE,"",VQ64*Cotations!$AV$4)</f>
        <v/>
      </c>
      <c r="VS64" s="494" t="str">
        <f>IF(A64=FALSE,"",VQ64*Cotations!$AW$4)</f>
        <v/>
      </c>
      <c r="VT64" s="465" t="str">
        <f t="shared" si="620"/>
        <v/>
      </c>
      <c r="VU64" s="919" t="str">
        <f>IF(A64=FALSE,"",((VG64*TAXE)-(VG64*TAXE*VI64))+IF(VM64="N/A",0,IF(INDEX(LISTES!$F$105:$F$109,MATCH(VM64,LISTES!$C$105:$C$109,0))="FIX",VN64,VO64*VL64)))</f>
        <v/>
      </c>
      <c r="WA64" s="492" t="str">
        <f>IF(A64=FALSE,"",Cotations!D64)</f>
        <v/>
      </c>
      <c r="WB64" s="519" t="str">
        <f>IF(A64=FALSE,"",IF(LISTES!$A$17=1,Cotations!EW64,Cotations!EX64))</f>
        <v/>
      </c>
      <c r="WC64" s="291" t="str">
        <f t="shared" si="621"/>
        <v/>
      </c>
      <c r="WD64" s="291" t="str">
        <f t="shared" si="622"/>
        <v/>
      </c>
      <c r="WE64" s="291"/>
      <c r="WF64" s="463"/>
      <c r="WG64" s="463" t="str">
        <f t="shared" si="623"/>
        <v/>
      </c>
      <c r="WH64" s="522" t="str">
        <f>IF(A64=FALSE,"",IF(Cotations!$AQ$4="monthly",WG64/12*L64,WG64/365*M64))</f>
        <v/>
      </c>
      <c r="WI64" s="489" t="str">
        <f>IF(A64=FALSE,"",Cotations!$AR$4)</f>
        <v/>
      </c>
      <c r="WJ64" s="300" t="str">
        <f t="shared" si="624"/>
        <v/>
      </c>
      <c r="WK64" s="300" t="str">
        <f t="shared" si="625"/>
        <v/>
      </c>
      <c r="WL64" s="294" t="str">
        <f t="shared" si="626"/>
        <v/>
      </c>
      <c r="WM64" s="494" t="str">
        <f>IF(A64=FALSE,"",Cotations!$AS$4)</f>
        <v/>
      </c>
      <c r="WN64" s="494" t="str">
        <f>IF(A64=FALSE,"",Cotations!$AT$4)</f>
        <v/>
      </c>
      <c r="WO64" s="489" t="str">
        <f>IF(A64=FALSE,"",Cotations!$AU$4)</f>
        <v/>
      </c>
      <c r="WP64" s="494" t="str">
        <f>IF(A64=FALSE,"",IF(WM64="N/A",0,IF(INDEX(LISTES!$F$105:$F$109,MATCH(WM64,LISTES!$C$105:$C$109,0))="FIX",IF(INDEX(LISTES!$E$105:$E$109,MATCH(WM64,LISTES!$C$105:$C$109,0))=12,WN64/12*L64,WN64/365*M64),WO64*WL64)))</f>
        <v/>
      </c>
      <c r="WQ64" s="294" t="str">
        <f t="shared" si="627"/>
        <v/>
      </c>
      <c r="WR64" s="494" t="str">
        <f>IF(A64=FALSE,"",WQ64*Cotations!$AV$4)</f>
        <v/>
      </c>
      <c r="WS64" s="494" t="str">
        <f>IF(A64=FALSE,"",WQ64*Cotations!$AW$4)</f>
        <v/>
      </c>
      <c r="WT64" s="465" t="str">
        <f t="shared" si="628"/>
        <v/>
      </c>
      <c r="WU64" s="919" t="str">
        <f>IF(A64=FALSE,"",((WG64*TAXE)-(WG64*TAXE*WI64))+IF(WM64="N/A",0,IF(INDEX(LISTES!$F$105:$F$109,MATCH(WM64,LISTES!$C$105:$C$109,0))="FIX",WN64,WO64*WL64)))</f>
        <v/>
      </c>
    </row>
    <row r="65" spans="1:619">
      <c r="A65" s="942" t="b">
        <f t="shared" si="433"/>
        <v>0</v>
      </c>
      <c r="B65" s="942" t="b">
        <f>IF(NAMES!$B$9=TRUE,TRUE,FALSE)</f>
        <v>1</v>
      </c>
      <c r="C65" s="942" t="b">
        <f t="shared" si="413"/>
        <v>0</v>
      </c>
      <c r="D65" s="942" t="b">
        <f t="shared" si="414"/>
        <v>0</v>
      </c>
      <c r="E65" s="274" t="b">
        <f>IF(Cotations!C65="","",Cotations!C65)</f>
        <v>0</v>
      </c>
      <c r="F65" s="274" t="str">
        <f>IF(Cotations!D65="","",Cotations!D65)</f>
        <v>PROP</v>
      </c>
      <c r="G65" s="274" t="str">
        <f>IF(Cotations!E65="","",Cotations!E65)</f>
        <v>2016-2017!</v>
      </c>
      <c r="H65" s="274" t="str">
        <f>IF(Cotations!F65="","",Cotations!F65)</f>
        <v>SINGLE</v>
      </c>
      <c r="I65" s="274" t="str">
        <f>IF(Cotations!G65="","",Cotations!G65)</f>
        <v/>
      </c>
      <c r="J65" s="274" t="str">
        <f>IF(Cotations!H65="","",Cotations!H65)</f>
        <v/>
      </c>
      <c r="K65" s="274" t="str">
        <f>IF(Cotations!I65="","",Cotations!I65)</f>
        <v/>
      </c>
      <c r="L65" s="274" t="str">
        <f>IF(A65=FALSE,"",IF(Cotations!N65="","",Cotations!N65))</f>
        <v/>
      </c>
      <c r="M65" s="274" t="str">
        <f>IF(Cotations!P65="","",Cotations!P65)</f>
        <v/>
      </c>
      <c r="N65" s="724" t="str">
        <f>IF(NAMES!$B$10=TRUE,Cotations!J65,Cotations!L65)</f>
        <v/>
      </c>
      <c r="O65" s="724" t="str">
        <f>IF(NAMES!$B$10=TRUE,Cotations!K65,Cotations!M65)</f>
        <v/>
      </c>
      <c r="P65" s="943" t="str">
        <f t="shared" si="415"/>
        <v/>
      </c>
      <c r="Q65" s="724" t="str">
        <f>IF(A65=FALSE,"",IF(Crewlist!Y65="","",Crewlist!Y65))</f>
        <v/>
      </c>
      <c r="R65" s="78" t="str">
        <f>IF(Cotations!U65="","",Cotations!U65)</f>
        <v/>
      </c>
      <c r="S65" s="943" t="str">
        <f t="shared" si="416"/>
        <v/>
      </c>
      <c r="T65" s="919" t="str">
        <f>IF(A65=FALSE,"",VLOOKUP($U$15:$U$120,Currency!$A$2:$D$10,4,0)*Crewlist!N65)</f>
        <v/>
      </c>
      <c r="U65" s="1355" t="str">
        <f>IF(A65=FALSE,"",IF(IT65=0,Crewlist!M65&amp;"/"&amp;EX65,Crewlist!M65&amp;"/"&amp;IT65))</f>
        <v/>
      </c>
      <c r="V65" s="919" t="str">
        <f>IF(A65=FALSE,"",VLOOKUP($U$15:$U$120,Currency!$A$2:$D$10,4,0)*Detail!Q65)</f>
        <v/>
      </c>
      <c r="W65" s="1355" t="str">
        <f>IF(A65=FALSE,"",IF(IT65=0,Detail!R65&amp;"/"&amp;EX65,Detail!R65&amp;"/"&amp;IT65))</f>
        <v/>
      </c>
      <c r="X65" s="919" t="str">
        <f>IF(A65=FALSE,"",IF(LISTES!$C$17="Crewlist",Calcul!T65,Calcul!V65))</f>
        <v/>
      </c>
      <c r="Y65" s="758" t="str">
        <f t="shared" si="417"/>
        <v/>
      </c>
      <c r="Z65" s="758" t="str">
        <f>IF(A65=FALSE,"",IF(X65=0,0,IF((Cotations!BC65*12*X65)&lt;50000,50000,(12*X65))))</f>
        <v/>
      </c>
      <c r="AA65" s="758" t="str">
        <f t="shared" si="418"/>
        <v/>
      </c>
      <c r="AB65" s="758" t="str">
        <f>IF(A65=FALSE,"",IF(Crewlist!O65=0,"",Crewlist!O65))</f>
        <v/>
      </c>
      <c r="AC65" s="758" t="str">
        <f>IF(I65="","",VLOOKUP($AB$15:$AB$120,Currency!$A$15:$B$34,2,0))</f>
        <v/>
      </c>
      <c r="AD65" s="758" t="str">
        <f t="shared" si="419"/>
        <v/>
      </c>
      <c r="AE65" s="758" t="str">
        <f t="shared" si="420"/>
        <v/>
      </c>
      <c r="AF65" s="758" t="str">
        <f t="shared" si="421"/>
        <v/>
      </c>
      <c r="AG65" s="758" t="str">
        <f t="shared" si="422"/>
        <v/>
      </c>
      <c r="AH65" s="1355" t="str">
        <f t="shared" si="434"/>
        <v/>
      </c>
      <c r="AI65" s="919" t="str">
        <f t="shared" si="423"/>
        <v/>
      </c>
      <c r="AJ65" s="1382" t="str">
        <f t="shared" si="424"/>
        <v/>
      </c>
      <c r="AK65" s="1382" t="str">
        <f t="shared" si="425"/>
        <v/>
      </c>
      <c r="AL65" s="238" t="str">
        <f t="shared" si="435"/>
        <v/>
      </c>
      <c r="AM65" s="238" t="str">
        <f t="shared" si="436"/>
        <v/>
      </c>
      <c r="AN65" s="1374" t="str">
        <f t="shared" si="437"/>
        <v/>
      </c>
      <c r="AO65" s="238" t="str">
        <f t="shared" si="438"/>
        <v/>
      </c>
      <c r="AP65" s="342" t="str">
        <f>IF(A65=FALSE,"",INDEX(Rates!$Z$5:$Z$367,MATCH(EB65,colchoice,0)))</f>
        <v/>
      </c>
      <c r="AQ65" s="238" t="str">
        <f t="shared" si="439"/>
        <v/>
      </c>
      <c r="AR65" s="238" t="str">
        <f t="shared" si="440"/>
        <v/>
      </c>
      <c r="AS65" s="238" t="str">
        <f t="shared" si="441"/>
        <v/>
      </c>
      <c r="AT65" s="238" t="str">
        <f t="shared" si="442"/>
        <v/>
      </c>
      <c r="AU65" s="238" t="str">
        <f t="shared" si="443"/>
        <v/>
      </c>
      <c r="AV65" s="238" t="str">
        <f t="shared" si="429"/>
        <v/>
      </c>
      <c r="AW65" s="238" t="str">
        <f t="shared" si="444"/>
        <v/>
      </c>
      <c r="AX65" s="238" t="str">
        <f t="shared" si="445"/>
        <v/>
      </c>
      <c r="AY65" s="238" t="str">
        <f t="shared" si="446"/>
        <v/>
      </c>
      <c r="AZ65" s="238" t="str">
        <f t="shared" si="447"/>
        <v/>
      </c>
      <c r="BA65" s="238" t="str">
        <f t="shared" si="448"/>
        <v/>
      </c>
      <c r="BB65" s="552" t="str">
        <f t="shared" si="449"/>
        <v/>
      </c>
      <c r="BC65" s="347" t="str">
        <f t="shared" si="450"/>
        <v/>
      </c>
      <c r="BD65" s="239" t="str">
        <f t="shared" si="430"/>
        <v/>
      </c>
      <c r="BE65" s="239" t="str">
        <f>IF(A65=FALSE,"",IF(ALLTHESAME=TRUE,IF(DF65&lt;&gt;$BC$7,0,INDEX(DD65:DZ65,1,MATCH(Structure!$D$12,$DD$14:$DZ$14,0))),IF(EC65&lt;&gt;$BC$7,0,INDEX(EA65:EZ65,1,MATCH(Structure!$D$12,$EA$14:$EZ$14,0)))))</f>
        <v/>
      </c>
      <c r="BF65" s="239" t="str">
        <f>IF(A65=FALSE,"",IF(ALLTHESAME=TRUE,IF(FC65&lt;&gt;$BC$7,0,INDEX(FA65:FZ65,1,MATCH(Structure!$D$12,$FA$14:$FZ$14,0))),IF(GC65&lt;&gt;$BC$7,0,INDEX(GA65:GZ65,1,MATCH(Structure!$D$12,$GA$14:$GZ$14,0)))))</f>
        <v/>
      </c>
      <c r="BG65" s="239" t="str">
        <f>IF(A65=FALSE,"",IF(ALLTHESAME=TRUE,IF(VC65&lt;&gt;$BC$7,0,INDEX(VA65:VZ65,1,MATCH(Structure!$D$12,$VA$14:$VZ$14,0))),IF(VC65&lt;&gt;$BC$7,0,INDEX(VA65:VZ65,1,MATCH(Structure!$D$12,$VA$14:$VZ$14,0)))))</f>
        <v/>
      </c>
      <c r="BH65" s="239" t="str">
        <f>IF(A65=FALSE,"",IF(ALLTHESAME=TRUE,IF(WC65&lt;&gt;$BC$7,0,INDEX(WA65:WY65,1,MATCH(Structure!$D$12,$WA$14:$WZ$14,0))),IF(WC65&lt;&gt;$BC$7,0,INDEX(WA65:WZ65,1,MATCH(Structure!$D$12,$WA$14:$WZ$14,0)))))</f>
        <v/>
      </c>
      <c r="BI65" s="763" t="str">
        <f>IF(A65=FALSE,"",IF(ALLTHESAME=TRUE,IF(HC65&lt;&gt;$BC$7,0,INDEX(HA65:HZ65,1,MATCH(Structure!$D$12,$HA$14:$HZ$14,0)))+TK65,IF(IC65&lt;&gt;$BC$7,0,INDEX(IA65:IZ65,1,MATCH(Structure!$D$12,$IA$14:$IZ$14,0)))+TK65))</f>
        <v/>
      </c>
      <c r="BJ65" s="239" t="str">
        <f>IF(A65=FALSE,"",IF(ALLTHESAME=TRUE,IF(JC65&lt;&gt;$BC$7,0,INDEX(JA65:JZ65,1,MATCH(Structure!$D$12,$JA$14:$JZ$14,0))),IF(KC65&lt;&gt;$BC$7,0,INDEX(KA65:KZ65,1,MATCH(Structure!$D$12,$KA$14:$KZ$14,0)))))</f>
        <v/>
      </c>
      <c r="BK65" s="763" t="str">
        <f>IF(A65=FALSE,"",IF(ALLTHESAME=TRUE,IF(LC65&lt;&gt;$BC$7,0,INDEX(LA65:LZ65,1,MATCH(Structure!$D$12,$LA$14:$LZ$14,0)))+UK65,IF(MC65&lt;&gt;$BC$7,0,INDEX(MA65:MZ65,1,MATCH(Structure!$D$12,$MA$14:$MZ$14,0)))+UK65))</f>
        <v/>
      </c>
      <c r="BL65" s="239" t="str">
        <f>IF(A65=FALSE,"",IF(ALLTHESAME=TRUE,IF(NC65&lt;&gt;$BC$7,0,INDEX(NA65:NZ65,1,MATCH(Structure!$D$12,$NA$14:$NZ$14,0))),IF(OC65&lt;&gt;$BC$7,0,INDEX(OA65:OZ65,1,MATCH(Structure!$D$12,$OA$14:$OZ$14,0)))))</f>
        <v/>
      </c>
      <c r="BM65" s="239" t="str">
        <f>IF(A65=FALSE,"",IF(ALLTHESAME=TRUE,IF(PC65&lt;&gt;$BC$7,0,INDEX(PA65:PZ65,1,MATCH(Structure!$D$12,$PA$14:$PZ$14,0))),IF(QC65&lt;&gt;$BC$7,0,INDEX(QA65:QZ65,1,MATCH(Structure!$D$12,$QA$14:$QZ$14,0)))))</f>
        <v/>
      </c>
      <c r="BN65" s="341" t="str">
        <f>IF(A65=FALSE,"",IF(ALLTHESAME=TRUE,IF(RC65&lt;&gt;$BC$7,0,INDEX(RA65:RZ65,1,MATCH(Structure!$D$12,$RA$14:$RZ$14,0))),IF(SC65&lt;&gt;$BC$7,0,INDEX(SA65:TA65,1,MATCH(Structure!$D$12,$SA$14:$TA$14,0)))))</f>
        <v/>
      </c>
      <c r="BO65" s="507" t="str">
        <f t="shared" si="451"/>
        <v/>
      </c>
      <c r="BP65" s="239" t="str">
        <f t="shared" si="452"/>
        <v/>
      </c>
      <c r="BQ65" s="239" t="str">
        <f>IF(A65=FALSE,"",IF(ALLTHESAME=TRUE,IF(DF65&lt;&gt;$BO$7,0,INDEX(DD65:DZ65,1,MATCH(Structure!$D$12,$DD$14:$DZ$14,0))),IF(EC65&lt;&gt;$BO$7,0,INDEX(EA65:EZ65,1,MATCH(Structure!$D$12,$EA$14:$EZ$14,0)))))</f>
        <v/>
      </c>
      <c r="BR65" s="239" t="str">
        <f>IF(A65=FALSE,"",IF(ALLTHESAME=TRUE,IF(FC65&lt;&gt;$BO$7,0,INDEX(FA65:FZ65,1,MATCH(Structure!$D$12,$FA$14:$FZ$14,0))),IF(GC65&lt;&gt;$BO$7,0,INDEX(GA65:GZ65,1,MATCH(Structure!$D$12,$GA$14:$GZ$14,0)))))</f>
        <v/>
      </c>
      <c r="BS65" s="239" t="str">
        <f>IF(A65=FALSE,"",IF(ALLTHESAME=TRUE,IF(HC65&lt;&gt;$BO$7,0,INDEX(HA65:HZ65,1,MATCH(Structure!$D$12,$HA$14:$HZ$14,0))),IF(IC65&lt;&gt;$BO$7,0,INDEX(IA65:IZ65,1,MATCH(Structure!$D$12,$IA$14:$IZ$14,0)))))</f>
        <v/>
      </c>
      <c r="BT65" s="239" t="str">
        <f>IF(A65=FALSE,"",IF(ALLTHESAME=TRUE,IF(JC65&lt;&gt;$BO$7,0,INDEX(JA65:JZ65,1,MATCH(Structure!$D$12,$JA$14:$JZ$14,0))),IF(KC65&lt;&gt;$BO$7,0,INDEX(KA65:KZ65,1,MATCH(Structure!$D$12,$KA$14:$KZ$14,0)))))</f>
        <v/>
      </c>
      <c r="BU65" s="239" t="str">
        <f>IF(A65=FALSE,"",IF(ALLTHESAME=TRUE,IF(LC65&lt;&gt;$BO$7,0,INDEX(LA65:LZ65,1,MATCH(Structure!$D$12,$LA$14:$LZ$14,0))),IF(MC65&lt;&gt;$BO$7,0,INDEX(MA65:MZ65,1,MATCH(Structure!$D$12,$MA$14:$MZ$14,0)))))</f>
        <v/>
      </c>
      <c r="BV65" s="239" t="str">
        <f>IF(A65=FALSE,"",IF(ALLTHESAME=TRUE,IF(NC65&lt;&gt;$BO$7,0,INDEX(NA65:NZ65,1,MATCH(Structure!$D$12,$NA$14:$NZ$14,0))),IF(OC65&lt;&gt;$BO$7,0,INDEX(OA65:OZ65,1,MATCH(Structure!$D$12,$OA$14:$OZ$14,0)))))</f>
        <v/>
      </c>
      <c r="BW65" s="239" t="str">
        <f>IF(A65=FALSE,"",IF(ALLTHESAME=TRUE,IF(PC65&lt;&gt;$BO$7,0,INDEX(PA65:PZ65,1,MATCH(Structure!$D$12,$PA$14:$PZ$14,0))),IF(QC65&lt;&gt;$BO$7,0,INDEX(QA65:QZ65,1,MATCH(Structure!$D$12,$QA$14:$QZ$14,0)))))</f>
        <v/>
      </c>
      <c r="BX65" s="341" t="str">
        <f>IF(A65=FALSE,"",IF(ALLTHESAME=TRUE,IF(RC65&lt;&gt;$BO$7,0,INDEX(RA65:RZ65,1,MATCH(Structure!$D$12,$RA$14:$RZ$14,0))),IF(SC65&lt;&gt;$BO$7,0,INDEX(SA65:TA65,1,MATCH(Structure!$D$12,$SA$14:$TA$14,0)))))</f>
        <v/>
      </c>
      <c r="BY65" s="347" t="str">
        <f t="shared" si="453"/>
        <v/>
      </c>
      <c r="BZ65" s="507" t="str">
        <f t="shared" si="454"/>
        <v/>
      </c>
      <c r="CA65" s="239" t="str">
        <f t="shared" si="455"/>
        <v/>
      </c>
      <c r="CB65" s="239" t="str">
        <f>IF(A65=FALSE,"",IF(ALLTHESAME=TRUE,INDEX(DD65:DZ65,MATCH(DF65,DF65:DF170,0),MATCH(Structure!$D$17,$DD$14:$DZ$14,0)),INDEX(EA65:EZ65,MATCH(EC65,EC65:EC170,0),MATCH(Structure!$D$17,$EA$14:$EZ$14,0))))</f>
        <v/>
      </c>
      <c r="CC65" s="239" t="str">
        <f>IF(A65=FALSE,"",IF(ALLTHESAME=TRUE,INDEX(FA65:FZ65,MATCH(FC65,FC65:FC170,0),MATCH(Structure!$D$17,$FA$14:$FZ$14,0)),INDEX(GA65:GZ65,MATCH(GC65,GC65:GC170,0),MATCH(Structure!$D$17,$GA$14:$GZ$14,0))))</f>
        <v/>
      </c>
      <c r="CD65" s="239" t="str">
        <f>IF(A65=FALSE,"",IF(ALLTHESAME=TRUE,INDEX(HA65:HZ65,MATCH(HC65,HC65:HC170,0),MATCH(Structure!$D$17,$HA$14:$HZ$14,0)),INDEX(IA65:IZ65,MATCH(IC65,IC65:IC170,0),MATCH(Structure!$D$17,$IA$14:$IZ$14,0))))</f>
        <v/>
      </c>
      <c r="CE65" s="239" t="str">
        <f>IF(A65=FALSE,"",IF(ALLTHESAME=TRUE,INDEX(JA65:JZ65,MATCH(JC65,JC65:JC170,0),MATCH(Structure!$D$17,$JA$14:$JZ$14,0)),INDEX(KA65:KZ65,MATCH(KC65,KC65:KC170,0),MATCH(Structure!$D$17,$KA$14:$KZ$14,0))))</f>
        <v/>
      </c>
      <c r="CF65" s="239" t="str">
        <f>IF(A65=FALSE,"",IF(ALLTHESAME=TRUE,INDEX(LA65:LZ65,MATCH(LC65,LC65:LC170,0),MATCH(Structure!$D$17,$LA$14:$LZ$14,0)),INDEX(MA65:MZ65,MATCH(MC65,MC65:MC170,0),MATCH(Structure!$D$17,$MA$14:$MZ$14,0))))</f>
        <v/>
      </c>
      <c r="CG65" s="239" t="str">
        <f>IF(A65=FALSE,"",IF(ALLTHESAME=TRUE,INDEX(NA65:NZ65,MATCH(NC65,NC65:NC170,0),MATCH(Structure!$D$17,$NA$14:$NZ$14,0)),INDEX(OA65:OZ65,MATCH(OC65,OC65:OC170,0),MATCH(Structure!$D$17,$OA$14:$OZ$14,0))))</f>
        <v/>
      </c>
      <c r="CH65" s="239" t="str">
        <f>IF(A65=FALSE,"",IF(ALLTHESAME=TRUE,INDEX(PA65:PZ65,MATCH(PC65,PC65:PC170,0),MATCH(Structure!$D$17,$PA$14:$PZ$14,0)),INDEX(QA65:QZ65,MATCH(QC65,QC65:QC170,0),MATCH(Structure!$D$17,$QA$14:$QZ$14,0))))</f>
        <v/>
      </c>
      <c r="CI65" s="341" t="str">
        <f>IF(A65=FALSE,"",IF(ALLTHESAME=TRUE,INDEX(RA65:RZ65,MATCH(RC65,RC65:RC170,0),MATCH(Structure!$D$17,$RA$14:$RZ$14,0)),INDEX(SA65:TC65,MATCH(SC65,SC65:SC170,0),MATCH(Structure!$D$17,$SA$14:$TC$14,0))))</f>
        <v/>
      </c>
      <c r="CJ65" s="347"/>
      <c r="CK65" s="239" t="str">
        <f t="shared" si="456"/>
        <v/>
      </c>
      <c r="CL65" s="239" t="str">
        <f>IF(A65=FALSE,"",IF(ALLTHESAME=TRUE,INDEX(DD65:DZ65,MATCH(DF65,DF65:DF170,0),MATCH(Structure!$D$22,$DD$14:$DZ$14,0)),INDEX(EA65:EZ65,MATCH(EC65,EC65:EC170,0),MATCH(Structure!$D$22,$EA$14:$EZ$14,0))))</f>
        <v/>
      </c>
      <c r="CM65" s="239" t="str">
        <f>IF(A65=FALSE,"",IF(ALLTHESAME=TRUE,INDEX(FA65:FZ65,MATCH(FC65,FC65:FC170,0),MATCH(Structure!$D$22,$FA$14:$FZ$14,0)),INDEX(GA65:GZ65,MATCH(GC65,GC65:GC170,0),MATCH(Structure!$D$22,$GA$14:$GZ$14,0))))</f>
        <v/>
      </c>
      <c r="CN65" s="239" t="str">
        <f>IF(A65=FALSE,"",IF(ALLTHESAME=TRUE,INDEX(HA65:HZ65,MATCH(HC65,HC65:HC170,0),MATCH(Structure!$D$22,$HA$14:$HZ$14,0)),INDEX(IA65:IZ65,MATCH(IC65,IC65:IC170,0),MATCH(Structure!$D$22,$IA$14:$IZ$14,0))))</f>
        <v/>
      </c>
      <c r="CO65" s="239" t="str">
        <f>IF(A65=FALSE,"",IF(ALLTHESAME=TRUE,INDEX(JA65:JZ65,MATCH(JC65,JC65:JC170,0),MATCH(Structure!$D$22,$JA$14:$JZ$14,0)),INDEX(KA65:KZ65,MATCH(KC65,KC65:KC170,0),MATCH(Structure!$D$22,$KA$14:$KZ$14,0))))</f>
        <v/>
      </c>
      <c r="CP65" s="239" t="str">
        <f>IF(A65=FALSE,"",IF(ALLTHESAME=TRUE,INDEX(LA65:LZ65,MATCH(LC65,LC65:LC170,0),MATCH(Structure!$D$22,$LA$14:$LZ$14,0)),INDEX(MA65:MZ65,MATCH(MC65,MC65:MC170,0),MATCH(Structure!$D$22,$MA$14:$MZ$14,0))))</f>
        <v/>
      </c>
      <c r="CQ65" s="239" t="str">
        <f>IF(A65=FALSE,"",IF(ALLTHESAME=TRUE,INDEX(NA65:NZ65,MATCH(NC65,NC65:NC170,0),MATCH(Structure!$D$22,$NA$14:$NZ$14,0)),INDEX(OA65:OZ65,MATCH(OC65,OC65:OC170,0),MATCH(Structure!$D$22,$OA$14:$OZ$14,0))))</f>
        <v/>
      </c>
      <c r="CR65" s="239" t="str">
        <f>IF(A65=FALSE,"",IF(ALLTHESAME=TRUE,INDEX(PA65:PZ65,MATCH(PC65,PC65:PC170,0),MATCH(Structure!$D$22,$PA$14:$PZ$14,0)),INDEX(QA65:QZ65,MATCH(QC65,QC65:QC170,0),MATCH(Structure!$D$22,$QA$14:$QZ$14,0))))</f>
        <v/>
      </c>
      <c r="CS65" s="341" t="str">
        <f>IF(A65=FALSE,"",IF(ALLTHESAME=TRUE,INDEX(RA65:RZ65,MATCH(RC65,RC65:RC170,0),MATCH(Structure!$D$22,$RA$14:$RZ$14,0)),INDEX(SA65:TC65,MATCH(SC65,SC65:SC170,0),MATCH(Structure!$D$22,$SA$14:$TC$14,0))))</f>
        <v/>
      </c>
      <c r="CT65" s="347"/>
      <c r="CU65" s="239" t="str">
        <f t="shared" si="457"/>
        <v/>
      </c>
      <c r="CV65" s="239" t="str">
        <f>IF(A65=FALSE,"",IF(ALLTHESAME=TRUE,INDEX(DD65:DZ65,MATCH(DF65,DF65:DF170,0),MATCH(Structure!$D$8,$DD$14:$DZ$14,0)),INDEX(EA65:EZ65,MATCH(EC65,EC65:EC170,0),MATCH(Structure!$D$8,$EA$14:$EZ$14,0))))</f>
        <v/>
      </c>
      <c r="CW65" s="239" t="str">
        <f>IF(A65=FALSE,"",IF(ALLTHESAME=TRUE,INDEX(FA65:FZ65,MATCH(FC65,FC65:FC170,0),MATCH(Structure!$D$8,$FA$14:$FZ$14,0)),INDEX(GA65:GZ65,MATCH(GC65,GC65:GC170,0),MATCH(Structure!$D$8,$GA$14:$GZ$14,0))))</f>
        <v/>
      </c>
      <c r="CX65" s="239" t="str">
        <f>IF(A65=FALSE,"",IF(ALLTHESAME=TRUE,INDEX(HA65:HZ65,MATCH(HC65,HC65:HC170,0),MATCH(Structure!$D$8,$HA$14:$HZ$14,0)),INDEX(IA65:IZ65,MATCH(IC65,IC65:IC170,0),MATCH(Structure!$D$8,$IA$14:$IZ$14,0))))</f>
        <v/>
      </c>
      <c r="CY65" s="239" t="str">
        <f>IF(A65=FALSE,"",IF(ALLTHESAME=TRUE,INDEX(JA65:JZ65,MATCH(JC65,JC65:JC170,0),MATCH(Structure!$D$8,$JA$14:$JZ$14,0)),INDEX(KA65:KZ65,MATCH(KC65,KC65:KC170,0),MATCH(Structure!$D$8,$KA$14:$KZ$14,0))))</f>
        <v/>
      </c>
      <c r="CZ65" s="239" t="str">
        <f>IF(A65=FALSE,"",IF(ALLTHESAME=TRUE,INDEX(LA65:LZ65,MATCH(LC65,LC65:LC170,0),MATCH(Structure!$D$8,$LA$14:$LZ$14,0)),INDEX(MA65:MZ65,MATCH(MC65,MC65:MC170,0),MATCH(Structure!$D$8,$MA$14:$MZ$14,0))))</f>
        <v/>
      </c>
      <c r="DA65" s="239" t="str">
        <f>IF(A65=FALSE,"",IF(ALLTHESAME=TRUE,INDEX(NA65:NZ65,MATCH(NC65,NC65:NC170,0),MATCH(Structure!$D$8,$NA$14:$NZ$14,0)),INDEX(OA65:OZ65,MATCH(OC65,OC65:OC170,0),MATCH(Structure!$D$8,$OA$14:$OZ$14,0))))</f>
        <v/>
      </c>
      <c r="DB65" s="239" t="str">
        <f>IF(A65=FALSE,"",IF(ALLTHESAME=TRUE,INDEX(PA65:PZ65,MATCH(PC65,PC65:PC170,0),MATCH(Structure!$D$8,$PA$14:$PZ$14,0)),INDEX(QA65:QZ65,MATCH(QC65,QC65:QC170,0),MATCH(Structure!$D$8,$QA$14:$QZ$14,0))))</f>
        <v/>
      </c>
      <c r="DC65" s="341" t="str">
        <f>IF(A65=FALSE,"",IF(ALLTHESAME=TRUE,INDEX(RA65:RZ65,MATCH(RC65,RC65:RC170,0),MATCH(Structure!$D$8,$RA$14:$RZ$14,0)),INDEX(SA65:TC65,MATCH(SC65,SC65:SC170,0),MATCH(Structure!$D$8,$SA$14:$TC$14,0))))</f>
        <v/>
      </c>
      <c r="DD65" s="492" t="str">
        <f>IF(A65=FALSE,"",Cotations!D65)</f>
        <v/>
      </c>
      <c r="DE65" s="492" t="str">
        <f>IF(A65=FALSE,"",IF(LISTES!$A$17=1,Cotations!AF65,Cotations!$AG$4))</f>
        <v/>
      </c>
      <c r="DF65" s="291" t="str">
        <f t="shared" si="458"/>
        <v/>
      </c>
      <c r="DG65" s="291" t="str">
        <f t="shared" si="459"/>
        <v/>
      </c>
      <c r="DH65" s="291"/>
      <c r="DI65" s="463"/>
      <c r="DJ65" s="463" t="str">
        <f t="shared" si="460"/>
        <v/>
      </c>
      <c r="DK65" s="522" t="str">
        <f>IF(A65=FALSE,"",IF(Cotations!$AH$4="monthly",DJ65/12*L65,DJ65/365*M65))</f>
        <v/>
      </c>
      <c r="DL65" s="489" t="str">
        <f>IF(A65=FALSE,"",Cotations!$AI$4)</f>
        <v/>
      </c>
      <c r="DM65" s="300" t="str">
        <f t="shared" si="461"/>
        <v/>
      </c>
      <c r="DN65" s="300" t="str">
        <f t="shared" si="462"/>
        <v/>
      </c>
      <c r="DO65" s="294" t="str">
        <f t="shared" si="463"/>
        <v/>
      </c>
      <c r="DP65" s="494" t="str">
        <f>IF(A65=FALSE,"",Cotations!$AJ$4)</f>
        <v/>
      </c>
      <c r="DQ65" s="494" t="str">
        <f>IF(A65=FALSE,"",Cotations!$AK$4)</f>
        <v/>
      </c>
      <c r="DR65" s="489" t="str">
        <f>IF(A65=FALSE,"",Cotations!$AL$4)</f>
        <v/>
      </c>
      <c r="DS65" s="494" t="str">
        <f>IF(A65=FALSE,"",IF(DP65="N/A",0,IF(INDEX(LISTES!$F$105:$F$109,MATCH(DP65,LISTES!$C$105:$C$109,0))="FIX",IF(INDEX(LISTES!$E$105:$E$109,MATCH(DP65,LISTES!$C$105:$C$109,0))=12,DQ65/12*L65,DQ65/365*M65),DR65*DO65)))</f>
        <v/>
      </c>
      <c r="DT65" s="294" t="str">
        <f t="shared" si="464"/>
        <v/>
      </c>
      <c r="DU65" s="294" t="str">
        <f>IF(A65=FALSE,"",DT65*Cotations!$AM$4)</f>
        <v/>
      </c>
      <c r="DV65" s="294" t="str">
        <f>IF(A65=FALSE,"",DT65*Cotations!$AN$4)</f>
        <v/>
      </c>
      <c r="DW65" s="465" t="str">
        <f t="shared" si="465"/>
        <v/>
      </c>
      <c r="DX65" s="919" t="str">
        <f>IF(A65=FALSE,"",((DJ65*TAXE)-(DJ65*TAXE*DL65))+IF(DP65="N/A",0,IF(INDEX(LISTES!$F$105:$F$109,MATCH(DP65,LISTES!$C$105:$C$109,0))="FIX",DQ65,DR65*DO65)))</f>
        <v/>
      </c>
      <c r="DY65" s="466"/>
      <c r="DZ65" s="466"/>
      <c r="EA65" s="492" t="str">
        <f>IF(A65=FALSE,"",Cotations!D65)</f>
        <v/>
      </c>
      <c r="EB65" s="494" t="str">
        <f>IF(A65=FALSE,"",IF(LISTES!$A$17=1,Cotations!AF65,Cotations!AG65))</f>
        <v/>
      </c>
      <c r="EC65" s="284" t="str">
        <f t="shared" si="466"/>
        <v/>
      </c>
      <c r="ED65" s="284" t="str">
        <f t="shared" si="467"/>
        <v/>
      </c>
      <c r="EE65" s="284"/>
      <c r="EF65" s="284"/>
      <c r="EG65" s="284" t="str">
        <f t="shared" si="468"/>
        <v/>
      </c>
      <c r="EH65" s="1365" t="str">
        <f t="shared" si="469"/>
        <v/>
      </c>
      <c r="EI65" s="1365" t="str">
        <f t="shared" si="470"/>
        <v/>
      </c>
      <c r="EJ65" s="515" t="str">
        <f>IF(A65=FALSE,"",IF(Cotations!AH65="monthly",EG65/12*L65,EG65/365*M65))</f>
        <v/>
      </c>
      <c r="EK65" s="1364" t="str">
        <f>IF(A65=FALSE,"",IF(Cotations!AH65="monthly",EI65/12*L65,EI65/365*M65))</f>
        <v/>
      </c>
      <c r="EL65" s="493" t="str">
        <f>IF(A65=FALSE,"",IF(Cotations!AI65="","",Cotations!AI65))</f>
        <v/>
      </c>
      <c r="EM65" s="284" t="str">
        <f t="shared" si="471"/>
        <v/>
      </c>
      <c r="EN65" s="284" t="str">
        <f t="shared" si="472"/>
        <v/>
      </c>
      <c r="EO65" s="1365" t="str">
        <f t="shared" si="432"/>
        <v/>
      </c>
      <c r="EP65" s="284" t="str">
        <f t="shared" si="473"/>
        <v/>
      </c>
      <c r="EQ65" s="515" t="str">
        <f>IF(A65=FALSE,"",Cotations!AJ65)</f>
        <v/>
      </c>
      <c r="ER65" s="515" t="str">
        <f>IF(A65=FALSE,"",IF(Cotations!AK65="","",Cotations!AK65))</f>
        <v/>
      </c>
      <c r="ES65" s="493" t="str">
        <f>IF(A65=FALSE,"",Cotations!AL65)</f>
        <v/>
      </c>
      <c r="ET65" s="515" t="str">
        <f>IF(A65=FALSE,"",IF(EQ65="N/A",0,IF(INDEX(LISTES!$F$105:$F$109,MATCH(EQ65,LISTES!$C$105:$C$109,0))="FIX",IF(INDEX(LISTES!$E$105:$E$109,MATCH(EQ65,LISTES!$C$105:$C$109,0))=12,ER65/12*L65,ER65/365*M65),ES65*EP65)))</f>
        <v/>
      </c>
      <c r="EU65" s="294" t="str">
        <f t="shared" si="474"/>
        <v/>
      </c>
      <c r="EV65" s="494" t="str">
        <f>IF(A65=FALSE,"",EU65*Cotations!AM65)</f>
        <v/>
      </c>
      <c r="EW65" s="494" t="str">
        <f>IF(A65=FALSE,"",EU65*Cotations!AN65)</f>
        <v/>
      </c>
      <c r="EX65" s="334" t="str">
        <f t="shared" si="475"/>
        <v/>
      </c>
      <c r="EY65" s="919" t="str">
        <f>IF(A65=FALSE,"",((EG65*TAXE)-(EG65*TAXE*EL65)+EH65)+IF(EQ65="N/A",0,IF(INDEX(LISTES!$F$105:$F$109,MATCH(EQ65,LISTES!$C$105:$C$109,0))="FIX",ER65,ES65*EP65)))</f>
        <v/>
      </c>
      <c r="FA65" s="492" t="str">
        <f>IF(A65=FALSE,"",Cotations!D65)</f>
        <v/>
      </c>
      <c r="FB65" s="519" t="str">
        <f>IF(A65=FALSE,"",IF(LISTES!$A$17=1,Cotations!AO65,Cotations!$AP$4))</f>
        <v/>
      </c>
      <c r="FC65" s="291" t="str">
        <f t="shared" si="476"/>
        <v/>
      </c>
      <c r="FD65" s="291" t="str">
        <f t="shared" si="477"/>
        <v/>
      </c>
      <c r="FE65" s="291"/>
      <c r="FF65" s="463"/>
      <c r="FG65" s="463" t="str">
        <f t="shared" si="478"/>
        <v/>
      </c>
      <c r="FH65" s="522" t="str">
        <f>IF(A65=FALSE,"",IF(Cotations!$AQ$4="monthly",FG65/12*L65,FG65/365*M65))</f>
        <v/>
      </c>
      <c r="FI65" s="453" t="str">
        <f>IF(A65=FALSE,"",Cotations!$AR$4)</f>
        <v/>
      </c>
      <c r="FJ65" s="300" t="str">
        <f t="shared" si="479"/>
        <v/>
      </c>
      <c r="FK65" s="300" t="str">
        <f t="shared" si="480"/>
        <v/>
      </c>
      <c r="FL65" s="294" t="str">
        <f t="shared" si="481"/>
        <v/>
      </c>
      <c r="FM65" s="494" t="str">
        <f>IF(A65=FALSE,"",Cotations!$AS$4)</f>
        <v/>
      </c>
      <c r="FN65" s="494" t="str">
        <f>IF(A65=FALSE,"",Cotations!$AT$4)</f>
        <v/>
      </c>
      <c r="FO65" s="489" t="str">
        <f>IF(A65=FALSE,"",Cotations!$AU$4)</f>
        <v/>
      </c>
      <c r="FP65" s="494" t="str">
        <f>IF(A65=FALSE,"",IF(FM65="N/A",0,IF(INDEX(LISTES!$F$105:$F$109,MATCH(FM65,LISTES!$C$105:$C$109,0))="FIX",IF(INDEX(LISTES!$E$105:$E$109,MATCH(FM65,LISTES!$C$105:$C$109,0))=12,FN65/12*L65,FN65/365*M65),FO65*FL65)))</f>
        <v/>
      </c>
      <c r="FQ65" s="294" t="str">
        <f t="shared" si="482"/>
        <v/>
      </c>
      <c r="FR65" s="494" t="str">
        <f>IF(A65=FALSE,"",FQ65*Cotations!$AV$4)</f>
        <v/>
      </c>
      <c r="FS65" s="494" t="str">
        <f>IF(A65=FALSE,"",FQ65*Cotations!$AW$4)</f>
        <v/>
      </c>
      <c r="FT65" s="465" t="str">
        <f t="shared" si="483"/>
        <v/>
      </c>
      <c r="FU65" s="919" t="str">
        <f>IF(A65=FALSE,"",((FG65*TAXE)-(FG65*TAXE*FI65))+IF(FM65="N/A",0,IF(INDEX(LISTES!$F$105:$F$109,MATCH(FM65,LISTES!$C$105:$C$109,0))="FIX",FN65,FO65*FL65)))</f>
        <v/>
      </c>
      <c r="FV65" s="478"/>
      <c r="FW65" s="478"/>
      <c r="FX65" s="478"/>
      <c r="FY65" s="478"/>
      <c r="FZ65" s="478"/>
      <c r="GA65" s="492" t="str">
        <f>IF(A65=FALSE,"",Cotations!D65)</f>
        <v/>
      </c>
      <c r="GB65" s="494" t="str">
        <f>IF(A65=FALSE,"",IF(LISTES!$A$17=1,Cotations!AO65,Cotations!AP65))</f>
        <v/>
      </c>
      <c r="GC65" s="284" t="str">
        <f t="shared" si="484"/>
        <v/>
      </c>
      <c r="GD65" s="515" t="str">
        <f>IF(A65=FALSE,"",IF(Detail!AM65="","",Detail!AM65))</f>
        <v/>
      </c>
      <c r="GE65" s="284"/>
      <c r="GF65" s="284"/>
      <c r="GG65" s="284" t="str">
        <f t="shared" si="485"/>
        <v/>
      </c>
      <c r="GH65" s="515" t="str">
        <f>IF(A65=FALSE,"",IF(Cotations!AQ65="monthly",GG65/12*L65,GG65/365*M65))</f>
        <v/>
      </c>
      <c r="GI65" s="493" t="str">
        <f>IF(A65=FALSE,"",IF(Cotations!AR65="","",Cotations!AR65))</f>
        <v/>
      </c>
      <c r="GJ65" s="284" t="str">
        <f t="shared" si="486"/>
        <v/>
      </c>
      <c r="GK65" s="284" t="str">
        <f t="shared" si="487"/>
        <v/>
      </c>
      <c r="GL65" s="284" t="str">
        <f t="shared" si="488"/>
        <v/>
      </c>
      <c r="GM65" s="515" t="str">
        <f>IF(A65=FALSE,"",Cotations!AS65)</f>
        <v/>
      </c>
      <c r="GN65" s="515" t="str">
        <f>IF(A65=FALSE,"",Cotations!AT65)</f>
        <v/>
      </c>
      <c r="GO65" s="493" t="str">
        <f>IF(A65=FALSE,"",Cotations!AU65)</f>
        <v/>
      </c>
      <c r="GP65" s="515" t="str">
        <f>IF(A65=FALSE,"",IF(GM65="N/A",0,IF(INDEX(LISTES!$F$105:$F$109,MATCH(GM65,LISTES!$C$105:$C$109,0))="FIX",IF(INDEX(LISTES!$E$105:$E$109,MATCH(GM65,LISTES!$C$105:$C$109,0))=12,GN65/12*L65,GN65/365*M65),GO65*GL65)))</f>
        <v/>
      </c>
      <c r="GQ65" s="294" t="str">
        <f t="shared" si="489"/>
        <v/>
      </c>
      <c r="GR65" s="494" t="str">
        <f>IF(A65=FALSE,"",GQ65*Cotations!AV65)</f>
        <v/>
      </c>
      <c r="GS65" s="494" t="str">
        <f>IF(A65=FALSE,"",GQ65*Cotations!AW65)</f>
        <v/>
      </c>
      <c r="GT65" s="334" t="str">
        <f t="shared" si="490"/>
        <v/>
      </c>
      <c r="GU65" s="919" t="str">
        <f>IF(A65=FALSE,"",((GG65*TAXE)-(GG65*TAXE*GI65))+IF(GM65="N/A",0,IF(INDEX(LISTES!$F$105:$F$109,MATCH(GM65,LISTES!$C$105:$C$109,0))="FIX",GN65,GO65*GL65)))</f>
        <v/>
      </c>
      <c r="GV65" s="478"/>
      <c r="GW65" s="466"/>
      <c r="GX65" s="466"/>
      <c r="GY65" s="466"/>
      <c r="GZ65" s="466"/>
      <c r="HA65" s="492" t="str">
        <f>IF(A65=FALSE,"",Cotations!D65)</f>
        <v/>
      </c>
      <c r="HB65" s="495" t="str">
        <f>IF(A65=FALSE,"",IF(LISTES!$A$17=1,Cotations!AX65,Cotations!$AY$4))</f>
        <v/>
      </c>
      <c r="HC65" s="291" t="str">
        <f t="shared" si="491"/>
        <v/>
      </c>
      <c r="HD65" s="291" t="str">
        <f t="shared" si="492"/>
        <v/>
      </c>
      <c r="HE65" s="456" t="str">
        <f t="shared" si="493"/>
        <v/>
      </c>
      <c r="HF65" s="496" t="str">
        <f>IF(A65=FALSE,"",IF(HA65="POEA",Cotations!BA65,IF(HA65="FIXE",Cotations!$BA$4,Cotations!$BC$4*Y65)))</f>
        <v/>
      </c>
      <c r="HG65" s="300" t="str">
        <f t="shared" si="494"/>
        <v/>
      </c>
      <c r="HH65" s="522" t="str">
        <f>IF(A65=FALSE,"",IF(Cotations!$AZ$4="monthly",HG65/12*L65,HG65/365*M65))</f>
        <v/>
      </c>
      <c r="HI65" s="489" t="str">
        <f>IF(A65=FALSE,"",Cotations!$BD$4)</f>
        <v/>
      </c>
      <c r="HJ65" s="300" t="str">
        <f t="shared" si="495"/>
        <v/>
      </c>
      <c r="HK65" s="300" t="str">
        <f t="shared" si="496"/>
        <v/>
      </c>
      <c r="HL65" s="294" t="str">
        <f t="shared" si="497"/>
        <v/>
      </c>
      <c r="HM65" s="494" t="str">
        <f>IF(A65=FALSE,"",Cotations!$BE$4)</f>
        <v/>
      </c>
      <c r="HN65" s="522" t="str">
        <f>IF(A65=FALSE,"",Cotations!$BF$4)</f>
        <v/>
      </c>
      <c r="HO65" s="489" t="str">
        <f>IF(A65=FALSE,"",Cotations!$BG$4)</f>
        <v/>
      </c>
      <c r="HP65" s="494" t="str">
        <f>IF(A65=FALSE,"",IF(HM65="N/A",0,IF(INDEX(LISTES!$F$105:$F$109,MATCH(HM65,LISTES!$C$105:$C$109,0))="FIX",IF(INDEX(LISTES!$E$105:$E$109,MATCH(HM65,LISTES!$C$105:$C$109,0))=12,HN65/12*L65,HN65/365*M65),HO65*HL65)))</f>
        <v/>
      </c>
      <c r="HQ65" s="294" t="str">
        <f t="shared" si="498"/>
        <v/>
      </c>
      <c r="HR65" s="494" t="str">
        <f>IF(A65=FALSE,"",HQ65*Cotations!$BH$4)</f>
        <v/>
      </c>
      <c r="HS65" s="494" t="str">
        <f>IF(A65=FALSE,"",HQ65*Cotations!$BI$4)</f>
        <v/>
      </c>
      <c r="HT65" s="294" t="str">
        <f t="shared" si="499"/>
        <v/>
      </c>
      <c r="HU65" s="919" t="str">
        <f>IF(A65=FALSE,"",((HG65*TAXE)-(HG65*TAXE*HI65))+IF(HM65="N/A",0,IF(INDEX(LISTES!$F$105:$F$109,MATCH(HM65,LISTES!$C$105:$C$109,0))="FIX",HN65,HO65*HL65)))</f>
        <v/>
      </c>
      <c r="IA65" s="492" t="str">
        <f>IF(A65=FALSE,"",Cotations!D65)</f>
        <v/>
      </c>
      <c r="IB65" s="491" t="str">
        <f>IF(A65=FALSE,"",IF(LISTES!$A$17=1,Cotations!AX65,Cotations!AY65))</f>
        <v/>
      </c>
      <c r="IC65" s="285" t="str">
        <f t="shared" si="500"/>
        <v/>
      </c>
      <c r="ID65" s="300" t="str">
        <f>IF(A65=FALSE,"",IF(LISTES!$A$17=3,Detail!AU65,lig1_Formula_PREVOY))</f>
        <v/>
      </c>
      <c r="IE65" s="461" t="str">
        <f t="shared" si="501"/>
        <v/>
      </c>
      <c r="IF65" s="490" t="str">
        <f>IF(A65=FALSE,"",IF(IA65="POEA",Cotations!BA65,IF(HA65="FIXE",Cotations!BB65,IF(Cotations!BC65*Y65&lt;50000,Z65,Cotations!BC65*Y65))))</f>
        <v/>
      </c>
      <c r="IG65" s="300" t="str">
        <f t="shared" si="502"/>
        <v/>
      </c>
      <c r="IH65" s="522" t="str">
        <f>IF(A65=FALSE,"",IF(Cotations!AZ65="monthly",IG65/12*L65,IG65/365*M65))</f>
        <v/>
      </c>
      <c r="II65" s="489" t="str">
        <f>IF(A65=FALSE,"",IF(Cotations!BD65="","",Cotations!BD65))</f>
        <v/>
      </c>
      <c r="IJ65" s="300" t="str">
        <f t="shared" si="503"/>
        <v/>
      </c>
      <c r="IK65" s="300" t="str">
        <f t="shared" si="504"/>
        <v/>
      </c>
      <c r="IL65" s="919" t="str">
        <f t="shared" si="505"/>
        <v/>
      </c>
      <c r="IM65" s="517" t="str">
        <f>IF(A65=FALSE,"",Cotations!BE65)</f>
        <v/>
      </c>
      <c r="IN65" s="517" t="str">
        <f>IF(A65=FALSE,"",Cotations!BF65)</f>
        <v/>
      </c>
      <c r="IO65" s="493" t="str">
        <f>IF(A65=FALSE,"",Cotations!BG65)</f>
        <v/>
      </c>
      <c r="IP65" s="517" t="str">
        <f>IF(A65=FALSE,"",IF(IM65="N/A",0,IF(INDEX(LISTES!$F$105:$F$109,MATCH(IM65,LISTES!$C$105:$C$109,0))="FIX",IF(INDEX(LISTES!$E$105:$E$109,MATCH(IM65,LISTES!$C$105:$C$109,0))=12,IN65/12*L65,IN65/365*M65),IO65*IL65)))</f>
        <v/>
      </c>
      <c r="IQ65" s="294" t="str">
        <f t="shared" si="506"/>
        <v/>
      </c>
      <c r="IR65" s="494" t="str">
        <f>IF(A65=FALSE,"",IQ65*Cotations!BH65)</f>
        <v/>
      </c>
      <c r="IS65" s="494" t="str">
        <f>IF(A65=FALSE,"",IQ65*Cotations!BI65)</f>
        <v/>
      </c>
      <c r="IT65" s="338" t="str">
        <f t="shared" si="507"/>
        <v/>
      </c>
      <c r="IU65" s="919" t="str">
        <f>IF(A65=FALSE,"",((IG65*TAXE)-(IG65*TAXE*II65))+IF(IM65="N/A",0,IF(INDEX(LISTES!$F$105:$F$109,MATCH(IM65,LISTES!$C$105:$C$109,0))="FIX",IN65,IO65*IL65)))</f>
        <v/>
      </c>
      <c r="JA65" s="492" t="str">
        <f>IF(A65=FALSE,"",Cotations!D65)</f>
        <v/>
      </c>
      <c r="JB65" s="495" t="str">
        <f>IF(A65=FALSE,"",IF(LISTES!$A$17=1,Cotations!BJ65,Cotations!$BK$4))</f>
        <v/>
      </c>
      <c r="JC65" s="291" t="str">
        <f t="shared" si="508"/>
        <v/>
      </c>
      <c r="JD65" s="291" t="str">
        <f t="shared" si="509"/>
        <v/>
      </c>
      <c r="JE65" s="456" t="str">
        <f t="shared" si="510"/>
        <v/>
      </c>
      <c r="JF65" s="496" t="str">
        <f>IF(A65=FALSE,"",IF(JA65="POEA",Cotations!BM65,IF(JA65="FIXE",Cotations!$BM$4,Cotations!$BO$4*Y65)))</f>
        <v/>
      </c>
      <c r="JG65" s="300" t="str">
        <f t="shared" si="511"/>
        <v/>
      </c>
      <c r="JH65" s="522" t="str">
        <f>IF(A65=FALSE,"",IF(Cotations!$BL$4="monthly",JG65/12*L65,JG65/365*M65))</f>
        <v/>
      </c>
      <c r="JI65" s="489" t="str">
        <f>IF(A65=FALSE,"",Cotations!$BP$4)</f>
        <v/>
      </c>
      <c r="JJ65" s="300" t="str">
        <f t="shared" si="512"/>
        <v/>
      </c>
      <c r="JK65" s="300" t="str">
        <f t="shared" si="513"/>
        <v/>
      </c>
      <c r="JL65" s="294" t="str">
        <f t="shared" si="514"/>
        <v/>
      </c>
      <c r="JM65" s="494" t="str">
        <f>IF(A65=FALSE,"",Cotations!$BQ$4)</f>
        <v/>
      </c>
      <c r="JN65" s="522" t="str">
        <f>IF(A65=FALSE,"",Cotations!$BR$4)</f>
        <v/>
      </c>
      <c r="JO65" s="489" t="str">
        <f>IF(A65=FALSE,"",Cotations!$BS$4)</f>
        <v/>
      </c>
      <c r="JP65" s="494" t="str">
        <f>IF(A65=FALSE,"",IF(JM65="N/A",0,IF(INDEX(LISTES!$F$105:$F$109,MATCH(JM65,LISTES!$C$105:$C$109,0))="FIX",IF(INDEX(LISTES!$E$105:$E$109,MATCH(JM65,LISTES!$C$105:$C$109,0))=12,JN65/12*L65,JN65/365*M65),JO65*JL65)))</f>
        <v/>
      </c>
      <c r="JQ65" s="294" t="str">
        <f t="shared" si="515"/>
        <v/>
      </c>
      <c r="JR65" s="494" t="str">
        <f>IF(A65=FALSE,"",JQ65*Cotations!$BT$4)</f>
        <v/>
      </c>
      <c r="JS65" s="494" t="str">
        <f>IF(A65=FALSE,"",JQ65*Cotations!$BU$4)</f>
        <v/>
      </c>
      <c r="JT65" s="294" t="str">
        <f t="shared" si="516"/>
        <v/>
      </c>
      <c r="JU65" s="919" t="str">
        <f>IF(A65=FALSE,"",((JG65*TAXE)-(JG65*TAXE*JI65))+IF(JM65="N/A",0,IF(INDEX(LISTES!$F$105:$F$109,MATCH(JM65,LISTES!$C$105:$C$109,0))="FIX",JN65,JO65*JL65)))</f>
        <v/>
      </c>
      <c r="KA65" s="492" t="str">
        <f>IF(A65=FALSE,"",Cotations!D65)</f>
        <v/>
      </c>
      <c r="KB65" s="491" t="str">
        <f>IF(A65=FALSE,"",IF(LISTES!$A$17=1,Cotations!BJ65,Cotations!BK65))</f>
        <v/>
      </c>
      <c r="KC65" s="285" t="str">
        <f t="shared" si="517"/>
        <v/>
      </c>
      <c r="KD65" s="300"/>
      <c r="KE65" s="461" t="str">
        <f t="shared" si="518"/>
        <v/>
      </c>
      <c r="KF65" s="490" t="str">
        <f>IF(A65=FALSE,"",IF(KA65="POEA",Cotations!BM65,IF(KA65="FIXE",Cotations!BN65,IF(Cotations!BO65*Y65&lt;50000,Z65,Cotations!BO65*Y65))))</f>
        <v/>
      </c>
      <c r="KG65" s="300" t="str">
        <f t="shared" si="519"/>
        <v/>
      </c>
      <c r="KH65" s="522" t="str">
        <f>IF(A65=FALSE,"",IF(Cotations!BL65="monthly",KG65/12*L65,KG65/365*M65))</f>
        <v/>
      </c>
      <c r="KI65" s="489" t="str">
        <f>IF(A65=FALSE,"",IF(Cotations!BP65="","",Cotations!BP65))</f>
        <v/>
      </c>
      <c r="KJ65" s="300" t="str">
        <f t="shared" si="520"/>
        <v/>
      </c>
      <c r="KK65" s="300" t="str">
        <f t="shared" si="521"/>
        <v/>
      </c>
      <c r="KL65" s="919" t="str">
        <f t="shared" si="522"/>
        <v/>
      </c>
      <c r="KM65" s="517" t="str">
        <f>IF(A65=FALSE,"",Cotations!BQ65)</f>
        <v/>
      </c>
      <c r="KN65" s="515" t="str">
        <f>IF(A65=FALSE,"",Cotations!BR65)</f>
        <v/>
      </c>
      <c r="KO65" s="493" t="str">
        <f>IF(A65=FALSE,"",Cotations!BS65)</f>
        <v/>
      </c>
      <c r="KP65" s="517" t="str">
        <f>IF(A65=FALSE,"",IF(KM65="N/A",0,IF(INDEX(LISTES!$F$105:$F$109,MATCH(KM65,LISTES!$C$105:$C$109,0))="FIX",IF(INDEX(LISTES!$E$105:$E$109,MATCH(KM65,LISTES!$C$105:$C$109,0))=12,KN65/12*L65,KN65/365*M65),KO65*KL65)))</f>
        <v/>
      </c>
      <c r="KQ65" s="294" t="str">
        <f t="shared" si="523"/>
        <v/>
      </c>
      <c r="KR65" s="494" t="str">
        <f>IF(A65=FALSE,"",KQ65*Cotations!BT65)</f>
        <v/>
      </c>
      <c r="KS65" s="494" t="str">
        <f>IF(A65=FALSE,"",KQ65*Cotations!BU65)</f>
        <v/>
      </c>
      <c r="KT65" s="338" t="str">
        <f t="shared" si="524"/>
        <v/>
      </c>
      <c r="KU65" s="919" t="str">
        <f>IF(A65=FALSE,"",((KG65*TAXE)-(KG65*TAXE*KI65))+IF(KM65="N/A",0,IF(INDEX(LISTES!$F$105:$F$109,MATCH(KM65,LISTES!$C$105:$C$109,0))="FIX",KN65,KO65*KL65)))</f>
        <v/>
      </c>
      <c r="LA65" s="497" t="str">
        <f>IF(A65=FALSE,"",Cotations!D65)</f>
        <v/>
      </c>
      <c r="LB65" s="498" t="str">
        <f>IF(A65=FALSE,"",IF(LISTES!$A$17=1,Cotations!BV65,Cotations!$BW$4))</f>
        <v/>
      </c>
      <c r="LC65" s="499" t="str">
        <f t="shared" si="525"/>
        <v/>
      </c>
      <c r="LD65" s="499" t="str">
        <f t="shared" si="526"/>
        <v/>
      </c>
      <c r="LE65" s="500" t="str">
        <f t="shared" si="527"/>
        <v/>
      </c>
      <c r="LF65" s="501" t="str">
        <f>IF(A65=FALSE,"",IF(LA65="POEA",Cotations!EJ65,IF(LA65="FIXE",Cotations!$BY$4,Cotations!$CA$4*Y65)))</f>
        <v/>
      </c>
      <c r="LG65" s="502" t="str">
        <f t="shared" si="528"/>
        <v/>
      </c>
      <c r="LH65" s="520" t="str">
        <f>IF(A65=FALSE,"",IF(Cotations!$BX$4="monthly",LG65/12*L65,LG65/365*M65))</f>
        <v/>
      </c>
      <c r="LI65" s="503" t="str">
        <f>IF(A65=FALSE,"",Cotations!$CB$4)</f>
        <v/>
      </c>
      <c r="LJ65" s="502" t="str">
        <f t="shared" si="529"/>
        <v/>
      </c>
      <c r="LK65" s="502" t="str">
        <f t="shared" si="530"/>
        <v/>
      </c>
      <c r="LL65" s="504" t="str">
        <f t="shared" si="531"/>
        <v/>
      </c>
      <c r="LM65" s="505" t="str">
        <f>IF(A65=FALSE,"",Cotations!$CC$4)</f>
        <v/>
      </c>
      <c r="LN65" s="503" t="str">
        <f>IF(A65=FALSE,"",Cotations!$CD$4)</f>
        <v/>
      </c>
      <c r="LO65" s="503" t="str">
        <f>IF(A65=FALSE,"",Cotations!$CE$4)</f>
        <v/>
      </c>
      <c r="LP65" s="505" t="str">
        <f>IF(A65=FALSE,"",IF(LM65="N/A",0,IF(INDEX(LISTES!$F$105:$F$109,MATCH(LM65,LISTES!$C$105:$C$109,0))="FIX",IF(INDEX(LISTES!$E$105:$E$109,MATCH(LM65,LISTES!$C$105:$C$109,0))=12,LN65/12*L65,LN65/365*M65),LO65*LL65)))</f>
        <v/>
      </c>
      <c r="LQ65" s="504" t="str">
        <f t="shared" si="532"/>
        <v/>
      </c>
      <c r="LR65" s="505" t="str">
        <f>IF(A65=FALSE,"",LQ65*Cotations!$CF$4)</f>
        <v/>
      </c>
      <c r="LS65" s="505" t="str">
        <f>IF(A65=FALSE,"",LQ65*Cotations!$CG$4)</f>
        <v/>
      </c>
      <c r="LT65" s="506" t="str">
        <f t="shared" si="533"/>
        <v/>
      </c>
      <c r="LU65" s="919" t="str">
        <f>IF(A65=FALSE,"",((LG65*TAXE)-(LG65*TAXE*LI65))+IF(LM65="N/A",0,IF(INDEX(LISTES!$F$105:$F$109,MATCH(LM65,LISTES!$C$105:$C$109,0))="FIX",LN65,LO65*LL65)))</f>
        <v/>
      </c>
      <c r="MA65" s="492" t="str">
        <f>IF(A65=FALSE,"",Cotations!D65)</f>
        <v/>
      </c>
      <c r="MB65" s="491" t="str">
        <f>IF(A65=FALSE,"",IF(LISTES!$A$17=1,Cotations!BV65,Cotations!BW65))</f>
        <v/>
      </c>
      <c r="MC65" s="285" t="str">
        <f t="shared" si="534"/>
        <v/>
      </c>
      <c r="MD65" s="300"/>
      <c r="ME65" s="461" t="str">
        <f t="shared" si="535"/>
        <v/>
      </c>
      <c r="MF65" s="490" t="str">
        <f>IF(A65=FALSE,"",IF(MA65="POEA",Cotations!BY65,IF(MA65="FIXE",Cotations!BZ65,IF(Cotations!CA65*Y65&lt;50000,Z65,Cotations!CA65*Y65))))</f>
        <v/>
      </c>
      <c r="MG65" s="300" t="str">
        <f t="shared" si="536"/>
        <v/>
      </c>
      <c r="MH65" s="522" t="str">
        <f>IF(A65=FALSE,"",IF(Cotations!BX65="monthly",MG65/12*L65,MG65/365*M65))</f>
        <v/>
      </c>
      <c r="MI65" s="489" t="str">
        <f>IF(A65=FALSE,"",IF(Cotations!CB65="","",Cotations!CB65))</f>
        <v/>
      </c>
      <c r="MJ65" s="300" t="str">
        <f t="shared" si="537"/>
        <v/>
      </c>
      <c r="MK65" s="300" t="str">
        <f t="shared" si="538"/>
        <v/>
      </c>
      <c r="ML65" s="919" t="str">
        <f t="shared" si="539"/>
        <v/>
      </c>
      <c r="MM65" s="517" t="str">
        <f>IF(A65=FALSE,"",Cotations!CC65)</f>
        <v/>
      </c>
      <c r="MN65" s="515" t="str">
        <f>IF(A65=FALSE,"",Cotations!CD65)</f>
        <v/>
      </c>
      <c r="MO65" s="493" t="str">
        <f>IF(A65=FALSE,"",Cotations!CE65)</f>
        <v/>
      </c>
      <c r="MP65" s="517" t="str">
        <f>IF(A65=FALSE,"",IF(MM65="N/A",0,IF(INDEX(LISTES!$F$105:$F$109,MATCH(MM65,LISTES!$C$105:$C$109,0))="FIX",IF(INDEX(LISTES!$E$105:$E$109,MATCH(MM65,LISTES!$C$105:$C$109,0))=12,MN65/12*L65,MN65/365*M65),MO65*ML65)))</f>
        <v/>
      </c>
      <c r="MQ65" s="294" t="str">
        <f t="shared" si="540"/>
        <v/>
      </c>
      <c r="MR65" s="494" t="str">
        <f>IF(A65=FALSE,"",MQ65*Cotations!CF65)</f>
        <v/>
      </c>
      <c r="MS65" s="494" t="str">
        <f>IF(A65=FALSE,"",MQ65*Cotations!CG65)</f>
        <v/>
      </c>
      <c r="MT65" s="338" t="str">
        <f t="shared" si="541"/>
        <v/>
      </c>
      <c r="MU65" s="919" t="str">
        <f>IF(A65=FALSE,"",((MG65*TAXE)-(MG65*TAXE*MI65))+IF(MM65="N/A",0,IF(INDEX(LISTES!$F$105:$F$109,MATCH(MM65,LISTES!$C$105:$C$109,0))="FIX",MN65,MO65*ML65)))</f>
        <v/>
      </c>
      <c r="NA65" s="497" t="str">
        <f>IF(A65=FALSE,"",Cotations!D65)</f>
        <v/>
      </c>
      <c r="NB65" s="498" t="str">
        <f>IF(A65=FALSE,"",IF(LISTES!$A$17=1,Cotations!CH65,Cotations!$CI$4))</f>
        <v/>
      </c>
      <c r="NC65" s="499" t="str">
        <f t="shared" si="542"/>
        <v/>
      </c>
      <c r="ND65" s="499" t="str">
        <f t="shared" si="543"/>
        <v/>
      </c>
      <c r="NE65" s="500" t="str">
        <f t="shared" si="544"/>
        <v/>
      </c>
      <c r="NF65" s="501" t="str">
        <f>IF(A65=FALSE,"",IF(NA65="POEA",Cotations!CK65,IF(NA65="FIXE",Cotations!$CK$4,Cotations!$CM$4*Y65)))</f>
        <v/>
      </c>
      <c r="NG65" s="502" t="str">
        <f t="shared" si="545"/>
        <v/>
      </c>
      <c r="NH65" s="520" t="str">
        <f>IF(A65=FALSE,"",IF(Cotations!$CJ$4="monthly",NG65/12*L65,NG65/365*M65))</f>
        <v/>
      </c>
      <c r="NI65" s="503" t="str">
        <f>IF(A65=FALSE,"",Cotations!$CN$4)</f>
        <v/>
      </c>
      <c r="NJ65" s="502" t="str">
        <f t="shared" si="546"/>
        <v/>
      </c>
      <c r="NK65" s="502" t="str">
        <f t="shared" si="547"/>
        <v/>
      </c>
      <c r="NL65" s="504" t="str">
        <f t="shared" si="548"/>
        <v/>
      </c>
      <c r="NM65" s="505" t="str">
        <f>IF(A65=FALSE,"",Cotations!$CO$4)</f>
        <v/>
      </c>
      <c r="NN65" s="520" t="str">
        <f>IF(A65=FALSE,"",Cotations!$CP$4)</f>
        <v/>
      </c>
      <c r="NO65" s="503" t="str">
        <f>IF(A65=FALSE,"",Cotations!$CQ$4)</f>
        <v/>
      </c>
      <c r="NP65" s="505" t="str">
        <f>IF(A65=FALSE,"",IF(NM65="N/A",0,IF(INDEX(LISTES!$F$105:$F$109,MATCH(NM65,LISTES!$C$105:$C$109,0))="FIX",IF(INDEX(LISTES!$E$105:$E$109,MATCH(NM65,LISTES!$C$105:$C$109,0))=12,NN65/12*L65,NN65/365*M65),NO65*NL65)))</f>
        <v/>
      </c>
      <c r="NQ65" s="504" t="str">
        <f t="shared" si="549"/>
        <v/>
      </c>
      <c r="NR65" s="505" t="str">
        <f>IF(A65=FALSE,"",NQ65*Cotations!$CR$4)</f>
        <v/>
      </c>
      <c r="NS65" s="505" t="str">
        <f>IF(A65=FALSE,"",NQ65*Cotations!$CS$4)</f>
        <v/>
      </c>
      <c r="NT65" s="506" t="str">
        <f t="shared" si="550"/>
        <v/>
      </c>
      <c r="NU65" s="919" t="str">
        <f>IF(A65=FALSE,"",((NG65*TAXE)-(NG65*TAXE*NI65))+IF(NM65="N/A",0,IF(INDEX(LISTES!$F$105:$F$109,MATCH(NM65,LISTES!$C$105:$C$109,0))="FIX",NN65,NO65*NL65)))</f>
        <v/>
      </c>
      <c r="OA65" s="492" t="str">
        <f>IF(A65=FALSE,"",Cotations!D65)</f>
        <v/>
      </c>
      <c r="OB65" s="491" t="str">
        <f>IF(A65=FALSE,"",IF(LISTES!$A$17=1,Cotations!CH65,Cotations!CI65))</f>
        <v/>
      </c>
      <c r="OC65" s="285" t="str">
        <f t="shared" si="551"/>
        <v/>
      </c>
      <c r="OD65" s="300"/>
      <c r="OE65" s="461" t="str">
        <f t="shared" si="552"/>
        <v/>
      </c>
      <c r="OF65" s="490" t="str">
        <f>IF(A65=FALSE,"",IF(OA65="POEA",Cotations!CK65,IF(OA65="FIXE",Cotations!CL65,IF(Cotations!CM65*Y65&lt;50000,Z65,Cotations!CM65*Y65))))</f>
        <v/>
      </c>
      <c r="OG65" s="300" t="str">
        <f t="shared" si="553"/>
        <v/>
      </c>
      <c r="OH65" s="522" t="str">
        <f>IF(A65=FALSE,"",IF(Cotations!CJ65="monthly",OG65/12*L65,OG65/365*M65))</f>
        <v/>
      </c>
      <c r="OI65" s="489" t="str">
        <f>IF(A65=FALSE,"",IF(Cotations!CN65="","",Cotations!CN65))</f>
        <v/>
      </c>
      <c r="OJ65" s="300" t="str">
        <f t="shared" si="554"/>
        <v/>
      </c>
      <c r="OK65" s="300" t="str">
        <f t="shared" si="555"/>
        <v/>
      </c>
      <c r="OL65" s="919" t="str">
        <f t="shared" si="556"/>
        <v/>
      </c>
      <c r="OM65" s="517" t="str">
        <f>IF(A65=FALSE,"",Cotations!CO65)</f>
        <v/>
      </c>
      <c r="ON65" s="515" t="str">
        <f>IF(A65=FALSE,"",Cotations!CP65)</f>
        <v/>
      </c>
      <c r="OO65" s="493" t="str">
        <f>IF(A65=FALSE,"",Cotations!CQ65)</f>
        <v/>
      </c>
      <c r="OP65" s="517" t="str">
        <f>IF(A65=FALSE,"",IF(OM65="N/A",0,IF(INDEX(LISTES!$F$105:$F$109,MATCH(OM65,LISTES!$C$105:$C$109,0))="FIX",IF(INDEX(LISTES!$E$105:$E$109,MATCH(OM65,LISTES!$C$105:$C$109,0))=12,ON65/12*L65,ON65/365*M65),OO65*OL65)))</f>
        <v/>
      </c>
      <c r="OQ65" s="294" t="str">
        <f t="shared" si="557"/>
        <v/>
      </c>
      <c r="OR65" s="494" t="str">
        <f>IF(A65=FALSE,"",OQ65*Cotations!CR65)</f>
        <v/>
      </c>
      <c r="OS65" s="494" t="str">
        <f>IF(A65=FALSE,"",OQ65*Cotations!CS65)</f>
        <v/>
      </c>
      <c r="OT65" s="338" t="str">
        <f t="shared" si="558"/>
        <v/>
      </c>
      <c r="OU65" s="919" t="str">
        <f>IF(A65=FALSE,"",((OG65*TAXE)-(OG65*TAXE*OI65))+IF(OM65="N/A",0,IF(INDEX(LISTES!$F$105:$F$109,MATCH(OM65,LISTES!$C$105:$C$109,0))="FIX",ON65,OO65*OL65)))</f>
        <v/>
      </c>
      <c r="PA65" s="497" t="str">
        <f t="shared" si="559"/>
        <v/>
      </c>
      <c r="PB65" s="498" t="str">
        <f>IF(A65=FALSE,"",IF(LISTES!$A$17=1,Cotations!CT65,Cotations!$CU$4))</f>
        <v/>
      </c>
      <c r="PC65" s="499" t="str">
        <f t="shared" si="560"/>
        <v/>
      </c>
      <c r="PD65" s="499" t="str">
        <f t="shared" si="561"/>
        <v/>
      </c>
      <c r="PE65" s="500" t="str">
        <f t="shared" si="562"/>
        <v/>
      </c>
      <c r="PF65" s="501" t="str">
        <f>IF(A65=FALSE,"",Cotations!$CY$4*Y65)</f>
        <v/>
      </c>
      <c r="PG65" s="502" t="str">
        <f t="shared" si="563"/>
        <v/>
      </c>
      <c r="PH65" s="520" t="str">
        <f>IF(A65=FALSE,"",IF(Cotations!$CV$4="monthly",PG65/12*L65,PG65/365*M65))</f>
        <v/>
      </c>
      <c r="PI65" s="503" t="str">
        <f>IF(A65=FALSE,"",Cotations!$CZ$4)</f>
        <v/>
      </c>
      <c r="PJ65" s="502" t="str">
        <f t="shared" si="564"/>
        <v/>
      </c>
      <c r="PK65" s="502" t="str">
        <f t="shared" si="565"/>
        <v/>
      </c>
      <c r="PL65" s="504" t="str">
        <f t="shared" si="566"/>
        <v/>
      </c>
      <c r="PM65" s="505" t="str">
        <f>IF(A65=FALSE,"",Cotations!$DA$4)</f>
        <v/>
      </c>
      <c r="PN65" s="520" t="str">
        <f>IF(A65=FALSE,"",Cotations!$DB$4)</f>
        <v/>
      </c>
      <c r="PO65" s="503" t="str">
        <f>IF(A65=FALSE,"",Cotations!$DC$4)</f>
        <v/>
      </c>
      <c r="PP65" s="505" t="str">
        <f>IF(A65=FALSE,"",IF(PM65="N/A",0,IF(INDEX(LISTES!$F$105:$F$109,MATCH(PM65,LISTES!$C$105:$C$109,0))="FIX",IF(INDEX(LISTES!$E$105:$E$109,MATCH(PM65,LISTES!$C$105:$C$109,0))=12,PN65/12*L65,PN65/365*M65),PO65*PL65)))</f>
        <v/>
      </c>
      <c r="PQ65" s="504" t="str">
        <f t="shared" si="567"/>
        <v/>
      </c>
      <c r="PR65" s="505" t="str">
        <f>IF(A65=FALSE,"",PQ65*Cotations!$DD$4)</f>
        <v/>
      </c>
      <c r="PS65" s="505" t="str">
        <f>IF(A65=FALSE,"",PQ65*Cotations!$DE$4)</f>
        <v/>
      </c>
      <c r="PT65" s="506" t="str">
        <f t="shared" si="568"/>
        <v/>
      </c>
      <c r="PU65" s="919" t="str">
        <f>IF(A65=FALSE,"",((PG65*TAXE)-(PG65*TAXE*PI65))+IF(PM65="N/A",0,IF(INDEX(LISTES!$F$105:$F$109,MATCH(PM65,LISTES!$C$105:$C$109,0))="FIX",PN65,PO65*PL65)))</f>
        <v/>
      </c>
      <c r="QA65" s="492" t="str">
        <f t="shared" si="569"/>
        <v/>
      </c>
      <c r="QB65" s="491" t="str">
        <f>IF(A65=FALSE,"",IF(LISTES!$A$17=1,Cotations!CT65,Cotations!CU65))</f>
        <v/>
      </c>
      <c r="QC65" s="285" t="str">
        <f t="shared" si="570"/>
        <v/>
      </c>
      <c r="QD65" s="300"/>
      <c r="QE65" s="461" t="str">
        <f t="shared" si="571"/>
        <v/>
      </c>
      <c r="QF65" s="490" t="str">
        <f>IF(A65=FALSE,"",Cotations!CY65*AA65)</f>
        <v/>
      </c>
      <c r="QG65" s="300" t="str">
        <f t="shared" si="572"/>
        <v/>
      </c>
      <c r="QH65" s="522" t="str">
        <f>IF(A65=FALSE,"",IF(Cotations!CV65="monthly",QG65/12*L65,QG65/365*M65))</f>
        <v/>
      </c>
      <c r="QI65" s="489" t="str">
        <f>IF(A65=FALSE,"",IF(Cotations!CZ65="","",Cotations!CZ65))</f>
        <v/>
      </c>
      <c r="QJ65" s="300" t="str">
        <f t="shared" si="573"/>
        <v/>
      </c>
      <c r="QK65" s="300" t="str">
        <f t="shared" si="574"/>
        <v/>
      </c>
      <c r="QL65" s="919" t="str">
        <f t="shared" si="575"/>
        <v/>
      </c>
      <c r="QM65" s="517" t="str">
        <f>IF(A65=FALSE,"",Cotations!DA65)</f>
        <v/>
      </c>
      <c r="QN65" s="515" t="str">
        <f>IF(A65=FALSE,"",Cotations!DB65)</f>
        <v/>
      </c>
      <c r="QO65" s="493" t="str">
        <f>IF(A65=FALSE,"",Cotations!DC65)</f>
        <v/>
      </c>
      <c r="QP65" s="517" t="str">
        <f>IF(A65=FALSE,"",IF(QM65="N/A",0,IF(INDEX(LISTES!$F$105:$F$109,MATCH(QM65,LISTES!$C$105:$C$109,0))="FIX",IF(INDEX(LISTES!$E$105:$E$109,MATCH(QM65,LISTES!$C$105:$C$109,0))=12,QN65/12*L65,QN65/365*M65),QO65*QL65)))</f>
        <v/>
      </c>
      <c r="QQ65" s="294" t="str">
        <f t="shared" si="576"/>
        <v/>
      </c>
      <c r="QR65" s="494" t="str">
        <f>IF(A65=FALSE,"",QQ65*Cotations!DD65)</f>
        <v/>
      </c>
      <c r="QS65" s="494" t="str">
        <f>IF(A65=FALSE,"",QQ65*Cotations!DE65)</f>
        <v/>
      </c>
      <c r="QT65" s="338" t="str">
        <f t="shared" si="577"/>
        <v/>
      </c>
      <c r="QU65" s="919" t="str">
        <f>IF(A65=FALSE,"",((QG65*TAXE)-(QG65*TAXE*QI65))+IF(QM65="N/A",0,IF(INDEX(LISTES!$F$105:$F$109,MATCH(QM65,LISTES!$C$105:$C$109,0))="FIX",QN65,QO65*QL65)))</f>
        <v/>
      </c>
      <c r="RA65" s="497" t="str">
        <f t="shared" si="578"/>
        <v/>
      </c>
      <c r="RB65" s="498" t="str">
        <f>IF(A65=FALSE,"",IF(LISTES!$A$17=1,Cotations!DF65,Cotations!$DG$4))</f>
        <v/>
      </c>
      <c r="RC65" s="499" t="str">
        <f t="shared" si="579"/>
        <v/>
      </c>
      <c r="RD65" s="499" t="str">
        <f t="shared" si="580"/>
        <v/>
      </c>
      <c r="RE65" s="500" t="str">
        <f t="shared" si="581"/>
        <v/>
      </c>
      <c r="RF65" s="501" t="str">
        <f>IF(A65=FALSE,"",Cotations!$DK$4*Y65)</f>
        <v/>
      </c>
      <c r="RG65" s="502" t="str">
        <f t="shared" si="582"/>
        <v/>
      </c>
      <c r="RH65" s="520" t="str">
        <f>IF(A65=FALSE,"",IF(Cotations!$DH$4="monthly",RG65/12*L65,RG65/365*M65))</f>
        <v/>
      </c>
      <c r="RI65" s="503" t="str">
        <f>IF(A65=FALSE,"",Cotations!$DL$4)</f>
        <v/>
      </c>
      <c r="RJ65" s="502" t="str">
        <f t="shared" si="583"/>
        <v/>
      </c>
      <c r="RK65" s="502" t="str">
        <f t="shared" si="584"/>
        <v/>
      </c>
      <c r="RL65" s="504" t="str">
        <f t="shared" si="585"/>
        <v/>
      </c>
      <c r="RM65" s="505" t="str">
        <f>IF(A65=FALSE,"",Cotations!$DM$4)</f>
        <v/>
      </c>
      <c r="RN65" s="520" t="str">
        <f>IF(A65=FALSE,"",Cotations!$DN$4)</f>
        <v/>
      </c>
      <c r="RO65" s="503" t="str">
        <f>IF(A65=FALSE,"",Cotations!$DO$4)</f>
        <v/>
      </c>
      <c r="RP65" s="505" t="str">
        <f>IF(A65=FALSE,"",IF(RM65="N/A",0,IF(INDEX(LISTES!$F$105:$F$109,MATCH(RM65,LISTES!$C$105:$C$109,0))="FIX",IF(INDEX(LISTES!$E$105:$E$109,MATCH(RM65,LISTES!$C$105:$C$109,0))=12,RN65/12*L65,RN65/365*M65),RO65*RL65)))</f>
        <v/>
      </c>
      <c r="RQ65" s="504" t="str">
        <f t="shared" si="586"/>
        <v/>
      </c>
      <c r="RR65" s="505" t="str">
        <f>IF(A65=FALSE,"",RQ65*Cotations!$DP$4)</f>
        <v/>
      </c>
      <c r="RS65" s="505" t="str">
        <f>IF(A65=FALSE,"",RQ65*Cotations!$DQ$4)</f>
        <v/>
      </c>
      <c r="RT65" s="506" t="str">
        <f t="shared" si="587"/>
        <v/>
      </c>
      <c r="RU65" s="919" t="str">
        <f>IF(A65=FALSE,"",((RG65*TAXE)-(RG65*TAXE*RI65))+IF(RM65="N/A",0,IF(INDEX(LISTES!$F$105:$F$109,MATCH(RM65,LISTES!$C$105:$C$109,0))="FIX",RN65,RO65*RL65)))</f>
        <v/>
      </c>
      <c r="SA65" s="492" t="str">
        <f t="shared" si="588"/>
        <v/>
      </c>
      <c r="SB65" s="491" t="str">
        <f>IF(A65=FALSE,"",IF(LISTES!$A$17=1,Cotations!DF65,Cotations!DG65))</f>
        <v/>
      </c>
      <c r="SC65" s="285" t="str">
        <f t="shared" si="589"/>
        <v/>
      </c>
      <c r="SD65" s="300"/>
      <c r="SE65" s="461" t="str">
        <f t="shared" si="590"/>
        <v/>
      </c>
      <c r="SF65" s="490" t="str">
        <f>IF(A65=FALSE,"",Cotations!DK65*AA65)</f>
        <v/>
      </c>
      <c r="SG65" s="300" t="str">
        <f t="shared" si="591"/>
        <v/>
      </c>
      <c r="SH65" s="522" t="str">
        <f>IF(A65=FALSE,"",IF(Cotations!DH65="monthly",SG65/12*L65,SG65/365*M65))</f>
        <v/>
      </c>
      <c r="SI65" s="489" t="str">
        <f>IF(A65=FALSE,"",IF(Cotations!DL65="","",Cotations!DL65))</f>
        <v/>
      </c>
      <c r="SJ65" s="300" t="str">
        <f t="shared" si="592"/>
        <v/>
      </c>
      <c r="SK65" s="300" t="str">
        <f t="shared" si="593"/>
        <v/>
      </c>
      <c r="SL65" s="919" t="str">
        <f t="shared" si="594"/>
        <v/>
      </c>
      <c r="SM65" s="285" t="str">
        <f>IF(A65=FALSE,"",Cotations!DM65)</f>
        <v/>
      </c>
      <c r="SN65" s="515" t="str">
        <f>IF(A65=FALSE,"",Cotations!DN65)</f>
        <v/>
      </c>
      <c r="SO65" s="493" t="str">
        <f>IF(A65=FALSE,"",Cotations!DO65)</f>
        <v/>
      </c>
      <c r="SP65" s="517" t="str">
        <f>IF(A65=FALSE,"",IF(SM65="N/A",0,IF(INDEX(LISTES!$F$105:$F$109,MATCH(SM65,LISTES!$C$105:$C$109,0))="FIX",IF(INDEX(LISTES!$E$105:$E$109,MATCH(SM65,LISTES!$C$105:$C$109,0))=12,SN65/12*L65,SN65/365*M65),SO65*SL65)))</f>
        <v/>
      </c>
      <c r="SQ65" s="294" t="str">
        <f t="shared" si="595"/>
        <v/>
      </c>
      <c r="SR65" s="494" t="str">
        <f>IF(A65=FALSE,"",SQ65*Cotations!DP65)</f>
        <v/>
      </c>
      <c r="SS65" s="494" t="str">
        <f>IF(A65=FALSE,"",SQ65*Cotations!DQ65)</f>
        <v/>
      </c>
      <c r="ST65" s="338" t="str">
        <f t="shared" si="596"/>
        <v/>
      </c>
      <c r="SU65" s="919" t="str">
        <f>IF(A65=FALSE,"",((SG65*TAXE)-(SG65*TAXE*SI65))+IF(SM65="N/A",0,IF(INDEX(LISTES!$F$105:$F$109,MATCH(SM65,LISTES!$C$105:$C$109,0))="FIX",SN65,SO65*SL65)))</f>
        <v/>
      </c>
      <c r="TA65" s="492" t="str">
        <f>IF(A65=FALSE,"",Cotations!D65)</f>
        <v/>
      </c>
      <c r="TB65" s="491" t="str">
        <f>IF(A65=FALSE,"",IF(LISTES!$A$17=1,Cotations!DR65,Cotations!DS65))</f>
        <v/>
      </c>
      <c r="TC65" s="285" t="str">
        <f t="shared" si="597"/>
        <v/>
      </c>
      <c r="TD65" s="300" t="str">
        <f>IF(A65=FALSE,"",Detail!CQ65)</f>
        <v/>
      </c>
      <c r="TE65" s="461" t="str">
        <f t="shared" si="598"/>
        <v/>
      </c>
      <c r="TF65" s="490" t="str">
        <f>IF(A65=FALSE,"",IF(TA65="FIXE",Cotations!DU65,Cotations!DV65*Y65))</f>
        <v/>
      </c>
      <c r="TG65" s="300" t="str">
        <f t="shared" si="599"/>
        <v/>
      </c>
      <c r="TH65" s="522" t="str">
        <f>IF(A65=FALSE,"",IF(Cotations!DT65="monthly",TG65/12*L65,TG65/365*M65))</f>
        <v/>
      </c>
      <c r="TI65" s="489" t="str">
        <f>IF(A65=FALSE,"",IF(Cotations!DW65="","",Cotations!DW65))</f>
        <v/>
      </c>
      <c r="TJ65" s="300" t="str">
        <f t="shared" si="600"/>
        <v/>
      </c>
      <c r="TK65" s="300" t="str">
        <f t="shared" si="601"/>
        <v/>
      </c>
      <c r="TL65" s="919" t="str">
        <f t="shared" si="602"/>
        <v/>
      </c>
      <c r="TM65" s="517" t="str">
        <f>IF(A65=FALSE,"",Cotations!DX65)</f>
        <v/>
      </c>
      <c r="TN65" s="517" t="str">
        <f>IF(A65=FALSE,"",Cotations!DY65)</f>
        <v/>
      </c>
      <c r="TO65" s="493" t="str">
        <f>IF(A65=FALSE,"",Cotations!DZ65)</f>
        <v/>
      </c>
      <c r="TP65" s="517" t="str">
        <f>IF(A65=FALSE,"",IF(TM65="N/A",0,IF(INDEX(LISTES!$F$105:$F$109,MATCH(TM65,LISTES!$C$105:$C$109,0))="FIX",IF(INDEX(LISTES!$E$105:$E$109,MATCH(TM65,LISTES!$C$105:$C$109,0))=12,TN65/12*L65,TN65/365*M65),TO65*TL65)))</f>
        <v/>
      </c>
      <c r="TQ65" s="294" t="str">
        <f t="shared" si="603"/>
        <v/>
      </c>
      <c r="TR65" s="494" t="str">
        <f>IF(A65=FALSE,"",TQ65*Cotations!EA65)</f>
        <v/>
      </c>
      <c r="TS65" s="494" t="str">
        <f>IF(A65=FALSE,"",TQ65*Cotations!EB65)</f>
        <v/>
      </c>
      <c r="TT65" s="338" t="str">
        <f t="shared" si="604"/>
        <v/>
      </c>
      <c r="TU65" s="919" t="str">
        <f>IF(A65=FALSE,"",((TG65*(1+TAXE)-(TG65*(1+TAXE)*TI65))+IF(TM65="N/A",0,IF(INDEX(LISTES!$F$105:$F$109,MATCH(TM65,LISTES!$C$105:$C$109,0))="FIX",TN65,TO65*TL65))))</f>
        <v/>
      </c>
      <c r="UA65" s="492" t="str">
        <f>IF(A65=FALSE,"",Cotations!D65)</f>
        <v/>
      </c>
      <c r="UB65" s="491" t="str">
        <f>IF(A65=FALSE,"",IF(LISTES!$A$17=1,Cotations!EC65,Cotations!ED65))</f>
        <v/>
      </c>
      <c r="UC65" s="285" t="str">
        <f t="shared" si="605"/>
        <v/>
      </c>
      <c r="UD65" s="300" t="str">
        <f>IF(A65=FALSE,"",Detail!CY65)</f>
        <v/>
      </c>
      <c r="UE65" s="461" t="str">
        <f t="shared" si="606"/>
        <v/>
      </c>
      <c r="UF65" s="490" t="str">
        <f>IF(A65=FALSE,"",IF(UA65="FIXE",Cotations!EF65,Cotations!EG65*Y65))</f>
        <v/>
      </c>
      <c r="UG65" s="300" t="str">
        <f t="shared" si="607"/>
        <v/>
      </c>
      <c r="UH65" s="522" t="str">
        <f>IF(A65=FALSE,"",IF(Cotations!EE65="monthly",UG65/12*L65,UG65/365*M65))</f>
        <v/>
      </c>
      <c r="UI65" s="489" t="str">
        <f>IF(A65=FALSE,"",IF(Cotations!EH65="","",Cotations!EH65))</f>
        <v/>
      </c>
      <c r="UJ65" s="300" t="str">
        <f t="shared" si="608"/>
        <v/>
      </c>
      <c r="UK65" s="300" t="str">
        <f t="shared" si="609"/>
        <v/>
      </c>
      <c r="UL65" s="919" t="str">
        <f t="shared" si="610"/>
        <v/>
      </c>
      <c r="UM65" s="517" t="str">
        <f>IF(A65=FALSE,"",Cotations!EI65)</f>
        <v/>
      </c>
      <c r="UN65" s="517" t="str">
        <f>IF(A65=FALSE,"",Cotations!EJ65)</f>
        <v/>
      </c>
      <c r="UO65" s="493" t="str">
        <f>IF(A65=FALSE,"",Cotations!EK65)</f>
        <v/>
      </c>
      <c r="UP65" s="517" t="str">
        <f>IF(A65=FALSE,"",IF(UM65="N/A",0,IF(INDEX(LISTES!$F$105:$F$109,MATCH(UM65,LISTES!$C$105:$C$109,0))="FIX",IF(INDEX(LISTES!$E$105:$E$109,MATCH(UM65,LISTES!$C$105:$C$109,0))=12,UN65/12*L65,UN65/365*M65),UO65*UL65)))</f>
        <v/>
      </c>
      <c r="UQ65" s="294" t="str">
        <f t="shared" si="611"/>
        <v/>
      </c>
      <c r="UR65" s="494" t="str">
        <f>IF(A65=FALSE,"",UQ65*Cotations!EL65)</f>
        <v/>
      </c>
      <c r="US65" s="494" t="str">
        <f>IF(A65=FALSE,"",UQ65*Cotations!EM65)</f>
        <v/>
      </c>
      <c r="UT65" s="338" t="str">
        <f t="shared" si="612"/>
        <v/>
      </c>
      <c r="UU65" s="919" t="str">
        <f>IF(A65=FALSE,"",((UG65*(1+TAXE)-(UG65*(1+TAXE)*UI65))+IF(UM65="N/A",0,IF(INDEX(LISTES!$F$105:$F$109,MATCH(UM65,LISTES!$C$105:$C$109,0))="FIX",UN65,UO65*UL65))))</f>
        <v/>
      </c>
      <c r="VA65" s="492" t="str">
        <f>IF(A65=FALSE,"",Cotations!D65)</f>
        <v/>
      </c>
      <c r="VB65" s="519" t="str">
        <f>IF(A65=FALSE,"",IF(LISTES!$A$17=1,Cotations!EN65,Cotations!EO65))</f>
        <v/>
      </c>
      <c r="VC65" s="291" t="str">
        <f t="shared" si="613"/>
        <v/>
      </c>
      <c r="VD65" s="291" t="str">
        <f t="shared" si="614"/>
        <v/>
      </c>
      <c r="VE65" s="291"/>
      <c r="VF65" s="463"/>
      <c r="VG65" s="463" t="str">
        <f t="shared" si="615"/>
        <v/>
      </c>
      <c r="VH65" s="522" t="str">
        <f>IF(A65=FALSE,"",IF(Cotations!$AQ$4="monthly",VG65/12*L65,VG65/365*M65))</f>
        <v/>
      </c>
      <c r="VI65" s="489" t="str">
        <f>IF(A65=FALSE,"",Cotations!$AR$4)</f>
        <v/>
      </c>
      <c r="VJ65" s="300" t="str">
        <f t="shared" si="616"/>
        <v/>
      </c>
      <c r="VK65" s="300" t="str">
        <f t="shared" si="617"/>
        <v/>
      </c>
      <c r="VL65" s="294" t="str">
        <f t="shared" si="618"/>
        <v/>
      </c>
      <c r="VM65" s="494" t="str">
        <f>IF(A65=FALSE,"",Cotations!$AS$4)</f>
        <v/>
      </c>
      <c r="VN65" s="494" t="str">
        <f>IF(A65=FALSE,"",Cotations!$AT$4)</f>
        <v/>
      </c>
      <c r="VO65" s="489" t="str">
        <f>IF(A65=FALSE,"",Cotations!$AU$4)</f>
        <v/>
      </c>
      <c r="VP65" s="494" t="str">
        <f>IF(A65=FALSE,"",IF(VM65="N/A",0,IF(INDEX(LISTES!$F$105:$F$109,MATCH(VM65,LISTES!$C$105:$C$109,0))="FIX",IF(INDEX(LISTES!$E$105:$E$109,MATCH(VM65,LISTES!$C$105:$C$109,0))=12,VN65/12*L65,VN65/365*M65),VO65*VL65)))</f>
        <v/>
      </c>
      <c r="VQ65" s="294" t="str">
        <f t="shared" si="619"/>
        <v/>
      </c>
      <c r="VR65" s="494" t="str">
        <f>IF(A65=FALSE,"",VQ65*Cotations!$AV$4)</f>
        <v/>
      </c>
      <c r="VS65" s="494" t="str">
        <f>IF(A65=FALSE,"",VQ65*Cotations!$AW$4)</f>
        <v/>
      </c>
      <c r="VT65" s="465" t="str">
        <f t="shared" si="620"/>
        <v/>
      </c>
      <c r="VU65" s="919" t="str">
        <f>IF(A65=FALSE,"",((VG65*TAXE)-(VG65*TAXE*VI65))+IF(VM65="N/A",0,IF(INDEX(LISTES!$F$105:$F$109,MATCH(VM65,LISTES!$C$105:$C$109,0))="FIX",VN65,VO65*VL65)))</f>
        <v/>
      </c>
      <c r="WA65" s="492" t="str">
        <f>IF(A65=FALSE,"",Cotations!D65)</f>
        <v/>
      </c>
      <c r="WB65" s="519" t="str">
        <f>IF(A65=FALSE,"",IF(LISTES!$A$17=1,Cotations!EW65,Cotations!EX65))</f>
        <v/>
      </c>
      <c r="WC65" s="291" t="str">
        <f t="shared" si="621"/>
        <v/>
      </c>
      <c r="WD65" s="291" t="str">
        <f t="shared" si="622"/>
        <v/>
      </c>
      <c r="WE65" s="291"/>
      <c r="WF65" s="463"/>
      <c r="WG65" s="463" t="str">
        <f t="shared" si="623"/>
        <v/>
      </c>
      <c r="WH65" s="522" t="str">
        <f>IF(A65=FALSE,"",IF(Cotations!$AQ$4="monthly",WG65/12*L65,WG65/365*M65))</f>
        <v/>
      </c>
      <c r="WI65" s="489" t="str">
        <f>IF(A65=FALSE,"",Cotations!$AR$4)</f>
        <v/>
      </c>
      <c r="WJ65" s="300" t="str">
        <f t="shared" si="624"/>
        <v/>
      </c>
      <c r="WK65" s="300" t="str">
        <f t="shared" si="625"/>
        <v/>
      </c>
      <c r="WL65" s="294" t="str">
        <f t="shared" si="626"/>
        <v/>
      </c>
      <c r="WM65" s="494" t="str">
        <f>IF(A65=FALSE,"",Cotations!$AS$4)</f>
        <v/>
      </c>
      <c r="WN65" s="494" t="str">
        <f>IF(A65=FALSE,"",Cotations!$AT$4)</f>
        <v/>
      </c>
      <c r="WO65" s="489" t="str">
        <f>IF(A65=FALSE,"",Cotations!$AU$4)</f>
        <v/>
      </c>
      <c r="WP65" s="494" t="str">
        <f>IF(A65=FALSE,"",IF(WM65="N/A",0,IF(INDEX(LISTES!$F$105:$F$109,MATCH(WM65,LISTES!$C$105:$C$109,0))="FIX",IF(INDEX(LISTES!$E$105:$E$109,MATCH(WM65,LISTES!$C$105:$C$109,0))=12,WN65/12*L65,WN65/365*M65),WO65*WL65)))</f>
        <v/>
      </c>
      <c r="WQ65" s="294" t="str">
        <f t="shared" si="627"/>
        <v/>
      </c>
      <c r="WR65" s="494" t="str">
        <f>IF(A65=FALSE,"",WQ65*Cotations!$AV$4)</f>
        <v/>
      </c>
      <c r="WS65" s="494" t="str">
        <f>IF(A65=FALSE,"",WQ65*Cotations!$AW$4)</f>
        <v/>
      </c>
      <c r="WT65" s="465" t="str">
        <f t="shared" si="628"/>
        <v/>
      </c>
      <c r="WU65" s="919" t="str">
        <f>IF(A65=FALSE,"",((WG65*TAXE)-(WG65*TAXE*WI65))+IF(WM65="N/A",0,IF(INDEX(LISTES!$F$105:$F$109,MATCH(WM65,LISTES!$C$105:$C$109,0))="FIX",WN65,WO65*WL65)))</f>
        <v/>
      </c>
    </row>
    <row r="66" spans="1:619">
      <c r="A66" s="942" t="b">
        <f t="shared" si="433"/>
        <v>0</v>
      </c>
      <c r="B66" s="942" t="b">
        <f>IF(NAMES!$B$9=TRUE,TRUE,FALSE)</f>
        <v>1</v>
      </c>
      <c r="C66" s="942" t="b">
        <f t="shared" si="413"/>
        <v>0</v>
      </c>
      <c r="D66" s="942" t="b">
        <f t="shared" si="414"/>
        <v>0</v>
      </c>
      <c r="E66" s="274" t="b">
        <f>IF(Cotations!C66="","",Cotations!C66)</f>
        <v>0</v>
      </c>
      <c r="F66" s="274" t="str">
        <f>IF(Cotations!D66="","",Cotations!D66)</f>
        <v>PROP</v>
      </c>
      <c r="G66" s="274" t="str">
        <f>IF(Cotations!E66="","",Cotations!E66)</f>
        <v>2016-2017!</v>
      </c>
      <c r="H66" s="274" t="str">
        <f>IF(Cotations!F66="","",Cotations!F66)</f>
        <v>SINGLE</v>
      </c>
      <c r="I66" s="274" t="str">
        <f>IF(Cotations!G66="","",Cotations!G66)</f>
        <v/>
      </c>
      <c r="J66" s="274" t="str">
        <f>IF(Cotations!H66="","",Cotations!H66)</f>
        <v/>
      </c>
      <c r="K66" s="274" t="str">
        <f>IF(Cotations!I66="","",Cotations!I66)</f>
        <v/>
      </c>
      <c r="L66" s="274" t="str">
        <f>IF(A66=FALSE,"",IF(Cotations!N66="","",Cotations!N66))</f>
        <v/>
      </c>
      <c r="M66" s="274" t="str">
        <f>IF(Cotations!P66="","",Cotations!P66)</f>
        <v/>
      </c>
      <c r="N66" s="724" t="str">
        <f>IF(NAMES!$B$10=TRUE,Cotations!J66,Cotations!L66)</f>
        <v/>
      </c>
      <c r="O66" s="724" t="str">
        <f>IF(NAMES!$B$10=TRUE,Cotations!K66,Cotations!M66)</f>
        <v/>
      </c>
      <c r="P66" s="943" t="str">
        <f t="shared" si="415"/>
        <v/>
      </c>
      <c r="Q66" s="724" t="str">
        <f>IF(A66=FALSE,"",IF(Crewlist!Y66="","",Crewlist!Y66))</f>
        <v/>
      </c>
      <c r="R66" s="78" t="str">
        <f>IF(Cotations!U66="","",Cotations!U66)</f>
        <v/>
      </c>
      <c r="S66" s="943" t="str">
        <f t="shared" si="416"/>
        <v/>
      </c>
      <c r="T66" s="919" t="str">
        <f>IF(A66=FALSE,"",VLOOKUP($U$15:$U$120,Currency!$A$2:$D$10,4,0)*Crewlist!N66)</f>
        <v/>
      </c>
      <c r="U66" s="1355" t="str">
        <f>IF(A66=FALSE,"",IF(IT66=0,Crewlist!M66&amp;"/"&amp;EX66,Crewlist!M66&amp;"/"&amp;IT66))</f>
        <v/>
      </c>
      <c r="V66" s="919" t="str">
        <f>IF(A66=FALSE,"",VLOOKUP($U$15:$U$120,Currency!$A$2:$D$10,4,0)*Detail!Q66)</f>
        <v/>
      </c>
      <c r="W66" s="1355" t="str">
        <f>IF(A66=FALSE,"",IF(IT66=0,Detail!R66&amp;"/"&amp;EX66,Detail!R66&amp;"/"&amp;IT66))</f>
        <v/>
      </c>
      <c r="X66" s="919" t="str">
        <f>IF(A66=FALSE,"",IF(LISTES!$C$17="Crewlist",Calcul!T66,Calcul!V66))</f>
        <v/>
      </c>
      <c r="Y66" s="758" t="str">
        <f t="shared" si="417"/>
        <v/>
      </c>
      <c r="Z66" s="758" t="str">
        <f>IF(A66=FALSE,"",IF(X66=0,0,IF((Cotations!BC66*12*X66)&lt;50000,50000,(12*X66))))</f>
        <v/>
      </c>
      <c r="AA66" s="758" t="str">
        <f t="shared" si="418"/>
        <v/>
      </c>
      <c r="AB66" s="758" t="str">
        <f>IF(A66=FALSE,"",IF(Crewlist!O66=0,"",Crewlist!O66))</f>
        <v/>
      </c>
      <c r="AC66" s="758" t="str">
        <f>IF(I66="","",VLOOKUP($AB$15:$AB$120,Currency!$A$15:$B$34,2,0))</f>
        <v/>
      </c>
      <c r="AD66" s="758" t="str">
        <f t="shared" si="419"/>
        <v/>
      </c>
      <c r="AE66" s="758" t="str">
        <f t="shared" si="420"/>
        <v/>
      </c>
      <c r="AF66" s="758" t="str">
        <f t="shared" si="421"/>
        <v/>
      </c>
      <c r="AG66" s="758" t="str">
        <f t="shared" si="422"/>
        <v/>
      </c>
      <c r="AH66" s="1355" t="str">
        <f t="shared" si="434"/>
        <v/>
      </c>
      <c r="AI66" s="919" t="str">
        <f t="shared" si="423"/>
        <v/>
      </c>
      <c r="AJ66" s="1382" t="str">
        <f t="shared" si="424"/>
        <v/>
      </c>
      <c r="AK66" s="1382" t="str">
        <f t="shared" si="425"/>
        <v/>
      </c>
      <c r="AL66" s="238" t="str">
        <f t="shared" si="435"/>
        <v/>
      </c>
      <c r="AM66" s="238" t="str">
        <f t="shared" si="436"/>
        <v/>
      </c>
      <c r="AN66" s="1374" t="str">
        <f t="shared" si="437"/>
        <v/>
      </c>
      <c r="AO66" s="238" t="str">
        <f t="shared" si="438"/>
        <v/>
      </c>
      <c r="AP66" s="342" t="str">
        <f>IF(A66=FALSE,"",INDEX(Rates!$Z$5:$Z$367,MATCH(EB66,colchoice,0)))</f>
        <v/>
      </c>
      <c r="AQ66" s="238" t="str">
        <f t="shared" si="439"/>
        <v/>
      </c>
      <c r="AR66" s="238" t="str">
        <f t="shared" si="440"/>
        <v/>
      </c>
      <c r="AS66" s="238" t="str">
        <f t="shared" si="441"/>
        <v/>
      </c>
      <c r="AT66" s="238" t="str">
        <f t="shared" si="442"/>
        <v/>
      </c>
      <c r="AU66" s="238" t="str">
        <f t="shared" si="443"/>
        <v/>
      </c>
      <c r="AV66" s="238" t="str">
        <f t="shared" si="429"/>
        <v/>
      </c>
      <c r="AW66" s="238" t="str">
        <f t="shared" si="444"/>
        <v/>
      </c>
      <c r="AX66" s="238" t="str">
        <f t="shared" si="445"/>
        <v/>
      </c>
      <c r="AY66" s="238" t="str">
        <f t="shared" si="446"/>
        <v/>
      </c>
      <c r="AZ66" s="238" t="str">
        <f t="shared" si="447"/>
        <v/>
      </c>
      <c r="BA66" s="238" t="str">
        <f t="shared" si="448"/>
        <v/>
      </c>
      <c r="BB66" s="552" t="str">
        <f t="shared" si="449"/>
        <v/>
      </c>
      <c r="BC66" s="347" t="str">
        <f t="shared" si="450"/>
        <v/>
      </c>
      <c r="BD66" s="239" t="str">
        <f t="shared" si="430"/>
        <v/>
      </c>
      <c r="BE66" s="239" t="str">
        <f>IF(A66=FALSE,"",IF(ALLTHESAME=TRUE,IF(DF66&lt;&gt;$BC$7,0,INDEX(DD66:DZ66,1,MATCH(Structure!$D$12,$DD$14:$DZ$14,0))),IF(EC66&lt;&gt;$BC$7,0,INDEX(EA66:EZ66,1,MATCH(Structure!$D$12,$EA$14:$EZ$14,0)))))</f>
        <v/>
      </c>
      <c r="BF66" s="239" t="str">
        <f>IF(A66=FALSE,"",IF(ALLTHESAME=TRUE,IF(FC66&lt;&gt;$BC$7,0,INDEX(FA66:FZ66,1,MATCH(Structure!$D$12,$FA$14:$FZ$14,0))),IF(GC66&lt;&gt;$BC$7,0,INDEX(GA66:GZ66,1,MATCH(Structure!$D$12,$GA$14:$GZ$14,0)))))</f>
        <v/>
      </c>
      <c r="BG66" s="239" t="str">
        <f>IF(A66=FALSE,"",IF(ALLTHESAME=TRUE,IF(VC66&lt;&gt;$BC$7,0,INDEX(VA66:VZ66,1,MATCH(Structure!$D$12,$VA$14:$VZ$14,0))),IF(VC66&lt;&gt;$BC$7,0,INDEX(VA66:VZ66,1,MATCH(Structure!$D$12,$VA$14:$VZ$14,0)))))</f>
        <v/>
      </c>
      <c r="BH66" s="239" t="str">
        <f>IF(A66=FALSE,"",IF(ALLTHESAME=TRUE,IF(WC66&lt;&gt;$BC$7,0,INDEX(WA66:WY66,1,MATCH(Structure!$D$12,$WA$14:$WZ$14,0))),IF(WC66&lt;&gt;$BC$7,0,INDEX(WA66:WZ66,1,MATCH(Structure!$D$12,$WA$14:$WZ$14,0)))))</f>
        <v/>
      </c>
      <c r="BI66" s="763" t="str">
        <f>IF(A66=FALSE,"",IF(ALLTHESAME=TRUE,IF(HC66&lt;&gt;$BC$7,0,INDEX(HA66:HZ66,1,MATCH(Structure!$D$12,$HA$14:$HZ$14,0)))+TK66,IF(IC66&lt;&gt;$BC$7,0,INDEX(IA66:IZ66,1,MATCH(Structure!$D$12,$IA$14:$IZ$14,0)))+TK66))</f>
        <v/>
      </c>
      <c r="BJ66" s="239" t="str">
        <f>IF(A66=FALSE,"",IF(ALLTHESAME=TRUE,IF(JC66&lt;&gt;$BC$7,0,INDEX(JA66:JZ66,1,MATCH(Structure!$D$12,$JA$14:$JZ$14,0))),IF(KC66&lt;&gt;$BC$7,0,INDEX(KA66:KZ66,1,MATCH(Structure!$D$12,$KA$14:$KZ$14,0)))))</f>
        <v/>
      </c>
      <c r="BK66" s="763" t="str">
        <f>IF(A66=FALSE,"",IF(ALLTHESAME=TRUE,IF(LC66&lt;&gt;$BC$7,0,INDEX(LA66:LZ66,1,MATCH(Structure!$D$12,$LA$14:$LZ$14,0)))+UK66,IF(MC66&lt;&gt;$BC$7,0,INDEX(MA66:MZ66,1,MATCH(Structure!$D$12,$MA$14:$MZ$14,0)))+UK66))</f>
        <v/>
      </c>
      <c r="BL66" s="239" t="str">
        <f>IF(A66=FALSE,"",IF(ALLTHESAME=TRUE,IF(NC66&lt;&gt;$BC$7,0,INDEX(NA66:NZ66,1,MATCH(Structure!$D$12,$NA$14:$NZ$14,0))),IF(OC66&lt;&gt;$BC$7,0,INDEX(OA66:OZ66,1,MATCH(Structure!$D$12,$OA$14:$OZ$14,0)))))</f>
        <v/>
      </c>
      <c r="BM66" s="239" t="str">
        <f>IF(A66=FALSE,"",IF(ALLTHESAME=TRUE,IF(PC66&lt;&gt;$BC$7,0,INDEX(PA66:PZ66,1,MATCH(Structure!$D$12,$PA$14:$PZ$14,0))),IF(QC66&lt;&gt;$BC$7,0,INDEX(QA66:QZ66,1,MATCH(Structure!$D$12,$QA$14:$QZ$14,0)))))</f>
        <v/>
      </c>
      <c r="BN66" s="341" t="str">
        <f>IF(A66=FALSE,"",IF(ALLTHESAME=TRUE,IF(RC66&lt;&gt;$BC$7,0,INDEX(RA66:RZ66,1,MATCH(Structure!$D$12,$RA$14:$RZ$14,0))),IF(SC66&lt;&gt;$BC$7,0,INDEX(SA66:TA66,1,MATCH(Structure!$D$12,$SA$14:$TA$14,0)))))</f>
        <v/>
      </c>
      <c r="BO66" s="507" t="str">
        <f t="shared" si="451"/>
        <v/>
      </c>
      <c r="BP66" s="239" t="str">
        <f t="shared" si="452"/>
        <v/>
      </c>
      <c r="BQ66" s="239" t="str">
        <f>IF(A66=FALSE,"",IF(ALLTHESAME=TRUE,IF(DF66&lt;&gt;$BO$7,0,INDEX(DD66:DZ66,1,MATCH(Structure!$D$12,$DD$14:$DZ$14,0))),IF(EC66&lt;&gt;$BO$7,0,INDEX(EA66:EZ66,1,MATCH(Structure!$D$12,$EA$14:$EZ$14,0)))))</f>
        <v/>
      </c>
      <c r="BR66" s="239" t="str">
        <f>IF(A66=FALSE,"",IF(ALLTHESAME=TRUE,IF(FC66&lt;&gt;$BO$7,0,INDEX(FA66:FZ66,1,MATCH(Structure!$D$12,$FA$14:$FZ$14,0))),IF(GC66&lt;&gt;$BO$7,0,INDEX(GA66:GZ66,1,MATCH(Structure!$D$12,$GA$14:$GZ$14,0)))))</f>
        <v/>
      </c>
      <c r="BS66" s="239" t="str">
        <f>IF(A66=FALSE,"",IF(ALLTHESAME=TRUE,IF(HC66&lt;&gt;$BO$7,0,INDEX(HA66:HZ66,1,MATCH(Structure!$D$12,$HA$14:$HZ$14,0))),IF(IC66&lt;&gt;$BO$7,0,INDEX(IA66:IZ66,1,MATCH(Structure!$D$12,$IA$14:$IZ$14,0)))))</f>
        <v/>
      </c>
      <c r="BT66" s="239" t="str">
        <f>IF(A66=FALSE,"",IF(ALLTHESAME=TRUE,IF(JC66&lt;&gt;$BO$7,0,INDEX(JA66:JZ66,1,MATCH(Structure!$D$12,$JA$14:$JZ$14,0))),IF(KC66&lt;&gt;$BO$7,0,INDEX(KA66:KZ66,1,MATCH(Structure!$D$12,$KA$14:$KZ$14,0)))))</f>
        <v/>
      </c>
      <c r="BU66" s="239" t="str">
        <f>IF(A66=FALSE,"",IF(ALLTHESAME=TRUE,IF(LC66&lt;&gt;$BO$7,0,INDEX(LA66:LZ66,1,MATCH(Structure!$D$12,$LA$14:$LZ$14,0))),IF(MC66&lt;&gt;$BO$7,0,INDEX(MA66:MZ66,1,MATCH(Structure!$D$12,$MA$14:$MZ$14,0)))))</f>
        <v/>
      </c>
      <c r="BV66" s="239" t="str">
        <f>IF(A66=FALSE,"",IF(ALLTHESAME=TRUE,IF(NC66&lt;&gt;$BO$7,0,INDEX(NA66:NZ66,1,MATCH(Structure!$D$12,$NA$14:$NZ$14,0))),IF(OC66&lt;&gt;$BO$7,0,INDEX(OA66:OZ66,1,MATCH(Structure!$D$12,$OA$14:$OZ$14,0)))))</f>
        <v/>
      </c>
      <c r="BW66" s="239" t="str">
        <f>IF(A66=FALSE,"",IF(ALLTHESAME=TRUE,IF(PC66&lt;&gt;$BO$7,0,INDEX(PA66:PZ66,1,MATCH(Structure!$D$12,$PA$14:$PZ$14,0))),IF(QC66&lt;&gt;$BO$7,0,INDEX(QA66:QZ66,1,MATCH(Structure!$D$12,$QA$14:$QZ$14,0)))))</f>
        <v/>
      </c>
      <c r="BX66" s="341" t="str">
        <f>IF(A66=FALSE,"",IF(ALLTHESAME=TRUE,IF(RC66&lt;&gt;$BO$7,0,INDEX(RA66:RZ66,1,MATCH(Structure!$D$12,$RA$14:$RZ$14,0))),IF(SC66&lt;&gt;$BO$7,0,INDEX(SA66:TA66,1,MATCH(Structure!$D$12,$SA$14:$TA$14,0)))))</f>
        <v/>
      </c>
      <c r="BY66" s="347" t="str">
        <f t="shared" si="453"/>
        <v/>
      </c>
      <c r="BZ66" s="507" t="str">
        <f t="shared" si="454"/>
        <v/>
      </c>
      <c r="CA66" s="239" t="str">
        <f t="shared" si="455"/>
        <v/>
      </c>
      <c r="CB66" s="239" t="str">
        <f>IF(A66=FALSE,"",IF(ALLTHESAME=TRUE,INDEX(DD66:DZ66,MATCH(DF66,DF66:DF171,0),MATCH(Structure!$D$17,$DD$14:$DZ$14,0)),INDEX(EA66:EZ66,MATCH(EC66,EC66:EC171,0),MATCH(Structure!$D$17,$EA$14:$EZ$14,0))))</f>
        <v/>
      </c>
      <c r="CC66" s="239" t="str">
        <f>IF(A66=FALSE,"",IF(ALLTHESAME=TRUE,INDEX(FA66:FZ66,MATCH(FC66,FC66:FC171,0),MATCH(Structure!$D$17,$FA$14:$FZ$14,0)),INDEX(GA66:GZ66,MATCH(GC66,GC66:GC171,0),MATCH(Structure!$D$17,$GA$14:$GZ$14,0))))</f>
        <v/>
      </c>
      <c r="CD66" s="239" t="str">
        <f>IF(A66=FALSE,"",IF(ALLTHESAME=TRUE,INDEX(HA66:HZ66,MATCH(HC66,HC66:HC171,0),MATCH(Structure!$D$17,$HA$14:$HZ$14,0)),INDEX(IA66:IZ66,MATCH(IC66,IC66:IC171,0),MATCH(Structure!$D$17,$IA$14:$IZ$14,0))))</f>
        <v/>
      </c>
      <c r="CE66" s="239" t="str">
        <f>IF(A66=FALSE,"",IF(ALLTHESAME=TRUE,INDEX(JA66:JZ66,MATCH(JC66,JC66:JC171,0),MATCH(Structure!$D$17,$JA$14:$JZ$14,0)),INDEX(KA66:KZ66,MATCH(KC66,KC66:KC171,0),MATCH(Structure!$D$17,$KA$14:$KZ$14,0))))</f>
        <v/>
      </c>
      <c r="CF66" s="239" t="str">
        <f>IF(A66=FALSE,"",IF(ALLTHESAME=TRUE,INDEX(LA66:LZ66,MATCH(LC66,LC66:LC171,0),MATCH(Structure!$D$17,$LA$14:$LZ$14,0)),INDEX(MA66:MZ66,MATCH(MC66,MC66:MC171,0),MATCH(Structure!$D$17,$MA$14:$MZ$14,0))))</f>
        <v/>
      </c>
      <c r="CG66" s="239" t="str">
        <f>IF(A66=FALSE,"",IF(ALLTHESAME=TRUE,INDEX(NA66:NZ66,MATCH(NC66,NC66:NC171,0),MATCH(Structure!$D$17,$NA$14:$NZ$14,0)),INDEX(OA66:OZ66,MATCH(OC66,OC66:OC171,0),MATCH(Structure!$D$17,$OA$14:$OZ$14,0))))</f>
        <v/>
      </c>
      <c r="CH66" s="239" t="str">
        <f>IF(A66=FALSE,"",IF(ALLTHESAME=TRUE,INDEX(PA66:PZ66,MATCH(PC66,PC66:PC171,0),MATCH(Structure!$D$17,$PA$14:$PZ$14,0)),INDEX(QA66:QZ66,MATCH(QC66,QC66:QC171,0),MATCH(Structure!$D$17,$QA$14:$QZ$14,0))))</f>
        <v/>
      </c>
      <c r="CI66" s="341" t="str">
        <f>IF(A66=FALSE,"",IF(ALLTHESAME=TRUE,INDEX(RA66:RZ66,MATCH(RC66,RC66:RC171,0),MATCH(Structure!$D$17,$RA$14:$RZ$14,0)),INDEX(SA66:TC66,MATCH(SC66,SC66:SC171,0),MATCH(Structure!$D$17,$SA$14:$TC$14,0))))</f>
        <v/>
      </c>
      <c r="CJ66" s="347"/>
      <c r="CK66" s="239" t="str">
        <f t="shared" si="456"/>
        <v/>
      </c>
      <c r="CL66" s="239" t="str">
        <f>IF(A66=FALSE,"",IF(ALLTHESAME=TRUE,INDEX(DD66:DZ66,MATCH(DF66,DF66:DF171,0),MATCH(Structure!$D$22,$DD$14:$DZ$14,0)),INDEX(EA66:EZ66,MATCH(EC66,EC66:EC171,0),MATCH(Structure!$D$22,$EA$14:$EZ$14,0))))</f>
        <v/>
      </c>
      <c r="CM66" s="239" t="str">
        <f>IF(A66=FALSE,"",IF(ALLTHESAME=TRUE,INDEX(FA66:FZ66,MATCH(FC66,FC66:FC171,0),MATCH(Structure!$D$22,$FA$14:$FZ$14,0)),INDEX(GA66:GZ66,MATCH(GC66,GC66:GC171,0),MATCH(Structure!$D$22,$GA$14:$GZ$14,0))))</f>
        <v/>
      </c>
      <c r="CN66" s="239" t="str">
        <f>IF(A66=FALSE,"",IF(ALLTHESAME=TRUE,INDEX(HA66:HZ66,MATCH(HC66,HC66:HC171,0),MATCH(Structure!$D$22,$HA$14:$HZ$14,0)),INDEX(IA66:IZ66,MATCH(IC66,IC66:IC171,0),MATCH(Structure!$D$22,$IA$14:$IZ$14,0))))</f>
        <v/>
      </c>
      <c r="CO66" s="239" t="str">
        <f>IF(A66=FALSE,"",IF(ALLTHESAME=TRUE,INDEX(JA66:JZ66,MATCH(JC66,JC66:JC171,0),MATCH(Structure!$D$22,$JA$14:$JZ$14,0)),INDEX(KA66:KZ66,MATCH(KC66,KC66:KC171,0),MATCH(Structure!$D$22,$KA$14:$KZ$14,0))))</f>
        <v/>
      </c>
      <c r="CP66" s="239" t="str">
        <f>IF(A66=FALSE,"",IF(ALLTHESAME=TRUE,INDEX(LA66:LZ66,MATCH(LC66,LC66:LC171,0),MATCH(Structure!$D$22,$LA$14:$LZ$14,0)),INDEX(MA66:MZ66,MATCH(MC66,MC66:MC171,0),MATCH(Structure!$D$22,$MA$14:$MZ$14,0))))</f>
        <v/>
      </c>
      <c r="CQ66" s="239" t="str">
        <f>IF(A66=FALSE,"",IF(ALLTHESAME=TRUE,INDEX(NA66:NZ66,MATCH(NC66,NC66:NC171,0),MATCH(Structure!$D$22,$NA$14:$NZ$14,0)),INDEX(OA66:OZ66,MATCH(OC66,OC66:OC171,0),MATCH(Structure!$D$22,$OA$14:$OZ$14,0))))</f>
        <v/>
      </c>
      <c r="CR66" s="239" t="str">
        <f>IF(A66=FALSE,"",IF(ALLTHESAME=TRUE,INDEX(PA66:PZ66,MATCH(PC66,PC66:PC171,0),MATCH(Structure!$D$22,$PA$14:$PZ$14,0)),INDEX(QA66:QZ66,MATCH(QC66,QC66:QC171,0),MATCH(Structure!$D$22,$QA$14:$QZ$14,0))))</f>
        <v/>
      </c>
      <c r="CS66" s="341" t="str">
        <f>IF(A66=FALSE,"",IF(ALLTHESAME=TRUE,INDEX(RA66:RZ66,MATCH(RC66,RC66:RC171,0),MATCH(Structure!$D$22,$RA$14:$RZ$14,0)),INDEX(SA66:TC66,MATCH(SC66,SC66:SC171,0),MATCH(Structure!$D$22,$SA$14:$TC$14,0))))</f>
        <v/>
      </c>
      <c r="CT66" s="347"/>
      <c r="CU66" s="239" t="str">
        <f t="shared" si="457"/>
        <v/>
      </c>
      <c r="CV66" s="239" t="str">
        <f>IF(A66=FALSE,"",IF(ALLTHESAME=TRUE,INDEX(DD66:DZ66,MATCH(DF66,DF66:DF171,0),MATCH(Structure!$D$8,$DD$14:$DZ$14,0)),INDEX(EA66:EZ66,MATCH(EC66,EC66:EC171,0),MATCH(Structure!$D$8,$EA$14:$EZ$14,0))))</f>
        <v/>
      </c>
      <c r="CW66" s="239" t="str">
        <f>IF(A66=FALSE,"",IF(ALLTHESAME=TRUE,INDEX(FA66:FZ66,MATCH(FC66,FC66:FC171,0),MATCH(Structure!$D$8,$FA$14:$FZ$14,0)),INDEX(GA66:GZ66,MATCH(GC66,GC66:GC171,0),MATCH(Structure!$D$8,$GA$14:$GZ$14,0))))</f>
        <v/>
      </c>
      <c r="CX66" s="239" t="str">
        <f>IF(A66=FALSE,"",IF(ALLTHESAME=TRUE,INDEX(HA66:HZ66,MATCH(HC66,HC66:HC171,0),MATCH(Structure!$D$8,$HA$14:$HZ$14,0)),INDEX(IA66:IZ66,MATCH(IC66,IC66:IC171,0),MATCH(Structure!$D$8,$IA$14:$IZ$14,0))))</f>
        <v/>
      </c>
      <c r="CY66" s="239" t="str">
        <f>IF(A66=FALSE,"",IF(ALLTHESAME=TRUE,INDEX(JA66:JZ66,MATCH(JC66,JC66:JC171,0),MATCH(Structure!$D$8,$JA$14:$JZ$14,0)),INDEX(KA66:KZ66,MATCH(KC66,KC66:KC171,0),MATCH(Structure!$D$8,$KA$14:$KZ$14,0))))</f>
        <v/>
      </c>
      <c r="CZ66" s="239" t="str">
        <f>IF(A66=FALSE,"",IF(ALLTHESAME=TRUE,INDEX(LA66:LZ66,MATCH(LC66,LC66:LC171,0),MATCH(Structure!$D$8,$LA$14:$LZ$14,0)),INDEX(MA66:MZ66,MATCH(MC66,MC66:MC171,0),MATCH(Structure!$D$8,$MA$14:$MZ$14,0))))</f>
        <v/>
      </c>
      <c r="DA66" s="239" t="str">
        <f>IF(A66=FALSE,"",IF(ALLTHESAME=TRUE,INDEX(NA66:NZ66,MATCH(NC66,NC66:NC171,0),MATCH(Structure!$D$8,$NA$14:$NZ$14,0)),INDEX(OA66:OZ66,MATCH(OC66,OC66:OC171,0),MATCH(Structure!$D$8,$OA$14:$OZ$14,0))))</f>
        <v/>
      </c>
      <c r="DB66" s="239" t="str">
        <f>IF(A66=FALSE,"",IF(ALLTHESAME=TRUE,INDEX(PA66:PZ66,MATCH(PC66,PC66:PC171,0),MATCH(Structure!$D$8,$PA$14:$PZ$14,0)),INDEX(QA66:QZ66,MATCH(QC66,QC66:QC171,0),MATCH(Structure!$D$8,$QA$14:$QZ$14,0))))</f>
        <v/>
      </c>
      <c r="DC66" s="341" t="str">
        <f>IF(A66=FALSE,"",IF(ALLTHESAME=TRUE,INDEX(RA66:RZ66,MATCH(RC66,RC66:RC171,0),MATCH(Structure!$D$8,$RA$14:$RZ$14,0)),INDEX(SA66:TC66,MATCH(SC66,SC66:SC171,0),MATCH(Structure!$D$8,$SA$14:$TC$14,0))))</f>
        <v/>
      </c>
      <c r="DD66" s="492" t="str">
        <f>IF(A66=FALSE,"",Cotations!D66)</f>
        <v/>
      </c>
      <c r="DE66" s="492" t="str">
        <f>IF(A66=FALSE,"",IF(LISTES!$A$17=1,Cotations!AF66,Cotations!$AG$4))</f>
        <v/>
      </c>
      <c r="DF66" s="291" t="str">
        <f t="shared" si="458"/>
        <v/>
      </c>
      <c r="DG66" s="291" t="str">
        <f t="shared" si="459"/>
        <v/>
      </c>
      <c r="DH66" s="291"/>
      <c r="DI66" s="463"/>
      <c r="DJ66" s="463" t="str">
        <f t="shared" si="460"/>
        <v/>
      </c>
      <c r="DK66" s="522" t="str">
        <f>IF(A66=FALSE,"",IF(Cotations!$AH$4="monthly",DJ66/12*L66,DJ66/365*M66))</f>
        <v/>
      </c>
      <c r="DL66" s="489" t="str">
        <f>IF(A66=FALSE,"",Cotations!$AI$4)</f>
        <v/>
      </c>
      <c r="DM66" s="300" t="str">
        <f t="shared" si="461"/>
        <v/>
      </c>
      <c r="DN66" s="300" t="str">
        <f t="shared" si="462"/>
        <v/>
      </c>
      <c r="DO66" s="294" t="str">
        <f t="shared" si="463"/>
        <v/>
      </c>
      <c r="DP66" s="494" t="str">
        <f>IF(A66=FALSE,"",Cotations!$AJ$4)</f>
        <v/>
      </c>
      <c r="DQ66" s="494" t="str">
        <f>IF(A66=FALSE,"",Cotations!$AK$4)</f>
        <v/>
      </c>
      <c r="DR66" s="489" t="str">
        <f>IF(A66=FALSE,"",Cotations!$AL$4)</f>
        <v/>
      </c>
      <c r="DS66" s="494" t="str">
        <f>IF(A66=FALSE,"",IF(DP66="N/A",0,IF(INDEX(LISTES!$F$105:$F$109,MATCH(DP66,LISTES!$C$105:$C$109,0))="FIX",IF(INDEX(LISTES!$E$105:$E$109,MATCH(DP66,LISTES!$C$105:$C$109,0))=12,DQ66/12*L66,DQ66/365*M66),DR66*DO66)))</f>
        <v/>
      </c>
      <c r="DT66" s="294" t="str">
        <f t="shared" si="464"/>
        <v/>
      </c>
      <c r="DU66" s="294" t="str">
        <f>IF(A66=FALSE,"",DT66*Cotations!$AM$4)</f>
        <v/>
      </c>
      <c r="DV66" s="294" t="str">
        <f>IF(A66=FALSE,"",DT66*Cotations!$AN$4)</f>
        <v/>
      </c>
      <c r="DW66" s="465" t="str">
        <f t="shared" si="465"/>
        <v/>
      </c>
      <c r="DX66" s="919" t="str">
        <f>IF(A66=FALSE,"",((DJ66*TAXE)-(DJ66*TAXE*DL66))+IF(DP66="N/A",0,IF(INDEX(LISTES!$F$105:$F$109,MATCH(DP66,LISTES!$C$105:$C$109,0))="FIX",DQ66,DR66*DO66)))</f>
        <v/>
      </c>
      <c r="DY66" s="466"/>
      <c r="DZ66" s="466"/>
      <c r="EA66" s="492" t="str">
        <f>IF(A66=FALSE,"",Cotations!D66)</f>
        <v/>
      </c>
      <c r="EB66" s="494" t="str">
        <f>IF(A66=FALSE,"",IF(LISTES!$A$17=1,Cotations!AF66,Cotations!AG66))</f>
        <v/>
      </c>
      <c r="EC66" s="284" t="str">
        <f t="shared" si="466"/>
        <v/>
      </c>
      <c r="ED66" s="284" t="str">
        <f t="shared" si="467"/>
        <v/>
      </c>
      <c r="EE66" s="284"/>
      <c r="EF66" s="284"/>
      <c r="EG66" s="284" t="str">
        <f t="shared" si="468"/>
        <v/>
      </c>
      <c r="EH66" s="1365" t="str">
        <f t="shared" si="469"/>
        <v/>
      </c>
      <c r="EI66" s="1365" t="str">
        <f t="shared" si="470"/>
        <v/>
      </c>
      <c r="EJ66" s="515" t="str">
        <f>IF(A66=FALSE,"",IF(Cotations!AH66="monthly",EG66/12*L66,EG66/365*M66))</f>
        <v/>
      </c>
      <c r="EK66" s="1364" t="str">
        <f>IF(A66=FALSE,"",IF(Cotations!AH66="monthly",EI66/12*L66,EI66/365*M66))</f>
        <v/>
      </c>
      <c r="EL66" s="493" t="str">
        <f>IF(A66=FALSE,"",IF(Cotations!AI66="","",Cotations!AI66))</f>
        <v/>
      </c>
      <c r="EM66" s="284" t="str">
        <f t="shared" si="471"/>
        <v/>
      </c>
      <c r="EN66" s="284" t="str">
        <f t="shared" si="472"/>
        <v/>
      </c>
      <c r="EO66" s="1365" t="str">
        <f t="shared" si="432"/>
        <v/>
      </c>
      <c r="EP66" s="284" t="str">
        <f t="shared" si="473"/>
        <v/>
      </c>
      <c r="EQ66" s="515" t="str">
        <f>IF(A66=FALSE,"",Cotations!AJ66)</f>
        <v/>
      </c>
      <c r="ER66" s="515" t="str">
        <f>IF(A66=FALSE,"",IF(Cotations!AK66="","",Cotations!AK66))</f>
        <v/>
      </c>
      <c r="ES66" s="493" t="str">
        <f>IF(A66=FALSE,"",Cotations!AL66)</f>
        <v/>
      </c>
      <c r="ET66" s="515" t="str">
        <f>IF(A66=FALSE,"",IF(EQ66="N/A",0,IF(INDEX(LISTES!$F$105:$F$109,MATCH(EQ66,LISTES!$C$105:$C$109,0))="FIX",IF(INDEX(LISTES!$E$105:$E$109,MATCH(EQ66,LISTES!$C$105:$C$109,0))=12,ER66/12*L66,ER66/365*M66),ES66*EP66)))</f>
        <v/>
      </c>
      <c r="EU66" s="294" t="str">
        <f t="shared" si="474"/>
        <v/>
      </c>
      <c r="EV66" s="494" t="str">
        <f>IF(A66=FALSE,"",EU66*Cotations!AM66)</f>
        <v/>
      </c>
      <c r="EW66" s="494" t="str">
        <f>IF(A66=FALSE,"",EU66*Cotations!AN66)</f>
        <v/>
      </c>
      <c r="EX66" s="334" t="str">
        <f t="shared" si="475"/>
        <v/>
      </c>
      <c r="EY66" s="919" t="str">
        <f>IF(A66=FALSE,"",((EG66*TAXE)-(EG66*TAXE*EL66)+EH66)+IF(EQ66="N/A",0,IF(INDEX(LISTES!$F$105:$F$109,MATCH(EQ66,LISTES!$C$105:$C$109,0))="FIX",ER66,ES66*EP66)))</f>
        <v/>
      </c>
      <c r="FA66" s="492" t="str">
        <f>IF(A66=FALSE,"",Cotations!D66)</f>
        <v/>
      </c>
      <c r="FB66" s="519" t="str">
        <f>IF(A66=FALSE,"",IF(LISTES!$A$17=1,Cotations!AO66,Cotations!$AP$4))</f>
        <v/>
      </c>
      <c r="FC66" s="291" t="str">
        <f t="shared" si="476"/>
        <v/>
      </c>
      <c r="FD66" s="291" t="str">
        <f t="shared" si="477"/>
        <v/>
      </c>
      <c r="FE66" s="291"/>
      <c r="FF66" s="463"/>
      <c r="FG66" s="463" t="str">
        <f t="shared" si="478"/>
        <v/>
      </c>
      <c r="FH66" s="522" t="str">
        <f>IF(A66=FALSE,"",IF(Cotations!$AQ$4="monthly",FG66/12*L66,FG66/365*M66))</f>
        <v/>
      </c>
      <c r="FI66" s="453" t="str">
        <f>IF(A66=FALSE,"",Cotations!$AR$4)</f>
        <v/>
      </c>
      <c r="FJ66" s="300" t="str">
        <f t="shared" si="479"/>
        <v/>
      </c>
      <c r="FK66" s="300" t="str">
        <f t="shared" si="480"/>
        <v/>
      </c>
      <c r="FL66" s="294" t="str">
        <f t="shared" si="481"/>
        <v/>
      </c>
      <c r="FM66" s="494" t="str">
        <f>IF(A66=FALSE,"",Cotations!$AS$4)</f>
        <v/>
      </c>
      <c r="FN66" s="494" t="str">
        <f>IF(A66=FALSE,"",Cotations!$AT$4)</f>
        <v/>
      </c>
      <c r="FO66" s="489" t="str">
        <f>IF(A66=FALSE,"",Cotations!$AU$4)</f>
        <v/>
      </c>
      <c r="FP66" s="494" t="str">
        <f>IF(A66=FALSE,"",IF(FM66="N/A",0,IF(INDEX(LISTES!$F$105:$F$109,MATCH(FM66,LISTES!$C$105:$C$109,0))="FIX",IF(INDEX(LISTES!$E$105:$E$109,MATCH(FM66,LISTES!$C$105:$C$109,0))=12,FN66/12*L66,FN66/365*M66),FO66*FL66)))</f>
        <v/>
      </c>
      <c r="FQ66" s="294" t="str">
        <f t="shared" si="482"/>
        <v/>
      </c>
      <c r="FR66" s="494" t="str">
        <f>IF(A66=FALSE,"",FQ66*Cotations!$AV$4)</f>
        <v/>
      </c>
      <c r="FS66" s="494" t="str">
        <f>IF(A66=FALSE,"",FQ66*Cotations!$AW$4)</f>
        <v/>
      </c>
      <c r="FT66" s="465" t="str">
        <f t="shared" si="483"/>
        <v/>
      </c>
      <c r="FU66" s="919" t="str">
        <f>IF(A66=FALSE,"",((FG66*TAXE)-(FG66*TAXE*FI66))+IF(FM66="N/A",0,IF(INDEX(LISTES!$F$105:$F$109,MATCH(FM66,LISTES!$C$105:$C$109,0))="FIX",FN66,FO66*FL66)))</f>
        <v/>
      </c>
      <c r="FV66" s="478"/>
      <c r="FW66" s="478"/>
      <c r="FX66" s="478"/>
      <c r="FY66" s="478"/>
      <c r="FZ66" s="478"/>
      <c r="GA66" s="492" t="str">
        <f>IF(A66=FALSE,"",Cotations!D66)</f>
        <v/>
      </c>
      <c r="GB66" s="494" t="str">
        <f>IF(A66=FALSE,"",IF(LISTES!$A$17=1,Cotations!AO66,Cotations!AP66))</f>
        <v/>
      </c>
      <c r="GC66" s="284" t="str">
        <f t="shared" si="484"/>
        <v/>
      </c>
      <c r="GD66" s="515" t="str">
        <f>IF(A66=FALSE,"",IF(Detail!AM66="","",Detail!AM66))</f>
        <v/>
      </c>
      <c r="GE66" s="284"/>
      <c r="GF66" s="284"/>
      <c r="GG66" s="284" t="str">
        <f t="shared" si="485"/>
        <v/>
      </c>
      <c r="GH66" s="515" t="str">
        <f>IF(A66=FALSE,"",IF(Cotations!AQ66="monthly",GG66/12*L66,GG66/365*M66))</f>
        <v/>
      </c>
      <c r="GI66" s="493" t="str">
        <f>IF(A66=FALSE,"",IF(Cotations!AR66="","",Cotations!AR66))</f>
        <v/>
      </c>
      <c r="GJ66" s="284" t="str">
        <f t="shared" si="486"/>
        <v/>
      </c>
      <c r="GK66" s="284" t="str">
        <f t="shared" si="487"/>
        <v/>
      </c>
      <c r="GL66" s="284" t="str">
        <f t="shared" si="488"/>
        <v/>
      </c>
      <c r="GM66" s="515" t="str">
        <f>IF(A66=FALSE,"",Cotations!AS66)</f>
        <v/>
      </c>
      <c r="GN66" s="515" t="str">
        <f>IF(A66=FALSE,"",Cotations!AT66)</f>
        <v/>
      </c>
      <c r="GO66" s="493" t="str">
        <f>IF(A66=FALSE,"",Cotations!AU66)</f>
        <v/>
      </c>
      <c r="GP66" s="515" t="str">
        <f>IF(A66=FALSE,"",IF(GM66="N/A",0,IF(INDEX(LISTES!$F$105:$F$109,MATCH(GM66,LISTES!$C$105:$C$109,0))="FIX",IF(INDEX(LISTES!$E$105:$E$109,MATCH(GM66,LISTES!$C$105:$C$109,0))=12,GN66/12*L66,GN66/365*M66),GO66*GL66)))</f>
        <v/>
      </c>
      <c r="GQ66" s="294" t="str">
        <f t="shared" si="489"/>
        <v/>
      </c>
      <c r="GR66" s="494" t="str">
        <f>IF(A66=FALSE,"",GQ66*Cotations!AV66)</f>
        <v/>
      </c>
      <c r="GS66" s="494" t="str">
        <f>IF(A66=FALSE,"",GQ66*Cotations!AW66)</f>
        <v/>
      </c>
      <c r="GT66" s="334" t="str">
        <f t="shared" si="490"/>
        <v/>
      </c>
      <c r="GU66" s="919" t="str">
        <f>IF(A66=FALSE,"",((GG66*TAXE)-(GG66*TAXE*GI66))+IF(GM66="N/A",0,IF(INDEX(LISTES!$F$105:$F$109,MATCH(GM66,LISTES!$C$105:$C$109,0))="FIX",GN66,GO66*GL66)))</f>
        <v/>
      </c>
      <c r="GV66" s="478"/>
      <c r="GW66" s="466"/>
      <c r="GX66" s="466"/>
      <c r="GY66" s="466"/>
      <c r="GZ66" s="466"/>
      <c r="HA66" s="492" t="str">
        <f>IF(A66=FALSE,"",Cotations!D66)</f>
        <v/>
      </c>
      <c r="HB66" s="495" t="str">
        <f>IF(A66=FALSE,"",IF(LISTES!$A$17=1,Cotations!AX66,Cotations!$AY$4))</f>
        <v/>
      </c>
      <c r="HC66" s="291" t="str">
        <f t="shared" si="491"/>
        <v/>
      </c>
      <c r="HD66" s="291" t="str">
        <f t="shared" si="492"/>
        <v/>
      </c>
      <c r="HE66" s="456" t="str">
        <f t="shared" si="493"/>
        <v/>
      </c>
      <c r="HF66" s="496" t="str">
        <f>IF(A66=FALSE,"",IF(HA66="POEA",Cotations!BA66,IF(HA66="FIXE",Cotations!$BA$4,Cotations!$BC$4*Y66)))</f>
        <v/>
      </c>
      <c r="HG66" s="300" t="str">
        <f t="shared" si="494"/>
        <v/>
      </c>
      <c r="HH66" s="522" t="str">
        <f>IF(A66=FALSE,"",IF(Cotations!$AZ$4="monthly",HG66/12*L66,HG66/365*M66))</f>
        <v/>
      </c>
      <c r="HI66" s="489" t="str">
        <f>IF(A66=FALSE,"",Cotations!$BD$4)</f>
        <v/>
      </c>
      <c r="HJ66" s="300" t="str">
        <f t="shared" si="495"/>
        <v/>
      </c>
      <c r="HK66" s="300" t="str">
        <f t="shared" si="496"/>
        <v/>
      </c>
      <c r="HL66" s="294" t="str">
        <f t="shared" si="497"/>
        <v/>
      </c>
      <c r="HM66" s="494" t="str">
        <f>IF(A66=FALSE,"",Cotations!$BE$4)</f>
        <v/>
      </c>
      <c r="HN66" s="522" t="str">
        <f>IF(A66=FALSE,"",Cotations!$BF$4)</f>
        <v/>
      </c>
      <c r="HO66" s="489" t="str">
        <f>IF(A66=FALSE,"",Cotations!$BG$4)</f>
        <v/>
      </c>
      <c r="HP66" s="494" t="str">
        <f>IF(A66=FALSE,"",IF(HM66="N/A",0,IF(INDEX(LISTES!$F$105:$F$109,MATCH(HM66,LISTES!$C$105:$C$109,0))="FIX",IF(INDEX(LISTES!$E$105:$E$109,MATCH(HM66,LISTES!$C$105:$C$109,0))=12,HN66/12*L66,HN66/365*M66),HO66*HL66)))</f>
        <v/>
      </c>
      <c r="HQ66" s="294" t="str">
        <f t="shared" si="498"/>
        <v/>
      </c>
      <c r="HR66" s="494" t="str">
        <f>IF(A66=FALSE,"",HQ66*Cotations!$BH$4)</f>
        <v/>
      </c>
      <c r="HS66" s="494" t="str">
        <f>IF(A66=FALSE,"",HQ66*Cotations!$BI$4)</f>
        <v/>
      </c>
      <c r="HT66" s="294" t="str">
        <f t="shared" si="499"/>
        <v/>
      </c>
      <c r="HU66" s="919" t="str">
        <f>IF(A66=FALSE,"",((HG66*TAXE)-(HG66*TAXE*HI66))+IF(HM66="N/A",0,IF(INDEX(LISTES!$F$105:$F$109,MATCH(HM66,LISTES!$C$105:$C$109,0))="FIX",HN66,HO66*HL66)))</f>
        <v/>
      </c>
      <c r="IA66" s="492" t="str">
        <f>IF(A66=FALSE,"",Cotations!D66)</f>
        <v/>
      </c>
      <c r="IB66" s="491" t="str">
        <f>IF(A66=FALSE,"",IF(LISTES!$A$17=1,Cotations!AX66,Cotations!AY66))</f>
        <v/>
      </c>
      <c r="IC66" s="285" t="str">
        <f t="shared" si="500"/>
        <v/>
      </c>
      <c r="ID66" s="300" t="str">
        <f>IF(A66=FALSE,"",IF(LISTES!$A$17=3,Detail!AU66,lig1_Formula_PREVOY))</f>
        <v/>
      </c>
      <c r="IE66" s="461" t="str">
        <f t="shared" si="501"/>
        <v/>
      </c>
      <c r="IF66" s="490" t="str">
        <f>IF(A66=FALSE,"",IF(IA66="POEA",Cotations!BA66,IF(HA66="FIXE",Cotations!BB66,IF(Cotations!BC66*Y66&lt;50000,Z66,Cotations!BC66*Y66))))</f>
        <v/>
      </c>
      <c r="IG66" s="300" t="str">
        <f t="shared" si="502"/>
        <v/>
      </c>
      <c r="IH66" s="522" t="str">
        <f>IF(A66=FALSE,"",IF(Cotations!AZ66="monthly",IG66/12*L66,IG66/365*M66))</f>
        <v/>
      </c>
      <c r="II66" s="489" t="str">
        <f>IF(A66=FALSE,"",IF(Cotations!BD66="","",Cotations!BD66))</f>
        <v/>
      </c>
      <c r="IJ66" s="300" t="str">
        <f t="shared" si="503"/>
        <v/>
      </c>
      <c r="IK66" s="300" t="str">
        <f t="shared" si="504"/>
        <v/>
      </c>
      <c r="IL66" s="919" t="str">
        <f t="shared" si="505"/>
        <v/>
      </c>
      <c r="IM66" s="517" t="str">
        <f>IF(A66=FALSE,"",Cotations!BE66)</f>
        <v/>
      </c>
      <c r="IN66" s="517" t="str">
        <f>IF(A66=FALSE,"",Cotations!BF66)</f>
        <v/>
      </c>
      <c r="IO66" s="493" t="str">
        <f>IF(A66=FALSE,"",Cotations!BG66)</f>
        <v/>
      </c>
      <c r="IP66" s="517" t="str">
        <f>IF(A66=FALSE,"",IF(IM66="N/A",0,IF(INDEX(LISTES!$F$105:$F$109,MATCH(IM66,LISTES!$C$105:$C$109,0))="FIX",IF(INDEX(LISTES!$E$105:$E$109,MATCH(IM66,LISTES!$C$105:$C$109,0))=12,IN66/12*L66,IN66/365*M66),IO66*IL66)))</f>
        <v/>
      </c>
      <c r="IQ66" s="294" t="str">
        <f t="shared" si="506"/>
        <v/>
      </c>
      <c r="IR66" s="494" t="str">
        <f>IF(A66=FALSE,"",IQ66*Cotations!BH66)</f>
        <v/>
      </c>
      <c r="IS66" s="494" t="str">
        <f>IF(A66=FALSE,"",IQ66*Cotations!BI66)</f>
        <v/>
      </c>
      <c r="IT66" s="338" t="str">
        <f t="shared" si="507"/>
        <v/>
      </c>
      <c r="IU66" s="919" t="str">
        <f>IF(A66=FALSE,"",((IG66*TAXE)-(IG66*TAXE*II66))+IF(IM66="N/A",0,IF(INDEX(LISTES!$F$105:$F$109,MATCH(IM66,LISTES!$C$105:$C$109,0))="FIX",IN66,IO66*IL66)))</f>
        <v/>
      </c>
      <c r="JA66" s="492" t="str">
        <f>IF(A66=FALSE,"",Cotations!D66)</f>
        <v/>
      </c>
      <c r="JB66" s="495" t="str">
        <f>IF(A66=FALSE,"",IF(LISTES!$A$17=1,Cotations!BJ66,Cotations!$BK$4))</f>
        <v/>
      </c>
      <c r="JC66" s="291" t="str">
        <f t="shared" si="508"/>
        <v/>
      </c>
      <c r="JD66" s="291" t="str">
        <f t="shared" si="509"/>
        <v/>
      </c>
      <c r="JE66" s="456" t="str">
        <f t="shared" si="510"/>
        <v/>
      </c>
      <c r="JF66" s="496" t="str">
        <f>IF(A66=FALSE,"",IF(JA66="POEA",Cotations!BM66,IF(JA66="FIXE",Cotations!$BM$4,Cotations!$BO$4*Y66)))</f>
        <v/>
      </c>
      <c r="JG66" s="300" t="str">
        <f t="shared" si="511"/>
        <v/>
      </c>
      <c r="JH66" s="522" t="str">
        <f>IF(A66=FALSE,"",IF(Cotations!$BL$4="monthly",JG66/12*L66,JG66/365*M66))</f>
        <v/>
      </c>
      <c r="JI66" s="489" t="str">
        <f>IF(A66=FALSE,"",Cotations!$BP$4)</f>
        <v/>
      </c>
      <c r="JJ66" s="300" t="str">
        <f t="shared" si="512"/>
        <v/>
      </c>
      <c r="JK66" s="300" t="str">
        <f t="shared" si="513"/>
        <v/>
      </c>
      <c r="JL66" s="294" t="str">
        <f t="shared" si="514"/>
        <v/>
      </c>
      <c r="JM66" s="494" t="str">
        <f>IF(A66=FALSE,"",Cotations!$BQ$4)</f>
        <v/>
      </c>
      <c r="JN66" s="522" t="str">
        <f>IF(A66=FALSE,"",Cotations!$BR$4)</f>
        <v/>
      </c>
      <c r="JO66" s="489" t="str">
        <f>IF(A66=FALSE,"",Cotations!$BS$4)</f>
        <v/>
      </c>
      <c r="JP66" s="494" t="str">
        <f>IF(A66=FALSE,"",IF(JM66="N/A",0,IF(INDEX(LISTES!$F$105:$F$109,MATCH(JM66,LISTES!$C$105:$C$109,0))="FIX",IF(INDEX(LISTES!$E$105:$E$109,MATCH(JM66,LISTES!$C$105:$C$109,0))=12,JN66/12*L66,JN66/365*M66),JO66*JL66)))</f>
        <v/>
      </c>
      <c r="JQ66" s="294" t="str">
        <f t="shared" si="515"/>
        <v/>
      </c>
      <c r="JR66" s="494" t="str">
        <f>IF(A66=FALSE,"",JQ66*Cotations!$BT$4)</f>
        <v/>
      </c>
      <c r="JS66" s="494" t="str">
        <f>IF(A66=FALSE,"",JQ66*Cotations!$BU$4)</f>
        <v/>
      </c>
      <c r="JT66" s="294" t="str">
        <f t="shared" si="516"/>
        <v/>
      </c>
      <c r="JU66" s="919" t="str">
        <f>IF(A66=FALSE,"",((JG66*TAXE)-(JG66*TAXE*JI66))+IF(JM66="N/A",0,IF(INDEX(LISTES!$F$105:$F$109,MATCH(JM66,LISTES!$C$105:$C$109,0))="FIX",JN66,JO66*JL66)))</f>
        <v/>
      </c>
      <c r="KA66" s="492" t="str">
        <f>IF(A66=FALSE,"",Cotations!D66)</f>
        <v/>
      </c>
      <c r="KB66" s="491" t="str">
        <f>IF(A66=FALSE,"",IF(LISTES!$A$17=1,Cotations!BJ66,Cotations!BK66))</f>
        <v/>
      </c>
      <c r="KC66" s="285" t="str">
        <f t="shared" si="517"/>
        <v/>
      </c>
      <c r="KD66" s="300"/>
      <c r="KE66" s="461" t="str">
        <f t="shared" si="518"/>
        <v/>
      </c>
      <c r="KF66" s="490" t="str">
        <f>IF(A66=FALSE,"",IF(KA66="POEA",Cotations!BM66,IF(KA66="FIXE",Cotations!BN66,IF(Cotations!BO66*Y66&lt;50000,Z66,Cotations!BO66*Y66))))</f>
        <v/>
      </c>
      <c r="KG66" s="300" t="str">
        <f t="shared" si="519"/>
        <v/>
      </c>
      <c r="KH66" s="522" t="str">
        <f>IF(A66=FALSE,"",IF(Cotations!BL66="monthly",KG66/12*L66,KG66/365*M66))</f>
        <v/>
      </c>
      <c r="KI66" s="489" t="str">
        <f>IF(A66=FALSE,"",IF(Cotations!BP66="","",Cotations!BP66))</f>
        <v/>
      </c>
      <c r="KJ66" s="300" t="str">
        <f t="shared" si="520"/>
        <v/>
      </c>
      <c r="KK66" s="300" t="str">
        <f t="shared" si="521"/>
        <v/>
      </c>
      <c r="KL66" s="919" t="str">
        <f t="shared" si="522"/>
        <v/>
      </c>
      <c r="KM66" s="517" t="str">
        <f>IF(A66=FALSE,"",Cotations!BQ66)</f>
        <v/>
      </c>
      <c r="KN66" s="515" t="str">
        <f>IF(A66=FALSE,"",Cotations!BR66)</f>
        <v/>
      </c>
      <c r="KO66" s="493" t="str">
        <f>IF(A66=FALSE,"",Cotations!BS66)</f>
        <v/>
      </c>
      <c r="KP66" s="517" t="str">
        <f>IF(A66=FALSE,"",IF(KM66="N/A",0,IF(INDEX(LISTES!$F$105:$F$109,MATCH(KM66,LISTES!$C$105:$C$109,0))="FIX",IF(INDEX(LISTES!$E$105:$E$109,MATCH(KM66,LISTES!$C$105:$C$109,0))=12,KN66/12*L66,KN66/365*M66),KO66*KL66)))</f>
        <v/>
      </c>
      <c r="KQ66" s="294" t="str">
        <f t="shared" si="523"/>
        <v/>
      </c>
      <c r="KR66" s="494" t="str">
        <f>IF(A66=FALSE,"",KQ66*Cotations!BT66)</f>
        <v/>
      </c>
      <c r="KS66" s="494" t="str">
        <f>IF(A66=FALSE,"",KQ66*Cotations!BU66)</f>
        <v/>
      </c>
      <c r="KT66" s="338" t="str">
        <f t="shared" si="524"/>
        <v/>
      </c>
      <c r="KU66" s="919" t="str">
        <f>IF(A66=FALSE,"",((KG66*TAXE)-(KG66*TAXE*KI66))+IF(KM66="N/A",0,IF(INDEX(LISTES!$F$105:$F$109,MATCH(KM66,LISTES!$C$105:$C$109,0))="FIX",KN66,KO66*KL66)))</f>
        <v/>
      </c>
      <c r="LA66" s="497" t="str">
        <f>IF(A66=FALSE,"",Cotations!D66)</f>
        <v/>
      </c>
      <c r="LB66" s="498" t="str">
        <f>IF(A66=FALSE,"",IF(LISTES!$A$17=1,Cotations!BV66,Cotations!$BW$4))</f>
        <v/>
      </c>
      <c r="LC66" s="499" t="str">
        <f t="shared" si="525"/>
        <v/>
      </c>
      <c r="LD66" s="499" t="str">
        <f t="shared" si="526"/>
        <v/>
      </c>
      <c r="LE66" s="500" t="str">
        <f t="shared" si="527"/>
        <v/>
      </c>
      <c r="LF66" s="501" t="str">
        <f>IF(A66=FALSE,"",IF(LA66="POEA",Cotations!EJ66,IF(LA66="FIXE",Cotations!$BY$4,Cotations!$CA$4*Y66)))</f>
        <v/>
      </c>
      <c r="LG66" s="502" t="str">
        <f t="shared" si="528"/>
        <v/>
      </c>
      <c r="LH66" s="520" t="str">
        <f>IF(A66=FALSE,"",IF(Cotations!$BX$4="monthly",LG66/12*L66,LG66/365*M66))</f>
        <v/>
      </c>
      <c r="LI66" s="503" t="str">
        <f>IF(A66=FALSE,"",Cotations!$CB$4)</f>
        <v/>
      </c>
      <c r="LJ66" s="502" t="str">
        <f t="shared" si="529"/>
        <v/>
      </c>
      <c r="LK66" s="502" t="str">
        <f t="shared" si="530"/>
        <v/>
      </c>
      <c r="LL66" s="504" t="str">
        <f t="shared" si="531"/>
        <v/>
      </c>
      <c r="LM66" s="505" t="str">
        <f>IF(A66=FALSE,"",Cotations!$CC$4)</f>
        <v/>
      </c>
      <c r="LN66" s="503" t="str">
        <f>IF(A66=FALSE,"",Cotations!$CD$4)</f>
        <v/>
      </c>
      <c r="LO66" s="503" t="str">
        <f>IF(A66=FALSE,"",Cotations!$CE$4)</f>
        <v/>
      </c>
      <c r="LP66" s="505" t="str">
        <f>IF(A66=FALSE,"",IF(LM66="N/A",0,IF(INDEX(LISTES!$F$105:$F$109,MATCH(LM66,LISTES!$C$105:$C$109,0))="FIX",IF(INDEX(LISTES!$E$105:$E$109,MATCH(LM66,LISTES!$C$105:$C$109,0))=12,LN66/12*L66,LN66/365*M66),LO66*LL66)))</f>
        <v/>
      </c>
      <c r="LQ66" s="504" t="str">
        <f t="shared" si="532"/>
        <v/>
      </c>
      <c r="LR66" s="505" t="str">
        <f>IF(A66=FALSE,"",LQ66*Cotations!$CF$4)</f>
        <v/>
      </c>
      <c r="LS66" s="505" t="str">
        <f>IF(A66=FALSE,"",LQ66*Cotations!$CG$4)</f>
        <v/>
      </c>
      <c r="LT66" s="506" t="str">
        <f t="shared" si="533"/>
        <v/>
      </c>
      <c r="LU66" s="919" t="str">
        <f>IF(A66=FALSE,"",((LG66*TAXE)-(LG66*TAXE*LI66))+IF(LM66="N/A",0,IF(INDEX(LISTES!$F$105:$F$109,MATCH(LM66,LISTES!$C$105:$C$109,0))="FIX",LN66,LO66*LL66)))</f>
        <v/>
      </c>
      <c r="MA66" s="492" t="str">
        <f>IF(A66=FALSE,"",Cotations!D66)</f>
        <v/>
      </c>
      <c r="MB66" s="491" t="str">
        <f>IF(A66=FALSE,"",IF(LISTES!$A$17=1,Cotations!BV66,Cotations!BW66))</f>
        <v/>
      </c>
      <c r="MC66" s="285" t="str">
        <f t="shared" si="534"/>
        <v/>
      </c>
      <c r="MD66" s="300"/>
      <c r="ME66" s="461" t="str">
        <f t="shared" si="535"/>
        <v/>
      </c>
      <c r="MF66" s="490" t="str">
        <f>IF(A66=FALSE,"",IF(MA66="POEA",Cotations!BY66,IF(MA66="FIXE",Cotations!BZ66,IF(Cotations!CA66*Y66&lt;50000,Z66,Cotations!CA66*Y66))))</f>
        <v/>
      </c>
      <c r="MG66" s="300" t="str">
        <f t="shared" si="536"/>
        <v/>
      </c>
      <c r="MH66" s="522" t="str">
        <f>IF(A66=FALSE,"",IF(Cotations!BX66="monthly",MG66/12*L66,MG66/365*M66))</f>
        <v/>
      </c>
      <c r="MI66" s="489" t="str">
        <f>IF(A66=FALSE,"",IF(Cotations!CB66="","",Cotations!CB66))</f>
        <v/>
      </c>
      <c r="MJ66" s="300" t="str">
        <f t="shared" si="537"/>
        <v/>
      </c>
      <c r="MK66" s="300" t="str">
        <f t="shared" si="538"/>
        <v/>
      </c>
      <c r="ML66" s="919" t="str">
        <f t="shared" si="539"/>
        <v/>
      </c>
      <c r="MM66" s="517" t="str">
        <f>IF(A66=FALSE,"",Cotations!CC66)</f>
        <v/>
      </c>
      <c r="MN66" s="515" t="str">
        <f>IF(A66=FALSE,"",Cotations!CD66)</f>
        <v/>
      </c>
      <c r="MO66" s="493" t="str">
        <f>IF(A66=FALSE,"",Cotations!CE66)</f>
        <v/>
      </c>
      <c r="MP66" s="517" t="str">
        <f>IF(A66=FALSE,"",IF(MM66="N/A",0,IF(INDEX(LISTES!$F$105:$F$109,MATCH(MM66,LISTES!$C$105:$C$109,0))="FIX",IF(INDEX(LISTES!$E$105:$E$109,MATCH(MM66,LISTES!$C$105:$C$109,0))=12,MN66/12*L66,MN66/365*M66),MO66*ML66)))</f>
        <v/>
      </c>
      <c r="MQ66" s="294" t="str">
        <f t="shared" si="540"/>
        <v/>
      </c>
      <c r="MR66" s="494" t="str">
        <f>IF(A66=FALSE,"",MQ66*Cotations!CF66)</f>
        <v/>
      </c>
      <c r="MS66" s="494" t="str">
        <f>IF(A66=FALSE,"",MQ66*Cotations!CG66)</f>
        <v/>
      </c>
      <c r="MT66" s="338" t="str">
        <f t="shared" si="541"/>
        <v/>
      </c>
      <c r="MU66" s="919" t="str">
        <f>IF(A66=FALSE,"",((MG66*TAXE)-(MG66*TAXE*MI66))+IF(MM66="N/A",0,IF(INDEX(LISTES!$F$105:$F$109,MATCH(MM66,LISTES!$C$105:$C$109,0))="FIX",MN66,MO66*ML66)))</f>
        <v/>
      </c>
      <c r="NA66" s="497" t="str">
        <f>IF(A66=FALSE,"",Cotations!D66)</f>
        <v/>
      </c>
      <c r="NB66" s="498" t="str">
        <f>IF(A66=FALSE,"",IF(LISTES!$A$17=1,Cotations!CH66,Cotations!$CI$4))</f>
        <v/>
      </c>
      <c r="NC66" s="499" t="str">
        <f t="shared" si="542"/>
        <v/>
      </c>
      <c r="ND66" s="499" t="str">
        <f t="shared" si="543"/>
        <v/>
      </c>
      <c r="NE66" s="500" t="str">
        <f t="shared" si="544"/>
        <v/>
      </c>
      <c r="NF66" s="501" t="str">
        <f>IF(A66=FALSE,"",IF(NA66="POEA",Cotations!CK66,IF(NA66="FIXE",Cotations!$CK$4,Cotations!$CM$4*Y66)))</f>
        <v/>
      </c>
      <c r="NG66" s="502" t="str">
        <f t="shared" si="545"/>
        <v/>
      </c>
      <c r="NH66" s="520" t="str">
        <f>IF(A66=FALSE,"",IF(Cotations!$CJ$4="monthly",NG66/12*L66,NG66/365*M66))</f>
        <v/>
      </c>
      <c r="NI66" s="503" t="str">
        <f>IF(A66=FALSE,"",Cotations!$CN$4)</f>
        <v/>
      </c>
      <c r="NJ66" s="502" t="str">
        <f t="shared" si="546"/>
        <v/>
      </c>
      <c r="NK66" s="502" t="str">
        <f t="shared" si="547"/>
        <v/>
      </c>
      <c r="NL66" s="504" t="str">
        <f t="shared" si="548"/>
        <v/>
      </c>
      <c r="NM66" s="505" t="str">
        <f>IF(A66=FALSE,"",Cotations!$CO$4)</f>
        <v/>
      </c>
      <c r="NN66" s="520" t="str">
        <f>IF(A66=FALSE,"",Cotations!$CP$4)</f>
        <v/>
      </c>
      <c r="NO66" s="503" t="str">
        <f>IF(A66=FALSE,"",Cotations!$CQ$4)</f>
        <v/>
      </c>
      <c r="NP66" s="505" t="str">
        <f>IF(A66=FALSE,"",IF(NM66="N/A",0,IF(INDEX(LISTES!$F$105:$F$109,MATCH(NM66,LISTES!$C$105:$C$109,0))="FIX",IF(INDEX(LISTES!$E$105:$E$109,MATCH(NM66,LISTES!$C$105:$C$109,0))=12,NN66/12*L66,NN66/365*M66),NO66*NL66)))</f>
        <v/>
      </c>
      <c r="NQ66" s="504" t="str">
        <f t="shared" si="549"/>
        <v/>
      </c>
      <c r="NR66" s="505" t="str">
        <f>IF(A66=FALSE,"",NQ66*Cotations!$CR$4)</f>
        <v/>
      </c>
      <c r="NS66" s="505" t="str">
        <f>IF(A66=FALSE,"",NQ66*Cotations!$CS$4)</f>
        <v/>
      </c>
      <c r="NT66" s="506" t="str">
        <f t="shared" si="550"/>
        <v/>
      </c>
      <c r="NU66" s="919" t="str">
        <f>IF(A66=FALSE,"",((NG66*TAXE)-(NG66*TAXE*NI66))+IF(NM66="N/A",0,IF(INDEX(LISTES!$F$105:$F$109,MATCH(NM66,LISTES!$C$105:$C$109,0))="FIX",NN66,NO66*NL66)))</f>
        <v/>
      </c>
      <c r="OA66" s="492" t="str">
        <f>IF(A66=FALSE,"",Cotations!D66)</f>
        <v/>
      </c>
      <c r="OB66" s="491" t="str">
        <f>IF(A66=FALSE,"",IF(LISTES!$A$17=1,Cotations!CH66,Cotations!CI66))</f>
        <v/>
      </c>
      <c r="OC66" s="285" t="str">
        <f t="shared" si="551"/>
        <v/>
      </c>
      <c r="OD66" s="300"/>
      <c r="OE66" s="461" t="str">
        <f t="shared" si="552"/>
        <v/>
      </c>
      <c r="OF66" s="490" t="str">
        <f>IF(A66=FALSE,"",IF(OA66="POEA",Cotations!CK66,IF(OA66="FIXE",Cotations!CL66,IF(Cotations!CM66*Y66&lt;50000,Z66,Cotations!CM66*Y66))))</f>
        <v/>
      </c>
      <c r="OG66" s="300" t="str">
        <f t="shared" si="553"/>
        <v/>
      </c>
      <c r="OH66" s="522" t="str">
        <f>IF(A66=FALSE,"",IF(Cotations!CJ66="monthly",OG66/12*L66,OG66/365*M66))</f>
        <v/>
      </c>
      <c r="OI66" s="489" t="str">
        <f>IF(A66=FALSE,"",IF(Cotations!CN66="","",Cotations!CN66))</f>
        <v/>
      </c>
      <c r="OJ66" s="300" t="str">
        <f t="shared" si="554"/>
        <v/>
      </c>
      <c r="OK66" s="300" t="str">
        <f t="shared" si="555"/>
        <v/>
      </c>
      <c r="OL66" s="919" t="str">
        <f t="shared" si="556"/>
        <v/>
      </c>
      <c r="OM66" s="517" t="str">
        <f>IF(A66=FALSE,"",Cotations!CO66)</f>
        <v/>
      </c>
      <c r="ON66" s="515" t="str">
        <f>IF(A66=FALSE,"",Cotations!CP66)</f>
        <v/>
      </c>
      <c r="OO66" s="493" t="str">
        <f>IF(A66=FALSE,"",Cotations!CQ66)</f>
        <v/>
      </c>
      <c r="OP66" s="517" t="str">
        <f>IF(A66=FALSE,"",IF(OM66="N/A",0,IF(INDEX(LISTES!$F$105:$F$109,MATCH(OM66,LISTES!$C$105:$C$109,0))="FIX",IF(INDEX(LISTES!$E$105:$E$109,MATCH(OM66,LISTES!$C$105:$C$109,0))=12,ON66/12*L66,ON66/365*M66),OO66*OL66)))</f>
        <v/>
      </c>
      <c r="OQ66" s="294" t="str">
        <f t="shared" si="557"/>
        <v/>
      </c>
      <c r="OR66" s="494" t="str">
        <f>IF(A66=FALSE,"",OQ66*Cotations!CR66)</f>
        <v/>
      </c>
      <c r="OS66" s="494" t="str">
        <f>IF(A66=FALSE,"",OQ66*Cotations!CS66)</f>
        <v/>
      </c>
      <c r="OT66" s="338" t="str">
        <f t="shared" si="558"/>
        <v/>
      </c>
      <c r="OU66" s="919" t="str">
        <f>IF(A66=FALSE,"",((OG66*TAXE)-(OG66*TAXE*OI66))+IF(OM66="N/A",0,IF(INDEX(LISTES!$F$105:$F$109,MATCH(OM66,LISTES!$C$105:$C$109,0))="FIX",ON66,OO66*OL66)))</f>
        <v/>
      </c>
      <c r="PA66" s="497" t="str">
        <f t="shared" si="559"/>
        <v/>
      </c>
      <c r="PB66" s="498" t="str">
        <f>IF(A66=FALSE,"",IF(LISTES!$A$17=1,Cotations!CT66,Cotations!$CU$4))</f>
        <v/>
      </c>
      <c r="PC66" s="499" t="str">
        <f t="shared" si="560"/>
        <v/>
      </c>
      <c r="PD66" s="499" t="str">
        <f t="shared" si="561"/>
        <v/>
      </c>
      <c r="PE66" s="500" t="str">
        <f t="shared" si="562"/>
        <v/>
      </c>
      <c r="PF66" s="501" t="str">
        <f>IF(A66=FALSE,"",Cotations!$CY$4*Y66)</f>
        <v/>
      </c>
      <c r="PG66" s="502" t="str">
        <f t="shared" si="563"/>
        <v/>
      </c>
      <c r="PH66" s="520" t="str">
        <f>IF(A66=FALSE,"",IF(Cotations!$CV$4="monthly",PG66/12*L66,PG66/365*M66))</f>
        <v/>
      </c>
      <c r="PI66" s="503" t="str">
        <f>IF(A66=FALSE,"",Cotations!$CZ$4)</f>
        <v/>
      </c>
      <c r="PJ66" s="502" t="str">
        <f t="shared" si="564"/>
        <v/>
      </c>
      <c r="PK66" s="502" t="str">
        <f t="shared" si="565"/>
        <v/>
      </c>
      <c r="PL66" s="504" t="str">
        <f t="shared" si="566"/>
        <v/>
      </c>
      <c r="PM66" s="505" t="str">
        <f>IF(A66=FALSE,"",Cotations!$DA$4)</f>
        <v/>
      </c>
      <c r="PN66" s="520" t="str">
        <f>IF(A66=FALSE,"",Cotations!$DB$4)</f>
        <v/>
      </c>
      <c r="PO66" s="503" t="str">
        <f>IF(A66=FALSE,"",Cotations!$DC$4)</f>
        <v/>
      </c>
      <c r="PP66" s="505" t="str">
        <f>IF(A66=FALSE,"",IF(PM66="N/A",0,IF(INDEX(LISTES!$F$105:$F$109,MATCH(PM66,LISTES!$C$105:$C$109,0))="FIX",IF(INDEX(LISTES!$E$105:$E$109,MATCH(PM66,LISTES!$C$105:$C$109,0))=12,PN66/12*L66,PN66/365*M66),PO66*PL66)))</f>
        <v/>
      </c>
      <c r="PQ66" s="504" t="str">
        <f t="shared" si="567"/>
        <v/>
      </c>
      <c r="PR66" s="505" t="str">
        <f>IF(A66=FALSE,"",PQ66*Cotations!$DD$4)</f>
        <v/>
      </c>
      <c r="PS66" s="505" t="str">
        <f>IF(A66=FALSE,"",PQ66*Cotations!$DE$4)</f>
        <v/>
      </c>
      <c r="PT66" s="506" t="str">
        <f t="shared" si="568"/>
        <v/>
      </c>
      <c r="PU66" s="919" t="str">
        <f>IF(A66=FALSE,"",((PG66*TAXE)-(PG66*TAXE*PI66))+IF(PM66="N/A",0,IF(INDEX(LISTES!$F$105:$F$109,MATCH(PM66,LISTES!$C$105:$C$109,0))="FIX",PN66,PO66*PL66)))</f>
        <v/>
      </c>
      <c r="QA66" s="492" t="str">
        <f t="shared" si="569"/>
        <v/>
      </c>
      <c r="QB66" s="491" t="str">
        <f>IF(A66=FALSE,"",IF(LISTES!$A$17=1,Cotations!CT66,Cotations!CU66))</f>
        <v/>
      </c>
      <c r="QC66" s="285" t="str">
        <f t="shared" si="570"/>
        <v/>
      </c>
      <c r="QD66" s="300"/>
      <c r="QE66" s="461" t="str">
        <f t="shared" si="571"/>
        <v/>
      </c>
      <c r="QF66" s="490" t="str">
        <f>IF(A66=FALSE,"",Cotations!CY66*AA66)</f>
        <v/>
      </c>
      <c r="QG66" s="300" t="str">
        <f t="shared" si="572"/>
        <v/>
      </c>
      <c r="QH66" s="522" t="str">
        <f>IF(A66=FALSE,"",IF(Cotations!CV66="monthly",QG66/12*L66,QG66/365*M66))</f>
        <v/>
      </c>
      <c r="QI66" s="489" t="str">
        <f>IF(A66=FALSE,"",IF(Cotations!CZ66="","",Cotations!CZ66))</f>
        <v/>
      </c>
      <c r="QJ66" s="300" t="str">
        <f t="shared" si="573"/>
        <v/>
      </c>
      <c r="QK66" s="300" t="str">
        <f t="shared" si="574"/>
        <v/>
      </c>
      <c r="QL66" s="919" t="str">
        <f t="shared" si="575"/>
        <v/>
      </c>
      <c r="QM66" s="517" t="str">
        <f>IF(A66=FALSE,"",Cotations!DA66)</f>
        <v/>
      </c>
      <c r="QN66" s="515" t="str">
        <f>IF(A66=FALSE,"",Cotations!DB66)</f>
        <v/>
      </c>
      <c r="QO66" s="493" t="str">
        <f>IF(A66=FALSE,"",Cotations!DC66)</f>
        <v/>
      </c>
      <c r="QP66" s="517" t="str">
        <f>IF(A66=FALSE,"",IF(QM66="N/A",0,IF(INDEX(LISTES!$F$105:$F$109,MATCH(QM66,LISTES!$C$105:$C$109,0))="FIX",IF(INDEX(LISTES!$E$105:$E$109,MATCH(QM66,LISTES!$C$105:$C$109,0))=12,QN66/12*L66,QN66/365*M66),QO66*QL66)))</f>
        <v/>
      </c>
      <c r="QQ66" s="294" t="str">
        <f t="shared" si="576"/>
        <v/>
      </c>
      <c r="QR66" s="494" t="str">
        <f>IF(A66=FALSE,"",QQ66*Cotations!DD66)</f>
        <v/>
      </c>
      <c r="QS66" s="494" t="str">
        <f>IF(A66=FALSE,"",QQ66*Cotations!DE66)</f>
        <v/>
      </c>
      <c r="QT66" s="338" t="str">
        <f t="shared" si="577"/>
        <v/>
      </c>
      <c r="QU66" s="919" t="str">
        <f>IF(A66=FALSE,"",((QG66*TAXE)-(QG66*TAXE*QI66))+IF(QM66="N/A",0,IF(INDEX(LISTES!$F$105:$F$109,MATCH(QM66,LISTES!$C$105:$C$109,0))="FIX",QN66,QO66*QL66)))</f>
        <v/>
      </c>
      <c r="RA66" s="497" t="str">
        <f t="shared" si="578"/>
        <v/>
      </c>
      <c r="RB66" s="498" t="str">
        <f>IF(A66=FALSE,"",IF(LISTES!$A$17=1,Cotations!DF66,Cotations!$DG$4))</f>
        <v/>
      </c>
      <c r="RC66" s="499" t="str">
        <f t="shared" si="579"/>
        <v/>
      </c>
      <c r="RD66" s="499" t="str">
        <f t="shared" si="580"/>
        <v/>
      </c>
      <c r="RE66" s="500" t="str">
        <f t="shared" si="581"/>
        <v/>
      </c>
      <c r="RF66" s="501" t="str">
        <f>IF(A66=FALSE,"",Cotations!$DK$4*Y66)</f>
        <v/>
      </c>
      <c r="RG66" s="502" t="str">
        <f t="shared" si="582"/>
        <v/>
      </c>
      <c r="RH66" s="520" t="str">
        <f>IF(A66=FALSE,"",IF(Cotations!$DH$4="monthly",RG66/12*L66,RG66/365*M66))</f>
        <v/>
      </c>
      <c r="RI66" s="503" t="str">
        <f>IF(A66=FALSE,"",Cotations!$DL$4)</f>
        <v/>
      </c>
      <c r="RJ66" s="502" t="str">
        <f t="shared" si="583"/>
        <v/>
      </c>
      <c r="RK66" s="502" t="str">
        <f t="shared" si="584"/>
        <v/>
      </c>
      <c r="RL66" s="504" t="str">
        <f t="shared" si="585"/>
        <v/>
      </c>
      <c r="RM66" s="505" t="str">
        <f>IF(A66=FALSE,"",Cotations!$DM$4)</f>
        <v/>
      </c>
      <c r="RN66" s="520" t="str">
        <f>IF(A66=FALSE,"",Cotations!$DN$4)</f>
        <v/>
      </c>
      <c r="RO66" s="503" t="str">
        <f>IF(A66=FALSE,"",Cotations!$DO$4)</f>
        <v/>
      </c>
      <c r="RP66" s="505" t="str">
        <f>IF(A66=FALSE,"",IF(RM66="N/A",0,IF(INDEX(LISTES!$F$105:$F$109,MATCH(RM66,LISTES!$C$105:$C$109,0))="FIX",IF(INDEX(LISTES!$E$105:$E$109,MATCH(RM66,LISTES!$C$105:$C$109,0))=12,RN66/12*L66,RN66/365*M66),RO66*RL66)))</f>
        <v/>
      </c>
      <c r="RQ66" s="504" t="str">
        <f t="shared" si="586"/>
        <v/>
      </c>
      <c r="RR66" s="505" t="str">
        <f>IF(A66=FALSE,"",RQ66*Cotations!$DP$4)</f>
        <v/>
      </c>
      <c r="RS66" s="505" t="str">
        <f>IF(A66=FALSE,"",RQ66*Cotations!$DQ$4)</f>
        <v/>
      </c>
      <c r="RT66" s="506" t="str">
        <f t="shared" si="587"/>
        <v/>
      </c>
      <c r="RU66" s="919" t="str">
        <f>IF(A66=FALSE,"",((RG66*TAXE)-(RG66*TAXE*RI66))+IF(RM66="N/A",0,IF(INDEX(LISTES!$F$105:$F$109,MATCH(RM66,LISTES!$C$105:$C$109,0))="FIX",RN66,RO66*RL66)))</f>
        <v/>
      </c>
      <c r="SA66" s="492" t="str">
        <f t="shared" si="588"/>
        <v/>
      </c>
      <c r="SB66" s="491" t="str">
        <f>IF(A66=FALSE,"",IF(LISTES!$A$17=1,Cotations!DF66,Cotations!DG66))</f>
        <v/>
      </c>
      <c r="SC66" s="285" t="str">
        <f t="shared" si="589"/>
        <v/>
      </c>
      <c r="SD66" s="300"/>
      <c r="SE66" s="461" t="str">
        <f t="shared" si="590"/>
        <v/>
      </c>
      <c r="SF66" s="490" t="str">
        <f>IF(A66=FALSE,"",Cotations!DK66*AA66)</f>
        <v/>
      </c>
      <c r="SG66" s="300" t="str">
        <f t="shared" si="591"/>
        <v/>
      </c>
      <c r="SH66" s="522" t="str">
        <f>IF(A66=FALSE,"",IF(Cotations!DH66="monthly",SG66/12*L66,SG66/365*M66))</f>
        <v/>
      </c>
      <c r="SI66" s="489" t="str">
        <f>IF(A66=FALSE,"",IF(Cotations!DL66="","",Cotations!DL66))</f>
        <v/>
      </c>
      <c r="SJ66" s="300" t="str">
        <f t="shared" si="592"/>
        <v/>
      </c>
      <c r="SK66" s="300" t="str">
        <f t="shared" si="593"/>
        <v/>
      </c>
      <c r="SL66" s="919" t="str">
        <f t="shared" si="594"/>
        <v/>
      </c>
      <c r="SM66" s="285" t="str">
        <f>IF(A66=FALSE,"",Cotations!DM66)</f>
        <v/>
      </c>
      <c r="SN66" s="515" t="str">
        <f>IF(A66=FALSE,"",Cotations!DN66)</f>
        <v/>
      </c>
      <c r="SO66" s="493" t="str">
        <f>IF(A66=FALSE,"",Cotations!DO66)</f>
        <v/>
      </c>
      <c r="SP66" s="517" t="str">
        <f>IF(A66=FALSE,"",IF(SM66="N/A",0,IF(INDEX(LISTES!$F$105:$F$109,MATCH(SM66,LISTES!$C$105:$C$109,0))="FIX",IF(INDEX(LISTES!$E$105:$E$109,MATCH(SM66,LISTES!$C$105:$C$109,0))=12,SN66/12*L66,SN66/365*M66),SO66*SL66)))</f>
        <v/>
      </c>
      <c r="SQ66" s="294" t="str">
        <f t="shared" si="595"/>
        <v/>
      </c>
      <c r="SR66" s="494" t="str">
        <f>IF(A66=FALSE,"",SQ66*Cotations!DP66)</f>
        <v/>
      </c>
      <c r="SS66" s="494" t="str">
        <f>IF(A66=FALSE,"",SQ66*Cotations!DQ66)</f>
        <v/>
      </c>
      <c r="ST66" s="338" t="str">
        <f t="shared" si="596"/>
        <v/>
      </c>
      <c r="SU66" s="919" t="str">
        <f>IF(A66=FALSE,"",((SG66*TAXE)-(SG66*TAXE*SI66))+IF(SM66="N/A",0,IF(INDEX(LISTES!$F$105:$F$109,MATCH(SM66,LISTES!$C$105:$C$109,0))="FIX",SN66,SO66*SL66)))</f>
        <v/>
      </c>
      <c r="TA66" s="492" t="str">
        <f>IF(A66=FALSE,"",Cotations!D66)</f>
        <v/>
      </c>
      <c r="TB66" s="491" t="str">
        <f>IF(A66=FALSE,"",IF(LISTES!$A$17=1,Cotations!DR66,Cotations!DS66))</f>
        <v/>
      </c>
      <c r="TC66" s="285" t="str">
        <f t="shared" si="597"/>
        <v/>
      </c>
      <c r="TD66" s="300" t="str">
        <f>IF(A66=FALSE,"",Detail!CQ66)</f>
        <v/>
      </c>
      <c r="TE66" s="461" t="str">
        <f t="shared" si="598"/>
        <v/>
      </c>
      <c r="TF66" s="490" t="str">
        <f>IF(A66=FALSE,"",IF(TA66="FIXE",Cotations!DU66,Cotations!DV66*Y66))</f>
        <v/>
      </c>
      <c r="TG66" s="300" t="str">
        <f t="shared" si="599"/>
        <v/>
      </c>
      <c r="TH66" s="522" t="str">
        <f>IF(A66=FALSE,"",IF(Cotations!DT66="monthly",TG66/12*L66,TG66/365*M66))</f>
        <v/>
      </c>
      <c r="TI66" s="489" t="str">
        <f>IF(A66=FALSE,"",IF(Cotations!DW66="","",Cotations!DW66))</f>
        <v/>
      </c>
      <c r="TJ66" s="300" t="str">
        <f t="shared" si="600"/>
        <v/>
      </c>
      <c r="TK66" s="300" t="str">
        <f t="shared" si="601"/>
        <v/>
      </c>
      <c r="TL66" s="919" t="str">
        <f t="shared" si="602"/>
        <v/>
      </c>
      <c r="TM66" s="517" t="str">
        <f>IF(A66=FALSE,"",Cotations!DX66)</f>
        <v/>
      </c>
      <c r="TN66" s="517" t="str">
        <f>IF(A66=FALSE,"",Cotations!DY66)</f>
        <v/>
      </c>
      <c r="TO66" s="493" t="str">
        <f>IF(A66=FALSE,"",Cotations!DZ66)</f>
        <v/>
      </c>
      <c r="TP66" s="517" t="str">
        <f>IF(A66=FALSE,"",IF(TM66="N/A",0,IF(INDEX(LISTES!$F$105:$F$109,MATCH(TM66,LISTES!$C$105:$C$109,0))="FIX",IF(INDEX(LISTES!$E$105:$E$109,MATCH(TM66,LISTES!$C$105:$C$109,0))=12,TN66/12*L66,TN66/365*M66),TO66*TL66)))</f>
        <v/>
      </c>
      <c r="TQ66" s="294" t="str">
        <f t="shared" si="603"/>
        <v/>
      </c>
      <c r="TR66" s="494" t="str">
        <f>IF(A66=FALSE,"",TQ66*Cotations!EA66)</f>
        <v/>
      </c>
      <c r="TS66" s="494" t="str">
        <f>IF(A66=FALSE,"",TQ66*Cotations!EB66)</f>
        <v/>
      </c>
      <c r="TT66" s="338" t="str">
        <f t="shared" si="604"/>
        <v/>
      </c>
      <c r="TU66" s="919" t="str">
        <f>IF(A66=FALSE,"",((TG66*(1+TAXE)-(TG66*(1+TAXE)*TI66))+IF(TM66="N/A",0,IF(INDEX(LISTES!$F$105:$F$109,MATCH(TM66,LISTES!$C$105:$C$109,0))="FIX",TN66,TO66*TL66))))</f>
        <v/>
      </c>
      <c r="UA66" s="492" t="str">
        <f>IF(A66=FALSE,"",Cotations!D66)</f>
        <v/>
      </c>
      <c r="UB66" s="491" t="str">
        <f>IF(A66=FALSE,"",IF(LISTES!$A$17=1,Cotations!EC66,Cotations!ED66))</f>
        <v/>
      </c>
      <c r="UC66" s="285" t="str">
        <f t="shared" si="605"/>
        <v/>
      </c>
      <c r="UD66" s="300" t="str">
        <f>IF(A66=FALSE,"",Detail!CY66)</f>
        <v/>
      </c>
      <c r="UE66" s="461" t="str">
        <f t="shared" si="606"/>
        <v/>
      </c>
      <c r="UF66" s="490" t="str">
        <f>IF(A66=FALSE,"",IF(UA66="FIXE",Cotations!EF66,Cotations!EG66*Y66))</f>
        <v/>
      </c>
      <c r="UG66" s="300" t="str">
        <f t="shared" si="607"/>
        <v/>
      </c>
      <c r="UH66" s="522" t="str">
        <f>IF(A66=FALSE,"",IF(Cotations!EE66="monthly",UG66/12*L66,UG66/365*M66))</f>
        <v/>
      </c>
      <c r="UI66" s="489" t="str">
        <f>IF(A66=FALSE,"",IF(Cotations!EH66="","",Cotations!EH66))</f>
        <v/>
      </c>
      <c r="UJ66" s="300" t="str">
        <f t="shared" si="608"/>
        <v/>
      </c>
      <c r="UK66" s="300" t="str">
        <f t="shared" si="609"/>
        <v/>
      </c>
      <c r="UL66" s="919" t="str">
        <f t="shared" si="610"/>
        <v/>
      </c>
      <c r="UM66" s="517" t="str">
        <f>IF(A66=FALSE,"",Cotations!EI66)</f>
        <v/>
      </c>
      <c r="UN66" s="517" t="str">
        <f>IF(A66=FALSE,"",Cotations!EJ66)</f>
        <v/>
      </c>
      <c r="UO66" s="493" t="str">
        <f>IF(A66=FALSE,"",Cotations!EK66)</f>
        <v/>
      </c>
      <c r="UP66" s="517" t="str">
        <f>IF(A66=FALSE,"",IF(UM66="N/A",0,IF(INDEX(LISTES!$F$105:$F$109,MATCH(UM66,LISTES!$C$105:$C$109,0))="FIX",IF(INDEX(LISTES!$E$105:$E$109,MATCH(UM66,LISTES!$C$105:$C$109,0))=12,UN66/12*L66,UN66/365*M66),UO66*UL66)))</f>
        <v/>
      </c>
      <c r="UQ66" s="294" t="str">
        <f t="shared" si="611"/>
        <v/>
      </c>
      <c r="UR66" s="494" t="str">
        <f>IF(A66=FALSE,"",UQ66*Cotations!EL66)</f>
        <v/>
      </c>
      <c r="US66" s="494" t="str">
        <f>IF(A66=FALSE,"",UQ66*Cotations!EM66)</f>
        <v/>
      </c>
      <c r="UT66" s="338" t="str">
        <f t="shared" si="612"/>
        <v/>
      </c>
      <c r="UU66" s="919" t="str">
        <f>IF(A66=FALSE,"",((UG66*(1+TAXE)-(UG66*(1+TAXE)*UI66))+IF(UM66="N/A",0,IF(INDEX(LISTES!$F$105:$F$109,MATCH(UM66,LISTES!$C$105:$C$109,0))="FIX",UN66,UO66*UL66))))</f>
        <v/>
      </c>
      <c r="VA66" s="492" t="str">
        <f>IF(A66=FALSE,"",Cotations!D66)</f>
        <v/>
      </c>
      <c r="VB66" s="519" t="str">
        <f>IF(A66=FALSE,"",IF(LISTES!$A$17=1,Cotations!EN66,Cotations!EO66))</f>
        <v/>
      </c>
      <c r="VC66" s="291" t="str">
        <f t="shared" si="613"/>
        <v/>
      </c>
      <c r="VD66" s="291" t="str">
        <f t="shared" si="614"/>
        <v/>
      </c>
      <c r="VE66" s="291"/>
      <c r="VF66" s="463"/>
      <c r="VG66" s="463" t="str">
        <f t="shared" si="615"/>
        <v/>
      </c>
      <c r="VH66" s="522" t="str">
        <f>IF(A66=FALSE,"",IF(Cotations!$AQ$4="monthly",VG66/12*L66,VG66/365*M66))</f>
        <v/>
      </c>
      <c r="VI66" s="489" t="str">
        <f>IF(A66=FALSE,"",Cotations!$AR$4)</f>
        <v/>
      </c>
      <c r="VJ66" s="300" t="str">
        <f t="shared" si="616"/>
        <v/>
      </c>
      <c r="VK66" s="300" t="str">
        <f t="shared" si="617"/>
        <v/>
      </c>
      <c r="VL66" s="294" t="str">
        <f t="shared" si="618"/>
        <v/>
      </c>
      <c r="VM66" s="494" t="str">
        <f>IF(A66=FALSE,"",Cotations!$AS$4)</f>
        <v/>
      </c>
      <c r="VN66" s="494" t="str">
        <f>IF(A66=FALSE,"",Cotations!$AT$4)</f>
        <v/>
      </c>
      <c r="VO66" s="489" t="str">
        <f>IF(A66=FALSE,"",Cotations!$AU$4)</f>
        <v/>
      </c>
      <c r="VP66" s="494" t="str">
        <f>IF(A66=FALSE,"",IF(VM66="N/A",0,IF(INDEX(LISTES!$F$105:$F$109,MATCH(VM66,LISTES!$C$105:$C$109,0))="FIX",IF(INDEX(LISTES!$E$105:$E$109,MATCH(VM66,LISTES!$C$105:$C$109,0))=12,VN66/12*L66,VN66/365*M66),VO66*VL66)))</f>
        <v/>
      </c>
      <c r="VQ66" s="294" t="str">
        <f t="shared" si="619"/>
        <v/>
      </c>
      <c r="VR66" s="494" t="str">
        <f>IF(A66=FALSE,"",VQ66*Cotations!$AV$4)</f>
        <v/>
      </c>
      <c r="VS66" s="494" t="str">
        <f>IF(A66=FALSE,"",VQ66*Cotations!$AW$4)</f>
        <v/>
      </c>
      <c r="VT66" s="465" t="str">
        <f t="shared" si="620"/>
        <v/>
      </c>
      <c r="VU66" s="919" t="str">
        <f>IF(A66=FALSE,"",((VG66*TAXE)-(VG66*TAXE*VI66))+IF(VM66="N/A",0,IF(INDEX(LISTES!$F$105:$F$109,MATCH(VM66,LISTES!$C$105:$C$109,0))="FIX",VN66,VO66*VL66)))</f>
        <v/>
      </c>
      <c r="WA66" s="492" t="str">
        <f>IF(A66=FALSE,"",Cotations!D66)</f>
        <v/>
      </c>
      <c r="WB66" s="519" t="str">
        <f>IF(A66=FALSE,"",IF(LISTES!$A$17=1,Cotations!EW66,Cotations!EX66))</f>
        <v/>
      </c>
      <c r="WC66" s="291" t="str">
        <f t="shared" si="621"/>
        <v/>
      </c>
      <c r="WD66" s="291" t="str">
        <f t="shared" si="622"/>
        <v/>
      </c>
      <c r="WE66" s="291"/>
      <c r="WF66" s="463"/>
      <c r="WG66" s="463" t="str">
        <f t="shared" si="623"/>
        <v/>
      </c>
      <c r="WH66" s="522" t="str">
        <f>IF(A66=FALSE,"",IF(Cotations!$AQ$4="monthly",WG66/12*L66,WG66/365*M66))</f>
        <v/>
      </c>
      <c r="WI66" s="489" t="str">
        <f>IF(A66=FALSE,"",Cotations!$AR$4)</f>
        <v/>
      </c>
      <c r="WJ66" s="300" t="str">
        <f t="shared" si="624"/>
        <v/>
      </c>
      <c r="WK66" s="300" t="str">
        <f t="shared" si="625"/>
        <v/>
      </c>
      <c r="WL66" s="294" t="str">
        <f t="shared" si="626"/>
        <v/>
      </c>
      <c r="WM66" s="494" t="str">
        <f>IF(A66=FALSE,"",Cotations!$AS$4)</f>
        <v/>
      </c>
      <c r="WN66" s="494" t="str">
        <f>IF(A66=FALSE,"",Cotations!$AT$4)</f>
        <v/>
      </c>
      <c r="WO66" s="489" t="str">
        <f>IF(A66=FALSE,"",Cotations!$AU$4)</f>
        <v/>
      </c>
      <c r="WP66" s="494" t="str">
        <f>IF(A66=FALSE,"",IF(WM66="N/A",0,IF(INDEX(LISTES!$F$105:$F$109,MATCH(WM66,LISTES!$C$105:$C$109,0))="FIX",IF(INDEX(LISTES!$E$105:$E$109,MATCH(WM66,LISTES!$C$105:$C$109,0))=12,WN66/12*L66,WN66/365*M66),WO66*WL66)))</f>
        <v/>
      </c>
      <c r="WQ66" s="294" t="str">
        <f t="shared" si="627"/>
        <v/>
      </c>
      <c r="WR66" s="494" t="str">
        <f>IF(A66=FALSE,"",WQ66*Cotations!$AV$4)</f>
        <v/>
      </c>
      <c r="WS66" s="494" t="str">
        <f>IF(A66=FALSE,"",WQ66*Cotations!$AW$4)</f>
        <v/>
      </c>
      <c r="WT66" s="465" t="str">
        <f t="shared" si="628"/>
        <v/>
      </c>
      <c r="WU66" s="919" t="str">
        <f>IF(A66=FALSE,"",((WG66*TAXE)-(WG66*TAXE*WI66))+IF(WM66="N/A",0,IF(INDEX(LISTES!$F$105:$F$109,MATCH(WM66,LISTES!$C$105:$C$109,0))="FIX",WN66,WO66*WL66)))</f>
        <v/>
      </c>
    </row>
    <row r="67" spans="1:619">
      <c r="A67" s="942" t="b">
        <f t="shared" si="433"/>
        <v>0</v>
      </c>
      <c r="B67" s="942" t="b">
        <f>IF(NAMES!$B$9=TRUE,TRUE,FALSE)</f>
        <v>1</v>
      </c>
      <c r="C67" s="942" t="b">
        <f t="shared" si="413"/>
        <v>0</v>
      </c>
      <c r="D67" s="942" t="b">
        <f t="shared" si="414"/>
        <v>0</v>
      </c>
      <c r="E67" s="274" t="b">
        <f>IF(Cotations!C67="","",Cotations!C67)</f>
        <v>0</v>
      </c>
      <c r="F67" s="274" t="str">
        <f>IF(Cotations!D67="","",Cotations!D67)</f>
        <v>PROP</v>
      </c>
      <c r="G67" s="274" t="str">
        <f>IF(Cotations!E67="","",Cotations!E67)</f>
        <v>2016-2017!</v>
      </c>
      <c r="H67" s="274" t="str">
        <f>IF(Cotations!F67="","",Cotations!F67)</f>
        <v>SINGLE</v>
      </c>
      <c r="I67" s="274" t="str">
        <f>IF(Cotations!G67="","",Cotations!G67)</f>
        <v/>
      </c>
      <c r="J67" s="274" t="str">
        <f>IF(Cotations!H67="","",Cotations!H67)</f>
        <v/>
      </c>
      <c r="K67" s="274" t="str">
        <f>IF(Cotations!I67="","",Cotations!I67)</f>
        <v/>
      </c>
      <c r="L67" s="274" t="str">
        <f>IF(A67=FALSE,"",IF(Cotations!N67="","",Cotations!N67))</f>
        <v/>
      </c>
      <c r="M67" s="274" t="str">
        <f>IF(Cotations!P67="","",Cotations!P67)</f>
        <v/>
      </c>
      <c r="N67" s="724" t="str">
        <f>IF(NAMES!$B$10=TRUE,Cotations!J67,Cotations!L67)</f>
        <v/>
      </c>
      <c r="O67" s="724" t="str">
        <f>IF(NAMES!$B$10=TRUE,Cotations!K67,Cotations!M67)</f>
        <v/>
      </c>
      <c r="P67" s="943" t="str">
        <f t="shared" si="415"/>
        <v/>
      </c>
      <c r="Q67" s="724" t="str">
        <f>IF(A67=FALSE,"",IF(Crewlist!Y67="","",Crewlist!Y67))</f>
        <v/>
      </c>
      <c r="R67" s="78" t="str">
        <f>IF(Cotations!U67="","",Cotations!U67)</f>
        <v/>
      </c>
      <c r="S67" s="943" t="str">
        <f t="shared" si="416"/>
        <v/>
      </c>
      <c r="T67" s="919" t="str">
        <f>IF(A67=FALSE,"",VLOOKUP($U$15:$U$120,Currency!$A$2:$D$10,4,0)*Crewlist!N67)</f>
        <v/>
      </c>
      <c r="U67" s="1355" t="str">
        <f>IF(A67=FALSE,"",IF(IT67=0,Crewlist!M67&amp;"/"&amp;EX67,Crewlist!M67&amp;"/"&amp;IT67))</f>
        <v/>
      </c>
      <c r="V67" s="919" t="str">
        <f>IF(A67=FALSE,"",VLOOKUP($U$15:$U$120,Currency!$A$2:$D$10,4,0)*Detail!Q67)</f>
        <v/>
      </c>
      <c r="W67" s="1355" t="str">
        <f>IF(A67=FALSE,"",IF(IT67=0,Detail!R67&amp;"/"&amp;EX67,Detail!R67&amp;"/"&amp;IT67))</f>
        <v/>
      </c>
      <c r="X67" s="919" t="str">
        <f>IF(A67=FALSE,"",IF(LISTES!$C$17="Crewlist",Calcul!T67,Calcul!V67))</f>
        <v/>
      </c>
      <c r="Y67" s="758" t="str">
        <f t="shared" si="417"/>
        <v/>
      </c>
      <c r="Z67" s="758" t="str">
        <f>IF(A67=FALSE,"",IF(X67=0,0,IF((Cotations!BC67*12*X67)&lt;50000,50000,(12*X67))))</f>
        <v/>
      </c>
      <c r="AA67" s="758" t="str">
        <f t="shared" si="418"/>
        <v/>
      </c>
      <c r="AB67" s="758" t="str">
        <f>IF(A67=FALSE,"",IF(Crewlist!O67=0,"",Crewlist!O67))</f>
        <v/>
      </c>
      <c r="AC67" s="758" t="str">
        <f>IF(I67="","",VLOOKUP($AB$15:$AB$120,Currency!$A$15:$B$34,2,0))</f>
        <v/>
      </c>
      <c r="AD67" s="758" t="str">
        <f t="shared" si="419"/>
        <v/>
      </c>
      <c r="AE67" s="758" t="str">
        <f t="shared" si="420"/>
        <v/>
      </c>
      <c r="AF67" s="758" t="str">
        <f t="shared" si="421"/>
        <v/>
      </c>
      <c r="AG67" s="758" t="str">
        <f t="shared" si="422"/>
        <v/>
      </c>
      <c r="AH67" s="1355" t="str">
        <f t="shared" si="434"/>
        <v/>
      </c>
      <c r="AI67" s="919" t="str">
        <f t="shared" si="423"/>
        <v/>
      </c>
      <c r="AJ67" s="1382" t="str">
        <f t="shared" si="424"/>
        <v/>
      </c>
      <c r="AK67" s="1382" t="str">
        <f t="shared" si="425"/>
        <v/>
      </c>
      <c r="AL67" s="238" t="str">
        <f t="shared" si="435"/>
        <v/>
      </c>
      <c r="AM67" s="238" t="str">
        <f t="shared" si="436"/>
        <v/>
      </c>
      <c r="AN67" s="1374" t="str">
        <f t="shared" si="437"/>
        <v/>
      </c>
      <c r="AO67" s="238" t="str">
        <f t="shared" si="438"/>
        <v/>
      </c>
      <c r="AP67" s="342" t="str">
        <f>IF(A67=FALSE,"",INDEX(Rates!$Z$5:$Z$367,MATCH(EB67,colchoice,0)))</f>
        <v/>
      </c>
      <c r="AQ67" s="238" t="str">
        <f t="shared" si="439"/>
        <v/>
      </c>
      <c r="AR67" s="238" t="str">
        <f t="shared" si="440"/>
        <v/>
      </c>
      <c r="AS67" s="238" t="str">
        <f t="shared" si="441"/>
        <v/>
      </c>
      <c r="AT67" s="238" t="str">
        <f t="shared" si="442"/>
        <v/>
      </c>
      <c r="AU67" s="238" t="str">
        <f t="shared" si="443"/>
        <v/>
      </c>
      <c r="AV67" s="238" t="str">
        <f t="shared" si="429"/>
        <v/>
      </c>
      <c r="AW67" s="238" t="str">
        <f t="shared" si="444"/>
        <v/>
      </c>
      <c r="AX67" s="238" t="str">
        <f t="shared" si="445"/>
        <v/>
      </c>
      <c r="AY67" s="238" t="str">
        <f t="shared" si="446"/>
        <v/>
      </c>
      <c r="AZ67" s="238" t="str">
        <f t="shared" si="447"/>
        <v/>
      </c>
      <c r="BA67" s="238" t="str">
        <f t="shared" si="448"/>
        <v/>
      </c>
      <c r="BB67" s="552" t="str">
        <f t="shared" si="449"/>
        <v/>
      </c>
      <c r="BC67" s="347" t="str">
        <f t="shared" si="450"/>
        <v/>
      </c>
      <c r="BD67" s="239" t="str">
        <f t="shared" si="430"/>
        <v/>
      </c>
      <c r="BE67" s="239" t="str">
        <f>IF(A67=FALSE,"",IF(ALLTHESAME=TRUE,IF(DF67&lt;&gt;$BC$7,0,INDEX(DD67:DZ67,1,MATCH(Structure!$D$12,$DD$14:$DZ$14,0))),IF(EC67&lt;&gt;$BC$7,0,INDEX(EA67:EZ67,1,MATCH(Structure!$D$12,$EA$14:$EZ$14,0)))))</f>
        <v/>
      </c>
      <c r="BF67" s="239" t="str">
        <f>IF(A67=FALSE,"",IF(ALLTHESAME=TRUE,IF(FC67&lt;&gt;$BC$7,0,INDEX(FA67:FZ67,1,MATCH(Structure!$D$12,$FA$14:$FZ$14,0))),IF(GC67&lt;&gt;$BC$7,0,INDEX(GA67:GZ67,1,MATCH(Structure!$D$12,$GA$14:$GZ$14,0)))))</f>
        <v/>
      </c>
      <c r="BG67" s="239" t="str">
        <f>IF(A67=FALSE,"",IF(ALLTHESAME=TRUE,IF(VC67&lt;&gt;$BC$7,0,INDEX(VA67:VZ67,1,MATCH(Structure!$D$12,$VA$14:$VZ$14,0))),IF(VC67&lt;&gt;$BC$7,0,INDEX(VA67:VZ67,1,MATCH(Structure!$D$12,$VA$14:$VZ$14,0)))))</f>
        <v/>
      </c>
      <c r="BH67" s="239" t="str">
        <f>IF(A67=FALSE,"",IF(ALLTHESAME=TRUE,IF(WC67&lt;&gt;$BC$7,0,INDEX(WA67:WY67,1,MATCH(Structure!$D$12,$WA$14:$WZ$14,0))),IF(WC67&lt;&gt;$BC$7,0,INDEX(WA67:WZ67,1,MATCH(Structure!$D$12,$WA$14:$WZ$14,0)))))</f>
        <v/>
      </c>
      <c r="BI67" s="763" t="str">
        <f>IF(A67=FALSE,"",IF(ALLTHESAME=TRUE,IF(HC67&lt;&gt;$BC$7,0,INDEX(HA67:HZ67,1,MATCH(Structure!$D$12,$HA$14:$HZ$14,0)))+TK67,IF(IC67&lt;&gt;$BC$7,0,INDEX(IA67:IZ67,1,MATCH(Structure!$D$12,$IA$14:$IZ$14,0)))+TK67))</f>
        <v/>
      </c>
      <c r="BJ67" s="239" t="str">
        <f>IF(A67=FALSE,"",IF(ALLTHESAME=TRUE,IF(JC67&lt;&gt;$BC$7,0,INDEX(JA67:JZ67,1,MATCH(Structure!$D$12,$JA$14:$JZ$14,0))),IF(KC67&lt;&gt;$BC$7,0,INDEX(KA67:KZ67,1,MATCH(Structure!$D$12,$KA$14:$KZ$14,0)))))</f>
        <v/>
      </c>
      <c r="BK67" s="763" t="str">
        <f>IF(A67=FALSE,"",IF(ALLTHESAME=TRUE,IF(LC67&lt;&gt;$BC$7,0,INDEX(LA67:LZ67,1,MATCH(Structure!$D$12,$LA$14:$LZ$14,0)))+UK67,IF(MC67&lt;&gt;$BC$7,0,INDEX(MA67:MZ67,1,MATCH(Structure!$D$12,$MA$14:$MZ$14,0)))+UK67))</f>
        <v/>
      </c>
      <c r="BL67" s="239" t="str">
        <f>IF(A67=FALSE,"",IF(ALLTHESAME=TRUE,IF(NC67&lt;&gt;$BC$7,0,INDEX(NA67:NZ67,1,MATCH(Structure!$D$12,$NA$14:$NZ$14,0))),IF(OC67&lt;&gt;$BC$7,0,INDEX(OA67:OZ67,1,MATCH(Structure!$D$12,$OA$14:$OZ$14,0)))))</f>
        <v/>
      </c>
      <c r="BM67" s="239" t="str">
        <f>IF(A67=FALSE,"",IF(ALLTHESAME=TRUE,IF(PC67&lt;&gt;$BC$7,0,INDEX(PA67:PZ67,1,MATCH(Structure!$D$12,$PA$14:$PZ$14,0))),IF(QC67&lt;&gt;$BC$7,0,INDEX(QA67:QZ67,1,MATCH(Structure!$D$12,$QA$14:$QZ$14,0)))))</f>
        <v/>
      </c>
      <c r="BN67" s="341" t="str">
        <f>IF(A67=FALSE,"",IF(ALLTHESAME=TRUE,IF(RC67&lt;&gt;$BC$7,0,INDEX(RA67:RZ67,1,MATCH(Structure!$D$12,$RA$14:$RZ$14,0))),IF(SC67&lt;&gt;$BC$7,0,INDEX(SA67:TA67,1,MATCH(Structure!$D$12,$SA$14:$TA$14,0)))))</f>
        <v/>
      </c>
      <c r="BO67" s="507" t="str">
        <f t="shared" si="451"/>
        <v/>
      </c>
      <c r="BP67" s="239" t="str">
        <f t="shared" si="452"/>
        <v/>
      </c>
      <c r="BQ67" s="239" t="str">
        <f>IF(A67=FALSE,"",IF(ALLTHESAME=TRUE,IF(DF67&lt;&gt;$BO$7,0,INDEX(DD67:DZ67,1,MATCH(Structure!$D$12,$DD$14:$DZ$14,0))),IF(EC67&lt;&gt;$BO$7,0,INDEX(EA67:EZ67,1,MATCH(Structure!$D$12,$EA$14:$EZ$14,0)))))</f>
        <v/>
      </c>
      <c r="BR67" s="239" t="str">
        <f>IF(A67=FALSE,"",IF(ALLTHESAME=TRUE,IF(FC67&lt;&gt;$BO$7,0,INDEX(FA67:FZ67,1,MATCH(Structure!$D$12,$FA$14:$FZ$14,0))),IF(GC67&lt;&gt;$BO$7,0,INDEX(GA67:GZ67,1,MATCH(Structure!$D$12,$GA$14:$GZ$14,0)))))</f>
        <v/>
      </c>
      <c r="BS67" s="239" t="str">
        <f>IF(A67=FALSE,"",IF(ALLTHESAME=TRUE,IF(HC67&lt;&gt;$BO$7,0,INDEX(HA67:HZ67,1,MATCH(Structure!$D$12,$HA$14:$HZ$14,0))),IF(IC67&lt;&gt;$BO$7,0,INDEX(IA67:IZ67,1,MATCH(Structure!$D$12,$IA$14:$IZ$14,0)))))</f>
        <v/>
      </c>
      <c r="BT67" s="239" t="str">
        <f>IF(A67=FALSE,"",IF(ALLTHESAME=TRUE,IF(JC67&lt;&gt;$BO$7,0,INDEX(JA67:JZ67,1,MATCH(Structure!$D$12,$JA$14:$JZ$14,0))),IF(KC67&lt;&gt;$BO$7,0,INDEX(KA67:KZ67,1,MATCH(Structure!$D$12,$KA$14:$KZ$14,0)))))</f>
        <v/>
      </c>
      <c r="BU67" s="239" t="str">
        <f>IF(A67=FALSE,"",IF(ALLTHESAME=TRUE,IF(LC67&lt;&gt;$BO$7,0,INDEX(LA67:LZ67,1,MATCH(Structure!$D$12,$LA$14:$LZ$14,0))),IF(MC67&lt;&gt;$BO$7,0,INDEX(MA67:MZ67,1,MATCH(Structure!$D$12,$MA$14:$MZ$14,0)))))</f>
        <v/>
      </c>
      <c r="BV67" s="239" t="str">
        <f>IF(A67=FALSE,"",IF(ALLTHESAME=TRUE,IF(NC67&lt;&gt;$BO$7,0,INDEX(NA67:NZ67,1,MATCH(Structure!$D$12,$NA$14:$NZ$14,0))),IF(OC67&lt;&gt;$BO$7,0,INDEX(OA67:OZ67,1,MATCH(Structure!$D$12,$OA$14:$OZ$14,0)))))</f>
        <v/>
      </c>
      <c r="BW67" s="239" t="str">
        <f>IF(A67=FALSE,"",IF(ALLTHESAME=TRUE,IF(PC67&lt;&gt;$BO$7,0,INDEX(PA67:PZ67,1,MATCH(Structure!$D$12,$PA$14:$PZ$14,0))),IF(QC67&lt;&gt;$BO$7,0,INDEX(QA67:QZ67,1,MATCH(Structure!$D$12,$QA$14:$QZ$14,0)))))</f>
        <v/>
      </c>
      <c r="BX67" s="341" t="str">
        <f>IF(A67=FALSE,"",IF(ALLTHESAME=TRUE,IF(RC67&lt;&gt;$BO$7,0,INDEX(RA67:RZ67,1,MATCH(Structure!$D$12,$RA$14:$RZ$14,0))),IF(SC67&lt;&gt;$BO$7,0,INDEX(SA67:TA67,1,MATCH(Structure!$D$12,$SA$14:$TA$14,0)))))</f>
        <v/>
      </c>
      <c r="BY67" s="347" t="str">
        <f t="shared" si="453"/>
        <v/>
      </c>
      <c r="BZ67" s="507" t="str">
        <f t="shared" si="454"/>
        <v/>
      </c>
      <c r="CA67" s="239" t="str">
        <f t="shared" si="455"/>
        <v/>
      </c>
      <c r="CB67" s="239" t="str">
        <f>IF(A67=FALSE,"",IF(ALLTHESAME=TRUE,INDEX(DD67:DZ67,MATCH(DF67,DF67:DF172,0),MATCH(Structure!$D$17,$DD$14:$DZ$14,0)),INDEX(EA67:EZ67,MATCH(EC67,EC67:EC172,0),MATCH(Structure!$D$17,$EA$14:$EZ$14,0))))</f>
        <v/>
      </c>
      <c r="CC67" s="239" t="str">
        <f>IF(A67=FALSE,"",IF(ALLTHESAME=TRUE,INDEX(FA67:FZ67,MATCH(FC67,FC67:FC172,0),MATCH(Structure!$D$17,$FA$14:$FZ$14,0)),INDEX(GA67:GZ67,MATCH(GC67,GC67:GC172,0),MATCH(Structure!$D$17,$GA$14:$GZ$14,0))))</f>
        <v/>
      </c>
      <c r="CD67" s="239" t="str">
        <f>IF(A67=FALSE,"",IF(ALLTHESAME=TRUE,INDEX(HA67:HZ67,MATCH(HC67,HC67:HC172,0),MATCH(Structure!$D$17,$HA$14:$HZ$14,0)),INDEX(IA67:IZ67,MATCH(IC67,IC67:IC172,0),MATCH(Structure!$D$17,$IA$14:$IZ$14,0))))</f>
        <v/>
      </c>
      <c r="CE67" s="239" t="str">
        <f>IF(A67=FALSE,"",IF(ALLTHESAME=TRUE,INDEX(JA67:JZ67,MATCH(JC67,JC67:JC172,0),MATCH(Structure!$D$17,$JA$14:$JZ$14,0)),INDEX(KA67:KZ67,MATCH(KC67,KC67:KC172,0),MATCH(Structure!$D$17,$KA$14:$KZ$14,0))))</f>
        <v/>
      </c>
      <c r="CF67" s="239" t="str">
        <f>IF(A67=FALSE,"",IF(ALLTHESAME=TRUE,INDEX(LA67:LZ67,MATCH(LC67,LC67:LC172,0),MATCH(Structure!$D$17,$LA$14:$LZ$14,0)),INDEX(MA67:MZ67,MATCH(MC67,MC67:MC172,0),MATCH(Structure!$D$17,$MA$14:$MZ$14,0))))</f>
        <v/>
      </c>
      <c r="CG67" s="239" t="str">
        <f>IF(A67=FALSE,"",IF(ALLTHESAME=TRUE,INDEX(NA67:NZ67,MATCH(NC67,NC67:NC172,0),MATCH(Structure!$D$17,$NA$14:$NZ$14,0)),INDEX(OA67:OZ67,MATCH(OC67,OC67:OC172,0),MATCH(Structure!$D$17,$OA$14:$OZ$14,0))))</f>
        <v/>
      </c>
      <c r="CH67" s="239" t="str">
        <f>IF(A67=FALSE,"",IF(ALLTHESAME=TRUE,INDEX(PA67:PZ67,MATCH(PC67,PC67:PC172,0),MATCH(Structure!$D$17,$PA$14:$PZ$14,0)),INDEX(QA67:QZ67,MATCH(QC67,QC67:QC172,0),MATCH(Structure!$D$17,$QA$14:$QZ$14,0))))</f>
        <v/>
      </c>
      <c r="CI67" s="341" t="str">
        <f>IF(A67=FALSE,"",IF(ALLTHESAME=TRUE,INDEX(RA67:RZ67,MATCH(RC67,RC67:RC172,0),MATCH(Structure!$D$17,$RA$14:$RZ$14,0)),INDEX(SA67:TC67,MATCH(SC67,SC67:SC172,0),MATCH(Structure!$D$17,$SA$14:$TC$14,0))))</f>
        <v/>
      </c>
      <c r="CJ67" s="347"/>
      <c r="CK67" s="239" t="str">
        <f t="shared" si="456"/>
        <v/>
      </c>
      <c r="CL67" s="239" t="str">
        <f>IF(A67=FALSE,"",IF(ALLTHESAME=TRUE,INDEX(DD67:DZ67,MATCH(DF67,DF67:DF172,0),MATCH(Structure!$D$22,$DD$14:$DZ$14,0)),INDEX(EA67:EZ67,MATCH(EC67,EC67:EC172,0),MATCH(Structure!$D$22,$EA$14:$EZ$14,0))))</f>
        <v/>
      </c>
      <c r="CM67" s="239" t="str">
        <f>IF(A67=FALSE,"",IF(ALLTHESAME=TRUE,INDEX(FA67:FZ67,MATCH(FC67,FC67:FC172,0),MATCH(Structure!$D$22,$FA$14:$FZ$14,0)),INDEX(GA67:GZ67,MATCH(GC67,GC67:GC172,0),MATCH(Structure!$D$22,$GA$14:$GZ$14,0))))</f>
        <v/>
      </c>
      <c r="CN67" s="239" t="str">
        <f>IF(A67=FALSE,"",IF(ALLTHESAME=TRUE,INDEX(HA67:HZ67,MATCH(HC67,HC67:HC172,0),MATCH(Structure!$D$22,$HA$14:$HZ$14,0)),INDEX(IA67:IZ67,MATCH(IC67,IC67:IC172,0),MATCH(Structure!$D$22,$IA$14:$IZ$14,0))))</f>
        <v/>
      </c>
      <c r="CO67" s="239" t="str">
        <f>IF(A67=FALSE,"",IF(ALLTHESAME=TRUE,INDEX(JA67:JZ67,MATCH(JC67,JC67:JC172,0),MATCH(Structure!$D$22,$JA$14:$JZ$14,0)),INDEX(KA67:KZ67,MATCH(KC67,KC67:KC172,0),MATCH(Structure!$D$22,$KA$14:$KZ$14,0))))</f>
        <v/>
      </c>
      <c r="CP67" s="239" t="str">
        <f>IF(A67=FALSE,"",IF(ALLTHESAME=TRUE,INDEX(LA67:LZ67,MATCH(LC67,LC67:LC172,0),MATCH(Structure!$D$22,$LA$14:$LZ$14,0)),INDEX(MA67:MZ67,MATCH(MC67,MC67:MC172,0),MATCH(Structure!$D$22,$MA$14:$MZ$14,0))))</f>
        <v/>
      </c>
      <c r="CQ67" s="239" t="str">
        <f>IF(A67=FALSE,"",IF(ALLTHESAME=TRUE,INDEX(NA67:NZ67,MATCH(NC67,NC67:NC172,0),MATCH(Structure!$D$22,$NA$14:$NZ$14,0)),INDEX(OA67:OZ67,MATCH(OC67,OC67:OC172,0),MATCH(Structure!$D$22,$OA$14:$OZ$14,0))))</f>
        <v/>
      </c>
      <c r="CR67" s="239" t="str">
        <f>IF(A67=FALSE,"",IF(ALLTHESAME=TRUE,INDEX(PA67:PZ67,MATCH(PC67,PC67:PC172,0),MATCH(Structure!$D$22,$PA$14:$PZ$14,0)),INDEX(QA67:QZ67,MATCH(QC67,QC67:QC172,0),MATCH(Structure!$D$22,$QA$14:$QZ$14,0))))</f>
        <v/>
      </c>
      <c r="CS67" s="341" t="str">
        <f>IF(A67=FALSE,"",IF(ALLTHESAME=TRUE,INDEX(RA67:RZ67,MATCH(RC67,RC67:RC172,0),MATCH(Structure!$D$22,$RA$14:$RZ$14,0)),INDEX(SA67:TC67,MATCH(SC67,SC67:SC172,0),MATCH(Structure!$D$22,$SA$14:$TC$14,0))))</f>
        <v/>
      </c>
      <c r="CT67" s="347"/>
      <c r="CU67" s="239" t="str">
        <f t="shared" si="457"/>
        <v/>
      </c>
      <c r="CV67" s="239" t="str">
        <f>IF(A67=FALSE,"",IF(ALLTHESAME=TRUE,INDEX(DD67:DZ67,MATCH(DF67,DF67:DF172,0),MATCH(Structure!$D$8,$DD$14:$DZ$14,0)),INDEX(EA67:EZ67,MATCH(EC67,EC67:EC172,0),MATCH(Structure!$D$8,$EA$14:$EZ$14,0))))</f>
        <v/>
      </c>
      <c r="CW67" s="239" t="str">
        <f>IF(A67=FALSE,"",IF(ALLTHESAME=TRUE,INDEX(FA67:FZ67,MATCH(FC67,FC67:FC172,0),MATCH(Structure!$D$8,$FA$14:$FZ$14,0)),INDEX(GA67:GZ67,MATCH(GC67,GC67:GC172,0),MATCH(Structure!$D$8,$GA$14:$GZ$14,0))))</f>
        <v/>
      </c>
      <c r="CX67" s="239" t="str">
        <f>IF(A67=FALSE,"",IF(ALLTHESAME=TRUE,INDEX(HA67:HZ67,MATCH(HC67,HC67:HC172,0),MATCH(Structure!$D$8,$HA$14:$HZ$14,0)),INDEX(IA67:IZ67,MATCH(IC67,IC67:IC172,0),MATCH(Structure!$D$8,$IA$14:$IZ$14,0))))</f>
        <v/>
      </c>
      <c r="CY67" s="239" t="str">
        <f>IF(A67=FALSE,"",IF(ALLTHESAME=TRUE,INDEX(JA67:JZ67,MATCH(JC67,JC67:JC172,0),MATCH(Structure!$D$8,$JA$14:$JZ$14,0)),INDEX(KA67:KZ67,MATCH(KC67,KC67:KC172,0),MATCH(Structure!$D$8,$KA$14:$KZ$14,0))))</f>
        <v/>
      </c>
      <c r="CZ67" s="239" t="str">
        <f>IF(A67=FALSE,"",IF(ALLTHESAME=TRUE,INDEX(LA67:LZ67,MATCH(LC67,LC67:LC172,0),MATCH(Structure!$D$8,$LA$14:$LZ$14,0)),INDEX(MA67:MZ67,MATCH(MC67,MC67:MC172,0),MATCH(Structure!$D$8,$MA$14:$MZ$14,0))))</f>
        <v/>
      </c>
      <c r="DA67" s="239" t="str">
        <f>IF(A67=FALSE,"",IF(ALLTHESAME=TRUE,INDEX(NA67:NZ67,MATCH(NC67,NC67:NC172,0),MATCH(Structure!$D$8,$NA$14:$NZ$14,0)),INDEX(OA67:OZ67,MATCH(OC67,OC67:OC172,0),MATCH(Structure!$D$8,$OA$14:$OZ$14,0))))</f>
        <v/>
      </c>
      <c r="DB67" s="239" t="str">
        <f>IF(A67=FALSE,"",IF(ALLTHESAME=TRUE,INDEX(PA67:PZ67,MATCH(PC67,PC67:PC172,0),MATCH(Structure!$D$8,$PA$14:$PZ$14,0)),INDEX(QA67:QZ67,MATCH(QC67,QC67:QC172,0),MATCH(Structure!$D$8,$QA$14:$QZ$14,0))))</f>
        <v/>
      </c>
      <c r="DC67" s="341" t="str">
        <f>IF(A67=FALSE,"",IF(ALLTHESAME=TRUE,INDEX(RA67:RZ67,MATCH(RC67,RC67:RC172,0),MATCH(Structure!$D$8,$RA$14:$RZ$14,0)),INDEX(SA67:TC67,MATCH(SC67,SC67:SC172,0),MATCH(Structure!$D$8,$SA$14:$TC$14,0))))</f>
        <v/>
      </c>
      <c r="DD67" s="492" t="str">
        <f>IF(A67=FALSE,"",Cotations!D67)</f>
        <v/>
      </c>
      <c r="DE67" s="492" t="str">
        <f>IF(A67=FALSE,"",IF(LISTES!$A$17=1,Cotations!AF67,Cotations!$AG$4))</f>
        <v/>
      </c>
      <c r="DF67" s="291" t="str">
        <f t="shared" si="458"/>
        <v/>
      </c>
      <c r="DG67" s="291" t="str">
        <f t="shared" si="459"/>
        <v/>
      </c>
      <c r="DH67" s="291"/>
      <c r="DI67" s="463"/>
      <c r="DJ67" s="463" t="str">
        <f t="shared" si="460"/>
        <v/>
      </c>
      <c r="DK67" s="522" t="str">
        <f>IF(A67=FALSE,"",IF(Cotations!$AH$4="monthly",DJ67/12*L67,DJ67/365*M67))</f>
        <v/>
      </c>
      <c r="DL67" s="489" t="str">
        <f>IF(A67=FALSE,"",Cotations!$AI$4)</f>
        <v/>
      </c>
      <c r="DM67" s="300" t="str">
        <f t="shared" si="461"/>
        <v/>
      </c>
      <c r="DN67" s="300" t="str">
        <f t="shared" si="462"/>
        <v/>
      </c>
      <c r="DO67" s="294" t="str">
        <f t="shared" si="463"/>
        <v/>
      </c>
      <c r="DP67" s="494" t="str">
        <f>IF(A67=FALSE,"",Cotations!$AJ$4)</f>
        <v/>
      </c>
      <c r="DQ67" s="494" t="str">
        <f>IF(A67=FALSE,"",Cotations!$AK$4)</f>
        <v/>
      </c>
      <c r="DR67" s="489" t="str">
        <f>IF(A67=FALSE,"",Cotations!$AL$4)</f>
        <v/>
      </c>
      <c r="DS67" s="494" t="str">
        <f>IF(A67=FALSE,"",IF(DP67="N/A",0,IF(INDEX(LISTES!$F$105:$F$109,MATCH(DP67,LISTES!$C$105:$C$109,0))="FIX",IF(INDEX(LISTES!$E$105:$E$109,MATCH(DP67,LISTES!$C$105:$C$109,0))=12,DQ67/12*L67,DQ67/365*M67),DR67*DO67)))</f>
        <v/>
      </c>
      <c r="DT67" s="294" t="str">
        <f t="shared" si="464"/>
        <v/>
      </c>
      <c r="DU67" s="294" t="str">
        <f>IF(A67=FALSE,"",DT67*Cotations!$AM$4)</f>
        <v/>
      </c>
      <c r="DV67" s="294" t="str">
        <f>IF(A67=FALSE,"",DT67*Cotations!$AN$4)</f>
        <v/>
      </c>
      <c r="DW67" s="465" t="str">
        <f t="shared" si="465"/>
        <v/>
      </c>
      <c r="DX67" s="919" t="str">
        <f>IF(A67=FALSE,"",((DJ67*TAXE)-(DJ67*TAXE*DL67))+IF(DP67="N/A",0,IF(INDEX(LISTES!$F$105:$F$109,MATCH(DP67,LISTES!$C$105:$C$109,0))="FIX",DQ67,DR67*DO67)))</f>
        <v/>
      </c>
      <c r="DY67" s="466"/>
      <c r="DZ67" s="466"/>
      <c r="EA67" s="492" t="str">
        <f>IF(A67=FALSE,"",Cotations!D67)</f>
        <v/>
      </c>
      <c r="EB67" s="494" t="str">
        <f>IF(A67=FALSE,"",IF(LISTES!$A$17=1,Cotations!AF67,Cotations!AG67))</f>
        <v/>
      </c>
      <c r="EC67" s="284" t="str">
        <f t="shared" si="466"/>
        <v/>
      </c>
      <c r="ED67" s="284" t="str">
        <f t="shared" si="467"/>
        <v/>
      </c>
      <c r="EE67" s="284"/>
      <c r="EF67" s="284"/>
      <c r="EG67" s="284" t="str">
        <f t="shared" si="468"/>
        <v/>
      </c>
      <c r="EH67" s="1365" t="str">
        <f t="shared" si="469"/>
        <v/>
      </c>
      <c r="EI67" s="1365" t="str">
        <f t="shared" si="470"/>
        <v/>
      </c>
      <c r="EJ67" s="515" t="str">
        <f>IF(A67=FALSE,"",IF(Cotations!AH67="monthly",EG67/12*L67,EG67/365*M67))</f>
        <v/>
      </c>
      <c r="EK67" s="1364" t="str">
        <f>IF(A67=FALSE,"",IF(Cotations!AH67="monthly",EI67/12*L67,EI67/365*M67))</f>
        <v/>
      </c>
      <c r="EL67" s="493" t="str">
        <f>IF(A67=FALSE,"",IF(Cotations!AI67="","",Cotations!AI67))</f>
        <v/>
      </c>
      <c r="EM67" s="284" t="str">
        <f t="shared" si="471"/>
        <v/>
      </c>
      <c r="EN67" s="284" t="str">
        <f t="shared" si="472"/>
        <v/>
      </c>
      <c r="EO67" s="1365" t="str">
        <f t="shared" si="432"/>
        <v/>
      </c>
      <c r="EP67" s="284" t="str">
        <f t="shared" si="473"/>
        <v/>
      </c>
      <c r="EQ67" s="515" t="str">
        <f>IF(A67=FALSE,"",Cotations!AJ67)</f>
        <v/>
      </c>
      <c r="ER67" s="515" t="str">
        <f>IF(A67=FALSE,"",IF(Cotations!AK67="","",Cotations!AK67))</f>
        <v/>
      </c>
      <c r="ES67" s="493" t="str">
        <f>IF(A67=FALSE,"",Cotations!AL67)</f>
        <v/>
      </c>
      <c r="ET67" s="515" t="str">
        <f>IF(A67=FALSE,"",IF(EQ67="N/A",0,IF(INDEX(LISTES!$F$105:$F$109,MATCH(EQ67,LISTES!$C$105:$C$109,0))="FIX",IF(INDEX(LISTES!$E$105:$E$109,MATCH(EQ67,LISTES!$C$105:$C$109,0))=12,ER67/12*L67,ER67/365*M67),ES67*EP67)))</f>
        <v/>
      </c>
      <c r="EU67" s="294" t="str">
        <f t="shared" si="474"/>
        <v/>
      </c>
      <c r="EV67" s="494" t="str">
        <f>IF(A67=FALSE,"",EU67*Cotations!AM67)</f>
        <v/>
      </c>
      <c r="EW67" s="494" t="str">
        <f>IF(A67=FALSE,"",EU67*Cotations!AN67)</f>
        <v/>
      </c>
      <c r="EX67" s="334" t="str">
        <f t="shared" si="475"/>
        <v/>
      </c>
      <c r="EY67" s="919" t="str">
        <f>IF(A67=FALSE,"",((EG67*TAXE)-(EG67*TAXE*EL67)+EH67)+IF(EQ67="N/A",0,IF(INDEX(LISTES!$F$105:$F$109,MATCH(EQ67,LISTES!$C$105:$C$109,0))="FIX",ER67,ES67*EP67)))</f>
        <v/>
      </c>
      <c r="FA67" s="492" t="str">
        <f>IF(A67=FALSE,"",Cotations!D67)</f>
        <v/>
      </c>
      <c r="FB67" s="519" t="str">
        <f>IF(A67=FALSE,"",IF(LISTES!$A$17=1,Cotations!AO67,Cotations!$AP$4))</f>
        <v/>
      </c>
      <c r="FC67" s="291" t="str">
        <f t="shared" si="476"/>
        <v/>
      </c>
      <c r="FD67" s="291" t="str">
        <f t="shared" si="477"/>
        <v/>
      </c>
      <c r="FE67" s="291"/>
      <c r="FF67" s="463"/>
      <c r="FG67" s="463" t="str">
        <f t="shared" si="478"/>
        <v/>
      </c>
      <c r="FH67" s="522" t="str">
        <f>IF(A67=FALSE,"",IF(Cotations!$AQ$4="monthly",FG67/12*L67,FG67/365*M67))</f>
        <v/>
      </c>
      <c r="FI67" s="453" t="str">
        <f>IF(A67=FALSE,"",Cotations!$AR$4)</f>
        <v/>
      </c>
      <c r="FJ67" s="300" t="str">
        <f t="shared" si="479"/>
        <v/>
      </c>
      <c r="FK67" s="300" t="str">
        <f t="shared" si="480"/>
        <v/>
      </c>
      <c r="FL67" s="294" t="str">
        <f t="shared" si="481"/>
        <v/>
      </c>
      <c r="FM67" s="494" t="str">
        <f>IF(A67=FALSE,"",Cotations!$AS$4)</f>
        <v/>
      </c>
      <c r="FN67" s="494" t="str">
        <f>IF(A67=FALSE,"",Cotations!$AT$4)</f>
        <v/>
      </c>
      <c r="FO67" s="489" t="str">
        <f>IF(A67=FALSE,"",Cotations!$AU$4)</f>
        <v/>
      </c>
      <c r="FP67" s="494" t="str">
        <f>IF(A67=FALSE,"",IF(FM67="N/A",0,IF(INDEX(LISTES!$F$105:$F$109,MATCH(FM67,LISTES!$C$105:$C$109,0))="FIX",IF(INDEX(LISTES!$E$105:$E$109,MATCH(FM67,LISTES!$C$105:$C$109,0))=12,FN67/12*L67,FN67/365*M67),FO67*FL67)))</f>
        <v/>
      </c>
      <c r="FQ67" s="294" t="str">
        <f t="shared" si="482"/>
        <v/>
      </c>
      <c r="FR67" s="494" t="str">
        <f>IF(A67=FALSE,"",FQ67*Cotations!$AV$4)</f>
        <v/>
      </c>
      <c r="FS67" s="494" t="str">
        <f>IF(A67=FALSE,"",FQ67*Cotations!$AW$4)</f>
        <v/>
      </c>
      <c r="FT67" s="465" t="str">
        <f t="shared" si="483"/>
        <v/>
      </c>
      <c r="FU67" s="919" t="str">
        <f>IF(A67=FALSE,"",((FG67*TAXE)-(FG67*TAXE*FI67))+IF(FM67="N/A",0,IF(INDEX(LISTES!$F$105:$F$109,MATCH(FM67,LISTES!$C$105:$C$109,0))="FIX",FN67,FO67*FL67)))</f>
        <v/>
      </c>
      <c r="FV67" s="478"/>
      <c r="FW67" s="478"/>
      <c r="FX67" s="478"/>
      <c r="FY67" s="478"/>
      <c r="FZ67" s="478"/>
      <c r="GA67" s="492" t="str">
        <f>IF(A67=FALSE,"",Cotations!D67)</f>
        <v/>
      </c>
      <c r="GB67" s="494" t="str">
        <f>IF(A67=FALSE,"",IF(LISTES!$A$17=1,Cotations!AO67,Cotations!AP67))</f>
        <v/>
      </c>
      <c r="GC67" s="284" t="str">
        <f t="shared" si="484"/>
        <v/>
      </c>
      <c r="GD67" s="515" t="str">
        <f>IF(A67=FALSE,"",IF(Detail!AM67="","",Detail!AM67))</f>
        <v/>
      </c>
      <c r="GE67" s="284"/>
      <c r="GF67" s="284"/>
      <c r="GG67" s="284" t="str">
        <f t="shared" si="485"/>
        <v/>
      </c>
      <c r="GH67" s="515" t="str">
        <f>IF(A67=FALSE,"",IF(Cotations!AQ67="monthly",GG67/12*L67,GG67/365*M67))</f>
        <v/>
      </c>
      <c r="GI67" s="493" t="str">
        <f>IF(A67=FALSE,"",IF(Cotations!AR67="","",Cotations!AR67))</f>
        <v/>
      </c>
      <c r="GJ67" s="284" t="str">
        <f t="shared" si="486"/>
        <v/>
      </c>
      <c r="GK67" s="284" t="str">
        <f t="shared" si="487"/>
        <v/>
      </c>
      <c r="GL67" s="284" t="str">
        <f t="shared" si="488"/>
        <v/>
      </c>
      <c r="GM67" s="515" t="str">
        <f>IF(A67=FALSE,"",Cotations!AS67)</f>
        <v/>
      </c>
      <c r="GN67" s="515" t="str">
        <f>IF(A67=FALSE,"",Cotations!AT67)</f>
        <v/>
      </c>
      <c r="GO67" s="493" t="str">
        <f>IF(A67=FALSE,"",Cotations!AU67)</f>
        <v/>
      </c>
      <c r="GP67" s="515" t="str">
        <f>IF(A67=FALSE,"",IF(GM67="N/A",0,IF(INDEX(LISTES!$F$105:$F$109,MATCH(GM67,LISTES!$C$105:$C$109,0))="FIX",IF(INDEX(LISTES!$E$105:$E$109,MATCH(GM67,LISTES!$C$105:$C$109,0))=12,GN67/12*L67,GN67/365*M67),GO67*GL67)))</f>
        <v/>
      </c>
      <c r="GQ67" s="294" t="str">
        <f t="shared" si="489"/>
        <v/>
      </c>
      <c r="GR67" s="494" t="str">
        <f>IF(A67=FALSE,"",GQ67*Cotations!AV67)</f>
        <v/>
      </c>
      <c r="GS67" s="494" t="str">
        <f>IF(A67=FALSE,"",GQ67*Cotations!AW67)</f>
        <v/>
      </c>
      <c r="GT67" s="334" t="str">
        <f t="shared" si="490"/>
        <v/>
      </c>
      <c r="GU67" s="919" t="str">
        <f>IF(A67=FALSE,"",((GG67*TAXE)-(GG67*TAXE*GI67))+IF(GM67="N/A",0,IF(INDEX(LISTES!$F$105:$F$109,MATCH(GM67,LISTES!$C$105:$C$109,0))="FIX",GN67,GO67*GL67)))</f>
        <v/>
      </c>
      <c r="GV67" s="478"/>
      <c r="GW67" s="466"/>
      <c r="GX67" s="466"/>
      <c r="GY67" s="466"/>
      <c r="GZ67" s="466"/>
      <c r="HA67" s="492" t="str">
        <f>IF(A67=FALSE,"",Cotations!D67)</f>
        <v/>
      </c>
      <c r="HB67" s="495" t="str">
        <f>IF(A67=FALSE,"",IF(LISTES!$A$17=1,Cotations!AX67,Cotations!$AY$4))</f>
        <v/>
      </c>
      <c r="HC67" s="291" t="str">
        <f t="shared" si="491"/>
        <v/>
      </c>
      <c r="HD67" s="291" t="str">
        <f t="shared" si="492"/>
        <v/>
      </c>
      <c r="HE67" s="456" t="str">
        <f t="shared" si="493"/>
        <v/>
      </c>
      <c r="HF67" s="496" t="str">
        <f>IF(A67=FALSE,"",IF(HA67="POEA",Cotations!BA67,IF(HA67="FIXE",Cotations!$BA$4,Cotations!$BC$4*Y67)))</f>
        <v/>
      </c>
      <c r="HG67" s="300" t="str">
        <f t="shared" si="494"/>
        <v/>
      </c>
      <c r="HH67" s="522" t="str">
        <f>IF(A67=FALSE,"",IF(Cotations!$AZ$4="monthly",HG67/12*L67,HG67/365*M67))</f>
        <v/>
      </c>
      <c r="HI67" s="489" t="str">
        <f>IF(A67=FALSE,"",Cotations!$BD$4)</f>
        <v/>
      </c>
      <c r="HJ67" s="300" t="str">
        <f t="shared" si="495"/>
        <v/>
      </c>
      <c r="HK67" s="300" t="str">
        <f t="shared" si="496"/>
        <v/>
      </c>
      <c r="HL67" s="294" t="str">
        <f t="shared" si="497"/>
        <v/>
      </c>
      <c r="HM67" s="494" t="str">
        <f>IF(A67=FALSE,"",Cotations!$BE$4)</f>
        <v/>
      </c>
      <c r="HN67" s="522" t="str">
        <f>IF(A67=FALSE,"",Cotations!$BF$4)</f>
        <v/>
      </c>
      <c r="HO67" s="489" t="str">
        <f>IF(A67=FALSE,"",Cotations!$BG$4)</f>
        <v/>
      </c>
      <c r="HP67" s="494" t="str">
        <f>IF(A67=FALSE,"",IF(HM67="N/A",0,IF(INDEX(LISTES!$F$105:$F$109,MATCH(HM67,LISTES!$C$105:$C$109,0))="FIX",IF(INDEX(LISTES!$E$105:$E$109,MATCH(HM67,LISTES!$C$105:$C$109,0))=12,HN67/12*L67,HN67/365*M67),HO67*HL67)))</f>
        <v/>
      </c>
      <c r="HQ67" s="294" t="str">
        <f t="shared" si="498"/>
        <v/>
      </c>
      <c r="HR67" s="494" t="str">
        <f>IF(A67=FALSE,"",HQ67*Cotations!$BH$4)</f>
        <v/>
      </c>
      <c r="HS67" s="494" t="str">
        <f>IF(A67=FALSE,"",HQ67*Cotations!$BI$4)</f>
        <v/>
      </c>
      <c r="HT67" s="294" t="str">
        <f t="shared" si="499"/>
        <v/>
      </c>
      <c r="HU67" s="919" t="str">
        <f>IF(A67=FALSE,"",((HG67*TAXE)-(HG67*TAXE*HI67))+IF(HM67="N/A",0,IF(INDEX(LISTES!$F$105:$F$109,MATCH(HM67,LISTES!$C$105:$C$109,0))="FIX",HN67,HO67*HL67)))</f>
        <v/>
      </c>
      <c r="IA67" s="492" t="str">
        <f>IF(A67=FALSE,"",Cotations!D67)</f>
        <v/>
      </c>
      <c r="IB67" s="491" t="str">
        <f>IF(A67=FALSE,"",IF(LISTES!$A$17=1,Cotations!AX67,Cotations!AY67))</f>
        <v/>
      </c>
      <c r="IC67" s="285" t="str">
        <f t="shared" si="500"/>
        <v/>
      </c>
      <c r="ID67" s="300" t="str">
        <f>IF(A67=FALSE,"",IF(LISTES!$A$17=3,Detail!AU67,lig1_Formula_PREVOY))</f>
        <v/>
      </c>
      <c r="IE67" s="461" t="str">
        <f t="shared" si="501"/>
        <v/>
      </c>
      <c r="IF67" s="490" t="str">
        <f>IF(A67=FALSE,"",IF(IA67="POEA",Cotations!BA67,IF(HA67="FIXE",Cotations!BB67,IF(Cotations!BC67*Y67&lt;50000,Z67,Cotations!BC67*Y67))))</f>
        <v/>
      </c>
      <c r="IG67" s="300" t="str">
        <f t="shared" si="502"/>
        <v/>
      </c>
      <c r="IH67" s="522" t="str">
        <f>IF(A67=FALSE,"",IF(Cotations!AZ67="monthly",IG67/12*L67,IG67/365*M67))</f>
        <v/>
      </c>
      <c r="II67" s="489" t="str">
        <f>IF(A67=FALSE,"",IF(Cotations!BD67="","",Cotations!BD67))</f>
        <v/>
      </c>
      <c r="IJ67" s="300" t="str">
        <f t="shared" si="503"/>
        <v/>
      </c>
      <c r="IK67" s="300" t="str">
        <f t="shared" si="504"/>
        <v/>
      </c>
      <c r="IL67" s="919" t="str">
        <f t="shared" si="505"/>
        <v/>
      </c>
      <c r="IM67" s="517" t="str">
        <f>IF(A67=FALSE,"",Cotations!BE67)</f>
        <v/>
      </c>
      <c r="IN67" s="517" t="str">
        <f>IF(A67=FALSE,"",Cotations!BF67)</f>
        <v/>
      </c>
      <c r="IO67" s="493" t="str">
        <f>IF(A67=FALSE,"",Cotations!BG67)</f>
        <v/>
      </c>
      <c r="IP67" s="517" t="str">
        <f>IF(A67=FALSE,"",IF(IM67="N/A",0,IF(INDEX(LISTES!$F$105:$F$109,MATCH(IM67,LISTES!$C$105:$C$109,0))="FIX",IF(INDEX(LISTES!$E$105:$E$109,MATCH(IM67,LISTES!$C$105:$C$109,0))=12,IN67/12*L67,IN67/365*M67),IO67*IL67)))</f>
        <v/>
      </c>
      <c r="IQ67" s="294" t="str">
        <f t="shared" si="506"/>
        <v/>
      </c>
      <c r="IR67" s="494" t="str">
        <f>IF(A67=FALSE,"",IQ67*Cotations!BH67)</f>
        <v/>
      </c>
      <c r="IS67" s="494" t="str">
        <f>IF(A67=FALSE,"",IQ67*Cotations!BI67)</f>
        <v/>
      </c>
      <c r="IT67" s="338" t="str">
        <f t="shared" si="507"/>
        <v/>
      </c>
      <c r="IU67" s="919" t="str">
        <f>IF(A67=FALSE,"",((IG67*TAXE)-(IG67*TAXE*II67))+IF(IM67="N/A",0,IF(INDEX(LISTES!$F$105:$F$109,MATCH(IM67,LISTES!$C$105:$C$109,0))="FIX",IN67,IO67*IL67)))</f>
        <v/>
      </c>
      <c r="JA67" s="492" t="str">
        <f>IF(A67=FALSE,"",Cotations!D67)</f>
        <v/>
      </c>
      <c r="JB67" s="495" t="str">
        <f>IF(A67=FALSE,"",IF(LISTES!$A$17=1,Cotations!BJ67,Cotations!$BK$4))</f>
        <v/>
      </c>
      <c r="JC67" s="291" t="str">
        <f t="shared" si="508"/>
        <v/>
      </c>
      <c r="JD67" s="291" t="str">
        <f t="shared" si="509"/>
        <v/>
      </c>
      <c r="JE67" s="456" t="str">
        <f t="shared" si="510"/>
        <v/>
      </c>
      <c r="JF67" s="496" t="str">
        <f>IF(A67=FALSE,"",IF(JA67="POEA",Cotations!BM67,IF(JA67="FIXE",Cotations!$BM$4,Cotations!$BO$4*Y67)))</f>
        <v/>
      </c>
      <c r="JG67" s="300" t="str">
        <f t="shared" si="511"/>
        <v/>
      </c>
      <c r="JH67" s="522" t="str">
        <f>IF(A67=FALSE,"",IF(Cotations!$BL$4="monthly",JG67/12*L67,JG67/365*M67))</f>
        <v/>
      </c>
      <c r="JI67" s="489" t="str">
        <f>IF(A67=FALSE,"",Cotations!$BP$4)</f>
        <v/>
      </c>
      <c r="JJ67" s="300" t="str">
        <f t="shared" si="512"/>
        <v/>
      </c>
      <c r="JK67" s="300" t="str">
        <f t="shared" si="513"/>
        <v/>
      </c>
      <c r="JL67" s="294" t="str">
        <f t="shared" si="514"/>
        <v/>
      </c>
      <c r="JM67" s="494" t="str">
        <f>IF(A67=FALSE,"",Cotations!$BQ$4)</f>
        <v/>
      </c>
      <c r="JN67" s="522" t="str">
        <f>IF(A67=FALSE,"",Cotations!$BR$4)</f>
        <v/>
      </c>
      <c r="JO67" s="489" t="str">
        <f>IF(A67=FALSE,"",Cotations!$BS$4)</f>
        <v/>
      </c>
      <c r="JP67" s="494" t="str">
        <f>IF(A67=FALSE,"",IF(JM67="N/A",0,IF(INDEX(LISTES!$F$105:$F$109,MATCH(JM67,LISTES!$C$105:$C$109,0))="FIX",IF(INDEX(LISTES!$E$105:$E$109,MATCH(JM67,LISTES!$C$105:$C$109,0))=12,JN67/12*L67,JN67/365*M67),JO67*JL67)))</f>
        <v/>
      </c>
      <c r="JQ67" s="294" t="str">
        <f t="shared" si="515"/>
        <v/>
      </c>
      <c r="JR67" s="494" t="str">
        <f>IF(A67=FALSE,"",JQ67*Cotations!$BT$4)</f>
        <v/>
      </c>
      <c r="JS67" s="494" t="str">
        <f>IF(A67=FALSE,"",JQ67*Cotations!$BU$4)</f>
        <v/>
      </c>
      <c r="JT67" s="294" t="str">
        <f t="shared" si="516"/>
        <v/>
      </c>
      <c r="JU67" s="919" t="str">
        <f>IF(A67=FALSE,"",((JG67*TAXE)-(JG67*TAXE*JI67))+IF(JM67="N/A",0,IF(INDEX(LISTES!$F$105:$F$109,MATCH(JM67,LISTES!$C$105:$C$109,0))="FIX",JN67,JO67*JL67)))</f>
        <v/>
      </c>
      <c r="KA67" s="492" t="str">
        <f>IF(A67=FALSE,"",Cotations!D67)</f>
        <v/>
      </c>
      <c r="KB67" s="491" t="str">
        <f>IF(A67=FALSE,"",IF(LISTES!$A$17=1,Cotations!BJ67,Cotations!BK67))</f>
        <v/>
      </c>
      <c r="KC67" s="285" t="str">
        <f t="shared" si="517"/>
        <v/>
      </c>
      <c r="KD67" s="300"/>
      <c r="KE67" s="461" t="str">
        <f t="shared" si="518"/>
        <v/>
      </c>
      <c r="KF67" s="490" t="str">
        <f>IF(A67=FALSE,"",IF(KA67="POEA",Cotations!BM67,IF(KA67="FIXE",Cotations!BN67,IF(Cotations!BO67*Y67&lt;50000,Z67,Cotations!BO67*Y67))))</f>
        <v/>
      </c>
      <c r="KG67" s="300" t="str">
        <f t="shared" si="519"/>
        <v/>
      </c>
      <c r="KH67" s="522" t="str">
        <f>IF(A67=FALSE,"",IF(Cotations!BL67="monthly",KG67/12*L67,KG67/365*M67))</f>
        <v/>
      </c>
      <c r="KI67" s="489" t="str">
        <f>IF(A67=FALSE,"",IF(Cotations!BP67="","",Cotations!BP67))</f>
        <v/>
      </c>
      <c r="KJ67" s="300" t="str">
        <f t="shared" si="520"/>
        <v/>
      </c>
      <c r="KK67" s="300" t="str">
        <f t="shared" si="521"/>
        <v/>
      </c>
      <c r="KL67" s="919" t="str">
        <f t="shared" si="522"/>
        <v/>
      </c>
      <c r="KM67" s="517" t="str">
        <f>IF(A67=FALSE,"",Cotations!BQ67)</f>
        <v/>
      </c>
      <c r="KN67" s="515" t="str">
        <f>IF(A67=FALSE,"",Cotations!BR67)</f>
        <v/>
      </c>
      <c r="KO67" s="493" t="str">
        <f>IF(A67=FALSE,"",Cotations!BS67)</f>
        <v/>
      </c>
      <c r="KP67" s="517" t="str">
        <f>IF(A67=FALSE,"",IF(KM67="N/A",0,IF(INDEX(LISTES!$F$105:$F$109,MATCH(KM67,LISTES!$C$105:$C$109,0))="FIX",IF(INDEX(LISTES!$E$105:$E$109,MATCH(KM67,LISTES!$C$105:$C$109,0))=12,KN67/12*L67,KN67/365*M67),KO67*KL67)))</f>
        <v/>
      </c>
      <c r="KQ67" s="294" t="str">
        <f t="shared" si="523"/>
        <v/>
      </c>
      <c r="KR67" s="494" t="str">
        <f>IF(A67=FALSE,"",KQ67*Cotations!BT67)</f>
        <v/>
      </c>
      <c r="KS67" s="494" t="str">
        <f>IF(A67=FALSE,"",KQ67*Cotations!BU67)</f>
        <v/>
      </c>
      <c r="KT67" s="338" t="str">
        <f t="shared" si="524"/>
        <v/>
      </c>
      <c r="KU67" s="919" t="str">
        <f>IF(A67=FALSE,"",((KG67*TAXE)-(KG67*TAXE*KI67))+IF(KM67="N/A",0,IF(INDEX(LISTES!$F$105:$F$109,MATCH(KM67,LISTES!$C$105:$C$109,0))="FIX",KN67,KO67*KL67)))</f>
        <v/>
      </c>
      <c r="LA67" s="497" t="str">
        <f>IF(A67=FALSE,"",Cotations!D67)</f>
        <v/>
      </c>
      <c r="LB67" s="498" t="str">
        <f>IF(A67=FALSE,"",IF(LISTES!$A$17=1,Cotations!BV67,Cotations!$BW$4))</f>
        <v/>
      </c>
      <c r="LC67" s="499" t="str">
        <f t="shared" si="525"/>
        <v/>
      </c>
      <c r="LD67" s="499" t="str">
        <f t="shared" si="526"/>
        <v/>
      </c>
      <c r="LE67" s="500" t="str">
        <f t="shared" si="527"/>
        <v/>
      </c>
      <c r="LF67" s="501" t="str">
        <f>IF(A67=FALSE,"",IF(LA67="POEA",Cotations!EJ67,IF(LA67="FIXE",Cotations!$BY$4,Cotations!$CA$4*Y67)))</f>
        <v/>
      </c>
      <c r="LG67" s="502" t="str">
        <f t="shared" si="528"/>
        <v/>
      </c>
      <c r="LH67" s="520" t="str">
        <f>IF(A67=FALSE,"",IF(Cotations!$BX$4="monthly",LG67/12*L67,LG67/365*M67))</f>
        <v/>
      </c>
      <c r="LI67" s="503" t="str">
        <f>IF(A67=FALSE,"",Cotations!$CB$4)</f>
        <v/>
      </c>
      <c r="LJ67" s="502" t="str">
        <f t="shared" si="529"/>
        <v/>
      </c>
      <c r="LK67" s="502" t="str">
        <f t="shared" si="530"/>
        <v/>
      </c>
      <c r="LL67" s="504" t="str">
        <f t="shared" si="531"/>
        <v/>
      </c>
      <c r="LM67" s="505" t="str">
        <f>IF(A67=FALSE,"",Cotations!$CC$4)</f>
        <v/>
      </c>
      <c r="LN67" s="503" t="str">
        <f>IF(A67=FALSE,"",Cotations!$CD$4)</f>
        <v/>
      </c>
      <c r="LO67" s="503" t="str">
        <f>IF(A67=FALSE,"",Cotations!$CE$4)</f>
        <v/>
      </c>
      <c r="LP67" s="505" t="str">
        <f>IF(A67=FALSE,"",IF(LM67="N/A",0,IF(INDEX(LISTES!$F$105:$F$109,MATCH(LM67,LISTES!$C$105:$C$109,0))="FIX",IF(INDEX(LISTES!$E$105:$E$109,MATCH(LM67,LISTES!$C$105:$C$109,0))=12,LN67/12*L67,LN67/365*M67),LO67*LL67)))</f>
        <v/>
      </c>
      <c r="LQ67" s="504" t="str">
        <f t="shared" si="532"/>
        <v/>
      </c>
      <c r="LR67" s="505" t="str">
        <f>IF(A67=FALSE,"",LQ67*Cotations!$CF$4)</f>
        <v/>
      </c>
      <c r="LS67" s="505" t="str">
        <f>IF(A67=FALSE,"",LQ67*Cotations!$CG$4)</f>
        <v/>
      </c>
      <c r="LT67" s="506" t="str">
        <f t="shared" si="533"/>
        <v/>
      </c>
      <c r="LU67" s="919" t="str">
        <f>IF(A67=FALSE,"",((LG67*TAXE)-(LG67*TAXE*LI67))+IF(LM67="N/A",0,IF(INDEX(LISTES!$F$105:$F$109,MATCH(LM67,LISTES!$C$105:$C$109,0))="FIX",LN67,LO67*LL67)))</f>
        <v/>
      </c>
      <c r="MA67" s="492" t="str">
        <f>IF(A67=FALSE,"",Cotations!D67)</f>
        <v/>
      </c>
      <c r="MB67" s="491" t="str">
        <f>IF(A67=FALSE,"",IF(LISTES!$A$17=1,Cotations!BV67,Cotations!BW67))</f>
        <v/>
      </c>
      <c r="MC67" s="285" t="str">
        <f t="shared" si="534"/>
        <v/>
      </c>
      <c r="MD67" s="300"/>
      <c r="ME67" s="461" t="str">
        <f t="shared" si="535"/>
        <v/>
      </c>
      <c r="MF67" s="490" t="str">
        <f>IF(A67=FALSE,"",IF(MA67="POEA",Cotations!BY67,IF(MA67="FIXE",Cotations!BZ67,IF(Cotations!CA67*Y67&lt;50000,Z67,Cotations!CA67*Y67))))</f>
        <v/>
      </c>
      <c r="MG67" s="300" t="str">
        <f t="shared" si="536"/>
        <v/>
      </c>
      <c r="MH67" s="522" t="str">
        <f>IF(A67=FALSE,"",IF(Cotations!BX67="monthly",MG67/12*L67,MG67/365*M67))</f>
        <v/>
      </c>
      <c r="MI67" s="489" t="str">
        <f>IF(A67=FALSE,"",IF(Cotations!CB67="","",Cotations!CB67))</f>
        <v/>
      </c>
      <c r="MJ67" s="300" t="str">
        <f t="shared" si="537"/>
        <v/>
      </c>
      <c r="MK67" s="300" t="str">
        <f t="shared" si="538"/>
        <v/>
      </c>
      <c r="ML67" s="919" t="str">
        <f t="shared" si="539"/>
        <v/>
      </c>
      <c r="MM67" s="517" t="str">
        <f>IF(A67=FALSE,"",Cotations!CC67)</f>
        <v/>
      </c>
      <c r="MN67" s="515" t="str">
        <f>IF(A67=FALSE,"",Cotations!CD67)</f>
        <v/>
      </c>
      <c r="MO67" s="493" t="str">
        <f>IF(A67=FALSE,"",Cotations!CE67)</f>
        <v/>
      </c>
      <c r="MP67" s="517" t="str">
        <f>IF(A67=FALSE,"",IF(MM67="N/A",0,IF(INDEX(LISTES!$F$105:$F$109,MATCH(MM67,LISTES!$C$105:$C$109,0))="FIX",IF(INDEX(LISTES!$E$105:$E$109,MATCH(MM67,LISTES!$C$105:$C$109,0))=12,MN67/12*L67,MN67/365*M67),MO67*ML67)))</f>
        <v/>
      </c>
      <c r="MQ67" s="294" t="str">
        <f t="shared" si="540"/>
        <v/>
      </c>
      <c r="MR67" s="494" t="str">
        <f>IF(A67=FALSE,"",MQ67*Cotations!CF67)</f>
        <v/>
      </c>
      <c r="MS67" s="494" t="str">
        <f>IF(A67=FALSE,"",MQ67*Cotations!CG67)</f>
        <v/>
      </c>
      <c r="MT67" s="338" t="str">
        <f t="shared" si="541"/>
        <v/>
      </c>
      <c r="MU67" s="919" t="str">
        <f>IF(A67=FALSE,"",((MG67*TAXE)-(MG67*TAXE*MI67))+IF(MM67="N/A",0,IF(INDEX(LISTES!$F$105:$F$109,MATCH(MM67,LISTES!$C$105:$C$109,0))="FIX",MN67,MO67*ML67)))</f>
        <v/>
      </c>
      <c r="NA67" s="497" t="str">
        <f>IF(A67=FALSE,"",Cotations!D67)</f>
        <v/>
      </c>
      <c r="NB67" s="498" t="str">
        <f>IF(A67=FALSE,"",IF(LISTES!$A$17=1,Cotations!CH67,Cotations!$CI$4))</f>
        <v/>
      </c>
      <c r="NC67" s="499" t="str">
        <f t="shared" si="542"/>
        <v/>
      </c>
      <c r="ND67" s="499" t="str">
        <f t="shared" si="543"/>
        <v/>
      </c>
      <c r="NE67" s="500" t="str">
        <f t="shared" si="544"/>
        <v/>
      </c>
      <c r="NF67" s="501" t="str">
        <f>IF(A67=FALSE,"",IF(NA67="POEA",Cotations!CK67,IF(NA67="FIXE",Cotations!$CK$4,Cotations!$CM$4*Y67)))</f>
        <v/>
      </c>
      <c r="NG67" s="502" t="str">
        <f t="shared" si="545"/>
        <v/>
      </c>
      <c r="NH67" s="520" t="str">
        <f>IF(A67=FALSE,"",IF(Cotations!$CJ$4="monthly",NG67/12*L67,NG67/365*M67))</f>
        <v/>
      </c>
      <c r="NI67" s="503" t="str">
        <f>IF(A67=FALSE,"",Cotations!$CN$4)</f>
        <v/>
      </c>
      <c r="NJ67" s="502" t="str">
        <f t="shared" si="546"/>
        <v/>
      </c>
      <c r="NK67" s="502" t="str">
        <f t="shared" si="547"/>
        <v/>
      </c>
      <c r="NL67" s="504" t="str">
        <f t="shared" si="548"/>
        <v/>
      </c>
      <c r="NM67" s="505" t="str">
        <f>IF(A67=FALSE,"",Cotations!$CO$4)</f>
        <v/>
      </c>
      <c r="NN67" s="520" t="str">
        <f>IF(A67=FALSE,"",Cotations!$CP$4)</f>
        <v/>
      </c>
      <c r="NO67" s="503" t="str">
        <f>IF(A67=FALSE,"",Cotations!$CQ$4)</f>
        <v/>
      </c>
      <c r="NP67" s="505" t="str">
        <f>IF(A67=FALSE,"",IF(NM67="N/A",0,IF(INDEX(LISTES!$F$105:$F$109,MATCH(NM67,LISTES!$C$105:$C$109,0))="FIX",IF(INDEX(LISTES!$E$105:$E$109,MATCH(NM67,LISTES!$C$105:$C$109,0))=12,NN67/12*L67,NN67/365*M67),NO67*NL67)))</f>
        <v/>
      </c>
      <c r="NQ67" s="504" t="str">
        <f t="shared" si="549"/>
        <v/>
      </c>
      <c r="NR67" s="505" t="str">
        <f>IF(A67=FALSE,"",NQ67*Cotations!$CR$4)</f>
        <v/>
      </c>
      <c r="NS67" s="505" t="str">
        <f>IF(A67=FALSE,"",NQ67*Cotations!$CS$4)</f>
        <v/>
      </c>
      <c r="NT67" s="506" t="str">
        <f t="shared" si="550"/>
        <v/>
      </c>
      <c r="NU67" s="919" t="str">
        <f>IF(A67=FALSE,"",((NG67*TAXE)-(NG67*TAXE*NI67))+IF(NM67="N/A",0,IF(INDEX(LISTES!$F$105:$F$109,MATCH(NM67,LISTES!$C$105:$C$109,0))="FIX",NN67,NO67*NL67)))</f>
        <v/>
      </c>
      <c r="OA67" s="492" t="str">
        <f>IF(A67=FALSE,"",Cotations!D67)</f>
        <v/>
      </c>
      <c r="OB67" s="491" t="str">
        <f>IF(A67=FALSE,"",IF(LISTES!$A$17=1,Cotations!CH67,Cotations!CI67))</f>
        <v/>
      </c>
      <c r="OC67" s="285" t="str">
        <f t="shared" si="551"/>
        <v/>
      </c>
      <c r="OD67" s="300"/>
      <c r="OE67" s="461" t="str">
        <f t="shared" si="552"/>
        <v/>
      </c>
      <c r="OF67" s="490" t="str">
        <f>IF(A67=FALSE,"",IF(OA67="POEA",Cotations!CK67,IF(OA67="FIXE",Cotations!CL67,IF(Cotations!CM67*Y67&lt;50000,Z67,Cotations!CM67*Y67))))</f>
        <v/>
      </c>
      <c r="OG67" s="300" t="str">
        <f t="shared" si="553"/>
        <v/>
      </c>
      <c r="OH67" s="522" t="str">
        <f>IF(A67=FALSE,"",IF(Cotations!CJ67="monthly",OG67/12*L67,OG67/365*M67))</f>
        <v/>
      </c>
      <c r="OI67" s="489" t="str">
        <f>IF(A67=FALSE,"",IF(Cotations!CN67="","",Cotations!CN67))</f>
        <v/>
      </c>
      <c r="OJ67" s="300" t="str">
        <f t="shared" si="554"/>
        <v/>
      </c>
      <c r="OK67" s="300" t="str">
        <f t="shared" si="555"/>
        <v/>
      </c>
      <c r="OL67" s="919" t="str">
        <f t="shared" si="556"/>
        <v/>
      </c>
      <c r="OM67" s="517" t="str">
        <f>IF(A67=FALSE,"",Cotations!CO67)</f>
        <v/>
      </c>
      <c r="ON67" s="515" t="str">
        <f>IF(A67=FALSE,"",Cotations!CP67)</f>
        <v/>
      </c>
      <c r="OO67" s="493" t="str">
        <f>IF(A67=FALSE,"",Cotations!CQ67)</f>
        <v/>
      </c>
      <c r="OP67" s="517" t="str">
        <f>IF(A67=FALSE,"",IF(OM67="N/A",0,IF(INDEX(LISTES!$F$105:$F$109,MATCH(OM67,LISTES!$C$105:$C$109,0))="FIX",IF(INDEX(LISTES!$E$105:$E$109,MATCH(OM67,LISTES!$C$105:$C$109,0))=12,ON67/12*L67,ON67/365*M67),OO67*OL67)))</f>
        <v/>
      </c>
      <c r="OQ67" s="294" t="str">
        <f t="shared" si="557"/>
        <v/>
      </c>
      <c r="OR67" s="494" t="str">
        <f>IF(A67=FALSE,"",OQ67*Cotations!CR67)</f>
        <v/>
      </c>
      <c r="OS67" s="494" t="str">
        <f>IF(A67=FALSE,"",OQ67*Cotations!CS67)</f>
        <v/>
      </c>
      <c r="OT67" s="338" t="str">
        <f t="shared" si="558"/>
        <v/>
      </c>
      <c r="OU67" s="919" t="str">
        <f>IF(A67=FALSE,"",((OG67*TAXE)-(OG67*TAXE*OI67))+IF(OM67="N/A",0,IF(INDEX(LISTES!$F$105:$F$109,MATCH(OM67,LISTES!$C$105:$C$109,0))="FIX",ON67,OO67*OL67)))</f>
        <v/>
      </c>
      <c r="PA67" s="497" t="str">
        <f t="shared" si="559"/>
        <v/>
      </c>
      <c r="PB67" s="498" t="str">
        <f>IF(A67=FALSE,"",IF(LISTES!$A$17=1,Cotations!CT67,Cotations!$CU$4))</f>
        <v/>
      </c>
      <c r="PC67" s="499" t="str">
        <f t="shared" si="560"/>
        <v/>
      </c>
      <c r="PD67" s="499" t="str">
        <f t="shared" si="561"/>
        <v/>
      </c>
      <c r="PE67" s="500" t="str">
        <f t="shared" si="562"/>
        <v/>
      </c>
      <c r="PF67" s="501" t="str">
        <f>IF(A67=FALSE,"",Cotations!$CY$4*Y67)</f>
        <v/>
      </c>
      <c r="PG67" s="502" t="str">
        <f t="shared" si="563"/>
        <v/>
      </c>
      <c r="PH67" s="520" t="str">
        <f>IF(A67=FALSE,"",IF(Cotations!$CV$4="monthly",PG67/12*L67,PG67/365*M67))</f>
        <v/>
      </c>
      <c r="PI67" s="503" t="str">
        <f>IF(A67=FALSE,"",Cotations!$CZ$4)</f>
        <v/>
      </c>
      <c r="PJ67" s="502" t="str">
        <f t="shared" si="564"/>
        <v/>
      </c>
      <c r="PK67" s="502" t="str">
        <f t="shared" si="565"/>
        <v/>
      </c>
      <c r="PL67" s="504" t="str">
        <f t="shared" si="566"/>
        <v/>
      </c>
      <c r="PM67" s="505" t="str">
        <f>IF(A67=FALSE,"",Cotations!$DA$4)</f>
        <v/>
      </c>
      <c r="PN67" s="520" t="str">
        <f>IF(A67=FALSE,"",Cotations!$DB$4)</f>
        <v/>
      </c>
      <c r="PO67" s="503" t="str">
        <f>IF(A67=FALSE,"",Cotations!$DC$4)</f>
        <v/>
      </c>
      <c r="PP67" s="505" t="str">
        <f>IF(A67=FALSE,"",IF(PM67="N/A",0,IF(INDEX(LISTES!$F$105:$F$109,MATCH(PM67,LISTES!$C$105:$C$109,0))="FIX",IF(INDEX(LISTES!$E$105:$E$109,MATCH(PM67,LISTES!$C$105:$C$109,0))=12,PN67/12*L67,PN67/365*M67),PO67*PL67)))</f>
        <v/>
      </c>
      <c r="PQ67" s="504" t="str">
        <f t="shared" si="567"/>
        <v/>
      </c>
      <c r="PR67" s="505" t="str">
        <f>IF(A67=FALSE,"",PQ67*Cotations!$DD$4)</f>
        <v/>
      </c>
      <c r="PS67" s="505" t="str">
        <f>IF(A67=FALSE,"",PQ67*Cotations!$DE$4)</f>
        <v/>
      </c>
      <c r="PT67" s="506" t="str">
        <f t="shared" si="568"/>
        <v/>
      </c>
      <c r="PU67" s="919" t="str">
        <f>IF(A67=FALSE,"",((PG67*TAXE)-(PG67*TAXE*PI67))+IF(PM67="N/A",0,IF(INDEX(LISTES!$F$105:$F$109,MATCH(PM67,LISTES!$C$105:$C$109,0))="FIX",PN67,PO67*PL67)))</f>
        <v/>
      </c>
      <c r="QA67" s="492" t="str">
        <f t="shared" si="569"/>
        <v/>
      </c>
      <c r="QB67" s="491" t="str">
        <f>IF(A67=FALSE,"",IF(LISTES!$A$17=1,Cotations!CT67,Cotations!CU67))</f>
        <v/>
      </c>
      <c r="QC67" s="285" t="str">
        <f t="shared" si="570"/>
        <v/>
      </c>
      <c r="QD67" s="300"/>
      <c r="QE67" s="461" t="str">
        <f t="shared" si="571"/>
        <v/>
      </c>
      <c r="QF67" s="490" t="str">
        <f>IF(A67=FALSE,"",Cotations!CY67*AA67)</f>
        <v/>
      </c>
      <c r="QG67" s="300" t="str">
        <f t="shared" si="572"/>
        <v/>
      </c>
      <c r="QH67" s="522" t="str">
        <f>IF(A67=FALSE,"",IF(Cotations!CV67="monthly",QG67/12*L67,QG67/365*M67))</f>
        <v/>
      </c>
      <c r="QI67" s="489" t="str">
        <f>IF(A67=FALSE,"",IF(Cotations!CZ67="","",Cotations!CZ67))</f>
        <v/>
      </c>
      <c r="QJ67" s="300" t="str">
        <f t="shared" si="573"/>
        <v/>
      </c>
      <c r="QK67" s="300" t="str">
        <f t="shared" si="574"/>
        <v/>
      </c>
      <c r="QL67" s="919" t="str">
        <f t="shared" si="575"/>
        <v/>
      </c>
      <c r="QM67" s="517" t="str">
        <f>IF(A67=FALSE,"",Cotations!DA67)</f>
        <v/>
      </c>
      <c r="QN67" s="515" t="str">
        <f>IF(A67=FALSE,"",Cotations!DB67)</f>
        <v/>
      </c>
      <c r="QO67" s="493" t="str">
        <f>IF(A67=FALSE,"",Cotations!DC67)</f>
        <v/>
      </c>
      <c r="QP67" s="517" t="str">
        <f>IF(A67=FALSE,"",IF(QM67="N/A",0,IF(INDEX(LISTES!$F$105:$F$109,MATCH(QM67,LISTES!$C$105:$C$109,0))="FIX",IF(INDEX(LISTES!$E$105:$E$109,MATCH(QM67,LISTES!$C$105:$C$109,0))=12,QN67/12*L67,QN67/365*M67),QO67*QL67)))</f>
        <v/>
      </c>
      <c r="QQ67" s="294" t="str">
        <f t="shared" si="576"/>
        <v/>
      </c>
      <c r="QR67" s="494" t="str">
        <f>IF(A67=FALSE,"",QQ67*Cotations!DD67)</f>
        <v/>
      </c>
      <c r="QS67" s="494" t="str">
        <f>IF(A67=FALSE,"",QQ67*Cotations!DE67)</f>
        <v/>
      </c>
      <c r="QT67" s="338" t="str">
        <f t="shared" si="577"/>
        <v/>
      </c>
      <c r="QU67" s="919" t="str">
        <f>IF(A67=FALSE,"",((QG67*TAXE)-(QG67*TAXE*QI67))+IF(QM67="N/A",0,IF(INDEX(LISTES!$F$105:$F$109,MATCH(QM67,LISTES!$C$105:$C$109,0))="FIX",QN67,QO67*QL67)))</f>
        <v/>
      </c>
      <c r="RA67" s="497" t="str">
        <f t="shared" si="578"/>
        <v/>
      </c>
      <c r="RB67" s="498" t="str">
        <f>IF(A67=FALSE,"",IF(LISTES!$A$17=1,Cotations!DF67,Cotations!$DG$4))</f>
        <v/>
      </c>
      <c r="RC67" s="499" t="str">
        <f t="shared" si="579"/>
        <v/>
      </c>
      <c r="RD67" s="499" t="str">
        <f t="shared" si="580"/>
        <v/>
      </c>
      <c r="RE67" s="500" t="str">
        <f t="shared" si="581"/>
        <v/>
      </c>
      <c r="RF67" s="501" t="str">
        <f>IF(A67=FALSE,"",Cotations!$DK$4*Y67)</f>
        <v/>
      </c>
      <c r="RG67" s="502" t="str">
        <f t="shared" si="582"/>
        <v/>
      </c>
      <c r="RH67" s="520" t="str">
        <f>IF(A67=FALSE,"",IF(Cotations!$DH$4="monthly",RG67/12*L67,RG67/365*M67))</f>
        <v/>
      </c>
      <c r="RI67" s="503" t="str">
        <f>IF(A67=FALSE,"",Cotations!$DL$4)</f>
        <v/>
      </c>
      <c r="RJ67" s="502" t="str">
        <f t="shared" si="583"/>
        <v/>
      </c>
      <c r="RK67" s="502" t="str">
        <f t="shared" si="584"/>
        <v/>
      </c>
      <c r="RL67" s="504" t="str">
        <f t="shared" si="585"/>
        <v/>
      </c>
      <c r="RM67" s="505" t="str">
        <f>IF(A67=FALSE,"",Cotations!$DM$4)</f>
        <v/>
      </c>
      <c r="RN67" s="520" t="str">
        <f>IF(A67=FALSE,"",Cotations!$DN$4)</f>
        <v/>
      </c>
      <c r="RO67" s="503" t="str">
        <f>IF(A67=FALSE,"",Cotations!$DO$4)</f>
        <v/>
      </c>
      <c r="RP67" s="505" t="str">
        <f>IF(A67=FALSE,"",IF(RM67="N/A",0,IF(INDEX(LISTES!$F$105:$F$109,MATCH(RM67,LISTES!$C$105:$C$109,0))="FIX",IF(INDEX(LISTES!$E$105:$E$109,MATCH(RM67,LISTES!$C$105:$C$109,0))=12,RN67/12*L67,RN67/365*M67),RO67*RL67)))</f>
        <v/>
      </c>
      <c r="RQ67" s="504" t="str">
        <f t="shared" si="586"/>
        <v/>
      </c>
      <c r="RR67" s="505" t="str">
        <f>IF(A67=FALSE,"",RQ67*Cotations!$DP$4)</f>
        <v/>
      </c>
      <c r="RS67" s="505" t="str">
        <f>IF(A67=FALSE,"",RQ67*Cotations!$DQ$4)</f>
        <v/>
      </c>
      <c r="RT67" s="506" t="str">
        <f t="shared" si="587"/>
        <v/>
      </c>
      <c r="RU67" s="919" t="str">
        <f>IF(A67=FALSE,"",((RG67*TAXE)-(RG67*TAXE*RI67))+IF(RM67="N/A",0,IF(INDEX(LISTES!$F$105:$F$109,MATCH(RM67,LISTES!$C$105:$C$109,0))="FIX",RN67,RO67*RL67)))</f>
        <v/>
      </c>
      <c r="SA67" s="492" t="str">
        <f t="shared" si="588"/>
        <v/>
      </c>
      <c r="SB67" s="491" t="str">
        <f>IF(A67=FALSE,"",IF(LISTES!$A$17=1,Cotations!DF67,Cotations!DG67))</f>
        <v/>
      </c>
      <c r="SC67" s="285" t="str">
        <f t="shared" si="589"/>
        <v/>
      </c>
      <c r="SD67" s="300"/>
      <c r="SE67" s="461" t="str">
        <f t="shared" si="590"/>
        <v/>
      </c>
      <c r="SF67" s="490" t="str">
        <f>IF(A67=FALSE,"",Cotations!DK67*AA67)</f>
        <v/>
      </c>
      <c r="SG67" s="300" t="str">
        <f t="shared" si="591"/>
        <v/>
      </c>
      <c r="SH67" s="522" t="str">
        <f>IF(A67=FALSE,"",IF(Cotations!DH67="monthly",SG67/12*L67,SG67/365*M67))</f>
        <v/>
      </c>
      <c r="SI67" s="489" t="str">
        <f>IF(A67=FALSE,"",IF(Cotations!DL67="","",Cotations!DL67))</f>
        <v/>
      </c>
      <c r="SJ67" s="300" t="str">
        <f t="shared" si="592"/>
        <v/>
      </c>
      <c r="SK67" s="300" t="str">
        <f t="shared" si="593"/>
        <v/>
      </c>
      <c r="SL67" s="919" t="str">
        <f t="shared" si="594"/>
        <v/>
      </c>
      <c r="SM67" s="285" t="str">
        <f>IF(A67=FALSE,"",Cotations!DM67)</f>
        <v/>
      </c>
      <c r="SN67" s="515" t="str">
        <f>IF(A67=FALSE,"",Cotations!DN67)</f>
        <v/>
      </c>
      <c r="SO67" s="493" t="str">
        <f>IF(A67=FALSE,"",Cotations!DO67)</f>
        <v/>
      </c>
      <c r="SP67" s="517" t="str">
        <f>IF(A67=FALSE,"",IF(SM67="N/A",0,IF(INDEX(LISTES!$F$105:$F$109,MATCH(SM67,LISTES!$C$105:$C$109,0))="FIX",IF(INDEX(LISTES!$E$105:$E$109,MATCH(SM67,LISTES!$C$105:$C$109,0))=12,SN67/12*L67,SN67/365*M67),SO67*SL67)))</f>
        <v/>
      </c>
      <c r="SQ67" s="294" t="str">
        <f t="shared" si="595"/>
        <v/>
      </c>
      <c r="SR67" s="494" t="str">
        <f>IF(A67=FALSE,"",SQ67*Cotations!DP67)</f>
        <v/>
      </c>
      <c r="SS67" s="494" t="str">
        <f>IF(A67=FALSE,"",SQ67*Cotations!DQ67)</f>
        <v/>
      </c>
      <c r="ST67" s="338" t="str">
        <f t="shared" si="596"/>
        <v/>
      </c>
      <c r="SU67" s="919" t="str">
        <f>IF(A67=FALSE,"",((SG67*TAXE)-(SG67*TAXE*SI67))+IF(SM67="N/A",0,IF(INDEX(LISTES!$F$105:$F$109,MATCH(SM67,LISTES!$C$105:$C$109,0))="FIX",SN67,SO67*SL67)))</f>
        <v/>
      </c>
      <c r="TA67" s="492" t="str">
        <f>IF(A67=FALSE,"",Cotations!D67)</f>
        <v/>
      </c>
      <c r="TB67" s="491" t="str">
        <f>IF(A67=FALSE,"",IF(LISTES!$A$17=1,Cotations!DR67,Cotations!DS67))</f>
        <v/>
      </c>
      <c r="TC67" s="285" t="str">
        <f t="shared" si="597"/>
        <v/>
      </c>
      <c r="TD67" s="300" t="str">
        <f>IF(A67=FALSE,"",Detail!CQ67)</f>
        <v/>
      </c>
      <c r="TE67" s="461" t="str">
        <f t="shared" si="598"/>
        <v/>
      </c>
      <c r="TF67" s="490" t="str">
        <f>IF(A67=FALSE,"",IF(TA67="FIXE",Cotations!DU67,Cotations!DV67*Y67))</f>
        <v/>
      </c>
      <c r="TG67" s="300" t="str">
        <f t="shared" si="599"/>
        <v/>
      </c>
      <c r="TH67" s="522" t="str">
        <f>IF(A67=FALSE,"",IF(Cotations!DT67="monthly",TG67/12*L67,TG67/365*M67))</f>
        <v/>
      </c>
      <c r="TI67" s="489" t="str">
        <f>IF(A67=FALSE,"",IF(Cotations!DW67="","",Cotations!DW67))</f>
        <v/>
      </c>
      <c r="TJ67" s="300" t="str">
        <f t="shared" si="600"/>
        <v/>
      </c>
      <c r="TK67" s="300" t="str">
        <f t="shared" si="601"/>
        <v/>
      </c>
      <c r="TL67" s="919" t="str">
        <f t="shared" si="602"/>
        <v/>
      </c>
      <c r="TM67" s="517" t="str">
        <f>IF(A67=FALSE,"",Cotations!DX67)</f>
        <v/>
      </c>
      <c r="TN67" s="517" t="str">
        <f>IF(A67=FALSE,"",Cotations!DY67)</f>
        <v/>
      </c>
      <c r="TO67" s="493" t="str">
        <f>IF(A67=FALSE,"",Cotations!DZ67)</f>
        <v/>
      </c>
      <c r="TP67" s="517" t="str">
        <f>IF(A67=FALSE,"",IF(TM67="N/A",0,IF(INDEX(LISTES!$F$105:$F$109,MATCH(TM67,LISTES!$C$105:$C$109,0))="FIX",IF(INDEX(LISTES!$E$105:$E$109,MATCH(TM67,LISTES!$C$105:$C$109,0))=12,TN67/12*L67,TN67/365*M67),TO67*TL67)))</f>
        <v/>
      </c>
      <c r="TQ67" s="294" t="str">
        <f t="shared" si="603"/>
        <v/>
      </c>
      <c r="TR67" s="494" t="str">
        <f>IF(A67=FALSE,"",TQ67*Cotations!EA67)</f>
        <v/>
      </c>
      <c r="TS67" s="494" t="str">
        <f>IF(A67=FALSE,"",TQ67*Cotations!EB67)</f>
        <v/>
      </c>
      <c r="TT67" s="338" t="str">
        <f t="shared" si="604"/>
        <v/>
      </c>
      <c r="TU67" s="919" t="str">
        <f>IF(A67=FALSE,"",((TG67*(1+TAXE)-(TG67*(1+TAXE)*TI67))+IF(TM67="N/A",0,IF(INDEX(LISTES!$F$105:$F$109,MATCH(TM67,LISTES!$C$105:$C$109,0))="FIX",TN67,TO67*TL67))))</f>
        <v/>
      </c>
      <c r="UA67" s="492" t="str">
        <f>IF(A67=FALSE,"",Cotations!D67)</f>
        <v/>
      </c>
      <c r="UB67" s="491" t="str">
        <f>IF(A67=FALSE,"",IF(LISTES!$A$17=1,Cotations!EC67,Cotations!ED67))</f>
        <v/>
      </c>
      <c r="UC67" s="285" t="str">
        <f t="shared" si="605"/>
        <v/>
      </c>
      <c r="UD67" s="300" t="str">
        <f>IF(A67=FALSE,"",Detail!CY67)</f>
        <v/>
      </c>
      <c r="UE67" s="461" t="str">
        <f t="shared" si="606"/>
        <v/>
      </c>
      <c r="UF67" s="490" t="str">
        <f>IF(A67=FALSE,"",IF(UA67="FIXE",Cotations!EF67,Cotations!EG67*Y67))</f>
        <v/>
      </c>
      <c r="UG67" s="300" t="str">
        <f t="shared" si="607"/>
        <v/>
      </c>
      <c r="UH67" s="522" t="str">
        <f>IF(A67=FALSE,"",IF(Cotations!EE67="monthly",UG67/12*L67,UG67/365*M67))</f>
        <v/>
      </c>
      <c r="UI67" s="489" t="str">
        <f>IF(A67=FALSE,"",IF(Cotations!EH67="","",Cotations!EH67))</f>
        <v/>
      </c>
      <c r="UJ67" s="300" t="str">
        <f t="shared" si="608"/>
        <v/>
      </c>
      <c r="UK67" s="300" t="str">
        <f t="shared" si="609"/>
        <v/>
      </c>
      <c r="UL67" s="919" t="str">
        <f t="shared" si="610"/>
        <v/>
      </c>
      <c r="UM67" s="517" t="str">
        <f>IF(A67=FALSE,"",Cotations!EI67)</f>
        <v/>
      </c>
      <c r="UN67" s="517" t="str">
        <f>IF(A67=FALSE,"",Cotations!EJ67)</f>
        <v/>
      </c>
      <c r="UO67" s="493" t="str">
        <f>IF(A67=FALSE,"",Cotations!EK67)</f>
        <v/>
      </c>
      <c r="UP67" s="517" t="str">
        <f>IF(A67=FALSE,"",IF(UM67="N/A",0,IF(INDEX(LISTES!$F$105:$F$109,MATCH(UM67,LISTES!$C$105:$C$109,0))="FIX",IF(INDEX(LISTES!$E$105:$E$109,MATCH(UM67,LISTES!$C$105:$C$109,0))=12,UN67/12*L67,UN67/365*M67),UO67*UL67)))</f>
        <v/>
      </c>
      <c r="UQ67" s="294" t="str">
        <f t="shared" si="611"/>
        <v/>
      </c>
      <c r="UR67" s="494" t="str">
        <f>IF(A67=FALSE,"",UQ67*Cotations!EL67)</f>
        <v/>
      </c>
      <c r="US67" s="494" t="str">
        <f>IF(A67=FALSE,"",UQ67*Cotations!EM67)</f>
        <v/>
      </c>
      <c r="UT67" s="338" t="str">
        <f t="shared" si="612"/>
        <v/>
      </c>
      <c r="UU67" s="919" t="str">
        <f>IF(A67=FALSE,"",((UG67*(1+TAXE)-(UG67*(1+TAXE)*UI67))+IF(UM67="N/A",0,IF(INDEX(LISTES!$F$105:$F$109,MATCH(UM67,LISTES!$C$105:$C$109,0))="FIX",UN67,UO67*UL67))))</f>
        <v/>
      </c>
      <c r="VA67" s="492" t="str">
        <f>IF(A67=FALSE,"",Cotations!D67)</f>
        <v/>
      </c>
      <c r="VB67" s="519" t="str">
        <f>IF(A67=FALSE,"",IF(LISTES!$A$17=1,Cotations!EN67,Cotations!EO67))</f>
        <v/>
      </c>
      <c r="VC67" s="291" t="str">
        <f t="shared" si="613"/>
        <v/>
      </c>
      <c r="VD67" s="291" t="str">
        <f t="shared" si="614"/>
        <v/>
      </c>
      <c r="VE67" s="291"/>
      <c r="VF67" s="463"/>
      <c r="VG67" s="463" t="str">
        <f t="shared" si="615"/>
        <v/>
      </c>
      <c r="VH67" s="522" t="str">
        <f>IF(A67=FALSE,"",IF(Cotations!$AQ$4="monthly",VG67/12*L67,VG67/365*M67))</f>
        <v/>
      </c>
      <c r="VI67" s="489" t="str">
        <f>IF(A67=FALSE,"",Cotations!$AR$4)</f>
        <v/>
      </c>
      <c r="VJ67" s="300" t="str">
        <f t="shared" si="616"/>
        <v/>
      </c>
      <c r="VK67" s="300" t="str">
        <f t="shared" si="617"/>
        <v/>
      </c>
      <c r="VL67" s="294" t="str">
        <f t="shared" si="618"/>
        <v/>
      </c>
      <c r="VM67" s="494" t="str">
        <f>IF(A67=FALSE,"",Cotations!$AS$4)</f>
        <v/>
      </c>
      <c r="VN67" s="494" t="str">
        <f>IF(A67=FALSE,"",Cotations!$AT$4)</f>
        <v/>
      </c>
      <c r="VO67" s="489" t="str">
        <f>IF(A67=FALSE,"",Cotations!$AU$4)</f>
        <v/>
      </c>
      <c r="VP67" s="494" t="str">
        <f>IF(A67=FALSE,"",IF(VM67="N/A",0,IF(INDEX(LISTES!$F$105:$F$109,MATCH(VM67,LISTES!$C$105:$C$109,0))="FIX",IF(INDEX(LISTES!$E$105:$E$109,MATCH(VM67,LISTES!$C$105:$C$109,0))=12,VN67/12*L67,VN67/365*M67),VO67*VL67)))</f>
        <v/>
      </c>
      <c r="VQ67" s="294" t="str">
        <f t="shared" si="619"/>
        <v/>
      </c>
      <c r="VR67" s="494" t="str">
        <f>IF(A67=FALSE,"",VQ67*Cotations!$AV$4)</f>
        <v/>
      </c>
      <c r="VS67" s="494" t="str">
        <f>IF(A67=FALSE,"",VQ67*Cotations!$AW$4)</f>
        <v/>
      </c>
      <c r="VT67" s="465" t="str">
        <f t="shared" si="620"/>
        <v/>
      </c>
      <c r="VU67" s="919" t="str">
        <f>IF(A67=FALSE,"",((VG67*TAXE)-(VG67*TAXE*VI67))+IF(VM67="N/A",0,IF(INDEX(LISTES!$F$105:$F$109,MATCH(VM67,LISTES!$C$105:$C$109,0))="FIX",VN67,VO67*VL67)))</f>
        <v/>
      </c>
      <c r="WA67" s="492" t="str">
        <f>IF(A67=FALSE,"",Cotations!D67)</f>
        <v/>
      </c>
      <c r="WB67" s="519" t="str">
        <f>IF(A67=FALSE,"",IF(LISTES!$A$17=1,Cotations!EW67,Cotations!EX67))</f>
        <v/>
      </c>
      <c r="WC67" s="291" t="str">
        <f t="shared" si="621"/>
        <v/>
      </c>
      <c r="WD67" s="291" t="str">
        <f t="shared" si="622"/>
        <v/>
      </c>
      <c r="WE67" s="291"/>
      <c r="WF67" s="463"/>
      <c r="WG67" s="463" t="str">
        <f t="shared" si="623"/>
        <v/>
      </c>
      <c r="WH67" s="522" t="str">
        <f>IF(A67=FALSE,"",IF(Cotations!$AQ$4="monthly",WG67/12*L67,WG67/365*M67))</f>
        <v/>
      </c>
      <c r="WI67" s="489" t="str">
        <f>IF(A67=FALSE,"",Cotations!$AR$4)</f>
        <v/>
      </c>
      <c r="WJ67" s="300" t="str">
        <f t="shared" si="624"/>
        <v/>
      </c>
      <c r="WK67" s="300" t="str">
        <f t="shared" si="625"/>
        <v/>
      </c>
      <c r="WL67" s="294" t="str">
        <f t="shared" si="626"/>
        <v/>
      </c>
      <c r="WM67" s="494" t="str">
        <f>IF(A67=FALSE,"",Cotations!$AS$4)</f>
        <v/>
      </c>
      <c r="WN67" s="494" t="str">
        <f>IF(A67=FALSE,"",Cotations!$AT$4)</f>
        <v/>
      </c>
      <c r="WO67" s="489" t="str">
        <f>IF(A67=FALSE,"",Cotations!$AU$4)</f>
        <v/>
      </c>
      <c r="WP67" s="494" t="str">
        <f>IF(A67=FALSE,"",IF(WM67="N/A",0,IF(INDEX(LISTES!$F$105:$F$109,MATCH(WM67,LISTES!$C$105:$C$109,0))="FIX",IF(INDEX(LISTES!$E$105:$E$109,MATCH(WM67,LISTES!$C$105:$C$109,0))=12,WN67/12*L67,WN67/365*M67),WO67*WL67)))</f>
        <v/>
      </c>
      <c r="WQ67" s="294" t="str">
        <f t="shared" si="627"/>
        <v/>
      </c>
      <c r="WR67" s="494" t="str">
        <f>IF(A67=FALSE,"",WQ67*Cotations!$AV$4)</f>
        <v/>
      </c>
      <c r="WS67" s="494" t="str">
        <f>IF(A67=FALSE,"",WQ67*Cotations!$AW$4)</f>
        <v/>
      </c>
      <c r="WT67" s="465" t="str">
        <f t="shared" si="628"/>
        <v/>
      </c>
      <c r="WU67" s="919" t="str">
        <f>IF(A67=FALSE,"",((WG67*TAXE)-(WG67*TAXE*WI67))+IF(WM67="N/A",0,IF(INDEX(LISTES!$F$105:$F$109,MATCH(WM67,LISTES!$C$105:$C$109,0))="FIX",WN67,WO67*WL67)))</f>
        <v/>
      </c>
    </row>
    <row r="68" spans="1:619">
      <c r="A68" s="942" t="b">
        <f t="shared" si="433"/>
        <v>0</v>
      </c>
      <c r="B68" s="942" t="b">
        <f>IF(NAMES!$B$9=TRUE,TRUE,FALSE)</f>
        <v>1</v>
      </c>
      <c r="C68" s="942" t="b">
        <f t="shared" si="413"/>
        <v>0</v>
      </c>
      <c r="D68" s="942" t="b">
        <f t="shared" si="414"/>
        <v>0</v>
      </c>
      <c r="E68" s="274" t="b">
        <f>IF(Cotations!C68="","",Cotations!C68)</f>
        <v>0</v>
      </c>
      <c r="F68" s="274" t="str">
        <f>IF(Cotations!D68="","",Cotations!D68)</f>
        <v>PROP</v>
      </c>
      <c r="G68" s="274" t="str">
        <f>IF(Cotations!E68="","",Cotations!E68)</f>
        <v>2016-2017!</v>
      </c>
      <c r="H68" s="274" t="str">
        <f>IF(Cotations!F68="","",Cotations!F68)</f>
        <v>SINGLE</v>
      </c>
      <c r="I68" s="274" t="str">
        <f>IF(Cotations!G68="","",Cotations!G68)</f>
        <v/>
      </c>
      <c r="J68" s="274" t="str">
        <f>IF(Cotations!H68="","",Cotations!H68)</f>
        <v/>
      </c>
      <c r="K68" s="274" t="str">
        <f>IF(Cotations!I68="","",Cotations!I68)</f>
        <v/>
      </c>
      <c r="L68" s="274" t="str">
        <f>IF(A68=FALSE,"",IF(Cotations!N68="","",Cotations!N68))</f>
        <v/>
      </c>
      <c r="M68" s="274" t="str">
        <f>IF(Cotations!P68="","",Cotations!P68)</f>
        <v/>
      </c>
      <c r="N68" s="724" t="str">
        <f>IF(NAMES!$B$10=TRUE,Cotations!J68,Cotations!L68)</f>
        <v/>
      </c>
      <c r="O68" s="724" t="str">
        <f>IF(NAMES!$B$10=TRUE,Cotations!K68,Cotations!M68)</f>
        <v/>
      </c>
      <c r="P68" s="943" t="str">
        <f t="shared" si="415"/>
        <v/>
      </c>
      <c r="Q68" s="724" t="str">
        <f>IF(A68=FALSE,"",IF(Crewlist!Y68="","",Crewlist!Y68))</f>
        <v/>
      </c>
      <c r="R68" s="78" t="str">
        <f>IF(Cotations!U68="","",Cotations!U68)</f>
        <v/>
      </c>
      <c r="S68" s="943" t="str">
        <f t="shared" si="416"/>
        <v/>
      </c>
      <c r="T68" s="919" t="str">
        <f>IF(A68=FALSE,"",VLOOKUP($U$15:$U$120,Currency!$A$2:$D$10,4,0)*Crewlist!N68)</f>
        <v/>
      </c>
      <c r="U68" s="1355" t="str">
        <f>IF(A68=FALSE,"",IF(IT68=0,Crewlist!M68&amp;"/"&amp;EX68,Crewlist!M68&amp;"/"&amp;IT68))</f>
        <v/>
      </c>
      <c r="V68" s="919" t="str">
        <f>IF(A68=FALSE,"",VLOOKUP($U$15:$U$120,Currency!$A$2:$D$10,4,0)*Detail!Q68)</f>
        <v/>
      </c>
      <c r="W68" s="1355" t="str">
        <f>IF(A68=FALSE,"",IF(IT68=0,Detail!R68&amp;"/"&amp;EX68,Detail!R68&amp;"/"&amp;IT68))</f>
        <v/>
      </c>
      <c r="X68" s="919" t="str">
        <f>IF(A68=FALSE,"",IF(LISTES!$C$17="Crewlist",Calcul!T68,Calcul!V68))</f>
        <v/>
      </c>
      <c r="Y68" s="758" t="str">
        <f t="shared" si="417"/>
        <v/>
      </c>
      <c r="Z68" s="758" t="str">
        <f>IF(A68=FALSE,"",IF(X68=0,0,IF((Cotations!BC68*12*X68)&lt;50000,50000,(12*X68))))</f>
        <v/>
      </c>
      <c r="AA68" s="758" t="str">
        <f t="shared" si="418"/>
        <v/>
      </c>
      <c r="AB68" s="758" t="str">
        <f>IF(A68=FALSE,"",IF(Crewlist!O68=0,"",Crewlist!O68))</f>
        <v/>
      </c>
      <c r="AC68" s="758" t="str">
        <f>IF(I68="","",VLOOKUP($AB$15:$AB$120,Currency!$A$15:$B$34,2,0))</f>
        <v/>
      </c>
      <c r="AD68" s="758" t="str">
        <f t="shared" si="419"/>
        <v/>
      </c>
      <c r="AE68" s="758" t="str">
        <f t="shared" si="420"/>
        <v/>
      </c>
      <c r="AF68" s="758" t="str">
        <f t="shared" si="421"/>
        <v/>
      </c>
      <c r="AG68" s="758" t="str">
        <f t="shared" si="422"/>
        <v/>
      </c>
      <c r="AH68" s="1355" t="str">
        <f t="shared" si="434"/>
        <v/>
      </c>
      <c r="AI68" s="919" t="str">
        <f t="shared" si="423"/>
        <v/>
      </c>
      <c r="AJ68" s="1382" t="str">
        <f t="shared" si="424"/>
        <v/>
      </c>
      <c r="AK68" s="1382" t="str">
        <f t="shared" si="425"/>
        <v/>
      </c>
      <c r="AL68" s="238" t="str">
        <f t="shared" si="435"/>
        <v/>
      </c>
      <c r="AM68" s="238" t="str">
        <f t="shared" si="436"/>
        <v/>
      </c>
      <c r="AN68" s="1374" t="str">
        <f t="shared" si="437"/>
        <v/>
      </c>
      <c r="AO68" s="238" t="str">
        <f t="shared" si="438"/>
        <v/>
      </c>
      <c r="AP68" s="342" t="str">
        <f>IF(A68=FALSE,"",INDEX(Rates!$Z$5:$Z$367,MATCH(EB68,colchoice,0)))</f>
        <v/>
      </c>
      <c r="AQ68" s="238" t="str">
        <f t="shared" si="439"/>
        <v/>
      </c>
      <c r="AR68" s="238" t="str">
        <f t="shared" si="440"/>
        <v/>
      </c>
      <c r="AS68" s="238" t="str">
        <f t="shared" si="441"/>
        <v/>
      </c>
      <c r="AT68" s="238" t="str">
        <f t="shared" si="442"/>
        <v/>
      </c>
      <c r="AU68" s="238" t="str">
        <f t="shared" si="443"/>
        <v/>
      </c>
      <c r="AV68" s="238" t="str">
        <f t="shared" si="429"/>
        <v/>
      </c>
      <c r="AW68" s="238" t="str">
        <f t="shared" si="444"/>
        <v/>
      </c>
      <c r="AX68" s="238" t="str">
        <f t="shared" si="445"/>
        <v/>
      </c>
      <c r="AY68" s="238" t="str">
        <f t="shared" si="446"/>
        <v/>
      </c>
      <c r="AZ68" s="238" t="str">
        <f t="shared" si="447"/>
        <v/>
      </c>
      <c r="BA68" s="238" t="str">
        <f t="shared" si="448"/>
        <v/>
      </c>
      <c r="BB68" s="552" t="str">
        <f t="shared" si="449"/>
        <v/>
      </c>
      <c r="BC68" s="347" t="str">
        <f t="shared" si="450"/>
        <v/>
      </c>
      <c r="BD68" s="239" t="str">
        <f t="shared" si="430"/>
        <v/>
      </c>
      <c r="BE68" s="239" t="str">
        <f>IF(A68=FALSE,"",IF(ALLTHESAME=TRUE,IF(DF68&lt;&gt;$BC$7,0,INDEX(DD68:DZ68,1,MATCH(Structure!$D$12,$DD$14:$DZ$14,0))),IF(EC68&lt;&gt;$BC$7,0,INDEX(EA68:EZ68,1,MATCH(Structure!$D$12,$EA$14:$EZ$14,0)))))</f>
        <v/>
      </c>
      <c r="BF68" s="239" t="str">
        <f>IF(A68=FALSE,"",IF(ALLTHESAME=TRUE,IF(FC68&lt;&gt;$BC$7,0,INDEX(FA68:FZ68,1,MATCH(Structure!$D$12,$FA$14:$FZ$14,0))),IF(GC68&lt;&gt;$BC$7,0,INDEX(GA68:GZ68,1,MATCH(Structure!$D$12,$GA$14:$GZ$14,0)))))</f>
        <v/>
      </c>
      <c r="BG68" s="239" t="str">
        <f>IF(A68=FALSE,"",IF(ALLTHESAME=TRUE,IF(VC68&lt;&gt;$BC$7,0,INDEX(VA68:VZ68,1,MATCH(Structure!$D$12,$VA$14:$VZ$14,0))),IF(VC68&lt;&gt;$BC$7,0,INDEX(VA68:VZ68,1,MATCH(Structure!$D$12,$VA$14:$VZ$14,0)))))</f>
        <v/>
      </c>
      <c r="BH68" s="239" t="str">
        <f>IF(A68=FALSE,"",IF(ALLTHESAME=TRUE,IF(WC68&lt;&gt;$BC$7,0,INDEX(WA68:WY68,1,MATCH(Structure!$D$12,$WA$14:$WZ$14,0))),IF(WC68&lt;&gt;$BC$7,0,INDEX(WA68:WZ68,1,MATCH(Structure!$D$12,$WA$14:$WZ$14,0)))))</f>
        <v/>
      </c>
      <c r="BI68" s="763" t="str">
        <f>IF(A68=FALSE,"",IF(ALLTHESAME=TRUE,IF(HC68&lt;&gt;$BC$7,0,INDEX(HA68:HZ68,1,MATCH(Structure!$D$12,$HA$14:$HZ$14,0)))+TK68,IF(IC68&lt;&gt;$BC$7,0,INDEX(IA68:IZ68,1,MATCH(Structure!$D$12,$IA$14:$IZ$14,0)))+TK68))</f>
        <v/>
      </c>
      <c r="BJ68" s="239" t="str">
        <f>IF(A68=FALSE,"",IF(ALLTHESAME=TRUE,IF(JC68&lt;&gt;$BC$7,0,INDEX(JA68:JZ68,1,MATCH(Structure!$D$12,$JA$14:$JZ$14,0))),IF(KC68&lt;&gt;$BC$7,0,INDEX(KA68:KZ68,1,MATCH(Structure!$D$12,$KA$14:$KZ$14,0)))))</f>
        <v/>
      </c>
      <c r="BK68" s="763" t="str">
        <f>IF(A68=FALSE,"",IF(ALLTHESAME=TRUE,IF(LC68&lt;&gt;$BC$7,0,INDEX(LA68:LZ68,1,MATCH(Structure!$D$12,$LA$14:$LZ$14,0)))+UK68,IF(MC68&lt;&gt;$BC$7,0,INDEX(MA68:MZ68,1,MATCH(Structure!$D$12,$MA$14:$MZ$14,0)))+UK68))</f>
        <v/>
      </c>
      <c r="BL68" s="239" t="str">
        <f>IF(A68=FALSE,"",IF(ALLTHESAME=TRUE,IF(NC68&lt;&gt;$BC$7,0,INDEX(NA68:NZ68,1,MATCH(Structure!$D$12,$NA$14:$NZ$14,0))),IF(OC68&lt;&gt;$BC$7,0,INDEX(OA68:OZ68,1,MATCH(Structure!$D$12,$OA$14:$OZ$14,0)))))</f>
        <v/>
      </c>
      <c r="BM68" s="239" t="str">
        <f>IF(A68=FALSE,"",IF(ALLTHESAME=TRUE,IF(PC68&lt;&gt;$BC$7,0,INDEX(PA68:PZ68,1,MATCH(Structure!$D$12,$PA$14:$PZ$14,0))),IF(QC68&lt;&gt;$BC$7,0,INDEX(QA68:QZ68,1,MATCH(Structure!$D$12,$QA$14:$QZ$14,0)))))</f>
        <v/>
      </c>
      <c r="BN68" s="341" t="str">
        <f>IF(A68=FALSE,"",IF(ALLTHESAME=TRUE,IF(RC68&lt;&gt;$BC$7,0,INDEX(RA68:RZ68,1,MATCH(Structure!$D$12,$RA$14:$RZ$14,0))),IF(SC68&lt;&gt;$BC$7,0,INDEX(SA68:TA68,1,MATCH(Structure!$D$12,$SA$14:$TA$14,0)))))</f>
        <v/>
      </c>
      <c r="BO68" s="507" t="str">
        <f t="shared" si="451"/>
        <v/>
      </c>
      <c r="BP68" s="239" t="str">
        <f t="shared" si="452"/>
        <v/>
      </c>
      <c r="BQ68" s="239" t="str">
        <f>IF(A68=FALSE,"",IF(ALLTHESAME=TRUE,IF(DF68&lt;&gt;$BO$7,0,INDEX(DD68:DZ68,1,MATCH(Structure!$D$12,$DD$14:$DZ$14,0))),IF(EC68&lt;&gt;$BO$7,0,INDEX(EA68:EZ68,1,MATCH(Structure!$D$12,$EA$14:$EZ$14,0)))))</f>
        <v/>
      </c>
      <c r="BR68" s="239" t="str">
        <f>IF(A68=FALSE,"",IF(ALLTHESAME=TRUE,IF(FC68&lt;&gt;$BO$7,0,INDEX(FA68:FZ68,1,MATCH(Structure!$D$12,$FA$14:$FZ$14,0))),IF(GC68&lt;&gt;$BO$7,0,INDEX(GA68:GZ68,1,MATCH(Structure!$D$12,$GA$14:$GZ$14,0)))))</f>
        <v/>
      </c>
      <c r="BS68" s="239" t="str">
        <f>IF(A68=FALSE,"",IF(ALLTHESAME=TRUE,IF(HC68&lt;&gt;$BO$7,0,INDEX(HA68:HZ68,1,MATCH(Structure!$D$12,$HA$14:$HZ$14,0))),IF(IC68&lt;&gt;$BO$7,0,INDEX(IA68:IZ68,1,MATCH(Structure!$D$12,$IA$14:$IZ$14,0)))))</f>
        <v/>
      </c>
      <c r="BT68" s="239" t="str">
        <f>IF(A68=FALSE,"",IF(ALLTHESAME=TRUE,IF(JC68&lt;&gt;$BO$7,0,INDEX(JA68:JZ68,1,MATCH(Structure!$D$12,$JA$14:$JZ$14,0))),IF(KC68&lt;&gt;$BO$7,0,INDEX(KA68:KZ68,1,MATCH(Structure!$D$12,$KA$14:$KZ$14,0)))))</f>
        <v/>
      </c>
      <c r="BU68" s="239" t="str">
        <f>IF(A68=FALSE,"",IF(ALLTHESAME=TRUE,IF(LC68&lt;&gt;$BO$7,0,INDEX(LA68:LZ68,1,MATCH(Structure!$D$12,$LA$14:$LZ$14,0))),IF(MC68&lt;&gt;$BO$7,0,INDEX(MA68:MZ68,1,MATCH(Structure!$D$12,$MA$14:$MZ$14,0)))))</f>
        <v/>
      </c>
      <c r="BV68" s="239" t="str">
        <f>IF(A68=FALSE,"",IF(ALLTHESAME=TRUE,IF(NC68&lt;&gt;$BO$7,0,INDEX(NA68:NZ68,1,MATCH(Structure!$D$12,$NA$14:$NZ$14,0))),IF(OC68&lt;&gt;$BO$7,0,INDEX(OA68:OZ68,1,MATCH(Structure!$D$12,$OA$14:$OZ$14,0)))))</f>
        <v/>
      </c>
      <c r="BW68" s="239" t="str">
        <f>IF(A68=FALSE,"",IF(ALLTHESAME=TRUE,IF(PC68&lt;&gt;$BO$7,0,INDEX(PA68:PZ68,1,MATCH(Structure!$D$12,$PA$14:$PZ$14,0))),IF(QC68&lt;&gt;$BO$7,0,INDEX(QA68:QZ68,1,MATCH(Structure!$D$12,$QA$14:$QZ$14,0)))))</f>
        <v/>
      </c>
      <c r="BX68" s="341" t="str">
        <f>IF(A68=FALSE,"",IF(ALLTHESAME=TRUE,IF(RC68&lt;&gt;$BO$7,0,INDEX(RA68:RZ68,1,MATCH(Structure!$D$12,$RA$14:$RZ$14,0))),IF(SC68&lt;&gt;$BO$7,0,INDEX(SA68:TA68,1,MATCH(Structure!$D$12,$SA$14:$TA$14,0)))))</f>
        <v/>
      </c>
      <c r="BY68" s="347" t="str">
        <f t="shared" si="453"/>
        <v/>
      </c>
      <c r="BZ68" s="507" t="str">
        <f t="shared" si="454"/>
        <v/>
      </c>
      <c r="CA68" s="239" t="str">
        <f t="shared" si="455"/>
        <v/>
      </c>
      <c r="CB68" s="239" t="str">
        <f>IF(A68=FALSE,"",IF(ALLTHESAME=TRUE,INDEX(DD68:DZ68,MATCH(DF68,DF68:DF173,0),MATCH(Structure!$D$17,$DD$14:$DZ$14,0)),INDEX(EA68:EZ68,MATCH(EC68,EC68:EC173,0),MATCH(Structure!$D$17,$EA$14:$EZ$14,0))))</f>
        <v/>
      </c>
      <c r="CC68" s="239" t="str">
        <f>IF(A68=FALSE,"",IF(ALLTHESAME=TRUE,INDEX(FA68:FZ68,MATCH(FC68,FC68:FC173,0),MATCH(Structure!$D$17,$FA$14:$FZ$14,0)),INDEX(GA68:GZ68,MATCH(GC68,GC68:GC173,0),MATCH(Structure!$D$17,$GA$14:$GZ$14,0))))</f>
        <v/>
      </c>
      <c r="CD68" s="239" t="str">
        <f>IF(A68=FALSE,"",IF(ALLTHESAME=TRUE,INDEX(HA68:HZ68,MATCH(HC68,HC68:HC173,0),MATCH(Structure!$D$17,$HA$14:$HZ$14,0)),INDEX(IA68:IZ68,MATCH(IC68,IC68:IC173,0),MATCH(Structure!$D$17,$IA$14:$IZ$14,0))))</f>
        <v/>
      </c>
      <c r="CE68" s="239" t="str">
        <f>IF(A68=FALSE,"",IF(ALLTHESAME=TRUE,INDEX(JA68:JZ68,MATCH(JC68,JC68:JC173,0),MATCH(Structure!$D$17,$JA$14:$JZ$14,0)),INDEX(KA68:KZ68,MATCH(KC68,KC68:KC173,0),MATCH(Structure!$D$17,$KA$14:$KZ$14,0))))</f>
        <v/>
      </c>
      <c r="CF68" s="239" t="str">
        <f>IF(A68=FALSE,"",IF(ALLTHESAME=TRUE,INDEX(LA68:LZ68,MATCH(LC68,LC68:LC173,0),MATCH(Structure!$D$17,$LA$14:$LZ$14,0)),INDEX(MA68:MZ68,MATCH(MC68,MC68:MC173,0),MATCH(Structure!$D$17,$MA$14:$MZ$14,0))))</f>
        <v/>
      </c>
      <c r="CG68" s="239" t="str">
        <f>IF(A68=FALSE,"",IF(ALLTHESAME=TRUE,INDEX(NA68:NZ68,MATCH(NC68,NC68:NC173,0),MATCH(Structure!$D$17,$NA$14:$NZ$14,0)),INDEX(OA68:OZ68,MATCH(OC68,OC68:OC173,0),MATCH(Structure!$D$17,$OA$14:$OZ$14,0))))</f>
        <v/>
      </c>
      <c r="CH68" s="239" t="str">
        <f>IF(A68=FALSE,"",IF(ALLTHESAME=TRUE,INDEX(PA68:PZ68,MATCH(PC68,PC68:PC173,0),MATCH(Structure!$D$17,$PA$14:$PZ$14,0)),INDEX(QA68:QZ68,MATCH(QC68,QC68:QC173,0),MATCH(Structure!$D$17,$QA$14:$QZ$14,0))))</f>
        <v/>
      </c>
      <c r="CI68" s="341" t="str">
        <f>IF(A68=FALSE,"",IF(ALLTHESAME=TRUE,INDEX(RA68:RZ68,MATCH(RC68,RC68:RC173,0),MATCH(Structure!$D$17,$RA$14:$RZ$14,0)),INDEX(SA68:TC68,MATCH(SC68,SC68:SC173,0),MATCH(Structure!$D$17,$SA$14:$TC$14,0))))</f>
        <v/>
      </c>
      <c r="CJ68" s="347"/>
      <c r="CK68" s="239" t="str">
        <f t="shared" si="456"/>
        <v/>
      </c>
      <c r="CL68" s="239" t="str">
        <f>IF(A68=FALSE,"",IF(ALLTHESAME=TRUE,INDEX(DD68:DZ68,MATCH(DF68,DF68:DF173,0),MATCH(Structure!$D$22,$DD$14:$DZ$14,0)),INDEX(EA68:EZ68,MATCH(EC68,EC68:EC173,0),MATCH(Structure!$D$22,$EA$14:$EZ$14,0))))</f>
        <v/>
      </c>
      <c r="CM68" s="239" t="str">
        <f>IF(A68=FALSE,"",IF(ALLTHESAME=TRUE,INDEX(FA68:FZ68,MATCH(FC68,FC68:FC173,0),MATCH(Structure!$D$22,$FA$14:$FZ$14,0)),INDEX(GA68:GZ68,MATCH(GC68,GC68:GC173,0),MATCH(Structure!$D$22,$GA$14:$GZ$14,0))))</f>
        <v/>
      </c>
      <c r="CN68" s="239" t="str">
        <f>IF(A68=FALSE,"",IF(ALLTHESAME=TRUE,INDEX(HA68:HZ68,MATCH(HC68,HC68:HC173,0),MATCH(Structure!$D$22,$HA$14:$HZ$14,0)),INDEX(IA68:IZ68,MATCH(IC68,IC68:IC173,0),MATCH(Structure!$D$22,$IA$14:$IZ$14,0))))</f>
        <v/>
      </c>
      <c r="CO68" s="239" t="str">
        <f>IF(A68=FALSE,"",IF(ALLTHESAME=TRUE,INDEX(JA68:JZ68,MATCH(JC68,JC68:JC173,0),MATCH(Structure!$D$22,$JA$14:$JZ$14,0)),INDEX(KA68:KZ68,MATCH(KC68,KC68:KC173,0),MATCH(Structure!$D$22,$KA$14:$KZ$14,0))))</f>
        <v/>
      </c>
      <c r="CP68" s="239" t="str">
        <f>IF(A68=FALSE,"",IF(ALLTHESAME=TRUE,INDEX(LA68:LZ68,MATCH(LC68,LC68:LC173,0),MATCH(Structure!$D$22,$LA$14:$LZ$14,0)),INDEX(MA68:MZ68,MATCH(MC68,MC68:MC173,0),MATCH(Structure!$D$22,$MA$14:$MZ$14,0))))</f>
        <v/>
      </c>
      <c r="CQ68" s="239" t="str">
        <f>IF(A68=FALSE,"",IF(ALLTHESAME=TRUE,INDEX(NA68:NZ68,MATCH(NC68,NC68:NC173,0),MATCH(Structure!$D$22,$NA$14:$NZ$14,0)),INDEX(OA68:OZ68,MATCH(OC68,OC68:OC173,0),MATCH(Structure!$D$22,$OA$14:$OZ$14,0))))</f>
        <v/>
      </c>
      <c r="CR68" s="239" t="str">
        <f>IF(A68=FALSE,"",IF(ALLTHESAME=TRUE,INDEX(PA68:PZ68,MATCH(PC68,PC68:PC173,0),MATCH(Structure!$D$22,$PA$14:$PZ$14,0)),INDEX(QA68:QZ68,MATCH(QC68,QC68:QC173,0),MATCH(Structure!$D$22,$QA$14:$QZ$14,0))))</f>
        <v/>
      </c>
      <c r="CS68" s="341" t="str">
        <f>IF(A68=FALSE,"",IF(ALLTHESAME=TRUE,INDEX(RA68:RZ68,MATCH(RC68,RC68:RC173,0),MATCH(Structure!$D$22,$RA$14:$RZ$14,0)),INDEX(SA68:TC68,MATCH(SC68,SC68:SC173,0),MATCH(Structure!$D$22,$SA$14:$TC$14,0))))</f>
        <v/>
      </c>
      <c r="CT68" s="347"/>
      <c r="CU68" s="239" t="str">
        <f t="shared" si="457"/>
        <v/>
      </c>
      <c r="CV68" s="239" t="str">
        <f>IF(A68=FALSE,"",IF(ALLTHESAME=TRUE,INDEX(DD68:DZ68,MATCH(DF68,DF68:DF173,0),MATCH(Structure!$D$8,$DD$14:$DZ$14,0)),INDEX(EA68:EZ68,MATCH(EC68,EC68:EC173,0),MATCH(Structure!$D$8,$EA$14:$EZ$14,0))))</f>
        <v/>
      </c>
      <c r="CW68" s="239" t="str">
        <f>IF(A68=FALSE,"",IF(ALLTHESAME=TRUE,INDEX(FA68:FZ68,MATCH(FC68,FC68:FC173,0),MATCH(Structure!$D$8,$FA$14:$FZ$14,0)),INDEX(GA68:GZ68,MATCH(GC68,GC68:GC173,0),MATCH(Structure!$D$8,$GA$14:$GZ$14,0))))</f>
        <v/>
      </c>
      <c r="CX68" s="239" t="str">
        <f>IF(A68=FALSE,"",IF(ALLTHESAME=TRUE,INDEX(HA68:HZ68,MATCH(HC68,HC68:HC173,0),MATCH(Structure!$D$8,$HA$14:$HZ$14,0)),INDEX(IA68:IZ68,MATCH(IC68,IC68:IC173,0),MATCH(Structure!$D$8,$IA$14:$IZ$14,0))))</f>
        <v/>
      </c>
      <c r="CY68" s="239" t="str">
        <f>IF(A68=FALSE,"",IF(ALLTHESAME=TRUE,INDEX(JA68:JZ68,MATCH(JC68,JC68:JC173,0),MATCH(Structure!$D$8,$JA$14:$JZ$14,0)),INDEX(KA68:KZ68,MATCH(KC68,KC68:KC173,0),MATCH(Structure!$D$8,$KA$14:$KZ$14,0))))</f>
        <v/>
      </c>
      <c r="CZ68" s="239" t="str">
        <f>IF(A68=FALSE,"",IF(ALLTHESAME=TRUE,INDEX(LA68:LZ68,MATCH(LC68,LC68:LC173,0),MATCH(Structure!$D$8,$LA$14:$LZ$14,0)),INDEX(MA68:MZ68,MATCH(MC68,MC68:MC173,0),MATCH(Structure!$D$8,$MA$14:$MZ$14,0))))</f>
        <v/>
      </c>
      <c r="DA68" s="239" t="str">
        <f>IF(A68=FALSE,"",IF(ALLTHESAME=TRUE,INDEX(NA68:NZ68,MATCH(NC68,NC68:NC173,0),MATCH(Structure!$D$8,$NA$14:$NZ$14,0)),INDEX(OA68:OZ68,MATCH(OC68,OC68:OC173,0),MATCH(Structure!$D$8,$OA$14:$OZ$14,0))))</f>
        <v/>
      </c>
      <c r="DB68" s="239" t="str">
        <f>IF(A68=FALSE,"",IF(ALLTHESAME=TRUE,INDEX(PA68:PZ68,MATCH(PC68,PC68:PC173,0),MATCH(Structure!$D$8,$PA$14:$PZ$14,0)),INDEX(QA68:QZ68,MATCH(QC68,QC68:QC173,0),MATCH(Structure!$D$8,$QA$14:$QZ$14,0))))</f>
        <v/>
      </c>
      <c r="DC68" s="341" t="str">
        <f>IF(A68=FALSE,"",IF(ALLTHESAME=TRUE,INDEX(RA68:RZ68,MATCH(RC68,RC68:RC173,0),MATCH(Structure!$D$8,$RA$14:$RZ$14,0)),INDEX(SA68:TC68,MATCH(SC68,SC68:SC173,0),MATCH(Structure!$D$8,$SA$14:$TC$14,0))))</f>
        <v/>
      </c>
      <c r="DD68" s="492" t="str">
        <f>IF(A68=FALSE,"",Cotations!D68)</f>
        <v/>
      </c>
      <c r="DE68" s="492" t="str">
        <f>IF(A68=FALSE,"",IF(LISTES!$A$17=1,Cotations!AF68,Cotations!$AG$4))</f>
        <v/>
      </c>
      <c r="DF68" s="291" t="str">
        <f t="shared" si="458"/>
        <v/>
      </c>
      <c r="DG68" s="291" t="str">
        <f t="shared" si="459"/>
        <v/>
      </c>
      <c r="DH68" s="291"/>
      <c r="DI68" s="463"/>
      <c r="DJ68" s="463" t="str">
        <f t="shared" si="460"/>
        <v/>
      </c>
      <c r="DK68" s="522" t="str">
        <f>IF(A68=FALSE,"",IF(Cotations!$AH$4="monthly",DJ68/12*L68,DJ68/365*M68))</f>
        <v/>
      </c>
      <c r="DL68" s="489" t="str">
        <f>IF(A68=FALSE,"",Cotations!$AI$4)</f>
        <v/>
      </c>
      <c r="DM68" s="300" t="str">
        <f t="shared" si="461"/>
        <v/>
      </c>
      <c r="DN68" s="300" t="str">
        <f t="shared" si="462"/>
        <v/>
      </c>
      <c r="DO68" s="294" t="str">
        <f t="shared" si="463"/>
        <v/>
      </c>
      <c r="DP68" s="494" t="str">
        <f>IF(A68=FALSE,"",Cotations!$AJ$4)</f>
        <v/>
      </c>
      <c r="DQ68" s="494" t="str">
        <f>IF(A68=FALSE,"",Cotations!$AK$4)</f>
        <v/>
      </c>
      <c r="DR68" s="489" t="str">
        <f>IF(A68=FALSE,"",Cotations!$AL$4)</f>
        <v/>
      </c>
      <c r="DS68" s="494" t="str">
        <f>IF(A68=FALSE,"",IF(DP68="N/A",0,IF(INDEX(LISTES!$F$105:$F$109,MATCH(DP68,LISTES!$C$105:$C$109,0))="FIX",IF(INDEX(LISTES!$E$105:$E$109,MATCH(DP68,LISTES!$C$105:$C$109,0))=12,DQ68/12*L68,DQ68/365*M68),DR68*DO68)))</f>
        <v/>
      </c>
      <c r="DT68" s="294" t="str">
        <f t="shared" si="464"/>
        <v/>
      </c>
      <c r="DU68" s="294" t="str">
        <f>IF(A68=FALSE,"",DT68*Cotations!$AM$4)</f>
        <v/>
      </c>
      <c r="DV68" s="294" t="str">
        <f>IF(A68=FALSE,"",DT68*Cotations!$AN$4)</f>
        <v/>
      </c>
      <c r="DW68" s="465" t="str">
        <f t="shared" si="465"/>
        <v/>
      </c>
      <c r="DX68" s="919" t="str">
        <f>IF(A68=FALSE,"",((DJ68*TAXE)-(DJ68*TAXE*DL68))+IF(DP68="N/A",0,IF(INDEX(LISTES!$F$105:$F$109,MATCH(DP68,LISTES!$C$105:$C$109,0))="FIX",DQ68,DR68*DO68)))</f>
        <v/>
      </c>
      <c r="DY68" s="466"/>
      <c r="DZ68" s="466"/>
      <c r="EA68" s="492" t="str">
        <f>IF(A68=FALSE,"",Cotations!D68)</f>
        <v/>
      </c>
      <c r="EB68" s="494" t="str">
        <f>IF(A68=FALSE,"",IF(LISTES!$A$17=1,Cotations!AF68,Cotations!AG68))</f>
        <v/>
      </c>
      <c r="EC68" s="284" t="str">
        <f t="shared" si="466"/>
        <v/>
      </c>
      <c r="ED68" s="284" t="str">
        <f t="shared" si="467"/>
        <v/>
      </c>
      <c r="EE68" s="284"/>
      <c r="EF68" s="284"/>
      <c r="EG68" s="284" t="str">
        <f t="shared" si="468"/>
        <v/>
      </c>
      <c r="EH68" s="1365" t="str">
        <f t="shared" si="469"/>
        <v/>
      </c>
      <c r="EI68" s="1365" t="str">
        <f t="shared" si="470"/>
        <v/>
      </c>
      <c r="EJ68" s="515" t="str">
        <f>IF(A68=FALSE,"",IF(Cotations!AH68="monthly",EG68/12*L68,EG68/365*M68))</f>
        <v/>
      </c>
      <c r="EK68" s="1364" t="str">
        <f>IF(A68=FALSE,"",IF(Cotations!AH68="monthly",EI68/12*L68,EI68/365*M68))</f>
        <v/>
      </c>
      <c r="EL68" s="493" t="str">
        <f>IF(A68=FALSE,"",IF(Cotations!AI68="","",Cotations!AI68))</f>
        <v/>
      </c>
      <c r="EM68" s="284" t="str">
        <f t="shared" si="471"/>
        <v/>
      </c>
      <c r="EN68" s="284" t="str">
        <f t="shared" si="472"/>
        <v/>
      </c>
      <c r="EO68" s="1365" t="str">
        <f t="shared" si="432"/>
        <v/>
      </c>
      <c r="EP68" s="284" t="str">
        <f t="shared" si="473"/>
        <v/>
      </c>
      <c r="EQ68" s="515" t="str">
        <f>IF(A68=FALSE,"",Cotations!AJ68)</f>
        <v/>
      </c>
      <c r="ER68" s="515" t="str">
        <f>IF(A68=FALSE,"",IF(Cotations!AK68="","",Cotations!AK68))</f>
        <v/>
      </c>
      <c r="ES68" s="493" t="str">
        <f>IF(A68=FALSE,"",Cotations!AL68)</f>
        <v/>
      </c>
      <c r="ET68" s="515" t="str">
        <f>IF(A68=FALSE,"",IF(EQ68="N/A",0,IF(INDEX(LISTES!$F$105:$F$109,MATCH(EQ68,LISTES!$C$105:$C$109,0))="FIX",IF(INDEX(LISTES!$E$105:$E$109,MATCH(EQ68,LISTES!$C$105:$C$109,0))=12,ER68/12*L68,ER68/365*M68),ES68*EP68)))</f>
        <v/>
      </c>
      <c r="EU68" s="294" t="str">
        <f t="shared" si="474"/>
        <v/>
      </c>
      <c r="EV68" s="494" t="str">
        <f>IF(A68=FALSE,"",EU68*Cotations!AM68)</f>
        <v/>
      </c>
      <c r="EW68" s="494" t="str">
        <f>IF(A68=FALSE,"",EU68*Cotations!AN68)</f>
        <v/>
      </c>
      <c r="EX68" s="334" t="str">
        <f t="shared" si="475"/>
        <v/>
      </c>
      <c r="EY68" s="919" t="str">
        <f>IF(A68=FALSE,"",((EG68*TAXE)-(EG68*TAXE*EL68)+EH68)+IF(EQ68="N/A",0,IF(INDEX(LISTES!$F$105:$F$109,MATCH(EQ68,LISTES!$C$105:$C$109,0))="FIX",ER68,ES68*EP68)))</f>
        <v/>
      </c>
      <c r="FA68" s="492" t="str">
        <f>IF(A68=FALSE,"",Cotations!D68)</f>
        <v/>
      </c>
      <c r="FB68" s="519" t="str">
        <f>IF(A68=FALSE,"",IF(LISTES!$A$17=1,Cotations!AO68,Cotations!$AP$4))</f>
        <v/>
      </c>
      <c r="FC68" s="291" t="str">
        <f t="shared" si="476"/>
        <v/>
      </c>
      <c r="FD68" s="291" t="str">
        <f t="shared" si="477"/>
        <v/>
      </c>
      <c r="FE68" s="291"/>
      <c r="FF68" s="463"/>
      <c r="FG68" s="463" t="str">
        <f t="shared" si="478"/>
        <v/>
      </c>
      <c r="FH68" s="522" t="str">
        <f>IF(A68=FALSE,"",IF(Cotations!$AQ$4="monthly",FG68/12*L68,FG68/365*M68))</f>
        <v/>
      </c>
      <c r="FI68" s="453" t="str">
        <f>IF(A68=FALSE,"",Cotations!$AR$4)</f>
        <v/>
      </c>
      <c r="FJ68" s="300" t="str">
        <f t="shared" si="479"/>
        <v/>
      </c>
      <c r="FK68" s="300" t="str">
        <f t="shared" si="480"/>
        <v/>
      </c>
      <c r="FL68" s="294" t="str">
        <f t="shared" si="481"/>
        <v/>
      </c>
      <c r="FM68" s="494" t="str">
        <f>IF(A68=FALSE,"",Cotations!$AS$4)</f>
        <v/>
      </c>
      <c r="FN68" s="494" t="str">
        <f>IF(A68=FALSE,"",Cotations!$AT$4)</f>
        <v/>
      </c>
      <c r="FO68" s="489" t="str">
        <f>IF(A68=FALSE,"",Cotations!$AU$4)</f>
        <v/>
      </c>
      <c r="FP68" s="494" t="str">
        <f>IF(A68=FALSE,"",IF(FM68="N/A",0,IF(INDEX(LISTES!$F$105:$F$109,MATCH(FM68,LISTES!$C$105:$C$109,0))="FIX",IF(INDEX(LISTES!$E$105:$E$109,MATCH(FM68,LISTES!$C$105:$C$109,0))=12,FN68/12*L68,FN68/365*M68),FO68*FL68)))</f>
        <v/>
      </c>
      <c r="FQ68" s="294" t="str">
        <f t="shared" si="482"/>
        <v/>
      </c>
      <c r="FR68" s="494" t="str">
        <f>IF(A68=FALSE,"",FQ68*Cotations!$AV$4)</f>
        <v/>
      </c>
      <c r="FS68" s="494" t="str">
        <f>IF(A68=FALSE,"",FQ68*Cotations!$AW$4)</f>
        <v/>
      </c>
      <c r="FT68" s="465" t="str">
        <f t="shared" si="483"/>
        <v/>
      </c>
      <c r="FU68" s="919" t="str">
        <f>IF(A68=FALSE,"",((FG68*TAXE)-(FG68*TAXE*FI68))+IF(FM68="N/A",0,IF(INDEX(LISTES!$F$105:$F$109,MATCH(FM68,LISTES!$C$105:$C$109,0))="FIX",FN68,FO68*FL68)))</f>
        <v/>
      </c>
      <c r="FV68" s="478"/>
      <c r="FW68" s="478"/>
      <c r="FX68" s="478"/>
      <c r="FY68" s="478"/>
      <c r="FZ68" s="478"/>
      <c r="GA68" s="492" t="str">
        <f>IF(A68=FALSE,"",Cotations!D68)</f>
        <v/>
      </c>
      <c r="GB68" s="494" t="str">
        <f>IF(A68=FALSE,"",IF(LISTES!$A$17=1,Cotations!AO68,Cotations!AP68))</f>
        <v/>
      </c>
      <c r="GC68" s="284" t="str">
        <f t="shared" si="484"/>
        <v/>
      </c>
      <c r="GD68" s="515" t="str">
        <f>IF(A68=FALSE,"",IF(Detail!AM68="","",Detail!AM68))</f>
        <v/>
      </c>
      <c r="GE68" s="284"/>
      <c r="GF68" s="284"/>
      <c r="GG68" s="284" t="str">
        <f t="shared" si="485"/>
        <v/>
      </c>
      <c r="GH68" s="515" t="str">
        <f>IF(A68=FALSE,"",IF(Cotations!AQ68="monthly",GG68/12*L68,GG68/365*M68))</f>
        <v/>
      </c>
      <c r="GI68" s="493" t="str">
        <f>IF(A68=FALSE,"",IF(Cotations!AR68="","",Cotations!AR68))</f>
        <v/>
      </c>
      <c r="GJ68" s="284" t="str">
        <f t="shared" si="486"/>
        <v/>
      </c>
      <c r="GK68" s="284" t="str">
        <f t="shared" si="487"/>
        <v/>
      </c>
      <c r="GL68" s="284" t="str">
        <f t="shared" si="488"/>
        <v/>
      </c>
      <c r="GM68" s="515" t="str">
        <f>IF(A68=FALSE,"",Cotations!AS68)</f>
        <v/>
      </c>
      <c r="GN68" s="515" t="str">
        <f>IF(A68=FALSE,"",Cotations!AT68)</f>
        <v/>
      </c>
      <c r="GO68" s="493" t="str">
        <f>IF(A68=FALSE,"",Cotations!AU68)</f>
        <v/>
      </c>
      <c r="GP68" s="515" t="str">
        <f>IF(A68=FALSE,"",IF(GM68="N/A",0,IF(INDEX(LISTES!$F$105:$F$109,MATCH(GM68,LISTES!$C$105:$C$109,0))="FIX",IF(INDEX(LISTES!$E$105:$E$109,MATCH(GM68,LISTES!$C$105:$C$109,0))=12,GN68/12*L68,GN68/365*M68),GO68*GL68)))</f>
        <v/>
      </c>
      <c r="GQ68" s="294" t="str">
        <f t="shared" si="489"/>
        <v/>
      </c>
      <c r="GR68" s="494" t="str">
        <f>IF(A68=FALSE,"",GQ68*Cotations!AV68)</f>
        <v/>
      </c>
      <c r="GS68" s="494" t="str">
        <f>IF(A68=FALSE,"",GQ68*Cotations!AW68)</f>
        <v/>
      </c>
      <c r="GT68" s="334" t="str">
        <f t="shared" si="490"/>
        <v/>
      </c>
      <c r="GU68" s="919" t="str">
        <f>IF(A68=FALSE,"",((GG68*TAXE)-(GG68*TAXE*GI68))+IF(GM68="N/A",0,IF(INDEX(LISTES!$F$105:$F$109,MATCH(GM68,LISTES!$C$105:$C$109,0))="FIX",GN68,GO68*GL68)))</f>
        <v/>
      </c>
      <c r="GV68" s="478"/>
      <c r="GW68" s="466"/>
      <c r="GX68" s="466"/>
      <c r="GY68" s="466"/>
      <c r="GZ68" s="466"/>
      <c r="HA68" s="492" t="str">
        <f>IF(A68=FALSE,"",Cotations!D68)</f>
        <v/>
      </c>
      <c r="HB68" s="495" t="str">
        <f>IF(A68=FALSE,"",IF(LISTES!$A$17=1,Cotations!AX68,Cotations!$AY$4))</f>
        <v/>
      </c>
      <c r="HC68" s="291" t="str">
        <f t="shared" si="491"/>
        <v/>
      </c>
      <c r="HD68" s="291" t="str">
        <f t="shared" si="492"/>
        <v/>
      </c>
      <c r="HE68" s="456" t="str">
        <f t="shared" si="493"/>
        <v/>
      </c>
      <c r="HF68" s="496" t="str">
        <f>IF(A68=FALSE,"",IF(HA68="POEA",Cotations!BA68,IF(HA68="FIXE",Cotations!$BA$4,Cotations!$BC$4*Y68)))</f>
        <v/>
      </c>
      <c r="HG68" s="300" t="str">
        <f t="shared" si="494"/>
        <v/>
      </c>
      <c r="HH68" s="522" t="str">
        <f>IF(A68=FALSE,"",IF(Cotations!$AZ$4="monthly",HG68/12*L68,HG68/365*M68))</f>
        <v/>
      </c>
      <c r="HI68" s="489" t="str">
        <f>IF(A68=FALSE,"",Cotations!$BD$4)</f>
        <v/>
      </c>
      <c r="HJ68" s="300" t="str">
        <f t="shared" si="495"/>
        <v/>
      </c>
      <c r="HK68" s="300" t="str">
        <f t="shared" si="496"/>
        <v/>
      </c>
      <c r="HL68" s="294" t="str">
        <f t="shared" si="497"/>
        <v/>
      </c>
      <c r="HM68" s="494" t="str">
        <f>IF(A68=FALSE,"",Cotations!$BE$4)</f>
        <v/>
      </c>
      <c r="HN68" s="522" t="str">
        <f>IF(A68=FALSE,"",Cotations!$BF$4)</f>
        <v/>
      </c>
      <c r="HO68" s="489" t="str">
        <f>IF(A68=FALSE,"",Cotations!$BG$4)</f>
        <v/>
      </c>
      <c r="HP68" s="494" t="str">
        <f>IF(A68=FALSE,"",IF(HM68="N/A",0,IF(INDEX(LISTES!$F$105:$F$109,MATCH(HM68,LISTES!$C$105:$C$109,0))="FIX",IF(INDEX(LISTES!$E$105:$E$109,MATCH(HM68,LISTES!$C$105:$C$109,0))=12,HN68/12*L68,HN68/365*M68),HO68*HL68)))</f>
        <v/>
      </c>
      <c r="HQ68" s="294" t="str">
        <f t="shared" si="498"/>
        <v/>
      </c>
      <c r="HR68" s="494" t="str">
        <f>IF(A68=FALSE,"",HQ68*Cotations!$BH$4)</f>
        <v/>
      </c>
      <c r="HS68" s="494" t="str">
        <f>IF(A68=FALSE,"",HQ68*Cotations!$BI$4)</f>
        <v/>
      </c>
      <c r="HT68" s="294" t="str">
        <f t="shared" si="499"/>
        <v/>
      </c>
      <c r="HU68" s="919" t="str">
        <f>IF(A68=FALSE,"",((HG68*TAXE)-(HG68*TAXE*HI68))+IF(HM68="N/A",0,IF(INDEX(LISTES!$F$105:$F$109,MATCH(HM68,LISTES!$C$105:$C$109,0))="FIX",HN68,HO68*HL68)))</f>
        <v/>
      </c>
      <c r="IA68" s="492" t="str">
        <f>IF(A68=FALSE,"",Cotations!D68)</f>
        <v/>
      </c>
      <c r="IB68" s="491" t="str">
        <f>IF(A68=FALSE,"",IF(LISTES!$A$17=1,Cotations!AX68,Cotations!AY68))</f>
        <v/>
      </c>
      <c r="IC68" s="285" t="str">
        <f t="shared" si="500"/>
        <v/>
      </c>
      <c r="ID68" s="300" t="str">
        <f>IF(A68=FALSE,"",IF(LISTES!$A$17=3,Detail!AU68,lig1_Formula_PREVOY))</f>
        <v/>
      </c>
      <c r="IE68" s="461" t="str">
        <f t="shared" si="501"/>
        <v/>
      </c>
      <c r="IF68" s="490" t="str">
        <f>IF(A68=FALSE,"",IF(IA68="POEA",Cotations!BA68,IF(HA68="FIXE",Cotations!BB68,IF(Cotations!BC68*Y68&lt;50000,Z68,Cotations!BC68*Y68))))</f>
        <v/>
      </c>
      <c r="IG68" s="300" t="str">
        <f t="shared" si="502"/>
        <v/>
      </c>
      <c r="IH68" s="522" t="str">
        <f>IF(A68=FALSE,"",IF(Cotations!AZ68="monthly",IG68/12*L68,IG68/365*M68))</f>
        <v/>
      </c>
      <c r="II68" s="489" t="str">
        <f>IF(A68=FALSE,"",IF(Cotations!BD68="","",Cotations!BD68))</f>
        <v/>
      </c>
      <c r="IJ68" s="300" t="str">
        <f t="shared" si="503"/>
        <v/>
      </c>
      <c r="IK68" s="300" t="str">
        <f t="shared" si="504"/>
        <v/>
      </c>
      <c r="IL68" s="919" t="str">
        <f t="shared" si="505"/>
        <v/>
      </c>
      <c r="IM68" s="517" t="str">
        <f>IF(A68=FALSE,"",Cotations!BE68)</f>
        <v/>
      </c>
      <c r="IN68" s="517" t="str">
        <f>IF(A68=FALSE,"",Cotations!BF68)</f>
        <v/>
      </c>
      <c r="IO68" s="493" t="str">
        <f>IF(A68=FALSE,"",Cotations!BG68)</f>
        <v/>
      </c>
      <c r="IP68" s="517" t="str">
        <f>IF(A68=FALSE,"",IF(IM68="N/A",0,IF(INDEX(LISTES!$F$105:$F$109,MATCH(IM68,LISTES!$C$105:$C$109,0))="FIX",IF(INDEX(LISTES!$E$105:$E$109,MATCH(IM68,LISTES!$C$105:$C$109,0))=12,IN68/12*L68,IN68/365*M68),IO68*IL68)))</f>
        <v/>
      </c>
      <c r="IQ68" s="294" t="str">
        <f t="shared" si="506"/>
        <v/>
      </c>
      <c r="IR68" s="494" t="str">
        <f>IF(A68=FALSE,"",IQ68*Cotations!BH68)</f>
        <v/>
      </c>
      <c r="IS68" s="494" t="str">
        <f>IF(A68=FALSE,"",IQ68*Cotations!BI68)</f>
        <v/>
      </c>
      <c r="IT68" s="338" t="str">
        <f t="shared" si="507"/>
        <v/>
      </c>
      <c r="IU68" s="919" t="str">
        <f>IF(A68=FALSE,"",((IG68*TAXE)-(IG68*TAXE*II68))+IF(IM68="N/A",0,IF(INDEX(LISTES!$F$105:$F$109,MATCH(IM68,LISTES!$C$105:$C$109,0))="FIX",IN68,IO68*IL68)))</f>
        <v/>
      </c>
      <c r="JA68" s="492" t="str">
        <f>IF(A68=FALSE,"",Cotations!D68)</f>
        <v/>
      </c>
      <c r="JB68" s="495" t="str">
        <f>IF(A68=FALSE,"",IF(LISTES!$A$17=1,Cotations!BJ68,Cotations!$BK$4))</f>
        <v/>
      </c>
      <c r="JC68" s="291" t="str">
        <f t="shared" si="508"/>
        <v/>
      </c>
      <c r="JD68" s="291" t="str">
        <f t="shared" si="509"/>
        <v/>
      </c>
      <c r="JE68" s="456" t="str">
        <f t="shared" si="510"/>
        <v/>
      </c>
      <c r="JF68" s="496" t="str">
        <f>IF(A68=FALSE,"",IF(JA68="POEA",Cotations!BM68,IF(JA68="FIXE",Cotations!$BM$4,Cotations!$BO$4*Y68)))</f>
        <v/>
      </c>
      <c r="JG68" s="300" t="str">
        <f t="shared" si="511"/>
        <v/>
      </c>
      <c r="JH68" s="522" t="str">
        <f>IF(A68=FALSE,"",IF(Cotations!$BL$4="monthly",JG68/12*L68,JG68/365*M68))</f>
        <v/>
      </c>
      <c r="JI68" s="489" t="str">
        <f>IF(A68=FALSE,"",Cotations!$BP$4)</f>
        <v/>
      </c>
      <c r="JJ68" s="300" t="str">
        <f t="shared" si="512"/>
        <v/>
      </c>
      <c r="JK68" s="300" t="str">
        <f t="shared" si="513"/>
        <v/>
      </c>
      <c r="JL68" s="294" t="str">
        <f t="shared" si="514"/>
        <v/>
      </c>
      <c r="JM68" s="494" t="str">
        <f>IF(A68=FALSE,"",Cotations!$BQ$4)</f>
        <v/>
      </c>
      <c r="JN68" s="522" t="str">
        <f>IF(A68=FALSE,"",Cotations!$BR$4)</f>
        <v/>
      </c>
      <c r="JO68" s="489" t="str">
        <f>IF(A68=FALSE,"",Cotations!$BS$4)</f>
        <v/>
      </c>
      <c r="JP68" s="494" t="str">
        <f>IF(A68=FALSE,"",IF(JM68="N/A",0,IF(INDEX(LISTES!$F$105:$F$109,MATCH(JM68,LISTES!$C$105:$C$109,0))="FIX",IF(INDEX(LISTES!$E$105:$E$109,MATCH(JM68,LISTES!$C$105:$C$109,0))=12,JN68/12*L68,JN68/365*M68),JO68*JL68)))</f>
        <v/>
      </c>
      <c r="JQ68" s="294" t="str">
        <f t="shared" si="515"/>
        <v/>
      </c>
      <c r="JR68" s="494" t="str">
        <f>IF(A68=FALSE,"",JQ68*Cotations!$BT$4)</f>
        <v/>
      </c>
      <c r="JS68" s="494" t="str">
        <f>IF(A68=FALSE,"",JQ68*Cotations!$BU$4)</f>
        <v/>
      </c>
      <c r="JT68" s="294" t="str">
        <f t="shared" si="516"/>
        <v/>
      </c>
      <c r="JU68" s="919" t="str">
        <f>IF(A68=FALSE,"",((JG68*TAXE)-(JG68*TAXE*JI68))+IF(JM68="N/A",0,IF(INDEX(LISTES!$F$105:$F$109,MATCH(JM68,LISTES!$C$105:$C$109,0))="FIX",JN68,JO68*JL68)))</f>
        <v/>
      </c>
      <c r="KA68" s="492" t="str">
        <f>IF(A68=FALSE,"",Cotations!D68)</f>
        <v/>
      </c>
      <c r="KB68" s="491" t="str">
        <f>IF(A68=FALSE,"",IF(LISTES!$A$17=1,Cotations!BJ68,Cotations!BK68))</f>
        <v/>
      </c>
      <c r="KC68" s="285" t="str">
        <f t="shared" si="517"/>
        <v/>
      </c>
      <c r="KD68" s="300"/>
      <c r="KE68" s="461" t="str">
        <f t="shared" si="518"/>
        <v/>
      </c>
      <c r="KF68" s="490" t="str">
        <f>IF(A68=FALSE,"",IF(KA68="POEA",Cotations!BM68,IF(KA68="FIXE",Cotations!BN68,IF(Cotations!BO68*Y68&lt;50000,Z68,Cotations!BO68*Y68))))</f>
        <v/>
      </c>
      <c r="KG68" s="300" t="str">
        <f t="shared" si="519"/>
        <v/>
      </c>
      <c r="KH68" s="522" t="str">
        <f>IF(A68=FALSE,"",IF(Cotations!BL68="monthly",KG68/12*L68,KG68/365*M68))</f>
        <v/>
      </c>
      <c r="KI68" s="489" t="str">
        <f>IF(A68=FALSE,"",IF(Cotations!BP68="","",Cotations!BP68))</f>
        <v/>
      </c>
      <c r="KJ68" s="300" t="str">
        <f t="shared" si="520"/>
        <v/>
      </c>
      <c r="KK68" s="300" t="str">
        <f t="shared" si="521"/>
        <v/>
      </c>
      <c r="KL68" s="919" t="str">
        <f t="shared" si="522"/>
        <v/>
      </c>
      <c r="KM68" s="517" t="str">
        <f>IF(A68=FALSE,"",Cotations!BQ68)</f>
        <v/>
      </c>
      <c r="KN68" s="515" t="str">
        <f>IF(A68=FALSE,"",Cotations!BR68)</f>
        <v/>
      </c>
      <c r="KO68" s="493" t="str">
        <f>IF(A68=FALSE,"",Cotations!BS68)</f>
        <v/>
      </c>
      <c r="KP68" s="517" t="str">
        <f>IF(A68=FALSE,"",IF(KM68="N/A",0,IF(INDEX(LISTES!$F$105:$F$109,MATCH(KM68,LISTES!$C$105:$C$109,0))="FIX",IF(INDEX(LISTES!$E$105:$E$109,MATCH(KM68,LISTES!$C$105:$C$109,0))=12,KN68/12*L68,KN68/365*M68),KO68*KL68)))</f>
        <v/>
      </c>
      <c r="KQ68" s="294" t="str">
        <f t="shared" si="523"/>
        <v/>
      </c>
      <c r="KR68" s="494" t="str">
        <f>IF(A68=FALSE,"",KQ68*Cotations!BT68)</f>
        <v/>
      </c>
      <c r="KS68" s="494" t="str">
        <f>IF(A68=FALSE,"",KQ68*Cotations!BU68)</f>
        <v/>
      </c>
      <c r="KT68" s="338" t="str">
        <f t="shared" si="524"/>
        <v/>
      </c>
      <c r="KU68" s="919" t="str">
        <f>IF(A68=FALSE,"",((KG68*TAXE)-(KG68*TAXE*KI68))+IF(KM68="N/A",0,IF(INDEX(LISTES!$F$105:$F$109,MATCH(KM68,LISTES!$C$105:$C$109,0))="FIX",KN68,KO68*KL68)))</f>
        <v/>
      </c>
      <c r="LA68" s="497" t="str">
        <f>IF(A68=FALSE,"",Cotations!D68)</f>
        <v/>
      </c>
      <c r="LB68" s="498" t="str">
        <f>IF(A68=FALSE,"",IF(LISTES!$A$17=1,Cotations!BV68,Cotations!$BW$4))</f>
        <v/>
      </c>
      <c r="LC68" s="499" t="str">
        <f t="shared" si="525"/>
        <v/>
      </c>
      <c r="LD68" s="499" t="str">
        <f t="shared" si="526"/>
        <v/>
      </c>
      <c r="LE68" s="500" t="str">
        <f t="shared" si="527"/>
        <v/>
      </c>
      <c r="LF68" s="501" t="str">
        <f>IF(A68=FALSE,"",IF(LA68="POEA",Cotations!EJ68,IF(LA68="FIXE",Cotations!$BY$4,Cotations!$CA$4*Y68)))</f>
        <v/>
      </c>
      <c r="LG68" s="502" t="str">
        <f t="shared" si="528"/>
        <v/>
      </c>
      <c r="LH68" s="520" t="str">
        <f>IF(A68=FALSE,"",IF(Cotations!$BX$4="monthly",LG68/12*L68,LG68/365*M68))</f>
        <v/>
      </c>
      <c r="LI68" s="503" t="str">
        <f>IF(A68=FALSE,"",Cotations!$CB$4)</f>
        <v/>
      </c>
      <c r="LJ68" s="502" t="str">
        <f t="shared" si="529"/>
        <v/>
      </c>
      <c r="LK68" s="502" t="str">
        <f t="shared" si="530"/>
        <v/>
      </c>
      <c r="LL68" s="504" t="str">
        <f t="shared" si="531"/>
        <v/>
      </c>
      <c r="LM68" s="505" t="str">
        <f>IF(A68=FALSE,"",Cotations!$CC$4)</f>
        <v/>
      </c>
      <c r="LN68" s="503" t="str">
        <f>IF(A68=FALSE,"",Cotations!$CD$4)</f>
        <v/>
      </c>
      <c r="LO68" s="503" t="str">
        <f>IF(A68=FALSE,"",Cotations!$CE$4)</f>
        <v/>
      </c>
      <c r="LP68" s="505" t="str">
        <f>IF(A68=FALSE,"",IF(LM68="N/A",0,IF(INDEX(LISTES!$F$105:$F$109,MATCH(LM68,LISTES!$C$105:$C$109,0))="FIX",IF(INDEX(LISTES!$E$105:$E$109,MATCH(LM68,LISTES!$C$105:$C$109,0))=12,LN68/12*L68,LN68/365*M68),LO68*LL68)))</f>
        <v/>
      </c>
      <c r="LQ68" s="504" t="str">
        <f t="shared" si="532"/>
        <v/>
      </c>
      <c r="LR68" s="505" t="str">
        <f>IF(A68=FALSE,"",LQ68*Cotations!$CF$4)</f>
        <v/>
      </c>
      <c r="LS68" s="505" t="str">
        <f>IF(A68=FALSE,"",LQ68*Cotations!$CG$4)</f>
        <v/>
      </c>
      <c r="LT68" s="506" t="str">
        <f t="shared" si="533"/>
        <v/>
      </c>
      <c r="LU68" s="919" t="str">
        <f>IF(A68=FALSE,"",((LG68*TAXE)-(LG68*TAXE*LI68))+IF(LM68="N/A",0,IF(INDEX(LISTES!$F$105:$F$109,MATCH(LM68,LISTES!$C$105:$C$109,0))="FIX",LN68,LO68*LL68)))</f>
        <v/>
      </c>
      <c r="MA68" s="492" t="str">
        <f>IF(A68=FALSE,"",Cotations!D68)</f>
        <v/>
      </c>
      <c r="MB68" s="491" t="str">
        <f>IF(A68=FALSE,"",IF(LISTES!$A$17=1,Cotations!BV68,Cotations!BW68))</f>
        <v/>
      </c>
      <c r="MC68" s="285" t="str">
        <f t="shared" si="534"/>
        <v/>
      </c>
      <c r="MD68" s="300"/>
      <c r="ME68" s="461" t="str">
        <f t="shared" si="535"/>
        <v/>
      </c>
      <c r="MF68" s="490" t="str">
        <f>IF(A68=FALSE,"",IF(MA68="POEA",Cotations!BY68,IF(MA68="FIXE",Cotations!BZ68,IF(Cotations!CA68*Y68&lt;50000,Z68,Cotations!CA68*Y68))))</f>
        <v/>
      </c>
      <c r="MG68" s="300" t="str">
        <f t="shared" si="536"/>
        <v/>
      </c>
      <c r="MH68" s="522" t="str">
        <f>IF(A68=FALSE,"",IF(Cotations!BX68="monthly",MG68/12*L68,MG68/365*M68))</f>
        <v/>
      </c>
      <c r="MI68" s="489" t="str">
        <f>IF(A68=FALSE,"",IF(Cotations!CB68="","",Cotations!CB68))</f>
        <v/>
      </c>
      <c r="MJ68" s="300" t="str">
        <f t="shared" si="537"/>
        <v/>
      </c>
      <c r="MK68" s="300" t="str">
        <f t="shared" si="538"/>
        <v/>
      </c>
      <c r="ML68" s="919" t="str">
        <f t="shared" si="539"/>
        <v/>
      </c>
      <c r="MM68" s="517" t="str">
        <f>IF(A68=FALSE,"",Cotations!CC68)</f>
        <v/>
      </c>
      <c r="MN68" s="515" t="str">
        <f>IF(A68=FALSE,"",Cotations!CD68)</f>
        <v/>
      </c>
      <c r="MO68" s="493" t="str">
        <f>IF(A68=FALSE,"",Cotations!CE68)</f>
        <v/>
      </c>
      <c r="MP68" s="517" t="str">
        <f>IF(A68=FALSE,"",IF(MM68="N/A",0,IF(INDEX(LISTES!$F$105:$F$109,MATCH(MM68,LISTES!$C$105:$C$109,0))="FIX",IF(INDEX(LISTES!$E$105:$E$109,MATCH(MM68,LISTES!$C$105:$C$109,0))=12,MN68/12*L68,MN68/365*M68),MO68*ML68)))</f>
        <v/>
      </c>
      <c r="MQ68" s="294" t="str">
        <f t="shared" si="540"/>
        <v/>
      </c>
      <c r="MR68" s="494" t="str">
        <f>IF(A68=FALSE,"",MQ68*Cotations!CF68)</f>
        <v/>
      </c>
      <c r="MS68" s="494" t="str">
        <f>IF(A68=FALSE,"",MQ68*Cotations!CG68)</f>
        <v/>
      </c>
      <c r="MT68" s="338" t="str">
        <f t="shared" si="541"/>
        <v/>
      </c>
      <c r="MU68" s="919" t="str">
        <f>IF(A68=FALSE,"",((MG68*TAXE)-(MG68*TAXE*MI68))+IF(MM68="N/A",0,IF(INDEX(LISTES!$F$105:$F$109,MATCH(MM68,LISTES!$C$105:$C$109,0))="FIX",MN68,MO68*ML68)))</f>
        <v/>
      </c>
      <c r="NA68" s="497" t="str">
        <f>IF(A68=FALSE,"",Cotations!D68)</f>
        <v/>
      </c>
      <c r="NB68" s="498" t="str">
        <f>IF(A68=FALSE,"",IF(LISTES!$A$17=1,Cotations!CH68,Cotations!$CI$4))</f>
        <v/>
      </c>
      <c r="NC68" s="499" t="str">
        <f t="shared" si="542"/>
        <v/>
      </c>
      <c r="ND68" s="499" t="str">
        <f t="shared" si="543"/>
        <v/>
      </c>
      <c r="NE68" s="500" t="str">
        <f t="shared" si="544"/>
        <v/>
      </c>
      <c r="NF68" s="501" t="str">
        <f>IF(A68=FALSE,"",IF(NA68="POEA",Cotations!CK68,IF(NA68="FIXE",Cotations!$CK$4,Cotations!$CM$4*Y68)))</f>
        <v/>
      </c>
      <c r="NG68" s="502" t="str">
        <f t="shared" si="545"/>
        <v/>
      </c>
      <c r="NH68" s="520" t="str">
        <f>IF(A68=FALSE,"",IF(Cotations!$CJ$4="monthly",NG68/12*L68,NG68/365*M68))</f>
        <v/>
      </c>
      <c r="NI68" s="503" t="str">
        <f>IF(A68=FALSE,"",Cotations!$CN$4)</f>
        <v/>
      </c>
      <c r="NJ68" s="502" t="str">
        <f t="shared" si="546"/>
        <v/>
      </c>
      <c r="NK68" s="502" t="str">
        <f t="shared" si="547"/>
        <v/>
      </c>
      <c r="NL68" s="504" t="str">
        <f t="shared" si="548"/>
        <v/>
      </c>
      <c r="NM68" s="505" t="str">
        <f>IF(A68=FALSE,"",Cotations!$CO$4)</f>
        <v/>
      </c>
      <c r="NN68" s="520" t="str">
        <f>IF(A68=FALSE,"",Cotations!$CP$4)</f>
        <v/>
      </c>
      <c r="NO68" s="503" t="str">
        <f>IF(A68=FALSE,"",Cotations!$CQ$4)</f>
        <v/>
      </c>
      <c r="NP68" s="505" t="str">
        <f>IF(A68=FALSE,"",IF(NM68="N/A",0,IF(INDEX(LISTES!$F$105:$F$109,MATCH(NM68,LISTES!$C$105:$C$109,0))="FIX",IF(INDEX(LISTES!$E$105:$E$109,MATCH(NM68,LISTES!$C$105:$C$109,0))=12,NN68/12*L68,NN68/365*M68),NO68*NL68)))</f>
        <v/>
      </c>
      <c r="NQ68" s="504" t="str">
        <f t="shared" si="549"/>
        <v/>
      </c>
      <c r="NR68" s="505" t="str">
        <f>IF(A68=FALSE,"",NQ68*Cotations!$CR$4)</f>
        <v/>
      </c>
      <c r="NS68" s="505" t="str">
        <f>IF(A68=FALSE,"",NQ68*Cotations!$CS$4)</f>
        <v/>
      </c>
      <c r="NT68" s="506" t="str">
        <f t="shared" si="550"/>
        <v/>
      </c>
      <c r="NU68" s="919" t="str">
        <f>IF(A68=FALSE,"",((NG68*TAXE)-(NG68*TAXE*NI68))+IF(NM68="N/A",0,IF(INDEX(LISTES!$F$105:$F$109,MATCH(NM68,LISTES!$C$105:$C$109,0))="FIX",NN68,NO68*NL68)))</f>
        <v/>
      </c>
      <c r="OA68" s="492" t="str">
        <f>IF(A68=FALSE,"",Cotations!D68)</f>
        <v/>
      </c>
      <c r="OB68" s="491" t="str">
        <f>IF(A68=FALSE,"",IF(LISTES!$A$17=1,Cotations!CH68,Cotations!CI68))</f>
        <v/>
      </c>
      <c r="OC68" s="285" t="str">
        <f t="shared" si="551"/>
        <v/>
      </c>
      <c r="OD68" s="300"/>
      <c r="OE68" s="461" t="str">
        <f t="shared" si="552"/>
        <v/>
      </c>
      <c r="OF68" s="490" t="str">
        <f>IF(A68=FALSE,"",IF(OA68="POEA",Cotations!CK68,IF(OA68="FIXE",Cotations!CL68,IF(Cotations!CM68*Y68&lt;50000,Z68,Cotations!CM68*Y68))))</f>
        <v/>
      </c>
      <c r="OG68" s="300" t="str">
        <f t="shared" si="553"/>
        <v/>
      </c>
      <c r="OH68" s="522" t="str">
        <f>IF(A68=FALSE,"",IF(Cotations!CJ68="monthly",OG68/12*L68,OG68/365*M68))</f>
        <v/>
      </c>
      <c r="OI68" s="489" t="str">
        <f>IF(A68=FALSE,"",IF(Cotations!CN68="","",Cotations!CN68))</f>
        <v/>
      </c>
      <c r="OJ68" s="300" t="str">
        <f t="shared" si="554"/>
        <v/>
      </c>
      <c r="OK68" s="300" t="str">
        <f t="shared" si="555"/>
        <v/>
      </c>
      <c r="OL68" s="919" t="str">
        <f t="shared" si="556"/>
        <v/>
      </c>
      <c r="OM68" s="517" t="str">
        <f>IF(A68=FALSE,"",Cotations!CO68)</f>
        <v/>
      </c>
      <c r="ON68" s="515" t="str">
        <f>IF(A68=FALSE,"",Cotations!CP68)</f>
        <v/>
      </c>
      <c r="OO68" s="493" t="str">
        <f>IF(A68=FALSE,"",Cotations!CQ68)</f>
        <v/>
      </c>
      <c r="OP68" s="517" t="str">
        <f>IF(A68=FALSE,"",IF(OM68="N/A",0,IF(INDEX(LISTES!$F$105:$F$109,MATCH(OM68,LISTES!$C$105:$C$109,0))="FIX",IF(INDEX(LISTES!$E$105:$E$109,MATCH(OM68,LISTES!$C$105:$C$109,0))=12,ON68/12*L68,ON68/365*M68),OO68*OL68)))</f>
        <v/>
      </c>
      <c r="OQ68" s="294" t="str">
        <f t="shared" si="557"/>
        <v/>
      </c>
      <c r="OR68" s="494" t="str">
        <f>IF(A68=FALSE,"",OQ68*Cotations!CR68)</f>
        <v/>
      </c>
      <c r="OS68" s="494" t="str">
        <f>IF(A68=FALSE,"",OQ68*Cotations!CS68)</f>
        <v/>
      </c>
      <c r="OT68" s="338" t="str">
        <f t="shared" si="558"/>
        <v/>
      </c>
      <c r="OU68" s="919" t="str">
        <f>IF(A68=FALSE,"",((OG68*TAXE)-(OG68*TAXE*OI68))+IF(OM68="N/A",0,IF(INDEX(LISTES!$F$105:$F$109,MATCH(OM68,LISTES!$C$105:$C$109,0))="FIX",ON68,OO68*OL68)))</f>
        <v/>
      </c>
      <c r="PA68" s="497" t="str">
        <f t="shared" si="559"/>
        <v/>
      </c>
      <c r="PB68" s="498" t="str">
        <f>IF(A68=FALSE,"",IF(LISTES!$A$17=1,Cotations!CT68,Cotations!$CU$4))</f>
        <v/>
      </c>
      <c r="PC68" s="499" t="str">
        <f t="shared" si="560"/>
        <v/>
      </c>
      <c r="PD68" s="499" t="str">
        <f t="shared" si="561"/>
        <v/>
      </c>
      <c r="PE68" s="500" t="str">
        <f t="shared" si="562"/>
        <v/>
      </c>
      <c r="PF68" s="501" t="str">
        <f>IF(A68=FALSE,"",Cotations!$CY$4*Y68)</f>
        <v/>
      </c>
      <c r="PG68" s="502" t="str">
        <f t="shared" si="563"/>
        <v/>
      </c>
      <c r="PH68" s="520" t="str">
        <f>IF(A68=FALSE,"",IF(Cotations!$CV$4="monthly",PG68/12*L68,PG68/365*M68))</f>
        <v/>
      </c>
      <c r="PI68" s="503" t="str">
        <f>IF(A68=FALSE,"",Cotations!$CZ$4)</f>
        <v/>
      </c>
      <c r="PJ68" s="502" t="str">
        <f t="shared" si="564"/>
        <v/>
      </c>
      <c r="PK68" s="502" t="str">
        <f t="shared" si="565"/>
        <v/>
      </c>
      <c r="PL68" s="504" t="str">
        <f t="shared" si="566"/>
        <v/>
      </c>
      <c r="PM68" s="505" t="str">
        <f>IF(A68=FALSE,"",Cotations!$DA$4)</f>
        <v/>
      </c>
      <c r="PN68" s="520" t="str">
        <f>IF(A68=FALSE,"",Cotations!$DB$4)</f>
        <v/>
      </c>
      <c r="PO68" s="503" t="str">
        <f>IF(A68=FALSE,"",Cotations!$DC$4)</f>
        <v/>
      </c>
      <c r="PP68" s="505" t="str">
        <f>IF(A68=FALSE,"",IF(PM68="N/A",0,IF(INDEX(LISTES!$F$105:$F$109,MATCH(PM68,LISTES!$C$105:$C$109,0))="FIX",IF(INDEX(LISTES!$E$105:$E$109,MATCH(PM68,LISTES!$C$105:$C$109,0))=12,PN68/12*L68,PN68/365*M68),PO68*PL68)))</f>
        <v/>
      </c>
      <c r="PQ68" s="504" t="str">
        <f t="shared" si="567"/>
        <v/>
      </c>
      <c r="PR68" s="505" t="str">
        <f>IF(A68=FALSE,"",PQ68*Cotations!$DD$4)</f>
        <v/>
      </c>
      <c r="PS68" s="505" t="str">
        <f>IF(A68=FALSE,"",PQ68*Cotations!$DE$4)</f>
        <v/>
      </c>
      <c r="PT68" s="506" t="str">
        <f t="shared" si="568"/>
        <v/>
      </c>
      <c r="PU68" s="919" t="str">
        <f>IF(A68=FALSE,"",((PG68*TAXE)-(PG68*TAXE*PI68))+IF(PM68="N/A",0,IF(INDEX(LISTES!$F$105:$F$109,MATCH(PM68,LISTES!$C$105:$C$109,0))="FIX",PN68,PO68*PL68)))</f>
        <v/>
      </c>
      <c r="QA68" s="492" t="str">
        <f t="shared" si="569"/>
        <v/>
      </c>
      <c r="QB68" s="491" t="str">
        <f>IF(A68=FALSE,"",IF(LISTES!$A$17=1,Cotations!CT68,Cotations!CU68))</f>
        <v/>
      </c>
      <c r="QC68" s="285" t="str">
        <f t="shared" si="570"/>
        <v/>
      </c>
      <c r="QD68" s="300"/>
      <c r="QE68" s="461" t="str">
        <f t="shared" si="571"/>
        <v/>
      </c>
      <c r="QF68" s="490" t="str">
        <f>IF(A68=FALSE,"",Cotations!CY68*AA68)</f>
        <v/>
      </c>
      <c r="QG68" s="300" t="str">
        <f t="shared" si="572"/>
        <v/>
      </c>
      <c r="QH68" s="522" t="str">
        <f>IF(A68=FALSE,"",IF(Cotations!CV68="monthly",QG68/12*L68,QG68/365*M68))</f>
        <v/>
      </c>
      <c r="QI68" s="489" t="str">
        <f>IF(A68=FALSE,"",IF(Cotations!CZ68="","",Cotations!CZ68))</f>
        <v/>
      </c>
      <c r="QJ68" s="300" t="str">
        <f t="shared" si="573"/>
        <v/>
      </c>
      <c r="QK68" s="300" t="str">
        <f t="shared" si="574"/>
        <v/>
      </c>
      <c r="QL68" s="919" t="str">
        <f t="shared" si="575"/>
        <v/>
      </c>
      <c r="QM68" s="517" t="str">
        <f>IF(A68=FALSE,"",Cotations!DA68)</f>
        <v/>
      </c>
      <c r="QN68" s="515" t="str">
        <f>IF(A68=FALSE,"",Cotations!DB68)</f>
        <v/>
      </c>
      <c r="QO68" s="493" t="str">
        <f>IF(A68=FALSE,"",Cotations!DC68)</f>
        <v/>
      </c>
      <c r="QP68" s="517" t="str">
        <f>IF(A68=FALSE,"",IF(QM68="N/A",0,IF(INDEX(LISTES!$F$105:$F$109,MATCH(QM68,LISTES!$C$105:$C$109,0))="FIX",IF(INDEX(LISTES!$E$105:$E$109,MATCH(QM68,LISTES!$C$105:$C$109,0))=12,QN68/12*L68,QN68/365*M68),QO68*QL68)))</f>
        <v/>
      </c>
      <c r="QQ68" s="294" t="str">
        <f t="shared" si="576"/>
        <v/>
      </c>
      <c r="QR68" s="494" t="str">
        <f>IF(A68=FALSE,"",QQ68*Cotations!DD68)</f>
        <v/>
      </c>
      <c r="QS68" s="494" t="str">
        <f>IF(A68=FALSE,"",QQ68*Cotations!DE68)</f>
        <v/>
      </c>
      <c r="QT68" s="338" t="str">
        <f t="shared" si="577"/>
        <v/>
      </c>
      <c r="QU68" s="919" t="str">
        <f>IF(A68=FALSE,"",((QG68*TAXE)-(QG68*TAXE*QI68))+IF(QM68="N/A",0,IF(INDEX(LISTES!$F$105:$F$109,MATCH(QM68,LISTES!$C$105:$C$109,0))="FIX",QN68,QO68*QL68)))</f>
        <v/>
      </c>
      <c r="RA68" s="497" t="str">
        <f t="shared" si="578"/>
        <v/>
      </c>
      <c r="RB68" s="498" t="str">
        <f>IF(A68=FALSE,"",IF(LISTES!$A$17=1,Cotations!DF68,Cotations!$DG$4))</f>
        <v/>
      </c>
      <c r="RC68" s="499" t="str">
        <f t="shared" si="579"/>
        <v/>
      </c>
      <c r="RD68" s="499" t="str">
        <f t="shared" si="580"/>
        <v/>
      </c>
      <c r="RE68" s="500" t="str">
        <f t="shared" si="581"/>
        <v/>
      </c>
      <c r="RF68" s="501" t="str">
        <f>IF(A68=FALSE,"",Cotations!$DK$4*Y68)</f>
        <v/>
      </c>
      <c r="RG68" s="502" t="str">
        <f t="shared" si="582"/>
        <v/>
      </c>
      <c r="RH68" s="520" t="str">
        <f>IF(A68=FALSE,"",IF(Cotations!$DH$4="monthly",RG68/12*L68,RG68/365*M68))</f>
        <v/>
      </c>
      <c r="RI68" s="503" t="str">
        <f>IF(A68=FALSE,"",Cotations!$DL$4)</f>
        <v/>
      </c>
      <c r="RJ68" s="502" t="str">
        <f t="shared" si="583"/>
        <v/>
      </c>
      <c r="RK68" s="502" t="str">
        <f t="shared" si="584"/>
        <v/>
      </c>
      <c r="RL68" s="504" t="str">
        <f t="shared" si="585"/>
        <v/>
      </c>
      <c r="RM68" s="505" t="str">
        <f>IF(A68=FALSE,"",Cotations!$DM$4)</f>
        <v/>
      </c>
      <c r="RN68" s="520" t="str">
        <f>IF(A68=FALSE,"",Cotations!$DN$4)</f>
        <v/>
      </c>
      <c r="RO68" s="503" t="str">
        <f>IF(A68=FALSE,"",Cotations!$DO$4)</f>
        <v/>
      </c>
      <c r="RP68" s="505" t="str">
        <f>IF(A68=FALSE,"",IF(RM68="N/A",0,IF(INDEX(LISTES!$F$105:$F$109,MATCH(RM68,LISTES!$C$105:$C$109,0))="FIX",IF(INDEX(LISTES!$E$105:$E$109,MATCH(RM68,LISTES!$C$105:$C$109,0))=12,RN68/12*L68,RN68/365*M68),RO68*RL68)))</f>
        <v/>
      </c>
      <c r="RQ68" s="504" t="str">
        <f t="shared" si="586"/>
        <v/>
      </c>
      <c r="RR68" s="505" t="str">
        <f>IF(A68=FALSE,"",RQ68*Cotations!$DP$4)</f>
        <v/>
      </c>
      <c r="RS68" s="505" t="str">
        <f>IF(A68=FALSE,"",RQ68*Cotations!$DQ$4)</f>
        <v/>
      </c>
      <c r="RT68" s="506" t="str">
        <f t="shared" si="587"/>
        <v/>
      </c>
      <c r="RU68" s="919" t="str">
        <f>IF(A68=FALSE,"",((RG68*TAXE)-(RG68*TAXE*RI68))+IF(RM68="N/A",0,IF(INDEX(LISTES!$F$105:$F$109,MATCH(RM68,LISTES!$C$105:$C$109,0))="FIX",RN68,RO68*RL68)))</f>
        <v/>
      </c>
      <c r="SA68" s="492" t="str">
        <f t="shared" si="588"/>
        <v/>
      </c>
      <c r="SB68" s="491" t="str">
        <f>IF(A68=FALSE,"",IF(LISTES!$A$17=1,Cotations!DF68,Cotations!DG68))</f>
        <v/>
      </c>
      <c r="SC68" s="285" t="str">
        <f t="shared" si="589"/>
        <v/>
      </c>
      <c r="SD68" s="300"/>
      <c r="SE68" s="461" t="str">
        <f t="shared" si="590"/>
        <v/>
      </c>
      <c r="SF68" s="490" t="str">
        <f>IF(A68=FALSE,"",Cotations!DK68*AA68)</f>
        <v/>
      </c>
      <c r="SG68" s="300" t="str">
        <f t="shared" si="591"/>
        <v/>
      </c>
      <c r="SH68" s="522" t="str">
        <f>IF(A68=FALSE,"",IF(Cotations!DH68="monthly",SG68/12*L68,SG68/365*M68))</f>
        <v/>
      </c>
      <c r="SI68" s="489" t="str">
        <f>IF(A68=FALSE,"",IF(Cotations!DL68="","",Cotations!DL68))</f>
        <v/>
      </c>
      <c r="SJ68" s="300" t="str">
        <f t="shared" si="592"/>
        <v/>
      </c>
      <c r="SK68" s="300" t="str">
        <f t="shared" si="593"/>
        <v/>
      </c>
      <c r="SL68" s="919" t="str">
        <f t="shared" si="594"/>
        <v/>
      </c>
      <c r="SM68" s="285" t="str">
        <f>IF(A68=FALSE,"",Cotations!DM68)</f>
        <v/>
      </c>
      <c r="SN68" s="515" t="str">
        <f>IF(A68=FALSE,"",Cotations!DN68)</f>
        <v/>
      </c>
      <c r="SO68" s="493" t="str">
        <f>IF(A68=FALSE,"",Cotations!DO68)</f>
        <v/>
      </c>
      <c r="SP68" s="517" t="str">
        <f>IF(A68=FALSE,"",IF(SM68="N/A",0,IF(INDEX(LISTES!$F$105:$F$109,MATCH(SM68,LISTES!$C$105:$C$109,0))="FIX",IF(INDEX(LISTES!$E$105:$E$109,MATCH(SM68,LISTES!$C$105:$C$109,0))=12,SN68/12*L68,SN68/365*M68),SO68*SL68)))</f>
        <v/>
      </c>
      <c r="SQ68" s="294" t="str">
        <f t="shared" si="595"/>
        <v/>
      </c>
      <c r="SR68" s="494" t="str">
        <f>IF(A68=FALSE,"",SQ68*Cotations!DP68)</f>
        <v/>
      </c>
      <c r="SS68" s="494" t="str">
        <f>IF(A68=FALSE,"",SQ68*Cotations!DQ68)</f>
        <v/>
      </c>
      <c r="ST68" s="338" t="str">
        <f t="shared" si="596"/>
        <v/>
      </c>
      <c r="SU68" s="919" t="str">
        <f>IF(A68=FALSE,"",((SG68*TAXE)-(SG68*TAXE*SI68))+IF(SM68="N/A",0,IF(INDEX(LISTES!$F$105:$F$109,MATCH(SM68,LISTES!$C$105:$C$109,0))="FIX",SN68,SO68*SL68)))</f>
        <v/>
      </c>
      <c r="TA68" s="492" t="str">
        <f>IF(A68=FALSE,"",Cotations!D68)</f>
        <v/>
      </c>
      <c r="TB68" s="491" t="str">
        <f>IF(A68=FALSE,"",IF(LISTES!$A$17=1,Cotations!DR68,Cotations!DS68))</f>
        <v/>
      </c>
      <c r="TC68" s="285" t="str">
        <f t="shared" si="597"/>
        <v/>
      </c>
      <c r="TD68" s="300" t="str">
        <f>IF(A68=FALSE,"",Detail!CQ68)</f>
        <v/>
      </c>
      <c r="TE68" s="461" t="str">
        <f t="shared" si="598"/>
        <v/>
      </c>
      <c r="TF68" s="490" t="str">
        <f>IF(A68=FALSE,"",IF(TA68="FIXE",Cotations!DU68,Cotations!DV68*Y68))</f>
        <v/>
      </c>
      <c r="TG68" s="300" t="str">
        <f t="shared" si="599"/>
        <v/>
      </c>
      <c r="TH68" s="522" t="str">
        <f>IF(A68=FALSE,"",IF(Cotations!DT68="monthly",TG68/12*L68,TG68/365*M68))</f>
        <v/>
      </c>
      <c r="TI68" s="489" t="str">
        <f>IF(A68=FALSE,"",IF(Cotations!DW68="","",Cotations!DW68))</f>
        <v/>
      </c>
      <c r="TJ68" s="300" t="str">
        <f t="shared" si="600"/>
        <v/>
      </c>
      <c r="TK68" s="300" t="str">
        <f t="shared" si="601"/>
        <v/>
      </c>
      <c r="TL68" s="919" t="str">
        <f t="shared" si="602"/>
        <v/>
      </c>
      <c r="TM68" s="517" t="str">
        <f>IF(A68=FALSE,"",Cotations!DX68)</f>
        <v/>
      </c>
      <c r="TN68" s="517" t="str">
        <f>IF(A68=FALSE,"",Cotations!DY68)</f>
        <v/>
      </c>
      <c r="TO68" s="493" t="str">
        <f>IF(A68=FALSE,"",Cotations!DZ68)</f>
        <v/>
      </c>
      <c r="TP68" s="517" t="str">
        <f>IF(A68=FALSE,"",IF(TM68="N/A",0,IF(INDEX(LISTES!$F$105:$F$109,MATCH(TM68,LISTES!$C$105:$C$109,0))="FIX",IF(INDEX(LISTES!$E$105:$E$109,MATCH(TM68,LISTES!$C$105:$C$109,0))=12,TN68/12*L68,TN68/365*M68),TO68*TL68)))</f>
        <v/>
      </c>
      <c r="TQ68" s="294" t="str">
        <f t="shared" si="603"/>
        <v/>
      </c>
      <c r="TR68" s="494" t="str">
        <f>IF(A68=FALSE,"",TQ68*Cotations!EA68)</f>
        <v/>
      </c>
      <c r="TS68" s="494" t="str">
        <f>IF(A68=FALSE,"",TQ68*Cotations!EB68)</f>
        <v/>
      </c>
      <c r="TT68" s="338" t="str">
        <f t="shared" si="604"/>
        <v/>
      </c>
      <c r="TU68" s="919" t="str">
        <f>IF(A68=FALSE,"",((TG68*(1+TAXE)-(TG68*(1+TAXE)*TI68))+IF(TM68="N/A",0,IF(INDEX(LISTES!$F$105:$F$109,MATCH(TM68,LISTES!$C$105:$C$109,0))="FIX",TN68,TO68*TL68))))</f>
        <v/>
      </c>
      <c r="UA68" s="492" t="str">
        <f>IF(A68=FALSE,"",Cotations!D68)</f>
        <v/>
      </c>
      <c r="UB68" s="491" t="str">
        <f>IF(A68=FALSE,"",IF(LISTES!$A$17=1,Cotations!EC68,Cotations!ED68))</f>
        <v/>
      </c>
      <c r="UC68" s="285" t="str">
        <f t="shared" si="605"/>
        <v/>
      </c>
      <c r="UD68" s="300" t="str">
        <f>IF(A68=FALSE,"",Detail!CY68)</f>
        <v/>
      </c>
      <c r="UE68" s="461" t="str">
        <f t="shared" si="606"/>
        <v/>
      </c>
      <c r="UF68" s="490" t="str">
        <f>IF(A68=FALSE,"",IF(UA68="FIXE",Cotations!EF68,Cotations!EG68*Y68))</f>
        <v/>
      </c>
      <c r="UG68" s="300" t="str">
        <f t="shared" si="607"/>
        <v/>
      </c>
      <c r="UH68" s="522" t="str">
        <f>IF(A68=FALSE,"",IF(Cotations!EE68="monthly",UG68/12*L68,UG68/365*M68))</f>
        <v/>
      </c>
      <c r="UI68" s="489" t="str">
        <f>IF(A68=FALSE,"",IF(Cotations!EH68="","",Cotations!EH68))</f>
        <v/>
      </c>
      <c r="UJ68" s="300" t="str">
        <f t="shared" si="608"/>
        <v/>
      </c>
      <c r="UK68" s="300" t="str">
        <f t="shared" si="609"/>
        <v/>
      </c>
      <c r="UL68" s="919" t="str">
        <f t="shared" si="610"/>
        <v/>
      </c>
      <c r="UM68" s="517" t="str">
        <f>IF(A68=FALSE,"",Cotations!EI68)</f>
        <v/>
      </c>
      <c r="UN68" s="517" t="str">
        <f>IF(A68=FALSE,"",Cotations!EJ68)</f>
        <v/>
      </c>
      <c r="UO68" s="493" t="str">
        <f>IF(A68=FALSE,"",Cotations!EK68)</f>
        <v/>
      </c>
      <c r="UP68" s="517" t="str">
        <f>IF(A68=FALSE,"",IF(UM68="N/A",0,IF(INDEX(LISTES!$F$105:$F$109,MATCH(UM68,LISTES!$C$105:$C$109,0))="FIX",IF(INDEX(LISTES!$E$105:$E$109,MATCH(UM68,LISTES!$C$105:$C$109,0))=12,UN68/12*L68,UN68/365*M68),UO68*UL68)))</f>
        <v/>
      </c>
      <c r="UQ68" s="294" t="str">
        <f t="shared" si="611"/>
        <v/>
      </c>
      <c r="UR68" s="494" t="str">
        <f>IF(A68=FALSE,"",UQ68*Cotations!EL68)</f>
        <v/>
      </c>
      <c r="US68" s="494" t="str">
        <f>IF(A68=FALSE,"",UQ68*Cotations!EM68)</f>
        <v/>
      </c>
      <c r="UT68" s="338" t="str">
        <f t="shared" si="612"/>
        <v/>
      </c>
      <c r="UU68" s="919" t="str">
        <f>IF(A68=FALSE,"",((UG68*(1+TAXE)-(UG68*(1+TAXE)*UI68))+IF(UM68="N/A",0,IF(INDEX(LISTES!$F$105:$F$109,MATCH(UM68,LISTES!$C$105:$C$109,0))="FIX",UN68,UO68*UL68))))</f>
        <v/>
      </c>
      <c r="VA68" s="492" t="str">
        <f>IF(A68=FALSE,"",Cotations!D68)</f>
        <v/>
      </c>
      <c r="VB68" s="519" t="str">
        <f>IF(A68=FALSE,"",IF(LISTES!$A$17=1,Cotations!EN68,Cotations!EO68))</f>
        <v/>
      </c>
      <c r="VC68" s="291" t="str">
        <f t="shared" si="613"/>
        <v/>
      </c>
      <c r="VD68" s="291" t="str">
        <f t="shared" si="614"/>
        <v/>
      </c>
      <c r="VE68" s="291"/>
      <c r="VF68" s="463"/>
      <c r="VG68" s="463" t="str">
        <f t="shared" si="615"/>
        <v/>
      </c>
      <c r="VH68" s="522" t="str">
        <f>IF(A68=FALSE,"",IF(Cotations!$AQ$4="monthly",VG68/12*L68,VG68/365*M68))</f>
        <v/>
      </c>
      <c r="VI68" s="489" t="str">
        <f>IF(A68=FALSE,"",Cotations!$AR$4)</f>
        <v/>
      </c>
      <c r="VJ68" s="300" t="str">
        <f t="shared" si="616"/>
        <v/>
      </c>
      <c r="VK68" s="300" t="str">
        <f t="shared" si="617"/>
        <v/>
      </c>
      <c r="VL68" s="294" t="str">
        <f t="shared" si="618"/>
        <v/>
      </c>
      <c r="VM68" s="494" t="str">
        <f>IF(A68=FALSE,"",Cotations!$AS$4)</f>
        <v/>
      </c>
      <c r="VN68" s="494" t="str">
        <f>IF(A68=FALSE,"",Cotations!$AT$4)</f>
        <v/>
      </c>
      <c r="VO68" s="489" t="str">
        <f>IF(A68=FALSE,"",Cotations!$AU$4)</f>
        <v/>
      </c>
      <c r="VP68" s="494" t="str">
        <f>IF(A68=FALSE,"",IF(VM68="N/A",0,IF(INDEX(LISTES!$F$105:$F$109,MATCH(VM68,LISTES!$C$105:$C$109,0))="FIX",IF(INDEX(LISTES!$E$105:$E$109,MATCH(VM68,LISTES!$C$105:$C$109,0))=12,VN68/12*L68,VN68/365*M68),VO68*VL68)))</f>
        <v/>
      </c>
      <c r="VQ68" s="294" t="str">
        <f t="shared" si="619"/>
        <v/>
      </c>
      <c r="VR68" s="494" t="str">
        <f>IF(A68=FALSE,"",VQ68*Cotations!$AV$4)</f>
        <v/>
      </c>
      <c r="VS68" s="494" t="str">
        <f>IF(A68=FALSE,"",VQ68*Cotations!$AW$4)</f>
        <v/>
      </c>
      <c r="VT68" s="465" t="str">
        <f t="shared" si="620"/>
        <v/>
      </c>
      <c r="VU68" s="919" t="str">
        <f>IF(A68=FALSE,"",((VG68*TAXE)-(VG68*TAXE*VI68))+IF(VM68="N/A",0,IF(INDEX(LISTES!$F$105:$F$109,MATCH(VM68,LISTES!$C$105:$C$109,0))="FIX",VN68,VO68*VL68)))</f>
        <v/>
      </c>
      <c r="WA68" s="492" t="str">
        <f>IF(A68=FALSE,"",Cotations!D68)</f>
        <v/>
      </c>
      <c r="WB68" s="519" t="str">
        <f>IF(A68=FALSE,"",IF(LISTES!$A$17=1,Cotations!EW68,Cotations!EX68))</f>
        <v/>
      </c>
      <c r="WC68" s="291" t="str">
        <f t="shared" si="621"/>
        <v/>
      </c>
      <c r="WD68" s="291" t="str">
        <f t="shared" si="622"/>
        <v/>
      </c>
      <c r="WE68" s="291"/>
      <c r="WF68" s="463"/>
      <c r="WG68" s="463" t="str">
        <f t="shared" si="623"/>
        <v/>
      </c>
      <c r="WH68" s="522" t="str">
        <f>IF(A68=FALSE,"",IF(Cotations!$AQ$4="monthly",WG68/12*L68,WG68/365*M68))</f>
        <v/>
      </c>
      <c r="WI68" s="489" t="str">
        <f>IF(A68=FALSE,"",Cotations!$AR$4)</f>
        <v/>
      </c>
      <c r="WJ68" s="300" t="str">
        <f t="shared" si="624"/>
        <v/>
      </c>
      <c r="WK68" s="300" t="str">
        <f t="shared" si="625"/>
        <v/>
      </c>
      <c r="WL68" s="294" t="str">
        <f t="shared" si="626"/>
        <v/>
      </c>
      <c r="WM68" s="494" t="str">
        <f>IF(A68=FALSE,"",Cotations!$AS$4)</f>
        <v/>
      </c>
      <c r="WN68" s="494" t="str">
        <f>IF(A68=FALSE,"",Cotations!$AT$4)</f>
        <v/>
      </c>
      <c r="WO68" s="489" t="str">
        <f>IF(A68=FALSE,"",Cotations!$AU$4)</f>
        <v/>
      </c>
      <c r="WP68" s="494" t="str">
        <f>IF(A68=FALSE,"",IF(WM68="N/A",0,IF(INDEX(LISTES!$F$105:$F$109,MATCH(WM68,LISTES!$C$105:$C$109,0))="FIX",IF(INDEX(LISTES!$E$105:$E$109,MATCH(WM68,LISTES!$C$105:$C$109,0))=12,WN68/12*L68,WN68/365*M68),WO68*WL68)))</f>
        <v/>
      </c>
      <c r="WQ68" s="294" t="str">
        <f t="shared" si="627"/>
        <v/>
      </c>
      <c r="WR68" s="494" t="str">
        <f>IF(A68=FALSE,"",WQ68*Cotations!$AV$4)</f>
        <v/>
      </c>
      <c r="WS68" s="494" t="str">
        <f>IF(A68=FALSE,"",WQ68*Cotations!$AW$4)</f>
        <v/>
      </c>
      <c r="WT68" s="465" t="str">
        <f t="shared" si="628"/>
        <v/>
      </c>
      <c r="WU68" s="919" t="str">
        <f>IF(A68=FALSE,"",((WG68*TAXE)-(WG68*TAXE*WI68))+IF(WM68="N/A",0,IF(INDEX(LISTES!$F$105:$F$109,MATCH(WM68,LISTES!$C$105:$C$109,0))="FIX",WN68,WO68*WL68)))</f>
        <v/>
      </c>
    </row>
    <row r="69" spans="1:619">
      <c r="A69" s="942" t="b">
        <f t="shared" si="433"/>
        <v>0</v>
      </c>
      <c r="B69" s="942" t="b">
        <f>IF(NAMES!$B$9=TRUE,TRUE,FALSE)</f>
        <v>1</v>
      </c>
      <c r="C69" s="942" t="b">
        <f t="shared" si="413"/>
        <v>0</v>
      </c>
      <c r="D69" s="942" t="b">
        <f t="shared" si="414"/>
        <v>0</v>
      </c>
      <c r="E69" s="274" t="b">
        <f>IF(Cotations!C69="","",Cotations!C69)</f>
        <v>0</v>
      </c>
      <c r="F69" s="274" t="str">
        <f>IF(Cotations!D69="","",Cotations!D69)</f>
        <v>PROP</v>
      </c>
      <c r="G69" s="274" t="str">
        <f>IF(Cotations!E69="","",Cotations!E69)</f>
        <v>2016-2017!</v>
      </c>
      <c r="H69" s="274" t="str">
        <f>IF(Cotations!F69="","",Cotations!F69)</f>
        <v>SINGLE</v>
      </c>
      <c r="I69" s="274" t="str">
        <f>IF(Cotations!G69="","",Cotations!G69)</f>
        <v/>
      </c>
      <c r="J69" s="274" t="str">
        <f>IF(Cotations!H69="","",Cotations!H69)</f>
        <v/>
      </c>
      <c r="K69" s="274" t="str">
        <f>IF(Cotations!I69="","",Cotations!I69)</f>
        <v/>
      </c>
      <c r="L69" s="274" t="str">
        <f>IF(A69=FALSE,"",IF(Cotations!N69="","",Cotations!N69))</f>
        <v/>
      </c>
      <c r="M69" s="274" t="str">
        <f>IF(Cotations!P69="","",Cotations!P69)</f>
        <v/>
      </c>
      <c r="N69" s="724" t="str">
        <f>IF(NAMES!$B$10=TRUE,Cotations!J69,Cotations!L69)</f>
        <v/>
      </c>
      <c r="O69" s="724" t="str">
        <f>IF(NAMES!$B$10=TRUE,Cotations!K69,Cotations!M69)</f>
        <v/>
      </c>
      <c r="P69" s="943" t="str">
        <f t="shared" si="415"/>
        <v/>
      </c>
      <c r="Q69" s="724" t="str">
        <f>IF(A69=FALSE,"",IF(Crewlist!Y69="","",Crewlist!Y69))</f>
        <v/>
      </c>
      <c r="R69" s="78" t="str">
        <f>IF(Cotations!U69="","",Cotations!U69)</f>
        <v/>
      </c>
      <c r="S69" s="943" t="str">
        <f t="shared" si="416"/>
        <v/>
      </c>
      <c r="T69" s="919" t="str">
        <f>IF(A69=FALSE,"",VLOOKUP($U$15:$U$120,Currency!$A$2:$D$10,4,0)*Crewlist!N69)</f>
        <v/>
      </c>
      <c r="U69" s="1355" t="str">
        <f>IF(A69=FALSE,"",IF(IT69=0,Crewlist!M69&amp;"/"&amp;EX69,Crewlist!M69&amp;"/"&amp;IT69))</f>
        <v/>
      </c>
      <c r="V69" s="919" t="str">
        <f>IF(A69=FALSE,"",VLOOKUP($U$15:$U$120,Currency!$A$2:$D$10,4,0)*Detail!Q69)</f>
        <v/>
      </c>
      <c r="W69" s="1355" t="str">
        <f>IF(A69=FALSE,"",IF(IT69=0,Detail!R69&amp;"/"&amp;EX69,Detail!R69&amp;"/"&amp;IT69))</f>
        <v/>
      </c>
      <c r="X69" s="919" t="str">
        <f>IF(A69=FALSE,"",IF(LISTES!$C$17="Crewlist",Calcul!T69,Calcul!V69))</f>
        <v/>
      </c>
      <c r="Y69" s="758" t="str">
        <f t="shared" si="417"/>
        <v/>
      </c>
      <c r="Z69" s="758" t="str">
        <f>IF(A69=FALSE,"",IF(X69=0,0,IF((Cotations!BC69*12*X69)&lt;50000,50000,(12*X69))))</f>
        <v/>
      </c>
      <c r="AA69" s="758" t="str">
        <f t="shared" si="418"/>
        <v/>
      </c>
      <c r="AB69" s="758" t="str">
        <f>IF(A69=FALSE,"",IF(Crewlist!O69=0,"",Crewlist!O69))</f>
        <v/>
      </c>
      <c r="AC69" s="758" t="str">
        <f>IF(I69="","",VLOOKUP($AB$15:$AB$120,Currency!$A$15:$B$34,2,0))</f>
        <v/>
      </c>
      <c r="AD69" s="758" t="str">
        <f t="shared" si="419"/>
        <v/>
      </c>
      <c r="AE69" s="758" t="str">
        <f t="shared" si="420"/>
        <v/>
      </c>
      <c r="AF69" s="758" t="str">
        <f t="shared" si="421"/>
        <v/>
      </c>
      <c r="AG69" s="758" t="str">
        <f t="shared" si="422"/>
        <v/>
      </c>
      <c r="AH69" s="1355" t="str">
        <f t="shared" si="434"/>
        <v/>
      </c>
      <c r="AI69" s="919" t="str">
        <f t="shared" si="423"/>
        <v/>
      </c>
      <c r="AJ69" s="1382" t="str">
        <f t="shared" si="424"/>
        <v/>
      </c>
      <c r="AK69" s="1382" t="str">
        <f t="shared" si="425"/>
        <v/>
      </c>
      <c r="AL69" s="238" t="str">
        <f t="shared" si="435"/>
        <v/>
      </c>
      <c r="AM69" s="238" t="str">
        <f t="shared" si="436"/>
        <v/>
      </c>
      <c r="AN69" s="1374" t="str">
        <f t="shared" si="437"/>
        <v/>
      </c>
      <c r="AO69" s="238" t="str">
        <f t="shared" si="438"/>
        <v/>
      </c>
      <c r="AP69" s="342" t="str">
        <f>IF(A69=FALSE,"",INDEX(Rates!$Z$5:$Z$367,MATCH(EB69,colchoice,0)))</f>
        <v/>
      </c>
      <c r="AQ69" s="238" t="str">
        <f t="shared" si="439"/>
        <v/>
      </c>
      <c r="AR69" s="238" t="str">
        <f t="shared" si="440"/>
        <v/>
      </c>
      <c r="AS69" s="238" t="str">
        <f t="shared" si="441"/>
        <v/>
      </c>
      <c r="AT69" s="238" t="str">
        <f t="shared" si="442"/>
        <v/>
      </c>
      <c r="AU69" s="238" t="str">
        <f t="shared" si="443"/>
        <v/>
      </c>
      <c r="AV69" s="238" t="str">
        <f t="shared" si="429"/>
        <v/>
      </c>
      <c r="AW69" s="238" t="str">
        <f t="shared" si="444"/>
        <v/>
      </c>
      <c r="AX69" s="238" t="str">
        <f t="shared" si="445"/>
        <v/>
      </c>
      <c r="AY69" s="238" t="str">
        <f t="shared" si="446"/>
        <v/>
      </c>
      <c r="AZ69" s="238" t="str">
        <f t="shared" si="447"/>
        <v/>
      </c>
      <c r="BA69" s="238" t="str">
        <f t="shared" si="448"/>
        <v/>
      </c>
      <c r="BB69" s="552" t="str">
        <f t="shared" si="449"/>
        <v/>
      </c>
      <c r="BC69" s="347" t="str">
        <f t="shared" si="450"/>
        <v/>
      </c>
      <c r="BD69" s="239" t="str">
        <f t="shared" si="430"/>
        <v/>
      </c>
      <c r="BE69" s="239" t="str">
        <f>IF(A69=FALSE,"",IF(ALLTHESAME=TRUE,IF(DF69&lt;&gt;$BC$7,0,INDEX(DD69:DZ69,1,MATCH(Structure!$D$12,$DD$14:$DZ$14,0))),IF(EC69&lt;&gt;$BC$7,0,INDEX(EA69:EZ69,1,MATCH(Structure!$D$12,$EA$14:$EZ$14,0)))))</f>
        <v/>
      </c>
      <c r="BF69" s="239" t="str">
        <f>IF(A69=FALSE,"",IF(ALLTHESAME=TRUE,IF(FC69&lt;&gt;$BC$7,0,INDEX(FA69:FZ69,1,MATCH(Structure!$D$12,$FA$14:$FZ$14,0))),IF(GC69&lt;&gt;$BC$7,0,INDEX(GA69:GZ69,1,MATCH(Structure!$D$12,$GA$14:$GZ$14,0)))))</f>
        <v/>
      </c>
      <c r="BG69" s="239" t="str">
        <f>IF(A69=FALSE,"",IF(ALLTHESAME=TRUE,IF(VC69&lt;&gt;$BC$7,0,INDEX(VA69:VZ69,1,MATCH(Structure!$D$12,$VA$14:$VZ$14,0))),IF(VC69&lt;&gt;$BC$7,0,INDEX(VA69:VZ69,1,MATCH(Structure!$D$12,$VA$14:$VZ$14,0)))))</f>
        <v/>
      </c>
      <c r="BH69" s="239" t="str">
        <f>IF(A69=FALSE,"",IF(ALLTHESAME=TRUE,IF(WC69&lt;&gt;$BC$7,0,INDEX(WA69:WY69,1,MATCH(Structure!$D$12,$WA$14:$WZ$14,0))),IF(WC69&lt;&gt;$BC$7,0,INDEX(WA69:WZ69,1,MATCH(Structure!$D$12,$WA$14:$WZ$14,0)))))</f>
        <v/>
      </c>
      <c r="BI69" s="763" t="str">
        <f>IF(A69=FALSE,"",IF(ALLTHESAME=TRUE,IF(HC69&lt;&gt;$BC$7,0,INDEX(HA69:HZ69,1,MATCH(Structure!$D$12,$HA$14:$HZ$14,0)))+TK69,IF(IC69&lt;&gt;$BC$7,0,INDEX(IA69:IZ69,1,MATCH(Structure!$D$12,$IA$14:$IZ$14,0)))+TK69))</f>
        <v/>
      </c>
      <c r="BJ69" s="239" t="str">
        <f>IF(A69=FALSE,"",IF(ALLTHESAME=TRUE,IF(JC69&lt;&gt;$BC$7,0,INDEX(JA69:JZ69,1,MATCH(Structure!$D$12,$JA$14:$JZ$14,0))),IF(KC69&lt;&gt;$BC$7,0,INDEX(KA69:KZ69,1,MATCH(Structure!$D$12,$KA$14:$KZ$14,0)))))</f>
        <v/>
      </c>
      <c r="BK69" s="763" t="str">
        <f>IF(A69=FALSE,"",IF(ALLTHESAME=TRUE,IF(LC69&lt;&gt;$BC$7,0,INDEX(LA69:LZ69,1,MATCH(Structure!$D$12,$LA$14:$LZ$14,0)))+UK69,IF(MC69&lt;&gt;$BC$7,0,INDEX(MA69:MZ69,1,MATCH(Structure!$D$12,$MA$14:$MZ$14,0)))+UK69))</f>
        <v/>
      </c>
      <c r="BL69" s="239" t="str">
        <f>IF(A69=FALSE,"",IF(ALLTHESAME=TRUE,IF(NC69&lt;&gt;$BC$7,0,INDEX(NA69:NZ69,1,MATCH(Structure!$D$12,$NA$14:$NZ$14,0))),IF(OC69&lt;&gt;$BC$7,0,INDEX(OA69:OZ69,1,MATCH(Structure!$D$12,$OA$14:$OZ$14,0)))))</f>
        <v/>
      </c>
      <c r="BM69" s="239" t="str">
        <f>IF(A69=FALSE,"",IF(ALLTHESAME=TRUE,IF(PC69&lt;&gt;$BC$7,0,INDEX(PA69:PZ69,1,MATCH(Structure!$D$12,$PA$14:$PZ$14,0))),IF(QC69&lt;&gt;$BC$7,0,INDEX(QA69:QZ69,1,MATCH(Structure!$D$12,$QA$14:$QZ$14,0)))))</f>
        <v/>
      </c>
      <c r="BN69" s="341" t="str">
        <f>IF(A69=FALSE,"",IF(ALLTHESAME=TRUE,IF(RC69&lt;&gt;$BC$7,0,INDEX(RA69:RZ69,1,MATCH(Structure!$D$12,$RA$14:$RZ$14,0))),IF(SC69&lt;&gt;$BC$7,0,INDEX(SA69:TA69,1,MATCH(Structure!$D$12,$SA$14:$TA$14,0)))))</f>
        <v/>
      </c>
      <c r="BO69" s="507" t="str">
        <f t="shared" si="451"/>
        <v/>
      </c>
      <c r="BP69" s="239" t="str">
        <f t="shared" si="452"/>
        <v/>
      </c>
      <c r="BQ69" s="239" t="str">
        <f>IF(A69=FALSE,"",IF(ALLTHESAME=TRUE,IF(DF69&lt;&gt;$BO$7,0,INDEX(DD69:DZ69,1,MATCH(Structure!$D$12,$DD$14:$DZ$14,0))),IF(EC69&lt;&gt;$BO$7,0,INDEX(EA69:EZ69,1,MATCH(Structure!$D$12,$EA$14:$EZ$14,0)))))</f>
        <v/>
      </c>
      <c r="BR69" s="239" t="str">
        <f>IF(A69=FALSE,"",IF(ALLTHESAME=TRUE,IF(FC69&lt;&gt;$BO$7,0,INDEX(FA69:FZ69,1,MATCH(Structure!$D$12,$FA$14:$FZ$14,0))),IF(GC69&lt;&gt;$BO$7,0,INDEX(GA69:GZ69,1,MATCH(Structure!$D$12,$GA$14:$GZ$14,0)))))</f>
        <v/>
      </c>
      <c r="BS69" s="239" t="str">
        <f>IF(A69=FALSE,"",IF(ALLTHESAME=TRUE,IF(HC69&lt;&gt;$BO$7,0,INDEX(HA69:HZ69,1,MATCH(Structure!$D$12,$HA$14:$HZ$14,0))),IF(IC69&lt;&gt;$BO$7,0,INDEX(IA69:IZ69,1,MATCH(Structure!$D$12,$IA$14:$IZ$14,0)))))</f>
        <v/>
      </c>
      <c r="BT69" s="239" t="str">
        <f>IF(A69=FALSE,"",IF(ALLTHESAME=TRUE,IF(JC69&lt;&gt;$BO$7,0,INDEX(JA69:JZ69,1,MATCH(Structure!$D$12,$JA$14:$JZ$14,0))),IF(KC69&lt;&gt;$BO$7,0,INDEX(KA69:KZ69,1,MATCH(Structure!$D$12,$KA$14:$KZ$14,0)))))</f>
        <v/>
      </c>
      <c r="BU69" s="239" t="str">
        <f>IF(A69=FALSE,"",IF(ALLTHESAME=TRUE,IF(LC69&lt;&gt;$BO$7,0,INDEX(LA69:LZ69,1,MATCH(Structure!$D$12,$LA$14:$LZ$14,0))),IF(MC69&lt;&gt;$BO$7,0,INDEX(MA69:MZ69,1,MATCH(Structure!$D$12,$MA$14:$MZ$14,0)))))</f>
        <v/>
      </c>
      <c r="BV69" s="239" t="str">
        <f>IF(A69=FALSE,"",IF(ALLTHESAME=TRUE,IF(NC69&lt;&gt;$BO$7,0,INDEX(NA69:NZ69,1,MATCH(Structure!$D$12,$NA$14:$NZ$14,0))),IF(OC69&lt;&gt;$BO$7,0,INDEX(OA69:OZ69,1,MATCH(Structure!$D$12,$OA$14:$OZ$14,0)))))</f>
        <v/>
      </c>
      <c r="BW69" s="239" t="str">
        <f>IF(A69=FALSE,"",IF(ALLTHESAME=TRUE,IF(PC69&lt;&gt;$BO$7,0,INDEX(PA69:PZ69,1,MATCH(Structure!$D$12,$PA$14:$PZ$14,0))),IF(QC69&lt;&gt;$BO$7,0,INDEX(QA69:QZ69,1,MATCH(Structure!$D$12,$QA$14:$QZ$14,0)))))</f>
        <v/>
      </c>
      <c r="BX69" s="341" t="str">
        <f>IF(A69=FALSE,"",IF(ALLTHESAME=TRUE,IF(RC69&lt;&gt;$BO$7,0,INDEX(RA69:RZ69,1,MATCH(Structure!$D$12,$RA$14:$RZ$14,0))),IF(SC69&lt;&gt;$BO$7,0,INDEX(SA69:TA69,1,MATCH(Structure!$D$12,$SA$14:$TA$14,0)))))</f>
        <v/>
      </c>
      <c r="BY69" s="347" t="str">
        <f t="shared" si="453"/>
        <v/>
      </c>
      <c r="BZ69" s="507" t="str">
        <f t="shared" si="454"/>
        <v/>
      </c>
      <c r="CA69" s="239" t="str">
        <f t="shared" si="455"/>
        <v/>
      </c>
      <c r="CB69" s="239" t="str">
        <f>IF(A69=FALSE,"",IF(ALLTHESAME=TRUE,INDEX(DD69:DZ69,MATCH(DF69,DF69:DF174,0),MATCH(Structure!$D$17,$DD$14:$DZ$14,0)),INDEX(EA69:EZ69,MATCH(EC69,EC69:EC174,0),MATCH(Structure!$D$17,$EA$14:$EZ$14,0))))</f>
        <v/>
      </c>
      <c r="CC69" s="239" t="str">
        <f>IF(A69=FALSE,"",IF(ALLTHESAME=TRUE,INDEX(FA69:FZ69,MATCH(FC69,FC69:FC174,0),MATCH(Structure!$D$17,$FA$14:$FZ$14,0)),INDEX(GA69:GZ69,MATCH(GC69,GC69:GC174,0),MATCH(Structure!$D$17,$GA$14:$GZ$14,0))))</f>
        <v/>
      </c>
      <c r="CD69" s="239" t="str">
        <f>IF(A69=FALSE,"",IF(ALLTHESAME=TRUE,INDEX(HA69:HZ69,MATCH(HC69,HC69:HC174,0),MATCH(Structure!$D$17,$HA$14:$HZ$14,0)),INDEX(IA69:IZ69,MATCH(IC69,IC69:IC174,0),MATCH(Structure!$D$17,$IA$14:$IZ$14,0))))</f>
        <v/>
      </c>
      <c r="CE69" s="239" t="str">
        <f>IF(A69=FALSE,"",IF(ALLTHESAME=TRUE,INDEX(JA69:JZ69,MATCH(JC69,JC69:JC174,0),MATCH(Structure!$D$17,$JA$14:$JZ$14,0)),INDEX(KA69:KZ69,MATCH(KC69,KC69:KC174,0),MATCH(Structure!$D$17,$KA$14:$KZ$14,0))))</f>
        <v/>
      </c>
      <c r="CF69" s="239" t="str">
        <f>IF(A69=FALSE,"",IF(ALLTHESAME=TRUE,INDEX(LA69:LZ69,MATCH(LC69,LC69:LC174,0),MATCH(Structure!$D$17,$LA$14:$LZ$14,0)),INDEX(MA69:MZ69,MATCH(MC69,MC69:MC174,0),MATCH(Structure!$D$17,$MA$14:$MZ$14,0))))</f>
        <v/>
      </c>
      <c r="CG69" s="239" t="str">
        <f>IF(A69=FALSE,"",IF(ALLTHESAME=TRUE,INDEX(NA69:NZ69,MATCH(NC69,NC69:NC174,0),MATCH(Structure!$D$17,$NA$14:$NZ$14,0)),INDEX(OA69:OZ69,MATCH(OC69,OC69:OC174,0),MATCH(Structure!$D$17,$OA$14:$OZ$14,0))))</f>
        <v/>
      </c>
      <c r="CH69" s="239" t="str">
        <f>IF(A69=FALSE,"",IF(ALLTHESAME=TRUE,INDEX(PA69:PZ69,MATCH(PC69,PC69:PC174,0),MATCH(Structure!$D$17,$PA$14:$PZ$14,0)),INDEX(QA69:QZ69,MATCH(QC69,QC69:QC174,0),MATCH(Structure!$D$17,$QA$14:$QZ$14,0))))</f>
        <v/>
      </c>
      <c r="CI69" s="341" t="str">
        <f>IF(A69=FALSE,"",IF(ALLTHESAME=TRUE,INDEX(RA69:RZ69,MATCH(RC69,RC69:RC174,0),MATCH(Structure!$D$17,$RA$14:$RZ$14,0)),INDEX(SA69:TC69,MATCH(SC69,SC69:SC174,0),MATCH(Structure!$D$17,$SA$14:$TC$14,0))))</f>
        <v/>
      </c>
      <c r="CJ69" s="347"/>
      <c r="CK69" s="239" t="str">
        <f t="shared" si="456"/>
        <v/>
      </c>
      <c r="CL69" s="239" t="str">
        <f>IF(A69=FALSE,"",IF(ALLTHESAME=TRUE,INDEX(DD69:DZ69,MATCH(DF69,DF69:DF174,0),MATCH(Structure!$D$22,$DD$14:$DZ$14,0)),INDEX(EA69:EZ69,MATCH(EC69,EC69:EC174,0),MATCH(Structure!$D$22,$EA$14:$EZ$14,0))))</f>
        <v/>
      </c>
      <c r="CM69" s="239" t="str">
        <f>IF(A69=FALSE,"",IF(ALLTHESAME=TRUE,INDEX(FA69:FZ69,MATCH(FC69,FC69:FC174,0),MATCH(Structure!$D$22,$FA$14:$FZ$14,0)),INDEX(GA69:GZ69,MATCH(GC69,GC69:GC174,0),MATCH(Structure!$D$22,$GA$14:$GZ$14,0))))</f>
        <v/>
      </c>
      <c r="CN69" s="239" t="str">
        <f>IF(A69=FALSE,"",IF(ALLTHESAME=TRUE,INDEX(HA69:HZ69,MATCH(HC69,HC69:HC174,0),MATCH(Structure!$D$22,$HA$14:$HZ$14,0)),INDEX(IA69:IZ69,MATCH(IC69,IC69:IC174,0),MATCH(Structure!$D$22,$IA$14:$IZ$14,0))))</f>
        <v/>
      </c>
      <c r="CO69" s="239" t="str">
        <f>IF(A69=FALSE,"",IF(ALLTHESAME=TRUE,INDEX(JA69:JZ69,MATCH(JC69,JC69:JC174,0),MATCH(Structure!$D$22,$JA$14:$JZ$14,0)),INDEX(KA69:KZ69,MATCH(KC69,KC69:KC174,0),MATCH(Structure!$D$22,$KA$14:$KZ$14,0))))</f>
        <v/>
      </c>
      <c r="CP69" s="239" t="str">
        <f>IF(A69=FALSE,"",IF(ALLTHESAME=TRUE,INDEX(LA69:LZ69,MATCH(LC69,LC69:LC174,0),MATCH(Structure!$D$22,$LA$14:$LZ$14,0)),INDEX(MA69:MZ69,MATCH(MC69,MC69:MC174,0),MATCH(Structure!$D$22,$MA$14:$MZ$14,0))))</f>
        <v/>
      </c>
      <c r="CQ69" s="239" t="str">
        <f>IF(A69=FALSE,"",IF(ALLTHESAME=TRUE,INDEX(NA69:NZ69,MATCH(NC69,NC69:NC174,0),MATCH(Structure!$D$22,$NA$14:$NZ$14,0)),INDEX(OA69:OZ69,MATCH(OC69,OC69:OC174,0),MATCH(Structure!$D$22,$OA$14:$OZ$14,0))))</f>
        <v/>
      </c>
      <c r="CR69" s="239" t="str">
        <f>IF(A69=FALSE,"",IF(ALLTHESAME=TRUE,INDEX(PA69:PZ69,MATCH(PC69,PC69:PC174,0),MATCH(Structure!$D$22,$PA$14:$PZ$14,0)),INDEX(QA69:QZ69,MATCH(QC69,QC69:QC174,0),MATCH(Structure!$D$22,$QA$14:$QZ$14,0))))</f>
        <v/>
      </c>
      <c r="CS69" s="341" t="str">
        <f>IF(A69=FALSE,"",IF(ALLTHESAME=TRUE,INDEX(RA69:RZ69,MATCH(RC69,RC69:RC174,0),MATCH(Structure!$D$22,$RA$14:$RZ$14,0)),INDEX(SA69:TC69,MATCH(SC69,SC69:SC174,0),MATCH(Structure!$D$22,$SA$14:$TC$14,0))))</f>
        <v/>
      </c>
      <c r="CT69" s="347"/>
      <c r="CU69" s="239" t="str">
        <f t="shared" si="457"/>
        <v/>
      </c>
      <c r="CV69" s="239" t="str">
        <f>IF(A69=FALSE,"",IF(ALLTHESAME=TRUE,INDEX(DD69:DZ69,MATCH(DF69,DF69:DF174,0),MATCH(Structure!$D$8,$DD$14:$DZ$14,0)),INDEX(EA69:EZ69,MATCH(EC69,EC69:EC174,0),MATCH(Structure!$D$8,$EA$14:$EZ$14,0))))</f>
        <v/>
      </c>
      <c r="CW69" s="239" t="str">
        <f>IF(A69=FALSE,"",IF(ALLTHESAME=TRUE,INDEX(FA69:FZ69,MATCH(FC69,FC69:FC174,0),MATCH(Structure!$D$8,$FA$14:$FZ$14,0)),INDEX(GA69:GZ69,MATCH(GC69,GC69:GC174,0),MATCH(Structure!$D$8,$GA$14:$GZ$14,0))))</f>
        <v/>
      </c>
      <c r="CX69" s="239" t="str">
        <f>IF(A69=FALSE,"",IF(ALLTHESAME=TRUE,INDEX(HA69:HZ69,MATCH(HC69,HC69:HC174,0),MATCH(Structure!$D$8,$HA$14:$HZ$14,0)),INDEX(IA69:IZ69,MATCH(IC69,IC69:IC174,0),MATCH(Structure!$D$8,$IA$14:$IZ$14,0))))</f>
        <v/>
      </c>
      <c r="CY69" s="239" t="str">
        <f>IF(A69=FALSE,"",IF(ALLTHESAME=TRUE,INDEX(JA69:JZ69,MATCH(JC69,JC69:JC174,0),MATCH(Structure!$D$8,$JA$14:$JZ$14,0)),INDEX(KA69:KZ69,MATCH(KC69,KC69:KC174,0),MATCH(Structure!$D$8,$KA$14:$KZ$14,0))))</f>
        <v/>
      </c>
      <c r="CZ69" s="239" t="str">
        <f>IF(A69=FALSE,"",IF(ALLTHESAME=TRUE,INDEX(LA69:LZ69,MATCH(LC69,LC69:LC174,0),MATCH(Structure!$D$8,$LA$14:$LZ$14,0)),INDEX(MA69:MZ69,MATCH(MC69,MC69:MC174,0),MATCH(Structure!$D$8,$MA$14:$MZ$14,0))))</f>
        <v/>
      </c>
      <c r="DA69" s="239" t="str">
        <f>IF(A69=FALSE,"",IF(ALLTHESAME=TRUE,INDEX(NA69:NZ69,MATCH(NC69,NC69:NC174,0),MATCH(Structure!$D$8,$NA$14:$NZ$14,0)),INDEX(OA69:OZ69,MATCH(OC69,OC69:OC174,0),MATCH(Structure!$D$8,$OA$14:$OZ$14,0))))</f>
        <v/>
      </c>
      <c r="DB69" s="239" t="str">
        <f>IF(A69=FALSE,"",IF(ALLTHESAME=TRUE,INDEX(PA69:PZ69,MATCH(PC69,PC69:PC174,0),MATCH(Structure!$D$8,$PA$14:$PZ$14,0)),INDEX(QA69:QZ69,MATCH(QC69,QC69:QC174,0),MATCH(Structure!$D$8,$QA$14:$QZ$14,0))))</f>
        <v/>
      </c>
      <c r="DC69" s="341" t="str">
        <f>IF(A69=FALSE,"",IF(ALLTHESAME=TRUE,INDEX(RA69:RZ69,MATCH(RC69,RC69:RC174,0),MATCH(Structure!$D$8,$RA$14:$RZ$14,0)),INDEX(SA69:TC69,MATCH(SC69,SC69:SC174,0),MATCH(Structure!$D$8,$SA$14:$TC$14,0))))</f>
        <v/>
      </c>
      <c r="DD69" s="492" t="str">
        <f>IF(A69=FALSE,"",Cotations!D69)</f>
        <v/>
      </c>
      <c r="DE69" s="492" t="str">
        <f>IF(A69=FALSE,"",IF(LISTES!$A$17=1,Cotations!AF69,Cotations!$AG$4))</f>
        <v/>
      </c>
      <c r="DF69" s="291" t="str">
        <f t="shared" si="458"/>
        <v/>
      </c>
      <c r="DG69" s="291" t="str">
        <f t="shared" si="459"/>
        <v/>
      </c>
      <c r="DH69" s="291"/>
      <c r="DI69" s="463"/>
      <c r="DJ69" s="463" t="str">
        <f t="shared" si="460"/>
        <v/>
      </c>
      <c r="DK69" s="522" t="str">
        <f>IF(A69=FALSE,"",IF(Cotations!$AH$4="monthly",DJ69/12*L69,DJ69/365*M69))</f>
        <v/>
      </c>
      <c r="DL69" s="489" t="str">
        <f>IF(A69=FALSE,"",Cotations!$AI$4)</f>
        <v/>
      </c>
      <c r="DM69" s="300" t="str">
        <f t="shared" si="461"/>
        <v/>
      </c>
      <c r="DN69" s="300" t="str">
        <f t="shared" si="462"/>
        <v/>
      </c>
      <c r="DO69" s="294" t="str">
        <f t="shared" si="463"/>
        <v/>
      </c>
      <c r="DP69" s="494" t="str">
        <f>IF(A69=FALSE,"",Cotations!$AJ$4)</f>
        <v/>
      </c>
      <c r="DQ69" s="494" t="str">
        <f>IF(A69=FALSE,"",Cotations!$AK$4)</f>
        <v/>
      </c>
      <c r="DR69" s="489" t="str">
        <f>IF(A69=FALSE,"",Cotations!$AL$4)</f>
        <v/>
      </c>
      <c r="DS69" s="494" t="str">
        <f>IF(A69=FALSE,"",IF(DP69="N/A",0,IF(INDEX(LISTES!$F$105:$F$109,MATCH(DP69,LISTES!$C$105:$C$109,0))="FIX",IF(INDEX(LISTES!$E$105:$E$109,MATCH(DP69,LISTES!$C$105:$C$109,0))=12,DQ69/12*L69,DQ69/365*M69),DR69*DO69)))</f>
        <v/>
      </c>
      <c r="DT69" s="294" t="str">
        <f t="shared" si="464"/>
        <v/>
      </c>
      <c r="DU69" s="294" t="str">
        <f>IF(A69=FALSE,"",DT69*Cotations!$AM$4)</f>
        <v/>
      </c>
      <c r="DV69" s="294" t="str">
        <f>IF(A69=FALSE,"",DT69*Cotations!$AN$4)</f>
        <v/>
      </c>
      <c r="DW69" s="465" t="str">
        <f t="shared" si="465"/>
        <v/>
      </c>
      <c r="DX69" s="919" t="str">
        <f>IF(A69=FALSE,"",((DJ69*TAXE)-(DJ69*TAXE*DL69))+IF(DP69="N/A",0,IF(INDEX(LISTES!$F$105:$F$109,MATCH(DP69,LISTES!$C$105:$C$109,0))="FIX",DQ69,DR69*DO69)))</f>
        <v/>
      </c>
      <c r="DY69" s="466"/>
      <c r="DZ69" s="466"/>
      <c r="EA69" s="492" t="str">
        <f>IF(A69=FALSE,"",Cotations!D69)</f>
        <v/>
      </c>
      <c r="EB69" s="494" t="str">
        <f>IF(A69=FALSE,"",IF(LISTES!$A$17=1,Cotations!AF69,Cotations!AG69))</f>
        <v/>
      </c>
      <c r="EC69" s="284" t="str">
        <f t="shared" si="466"/>
        <v/>
      </c>
      <c r="ED69" s="284" t="str">
        <f t="shared" si="467"/>
        <v/>
      </c>
      <c r="EE69" s="284"/>
      <c r="EF69" s="284"/>
      <c r="EG69" s="284" t="str">
        <f t="shared" si="468"/>
        <v/>
      </c>
      <c r="EH69" s="1365" t="str">
        <f t="shared" si="469"/>
        <v/>
      </c>
      <c r="EI69" s="1365" t="str">
        <f t="shared" si="470"/>
        <v/>
      </c>
      <c r="EJ69" s="515" t="str">
        <f>IF(A69=FALSE,"",IF(Cotations!AH69="monthly",EG69/12*L69,EG69/365*M69))</f>
        <v/>
      </c>
      <c r="EK69" s="1364" t="str">
        <f>IF(A69=FALSE,"",IF(Cotations!AH69="monthly",EI69/12*L69,EI69/365*M69))</f>
        <v/>
      </c>
      <c r="EL69" s="493" t="str">
        <f>IF(A69=FALSE,"",IF(Cotations!AI69="","",Cotations!AI69))</f>
        <v/>
      </c>
      <c r="EM69" s="284" t="str">
        <f t="shared" si="471"/>
        <v/>
      </c>
      <c r="EN69" s="284" t="str">
        <f t="shared" si="472"/>
        <v/>
      </c>
      <c r="EO69" s="1365" t="str">
        <f t="shared" si="432"/>
        <v/>
      </c>
      <c r="EP69" s="284" t="str">
        <f t="shared" si="473"/>
        <v/>
      </c>
      <c r="EQ69" s="515" t="str">
        <f>IF(A69=FALSE,"",Cotations!AJ69)</f>
        <v/>
      </c>
      <c r="ER69" s="515" t="str">
        <f>IF(A69=FALSE,"",IF(Cotations!AK69="","",Cotations!AK69))</f>
        <v/>
      </c>
      <c r="ES69" s="493" t="str">
        <f>IF(A69=FALSE,"",Cotations!AL69)</f>
        <v/>
      </c>
      <c r="ET69" s="515" t="str">
        <f>IF(A69=FALSE,"",IF(EQ69="N/A",0,IF(INDEX(LISTES!$F$105:$F$109,MATCH(EQ69,LISTES!$C$105:$C$109,0))="FIX",IF(INDEX(LISTES!$E$105:$E$109,MATCH(EQ69,LISTES!$C$105:$C$109,0))=12,ER69/12*L69,ER69/365*M69),ES69*EP69)))</f>
        <v/>
      </c>
      <c r="EU69" s="294" t="str">
        <f t="shared" si="474"/>
        <v/>
      </c>
      <c r="EV69" s="494" t="str">
        <f>IF(A69=FALSE,"",EU69*Cotations!AM69)</f>
        <v/>
      </c>
      <c r="EW69" s="494" t="str">
        <f>IF(A69=FALSE,"",EU69*Cotations!AN69)</f>
        <v/>
      </c>
      <c r="EX69" s="334" t="str">
        <f t="shared" si="475"/>
        <v/>
      </c>
      <c r="EY69" s="919" t="str">
        <f>IF(A69=FALSE,"",((EG69*TAXE)-(EG69*TAXE*EL69)+EH69)+IF(EQ69="N/A",0,IF(INDEX(LISTES!$F$105:$F$109,MATCH(EQ69,LISTES!$C$105:$C$109,0))="FIX",ER69,ES69*EP69)))</f>
        <v/>
      </c>
      <c r="FA69" s="492" t="str">
        <f>IF(A69=FALSE,"",Cotations!D69)</f>
        <v/>
      </c>
      <c r="FB69" s="519" t="str">
        <f>IF(A69=FALSE,"",IF(LISTES!$A$17=1,Cotations!AO69,Cotations!$AP$4))</f>
        <v/>
      </c>
      <c r="FC69" s="291" t="str">
        <f t="shared" si="476"/>
        <v/>
      </c>
      <c r="FD69" s="291" t="str">
        <f t="shared" si="477"/>
        <v/>
      </c>
      <c r="FE69" s="291"/>
      <c r="FF69" s="463"/>
      <c r="FG69" s="463" t="str">
        <f t="shared" si="478"/>
        <v/>
      </c>
      <c r="FH69" s="522" t="str">
        <f>IF(A69=FALSE,"",IF(Cotations!$AQ$4="monthly",FG69/12*L69,FG69/365*M69))</f>
        <v/>
      </c>
      <c r="FI69" s="453" t="str">
        <f>IF(A69=FALSE,"",Cotations!$AR$4)</f>
        <v/>
      </c>
      <c r="FJ69" s="300" t="str">
        <f t="shared" si="479"/>
        <v/>
      </c>
      <c r="FK69" s="300" t="str">
        <f t="shared" si="480"/>
        <v/>
      </c>
      <c r="FL69" s="294" t="str">
        <f t="shared" si="481"/>
        <v/>
      </c>
      <c r="FM69" s="494" t="str">
        <f>IF(A69=FALSE,"",Cotations!$AS$4)</f>
        <v/>
      </c>
      <c r="FN69" s="494" t="str">
        <f>IF(A69=FALSE,"",Cotations!$AT$4)</f>
        <v/>
      </c>
      <c r="FO69" s="489" t="str">
        <f>IF(A69=FALSE,"",Cotations!$AU$4)</f>
        <v/>
      </c>
      <c r="FP69" s="494" t="str">
        <f>IF(A69=FALSE,"",IF(FM69="N/A",0,IF(INDEX(LISTES!$F$105:$F$109,MATCH(FM69,LISTES!$C$105:$C$109,0))="FIX",IF(INDEX(LISTES!$E$105:$E$109,MATCH(FM69,LISTES!$C$105:$C$109,0))=12,FN69/12*L69,FN69/365*M69),FO69*FL69)))</f>
        <v/>
      </c>
      <c r="FQ69" s="294" t="str">
        <f t="shared" si="482"/>
        <v/>
      </c>
      <c r="FR69" s="494" t="str">
        <f>IF(A69=FALSE,"",FQ69*Cotations!$AV$4)</f>
        <v/>
      </c>
      <c r="FS69" s="494" t="str">
        <f>IF(A69=FALSE,"",FQ69*Cotations!$AW$4)</f>
        <v/>
      </c>
      <c r="FT69" s="465" t="str">
        <f t="shared" si="483"/>
        <v/>
      </c>
      <c r="FU69" s="919" t="str">
        <f>IF(A69=FALSE,"",((FG69*TAXE)-(FG69*TAXE*FI69))+IF(FM69="N/A",0,IF(INDEX(LISTES!$F$105:$F$109,MATCH(FM69,LISTES!$C$105:$C$109,0))="FIX",FN69,FO69*FL69)))</f>
        <v/>
      </c>
      <c r="FV69" s="478"/>
      <c r="FW69" s="478"/>
      <c r="FX69" s="478"/>
      <c r="FY69" s="478"/>
      <c r="FZ69" s="478"/>
      <c r="GA69" s="492" t="str">
        <f>IF(A69=FALSE,"",Cotations!D69)</f>
        <v/>
      </c>
      <c r="GB69" s="494" t="str">
        <f>IF(A69=FALSE,"",IF(LISTES!$A$17=1,Cotations!AO69,Cotations!AP69))</f>
        <v/>
      </c>
      <c r="GC69" s="284" t="str">
        <f t="shared" si="484"/>
        <v/>
      </c>
      <c r="GD69" s="515" t="str">
        <f>IF(A69=FALSE,"",IF(Detail!AM69="","",Detail!AM69))</f>
        <v/>
      </c>
      <c r="GE69" s="284"/>
      <c r="GF69" s="284"/>
      <c r="GG69" s="284" t="str">
        <f t="shared" si="485"/>
        <v/>
      </c>
      <c r="GH69" s="515" t="str">
        <f>IF(A69=FALSE,"",IF(Cotations!AQ69="monthly",GG69/12*L69,GG69/365*M69))</f>
        <v/>
      </c>
      <c r="GI69" s="493" t="str">
        <f>IF(A69=FALSE,"",IF(Cotations!AR69="","",Cotations!AR69))</f>
        <v/>
      </c>
      <c r="GJ69" s="284" t="str">
        <f t="shared" si="486"/>
        <v/>
      </c>
      <c r="GK69" s="284" t="str">
        <f t="shared" si="487"/>
        <v/>
      </c>
      <c r="GL69" s="284" t="str">
        <f t="shared" si="488"/>
        <v/>
      </c>
      <c r="GM69" s="515" t="str">
        <f>IF(A69=FALSE,"",Cotations!AS69)</f>
        <v/>
      </c>
      <c r="GN69" s="515" t="str">
        <f>IF(A69=FALSE,"",Cotations!AT69)</f>
        <v/>
      </c>
      <c r="GO69" s="493" t="str">
        <f>IF(A69=FALSE,"",Cotations!AU69)</f>
        <v/>
      </c>
      <c r="GP69" s="515" t="str">
        <f>IF(A69=FALSE,"",IF(GM69="N/A",0,IF(INDEX(LISTES!$F$105:$F$109,MATCH(GM69,LISTES!$C$105:$C$109,0))="FIX",IF(INDEX(LISTES!$E$105:$E$109,MATCH(GM69,LISTES!$C$105:$C$109,0))=12,GN69/12*L69,GN69/365*M69),GO69*GL69)))</f>
        <v/>
      </c>
      <c r="GQ69" s="294" t="str">
        <f t="shared" si="489"/>
        <v/>
      </c>
      <c r="GR69" s="494" t="str">
        <f>IF(A69=FALSE,"",GQ69*Cotations!AV69)</f>
        <v/>
      </c>
      <c r="GS69" s="494" t="str">
        <f>IF(A69=FALSE,"",GQ69*Cotations!AW69)</f>
        <v/>
      </c>
      <c r="GT69" s="334" t="str">
        <f t="shared" si="490"/>
        <v/>
      </c>
      <c r="GU69" s="919" t="str">
        <f>IF(A69=FALSE,"",((GG69*TAXE)-(GG69*TAXE*GI69))+IF(GM69="N/A",0,IF(INDEX(LISTES!$F$105:$F$109,MATCH(GM69,LISTES!$C$105:$C$109,0))="FIX",GN69,GO69*GL69)))</f>
        <v/>
      </c>
      <c r="GV69" s="478"/>
      <c r="GW69" s="466"/>
      <c r="GX69" s="466"/>
      <c r="GY69" s="466"/>
      <c r="GZ69" s="466"/>
      <c r="HA69" s="492" t="str">
        <f>IF(A69=FALSE,"",Cotations!D69)</f>
        <v/>
      </c>
      <c r="HB69" s="495" t="str">
        <f>IF(A69=FALSE,"",IF(LISTES!$A$17=1,Cotations!AX69,Cotations!$AY$4))</f>
        <v/>
      </c>
      <c r="HC69" s="291" t="str">
        <f t="shared" si="491"/>
        <v/>
      </c>
      <c r="HD69" s="291" t="str">
        <f t="shared" si="492"/>
        <v/>
      </c>
      <c r="HE69" s="456" t="str">
        <f t="shared" si="493"/>
        <v/>
      </c>
      <c r="HF69" s="496" t="str">
        <f>IF(A69=FALSE,"",IF(HA69="POEA",Cotations!BA69,IF(HA69="FIXE",Cotations!$BA$4,Cotations!$BC$4*Y69)))</f>
        <v/>
      </c>
      <c r="HG69" s="300" t="str">
        <f t="shared" si="494"/>
        <v/>
      </c>
      <c r="HH69" s="522" t="str">
        <f>IF(A69=FALSE,"",IF(Cotations!$AZ$4="monthly",HG69/12*L69,HG69/365*M69))</f>
        <v/>
      </c>
      <c r="HI69" s="489" t="str">
        <f>IF(A69=FALSE,"",Cotations!$BD$4)</f>
        <v/>
      </c>
      <c r="HJ69" s="300" t="str">
        <f t="shared" si="495"/>
        <v/>
      </c>
      <c r="HK69" s="300" t="str">
        <f t="shared" si="496"/>
        <v/>
      </c>
      <c r="HL69" s="294" t="str">
        <f t="shared" si="497"/>
        <v/>
      </c>
      <c r="HM69" s="494" t="str">
        <f>IF(A69=FALSE,"",Cotations!$BE$4)</f>
        <v/>
      </c>
      <c r="HN69" s="522" t="str">
        <f>IF(A69=FALSE,"",Cotations!$BF$4)</f>
        <v/>
      </c>
      <c r="HO69" s="489" t="str">
        <f>IF(A69=FALSE,"",Cotations!$BG$4)</f>
        <v/>
      </c>
      <c r="HP69" s="494" t="str">
        <f>IF(A69=FALSE,"",IF(HM69="N/A",0,IF(INDEX(LISTES!$F$105:$F$109,MATCH(HM69,LISTES!$C$105:$C$109,0))="FIX",IF(INDEX(LISTES!$E$105:$E$109,MATCH(HM69,LISTES!$C$105:$C$109,0))=12,HN69/12*L69,HN69/365*M69),HO69*HL69)))</f>
        <v/>
      </c>
      <c r="HQ69" s="294" t="str">
        <f t="shared" si="498"/>
        <v/>
      </c>
      <c r="HR69" s="494" t="str">
        <f>IF(A69=FALSE,"",HQ69*Cotations!$BH$4)</f>
        <v/>
      </c>
      <c r="HS69" s="494" t="str">
        <f>IF(A69=FALSE,"",HQ69*Cotations!$BI$4)</f>
        <v/>
      </c>
      <c r="HT69" s="294" t="str">
        <f t="shared" si="499"/>
        <v/>
      </c>
      <c r="HU69" s="919" t="str">
        <f>IF(A69=FALSE,"",((HG69*TAXE)-(HG69*TAXE*HI69))+IF(HM69="N/A",0,IF(INDEX(LISTES!$F$105:$F$109,MATCH(HM69,LISTES!$C$105:$C$109,0))="FIX",HN69,HO69*HL69)))</f>
        <v/>
      </c>
      <c r="IA69" s="492" t="str">
        <f>IF(A69=FALSE,"",Cotations!D69)</f>
        <v/>
      </c>
      <c r="IB69" s="491" t="str">
        <f>IF(A69=FALSE,"",IF(LISTES!$A$17=1,Cotations!AX69,Cotations!AY69))</f>
        <v/>
      </c>
      <c r="IC69" s="285" t="str">
        <f t="shared" si="500"/>
        <v/>
      </c>
      <c r="ID69" s="300" t="str">
        <f>IF(A69=FALSE,"",IF(LISTES!$A$17=3,Detail!AU69,lig1_Formula_PREVOY))</f>
        <v/>
      </c>
      <c r="IE69" s="461" t="str">
        <f t="shared" si="501"/>
        <v/>
      </c>
      <c r="IF69" s="490" t="str">
        <f>IF(A69=FALSE,"",IF(IA69="POEA",Cotations!BA69,IF(HA69="FIXE",Cotations!BB69,IF(Cotations!BC69*Y69&lt;50000,Z69,Cotations!BC69*Y69))))</f>
        <v/>
      </c>
      <c r="IG69" s="300" t="str">
        <f t="shared" si="502"/>
        <v/>
      </c>
      <c r="IH69" s="522" t="str">
        <f>IF(A69=FALSE,"",IF(Cotations!AZ69="monthly",IG69/12*L69,IG69/365*M69))</f>
        <v/>
      </c>
      <c r="II69" s="489" t="str">
        <f>IF(A69=FALSE,"",IF(Cotations!BD69="","",Cotations!BD69))</f>
        <v/>
      </c>
      <c r="IJ69" s="300" t="str">
        <f t="shared" si="503"/>
        <v/>
      </c>
      <c r="IK69" s="300" t="str">
        <f t="shared" si="504"/>
        <v/>
      </c>
      <c r="IL69" s="919" t="str">
        <f t="shared" si="505"/>
        <v/>
      </c>
      <c r="IM69" s="517" t="str">
        <f>IF(A69=FALSE,"",Cotations!BE69)</f>
        <v/>
      </c>
      <c r="IN69" s="517" t="str">
        <f>IF(A69=FALSE,"",Cotations!BF69)</f>
        <v/>
      </c>
      <c r="IO69" s="493" t="str">
        <f>IF(A69=FALSE,"",Cotations!BG69)</f>
        <v/>
      </c>
      <c r="IP69" s="517" t="str">
        <f>IF(A69=FALSE,"",IF(IM69="N/A",0,IF(INDEX(LISTES!$F$105:$F$109,MATCH(IM69,LISTES!$C$105:$C$109,0))="FIX",IF(INDEX(LISTES!$E$105:$E$109,MATCH(IM69,LISTES!$C$105:$C$109,0))=12,IN69/12*L69,IN69/365*M69),IO69*IL69)))</f>
        <v/>
      </c>
      <c r="IQ69" s="294" t="str">
        <f t="shared" si="506"/>
        <v/>
      </c>
      <c r="IR69" s="494" t="str">
        <f>IF(A69=FALSE,"",IQ69*Cotations!BH69)</f>
        <v/>
      </c>
      <c r="IS69" s="494" t="str">
        <f>IF(A69=FALSE,"",IQ69*Cotations!BI69)</f>
        <v/>
      </c>
      <c r="IT69" s="338" t="str">
        <f t="shared" si="507"/>
        <v/>
      </c>
      <c r="IU69" s="919" t="str">
        <f>IF(A69=FALSE,"",((IG69*TAXE)-(IG69*TAXE*II69))+IF(IM69="N/A",0,IF(INDEX(LISTES!$F$105:$F$109,MATCH(IM69,LISTES!$C$105:$C$109,0))="FIX",IN69,IO69*IL69)))</f>
        <v/>
      </c>
      <c r="JA69" s="492" t="str">
        <f>IF(A69=FALSE,"",Cotations!D69)</f>
        <v/>
      </c>
      <c r="JB69" s="495" t="str">
        <f>IF(A69=FALSE,"",IF(LISTES!$A$17=1,Cotations!BJ69,Cotations!$BK$4))</f>
        <v/>
      </c>
      <c r="JC69" s="291" t="str">
        <f t="shared" si="508"/>
        <v/>
      </c>
      <c r="JD69" s="291" t="str">
        <f t="shared" si="509"/>
        <v/>
      </c>
      <c r="JE69" s="456" t="str">
        <f t="shared" si="510"/>
        <v/>
      </c>
      <c r="JF69" s="496" t="str">
        <f>IF(A69=FALSE,"",IF(JA69="POEA",Cotations!BM69,IF(JA69="FIXE",Cotations!$BM$4,Cotations!$BO$4*Y69)))</f>
        <v/>
      </c>
      <c r="JG69" s="300" t="str">
        <f t="shared" si="511"/>
        <v/>
      </c>
      <c r="JH69" s="522" t="str">
        <f>IF(A69=FALSE,"",IF(Cotations!$BL$4="monthly",JG69/12*L69,JG69/365*M69))</f>
        <v/>
      </c>
      <c r="JI69" s="489" t="str">
        <f>IF(A69=FALSE,"",Cotations!$BP$4)</f>
        <v/>
      </c>
      <c r="JJ69" s="300" t="str">
        <f t="shared" si="512"/>
        <v/>
      </c>
      <c r="JK69" s="300" t="str">
        <f t="shared" si="513"/>
        <v/>
      </c>
      <c r="JL69" s="294" t="str">
        <f t="shared" si="514"/>
        <v/>
      </c>
      <c r="JM69" s="494" t="str">
        <f>IF(A69=FALSE,"",Cotations!$BQ$4)</f>
        <v/>
      </c>
      <c r="JN69" s="522" t="str">
        <f>IF(A69=FALSE,"",Cotations!$BR$4)</f>
        <v/>
      </c>
      <c r="JO69" s="489" t="str">
        <f>IF(A69=FALSE,"",Cotations!$BS$4)</f>
        <v/>
      </c>
      <c r="JP69" s="494" t="str">
        <f>IF(A69=FALSE,"",IF(JM69="N/A",0,IF(INDEX(LISTES!$F$105:$F$109,MATCH(JM69,LISTES!$C$105:$C$109,0))="FIX",IF(INDEX(LISTES!$E$105:$E$109,MATCH(JM69,LISTES!$C$105:$C$109,0))=12,JN69/12*L69,JN69/365*M69),JO69*JL69)))</f>
        <v/>
      </c>
      <c r="JQ69" s="294" t="str">
        <f t="shared" si="515"/>
        <v/>
      </c>
      <c r="JR69" s="494" t="str">
        <f>IF(A69=FALSE,"",JQ69*Cotations!$BT$4)</f>
        <v/>
      </c>
      <c r="JS69" s="494" t="str">
        <f>IF(A69=FALSE,"",JQ69*Cotations!$BU$4)</f>
        <v/>
      </c>
      <c r="JT69" s="294" t="str">
        <f t="shared" si="516"/>
        <v/>
      </c>
      <c r="JU69" s="919" t="str">
        <f>IF(A69=FALSE,"",((JG69*TAXE)-(JG69*TAXE*JI69))+IF(JM69="N/A",0,IF(INDEX(LISTES!$F$105:$F$109,MATCH(JM69,LISTES!$C$105:$C$109,0))="FIX",JN69,JO69*JL69)))</f>
        <v/>
      </c>
      <c r="KA69" s="492" t="str">
        <f>IF(A69=FALSE,"",Cotations!D69)</f>
        <v/>
      </c>
      <c r="KB69" s="491" t="str">
        <f>IF(A69=FALSE,"",IF(LISTES!$A$17=1,Cotations!BJ69,Cotations!BK69))</f>
        <v/>
      </c>
      <c r="KC69" s="285" t="str">
        <f t="shared" si="517"/>
        <v/>
      </c>
      <c r="KD69" s="300"/>
      <c r="KE69" s="461" t="str">
        <f t="shared" si="518"/>
        <v/>
      </c>
      <c r="KF69" s="490" t="str">
        <f>IF(A69=FALSE,"",IF(KA69="POEA",Cotations!BM69,IF(KA69="FIXE",Cotations!BN69,IF(Cotations!BO69*Y69&lt;50000,Z69,Cotations!BO69*Y69))))</f>
        <v/>
      </c>
      <c r="KG69" s="300" t="str">
        <f t="shared" si="519"/>
        <v/>
      </c>
      <c r="KH69" s="522" t="str">
        <f>IF(A69=FALSE,"",IF(Cotations!BL69="monthly",KG69/12*L69,KG69/365*M69))</f>
        <v/>
      </c>
      <c r="KI69" s="489" t="str">
        <f>IF(A69=FALSE,"",IF(Cotations!BP69="","",Cotations!BP69))</f>
        <v/>
      </c>
      <c r="KJ69" s="300" t="str">
        <f t="shared" si="520"/>
        <v/>
      </c>
      <c r="KK69" s="300" t="str">
        <f t="shared" si="521"/>
        <v/>
      </c>
      <c r="KL69" s="919" t="str">
        <f t="shared" si="522"/>
        <v/>
      </c>
      <c r="KM69" s="517" t="str">
        <f>IF(A69=FALSE,"",Cotations!BQ69)</f>
        <v/>
      </c>
      <c r="KN69" s="515" t="str">
        <f>IF(A69=FALSE,"",Cotations!BR69)</f>
        <v/>
      </c>
      <c r="KO69" s="493" t="str">
        <f>IF(A69=FALSE,"",Cotations!BS69)</f>
        <v/>
      </c>
      <c r="KP69" s="517" t="str">
        <f>IF(A69=FALSE,"",IF(KM69="N/A",0,IF(INDEX(LISTES!$F$105:$F$109,MATCH(KM69,LISTES!$C$105:$C$109,0))="FIX",IF(INDEX(LISTES!$E$105:$E$109,MATCH(KM69,LISTES!$C$105:$C$109,0))=12,KN69/12*L69,KN69/365*M69),KO69*KL69)))</f>
        <v/>
      </c>
      <c r="KQ69" s="294" t="str">
        <f t="shared" si="523"/>
        <v/>
      </c>
      <c r="KR69" s="494" t="str">
        <f>IF(A69=FALSE,"",KQ69*Cotations!BT69)</f>
        <v/>
      </c>
      <c r="KS69" s="494" t="str">
        <f>IF(A69=FALSE,"",KQ69*Cotations!BU69)</f>
        <v/>
      </c>
      <c r="KT69" s="338" t="str">
        <f t="shared" si="524"/>
        <v/>
      </c>
      <c r="KU69" s="919" t="str">
        <f>IF(A69=FALSE,"",((KG69*TAXE)-(KG69*TAXE*KI69))+IF(KM69="N/A",0,IF(INDEX(LISTES!$F$105:$F$109,MATCH(KM69,LISTES!$C$105:$C$109,0))="FIX",KN69,KO69*KL69)))</f>
        <v/>
      </c>
      <c r="LA69" s="497" t="str">
        <f>IF(A69=FALSE,"",Cotations!D69)</f>
        <v/>
      </c>
      <c r="LB69" s="498" t="str">
        <f>IF(A69=FALSE,"",IF(LISTES!$A$17=1,Cotations!BV69,Cotations!$BW$4))</f>
        <v/>
      </c>
      <c r="LC69" s="499" t="str">
        <f t="shared" si="525"/>
        <v/>
      </c>
      <c r="LD69" s="499" t="str">
        <f t="shared" si="526"/>
        <v/>
      </c>
      <c r="LE69" s="500" t="str">
        <f t="shared" si="527"/>
        <v/>
      </c>
      <c r="LF69" s="501" t="str">
        <f>IF(A69=FALSE,"",IF(LA69="POEA",Cotations!EJ69,IF(LA69="FIXE",Cotations!$BY$4,Cotations!$CA$4*Y69)))</f>
        <v/>
      </c>
      <c r="LG69" s="502" t="str">
        <f t="shared" si="528"/>
        <v/>
      </c>
      <c r="LH69" s="520" t="str">
        <f>IF(A69=FALSE,"",IF(Cotations!$BX$4="monthly",LG69/12*L69,LG69/365*M69))</f>
        <v/>
      </c>
      <c r="LI69" s="503" t="str">
        <f>IF(A69=FALSE,"",Cotations!$CB$4)</f>
        <v/>
      </c>
      <c r="LJ69" s="502" t="str">
        <f t="shared" si="529"/>
        <v/>
      </c>
      <c r="LK69" s="502" t="str">
        <f t="shared" si="530"/>
        <v/>
      </c>
      <c r="LL69" s="504" t="str">
        <f t="shared" si="531"/>
        <v/>
      </c>
      <c r="LM69" s="505" t="str">
        <f>IF(A69=FALSE,"",Cotations!$CC$4)</f>
        <v/>
      </c>
      <c r="LN69" s="503" t="str">
        <f>IF(A69=FALSE,"",Cotations!$CD$4)</f>
        <v/>
      </c>
      <c r="LO69" s="503" t="str">
        <f>IF(A69=FALSE,"",Cotations!$CE$4)</f>
        <v/>
      </c>
      <c r="LP69" s="505" t="str">
        <f>IF(A69=FALSE,"",IF(LM69="N/A",0,IF(INDEX(LISTES!$F$105:$F$109,MATCH(LM69,LISTES!$C$105:$C$109,0))="FIX",IF(INDEX(LISTES!$E$105:$E$109,MATCH(LM69,LISTES!$C$105:$C$109,0))=12,LN69/12*L69,LN69/365*M69),LO69*LL69)))</f>
        <v/>
      </c>
      <c r="LQ69" s="504" t="str">
        <f t="shared" si="532"/>
        <v/>
      </c>
      <c r="LR69" s="505" t="str">
        <f>IF(A69=FALSE,"",LQ69*Cotations!$CF$4)</f>
        <v/>
      </c>
      <c r="LS69" s="505" t="str">
        <f>IF(A69=FALSE,"",LQ69*Cotations!$CG$4)</f>
        <v/>
      </c>
      <c r="LT69" s="506" t="str">
        <f t="shared" si="533"/>
        <v/>
      </c>
      <c r="LU69" s="919" t="str">
        <f>IF(A69=FALSE,"",((LG69*TAXE)-(LG69*TAXE*LI69))+IF(LM69="N/A",0,IF(INDEX(LISTES!$F$105:$F$109,MATCH(LM69,LISTES!$C$105:$C$109,0))="FIX",LN69,LO69*LL69)))</f>
        <v/>
      </c>
      <c r="MA69" s="492" t="str">
        <f>IF(A69=FALSE,"",Cotations!D69)</f>
        <v/>
      </c>
      <c r="MB69" s="491" t="str">
        <f>IF(A69=FALSE,"",IF(LISTES!$A$17=1,Cotations!BV69,Cotations!BW69))</f>
        <v/>
      </c>
      <c r="MC69" s="285" t="str">
        <f t="shared" si="534"/>
        <v/>
      </c>
      <c r="MD69" s="300"/>
      <c r="ME69" s="461" t="str">
        <f t="shared" si="535"/>
        <v/>
      </c>
      <c r="MF69" s="490" t="str">
        <f>IF(A69=FALSE,"",IF(MA69="POEA",Cotations!BY69,IF(MA69="FIXE",Cotations!BZ69,IF(Cotations!CA69*Y69&lt;50000,Z69,Cotations!CA69*Y69))))</f>
        <v/>
      </c>
      <c r="MG69" s="300" t="str">
        <f t="shared" si="536"/>
        <v/>
      </c>
      <c r="MH69" s="522" t="str">
        <f>IF(A69=FALSE,"",IF(Cotations!BX69="monthly",MG69/12*L69,MG69/365*M69))</f>
        <v/>
      </c>
      <c r="MI69" s="489" t="str">
        <f>IF(A69=FALSE,"",IF(Cotations!CB69="","",Cotations!CB69))</f>
        <v/>
      </c>
      <c r="MJ69" s="300" t="str">
        <f t="shared" si="537"/>
        <v/>
      </c>
      <c r="MK69" s="300" t="str">
        <f t="shared" si="538"/>
        <v/>
      </c>
      <c r="ML69" s="919" t="str">
        <f t="shared" si="539"/>
        <v/>
      </c>
      <c r="MM69" s="517" t="str">
        <f>IF(A69=FALSE,"",Cotations!CC69)</f>
        <v/>
      </c>
      <c r="MN69" s="515" t="str">
        <f>IF(A69=FALSE,"",Cotations!CD69)</f>
        <v/>
      </c>
      <c r="MO69" s="493" t="str">
        <f>IF(A69=FALSE,"",Cotations!CE69)</f>
        <v/>
      </c>
      <c r="MP69" s="517" t="str">
        <f>IF(A69=FALSE,"",IF(MM69="N/A",0,IF(INDEX(LISTES!$F$105:$F$109,MATCH(MM69,LISTES!$C$105:$C$109,0))="FIX",IF(INDEX(LISTES!$E$105:$E$109,MATCH(MM69,LISTES!$C$105:$C$109,0))=12,MN69/12*L69,MN69/365*M69),MO69*ML69)))</f>
        <v/>
      </c>
      <c r="MQ69" s="294" t="str">
        <f t="shared" si="540"/>
        <v/>
      </c>
      <c r="MR69" s="494" t="str">
        <f>IF(A69=FALSE,"",MQ69*Cotations!CF69)</f>
        <v/>
      </c>
      <c r="MS69" s="494" t="str">
        <f>IF(A69=FALSE,"",MQ69*Cotations!CG69)</f>
        <v/>
      </c>
      <c r="MT69" s="338" t="str">
        <f t="shared" si="541"/>
        <v/>
      </c>
      <c r="MU69" s="919" t="str">
        <f>IF(A69=FALSE,"",((MG69*TAXE)-(MG69*TAXE*MI69))+IF(MM69="N/A",0,IF(INDEX(LISTES!$F$105:$F$109,MATCH(MM69,LISTES!$C$105:$C$109,0))="FIX",MN69,MO69*ML69)))</f>
        <v/>
      </c>
      <c r="NA69" s="497" t="str">
        <f>IF(A69=FALSE,"",Cotations!D69)</f>
        <v/>
      </c>
      <c r="NB69" s="498" t="str">
        <f>IF(A69=FALSE,"",IF(LISTES!$A$17=1,Cotations!CH69,Cotations!$CI$4))</f>
        <v/>
      </c>
      <c r="NC69" s="499" t="str">
        <f t="shared" si="542"/>
        <v/>
      </c>
      <c r="ND69" s="499" t="str">
        <f t="shared" si="543"/>
        <v/>
      </c>
      <c r="NE69" s="500" t="str">
        <f t="shared" si="544"/>
        <v/>
      </c>
      <c r="NF69" s="501" t="str">
        <f>IF(A69=FALSE,"",IF(NA69="POEA",Cotations!CK69,IF(NA69="FIXE",Cotations!$CK$4,Cotations!$CM$4*Y69)))</f>
        <v/>
      </c>
      <c r="NG69" s="502" t="str">
        <f t="shared" si="545"/>
        <v/>
      </c>
      <c r="NH69" s="520" t="str">
        <f>IF(A69=FALSE,"",IF(Cotations!$CJ$4="monthly",NG69/12*L69,NG69/365*M69))</f>
        <v/>
      </c>
      <c r="NI69" s="503" t="str">
        <f>IF(A69=FALSE,"",Cotations!$CN$4)</f>
        <v/>
      </c>
      <c r="NJ69" s="502" t="str">
        <f t="shared" si="546"/>
        <v/>
      </c>
      <c r="NK69" s="502" t="str">
        <f t="shared" si="547"/>
        <v/>
      </c>
      <c r="NL69" s="504" t="str">
        <f t="shared" si="548"/>
        <v/>
      </c>
      <c r="NM69" s="505" t="str">
        <f>IF(A69=FALSE,"",Cotations!$CO$4)</f>
        <v/>
      </c>
      <c r="NN69" s="520" t="str">
        <f>IF(A69=FALSE,"",Cotations!$CP$4)</f>
        <v/>
      </c>
      <c r="NO69" s="503" t="str">
        <f>IF(A69=FALSE,"",Cotations!$CQ$4)</f>
        <v/>
      </c>
      <c r="NP69" s="505" t="str">
        <f>IF(A69=FALSE,"",IF(NM69="N/A",0,IF(INDEX(LISTES!$F$105:$F$109,MATCH(NM69,LISTES!$C$105:$C$109,0))="FIX",IF(INDEX(LISTES!$E$105:$E$109,MATCH(NM69,LISTES!$C$105:$C$109,0))=12,NN69/12*L69,NN69/365*M69),NO69*NL69)))</f>
        <v/>
      </c>
      <c r="NQ69" s="504" t="str">
        <f t="shared" si="549"/>
        <v/>
      </c>
      <c r="NR69" s="505" t="str">
        <f>IF(A69=FALSE,"",NQ69*Cotations!$CR$4)</f>
        <v/>
      </c>
      <c r="NS69" s="505" t="str">
        <f>IF(A69=FALSE,"",NQ69*Cotations!$CS$4)</f>
        <v/>
      </c>
      <c r="NT69" s="506" t="str">
        <f t="shared" si="550"/>
        <v/>
      </c>
      <c r="NU69" s="919" t="str">
        <f>IF(A69=FALSE,"",((NG69*TAXE)-(NG69*TAXE*NI69))+IF(NM69="N/A",0,IF(INDEX(LISTES!$F$105:$F$109,MATCH(NM69,LISTES!$C$105:$C$109,0))="FIX",NN69,NO69*NL69)))</f>
        <v/>
      </c>
      <c r="OA69" s="492" t="str">
        <f>IF(A69=FALSE,"",Cotations!D69)</f>
        <v/>
      </c>
      <c r="OB69" s="491" t="str">
        <f>IF(A69=FALSE,"",IF(LISTES!$A$17=1,Cotations!CH69,Cotations!CI69))</f>
        <v/>
      </c>
      <c r="OC69" s="285" t="str">
        <f t="shared" si="551"/>
        <v/>
      </c>
      <c r="OD69" s="300"/>
      <c r="OE69" s="461" t="str">
        <f t="shared" si="552"/>
        <v/>
      </c>
      <c r="OF69" s="490" t="str">
        <f>IF(A69=FALSE,"",IF(OA69="POEA",Cotations!CK69,IF(OA69="FIXE",Cotations!CL69,IF(Cotations!CM69*Y69&lt;50000,Z69,Cotations!CM69*Y69))))</f>
        <v/>
      </c>
      <c r="OG69" s="300" t="str">
        <f t="shared" si="553"/>
        <v/>
      </c>
      <c r="OH69" s="522" t="str">
        <f>IF(A69=FALSE,"",IF(Cotations!CJ69="monthly",OG69/12*L69,OG69/365*M69))</f>
        <v/>
      </c>
      <c r="OI69" s="489" t="str">
        <f>IF(A69=FALSE,"",IF(Cotations!CN69="","",Cotations!CN69))</f>
        <v/>
      </c>
      <c r="OJ69" s="300" t="str">
        <f t="shared" si="554"/>
        <v/>
      </c>
      <c r="OK69" s="300" t="str">
        <f t="shared" si="555"/>
        <v/>
      </c>
      <c r="OL69" s="919" t="str">
        <f t="shared" si="556"/>
        <v/>
      </c>
      <c r="OM69" s="517" t="str">
        <f>IF(A69=FALSE,"",Cotations!CO69)</f>
        <v/>
      </c>
      <c r="ON69" s="515" t="str">
        <f>IF(A69=FALSE,"",Cotations!CP69)</f>
        <v/>
      </c>
      <c r="OO69" s="493" t="str">
        <f>IF(A69=FALSE,"",Cotations!CQ69)</f>
        <v/>
      </c>
      <c r="OP69" s="517" t="str">
        <f>IF(A69=FALSE,"",IF(OM69="N/A",0,IF(INDEX(LISTES!$F$105:$F$109,MATCH(OM69,LISTES!$C$105:$C$109,0))="FIX",IF(INDEX(LISTES!$E$105:$E$109,MATCH(OM69,LISTES!$C$105:$C$109,0))=12,ON69/12*L69,ON69/365*M69),OO69*OL69)))</f>
        <v/>
      </c>
      <c r="OQ69" s="294" t="str">
        <f t="shared" si="557"/>
        <v/>
      </c>
      <c r="OR69" s="494" t="str">
        <f>IF(A69=FALSE,"",OQ69*Cotations!CR69)</f>
        <v/>
      </c>
      <c r="OS69" s="494" t="str">
        <f>IF(A69=FALSE,"",OQ69*Cotations!CS69)</f>
        <v/>
      </c>
      <c r="OT69" s="338" t="str">
        <f t="shared" si="558"/>
        <v/>
      </c>
      <c r="OU69" s="919" t="str">
        <f>IF(A69=FALSE,"",((OG69*TAXE)-(OG69*TAXE*OI69))+IF(OM69="N/A",0,IF(INDEX(LISTES!$F$105:$F$109,MATCH(OM69,LISTES!$C$105:$C$109,0))="FIX",ON69,OO69*OL69)))</f>
        <v/>
      </c>
      <c r="PA69" s="497" t="str">
        <f t="shared" si="559"/>
        <v/>
      </c>
      <c r="PB69" s="498" t="str">
        <f>IF(A69=FALSE,"",IF(LISTES!$A$17=1,Cotations!CT69,Cotations!$CU$4))</f>
        <v/>
      </c>
      <c r="PC69" s="499" t="str">
        <f t="shared" si="560"/>
        <v/>
      </c>
      <c r="PD69" s="499" t="str">
        <f t="shared" si="561"/>
        <v/>
      </c>
      <c r="PE69" s="500" t="str">
        <f t="shared" si="562"/>
        <v/>
      </c>
      <c r="PF69" s="501" t="str">
        <f>IF(A69=FALSE,"",Cotations!$CY$4*Y69)</f>
        <v/>
      </c>
      <c r="PG69" s="502" t="str">
        <f t="shared" si="563"/>
        <v/>
      </c>
      <c r="PH69" s="520" t="str">
        <f>IF(A69=FALSE,"",IF(Cotations!$CV$4="monthly",PG69/12*L69,PG69/365*M69))</f>
        <v/>
      </c>
      <c r="PI69" s="503" t="str">
        <f>IF(A69=FALSE,"",Cotations!$CZ$4)</f>
        <v/>
      </c>
      <c r="PJ69" s="502" t="str">
        <f t="shared" si="564"/>
        <v/>
      </c>
      <c r="PK69" s="502" t="str">
        <f t="shared" si="565"/>
        <v/>
      </c>
      <c r="PL69" s="504" t="str">
        <f t="shared" si="566"/>
        <v/>
      </c>
      <c r="PM69" s="505" t="str">
        <f>IF(A69=FALSE,"",Cotations!$DA$4)</f>
        <v/>
      </c>
      <c r="PN69" s="520" t="str">
        <f>IF(A69=FALSE,"",Cotations!$DB$4)</f>
        <v/>
      </c>
      <c r="PO69" s="503" t="str">
        <f>IF(A69=FALSE,"",Cotations!$DC$4)</f>
        <v/>
      </c>
      <c r="PP69" s="505" t="str">
        <f>IF(A69=FALSE,"",IF(PM69="N/A",0,IF(INDEX(LISTES!$F$105:$F$109,MATCH(PM69,LISTES!$C$105:$C$109,0))="FIX",IF(INDEX(LISTES!$E$105:$E$109,MATCH(PM69,LISTES!$C$105:$C$109,0))=12,PN69/12*L69,PN69/365*M69),PO69*PL69)))</f>
        <v/>
      </c>
      <c r="PQ69" s="504" t="str">
        <f t="shared" si="567"/>
        <v/>
      </c>
      <c r="PR69" s="505" t="str">
        <f>IF(A69=FALSE,"",PQ69*Cotations!$DD$4)</f>
        <v/>
      </c>
      <c r="PS69" s="505" t="str">
        <f>IF(A69=FALSE,"",PQ69*Cotations!$DE$4)</f>
        <v/>
      </c>
      <c r="PT69" s="506" t="str">
        <f t="shared" si="568"/>
        <v/>
      </c>
      <c r="PU69" s="919" t="str">
        <f>IF(A69=FALSE,"",((PG69*TAXE)-(PG69*TAXE*PI69))+IF(PM69="N/A",0,IF(INDEX(LISTES!$F$105:$F$109,MATCH(PM69,LISTES!$C$105:$C$109,0))="FIX",PN69,PO69*PL69)))</f>
        <v/>
      </c>
      <c r="QA69" s="492" t="str">
        <f t="shared" si="569"/>
        <v/>
      </c>
      <c r="QB69" s="491" t="str">
        <f>IF(A69=FALSE,"",IF(LISTES!$A$17=1,Cotations!CT69,Cotations!CU69))</f>
        <v/>
      </c>
      <c r="QC69" s="285" t="str">
        <f t="shared" si="570"/>
        <v/>
      </c>
      <c r="QD69" s="300"/>
      <c r="QE69" s="461" t="str">
        <f t="shared" si="571"/>
        <v/>
      </c>
      <c r="QF69" s="490" t="str">
        <f>IF(A69=FALSE,"",Cotations!CY69*AA69)</f>
        <v/>
      </c>
      <c r="QG69" s="300" t="str">
        <f t="shared" si="572"/>
        <v/>
      </c>
      <c r="QH69" s="522" t="str">
        <f>IF(A69=FALSE,"",IF(Cotations!CV69="monthly",QG69/12*L69,QG69/365*M69))</f>
        <v/>
      </c>
      <c r="QI69" s="489" t="str">
        <f>IF(A69=FALSE,"",IF(Cotations!CZ69="","",Cotations!CZ69))</f>
        <v/>
      </c>
      <c r="QJ69" s="300" t="str">
        <f t="shared" si="573"/>
        <v/>
      </c>
      <c r="QK69" s="300" t="str">
        <f t="shared" si="574"/>
        <v/>
      </c>
      <c r="QL69" s="919" t="str">
        <f t="shared" si="575"/>
        <v/>
      </c>
      <c r="QM69" s="517" t="str">
        <f>IF(A69=FALSE,"",Cotations!DA69)</f>
        <v/>
      </c>
      <c r="QN69" s="515" t="str">
        <f>IF(A69=FALSE,"",Cotations!DB69)</f>
        <v/>
      </c>
      <c r="QO69" s="493" t="str">
        <f>IF(A69=FALSE,"",Cotations!DC69)</f>
        <v/>
      </c>
      <c r="QP69" s="517" t="str">
        <f>IF(A69=FALSE,"",IF(QM69="N/A",0,IF(INDEX(LISTES!$F$105:$F$109,MATCH(QM69,LISTES!$C$105:$C$109,0))="FIX",IF(INDEX(LISTES!$E$105:$E$109,MATCH(QM69,LISTES!$C$105:$C$109,0))=12,QN69/12*L69,QN69/365*M69),QO69*QL69)))</f>
        <v/>
      </c>
      <c r="QQ69" s="294" t="str">
        <f t="shared" si="576"/>
        <v/>
      </c>
      <c r="QR69" s="494" t="str">
        <f>IF(A69=FALSE,"",QQ69*Cotations!DD69)</f>
        <v/>
      </c>
      <c r="QS69" s="494" t="str">
        <f>IF(A69=FALSE,"",QQ69*Cotations!DE69)</f>
        <v/>
      </c>
      <c r="QT69" s="338" t="str">
        <f t="shared" si="577"/>
        <v/>
      </c>
      <c r="QU69" s="919" t="str">
        <f>IF(A69=FALSE,"",((QG69*TAXE)-(QG69*TAXE*QI69))+IF(QM69="N/A",0,IF(INDEX(LISTES!$F$105:$F$109,MATCH(QM69,LISTES!$C$105:$C$109,0))="FIX",QN69,QO69*QL69)))</f>
        <v/>
      </c>
      <c r="RA69" s="497" t="str">
        <f t="shared" si="578"/>
        <v/>
      </c>
      <c r="RB69" s="498" t="str">
        <f>IF(A69=FALSE,"",IF(LISTES!$A$17=1,Cotations!DF69,Cotations!$DG$4))</f>
        <v/>
      </c>
      <c r="RC69" s="499" t="str">
        <f t="shared" si="579"/>
        <v/>
      </c>
      <c r="RD69" s="499" t="str">
        <f t="shared" si="580"/>
        <v/>
      </c>
      <c r="RE69" s="500" t="str">
        <f t="shared" si="581"/>
        <v/>
      </c>
      <c r="RF69" s="501" t="str">
        <f>IF(A69=FALSE,"",Cotations!$DK$4*Y69)</f>
        <v/>
      </c>
      <c r="RG69" s="502" t="str">
        <f t="shared" si="582"/>
        <v/>
      </c>
      <c r="RH69" s="520" t="str">
        <f>IF(A69=FALSE,"",IF(Cotations!$DH$4="monthly",RG69/12*L69,RG69/365*M69))</f>
        <v/>
      </c>
      <c r="RI69" s="503" t="str">
        <f>IF(A69=FALSE,"",Cotations!$DL$4)</f>
        <v/>
      </c>
      <c r="RJ69" s="502" t="str">
        <f t="shared" si="583"/>
        <v/>
      </c>
      <c r="RK69" s="502" t="str">
        <f t="shared" si="584"/>
        <v/>
      </c>
      <c r="RL69" s="504" t="str">
        <f t="shared" si="585"/>
        <v/>
      </c>
      <c r="RM69" s="505" t="str">
        <f>IF(A69=FALSE,"",Cotations!$DM$4)</f>
        <v/>
      </c>
      <c r="RN69" s="520" t="str">
        <f>IF(A69=FALSE,"",Cotations!$DN$4)</f>
        <v/>
      </c>
      <c r="RO69" s="503" t="str">
        <f>IF(A69=FALSE,"",Cotations!$DO$4)</f>
        <v/>
      </c>
      <c r="RP69" s="505" t="str">
        <f>IF(A69=FALSE,"",IF(RM69="N/A",0,IF(INDEX(LISTES!$F$105:$F$109,MATCH(RM69,LISTES!$C$105:$C$109,0))="FIX",IF(INDEX(LISTES!$E$105:$E$109,MATCH(RM69,LISTES!$C$105:$C$109,0))=12,RN69/12*L69,RN69/365*M69),RO69*RL69)))</f>
        <v/>
      </c>
      <c r="RQ69" s="504" t="str">
        <f t="shared" si="586"/>
        <v/>
      </c>
      <c r="RR69" s="505" t="str">
        <f>IF(A69=FALSE,"",RQ69*Cotations!$DP$4)</f>
        <v/>
      </c>
      <c r="RS69" s="505" t="str">
        <f>IF(A69=FALSE,"",RQ69*Cotations!$DQ$4)</f>
        <v/>
      </c>
      <c r="RT69" s="506" t="str">
        <f t="shared" si="587"/>
        <v/>
      </c>
      <c r="RU69" s="919" t="str">
        <f>IF(A69=FALSE,"",((RG69*TAXE)-(RG69*TAXE*RI69))+IF(RM69="N/A",0,IF(INDEX(LISTES!$F$105:$F$109,MATCH(RM69,LISTES!$C$105:$C$109,0))="FIX",RN69,RO69*RL69)))</f>
        <v/>
      </c>
      <c r="SA69" s="492" t="str">
        <f t="shared" si="588"/>
        <v/>
      </c>
      <c r="SB69" s="491" t="str">
        <f>IF(A69=FALSE,"",IF(LISTES!$A$17=1,Cotations!DF69,Cotations!DG69))</f>
        <v/>
      </c>
      <c r="SC69" s="285" t="str">
        <f t="shared" si="589"/>
        <v/>
      </c>
      <c r="SD69" s="300"/>
      <c r="SE69" s="461" t="str">
        <f t="shared" si="590"/>
        <v/>
      </c>
      <c r="SF69" s="490" t="str">
        <f>IF(A69=FALSE,"",Cotations!DK69*AA69)</f>
        <v/>
      </c>
      <c r="SG69" s="300" t="str">
        <f t="shared" si="591"/>
        <v/>
      </c>
      <c r="SH69" s="522" t="str">
        <f>IF(A69=FALSE,"",IF(Cotations!DH69="monthly",SG69/12*L69,SG69/365*M69))</f>
        <v/>
      </c>
      <c r="SI69" s="489" t="str">
        <f>IF(A69=FALSE,"",IF(Cotations!DL69="","",Cotations!DL69))</f>
        <v/>
      </c>
      <c r="SJ69" s="300" t="str">
        <f t="shared" si="592"/>
        <v/>
      </c>
      <c r="SK69" s="300" t="str">
        <f t="shared" si="593"/>
        <v/>
      </c>
      <c r="SL69" s="919" t="str">
        <f t="shared" si="594"/>
        <v/>
      </c>
      <c r="SM69" s="285" t="str">
        <f>IF(A69=FALSE,"",Cotations!DM69)</f>
        <v/>
      </c>
      <c r="SN69" s="515" t="str">
        <f>IF(A69=FALSE,"",Cotations!DN69)</f>
        <v/>
      </c>
      <c r="SO69" s="493" t="str">
        <f>IF(A69=FALSE,"",Cotations!DO69)</f>
        <v/>
      </c>
      <c r="SP69" s="517" t="str">
        <f>IF(A69=FALSE,"",IF(SM69="N/A",0,IF(INDEX(LISTES!$F$105:$F$109,MATCH(SM69,LISTES!$C$105:$C$109,0))="FIX",IF(INDEX(LISTES!$E$105:$E$109,MATCH(SM69,LISTES!$C$105:$C$109,0))=12,SN69/12*L69,SN69/365*M69),SO69*SL69)))</f>
        <v/>
      </c>
      <c r="SQ69" s="294" t="str">
        <f t="shared" si="595"/>
        <v/>
      </c>
      <c r="SR69" s="494" t="str">
        <f>IF(A69=FALSE,"",SQ69*Cotations!DP69)</f>
        <v/>
      </c>
      <c r="SS69" s="494" t="str">
        <f>IF(A69=FALSE,"",SQ69*Cotations!DQ69)</f>
        <v/>
      </c>
      <c r="ST69" s="338" t="str">
        <f t="shared" si="596"/>
        <v/>
      </c>
      <c r="SU69" s="919" t="str">
        <f>IF(A69=FALSE,"",((SG69*TAXE)-(SG69*TAXE*SI69))+IF(SM69="N/A",0,IF(INDEX(LISTES!$F$105:$F$109,MATCH(SM69,LISTES!$C$105:$C$109,0))="FIX",SN69,SO69*SL69)))</f>
        <v/>
      </c>
      <c r="TA69" s="492" t="str">
        <f>IF(A69=FALSE,"",Cotations!D69)</f>
        <v/>
      </c>
      <c r="TB69" s="491" t="str">
        <f>IF(A69=FALSE,"",IF(LISTES!$A$17=1,Cotations!DR69,Cotations!DS69))</f>
        <v/>
      </c>
      <c r="TC69" s="285" t="str">
        <f t="shared" si="597"/>
        <v/>
      </c>
      <c r="TD69" s="300" t="str">
        <f>IF(A69=FALSE,"",Detail!CQ69)</f>
        <v/>
      </c>
      <c r="TE69" s="461" t="str">
        <f t="shared" si="598"/>
        <v/>
      </c>
      <c r="TF69" s="490" t="str">
        <f>IF(A69=FALSE,"",IF(TA69="FIXE",Cotations!DU69,Cotations!DV69*Y69))</f>
        <v/>
      </c>
      <c r="TG69" s="300" t="str">
        <f t="shared" si="599"/>
        <v/>
      </c>
      <c r="TH69" s="522" t="str">
        <f>IF(A69=FALSE,"",IF(Cotations!DT69="monthly",TG69/12*L69,TG69/365*M69))</f>
        <v/>
      </c>
      <c r="TI69" s="489" t="str">
        <f>IF(A69=FALSE,"",IF(Cotations!DW69="","",Cotations!DW69))</f>
        <v/>
      </c>
      <c r="TJ69" s="300" t="str">
        <f t="shared" si="600"/>
        <v/>
      </c>
      <c r="TK69" s="300" t="str">
        <f t="shared" si="601"/>
        <v/>
      </c>
      <c r="TL69" s="919" t="str">
        <f t="shared" si="602"/>
        <v/>
      </c>
      <c r="TM69" s="517" t="str">
        <f>IF(A69=FALSE,"",Cotations!DX69)</f>
        <v/>
      </c>
      <c r="TN69" s="517" t="str">
        <f>IF(A69=FALSE,"",Cotations!DY69)</f>
        <v/>
      </c>
      <c r="TO69" s="493" t="str">
        <f>IF(A69=FALSE,"",Cotations!DZ69)</f>
        <v/>
      </c>
      <c r="TP69" s="517" t="str">
        <f>IF(A69=FALSE,"",IF(TM69="N/A",0,IF(INDEX(LISTES!$F$105:$F$109,MATCH(TM69,LISTES!$C$105:$C$109,0))="FIX",IF(INDEX(LISTES!$E$105:$E$109,MATCH(TM69,LISTES!$C$105:$C$109,0))=12,TN69/12*L69,TN69/365*M69),TO69*TL69)))</f>
        <v/>
      </c>
      <c r="TQ69" s="294" t="str">
        <f t="shared" si="603"/>
        <v/>
      </c>
      <c r="TR69" s="494" t="str">
        <f>IF(A69=FALSE,"",TQ69*Cotations!EA69)</f>
        <v/>
      </c>
      <c r="TS69" s="494" t="str">
        <f>IF(A69=FALSE,"",TQ69*Cotations!EB69)</f>
        <v/>
      </c>
      <c r="TT69" s="338" t="str">
        <f t="shared" si="604"/>
        <v/>
      </c>
      <c r="TU69" s="919" t="str">
        <f>IF(A69=FALSE,"",((TG69*(1+TAXE)-(TG69*(1+TAXE)*TI69))+IF(TM69="N/A",0,IF(INDEX(LISTES!$F$105:$F$109,MATCH(TM69,LISTES!$C$105:$C$109,0))="FIX",TN69,TO69*TL69))))</f>
        <v/>
      </c>
      <c r="UA69" s="492" t="str">
        <f>IF(A69=FALSE,"",Cotations!D69)</f>
        <v/>
      </c>
      <c r="UB69" s="491" t="str">
        <f>IF(A69=FALSE,"",IF(LISTES!$A$17=1,Cotations!EC69,Cotations!ED69))</f>
        <v/>
      </c>
      <c r="UC69" s="285" t="str">
        <f t="shared" si="605"/>
        <v/>
      </c>
      <c r="UD69" s="300" t="str">
        <f>IF(A69=FALSE,"",Detail!CY69)</f>
        <v/>
      </c>
      <c r="UE69" s="461" t="str">
        <f t="shared" si="606"/>
        <v/>
      </c>
      <c r="UF69" s="490" t="str">
        <f>IF(A69=FALSE,"",IF(UA69="FIXE",Cotations!EF69,Cotations!EG69*Y69))</f>
        <v/>
      </c>
      <c r="UG69" s="300" t="str">
        <f t="shared" si="607"/>
        <v/>
      </c>
      <c r="UH69" s="522" t="str">
        <f>IF(A69=FALSE,"",IF(Cotations!EE69="monthly",UG69/12*L69,UG69/365*M69))</f>
        <v/>
      </c>
      <c r="UI69" s="489" t="str">
        <f>IF(A69=FALSE,"",IF(Cotations!EH69="","",Cotations!EH69))</f>
        <v/>
      </c>
      <c r="UJ69" s="300" t="str">
        <f t="shared" si="608"/>
        <v/>
      </c>
      <c r="UK69" s="300" t="str">
        <f t="shared" si="609"/>
        <v/>
      </c>
      <c r="UL69" s="919" t="str">
        <f t="shared" si="610"/>
        <v/>
      </c>
      <c r="UM69" s="517" t="str">
        <f>IF(A69=FALSE,"",Cotations!EI69)</f>
        <v/>
      </c>
      <c r="UN69" s="517" t="str">
        <f>IF(A69=FALSE,"",Cotations!EJ69)</f>
        <v/>
      </c>
      <c r="UO69" s="493" t="str">
        <f>IF(A69=FALSE,"",Cotations!EK69)</f>
        <v/>
      </c>
      <c r="UP69" s="517" t="str">
        <f>IF(A69=FALSE,"",IF(UM69="N/A",0,IF(INDEX(LISTES!$F$105:$F$109,MATCH(UM69,LISTES!$C$105:$C$109,0))="FIX",IF(INDEX(LISTES!$E$105:$E$109,MATCH(UM69,LISTES!$C$105:$C$109,0))=12,UN69/12*L69,UN69/365*M69),UO69*UL69)))</f>
        <v/>
      </c>
      <c r="UQ69" s="294" t="str">
        <f t="shared" si="611"/>
        <v/>
      </c>
      <c r="UR69" s="494" t="str">
        <f>IF(A69=FALSE,"",UQ69*Cotations!EL69)</f>
        <v/>
      </c>
      <c r="US69" s="494" t="str">
        <f>IF(A69=FALSE,"",UQ69*Cotations!EM69)</f>
        <v/>
      </c>
      <c r="UT69" s="338" t="str">
        <f t="shared" si="612"/>
        <v/>
      </c>
      <c r="UU69" s="919" t="str">
        <f>IF(A69=FALSE,"",((UG69*(1+TAXE)-(UG69*(1+TAXE)*UI69))+IF(UM69="N/A",0,IF(INDEX(LISTES!$F$105:$F$109,MATCH(UM69,LISTES!$C$105:$C$109,0))="FIX",UN69,UO69*UL69))))</f>
        <v/>
      </c>
      <c r="VA69" s="492" t="str">
        <f>IF(A69=FALSE,"",Cotations!D69)</f>
        <v/>
      </c>
      <c r="VB69" s="519" t="str">
        <f>IF(A69=FALSE,"",IF(LISTES!$A$17=1,Cotations!EN69,Cotations!EO69))</f>
        <v/>
      </c>
      <c r="VC69" s="291" t="str">
        <f t="shared" si="613"/>
        <v/>
      </c>
      <c r="VD69" s="291" t="str">
        <f t="shared" si="614"/>
        <v/>
      </c>
      <c r="VE69" s="291"/>
      <c r="VF69" s="463"/>
      <c r="VG69" s="463" t="str">
        <f t="shared" si="615"/>
        <v/>
      </c>
      <c r="VH69" s="522" t="str">
        <f>IF(A69=FALSE,"",IF(Cotations!$AQ$4="monthly",VG69/12*L69,VG69/365*M69))</f>
        <v/>
      </c>
      <c r="VI69" s="489" t="str">
        <f>IF(A69=FALSE,"",Cotations!$AR$4)</f>
        <v/>
      </c>
      <c r="VJ69" s="300" t="str">
        <f t="shared" si="616"/>
        <v/>
      </c>
      <c r="VK69" s="300" t="str">
        <f t="shared" si="617"/>
        <v/>
      </c>
      <c r="VL69" s="294" t="str">
        <f t="shared" si="618"/>
        <v/>
      </c>
      <c r="VM69" s="494" t="str">
        <f>IF(A69=FALSE,"",Cotations!$AS$4)</f>
        <v/>
      </c>
      <c r="VN69" s="494" t="str">
        <f>IF(A69=FALSE,"",Cotations!$AT$4)</f>
        <v/>
      </c>
      <c r="VO69" s="489" t="str">
        <f>IF(A69=FALSE,"",Cotations!$AU$4)</f>
        <v/>
      </c>
      <c r="VP69" s="494" t="str">
        <f>IF(A69=FALSE,"",IF(VM69="N/A",0,IF(INDEX(LISTES!$F$105:$F$109,MATCH(VM69,LISTES!$C$105:$C$109,0))="FIX",IF(INDEX(LISTES!$E$105:$E$109,MATCH(VM69,LISTES!$C$105:$C$109,0))=12,VN69/12*L69,VN69/365*M69),VO69*VL69)))</f>
        <v/>
      </c>
      <c r="VQ69" s="294" t="str">
        <f t="shared" si="619"/>
        <v/>
      </c>
      <c r="VR69" s="494" t="str">
        <f>IF(A69=FALSE,"",VQ69*Cotations!$AV$4)</f>
        <v/>
      </c>
      <c r="VS69" s="494" t="str">
        <f>IF(A69=FALSE,"",VQ69*Cotations!$AW$4)</f>
        <v/>
      </c>
      <c r="VT69" s="465" t="str">
        <f t="shared" si="620"/>
        <v/>
      </c>
      <c r="VU69" s="919" t="str">
        <f>IF(A69=FALSE,"",((VG69*TAXE)-(VG69*TAXE*VI69))+IF(VM69="N/A",0,IF(INDEX(LISTES!$F$105:$F$109,MATCH(VM69,LISTES!$C$105:$C$109,0))="FIX",VN69,VO69*VL69)))</f>
        <v/>
      </c>
      <c r="WA69" s="492" t="str">
        <f>IF(A69=FALSE,"",Cotations!D69)</f>
        <v/>
      </c>
      <c r="WB69" s="519" t="str">
        <f>IF(A69=FALSE,"",IF(LISTES!$A$17=1,Cotations!EW69,Cotations!EX69))</f>
        <v/>
      </c>
      <c r="WC69" s="291" t="str">
        <f t="shared" si="621"/>
        <v/>
      </c>
      <c r="WD69" s="291" t="str">
        <f t="shared" si="622"/>
        <v/>
      </c>
      <c r="WE69" s="291"/>
      <c r="WF69" s="463"/>
      <c r="WG69" s="463" t="str">
        <f t="shared" si="623"/>
        <v/>
      </c>
      <c r="WH69" s="522" t="str">
        <f>IF(A69=FALSE,"",IF(Cotations!$AQ$4="monthly",WG69/12*L69,WG69/365*M69))</f>
        <v/>
      </c>
      <c r="WI69" s="489" t="str">
        <f>IF(A69=FALSE,"",Cotations!$AR$4)</f>
        <v/>
      </c>
      <c r="WJ69" s="300" t="str">
        <f t="shared" si="624"/>
        <v/>
      </c>
      <c r="WK69" s="300" t="str">
        <f t="shared" si="625"/>
        <v/>
      </c>
      <c r="WL69" s="294" t="str">
        <f t="shared" si="626"/>
        <v/>
      </c>
      <c r="WM69" s="494" t="str">
        <f>IF(A69=FALSE,"",Cotations!$AS$4)</f>
        <v/>
      </c>
      <c r="WN69" s="494" t="str">
        <f>IF(A69=FALSE,"",Cotations!$AT$4)</f>
        <v/>
      </c>
      <c r="WO69" s="489" t="str">
        <f>IF(A69=FALSE,"",Cotations!$AU$4)</f>
        <v/>
      </c>
      <c r="WP69" s="494" t="str">
        <f>IF(A69=FALSE,"",IF(WM69="N/A",0,IF(INDEX(LISTES!$F$105:$F$109,MATCH(WM69,LISTES!$C$105:$C$109,0))="FIX",IF(INDEX(LISTES!$E$105:$E$109,MATCH(WM69,LISTES!$C$105:$C$109,0))=12,WN69/12*L69,WN69/365*M69),WO69*WL69)))</f>
        <v/>
      </c>
      <c r="WQ69" s="294" t="str">
        <f t="shared" si="627"/>
        <v/>
      </c>
      <c r="WR69" s="494" t="str">
        <f>IF(A69=FALSE,"",WQ69*Cotations!$AV$4)</f>
        <v/>
      </c>
      <c r="WS69" s="494" t="str">
        <f>IF(A69=FALSE,"",WQ69*Cotations!$AW$4)</f>
        <v/>
      </c>
      <c r="WT69" s="465" t="str">
        <f t="shared" si="628"/>
        <v/>
      </c>
      <c r="WU69" s="919" t="str">
        <f>IF(A69=FALSE,"",((WG69*TAXE)-(WG69*TAXE*WI69))+IF(WM69="N/A",0,IF(INDEX(LISTES!$F$105:$F$109,MATCH(WM69,LISTES!$C$105:$C$109,0))="FIX",WN69,WO69*WL69)))</f>
        <v/>
      </c>
    </row>
    <row r="70" spans="1:619">
      <c r="A70" s="942" t="b">
        <f t="shared" si="433"/>
        <v>0</v>
      </c>
      <c r="B70" s="942" t="b">
        <f>IF(NAMES!$B$9=TRUE,TRUE,FALSE)</f>
        <v>1</v>
      </c>
      <c r="C70" s="942" t="b">
        <f t="shared" si="413"/>
        <v>0</v>
      </c>
      <c r="D70" s="942" t="b">
        <f t="shared" si="414"/>
        <v>0</v>
      </c>
      <c r="E70" s="274" t="b">
        <f>IF(Cotations!C70="","",Cotations!C70)</f>
        <v>0</v>
      </c>
      <c r="F70" s="274" t="str">
        <f>IF(Cotations!D70="","",Cotations!D70)</f>
        <v>PROP</v>
      </c>
      <c r="G70" s="274" t="str">
        <f>IF(Cotations!E70="","",Cotations!E70)</f>
        <v>2016-2017!</v>
      </c>
      <c r="H70" s="274" t="str">
        <f>IF(Cotations!F70="","",Cotations!F70)</f>
        <v>SINGLE</v>
      </c>
      <c r="I70" s="274" t="str">
        <f>IF(Cotations!G70="","",Cotations!G70)</f>
        <v/>
      </c>
      <c r="J70" s="274" t="str">
        <f>IF(Cotations!H70="","",Cotations!H70)</f>
        <v/>
      </c>
      <c r="K70" s="274" t="str">
        <f>IF(Cotations!I70="","",Cotations!I70)</f>
        <v/>
      </c>
      <c r="L70" s="274" t="str">
        <f>IF(A70=FALSE,"",IF(Cotations!N70="","",Cotations!N70))</f>
        <v/>
      </c>
      <c r="M70" s="274" t="str">
        <f>IF(Cotations!P70="","",Cotations!P70)</f>
        <v/>
      </c>
      <c r="N70" s="724" t="str">
        <f>IF(NAMES!$B$10=TRUE,Cotations!J70,Cotations!L70)</f>
        <v/>
      </c>
      <c r="O70" s="724" t="str">
        <f>IF(NAMES!$B$10=TRUE,Cotations!K70,Cotations!M70)</f>
        <v/>
      </c>
      <c r="P70" s="943" t="str">
        <f t="shared" si="415"/>
        <v/>
      </c>
      <c r="Q70" s="724" t="str">
        <f>IF(A70=FALSE,"",IF(Crewlist!Y70="","",Crewlist!Y70))</f>
        <v/>
      </c>
      <c r="R70" s="78" t="str">
        <f>IF(Cotations!U70="","",Cotations!U70)</f>
        <v/>
      </c>
      <c r="S70" s="943" t="str">
        <f t="shared" si="416"/>
        <v/>
      </c>
      <c r="T70" s="919" t="str">
        <f>IF(A70=FALSE,"",VLOOKUP($U$15:$U$120,Currency!$A$2:$D$10,4,0)*Crewlist!N70)</f>
        <v/>
      </c>
      <c r="U70" s="1355" t="str">
        <f>IF(A70=FALSE,"",IF(IT70=0,Crewlist!M70&amp;"/"&amp;EX70,Crewlist!M70&amp;"/"&amp;IT70))</f>
        <v/>
      </c>
      <c r="V70" s="919" t="str">
        <f>IF(A70=FALSE,"",VLOOKUP($U$15:$U$120,Currency!$A$2:$D$10,4,0)*Detail!Q70)</f>
        <v/>
      </c>
      <c r="W70" s="1355" t="str">
        <f>IF(A70=FALSE,"",IF(IT70=0,Detail!R70&amp;"/"&amp;EX70,Detail!R70&amp;"/"&amp;IT70))</f>
        <v/>
      </c>
      <c r="X70" s="919" t="str">
        <f>IF(A70=FALSE,"",IF(LISTES!$C$17="Crewlist",Calcul!T70,Calcul!V70))</f>
        <v/>
      </c>
      <c r="Y70" s="758" t="str">
        <f t="shared" si="417"/>
        <v/>
      </c>
      <c r="Z70" s="758" t="str">
        <f>IF(A70=FALSE,"",IF(X70=0,0,IF((Cotations!BC70*12*X70)&lt;50000,50000,(12*X70))))</f>
        <v/>
      </c>
      <c r="AA70" s="758" t="str">
        <f t="shared" si="418"/>
        <v/>
      </c>
      <c r="AB70" s="758" t="str">
        <f>IF(A70=FALSE,"",IF(Crewlist!O70=0,"",Crewlist!O70))</f>
        <v/>
      </c>
      <c r="AC70" s="758" t="str">
        <f>IF(I70="","",VLOOKUP($AB$15:$AB$120,Currency!$A$15:$B$34,2,0))</f>
        <v/>
      </c>
      <c r="AD70" s="758" t="str">
        <f t="shared" si="419"/>
        <v/>
      </c>
      <c r="AE70" s="758" t="str">
        <f t="shared" si="420"/>
        <v/>
      </c>
      <c r="AF70" s="758" t="str">
        <f t="shared" si="421"/>
        <v/>
      </c>
      <c r="AG70" s="758" t="str">
        <f t="shared" si="422"/>
        <v/>
      </c>
      <c r="AH70" s="1355" t="str">
        <f t="shared" si="434"/>
        <v/>
      </c>
      <c r="AI70" s="919" t="str">
        <f t="shared" si="423"/>
        <v/>
      </c>
      <c r="AJ70" s="1382" t="str">
        <f t="shared" si="424"/>
        <v/>
      </c>
      <c r="AK70" s="1382" t="str">
        <f t="shared" si="425"/>
        <v/>
      </c>
      <c r="AL70" s="238" t="str">
        <f t="shared" si="435"/>
        <v/>
      </c>
      <c r="AM70" s="238" t="str">
        <f t="shared" si="436"/>
        <v/>
      </c>
      <c r="AN70" s="1374" t="str">
        <f t="shared" si="437"/>
        <v/>
      </c>
      <c r="AO70" s="238" t="str">
        <f t="shared" si="438"/>
        <v/>
      </c>
      <c r="AP70" s="342" t="str">
        <f>IF(A70=FALSE,"",INDEX(Rates!$Z$5:$Z$367,MATCH(EB70,colchoice,0)))</f>
        <v/>
      </c>
      <c r="AQ70" s="238" t="str">
        <f t="shared" si="439"/>
        <v/>
      </c>
      <c r="AR70" s="238" t="str">
        <f t="shared" si="440"/>
        <v/>
      </c>
      <c r="AS70" s="238" t="str">
        <f t="shared" si="441"/>
        <v/>
      </c>
      <c r="AT70" s="238" t="str">
        <f t="shared" si="442"/>
        <v/>
      </c>
      <c r="AU70" s="238" t="str">
        <f t="shared" si="443"/>
        <v/>
      </c>
      <c r="AV70" s="238" t="str">
        <f t="shared" si="429"/>
        <v/>
      </c>
      <c r="AW70" s="238" t="str">
        <f t="shared" si="444"/>
        <v/>
      </c>
      <c r="AX70" s="238" t="str">
        <f t="shared" si="445"/>
        <v/>
      </c>
      <c r="AY70" s="238" t="str">
        <f t="shared" si="446"/>
        <v/>
      </c>
      <c r="AZ70" s="238" t="str">
        <f t="shared" si="447"/>
        <v/>
      </c>
      <c r="BA70" s="238" t="str">
        <f t="shared" si="448"/>
        <v/>
      </c>
      <c r="BB70" s="552" t="str">
        <f t="shared" si="449"/>
        <v/>
      </c>
      <c r="BC70" s="347" t="str">
        <f t="shared" si="450"/>
        <v/>
      </c>
      <c r="BD70" s="239" t="str">
        <f t="shared" si="430"/>
        <v/>
      </c>
      <c r="BE70" s="239" t="str">
        <f>IF(A70=FALSE,"",IF(ALLTHESAME=TRUE,IF(DF70&lt;&gt;$BC$7,0,INDEX(DD70:DZ70,1,MATCH(Structure!$D$12,$DD$14:$DZ$14,0))),IF(EC70&lt;&gt;$BC$7,0,INDEX(EA70:EZ70,1,MATCH(Structure!$D$12,$EA$14:$EZ$14,0)))))</f>
        <v/>
      </c>
      <c r="BF70" s="239" t="str">
        <f>IF(A70=FALSE,"",IF(ALLTHESAME=TRUE,IF(FC70&lt;&gt;$BC$7,0,INDEX(FA70:FZ70,1,MATCH(Structure!$D$12,$FA$14:$FZ$14,0))),IF(GC70&lt;&gt;$BC$7,0,INDEX(GA70:GZ70,1,MATCH(Structure!$D$12,$GA$14:$GZ$14,0)))))</f>
        <v/>
      </c>
      <c r="BG70" s="239" t="str">
        <f>IF(A70=FALSE,"",IF(ALLTHESAME=TRUE,IF(VC70&lt;&gt;$BC$7,0,INDEX(VA70:VZ70,1,MATCH(Structure!$D$12,$VA$14:$VZ$14,0))),IF(VC70&lt;&gt;$BC$7,0,INDEX(VA70:VZ70,1,MATCH(Structure!$D$12,$VA$14:$VZ$14,0)))))</f>
        <v/>
      </c>
      <c r="BH70" s="239" t="str">
        <f>IF(A70=FALSE,"",IF(ALLTHESAME=TRUE,IF(WC70&lt;&gt;$BC$7,0,INDEX(WA70:WY70,1,MATCH(Structure!$D$12,$WA$14:$WZ$14,0))),IF(WC70&lt;&gt;$BC$7,0,INDEX(WA70:WZ70,1,MATCH(Structure!$D$12,$WA$14:$WZ$14,0)))))</f>
        <v/>
      </c>
      <c r="BI70" s="763" t="str">
        <f>IF(A70=FALSE,"",IF(ALLTHESAME=TRUE,IF(HC70&lt;&gt;$BC$7,0,INDEX(HA70:HZ70,1,MATCH(Structure!$D$12,$HA$14:$HZ$14,0)))+TK70,IF(IC70&lt;&gt;$BC$7,0,INDEX(IA70:IZ70,1,MATCH(Structure!$D$12,$IA$14:$IZ$14,0)))+TK70))</f>
        <v/>
      </c>
      <c r="BJ70" s="239" t="str">
        <f>IF(A70=FALSE,"",IF(ALLTHESAME=TRUE,IF(JC70&lt;&gt;$BC$7,0,INDEX(JA70:JZ70,1,MATCH(Structure!$D$12,$JA$14:$JZ$14,0))),IF(KC70&lt;&gt;$BC$7,0,INDEX(KA70:KZ70,1,MATCH(Structure!$D$12,$KA$14:$KZ$14,0)))))</f>
        <v/>
      </c>
      <c r="BK70" s="763" t="str">
        <f>IF(A70=FALSE,"",IF(ALLTHESAME=TRUE,IF(LC70&lt;&gt;$BC$7,0,INDEX(LA70:LZ70,1,MATCH(Structure!$D$12,$LA$14:$LZ$14,0)))+UK70,IF(MC70&lt;&gt;$BC$7,0,INDEX(MA70:MZ70,1,MATCH(Structure!$D$12,$MA$14:$MZ$14,0)))+UK70))</f>
        <v/>
      </c>
      <c r="BL70" s="239" t="str">
        <f>IF(A70=FALSE,"",IF(ALLTHESAME=TRUE,IF(NC70&lt;&gt;$BC$7,0,INDEX(NA70:NZ70,1,MATCH(Structure!$D$12,$NA$14:$NZ$14,0))),IF(OC70&lt;&gt;$BC$7,0,INDEX(OA70:OZ70,1,MATCH(Structure!$D$12,$OA$14:$OZ$14,0)))))</f>
        <v/>
      </c>
      <c r="BM70" s="239" t="str">
        <f>IF(A70=FALSE,"",IF(ALLTHESAME=TRUE,IF(PC70&lt;&gt;$BC$7,0,INDEX(PA70:PZ70,1,MATCH(Structure!$D$12,$PA$14:$PZ$14,0))),IF(QC70&lt;&gt;$BC$7,0,INDEX(QA70:QZ70,1,MATCH(Structure!$D$12,$QA$14:$QZ$14,0)))))</f>
        <v/>
      </c>
      <c r="BN70" s="341" t="str">
        <f>IF(A70=FALSE,"",IF(ALLTHESAME=TRUE,IF(RC70&lt;&gt;$BC$7,0,INDEX(RA70:RZ70,1,MATCH(Structure!$D$12,$RA$14:$RZ$14,0))),IF(SC70&lt;&gt;$BC$7,0,INDEX(SA70:TA70,1,MATCH(Structure!$D$12,$SA$14:$TA$14,0)))))</f>
        <v/>
      </c>
      <c r="BO70" s="507" t="str">
        <f t="shared" si="451"/>
        <v/>
      </c>
      <c r="BP70" s="239" t="str">
        <f t="shared" si="452"/>
        <v/>
      </c>
      <c r="BQ70" s="239" t="str">
        <f>IF(A70=FALSE,"",IF(ALLTHESAME=TRUE,IF(DF70&lt;&gt;$BO$7,0,INDEX(DD70:DZ70,1,MATCH(Structure!$D$12,$DD$14:$DZ$14,0))),IF(EC70&lt;&gt;$BO$7,0,INDEX(EA70:EZ70,1,MATCH(Structure!$D$12,$EA$14:$EZ$14,0)))))</f>
        <v/>
      </c>
      <c r="BR70" s="239" t="str">
        <f>IF(A70=FALSE,"",IF(ALLTHESAME=TRUE,IF(FC70&lt;&gt;$BO$7,0,INDEX(FA70:FZ70,1,MATCH(Structure!$D$12,$FA$14:$FZ$14,0))),IF(GC70&lt;&gt;$BO$7,0,INDEX(GA70:GZ70,1,MATCH(Structure!$D$12,$GA$14:$GZ$14,0)))))</f>
        <v/>
      </c>
      <c r="BS70" s="239" t="str">
        <f>IF(A70=FALSE,"",IF(ALLTHESAME=TRUE,IF(HC70&lt;&gt;$BO$7,0,INDEX(HA70:HZ70,1,MATCH(Structure!$D$12,$HA$14:$HZ$14,0))),IF(IC70&lt;&gt;$BO$7,0,INDEX(IA70:IZ70,1,MATCH(Structure!$D$12,$IA$14:$IZ$14,0)))))</f>
        <v/>
      </c>
      <c r="BT70" s="239" t="str">
        <f>IF(A70=FALSE,"",IF(ALLTHESAME=TRUE,IF(JC70&lt;&gt;$BO$7,0,INDEX(JA70:JZ70,1,MATCH(Structure!$D$12,$JA$14:$JZ$14,0))),IF(KC70&lt;&gt;$BO$7,0,INDEX(KA70:KZ70,1,MATCH(Structure!$D$12,$KA$14:$KZ$14,0)))))</f>
        <v/>
      </c>
      <c r="BU70" s="239" t="str">
        <f>IF(A70=FALSE,"",IF(ALLTHESAME=TRUE,IF(LC70&lt;&gt;$BO$7,0,INDEX(LA70:LZ70,1,MATCH(Structure!$D$12,$LA$14:$LZ$14,0))),IF(MC70&lt;&gt;$BO$7,0,INDEX(MA70:MZ70,1,MATCH(Structure!$D$12,$MA$14:$MZ$14,0)))))</f>
        <v/>
      </c>
      <c r="BV70" s="239" t="str">
        <f>IF(A70=FALSE,"",IF(ALLTHESAME=TRUE,IF(NC70&lt;&gt;$BO$7,0,INDEX(NA70:NZ70,1,MATCH(Structure!$D$12,$NA$14:$NZ$14,0))),IF(OC70&lt;&gt;$BO$7,0,INDEX(OA70:OZ70,1,MATCH(Structure!$D$12,$OA$14:$OZ$14,0)))))</f>
        <v/>
      </c>
      <c r="BW70" s="239" t="str">
        <f>IF(A70=FALSE,"",IF(ALLTHESAME=TRUE,IF(PC70&lt;&gt;$BO$7,0,INDEX(PA70:PZ70,1,MATCH(Structure!$D$12,$PA$14:$PZ$14,0))),IF(QC70&lt;&gt;$BO$7,0,INDEX(QA70:QZ70,1,MATCH(Structure!$D$12,$QA$14:$QZ$14,0)))))</f>
        <v/>
      </c>
      <c r="BX70" s="341" t="str">
        <f>IF(A70=FALSE,"",IF(ALLTHESAME=TRUE,IF(RC70&lt;&gt;$BO$7,0,INDEX(RA70:RZ70,1,MATCH(Structure!$D$12,$RA$14:$RZ$14,0))),IF(SC70&lt;&gt;$BO$7,0,INDEX(SA70:TA70,1,MATCH(Structure!$D$12,$SA$14:$TA$14,0)))))</f>
        <v/>
      </c>
      <c r="BY70" s="347" t="str">
        <f t="shared" si="453"/>
        <v/>
      </c>
      <c r="BZ70" s="507" t="str">
        <f t="shared" si="454"/>
        <v/>
      </c>
      <c r="CA70" s="239" t="str">
        <f t="shared" si="455"/>
        <v/>
      </c>
      <c r="CB70" s="239" t="str">
        <f>IF(A70=FALSE,"",IF(ALLTHESAME=TRUE,INDEX(DD70:DZ70,MATCH(DF70,DF70:DF175,0),MATCH(Structure!$D$17,$DD$14:$DZ$14,0)),INDEX(EA70:EZ70,MATCH(EC70,EC70:EC175,0),MATCH(Structure!$D$17,$EA$14:$EZ$14,0))))</f>
        <v/>
      </c>
      <c r="CC70" s="239" t="str">
        <f>IF(A70=FALSE,"",IF(ALLTHESAME=TRUE,INDEX(FA70:FZ70,MATCH(FC70,FC70:FC175,0),MATCH(Structure!$D$17,$FA$14:$FZ$14,0)),INDEX(GA70:GZ70,MATCH(GC70,GC70:GC175,0),MATCH(Structure!$D$17,$GA$14:$GZ$14,0))))</f>
        <v/>
      </c>
      <c r="CD70" s="239" t="str">
        <f>IF(A70=FALSE,"",IF(ALLTHESAME=TRUE,INDEX(HA70:HZ70,MATCH(HC70,HC70:HC175,0),MATCH(Structure!$D$17,$HA$14:$HZ$14,0)),INDEX(IA70:IZ70,MATCH(IC70,IC70:IC175,0),MATCH(Structure!$D$17,$IA$14:$IZ$14,0))))</f>
        <v/>
      </c>
      <c r="CE70" s="239" t="str">
        <f>IF(A70=FALSE,"",IF(ALLTHESAME=TRUE,INDEX(JA70:JZ70,MATCH(JC70,JC70:JC175,0),MATCH(Structure!$D$17,$JA$14:$JZ$14,0)),INDEX(KA70:KZ70,MATCH(KC70,KC70:KC175,0),MATCH(Structure!$D$17,$KA$14:$KZ$14,0))))</f>
        <v/>
      </c>
      <c r="CF70" s="239" t="str">
        <f>IF(A70=FALSE,"",IF(ALLTHESAME=TRUE,INDEX(LA70:LZ70,MATCH(LC70,LC70:LC175,0),MATCH(Structure!$D$17,$LA$14:$LZ$14,0)),INDEX(MA70:MZ70,MATCH(MC70,MC70:MC175,0),MATCH(Structure!$D$17,$MA$14:$MZ$14,0))))</f>
        <v/>
      </c>
      <c r="CG70" s="239" t="str">
        <f>IF(A70=FALSE,"",IF(ALLTHESAME=TRUE,INDEX(NA70:NZ70,MATCH(NC70,NC70:NC175,0),MATCH(Structure!$D$17,$NA$14:$NZ$14,0)),INDEX(OA70:OZ70,MATCH(OC70,OC70:OC175,0),MATCH(Structure!$D$17,$OA$14:$OZ$14,0))))</f>
        <v/>
      </c>
      <c r="CH70" s="239" t="str">
        <f>IF(A70=FALSE,"",IF(ALLTHESAME=TRUE,INDEX(PA70:PZ70,MATCH(PC70,PC70:PC175,0),MATCH(Structure!$D$17,$PA$14:$PZ$14,0)),INDEX(QA70:QZ70,MATCH(QC70,QC70:QC175,0),MATCH(Structure!$D$17,$QA$14:$QZ$14,0))))</f>
        <v/>
      </c>
      <c r="CI70" s="341" t="str">
        <f>IF(A70=FALSE,"",IF(ALLTHESAME=TRUE,INDEX(RA70:RZ70,MATCH(RC70,RC70:RC175,0),MATCH(Structure!$D$17,$RA$14:$RZ$14,0)),INDEX(SA70:TC70,MATCH(SC70,SC70:SC175,0),MATCH(Structure!$D$17,$SA$14:$TC$14,0))))</f>
        <v/>
      </c>
      <c r="CJ70" s="347"/>
      <c r="CK70" s="239" t="str">
        <f t="shared" si="456"/>
        <v/>
      </c>
      <c r="CL70" s="239" t="str">
        <f>IF(A70=FALSE,"",IF(ALLTHESAME=TRUE,INDEX(DD70:DZ70,MATCH(DF70,DF70:DF175,0),MATCH(Structure!$D$22,$DD$14:$DZ$14,0)),INDEX(EA70:EZ70,MATCH(EC70,EC70:EC175,0),MATCH(Structure!$D$22,$EA$14:$EZ$14,0))))</f>
        <v/>
      </c>
      <c r="CM70" s="239" t="str">
        <f>IF(A70=FALSE,"",IF(ALLTHESAME=TRUE,INDEX(FA70:FZ70,MATCH(FC70,FC70:FC175,0),MATCH(Structure!$D$22,$FA$14:$FZ$14,0)),INDEX(GA70:GZ70,MATCH(GC70,GC70:GC175,0),MATCH(Structure!$D$22,$GA$14:$GZ$14,0))))</f>
        <v/>
      </c>
      <c r="CN70" s="239" t="str">
        <f>IF(A70=FALSE,"",IF(ALLTHESAME=TRUE,INDEX(HA70:HZ70,MATCH(HC70,HC70:HC175,0),MATCH(Structure!$D$22,$HA$14:$HZ$14,0)),INDEX(IA70:IZ70,MATCH(IC70,IC70:IC175,0),MATCH(Structure!$D$22,$IA$14:$IZ$14,0))))</f>
        <v/>
      </c>
      <c r="CO70" s="239" t="str">
        <f>IF(A70=FALSE,"",IF(ALLTHESAME=TRUE,INDEX(JA70:JZ70,MATCH(JC70,JC70:JC175,0),MATCH(Structure!$D$22,$JA$14:$JZ$14,0)),INDEX(KA70:KZ70,MATCH(KC70,KC70:KC175,0),MATCH(Structure!$D$22,$KA$14:$KZ$14,0))))</f>
        <v/>
      </c>
      <c r="CP70" s="239" t="str">
        <f>IF(A70=FALSE,"",IF(ALLTHESAME=TRUE,INDEX(LA70:LZ70,MATCH(LC70,LC70:LC175,0),MATCH(Structure!$D$22,$LA$14:$LZ$14,0)),INDEX(MA70:MZ70,MATCH(MC70,MC70:MC175,0),MATCH(Structure!$D$22,$MA$14:$MZ$14,0))))</f>
        <v/>
      </c>
      <c r="CQ70" s="239" t="str">
        <f>IF(A70=FALSE,"",IF(ALLTHESAME=TRUE,INDEX(NA70:NZ70,MATCH(NC70,NC70:NC175,0),MATCH(Structure!$D$22,$NA$14:$NZ$14,0)),INDEX(OA70:OZ70,MATCH(OC70,OC70:OC175,0),MATCH(Structure!$D$22,$OA$14:$OZ$14,0))))</f>
        <v/>
      </c>
      <c r="CR70" s="239" t="str">
        <f>IF(A70=FALSE,"",IF(ALLTHESAME=TRUE,INDEX(PA70:PZ70,MATCH(PC70,PC70:PC175,0),MATCH(Structure!$D$22,$PA$14:$PZ$14,0)),INDEX(QA70:QZ70,MATCH(QC70,QC70:QC175,0),MATCH(Structure!$D$22,$QA$14:$QZ$14,0))))</f>
        <v/>
      </c>
      <c r="CS70" s="341" t="str">
        <f>IF(A70=FALSE,"",IF(ALLTHESAME=TRUE,INDEX(RA70:RZ70,MATCH(RC70,RC70:RC175,0),MATCH(Structure!$D$22,$RA$14:$RZ$14,0)),INDEX(SA70:TC70,MATCH(SC70,SC70:SC175,0),MATCH(Structure!$D$22,$SA$14:$TC$14,0))))</f>
        <v/>
      </c>
      <c r="CT70" s="347"/>
      <c r="CU70" s="239" t="str">
        <f t="shared" si="457"/>
        <v/>
      </c>
      <c r="CV70" s="239" t="str">
        <f>IF(A70=FALSE,"",IF(ALLTHESAME=TRUE,INDEX(DD70:DZ70,MATCH(DF70,DF70:DF175,0),MATCH(Structure!$D$8,$DD$14:$DZ$14,0)),INDEX(EA70:EZ70,MATCH(EC70,EC70:EC175,0),MATCH(Structure!$D$8,$EA$14:$EZ$14,0))))</f>
        <v/>
      </c>
      <c r="CW70" s="239" t="str">
        <f>IF(A70=FALSE,"",IF(ALLTHESAME=TRUE,INDEX(FA70:FZ70,MATCH(FC70,FC70:FC175,0),MATCH(Structure!$D$8,$FA$14:$FZ$14,0)),INDEX(GA70:GZ70,MATCH(GC70,GC70:GC175,0),MATCH(Structure!$D$8,$GA$14:$GZ$14,0))))</f>
        <v/>
      </c>
      <c r="CX70" s="239" t="str">
        <f>IF(A70=FALSE,"",IF(ALLTHESAME=TRUE,INDEX(HA70:HZ70,MATCH(HC70,HC70:HC175,0),MATCH(Structure!$D$8,$HA$14:$HZ$14,0)),INDEX(IA70:IZ70,MATCH(IC70,IC70:IC175,0),MATCH(Structure!$D$8,$IA$14:$IZ$14,0))))</f>
        <v/>
      </c>
      <c r="CY70" s="239" t="str">
        <f>IF(A70=FALSE,"",IF(ALLTHESAME=TRUE,INDEX(JA70:JZ70,MATCH(JC70,JC70:JC175,0),MATCH(Structure!$D$8,$JA$14:$JZ$14,0)),INDEX(KA70:KZ70,MATCH(KC70,KC70:KC175,0),MATCH(Structure!$D$8,$KA$14:$KZ$14,0))))</f>
        <v/>
      </c>
      <c r="CZ70" s="239" t="str">
        <f>IF(A70=FALSE,"",IF(ALLTHESAME=TRUE,INDEX(LA70:LZ70,MATCH(LC70,LC70:LC175,0),MATCH(Structure!$D$8,$LA$14:$LZ$14,0)),INDEX(MA70:MZ70,MATCH(MC70,MC70:MC175,0),MATCH(Structure!$D$8,$MA$14:$MZ$14,0))))</f>
        <v/>
      </c>
      <c r="DA70" s="239" t="str">
        <f>IF(A70=FALSE,"",IF(ALLTHESAME=TRUE,INDEX(NA70:NZ70,MATCH(NC70,NC70:NC175,0),MATCH(Structure!$D$8,$NA$14:$NZ$14,0)),INDEX(OA70:OZ70,MATCH(OC70,OC70:OC175,0),MATCH(Structure!$D$8,$OA$14:$OZ$14,0))))</f>
        <v/>
      </c>
      <c r="DB70" s="239" t="str">
        <f>IF(A70=FALSE,"",IF(ALLTHESAME=TRUE,INDEX(PA70:PZ70,MATCH(PC70,PC70:PC175,0),MATCH(Structure!$D$8,$PA$14:$PZ$14,0)),INDEX(QA70:QZ70,MATCH(QC70,QC70:QC175,0),MATCH(Structure!$D$8,$QA$14:$QZ$14,0))))</f>
        <v/>
      </c>
      <c r="DC70" s="341" t="str">
        <f>IF(A70=FALSE,"",IF(ALLTHESAME=TRUE,INDEX(RA70:RZ70,MATCH(RC70,RC70:RC175,0),MATCH(Structure!$D$8,$RA$14:$RZ$14,0)),INDEX(SA70:TC70,MATCH(SC70,SC70:SC175,0),MATCH(Structure!$D$8,$SA$14:$TC$14,0))))</f>
        <v/>
      </c>
      <c r="DD70" s="492" t="str">
        <f>IF(A70=FALSE,"",Cotations!D70)</f>
        <v/>
      </c>
      <c r="DE70" s="492" t="str">
        <f>IF(A70=FALSE,"",IF(LISTES!$A$17=1,Cotations!AF70,Cotations!$AG$4))</f>
        <v/>
      </c>
      <c r="DF70" s="291" t="str">
        <f t="shared" si="458"/>
        <v/>
      </c>
      <c r="DG70" s="291" t="str">
        <f t="shared" si="459"/>
        <v/>
      </c>
      <c r="DH70" s="291"/>
      <c r="DI70" s="463"/>
      <c r="DJ70" s="463" t="str">
        <f t="shared" si="460"/>
        <v/>
      </c>
      <c r="DK70" s="522" t="str">
        <f>IF(A70=FALSE,"",IF(Cotations!$AH$4="monthly",DJ70/12*L70,DJ70/365*M70))</f>
        <v/>
      </c>
      <c r="DL70" s="489" t="str">
        <f>IF(A70=FALSE,"",Cotations!$AI$4)</f>
        <v/>
      </c>
      <c r="DM70" s="300" t="str">
        <f t="shared" si="461"/>
        <v/>
      </c>
      <c r="DN70" s="300" t="str">
        <f t="shared" si="462"/>
        <v/>
      </c>
      <c r="DO70" s="294" t="str">
        <f t="shared" si="463"/>
        <v/>
      </c>
      <c r="DP70" s="494" t="str">
        <f>IF(A70=FALSE,"",Cotations!$AJ$4)</f>
        <v/>
      </c>
      <c r="DQ70" s="494" t="str">
        <f>IF(A70=FALSE,"",Cotations!$AK$4)</f>
        <v/>
      </c>
      <c r="DR70" s="489" t="str">
        <f>IF(A70=FALSE,"",Cotations!$AL$4)</f>
        <v/>
      </c>
      <c r="DS70" s="494" t="str">
        <f>IF(A70=FALSE,"",IF(DP70="N/A",0,IF(INDEX(LISTES!$F$105:$F$109,MATCH(DP70,LISTES!$C$105:$C$109,0))="FIX",IF(INDEX(LISTES!$E$105:$E$109,MATCH(DP70,LISTES!$C$105:$C$109,0))=12,DQ70/12*L70,DQ70/365*M70),DR70*DO70)))</f>
        <v/>
      </c>
      <c r="DT70" s="294" t="str">
        <f t="shared" si="464"/>
        <v/>
      </c>
      <c r="DU70" s="294" t="str">
        <f>IF(A70=FALSE,"",DT70*Cotations!$AM$4)</f>
        <v/>
      </c>
      <c r="DV70" s="294" t="str">
        <f>IF(A70=FALSE,"",DT70*Cotations!$AN$4)</f>
        <v/>
      </c>
      <c r="DW70" s="465" t="str">
        <f t="shared" si="465"/>
        <v/>
      </c>
      <c r="DX70" s="919" t="str">
        <f>IF(A70=FALSE,"",((DJ70*TAXE)-(DJ70*TAXE*DL70))+IF(DP70="N/A",0,IF(INDEX(LISTES!$F$105:$F$109,MATCH(DP70,LISTES!$C$105:$C$109,0))="FIX",DQ70,DR70*DO70)))</f>
        <v/>
      </c>
      <c r="DY70" s="466"/>
      <c r="DZ70" s="466"/>
      <c r="EA70" s="492" t="str">
        <f>IF(A70=FALSE,"",Cotations!D70)</f>
        <v/>
      </c>
      <c r="EB70" s="494" t="str">
        <f>IF(A70=FALSE,"",IF(LISTES!$A$17=1,Cotations!AF70,Cotations!AG70))</f>
        <v/>
      </c>
      <c r="EC70" s="284" t="str">
        <f t="shared" si="466"/>
        <v/>
      </c>
      <c r="ED70" s="284" t="str">
        <f t="shared" si="467"/>
        <v/>
      </c>
      <c r="EE70" s="284"/>
      <c r="EF70" s="284"/>
      <c r="EG70" s="284" t="str">
        <f t="shared" si="468"/>
        <v/>
      </c>
      <c r="EH70" s="1365" t="str">
        <f t="shared" si="469"/>
        <v/>
      </c>
      <c r="EI70" s="1365" t="str">
        <f t="shared" si="470"/>
        <v/>
      </c>
      <c r="EJ70" s="515" t="str">
        <f>IF(A70=FALSE,"",IF(Cotations!AH70="monthly",EG70/12*L70,EG70/365*M70))</f>
        <v/>
      </c>
      <c r="EK70" s="1364" t="str">
        <f>IF(A70=FALSE,"",IF(Cotations!AH70="monthly",EI70/12*L70,EI70/365*M70))</f>
        <v/>
      </c>
      <c r="EL70" s="493" t="str">
        <f>IF(A70=FALSE,"",IF(Cotations!AI70="","",Cotations!AI70))</f>
        <v/>
      </c>
      <c r="EM70" s="284" t="str">
        <f t="shared" si="471"/>
        <v/>
      </c>
      <c r="EN70" s="284" t="str">
        <f t="shared" si="472"/>
        <v/>
      </c>
      <c r="EO70" s="1365" t="str">
        <f t="shared" si="432"/>
        <v/>
      </c>
      <c r="EP70" s="284" t="str">
        <f t="shared" si="473"/>
        <v/>
      </c>
      <c r="EQ70" s="515" t="str">
        <f>IF(A70=FALSE,"",Cotations!AJ70)</f>
        <v/>
      </c>
      <c r="ER70" s="515" t="str">
        <f>IF(A70=FALSE,"",IF(Cotations!AK70="","",Cotations!AK70))</f>
        <v/>
      </c>
      <c r="ES70" s="493" t="str">
        <f>IF(A70=FALSE,"",Cotations!AL70)</f>
        <v/>
      </c>
      <c r="ET70" s="515" t="str">
        <f>IF(A70=FALSE,"",IF(EQ70="N/A",0,IF(INDEX(LISTES!$F$105:$F$109,MATCH(EQ70,LISTES!$C$105:$C$109,0))="FIX",IF(INDEX(LISTES!$E$105:$E$109,MATCH(EQ70,LISTES!$C$105:$C$109,0))=12,ER70/12*L70,ER70/365*M70),ES70*EP70)))</f>
        <v/>
      </c>
      <c r="EU70" s="294" t="str">
        <f t="shared" si="474"/>
        <v/>
      </c>
      <c r="EV70" s="494" t="str">
        <f>IF(A70=FALSE,"",EU70*Cotations!AM70)</f>
        <v/>
      </c>
      <c r="EW70" s="494" t="str">
        <f>IF(A70=FALSE,"",EU70*Cotations!AN70)</f>
        <v/>
      </c>
      <c r="EX70" s="334" t="str">
        <f t="shared" si="475"/>
        <v/>
      </c>
      <c r="EY70" s="919" t="str">
        <f>IF(A70=FALSE,"",((EG70*TAXE)-(EG70*TAXE*EL70)+EH70)+IF(EQ70="N/A",0,IF(INDEX(LISTES!$F$105:$F$109,MATCH(EQ70,LISTES!$C$105:$C$109,0))="FIX",ER70,ES70*EP70)))</f>
        <v/>
      </c>
      <c r="FA70" s="492" t="str">
        <f>IF(A70=FALSE,"",Cotations!D70)</f>
        <v/>
      </c>
      <c r="FB70" s="519" t="str">
        <f>IF(A70=FALSE,"",IF(LISTES!$A$17=1,Cotations!AO70,Cotations!$AP$4))</f>
        <v/>
      </c>
      <c r="FC70" s="291" t="str">
        <f t="shared" si="476"/>
        <v/>
      </c>
      <c r="FD70" s="291" t="str">
        <f t="shared" si="477"/>
        <v/>
      </c>
      <c r="FE70" s="291"/>
      <c r="FF70" s="463"/>
      <c r="FG70" s="463" t="str">
        <f t="shared" si="478"/>
        <v/>
      </c>
      <c r="FH70" s="522" t="str">
        <f>IF(A70=FALSE,"",IF(Cotations!$AQ$4="monthly",FG70/12*L70,FG70/365*M70))</f>
        <v/>
      </c>
      <c r="FI70" s="453" t="str">
        <f>IF(A70=FALSE,"",Cotations!$AR$4)</f>
        <v/>
      </c>
      <c r="FJ70" s="300" t="str">
        <f t="shared" si="479"/>
        <v/>
      </c>
      <c r="FK70" s="300" t="str">
        <f t="shared" si="480"/>
        <v/>
      </c>
      <c r="FL70" s="294" t="str">
        <f t="shared" si="481"/>
        <v/>
      </c>
      <c r="FM70" s="494" t="str">
        <f>IF(A70=FALSE,"",Cotations!$AS$4)</f>
        <v/>
      </c>
      <c r="FN70" s="494" t="str">
        <f>IF(A70=FALSE,"",Cotations!$AT$4)</f>
        <v/>
      </c>
      <c r="FO70" s="489" t="str">
        <f>IF(A70=FALSE,"",Cotations!$AU$4)</f>
        <v/>
      </c>
      <c r="FP70" s="494" t="str">
        <f>IF(A70=FALSE,"",IF(FM70="N/A",0,IF(INDEX(LISTES!$F$105:$F$109,MATCH(FM70,LISTES!$C$105:$C$109,0))="FIX",IF(INDEX(LISTES!$E$105:$E$109,MATCH(FM70,LISTES!$C$105:$C$109,0))=12,FN70/12*L70,FN70/365*M70),FO70*FL70)))</f>
        <v/>
      </c>
      <c r="FQ70" s="294" t="str">
        <f t="shared" si="482"/>
        <v/>
      </c>
      <c r="FR70" s="494" t="str">
        <f>IF(A70=FALSE,"",FQ70*Cotations!$AV$4)</f>
        <v/>
      </c>
      <c r="FS70" s="494" t="str">
        <f>IF(A70=FALSE,"",FQ70*Cotations!$AW$4)</f>
        <v/>
      </c>
      <c r="FT70" s="465" t="str">
        <f t="shared" si="483"/>
        <v/>
      </c>
      <c r="FU70" s="919" t="str">
        <f>IF(A70=FALSE,"",((FG70*TAXE)-(FG70*TAXE*FI70))+IF(FM70="N/A",0,IF(INDEX(LISTES!$F$105:$F$109,MATCH(FM70,LISTES!$C$105:$C$109,0))="FIX",FN70,FO70*FL70)))</f>
        <v/>
      </c>
      <c r="FV70" s="478"/>
      <c r="FW70" s="478"/>
      <c r="FX70" s="478"/>
      <c r="FY70" s="478"/>
      <c r="FZ70" s="478"/>
      <c r="GA70" s="492" t="str">
        <f>IF(A70=FALSE,"",Cotations!D70)</f>
        <v/>
      </c>
      <c r="GB70" s="494" t="str">
        <f>IF(A70=FALSE,"",IF(LISTES!$A$17=1,Cotations!AO70,Cotations!AP70))</f>
        <v/>
      </c>
      <c r="GC70" s="284" t="str">
        <f t="shared" si="484"/>
        <v/>
      </c>
      <c r="GD70" s="515" t="str">
        <f>IF(A70=FALSE,"",IF(Detail!AM70="","",Detail!AM70))</f>
        <v/>
      </c>
      <c r="GE70" s="284"/>
      <c r="GF70" s="284"/>
      <c r="GG70" s="284" t="str">
        <f t="shared" si="485"/>
        <v/>
      </c>
      <c r="GH70" s="515" t="str">
        <f>IF(A70=FALSE,"",IF(Cotations!AQ70="monthly",GG70/12*L70,GG70/365*M70))</f>
        <v/>
      </c>
      <c r="GI70" s="493" t="str">
        <f>IF(A70=FALSE,"",IF(Cotations!AR70="","",Cotations!AR70))</f>
        <v/>
      </c>
      <c r="GJ70" s="284" t="str">
        <f t="shared" si="486"/>
        <v/>
      </c>
      <c r="GK70" s="284" t="str">
        <f t="shared" si="487"/>
        <v/>
      </c>
      <c r="GL70" s="284" t="str">
        <f t="shared" si="488"/>
        <v/>
      </c>
      <c r="GM70" s="515" t="str">
        <f>IF(A70=FALSE,"",Cotations!AS70)</f>
        <v/>
      </c>
      <c r="GN70" s="515" t="str">
        <f>IF(A70=FALSE,"",Cotations!AT70)</f>
        <v/>
      </c>
      <c r="GO70" s="493" t="str">
        <f>IF(A70=FALSE,"",Cotations!AU70)</f>
        <v/>
      </c>
      <c r="GP70" s="515" t="str">
        <f>IF(A70=FALSE,"",IF(GM70="N/A",0,IF(INDEX(LISTES!$F$105:$F$109,MATCH(GM70,LISTES!$C$105:$C$109,0))="FIX",IF(INDEX(LISTES!$E$105:$E$109,MATCH(GM70,LISTES!$C$105:$C$109,0))=12,GN70/12*L70,GN70/365*M70),GO70*GL70)))</f>
        <v/>
      </c>
      <c r="GQ70" s="294" t="str">
        <f t="shared" si="489"/>
        <v/>
      </c>
      <c r="GR70" s="494" t="str">
        <f>IF(A70=FALSE,"",GQ70*Cotations!AV70)</f>
        <v/>
      </c>
      <c r="GS70" s="494" t="str">
        <f>IF(A70=FALSE,"",GQ70*Cotations!AW70)</f>
        <v/>
      </c>
      <c r="GT70" s="334" t="str">
        <f t="shared" si="490"/>
        <v/>
      </c>
      <c r="GU70" s="919" t="str">
        <f>IF(A70=FALSE,"",((GG70*TAXE)-(GG70*TAXE*GI70))+IF(GM70="N/A",0,IF(INDEX(LISTES!$F$105:$F$109,MATCH(GM70,LISTES!$C$105:$C$109,0))="FIX",GN70,GO70*GL70)))</f>
        <v/>
      </c>
      <c r="GV70" s="478"/>
      <c r="GW70" s="466"/>
      <c r="GX70" s="466"/>
      <c r="GY70" s="466"/>
      <c r="GZ70" s="466"/>
      <c r="HA70" s="492" t="str">
        <f>IF(A70=FALSE,"",Cotations!D70)</f>
        <v/>
      </c>
      <c r="HB70" s="495" t="str">
        <f>IF(A70=FALSE,"",IF(LISTES!$A$17=1,Cotations!AX70,Cotations!$AY$4))</f>
        <v/>
      </c>
      <c r="HC70" s="291" t="str">
        <f t="shared" si="491"/>
        <v/>
      </c>
      <c r="HD70" s="291" t="str">
        <f t="shared" si="492"/>
        <v/>
      </c>
      <c r="HE70" s="456" t="str">
        <f t="shared" si="493"/>
        <v/>
      </c>
      <c r="HF70" s="496" t="str">
        <f>IF(A70=FALSE,"",IF(HA70="POEA",Cotations!BA70,IF(HA70="FIXE",Cotations!$BA$4,Cotations!$BC$4*Y70)))</f>
        <v/>
      </c>
      <c r="HG70" s="300" t="str">
        <f t="shared" si="494"/>
        <v/>
      </c>
      <c r="HH70" s="522" t="str">
        <f>IF(A70=FALSE,"",IF(Cotations!$AZ$4="monthly",HG70/12*L70,HG70/365*M70))</f>
        <v/>
      </c>
      <c r="HI70" s="489" t="str">
        <f>IF(A70=FALSE,"",Cotations!$BD$4)</f>
        <v/>
      </c>
      <c r="HJ70" s="300" t="str">
        <f t="shared" si="495"/>
        <v/>
      </c>
      <c r="HK70" s="300" t="str">
        <f t="shared" si="496"/>
        <v/>
      </c>
      <c r="HL70" s="294" t="str">
        <f t="shared" si="497"/>
        <v/>
      </c>
      <c r="HM70" s="494" t="str">
        <f>IF(A70=FALSE,"",Cotations!$BE$4)</f>
        <v/>
      </c>
      <c r="HN70" s="522" t="str">
        <f>IF(A70=FALSE,"",Cotations!$BF$4)</f>
        <v/>
      </c>
      <c r="HO70" s="489" t="str">
        <f>IF(A70=FALSE,"",Cotations!$BG$4)</f>
        <v/>
      </c>
      <c r="HP70" s="494" t="str">
        <f>IF(A70=FALSE,"",IF(HM70="N/A",0,IF(INDEX(LISTES!$F$105:$F$109,MATCH(HM70,LISTES!$C$105:$C$109,0))="FIX",IF(INDEX(LISTES!$E$105:$E$109,MATCH(HM70,LISTES!$C$105:$C$109,0))=12,HN70/12*L70,HN70/365*M70),HO70*HL70)))</f>
        <v/>
      </c>
      <c r="HQ70" s="294" t="str">
        <f t="shared" si="498"/>
        <v/>
      </c>
      <c r="HR70" s="494" t="str">
        <f>IF(A70=FALSE,"",HQ70*Cotations!$BH$4)</f>
        <v/>
      </c>
      <c r="HS70" s="494" t="str">
        <f>IF(A70=FALSE,"",HQ70*Cotations!$BI$4)</f>
        <v/>
      </c>
      <c r="HT70" s="294" t="str">
        <f t="shared" si="499"/>
        <v/>
      </c>
      <c r="HU70" s="919" t="str">
        <f>IF(A70=FALSE,"",((HG70*TAXE)-(HG70*TAXE*HI70))+IF(HM70="N/A",0,IF(INDEX(LISTES!$F$105:$F$109,MATCH(HM70,LISTES!$C$105:$C$109,0))="FIX",HN70,HO70*HL70)))</f>
        <v/>
      </c>
      <c r="IA70" s="492" t="str">
        <f>IF(A70=FALSE,"",Cotations!D70)</f>
        <v/>
      </c>
      <c r="IB70" s="491" t="str">
        <f>IF(A70=FALSE,"",IF(LISTES!$A$17=1,Cotations!AX70,Cotations!AY70))</f>
        <v/>
      </c>
      <c r="IC70" s="285" t="str">
        <f t="shared" si="500"/>
        <v/>
      </c>
      <c r="ID70" s="300" t="str">
        <f>IF(A70=FALSE,"",IF(LISTES!$A$17=3,Detail!AU70,lig1_Formula_PREVOY))</f>
        <v/>
      </c>
      <c r="IE70" s="461" t="str">
        <f t="shared" si="501"/>
        <v/>
      </c>
      <c r="IF70" s="490" t="str">
        <f>IF(A70=FALSE,"",IF(IA70="POEA",Cotations!BA70,IF(HA70="FIXE",Cotations!BB70,IF(Cotations!BC70*Y70&lt;50000,Z70,Cotations!BC70*Y70))))</f>
        <v/>
      </c>
      <c r="IG70" s="300" t="str">
        <f t="shared" si="502"/>
        <v/>
      </c>
      <c r="IH70" s="522" t="str">
        <f>IF(A70=FALSE,"",IF(Cotations!AZ70="monthly",IG70/12*L70,IG70/365*M70))</f>
        <v/>
      </c>
      <c r="II70" s="489" t="str">
        <f>IF(A70=FALSE,"",IF(Cotations!BD70="","",Cotations!BD70))</f>
        <v/>
      </c>
      <c r="IJ70" s="300" t="str">
        <f t="shared" si="503"/>
        <v/>
      </c>
      <c r="IK70" s="300" t="str">
        <f t="shared" si="504"/>
        <v/>
      </c>
      <c r="IL70" s="919" t="str">
        <f t="shared" si="505"/>
        <v/>
      </c>
      <c r="IM70" s="517" t="str">
        <f>IF(A70=FALSE,"",Cotations!BE70)</f>
        <v/>
      </c>
      <c r="IN70" s="517" t="str">
        <f>IF(A70=FALSE,"",Cotations!BF70)</f>
        <v/>
      </c>
      <c r="IO70" s="493" t="str">
        <f>IF(A70=FALSE,"",Cotations!BG70)</f>
        <v/>
      </c>
      <c r="IP70" s="517" t="str">
        <f>IF(A70=FALSE,"",IF(IM70="N/A",0,IF(INDEX(LISTES!$F$105:$F$109,MATCH(IM70,LISTES!$C$105:$C$109,0))="FIX",IF(INDEX(LISTES!$E$105:$E$109,MATCH(IM70,LISTES!$C$105:$C$109,0))=12,IN70/12*L70,IN70/365*M70),IO70*IL70)))</f>
        <v/>
      </c>
      <c r="IQ70" s="294" t="str">
        <f t="shared" si="506"/>
        <v/>
      </c>
      <c r="IR70" s="494" t="str">
        <f>IF(A70=FALSE,"",IQ70*Cotations!BH70)</f>
        <v/>
      </c>
      <c r="IS70" s="494" t="str">
        <f>IF(A70=FALSE,"",IQ70*Cotations!BI70)</f>
        <v/>
      </c>
      <c r="IT70" s="338" t="str">
        <f t="shared" si="507"/>
        <v/>
      </c>
      <c r="IU70" s="919" t="str">
        <f>IF(A70=FALSE,"",((IG70*TAXE)-(IG70*TAXE*II70))+IF(IM70="N/A",0,IF(INDEX(LISTES!$F$105:$F$109,MATCH(IM70,LISTES!$C$105:$C$109,0))="FIX",IN70,IO70*IL70)))</f>
        <v/>
      </c>
      <c r="JA70" s="492" t="str">
        <f>IF(A70=FALSE,"",Cotations!D70)</f>
        <v/>
      </c>
      <c r="JB70" s="495" t="str">
        <f>IF(A70=FALSE,"",IF(LISTES!$A$17=1,Cotations!BJ70,Cotations!$BK$4))</f>
        <v/>
      </c>
      <c r="JC70" s="291" t="str">
        <f t="shared" si="508"/>
        <v/>
      </c>
      <c r="JD70" s="291" t="str">
        <f t="shared" si="509"/>
        <v/>
      </c>
      <c r="JE70" s="456" t="str">
        <f t="shared" si="510"/>
        <v/>
      </c>
      <c r="JF70" s="496" t="str">
        <f>IF(A70=FALSE,"",IF(JA70="POEA",Cotations!BM70,IF(JA70="FIXE",Cotations!$BM$4,Cotations!$BO$4*Y70)))</f>
        <v/>
      </c>
      <c r="JG70" s="300" t="str">
        <f t="shared" si="511"/>
        <v/>
      </c>
      <c r="JH70" s="522" t="str">
        <f>IF(A70=FALSE,"",IF(Cotations!$BL$4="monthly",JG70/12*L70,JG70/365*M70))</f>
        <v/>
      </c>
      <c r="JI70" s="489" t="str">
        <f>IF(A70=FALSE,"",Cotations!$BP$4)</f>
        <v/>
      </c>
      <c r="JJ70" s="300" t="str">
        <f t="shared" si="512"/>
        <v/>
      </c>
      <c r="JK70" s="300" t="str">
        <f t="shared" si="513"/>
        <v/>
      </c>
      <c r="JL70" s="294" t="str">
        <f t="shared" si="514"/>
        <v/>
      </c>
      <c r="JM70" s="494" t="str">
        <f>IF(A70=FALSE,"",Cotations!$BQ$4)</f>
        <v/>
      </c>
      <c r="JN70" s="522" t="str">
        <f>IF(A70=FALSE,"",Cotations!$BR$4)</f>
        <v/>
      </c>
      <c r="JO70" s="489" t="str">
        <f>IF(A70=FALSE,"",Cotations!$BS$4)</f>
        <v/>
      </c>
      <c r="JP70" s="494" t="str">
        <f>IF(A70=FALSE,"",IF(JM70="N/A",0,IF(INDEX(LISTES!$F$105:$F$109,MATCH(JM70,LISTES!$C$105:$C$109,0))="FIX",IF(INDEX(LISTES!$E$105:$E$109,MATCH(JM70,LISTES!$C$105:$C$109,0))=12,JN70/12*L70,JN70/365*M70),JO70*JL70)))</f>
        <v/>
      </c>
      <c r="JQ70" s="294" t="str">
        <f t="shared" si="515"/>
        <v/>
      </c>
      <c r="JR70" s="494" t="str">
        <f>IF(A70=FALSE,"",JQ70*Cotations!$BT$4)</f>
        <v/>
      </c>
      <c r="JS70" s="494" t="str">
        <f>IF(A70=FALSE,"",JQ70*Cotations!$BU$4)</f>
        <v/>
      </c>
      <c r="JT70" s="294" t="str">
        <f t="shared" si="516"/>
        <v/>
      </c>
      <c r="JU70" s="919" t="str">
        <f>IF(A70=FALSE,"",((JG70*TAXE)-(JG70*TAXE*JI70))+IF(JM70="N/A",0,IF(INDEX(LISTES!$F$105:$F$109,MATCH(JM70,LISTES!$C$105:$C$109,0))="FIX",JN70,JO70*JL70)))</f>
        <v/>
      </c>
      <c r="KA70" s="492" t="str">
        <f>IF(A70=FALSE,"",Cotations!D70)</f>
        <v/>
      </c>
      <c r="KB70" s="491" t="str">
        <f>IF(A70=FALSE,"",IF(LISTES!$A$17=1,Cotations!BJ70,Cotations!BK70))</f>
        <v/>
      </c>
      <c r="KC70" s="285" t="str">
        <f t="shared" si="517"/>
        <v/>
      </c>
      <c r="KD70" s="300"/>
      <c r="KE70" s="461" t="str">
        <f t="shared" si="518"/>
        <v/>
      </c>
      <c r="KF70" s="490" t="str">
        <f>IF(A70=FALSE,"",IF(KA70="POEA",Cotations!BM70,IF(KA70="FIXE",Cotations!BN70,IF(Cotations!BO70*Y70&lt;50000,Z70,Cotations!BO70*Y70))))</f>
        <v/>
      </c>
      <c r="KG70" s="300" t="str">
        <f t="shared" si="519"/>
        <v/>
      </c>
      <c r="KH70" s="522" t="str">
        <f>IF(A70=FALSE,"",IF(Cotations!BL70="monthly",KG70/12*L70,KG70/365*M70))</f>
        <v/>
      </c>
      <c r="KI70" s="489" t="str">
        <f>IF(A70=FALSE,"",IF(Cotations!BP70="","",Cotations!BP70))</f>
        <v/>
      </c>
      <c r="KJ70" s="300" t="str">
        <f t="shared" si="520"/>
        <v/>
      </c>
      <c r="KK70" s="300" t="str">
        <f t="shared" si="521"/>
        <v/>
      </c>
      <c r="KL70" s="919" t="str">
        <f t="shared" si="522"/>
        <v/>
      </c>
      <c r="KM70" s="517" t="str">
        <f>IF(A70=FALSE,"",Cotations!BQ70)</f>
        <v/>
      </c>
      <c r="KN70" s="515" t="str">
        <f>IF(A70=FALSE,"",Cotations!BR70)</f>
        <v/>
      </c>
      <c r="KO70" s="493" t="str">
        <f>IF(A70=FALSE,"",Cotations!BS70)</f>
        <v/>
      </c>
      <c r="KP70" s="517" t="str">
        <f>IF(A70=FALSE,"",IF(KM70="N/A",0,IF(INDEX(LISTES!$F$105:$F$109,MATCH(KM70,LISTES!$C$105:$C$109,0))="FIX",IF(INDEX(LISTES!$E$105:$E$109,MATCH(KM70,LISTES!$C$105:$C$109,0))=12,KN70/12*L70,KN70/365*M70),KO70*KL70)))</f>
        <v/>
      </c>
      <c r="KQ70" s="294" t="str">
        <f t="shared" si="523"/>
        <v/>
      </c>
      <c r="KR70" s="494" t="str">
        <f>IF(A70=FALSE,"",KQ70*Cotations!BT70)</f>
        <v/>
      </c>
      <c r="KS70" s="494" t="str">
        <f>IF(A70=FALSE,"",KQ70*Cotations!BU70)</f>
        <v/>
      </c>
      <c r="KT70" s="338" t="str">
        <f t="shared" si="524"/>
        <v/>
      </c>
      <c r="KU70" s="919" t="str">
        <f>IF(A70=FALSE,"",((KG70*TAXE)-(KG70*TAXE*KI70))+IF(KM70="N/A",0,IF(INDEX(LISTES!$F$105:$F$109,MATCH(KM70,LISTES!$C$105:$C$109,0))="FIX",KN70,KO70*KL70)))</f>
        <v/>
      </c>
      <c r="LA70" s="497" t="str">
        <f>IF(A70=FALSE,"",Cotations!D70)</f>
        <v/>
      </c>
      <c r="LB70" s="498" t="str">
        <f>IF(A70=FALSE,"",IF(LISTES!$A$17=1,Cotations!BV70,Cotations!$BW$4))</f>
        <v/>
      </c>
      <c r="LC70" s="499" t="str">
        <f t="shared" si="525"/>
        <v/>
      </c>
      <c r="LD70" s="499" t="str">
        <f t="shared" si="526"/>
        <v/>
      </c>
      <c r="LE70" s="500" t="str">
        <f t="shared" si="527"/>
        <v/>
      </c>
      <c r="LF70" s="501" t="str">
        <f>IF(A70=FALSE,"",IF(LA70="POEA",Cotations!EJ70,IF(LA70="FIXE",Cotations!$BY$4,Cotations!$CA$4*Y70)))</f>
        <v/>
      </c>
      <c r="LG70" s="502" t="str">
        <f t="shared" si="528"/>
        <v/>
      </c>
      <c r="LH70" s="520" t="str">
        <f>IF(A70=FALSE,"",IF(Cotations!$BX$4="monthly",LG70/12*L70,LG70/365*M70))</f>
        <v/>
      </c>
      <c r="LI70" s="503" t="str">
        <f>IF(A70=FALSE,"",Cotations!$CB$4)</f>
        <v/>
      </c>
      <c r="LJ70" s="502" t="str">
        <f t="shared" si="529"/>
        <v/>
      </c>
      <c r="LK70" s="502" t="str">
        <f t="shared" si="530"/>
        <v/>
      </c>
      <c r="LL70" s="504" t="str">
        <f t="shared" si="531"/>
        <v/>
      </c>
      <c r="LM70" s="505" t="str">
        <f>IF(A70=FALSE,"",Cotations!$CC$4)</f>
        <v/>
      </c>
      <c r="LN70" s="503" t="str">
        <f>IF(A70=FALSE,"",Cotations!$CD$4)</f>
        <v/>
      </c>
      <c r="LO70" s="503" t="str">
        <f>IF(A70=FALSE,"",Cotations!$CE$4)</f>
        <v/>
      </c>
      <c r="LP70" s="505" t="str">
        <f>IF(A70=FALSE,"",IF(LM70="N/A",0,IF(INDEX(LISTES!$F$105:$F$109,MATCH(LM70,LISTES!$C$105:$C$109,0))="FIX",IF(INDEX(LISTES!$E$105:$E$109,MATCH(LM70,LISTES!$C$105:$C$109,0))=12,LN70/12*L70,LN70/365*M70),LO70*LL70)))</f>
        <v/>
      </c>
      <c r="LQ70" s="504" t="str">
        <f t="shared" si="532"/>
        <v/>
      </c>
      <c r="LR70" s="505" t="str">
        <f>IF(A70=FALSE,"",LQ70*Cotations!$CF$4)</f>
        <v/>
      </c>
      <c r="LS70" s="505" t="str">
        <f>IF(A70=FALSE,"",LQ70*Cotations!$CG$4)</f>
        <v/>
      </c>
      <c r="LT70" s="506" t="str">
        <f t="shared" si="533"/>
        <v/>
      </c>
      <c r="LU70" s="919" t="str">
        <f>IF(A70=FALSE,"",((LG70*TAXE)-(LG70*TAXE*LI70))+IF(LM70="N/A",0,IF(INDEX(LISTES!$F$105:$F$109,MATCH(LM70,LISTES!$C$105:$C$109,0))="FIX",LN70,LO70*LL70)))</f>
        <v/>
      </c>
      <c r="MA70" s="492" t="str">
        <f>IF(A70=FALSE,"",Cotations!D70)</f>
        <v/>
      </c>
      <c r="MB70" s="491" t="str">
        <f>IF(A70=FALSE,"",IF(LISTES!$A$17=1,Cotations!BV70,Cotations!BW70))</f>
        <v/>
      </c>
      <c r="MC70" s="285" t="str">
        <f t="shared" si="534"/>
        <v/>
      </c>
      <c r="MD70" s="300"/>
      <c r="ME70" s="461" t="str">
        <f t="shared" si="535"/>
        <v/>
      </c>
      <c r="MF70" s="490" t="str">
        <f>IF(A70=FALSE,"",IF(MA70="POEA",Cotations!BY70,IF(MA70="FIXE",Cotations!BZ70,IF(Cotations!CA70*Y70&lt;50000,Z70,Cotations!CA70*Y70))))</f>
        <v/>
      </c>
      <c r="MG70" s="300" t="str">
        <f t="shared" si="536"/>
        <v/>
      </c>
      <c r="MH70" s="522" t="str">
        <f>IF(A70=FALSE,"",IF(Cotations!BX70="monthly",MG70/12*L70,MG70/365*M70))</f>
        <v/>
      </c>
      <c r="MI70" s="489" t="str">
        <f>IF(A70=FALSE,"",IF(Cotations!CB70="","",Cotations!CB70))</f>
        <v/>
      </c>
      <c r="MJ70" s="300" t="str">
        <f t="shared" si="537"/>
        <v/>
      </c>
      <c r="MK70" s="300" t="str">
        <f t="shared" si="538"/>
        <v/>
      </c>
      <c r="ML70" s="919" t="str">
        <f t="shared" si="539"/>
        <v/>
      </c>
      <c r="MM70" s="517" t="str">
        <f>IF(A70=FALSE,"",Cotations!CC70)</f>
        <v/>
      </c>
      <c r="MN70" s="515" t="str">
        <f>IF(A70=FALSE,"",Cotations!CD70)</f>
        <v/>
      </c>
      <c r="MO70" s="493" t="str">
        <f>IF(A70=FALSE,"",Cotations!CE70)</f>
        <v/>
      </c>
      <c r="MP70" s="517" t="str">
        <f>IF(A70=FALSE,"",IF(MM70="N/A",0,IF(INDEX(LISTES!$F$105:$F$109,MATCH(MM70,LISTES!$C$105:$C$109,0))="FIX",IF(INDEX(LISTES!$E$105:$E$109,MATCH(MM70,LISTES!$C$105:$C$109,0))=12,MN70/12*L70,MN70/365*M70),MO70*ML70)))</f>
        <v/>
      </c>
      <c r="MQ70" s="294" t="str">
        <f t="shared" si="540"/>
        <v/>
      </c>
      <c r="MR70" s="494" t="str">
        <f>IF(A70=FALSE,"",MQ70*Cotations!CF70)</f>
        <v/>
      </c>
      <c r="MS70" s="494" t="str">
        <f>IF(A70=FALSE,"",MQ70*Cotations!CG70)</f>
        <v/>
      </c>
      <c r="MT70" s="338" t="str">
        <f t="shared" si="541"/>
        <v/>
      </c>
      <c r="MU70" s="919" t="str">
        <f>IF(A70=FALSE,"",((MG70*TAXE)-(MG70*TAXE*MI70))+IF(MM70="N/A",0,IF(INDEX(LISTES!$F$105:$F$109,MATCH(MM70,LISTES!$C$105:$C$109,0))="FIX",MN70,MO70*ML70)))</f>
        <v/>
      </c>
      <c r="NA70" s="497" t="str">
        <f>IF(A70=FALSE,"",Cotations!D70)</f>
        <v/>
      </c>
      <c r="NB70" s="498" t="str">
        <f>IF(A70=FALSE,"",IF(LISTES!$A$17=1,Cotations!CH70,Cotations!$CI$4))</f>
        <v/>
      </c>
      <c r="NC70" s="499" t="str">
        <f t="shared" si="542"/>
        <v/>
      </c>
      <c r="ND70" s="499" t="str">
        <f t="shared" si="543"/>
        <v/>
      </c>
      <c r="NE70" s="500" t="str">
        <f t="shared" si="544"/>
        <v/>
      </c>
      <c r="NF70" s="501" t="str">
        <f>IF(A70=FALSE,"",IF(NA70="POEA",Cotations!CK70,IF(NA70="FIXE",Cotations!$CK$4,Cotations!$CM$4*Y70)))</f>
        <v/>
      </c>
      <c r="NG70" s="502" t="str">
        <f t="shared" si="545"/>
        <v/>
      </c>
      <c r="NH70" s="520" t="str">
        <f>IF(A70=FALSE,"",IF(Cotations!$CJ$4="monthly",NG70/12*L70,NG70/365*M70))</f>
        <v/>
      </c>
      <c r="NI70" s="503" t="str">
        <f>IF(A70=FALSE,"",Cotations!$CN$4)</f>
        <v/>
      </c>
      <c r="NJ70" s="502" t="str">
        <f t="shared" si="546"/>
        <v/>
      </c>
      <c r="NK70" s="502" t="str">
        <f t="shared" si="547"/>
        <v/>
      </c>
      <c r="NL70" s="504" t="str">
        <f t="shared" si="548"/>
        <v/>
      </c>
      <c r="NM70" s="505" t="str">
        <f>IF(A70=FALSE,"",Cotations!$CO$4)</f>
        <v/>
      </c>
      <c r="NN70" s="520" t="str">
        <f>IF(A70=FALSE,"",Cotations!$CP$4)</f>
        <v/>
      </c>
      <c r="NO70" s="503" t="str">
        <f>IF(A70=FALSE,"",Cotations!$CQ$4)</f>
        <v/>
      </c>
      <c r="NP70" s="505" t="str">
        <f>IF(A70=FALSE,"",IF(NM70="N/A",0,IF(INDEX(LISTES!$F$105:$F$109,MATCH(NM70,LISTES!$C$105:$C$109,0))="FIX",IF(INDEX(LISTES!$E$105:$E$109,MATCH(NM70,LISTES!$C$105:$C$109,0))=12,NN70/12*L70,NN70/365*M70),NO70*NL70)))</f>
        <v/>
      </c>
      <c r="NQ70" s="504" t="str">
        <f t="shared" si="549"/>
        <v/>
      </c>
      <c r="NR70" s="505" t="str">
        <f>IF(A70=FALSE,"",NQ70*Cotations!$CR$4)</f>
        <v/>
      </c>
      <c r="NS70" s="505" t="str">
        <f>IF(A70=FALSE,"",NQ70*Cotations!$CS$4)</f>
        <v/>
      </c>
      <c r="NT70" s="506" t="str">
        <f t="shared" si="550"/>
        <v/>
      </c>
      <c r="NU70" s="919" t="str">
        <f>IF(A70=FALSE,"",((NG70*TAXE)-(NG70*TAXE*NI70))+IF(NM70="N/A",0,IF(INDEX(LISTES!$F$105:$F$109,MATCH(NM70,LISTES!$C$105:$C$109,0))="FIX",NN70,NO70*NL70)))</f>
        <v/>
      </c>
      <c r="OA70" s="492" t="str">
        <f>IF(A70=FALSE,"",Cotations!D70)</f>
        <v/>
      </c>
      <c r="OB70" s="491" t="str">
        <f>IF(A70=FALSE,"",IF(LISTES!$A$17=1,Cotations!CH70,Cotations!CI70))</f>
        <v/>
      </c>
      <c r="OC70" s="285" t="str">
        <f t="shared" si="551"/>
        <v/>
      </c>
      <c r="OD70" s="300"/>
      <c r="OE70" s="461" t="str">
        <f t="shared" si="552"/>
        <v/>
      </c>
      <c r="OF70" s="490" t="str">
        <f>IF(A70=FALSE,"",IF(OA70="POEA",Cotations!CK70,IF(OA70="FIXE",Cotations!CL70,IF(Cotations!CM70*Y70&lt;50000,Z70,Cotations!CM70*Y70))))</f>
        <v/>
      </c>
      <c r="OG70" s="300" t="str">
        <f t="shared" si="553"/>
        <v/>
      </c>
      <c r="OH70" s="522" t="str">
        <f>IF(A70=FALSE,"",IF(Cotations!CJ70="monthly",OG70/12*L70,OG70/365*M70))</f>
        <v/>
      </c>
      <c r="OI70" s="489" t="str">
        <f>IF(A70=FALSE,"",IF(Cotations!CN70="","",Cotations!CN70))</f>
        <v/>
      </c>
      <c r="OJ70" s="300" t="str">
        <f t="shared" si="554"/>
        <v/>
      </c>
      <c r="OK70" s="300" t="str">
        <f t="shared" si="555"/>
        <v/>
      </c>
      <c r="OL70" s="919" t="str">
        <f t="shared" si="556"/>
        <v/>
      </c>
      <c r="OM70" s="517" t="str">
        <f>IF(A70=FALSE,"",Cotations!CO70)</f>
        <v/>
      </c>
      <c r="ON70" s="515" t="str">
        <f>IF(A70=FALSE,"",Cotations!CP70)</f>
        <v/>
      </c>
      <c r="OO70" s="493" t="str">
        <f>IF(A70=FALSE,"",Cotations!CQ70)</f>
        <v/>
      </c>
      <c r="OP70" s="517" t="str">
        <f>IF(A70=FALSE,"",IF(OM70="N/A",0,IF(INDEX(LISTES!$F$105:$F$109,MATCH(OM70,LISTES!$C$105:$C$109,0))="FIX",IF(INDEX(LISTES!$E$105:$E$109,MATCH(OM70,LISTES!$C$105:$C$109,0))=12,ON70/12*L70,ON70/365*M70),OO70*OL70)))</f>
        <v/>
      </c>
      <c r="OQ70" s="294" t="str">
        <f t="shared" si="557"/>
        <v/>
      </c>
      <c r="OR70" s="494" t="str">
        <f>IF(A70=FALSE,"",OQ70*Cotations!CR70)</f>
        <v/>
      </c>
      <c r="OS70" s="494" t="str">
        <f>IF(A70=FALSE,"",OQ70*Cotations!CS70)</f>
        <v/>
      </c>
      <c r="OT70" s="338" t="str">
        <f t="shared" si="558"/>
        <v/>
      </c>
      <c r="OU70" s="919" t="str">
        <f>IF(A70=FALSE,"",((OG70*TAXE)-(OG70*TAXE*OI70))+IF(OM70="N/A",0,IF(INDEX(LISTES!$F$105:$F$109,MATCH(OM70,LISTES!$C$105:$C$109,0))="FIX",ON70,OO70*OL70)))</f>
        <v/>
      </c>
      <c r="PA70" s="497" t="str">
        <f t="shared" si="559"/>
        <v/>
      </c>
      <c r="PB70" s="498" t="str">
        <f>IF(A70=FALSE,"",IF(LISTES!$A$17=1,Cotations!CT70,Cotations!$CU$4))</f>
        <v/>
      </c>
      <c r="PC70" s="499" t="str">
        <f t="shared" si="560"/>
        <v/>
      </c>
      <c r="PD70" s="499" t="str">
        <f t="shared" si="561"/>
        <v/>
      </c>
      <c r="PE70" s="500" t="str">
        <f t="shared" si="562"/>
        <v/>
      </c>
      <c r="PF70" s="501" t="str">
        <f>IF(A70=FALSE,"",Cotations!$CY$4*Y70)</f>
        <v/>
      </c>
      <c r="PG70" s="502" t="str">
        <f t="shared" si="563"/>
        <v/>
      </c>
      <c r="PH70" s="520" t="str">
        <f>IF(A70=FALSE,"",IF(Cotations!$CV$4="monthly",PG70/12*L70,PG70/365*M70))</f>
        <v/>
      </c>
      <c r="PI70" s="503" t="str">
        <f>IF(A70=FALSE,"",Cotations!$CZ$4)</f>
        <v/>
      </c>
      <c r="PJ70" s="502" t="str">
        <f t="shared" si="564"/>
        <v/>
      </c>
      <c r="PK70" s="502" t="str">
        <f t="shared" si="565"/>
        <v/>
      </c>
      <c r="PL70" s="504" t="str">
        <f t="shared" si="566"/>
        <v/>
      </c>
      <c r="PM70" s="505" t="str">
        <f>IF(A70=FALSE,"",Cotations!$DA$4)</f>
        <v/>
      </c>
      <c r="PN70" s="520" t="str">
        <f>IF(A70=FALSE,"",Cotations!$DB$4)</f>
        <v/>
      </c>
      <c r="PO70" s="503" t="str">
        <f>IF(A70=FALSE,"",Cotations!$DC$4)</f>
        <v/>
      </c>
      <c r="PP70" s="505" t="str">
        <f>IF(A70=FALSE,"",IF(PM70="N/A",0,IF(INDEX(LISTES!$F$105:$F$109,MATCH(PM70,LISTES!$C$105:$C$109,0))="FIX",IF(INDEX(LISTES!$E$105:$E$109,MATCH(PM70,LISTES!$C$105:$C$109,0))=12,PN70/12*L70,PN70/365*M70),PO70*PL70)))</f>
        <v/>
      </c>
      <c r="PQ70" s="504" t="str">
        <f t="shared" si="567"/>
        <v/>
      </c>
      <c r="PR70" s="505" t="str">
        <f>IF(A70=FALSE,"",PQ70*Cotations!$DD$4)</f>
        <v/>
      </c>
      <c r="PS70" s="505" t="str">
        <f>IF(A70=FALSE,"",PQ70*Cotations!$DE$4)</f>
        <v/>
      </c>
      <c r="PT70" s="506" t="str">
        <f t="shared" si="568"/>
        <v/>
      </c>
      <c r="PU70" s="919" t="str">
        <f>IF(A70=FALSE,"",((PG70*TAXE)-(PG70*TAXE*PI70))+IF(PM70="N/A",0,IF(INDEX(LISTES!$F$105:$F$109,MATCH(PM70,LISTES!$C$105:$C$109,0))="FIX",PN70,PO70*PL70)))</f>
        <v/>
      </c>
      <c r="QA70" s="492" t="str">
        <f t="shared" si="569"/>
        <v/>
      </c>
      <c r="QB70" s="491" t="str">
        <f>IF(A70=FALSE,"",IF(LISTES!$A$17=1,Cotations!CT70,Cotations!CU70))</f>
        <v/>
      </c>
      <c r="QC70" s="285" t="str">
        <f t="shared" si="570"/>
        <v/>
      </c>
      <c r="QD70" s="300"/>
      <c r="QE70" s="461" t="str">
        <f t="shared" si="571"/>
        <v/>
      </c>
      <c r="QF70" s="490" t="str">
        <f>IF(A70=FALSE,"",Cotations!CY70*AA70)</f>
        <v/>
      </c>
      <c r="QG70" s="300" t="str">
        <f t="shared" si="572"/>
        <v/>
      </c>
      <c r="QH70" s="522" t="str">
        <f>IF(A70=FALSE,"",IF(Cotations!CV70="monthly",QG70/12*L70,QG70/365*M70))</f>
        <v/>
      </c>
      <c r="QI70" s="489" t="str">
        <f>IF(A70=FALSE,"",IF(Cotations!CZ70="","",Cotations!CZ70))</f>
        <v/>
      </c>
      <c r="QJ70" s="300" t="str">
        <f t="shared" si="573"/>
        <v/>
      </c>
      <c r="QK70" s="300" t="str">
        <f t="shared" si="574"/>
        <v/>
      </c>
      <c r="QL70" s="919" t="str">
        <f t="shared" si="575"/>
        <v/>
      </c>
      <c r="QM70" s="517" t="str">
        <f>IF(A70=FALSE,"",Cotations!DA70)</f>
        <v/>
      </c>
      <c r="QN70" s="515" t="str">
        <f>IF(A70=FALSE,"",Cotations!DB70)</f>
        <v/>
      </c>
      <c r="QO70" s="493" t="str">
        <f>IF(A70=FALSE,"",Cotations!DC70)</f>
        <v/>
      </c>
      <c r="QP70" s="517" t="str">
        <f>IF(A70=FALSE,"",IF(QM70="N/A",0,IF(INDEX(LISTES!$F$105:$F$109,MATCH(QM70,LISTES!$C$105:$C$109,0))="FIX",IF(INDEX(LISTES!$E$105:$E$109,MATCH(QM70,LISTES!$C$105:$C$109,0))=12,QN70/12*L70,QN70/365*M70),QO70*QL70)))</f>
        <v/>
      </c>
      <c r="QQ70" s="294" t="str">
        <f t="shared" si="576"/>
        <v/>
      </c>
      <c r="QR70" s="494" t="str">
        <f>IF(A70=FALSE,"",QQ70*Cotations!DD70)</f>
        <v/>
      </c>
      <c r="QS70" s="494" t="str">
        <f>IF(A70=FALSE,"",QQ70*Cotations!DE70)</f>
        <v/>
      </c>
      <c r="QT70" s="338" t="str">
        <f t="shared" si="577"/>
        <v/>
      </c>
      <c r="QU70" s="919" t="str">
        <f>IF(A70=FALSE,"",((QG70*TAXE)-(QG70*TAXE*QI70))+IF(QM70="N/A",0,IF(INDEX(LISTES!$F$105:$F$109,MATCH(QM70,LISTES!$C$105:$C$109,0))="FIX",QN70,QO70*QL70)))</f>
        <v/>
      </c>
      <c r="RA70" s="497" t="str">
        <f t="shared" si="578"/>
        <v/>
      </c>
      <c r="RB70" s="498" t="str">
        <f>IF(A70=FALSE,"",IF(LISTES!$A$17=1,Cotations!DF70,Cotations!$DG$4))</f>
        <v/>
      </c>
      <c r="RC70" s="499" t="str">
        <f t="shared" si="579"/>
        <v/>
      </c>
      <c r="RD70" s="499" t="str">
        <f t="shared" si="580"/>
        <v/>
      </c>
      <c r="RE70" s="500" t="str">
        <f t="shared" si="581"/>
        <v/>
      </c>
      <c r="RF70" s="501" t="str">
        <f>IF(A70=FALSE,"",Cotations!$DK$4*Y70)</f>
        <v/>
      </c>
      <c r="RG70" s="502" t="str">
        <f t="shared" si="582"/>
        <v/>
      </c>
      <c r="RH70" s="520" t="str">
        <f>IF(A70=FALSE,"",IF(Cotations!$DH$4="monthly",RG70/12*L70,RG70/365*M70))</f>
        <v/>
      </c>
      <c r="RI70" s="503" t="str">
        <f>IF(A70=FALSE,"",Cotations!$DL$4)</f>
        <v/>
      </c>
      <c r="RJ70" s="502" t="str">
        <f t="shared" si="583"/>
        <v/>
      </c>
      <c r="RK70" s="502" t="str">
        <f t="shared" si="584"/>
        <v/>
      </c>
      <c r="RL70" s="504" t="str">
        <f t="shared" si="585"/>
        <v/>
      </c>
      <c r="RM70" s="505" t="str">
        <f>IF(A70=FALSE,"",Cotations!$DM$4)</f>
        <v/>
      </c>
      <c r="RN70" s="520" t="str">
        <f>IF(A70=FALSE,"",Cotations!$DN$4)</f>
        <v/>
      </c>
      <c r="RO70" s="503" t="str">
        <f>IF(A70=FALSE,"",Cotations!$DO$4)</f>
        <v/>
      </c>
      <c r="RP70" s="505" t="str">
        <f>IF(A70=FALSE,"",IF(RM70="N/A",0,IF(INDEX(LISTES!$F$105:$F$109,MATCH(RM70,LISTES!$C$105:$C$109,0))="FIX",IF(INDEX(LISTES!$E$105:$E$109,MATCH(RM70,LISTES!$C$105:$C$109,0))=12,RN70/12*L70,RN70/365*M70),RO70*RL70)))</f>
        <v/>
      </c>
      <c r="RQ70" s="504" t="str">
        <f t="shared" si="586"/>
        <v/>
      </c>
      <c r="RR70" s="505" t="str">
        <f>IF(A70=FALSE,"",RQ70*Cotations!$DP$4)</f>
        <v/>
      </c>
      <c r="RS70" s="505" t="str">
        <f>IF(A70=FALSE,"",RQ70*Cotations!$DQ$4)</f>
        <v/>
      </c>
      <c r="RT70" s="506" t="str">
        <f t="shared" si="587"/>
        <v/>
      </c>
      <c r="RU70" s="919" t="str">
        <f>IF(A70=FALSE,"",((RG70*TAXE)-(RG70*TAXE*RI70))+IF(RM70="N/A",0,IF(INDEX(LISTES!$F$105:$F$109,MATCH(RM70,LISTES!$C$105:$C$109,0))="FIX",RN70,RO70*RL70)))</f>
        <v/>
      </c>
      <c r="SA70" s="492" t="str">
        <f t="shared" si="588"/>
        <v/>
      </c>
      <c r="SB70" s="491" t="str">
        <f>IF(A70=FALSE,"",IF(LISTES!$A$17=1,Cotations!DF70,Cotations!DG70))</f>
        <v/>
      </c>
      <c r="SC70" s="285" t="str">
        <f t="shared" si="589"/>
        <v/>
      </c>
      <c r="SD70" s="300"/>
      <c r="SE70" s="461" t="str">
        <f t="shared" si="590"/>
        <v/>
      </c>
      <c r="SF70" s="490" t="str">
        <f>IF(A70=FALSE,"",Cotations!DK70*AA70)</f>
        <v/>
      </c>
      <c r="SG70" s="300" t="str">
        <f t="shared" si="591"/>
        <v/>
      </c>
      <c r="SH70" s="522" t="str">
        <f>IF(A70=FALSE,"",IF(Cotations!DH70="monthly",SG70/12*L70,SG70/365*M70))</f>
        <v/>
      </c>
      <c r="SI70" s="489" t="str">
        <f>IF(A70=FALSE,"",IF(Cotations!DL70="","",Cotations!DL70))</f>
        <v/>
      </c>
      <c r="SJ70" s="300" t="str">
        <f t="shared" si="592"/>
        <v/>
      </c>
      <c r="SK70" s="300" t="str">
        <f t="shared" si="593"/>
        <v/>
      </c>
      <c r="SL70" s="919" t="str">
        <f t="shared" si="594"/>
        <v/>
      </c>
      <c r="SM70" s="285" t="str">
        <f>IF(A70=FALSE,"",Cotations!DM70)</f>
        <v/>
      </c>
      <c r="SN70" s="515" t="str">
        <f>IF(A70=FALSE,"",Cotations!DN70)</f>
        <v/>
      </c>
      <c r="SO70" s="493" t="str">
        <f>IF(A70=FALSE,"",Cotations!DO70)</f>
        <v/>
      </c>
      <c r="SP70" s="517" t="str">
        <f>IF(A70=FALSE,"",IF(SM70="N/A",0,IF(INDEX(LISTES!$F$105:$F$109,MATCH(SM70,LISTES!$C$105:$C$109,0))="FIX",IF(INDEX(LISTES!$E$105:$E$109,MATCH(SM70,LISTES!$C$105:$C$109,0))=12,SN70/12*L70,SN70/365*M70),SO70*SL70)))</f>
        <v/>
      </c>
      <c r="SQ70" s="294" t="str">
        <f t="shared" si="595"/>
        <v/>
      </c>
      <c r="SR70" s="494" t="str">
        <f>IF(A70=FALSE,"",SQ70*Cotations!DP70)</f>
        <v/>
      </c>
      <c r="SS70" s="494" t="str">
        <f>IF(A70=FALSE,"",SQ70*Cotations!DQ70)</f>
        <v/>
      </c>
      <c r="ST70" s="338" t="str">
        <f t="shared" si="596"/>
        <v/>
      </c>
      <c r="SU70" s="919" t="str">
        <f>IF(A70=FALSE,"",((SG70*TAXE)-(SG70*TAXE*SI70))+IF(SM70="N/A",0,IF(INDEX(LISTES!$F$105:$F$109,MATCH(SM70,LISTES!$C$105:$C$109,0))="FIX",SN70,SO70*SL70)))</f>
        <v/>
      </c>
      <c r="TA70" s="492" t="str">
        <f>IF(A70=FALSE,"",Cotations!D70)</f>
        <v/>
      </c>
      <c r="TB70" s="491" t="str">
        <f>IF(A70=FALSE,"",IF(LISTES!$A$17=1,Cotations!DR70,Cotations!DS70))</f>
        <v/>
      </c>
      <c r="TC70" s="285" t="str">
        <f t="shared" si="597"/>
        <v/>
      </c>
      <c r="TD70" s="300" t="str">
        <f>IF(A70=FALSE,"",Detail!CQ70)</f>
        <v/>
      </c>
      <c r="TE70" s="461" t="str">
        <f t="shared" si="598"/>
        <v/>
      </c>
      <c r="TF70" s="490" t="str">
        <f>IF(A70=FALSE,"",IF(TA70="FIXE",Cotations!DU70,Cotations!DV70*Y70))</f>
        <v/>
      </c>
      <c r="TG70" s="300" t="str">
        <f t="shared" si="599"/>
        <v/>
      </c>
      <c r="TH70" s="522" t="str">
        <f>IF(A70=FALSE,"",IF(Cotations!DT70="monthly",TG70/12*L70,TG70/365*M70))</f>
        <v/>
      </c>
      <c r="TI70" s="489" t="str">
        <f>IF(A70=FALSE,"",IF(Cotations!DW70="","",Cotations!DW70))</f>
        <v/>
      </c>
      <c r="TJ70" s="300" t="str">
        <f t="shared" si="600"/>
        <v/>
      </c>
      <c r="TK70" s="300" t="str">
        <f t="shared" si="601"/>
        <v/>
      </c>
      <c r="TL70" s="919" t="str">
        <f t="shared" si="602"/>
        <v/>
      </c>
      <c r="TM70" s="517" t="str">
        <f>IF(A70=FALSE,"",Cotations!DX70)</f>
        <v/>
      </c>
      <c r="TN70" s="517" t="str">
        <f>IF(A70=FALSE,"",Cotations!DY70)</f>
        <v/>
      </c>
      <c r="TO70" s="493" t="str">
        <f>IF(A70=FALSE,"",Cotations!DZ70)</f>
        <v/>
      </c>
      <c r="TP70" s="517" t="str">
        <f>IF(A70=FALSE,"",IF(TM70="N/A",0,IF(INDEX(LISTES!$F$105:$F$109,MATCH(TM70,LISTES!$C$105:$C$109,0))="FIX",IF(INDEX(LISTES!$E$105:$E$109,MATCH(TM70,LISTES!$C$105:$C$109,0))=12,TN70/12*L70,TN70/365*M70),TO70*TL70)))</f>
        <v/>
      </c>
      <c r="TQ70" s="294" t="str">
        <f t="shared" si="603"/>
        <v/>
      </c>
      <c r="TR70" s="494" t="str">
        <f>IF(A70=FALSE,"",TQ70*Cotations!EA70)</f>
        <v/>
      </c>
      <c r="TS70" s="494" t="str">
        <f>IF(A70=FALSE,"",TQ70*Cotations!EB70)</f>
        <v/>
      </c>
      <c r="TT70" s="338" t="str">
        <f t="shared" si="604"/>
        <v/>
      </c>
      <c r="TU70" s="919" t="str">
        <f>IF(A70=FALSE,"",((TG70*(1+TAXE)-(TG70*(1+TAXE)*TI70))+IF(TM70="N/A",0,IF(INDEX(LISTES!$F$105:$F$109,MATCH(TM70,LISTES!$C$105:$C$109,0))="FIX",TN70,TO70*TL70))))</f>
        <v/>
      </c>
      <c r="UA70" s="492" t="str">
        <f>IF(A70=FALSE,"",Cotations!D70)</f>
        <v/>
      </c>
      <c r="UB70" s="491" t="str">
        <f>IF(A70=FALSE,"",IF(LISTES!$A$17=1,Cotations!EC70,Cotations!ED70))</f>
        <v/>
      </c>
      <c r="UC70" s="285" t="str">
        <f t="shared" si="605"/>
        <v/>
      </c>
      <c r="UD70" s="300" t="str">
        <f>IF(A70=FALSE,"",Detail!CY70)</f>
        <v/>
      </c>
      <c r="UE70" s="461" t="str">
        <f t="shared" si="606"/>
        <v/>
      </c>
      <c r="UF70" s="490" t="str">
        <f>IF(A70=FALSE,"",IF(UA70="FIXE",Cotations!EF70,Cotations!EG70*Y70))</f>
        <v/>
      </c>
      <c r="UG70" s="300" t="str">
        <f t="shared" si="607"/>
        <v/>
      </c>
      <c r="UH70" s="522" t="str">
        <f>IF(A70=FALSE,"",IF(Cotations!EE70="monthly",UG70/12*L70,UG70/365*M70))</f>
        <v/>
      </c>
      <c r="UI70" s="489" t="str">
        <f>IF(A70=FALSE,"",IF(Cotations!EH70="","",Cotations!EH70))</f>
        <v/>
      </c>
      <c r="UJ70" s="300" t="str">
        <f t="shared" si="608"/>
        <v/>
      </c>
      <c r="UK70" s="300" t="str">
        <f t="shared" si="609"/>
        <v/>
      </c>
      <c r="UL70" s="919" t="str">
        <f t="shared" si="610"/>
        <v/>
      </c>
      <c r="UM70" s="517" t="str">
        <f>IF(A70=FALSE,"",Cotations!EI70)</f>
        <v/>
      </c>
      <c r="UN70" s="517" t="str">
        <f>IF(A70=FALSE,"",Cotations!EJ70)</f>
        <v/>
      </c>
      <c r="UO70" s="493" t="str">
        <f>IF(A70=FALSE,"",Cotations!EK70)</f>
        <v/>
      </c>
      <c r="UP70" s="517" t="str">
        <f>IF(A70=FALSE,"",IF(UM70="N/A",0,IF(INDEX(LISTES!$F$105:$F$109,MATCH(UM70,LISTES!$C$105:$C$109,0))="FIX",IF(INDEX(LISTES!$E$105:$E$109,MATCH(UM70,LISTES!$C$105:$C$109,0))=12,UN70/12*L70,UN70/365*M70),UO70*UL70)))</f>
        <v/>
      </c>
      <c r="UQ70" s="294" t="str">
        <f t="shared" si="611"/>
        <v/>
      </c>
      <c r="UR70" s="494" t="str">
        <f>IF(A70=FALSE,"",UQ70*Cotations!EL70)</f>
        <v/>
      </c>
      <c r="US70" s="494" t="str">
        <f>IF(A70=FALSE,"",UQ70*Cotations!EM70)</f>
        <v/>
      </c>
      <c r="UT70" s="338" t="str">
        <f t="shared" si="612"/>
        <v/>
      </c>
      <c r="UU70" s="919" t="str">
        <f>IF(A70=FALSE,"",((UG70*(1+TAXE)-(UG70*(1+TAXE)*UI70))+IF(UM70="N/A",0,IF(INDEX(LISTES!$F$105:$F$109,MATCH(UM70,LISTES!$C$105:$C$109,0))="FIX",UN70,UO70*UL70))))</f>
        <v/>
      </c>
      <c r="VA70" s="492" t="str">
        <f>IF(A70=FALSE,"",Cotations!D70)</f>
        <v/>
      </c>
      <c r="VB70" s="519" t="str">
        <f>IF(A70=FALSE,"",IF(LISTES!$A$17=1,Cotations!EN70,Cotations!EO70))</f>
        <v/>
      </c>
      <c r="VC70" s="291" t="str">
        <f t="shared" si="613"/>
        <v/>
      </c>
      <c r="VD70" s="291" t="str">
        <f t="shared" si="614"/>
        <v/>
      </c>
      <c r="VE70" s="291"/>
      <c r="VF70" s="463"/>
      <c r="VG70" s="463" t="str">
        <f t="shared" si="615"/>
        <v/>
      </c>
      <c r="VH70" s="522" t="str">
        <f>IF(A70=FALSE,"",IF(Cotations!$AQ$4="monthly",VG70/12*L70,VG70/365*M70))</f>
        <v/>
      </c>
      <c r="VI70" s="489" t="str">
        <f>IF(A70=FALSE,"",Cotations!$AR$4)</f>
        <v/>
      </c>
      <c r="VJ70" s="300" t="str">
        <f t="shared" si="616"/>
        <v/>
      </c>
      <c r="VK70" s="300" t="str">
        <f t="shared" si="617"/>
        <v/>
      </c>
      <c r="VL70" s="294" t="str">
        <f t="shared" si="618"/>
        <v/>
      </c>
      <c r="VM70" s="494" t="str">
        <f>IF(A70=FALSE,"",Cotations!$AS$4)</f>
        <v/>
      </c>
      <c r="VN70" s="494" t="str">
        <f>IF(A70=FALSE,"",Cotations!$AT$4)</f>
        <v/>
      </c>
      <c r="VO70" s="489" t="str">
        <f>IF(A70=FALSE,"",Cotations!$AU$4)</f>
        <v/>
      </c>
      <c r="VP70" s="494" t="str">
        <f>IF(A70=FALSE,"",IF(VM70="N/A",0,IF(INDEX(LISTES!$F$105:$F$109,MATCH(VM70,LISTES!$C$105:$C$109,0))="FIX",IF(INDEX(LISTES!$E$105:$E$109,MATCH(VM70,LISTES!$C$105:$C$109,0))=12,VN70/12*L70,VN70/365*M70),VO70*VL70)))</f>
        <v/>
      </c>
      <c r="VQ70" s="294" t="str">
        <f t="shared" si="619"/>
        <v/>
      </c>
      <c r="VR70" s="494" t="str">
        <f>IF(A70=FALSE,"",VQ70*Cotations!$AV$4)</f>
        <v/>
      </c>
      <c r="VS70" s="494" t="str">
        <f>IF(A70=FALSE,"",VQ70*Cotations!$AW$4)</f>
        <v/>
      </c>
      <c r="VT70" s="465" t="str">
        <f t="shared" si="620"/>
        <v/>
      </c>
      <c r="VU70" s="919" t="str">
        <f>IF(A70=FALSE,"",((VG70*TAXE)-(VG70*TAXE*VI70))+IF(VM70="N/A",0,IF(INDEX(LISTES!$F$105:$F$109,MATCH(VM70,LISTES!$C$105:$C$109,0))="FIX",VN70,VO70*VL70)))</f>
        <v/>
      </c>
      <c r="WA70" s="492" t="str">
        <f>IF(A70=FALSE,"",Cotations!D70)</f>
        <v/>
      </c>
      <c r="WB70" s="519" t="str">
        <f>IF(A70=FALSE,"",IF(LISTES!$A$17=1,Cotations!EW70,Cotations!EX70))</f>
        <v/>
      </c>
      <c r="WC70" s="291" t="str">
        <f t="shared" si="621"/>
        <v/>
      </c>
      <c r="WD70" s="291" t="str">
        <f t="shared" si="622"/>
        <v/>
      </c>
      <c r="WE70" s="291"/>
      <c r="WF70" s="463"/>
      <c r="WG70" s="463" t="str">
        <f t="shared" si="623"/>
        <v/>
      </c>
      <c r="WH70" s="522" t="str">
        <f>IF(A70=FALSE,"",IF(Cotations!$AQ$4="monthly",WG70/12*L70,WG70/365*M70))</f>
        <v/>
      </c>
      <c r="WI70" s="489" t="str">
        <f>IF(A70=FALSE,"",Cotations!$AR$4)</f>
        <v/>
      </c>
      <c r="WJ70" s="300" t="str">
        <f t="shared" si="624"/>
        <v/>
      </c>
      <c r="WK70" s="300" t="str">
        <f t="shared" si="625"/>
        <v/>
      </c>
      <c r="WL70" s="294" t="str">
        <f t="shared" si="626"/>
        <v/>
      </c>
      <c r="WM70" s="494" t="str">
        <f>IF(A70=FALSE,"",Cotations!$AS$4)</f>
        <v/>
      </c>
      <c r="WN70" s="494" t="str">
        <f>IF(A70=FALSE,"",Cotations!$AT$4)</f>
        <v/>
      </c>
      <c r="WO70" s="489" t="str">
        <f>IF(A70=FALSE,"",Cotations!$AU$4)</f>
        <v/>
      </c>
      <c r="WP70" s="494" t="str">
        <f>IF(A70=FALSE,"",IF(WM70="N/A",0,IF(INDEX(LISTES!$F$105:$F$109,MATCH(WM70,LISTES!$C$105:$C$109,0))="FIX",IF(INDEX(LISTES!$E$105:$E$109,MATCH(WM70,LISTES!$C$105:$C$109,0))=12,WN70/12*L70,WN70/365*M70),WO70*WL70)))</f>
        <v/>
      </c>
      <c r="WQ70" s="294" t="str">
        <f t="shared" si="627"/>
        <v/>
      </c>
      <c r="WR70" s="494" t="str">
        <f>IF(A70=FALSE,"",WQ70*Cotations!$AV$4)</f>
        <v/>
      </c>
      <c r="WS70" s="494" t="str">
        <f>IF(A70=FALSE,"",WQ70*Cotations!$AW$4)</f>
        <v/>
      </c>
      <c r="WT70" s="465" t="str">
        <f t="shared" si="628"/>
        <v/>
      </c>
      <c r="WU70" s="919" t="str">
        <f>IF(A70=FALSE,"",((WG70*TAXE)-(WG70*TAXE*WI70))+IF(WM70="N/A",0,IF(INDEX(LISTES!$F$105:$F$109,MATCH(WM70,LISTES!$C$105:$C$109,0))="FIX",WN70,WO70*WL70)))</f>
        <v/>
      </c>
    </row>
    <row r="71" spans="1:619">
      <c r="A71" s="942" t="b">
        <f t="shared" si="433"/>
        <v>0</v>
      </c>
      <c r="B71" s="942" t="b">
        <f>IF(NAMES!$B$9=TRUE,TRUE,FALSE)</f>
        <v>1</v>
      </c>
      <c r="C71" s="942" t="b">
        <f t="shared" si="413"/>
        <v>0</v>
      </c>
      <c r="D71" s="942" t="b">
        <f t="shared" si="414"/>
        <v>0</v>
      </c>
      <c r="E71" s="274" t="b">
        <f>IF(Cotations!C71="","",Cotations!C71)</f>
        <v>0</v>
      </c>
      <c r="F71" s="274" t="str">
        <f>IF(Cotations!D71="","",Cotations!D71)</f>
        <v>PROP</v>
      </c>
      <c r="G71" s="274" t="str">
        <f>IF(Cotations!E71="","",Cotations!E71)</f>
        <v>2016-2017!</v>
      </c>
      <c r="H71" s="274" t="str">
        <f>IF(Cotations!F71="","",Cotations!F71)</f>
        <v>SINGLE</v>
      </c>
      <c r="I71" s="274" t="str">
        <f>IF(Cotations!G71="","",Cotations!G71)</f>
        <v/>
      </c>
      <c r="J71" s="274" t="str">
        <f>IF(Cotations!H71="","",Cotations!H71)</f>
        <v/>
      </c>
      <c r="K71" s="274" t="str">
        <f>IF(Cotations!I71="","",Cotations!I71)</f>
        <v/>
      </c>
      <c r="L71" s="274" t="str">
        <f>IF(A71=FALSE,"",IF(Cotations!N71="","",Cotations!N71))</f>
        <v/>
      </c>
      <c r="M71" s="274" t="str">
        <f>IF(Cotations!P71="","",Cotations!P71)</f>
        <v/>
      </c>
      <c r="N71" s="724" t="str">
        <f>IF(NAMES!$B$10=TRUE,Cotations!J71,Cotations!L71)</f>
        <v/>
      </c>
      <c r="O71" s="724" t="str">
        <f>IF(NAMES!$B$10=TRUE,Cotations!K71,Cotations!M71)</f>
        <v/>
      </c>
      <c r="P71" s="943" t="str">
        <f t="shared" si="415"/>
        <v/>
      </c>
      <c r="Q71" s="724" t="str">
        <f>IF(A71=FALSE,"",IF(Crewlist!Y71="","",Crewlist!Y71))</f>
        <v/>
      </c>
      <c r="R71" s="78" t="str">
        <f>IF(Cotations!U71="","",Cotations!U71)</f>
        <v/>
      </c>
      <c r="S71" s="943" t="str">
        <f t="shared" si="416"/>
        <v/>
      </c>
      <c r="T71" s="919" t="str">
        <f>IF(A71=FALSE,"",VLOOKUP($U$15:$U$120,Currency!$A$2:$D$10,4,0)*Crewlist!N71)</f>
        <v/>
      </c>
      <c r="U71" s="1355" t="str">
        <f>IF(A71=FALSE,"",IF(IT71=0,Crewlist!M71&amp;"/"&amp;EX71,Crewlist!M71&amp;"/"&amp;IT71))</f>
        <v/>
      </c>
      <c r="V71" s="919" t="str">
        <f>IF(A71=FALSE,"",VLOOKUP($U$15:$U$120,Currency!$A$2:$D$10,4,0)*Detail!Q71)</f>
        <v/>
      </c>
      <c r="W71" s="1355" t="str">
        <f>IF(A71=FALSE,"",IF(IT71=0,Detail!R71&amp;"/"&amp;EX71,Detail!R71&amp;"/"&amp;IT71))</f>
        <v/>
      </c>
      <c r="X71" s="919" t="str">
        <f>IF(A71=FALSE,"",IF(LISTES!$C$17="Crewlist",Calcul!T71,Calcul!V71))</f>
        <v/>
      </c>
      <c r="Y71" s="758" t="str">
        <f t="shared" si="417"/>
        <v/>
      </c>
      <c r="Z71" s="758" t="str">
        <f>IF(A71=FALSE,"",IF(X71=0,0,IF((Cotations!BC71*12*X71)&lt;50000,50000,(12*X71))))</f>
        <v/>
      </c>
      <c r="AA71" s="758" t="str">
        <f t="shared" si="418"/>
        <v/>
      </c>
      <c r="AB71" s="758" t="str">
        <f>IF(A71=FALSE,"",IF(Crewlist!O71=0,"",Crewlist!O71))</f>
        <v/>
      </c>
      <c r="AC71" s="758" t="str">
        <f>IF(I71="","",VLOOKUP($AB$15:$AB$120,Currency!$A$15:$B$34,2,0))</f>
        <v/>
      </c>
      <c r="AD71" s="758" t="str">
        <f t="shared" si="419"/>
        <v/>
      </c>
      <c r="AE71" s="758" t="str">
        <f t="shared" si="420"/>
        <v/>
      </c>
      <c r="AF71" s="758" t="str">
        <f t="shared" si="421"/>
        <v/>
      </c>
      <c r="AG71" s="758" t="str">
        <f t="shared" si="422"/>
        <v/>
      </c>
      <c r="AH71" s="1355" t="str">
        <f t="shared" si="434"/>
        <v/>
      </c>
      <c r="AI71" s="919" t="str">
        <f t="shared" si="423"/>
        <v/>
      </c>
      <c r="AJ71" s="1382" t="str">
        <f t="shared" si="424"/>
        <v/>
      </c>
      <c r="AK71" s="1382" t="str">
        <f t="shared" si="425"/>
        <v/>
      </c>
      <c r="AL71" s="238" t="str">
        <f t="shared" si="435"/>
        <v/>
      </c>
      <c r="AM71" s="238" t="str">
        <f t="shared" si="436"/>
        <v/>
      </c>
      <c r="AN71" s="1374" t="str">
        <f t="shared" si="437"/>
        <v/>
      </c>
      <c r="AO71" s="238" t="str">
        <f t="shared" si="438"/>
        <v/>
      </c>
      <c r="AP71" s="342" t="str">
        <f>IF(A71=FALSE,"",INDEX(Rates!$Z$5:$Z$367,MATCH(EB71,colchoice,0)))</f>
        <v/>
      </c>
      <c r="AQ71" s="238" t="str">
        <f t="shared" si="439"/>
        <v/>
      </c>
      <c r="AR71" s="238" t="str">
        <f t="shared" si="440"/>
        <v/>
      </c>
      <c r="AS71" s="238" t="str">
        <f t="shared" si="441"/>
        <v/>
      </c>
      <c r="AT71" s="238" t="str">
        <f t="shared" si="442"/>
        <v/>
      </c>
      <c r="AU71" s="238" t="str">
        <f t="shared" si="443"/>
        <v/>
      </c>
      <c r="AV71" s="238" t="str">
        <f t="shared" si="429"/>
        <v/>
      </c>
      <c r="AW71" s="238" t="str">
        <f t="shared" si="444"/>
        <v/>
      </c>
      <c r="AX71" s="238" t="str">
        <f t="shared" si="445"/>
        <v/>
      </c>
      <c r="AY71" s="238" t="str">
        <f t="shared" si="446"/>
        <v/>
      </c>
      <c r="AZ71" s="238" t="str">
        <f t="shared" si="447"/>
        <v/>
      </c>
      <c r="BA71" s="238" t="str">
        <f t="shared" si="448"/>
        <v/>
      </c>
      <c r="BB71" s="552" t="str">
        <f t="shared" si="449"/>
        <v/>
      </c>
      <c r="BC71" s="347" t="str">
        <f t="shared" si="450"/>
        <v/>
      </c>
      <c r="BD71" s="239" t="str">
        <f t="shared" si="430"/>
        <v/>
      </c>
      <c r="BE71" s="239" t="str">
        <f>IF(A71=FALSE,"",IF(ALLTHESAME=TRUE,IF(DF71&lt;&gt;$BC$7,0,INDEX(DD71:DZ71,1,MATCH(Structure!$D$12,$DD$14:$DZ$14,0))),IF(EC71&lt;&gt;$BC$7,0,INDEX(EA71:EZ71,1,MATCH(Structure!$D$12,$EA$14:$EZ$14,0)))))</f>
        <v/>
      </c>
      <c r="BF71" s="239" t="str">
        <f>IF(A71=FALSE,"",IF(ALLTHESAME=TRUE,IF(FC71&lt;&gt;$BC$7,0,INDEX(FA71:FZ71,1,MATCH(Structure!$D$12,$FA$14:$FZ$14,0))),IF(GC71&lt;&gt;$BC$7,0,INDEX(GA71:GZ71,1,MATCH(Structure!$D$12,$GA$14:$GZ$14,0)))))</f>
        <v/>
      </c>
      <c r="BG71" s="239" t="str">
        <f>IF(A71=FALSE,"",IF(ALLTHESAME=TRUE,IF(VC71&lt;&gt;$BC$7,0,INDEX(VA71:VZ71,1,MATCH(Structure!$D$12,$VA$14:$VZ$14,0))),IF(VC71&lt;&gt;$BC$7,0,INDEX(VA71:VZ71,1,MATCH(Structure!$D$12,$VA$14:$VZ$14,0)))))</f>
        <v/>
      </c>
      <c r="BH71" s="239" t="str">
        <f>IF(A71=FALSE,"",IF(ALLTHESAME=TRUE,IF(WC71&lt;&gt;$BC$7,0,INDEX(WA71:WY71,1,MATCH(Structure!$D$12,$WA$14:$WZ$14,0))),IF(WC71&lt;&gt;$BC$7,0,INDEX(WA71:WZ71,1,MATCH(Structure!$D$12,$WA$14:$WZ$14,0)))))</f>
        <v/>
      </c>
      <c r="BI71" s="763" t="str">
        <f>IF(A71=FALSE,"",IF(ALLTHESAME=TRUE,IF(HC71&lt;&gt;$BC$7,0,INDEX(HA71:HZ71,1,MATCH(Structure!$D$12,$HA$14:$HZ$14,0)))+TK71,IF(IC71&lt;&gt;$BC$7,0,INDEX(IA71:IZ71,1,MATCH(Structure!$D$12,$IA$14:$IZ$14,0)))+TK71))</f>
        <v/>
      </c>
      <c r="BJ71" s="239" t="str">
        <f>IF(A71=FALSE,"",IF(ALLTHESAME=TRUE,IF(JC71&lt;&gt;$BC$7,0,INDEX(JA71:JZ71,1,MATCH(Structure!$D$12,$JA$14:$JZ$14,0))),IF(KC71&lt;&gt;$BC$7,0,INDEX(KA71:KZ71,1,MATCH(Structure!$D$12,$KA$14:$KZ$14,0)))))</f>
        <v/>
      </c>
      <c r="BK71" s="763" t="str">
        <f>IF(A71=FALSE,"",IF(ALLTHESAME=TRUE,IF(LC71&lt;&gt;$BC$7,0,INDEX(LA71:LZ71,1,MATCH(Structure!$D$12,$LA$14:$LZ$14,0)))+UK71,IF(MC71&lt;&gt;$BC$7,0,INDEX(MA71:MZ71,1,MATCH(Structure!$D$12,$MA$14:$MZ$14,0)))+UK71))</f>
        <v/>
      </c>
      <c r="BL71" s="239" t="str">
        <f>IF(A71=FALSE,"",IF(ALLTHESAME=TRUE,IF(NC71&lt;&gt;$BC$7,0,INDEX(NA71:NZ71,1,MATCH(Structure!$D$12,$NA$14:$NZ$14,0))),IF(OC71&lt;&gt;$BC$7,0,INDEX(OA71:OZ71,1,MATCH(Structure!$D$12,$OA$14:$OZ$14,0)))))</f>
        <v/>
      </c>
      <c r="BM71" s="239" t="str">
        <f>IF(A71=FALSE,"",IF(ALLTHESAME=TRUE,IF(PC71&lt;&gt;$BC$7,0,INDEX(PA71:PZ71,1,MATCH(Structure!$D$12,$PA$14:$PZ$14,0))),IF(QC71&lt;&gt;$BC$7,0,INDEX(QA71:QZ71,1,MATCH(Structure!$D$12,$QA$14:$QZ$14,0)))))</f>
        <v/>
      </c>
      <c r="BN71" s="341" t="str">
        <f>IF(A71=FALSE,"",IF(ALLTHESAME=TRUE,IF(RC71&lt;&gt;$BC$7,0,INDEX(RA71:RZ71,1,MATCH(Structure!$D$12,$RA$14:$RZ$14,0))),IF(SC71&lt;&gt;$BC$7,0,INDEX(SA71:TA71,1,MATCH(Structure!$D$12,$SA$14:$TA$14,0)))))</f>
        <v/>
      </c>
      <c r="BO71" s="507" t="str">
        <f t="shared" si="451"/>
        <v/>
      </c>
      <c r="BP71" s="239" t="str">
        <f t="shared" si="452"/>
        <v/>
      </c>
      <c r="BQ71" s="239" t="str">
        <f>IF(A71=FALSE,"",IF(ALLTHESAME=TRUE,IF(DF71&lt;&gt;$BO$7,0,INDEX(DD71:DZ71,1,MATCH(Structure!$D$12,$DD$14:$DZ$14,0))),IF(EC71&lt;&gt;$BO$7,0,INDEX(EA71:EZ71,1,MATCH(Structure!$D$12,$EA$14:$EZ$14,0)))))</f>
        <v/>
      </c>
      <c r="BR71" s="239" t="str">
        <f>IF(A71=FALSE,"",IF(ALLTHESAME=TRUE,IF(FC71&lt;&gt;$BO$7,0,INDEX(FA71:FZ71,1,MATCH(Structure!$D$12,$FA$14:$FZ$14,0))),IF(GC71&lt;&gt;$BO$7,0,INDEX(GA71:GZ71,1,MATCH(Structure!$D$12,$GA$14:$GZ$14,0)))))</f>
        <v/>
      </c>
      <c r="BS71" s="239" t="str">
        <f>IF(A71=FALSE,"",IF(ALLTHESAME=TRUE,IF(HC71&lt;&gt;$BO$7,0,INDEX(HA71:HZ71,1,MATCH(Structure!$D$12,$HA$14:$HZ$14,0))),IF(IC71&lt;&gt;$BO$7,0,INDEX(IA71:IZ71,1,MATCH(Structure!$D$12,$IA$14:$IZ$14,0)))))</f>
        <v/>
      </c>
      <c r="BT71" s="239" t="str">
        <f>IF(A71=FALSE,"",IF(ALLTHESAME=TRUE,IF(JC71&lt;&gt;$BO$7,0,INDEX(JA71:JZ71,1,MATCH(Structure!$D$12,$JA$14:$JZ$14,0))),IF(KC71&lt;&gt;$BO$7,0,INDEX(KA71:KZ71,1,MATCH(Structure!$D$12,$KA$14:$KZ$14,0)))))</f>
        <v/>
      </c>
      <c r="BU71" s="239" t="str">
        <f>IF(A71=FALSE,"",IF(ALLTHESAME=TRUE,IF(LC71&lt;&gt;$BO$7,0,INDEX(LA71:LZ71,1,MATCH(Structure!$D$12,$LA$14:$LZ$14,0))),IF(MC71&lt;&gt;$BO$7,0,INDEX(MA71:MZ71,1,MATCH(Structure!$D$12,$MA$14:$MZ$14,0)))))</f>
        <v/>
      </c>
      <c r="BV71" s="239" t="str">
        <f>IF(A71=FALSE,"",IF(ALLTHESAME=TRUE,IF(NC71&lt;&gt;$BO$7,0,INDEX(NA71:NZ71,1,MATCH(Structure!$D$12,$NA$14:$NZ$14,0))),IF(OC71&lt;&gt;$BO$7,0,INDEX(OA71:OZ71,1,MATCH(Structure!$D$12,$OA$14:$OZ$14,0)))))</f>
        <v/>
      </c>
      <c r="BW71" s="239" t="str">
        <f>IF(A71=FALSE,"",IF(ALLTHESAME=TRUE,IF(PC71&lt;&gt;$BO$7,0,INDEX(PA71:PZ71,1,MATCH(Structure!$D$12,$PA$14:$PZ$14,0))),IF(QC71&lt;&gt;$BO$7,0,INDEX(QA71:QZ71,1,MATCH(Structure!$D$12,$QA$14:$QZ$14,0)))))</f>
        <v/>
      </c>
      <c r="BX71" s="341" t="str">
        <f>IF(A71=FALSE,"",IF(ALLTHESAME=TRUE,IF(RC71&lt;&gt;$BO$7,0,INDEX(RA71:RZ71,1,MATCH(Structure!$D$12,$RA$14:$RZ$14,0))),IF(SC71&lt;&gt;$BO$7,0,INDEX(SA71:TA71,1,MATCH(Structure!$D$12,$SA$14:$TA$14,0)))))</f>
        <v/>
      </c>
      <c r="BY71" s="347" t="str">
        <f t="shared" si="453"/>
        <v/>
      </c>
      <c r="BZ71" s="507" t="str">
        <f t="shared" si="454"/>
        <v/>
      </c>
      <c r="CA71" s="239" t="str">
        <f t="shared" si="455"/>
        <v/>
      </c>
      <c r="CB71" s="239" t="str">
        <f>IF(A71=FALSE,"",IF(ALLTHESAME=TRUE,INDEX(DD71:DZ71,MATCH(DF71,DF71:DF176,0),MATCH(Structure!$D$17,$DD$14:$DZ$14,0)),INDEX(EA71:EZ71,MATCH(EC71,EC71:EC176,0),MATCH(Structure!$D$17,$EA$14:$EZ$14,0))))</f>
        <v/>
      </c>
      <c r="CC71" s="239" t="str">
        <f>IF(A71=FALSE,"",IF(ALLTHESAME=TRUE,INDEX(FA71:FZ71,MATCH(FC71,FC71:FC176,0),MATCH(Structure!$D$17,$FA$14:$FZ$14,0)),INDEX(GA71:GZ71,MATCH(GC71,GC71:GC176,0),MATCH(Structure!$D$17,$GA$14:$GZ$14,0))))</f>
        <v/>
      </c>
      <c r="CD71" s="239" t="str">
        <f>IF(A71=FALSE,"",IF(ALLTHESAME=TRUE,INDEX(HA71:HZ71,MATCH(HC71,HC71:HC176,0),MATCH(Structure!$D$17,$HA$14:$HZ$14,0)),INDEX(IA71:IZ71,MATCH(IC71,IC71:IC176,0),MATCH(Structure!$D$17,$IA$14:$IZ$14,0))))</f>
        <v/>
      </c>
      <c r="CE71" s="239" t="str">
        <f>IF(A71=FALSE,"",IF(ALLTHESAME=TRUE,INDEX(JA71:JZ71,MATCH(JC71,JC71:JC176,0),MATCH(Structure!$D$17,$JA$14:$JZ$14,0)),INDEX(KA71:KZ71,MATCH(KC71,KC71:KC176,0),MATCH(Structure!$D$17,$KA$14:$KZ$14,0))))</f>
        <v/>
      </c>
      <c r="CF71" s="239" t="str">
        <f>IF(A71=FALSE,"",IF(ALLTHESAME=TRUE,INDEX(LA71:LZ71,MATCH(LC71,LC71:LC176,0),MATCH(Structure!$D$17,$LA$14:$LZ$14,0)),INDEX(MA71:MZ71,MATCH(MC71,MC71:MC176,0),MATCH(Structure!$D$17,$MA$14:$MZ$14,0))))</f>
        <v/>
      </c>
      <c r="CG71" s="239" t="str">
        <f>IF(A71=FALSE,"",IF(ALLTHESAME=TRUE,INDEX(NA71:NZ71,MATCH(NC71,NC71:NC176,0),MATCH(Structure!$D$17,$NA$14:$NZ$14,0)),INDEX(OA71:OZ71,MATCH(OC71,OC71:OC176,0),MATCH(Structure!$D$17,$OA$14:$OZ$14,0))))</f>
        <v/>
      </c>
      <c r="CH71" s="239" t="str">
        <f>IF(A71=FALSE,"",IF(ALLTHESAME=TRUE,INDEX(PA71:PZ71,MATCH(PC71,PC71:PC176,0),MATCH(Structure!$D$17,$PA$14:$PZ$14,0)),INDEX(QA71:QZ71,MATCH(QC71,QC71:QC176,0),MATCH(Structure!$D$17,$QA$14:$QZ$14,0))))</f>
        <v/>
      </c>
      <c r="CI71" s="341" t="str">
        <f>IF(A71=FALSE,"",IF(ALLTHESAME=TRUE,INDEX(RA71:RZ71,MATCH(RC71,RC71:RC176,0),MATCH(Structure!$D$17,$RA$14:$RZ$14,0)),INDEX(SA71:TC71,MATCH(SC71,SC71:SC176,0),MATCH(Structure!$D$17,$SA$14:$TC$14,0))))</f>
        <v/>
      </c>
      <c r="CJ71" s="347"/>
      <c r="CK71" s="239" t="str">
        <f t="shared" si="456"/>
        <v/>
      </c>
      <c r="CL71" s="239" t="str">
        <f>IF(A71=FALSE,"",IF(ALLTHESAME=TRUE,INDEX(DD71:DZ71,MATCH(DF71,DF71:DF176,0),MATCH(Structure!$D$22,$DD$14:$DZ$14,0)),INDEX(EA71:EZ71,MATCH(EC71,EC71:EC176,0),MATCH(Structure!$D$22,$EA$14:$EZ$14,0))))</f>
        <v/>
      </c>
      <c r="CM71" s="239" t="str">
        <f>IF(A71=FALSE,"",IF(ALLTHESAME=TRUE,INDEX(FA71:FZ71,MATCH(FC71,FC71:FC176,0),MATCH(Structure!$D$22,$FA$14:$FZ$14,0)),INDEX(GA71:GZ71,MATCH(GC71,GC71:GC176,0),MATCH(Structure!$D$22,$GA$14:$GZ$14,0))))</f>
        <v/>
      </c>
      <c r="CN71" s="239" t="str">
        <f>IF(A71=FALSE,"",IF(ALLTHESAME=TRUE,INDEX(HA71:HZ71,MATCH(HC71,HC71:HC176,0),MATCH(Structure!$D$22,$HA$14:$HZ$14,0)),INDEX(IA71:IZ71,MATCH(IC71,IC71:IC176,0),MATCH(Structure!$D$22,$IA$14:$IZ$14,0))))</f>
        <v/>
      </c>
      <c r="CO71" s="239" t="str">
        <f>IF(A71=FALSE,"",IF(ALLTHESAME=TRUE,INDEX(JA71:JZ71,MATCH(JC71,JC71:JC176,0),MATCH(Structure!$D$22,$JA$14:$JZ$14,0)),INDEX(KA71:KZ71,MATCH(KC71,KC71:KC176,0),MATCH(Structure!$D$22,$KA$14:$KZ$14,0))))</f>
        <v/>
      </c>
      <c r="CP71" s="239" t="str">
        <f>IF(A71=FALSE,"",IF(ALLTHESAME=TRUE,INDEX(LA71:LZ71,MATCH(LC71,LC71:LC176,0),MATCH(Structure!$D$22,$LA$14:$LZ$14,0)),INDEX(MA71:MZ71,MATCH(MC71,MC71:MC176,0),MATCH(Structure!$D$22,$MA$14:$MZ$14,0))))</f>
        <v/>
      </c>
      <c r="CQ71" s="239" t="str">
        <f>IF(A71=FALSE,"",IF(ALLTHESAME=TRUE,INDEX(NA71:NZ71,MATCH(NC71,NC71:NC176,0),MATCH(Structure!$D$22,$NA$14:$NZ$14,0)),INDEX(OA71:OZ71,MATCH(OC71,OC71:OC176,0),MATCH(Structure!$D$22,$OA$14:$OZ$14,0))))</f>
        <v/>
      </c>
      <c r="CR71" s="239" t="str">
        <f>IF(A71=FALSE,"",IF(ALLTHESAME=TRUE,INDEX(PA71:PZ71,MATCH(PC71,PC71:PC176,0),MATCH(Structure!$D$22,$PA$14:$PZ$14,0)),INDEX(QA71:QZ71,MATCH(QC71,QC71:QC176,0),MATCH(Structure!$D$22,$QA$14:$QZ$14,0))))</f>
        <v/>
      </c>
      <c r="CS71" s="341" t="str">
        <f>IF(A71=FALSE,"",IF(ALLTHESAME=TRUE,INDEX(RA71:RZ71,MATCH(RC71,RC71:RC176,0),MATCH(Structure!$D$22,$RA$14:$RZ$14,0)),INDEX(SA71:TC71,MATCH(SC71,SC71:SC176,0),MATCH(Structure!$D$22,$SA$14:$TC$14,0))))</f>
        <v/>
      </c>
      <c r="CT71" s="347"/>
      <c r="CU71" s="239" t="str">
        <f t="shared" si="457"/>
        <v/>
      </c>
      <c r="CV71" s="239" t="str">
        <f>IF(A71=FALSE,"",IF(ALLTHESAME=TRUE,INDEX(DD71:DZ71,MATCH(DF71,DF71:DF176,0),MATCH(Structure!$D$8,$DD$14:$DZ$14,0)),INDEX(EA71:EZ71,MATCH(EC71,EC71:EC176,0),MATCH(Structure!$D$8,$EA$14:$EZ$14,0))))</f>
        <v/>
      </c>
      <c r="CW71" s="239" t="str">
        <f>IF(A71=FALSE,"",IF(ALLTHESAME=TRUE,INDEX(FA71:FZ71,MATCH(FC71,FC71:FC176,0),MATCH(Structure!$D$8,$FA$14:$FZ$14,0)),INDEX(GA71:GZ71,MATCH(GC71,GC71:GC176,0),MATCH(Structure!$D$8,$GA$14:$GZ$14,0))))</f>
        <v/>
      </c>
      <c r="CX71" s="239" t="str">
        <f>IF(A71=FALSE,"",IF(ALLTHESAME=TRUE,INDEX(HA71:HZ71,MATCH(HC71,HC71:HC176,0),MATCH(Structure!$D$8,$HA$14:$HZ$14,0)),INDEX(IA71:IZ71,MATCH(IC71,IC71:IC176,0),MATCH(Structure!$D$8,$IA$14:$IZ$14,0))))</f>
        <v/>
      </c>
      <c r="CY71" s="239" t="str">
        <f>IF(A71=FALSE,"",IF(ALLTHESAME=TRUE,INDEX(JA71:JZ71,MATCH(JC71,JC71:JC176,0),MATCH(Structure!$D$8,$JA$14:$JZ$14,0)),INDEX(KA71:KZ71,MATCH(KC71,KC71:KC176,0),MATCH(Structure!$D$8,$KA$14:$KZ$14,0))))</f>
        <v/>
      </c>
      <c r="CZ71" s="239" t="str">
        <f>IF(A71=FALSE,"",IF(ALLTHESAME=TRUE,INDEX(LA71:LZ71,MATCH(LC71,LC71:LC176,0),MATCH(Structure!$D$8,$LA$14:$LZ$14,0)),INDEX(MA71:MZ71,MATCH(MC71,MC71:MC176,0),MATCH(Structure!$D$8,$MA$14:$MZ$14,0))))</f>
        <v/>
      </c>
      <c r="DA71" s="239" t="str">
        <f>IF(A71=FALSE,"",IF(ALLTHESAME=TRUE,INDEX(NA71:NZ71,MATCH(NC71,NC71:NC176,0),MATCH(Structure!$D$8,$NA$14:$NZ$14,0)),INDEX(OA71:OZ71,MATCH(OC71,OC71:OC176,0),MATCH(Structure!$D$8,$OA$14:$OZ$14,0))))</f>
        <v/>
      </c>
      <c r="DB71" s="239" t="str">
        <f>IF(A71=FALSE,"",IF(ALLTHESAME=TRUE,INDEX(PA71:PZ71,MATCH(PC71,PC71:PC176,0),MATCH(Structure!$D$8,$PA$14:$PZ$14,0)),INDEX(QA71:QZ71,MATCH(QC71,QC71:QC176,0),MATCH(Structure!$D$8,$QA$14:$QZ$14,0))))</f>
        <v/>
      </c>
      <c r="DC71" s="341" t="str">
        <f>IF(A71=FALSE,"",IF(ALLTHESAME=TRUE,INDEX(RA71:RZ71,MATCH(RC71,RC71:RC176,0),MATCH(Structure!$D$8,$RA$14:$RZ$14,0)),INDEX(SA71:TC71,MATCH(SC71,SC71:SC176,0),MATCH(Structure!$D$8,$SA$14:$TC$14,0))))</f>
        <v/>
      </c>
      <c r="DD71" s="492" t="str">
        <f>IF(A71=FALSE,"",Cotations!D71)</f>
        <v/>
      </c>
      <c r="DE71" s="492" t="str">
        <f>IF(A71=FALSE,"",IF(LISTES!$A$17=1,Cotations!AF71,Cotations!$AG$4))</f>
        <v/>
      </c>
      <c r="DF71" s="291" t="str">
        <f t="shared" si="458"/>
        <v/>
      </c>
      <c r="DG71" s="291" t="str">
        <f t="shared" si="459"/>
        <v/>
      </c>
      <c r="DH71" s="291"/>
      <c r="DI71" s="463"/>
      <c r="DJ71" s="463" t="str">
        <f t="shared" si="460"/>
        <v/>
      </c>
      <c r="DK71" s="522" t="str">
        <f>IF(A71=FALSE,"",IF(Cotations!$AH$4="monthly",DJ71/12*L71,DJ71/365*M71))</f>
        <v/>
      </c>
      <c r="DL71" s="489" t="str">
        <f>IF(A71=FALSE,"",Cotations!$AI$4)</f>
        <v/>
      </c>
      <c r="DM71" s="300" t="str">
        <f t="shared" si="461"/>
        <v/>
      </c>
      <c r="DN71" s="300" t="str">
        <f t="shared" si="462"/>
        <v/>
      </c>
      <c r="DO71" s="294" t="str">
        <f t="shared" si="463"/>
        <v/>
      </c>
      <c r="DP71" s="494" t="str">
        <f>IF(A71=FALSE,"",Cotations!$AJ$4)</f>
        <v/>
      </c>
      <c r="DQ71" s="494" t="str">
        <f>IF(A71=FALSE,"",Cotations!$AK$4)</f>
        <v/>
      </c>
      <c r="DR71" s="489" t="str">
        <f>IF(A71=FALSE,"",Cotations!$AL$4)</f>
        <v/>
      </c>
      <c r="DS71" s="494" t="str">
        <f>IF(A71=FALSE,"",IF(DP71="N/A",0,IF(INDEX(LISTES!$F$105:$F$109,MATCH(DP71,LISTES!$C$105:$C$109,0))="FIX",IF(INDEX(LISTES!$E$105:$E$109,MATCH(DP71,LISTES!$C$105:$C$109,0))=12,DQ71/12*L71,DQ71/365*M71),DR71*DO71)))</f>
        <v/>
      </c>
      <c r="DT71" s="294" t="str">
        <f t="shared" si="464"/>
        <v/>
      </c>
      <c r="DU71" s="294" t="str">
        <f>IF(A71=FALSE,"",DT71*Cotations!$AM$4)</f>
        <v/>
      </c>
      <c r="DV71" s="294" t="str">
        <f>IF(A71=FALSE,"",DT71*Cotations!$AN$4)</f>
        <v/>
      </c>
      <c r="DW71" s="465" t="str">
        <f t="shared" si="465"/>
        <v/>
      </c>
      <c r="DX71" s="919" t="str">
        <f>IF(A71=FALSE,"",((DJ71*TAXE)-(DJ71*TAXE*DL71))+IF(DP71="N/A",0,IF(INDEX(LISTES!$F$105:$F$109,MATCH(DP71,LISTES!$C$105:$C$109,0))="FIX",DQ71,DR71*DO71)))</f>
        <v/>
      </c>
      <c r="DY71" s="466"/>
      <c r="DZ71" s="466"/>
      <c r="EA71" s="492" t="str">
        <f>IF(A71=FALSE,"",Cotations!D71)</f>
        <v/>
      </c>
      <c r="EB71" s="494" t="str">
        <f>IF(A71=FALSE,"",IF(LISTES!$A$17=1,Cotations!AF71,Cotations!AG71))</f>
        <v/>
      </c>
      <c r="EC71" s="284" t="str">
        <f t="shared" si="466"/>
        <v/>
      </c>
      <c r="ED71" s="284" t="str">
        <f t="shared" si="467"/>
        <v/>
      </c>
      <c r="EE71" s="284"/>
      <c r="EF71" s="284"/>
      <c r="EG71" s="284" t="str">
        <f t="shared" si="468"/>
        <v/>
      </c>
      <c r="EH71" s="1365" t="str">
        <f t="shared" si="469"/>
        <v/>
      </c>
      <c r="EI71" s="1365" t="str">
        <f t="shared" si="470"/>
        <v/>
      </c>
      <c r="EJ71" s="515" t="str">
        <f>IF(A71=FALSE,"",IF(Cotations!AH71="monthly",EG71/12*L71,EG71/365*M71))</f>
        <v/>
      </c>
      <c r="EK71" s="1364" t="str">
        <f>IF(A71=FALSE,"",IF(Cotations!AH71="monthly",EI71/12*L71,EI71/365*M71))</f>
        <v/>
      </c>
      <c r="EL71" s="493" t="str">
        <f>IF(A71=FALSE,"",IF(Cotations!AI71="","",Cotations!AI71))</f>
        <v/>
      </c>
      <c r="EM71" s="284" t="str">
        <f t="shared" si="471"/>
        <v/>
      </c>
      <c r="EN71" s="284" t="str">
        <f t="shared" si="472"/>
        <v/>
      </c>
      <c r="EO71" s="1365" t="str">
        <f t="shared" si="432"/>
        <v/>
      </c>
      <c r="EP71" s="284" t="str">
        <f t="shared" si="473"/>
        <v/>
      </c>
      <c r="EQ71" s="515" t="str">
        <f>IF(A71=FALSE,"",Cotations!AJ71)</f>
        <v/>
      </c>
      <c r="ER71" s="515" t="str">
        <f>IF(A71=FALSE,"",IF(Cotations!AK71="","",Cotations!AK71))</f>
        <v/>
      </c>
      <c r="ES71" s="493" t="str">
        <f>IF(A71=FALSE,"",Cotations!AL71)</f>
        <v/>
      </c>
      <c r="ET71" s="515" t="str">
        <f>IF(A71=FALSE,"",IF(EQ71="N/A",0,IF(INDEX(LISTES!$F$105:$F$109,MATCH(EQ71,LISTES!$C$105:$C$109,0))="FIX",IF(INDEX(LISTES!$E$105:$E$109,MATCH(EQ71,LISTES!$C$105:$C$109,0))=12,ER71/12*L71,ER71/365*M71),ES71*EP71)))</f>
        <v/>
      </c>
      <c r="EU71" s="294" t="str">
        <f t="shared" si="474"/>
        <v/>
      </c>
      <c r="EV71" s="494" t="str">
        <f>IF(A71=FALSE,"",EU71*Cotations!AM71)</f>
        <v/>
      </c>
      <c r="EW71" s="494" t="str">
        <f>IF(A71=FALSE,"",EU71*Cotations!AN71)</f>
        <v/>
      </c>
      <c r="EX71" s="334" t="str">
        <f t="shared" si="475"/>
        <v/>
      </c>
      <c r="EY71" s="919" t="str">
        <f>IF(A71=FALSE,"",((EG71*TAXE)-(EG71*TAXE*EL71)+EH71)+IF(EQ71="N/A",0,IF(INDEX(LISTES!$F$105:$F$109,MATCH(EQ71,LISTES!$C$105:$C$109,0))="FIX",ER71,ES71*EP71)))</f>
        <v/>
      </c>
      <c r="FA71" s="492" t="str">
        <f>IF(A71=FALSE,"",Cotations!D71)</f>
        <v/>
      </c>
      <c r="FB71" s="519" t="str">
        <f>IF(A71=FALSE,"",IF(LISTES!$A$17=1,Cotations!AO71,Cotations!$AP$4))</f>
        <v/>
      </c>
      <c r="FC71" s="291" t="str">
        <f t="shared" si="476"/>
        <v/>
      </c>
      <c r="FD71" s="291" t="str">
        <f t="shared" si="477"/>
        <v/>
      </c>
      <c r="FE71" s="291"/>
      <c r="FF71" s="463"/>
      <c r="FG71" s="463" t="str">
        <f t="shared" si="478"/>
        <v/>
      </c>
      <c r="FH71" s="522" t="str">
        <f>IF(A71=FALSE,"",IF(Cotations!$AQ$4="monthly",FG71/12*L71,FG71/365*M71))</f>
        <v/>
      </c>
      <c r="FI71" s="453" t="str">
        <f>IF(A71=FALSE,"",Cotations!$AR$4)</f>
        <v/>
      </c>
      <c r="FJ71" s="300" t="str">
        <f t="shared" si="479"/>
        <v/>
      </c>
      <c r="FK71" s="300" t="str">
        <f t="shared" si="480"/>
        <v/>
      </c>
      <c r="FL71" s="294" t="str">
        <f t="shared" si="481"/>
        <v/>
      </c>
      <c r="FM71" s="494" t="str">
        <f>IF(A71=FALSE,"",Cotations!$AS$4)</f>
        <v/>
      </c>
      <c r="FN71" s="494" t="str">
        <f>IF(A71=FALSE,"",Cotations!$AT$4)</f>
        <v/>
      </c>
      <c r="FO71" s="489" t="str">
        <f>IF(A71=FALSE,"",Cotations!$AU$4)</f>
        <v/>
      </c>
      <c r="FP71" s="494" t="str">
        <f>IF(A71=FALSE,"",IF(FM71="N/A",0,IF(INDEX(LISTES!$F$105:$F$109,MATCH(FM71,LISTES!$C$105:$C$109,0))="FIX",IF(INDEX(LISTES!$E$105:$E$109,MATCH(FM71,LISTES!$C$105:$C$109,0))=12,FN71/12*L71,FN71/365*M71),FO71*FL71)))</f>
        <v/>
      </c>
      <c r="FQ71" s="294" t="str">
        <f t="shared" si="482"/>
        <v/>
      </c>
      <c r="FR71" s="494" t="str">
        <f>IF(A71=FALSE,"",FQ71*Cotations!$AV$4)</f>
        <v/>
      </c>
      <c r="FS71" s="494" t="str">
        <f>IF(A71=FALSE,"",FQ71*Cotations!$AW$4)</f>
        <v/>
      </c>
      <c r="FT71" s="465" t="str">
        <f t="shared" si="483"/>
        <v/>
      </c>
      <c r="FU71" s="919" t="str">
        <f>IF(A71=FALSE,"",((FG71*TAXE)-(FG71*TAXE*FI71))+IF(FM71="N/A",0,IF(INDEX(LISTES!$F$105:$F$109,MATCH(FM71,LISTES!$C$105:$C$109,0))="FIX",FN71,FO71*FL71)))</f>
        <v/>
      </c>
      <c r="FV71" s="478"/>
      <c r="FW71" s="478"/>
      <c r="FX71" s="478"/>
      <c r="FY71" s="478"/>
      <c r="FZ71" s="478"/>
      <c r="GA71" s="492" t="str">
        <f>IF(A71=FALSE,"",Cotations!D71)</f>
        <v/>
      </c>
      <c r="GB71" s="494" t="str">
        <f>IF(A71=FALSE,"",IF(LISTES!$A$17=1,Cotations!AO71,Cotations!AP71))</f>
        <v/>
      </c>
      <c r="GC71" s="284" t="str">
        <f t="shared" si="484"/>
        <v/>
      </c>
      <c r="GD71" s="515" t="str">
        <f>IF(A71=FALSE,"",IF(Detail!AM71="","",Detail!AM71))</f>
        <v/>
      </c>
      <c r="GE71" s="284"/>
      <c r="GF71" s="284"/>
      <c r="GG71" s="284" t="str">
        <f t="shared" si="485"/>
        <v/>
      </c>
      <c r="GH71" s="515" t="str">
        <f>IF(A71=FALSE,"",IF(Cotations!AQ71="monthly",GG71/12*L71,GG71/365*M71))</f>
        <v/>
      </c>
      <c r="GI71" s="493" t="str">
        <f>IF(A71=FALSE,"",IF(Cotations!AR71="","",Cotations!AR71))</f>
        <v/>
      </c>
      <c r="GJ71" s="284" t="str">
        <f t="shared" si="486"/>
        <v/>
      </c>
      <c r="GK71" s="284" t="str">
        <f t="shared" si="487"/>
        <v/>
      </c>
      <c r="GL71" s="284" t="str">
        <f t="shared" si="488"/>
        <v/>
      </c>
      <c r="GM71" s="515" t="str">
        <f>IF(A71=FALSE,"",Cotations!AS71)</f>
        <v/>
      </c>
      <c r="GN71" s="515" t="str">
        <f>IF(A71=FALSE,"",Cotations!AT71)</f>
        <v/>
      </c>
      <c r="GO71" s="493" t="str">
        <f>IF(A71=FALSE,"",Cotations!AU71)</f>
        <v/>
      </c>
      <c r="GP71" s="515" t="str">
        <f>IF(A71=FALSE,"",IF(GM71="N/A",0,IF(INDEX(LISTES!$F$105:$F$109,MATCH(GM71,LISTES!$C$105:$C$109,0))="FIX",IF(INDEX(LISTES!$E$105:$E$109,MATCH(GM71,LISTES!$C$105:$C$109,0))=12,GN71/12*L71,GN71/365*M71),GO71*GL71)))</f>
        <v/>
      </c>
      <c r="GQ71" s="294" t="str">
        <f t="shared" si="489"/>
        <v/>
      </c>
      <c r="GR71" s="494" t="str">
        <f>IF(A71=FALSE,"",GQ71*Cotations!AV71)</f>
        <v/>
      </c>
      <c r="GS71" s="494" t="str">
        <f>IF(A71=FALSE,"",GQ71*Cotations!AW71)</f>
        <v/>
      </c>
      <c r="GT71" s="334" t="str">
        <f t="shared" si="490"/>
        <v/>
      </c>
      <c r="GU71" s="919" t="str">
        <f>IF(A71=FALSE,"",((GG71*TAXE)-(GG71*TAXE*GI71))+IF(GM71="N/A",0,IF(INDEX(LISTES!$F$105:$F$109,MATCH(GM71,LISTES!$C$105:$C$109,0))="FIX",GN71,GO71*GL71)))</f>
        <v/>
      </c>
      <c r="GV71" s="478"/>
      <c r="GW71" s="466"/>
      <c r="GX71" s="466"/>
      <c r="GY71" s="466"/>
      <c r="GZ71" s="466"/>
      <c r="HA71" s="492" t="str">
        <f>IF(A71=FALSE,"",Cotations!D71)</f>
        <v/>
      </c>
      <c r="HB71" s="495" t="str">
        <f>IF(A71=FALSE,"",IF(LISTES!$A$17=1,Cotations!AX71,Cotations!$AY$4))</f>
        <v/>
      </c>
      <c r="HC71" s="291" t="str">
        <f t="shared" si="491"/>
        <v/>
      </c>
      <c r="HD71" s="291" t="str">
        <f t="shared" si="492"/>
        <v/>
      </c>
      <c r="HE71" s="456" t="str">
        <f t="shared" si="493"/>
        <v/>
      </c>
      <c r="HF71" s="496" t="str">
        <f>IF(A71=FALSE,"",IF(HA71="POEA",Cotations!BA71,IF(HA71="FIXE",Cotations!$BA$4,Cotations!$BC$4*Y71)))</f>
        <v/>
      </c>
      <c r="HG71" s="300" t="str">
        <f t="shared" si="494"/>
        <v/>
      </c>
      <c r="HH71" s="522" t="str">
        <f>IF(A71=FALSE,"",IF(Cotations!$AZ$4="monthly",HG71/12*L71,HG71/365*M71))</f>
        <v/>
      </c>
      <c r="HI71" s="489" t="str">
        <f>IF(A71=FALSE,"",Cotations!$BD$4)</f>
        <v/>
      </c>
      <c r="HJ71" s="300" t="str">
        <f t="shared" si="495"/>
        <v/>
      </c>
      <c r="HK71" s="300" t="str">
        <f t="shared" si="496"/>
        <v/>
      </c>
      <c r="HL71" s="294" t="str">
        <f t="shared" si="497"/>
        <v/>
      </c>
      <c r="HM71" s="494" t="str">
        <f>IF(A71=FALSE,"",Cotations!$BE$4)</f>
        <v/>
      </c>
      <c r="HN71" s="522" t="str">
        <f>IF(A71=FALSE,"",Cotations!$BF$4)</f>
        <v/>
      </c>
      <c r="HO71" s="489" t="str">
        <f>IF(A71=FALSE,"",Cotations!$BG$4)</f>
        <v/>
      </c>
      <c r="HP71" s="494" t="str">
        <f>IF(A71=FALSE,"",IF(HM71="N/A",0,IF(INDEX(LISTES!$F$105:$F$109,MATCH(HM71,LISTES!$C$105:$C$109,0))="FIX",IF(INDEX(LISTES!$E$105:$E$109,MATCH(HM71,LISTES!$C$105:$C$109,0))=12,HN71/12*L71,HN71/365*M71),HO71*HL71)))</f>
        <v/>
      </c>
      <c r="HQ71" s="294" t="str">
        <f t="shared" si="498"/>
        <v/>
      </c>
      <c r="HR71" s="494" t="str">
        <f>IF(A71=FALSE,"",HQ71*Cotations!$BH$4)</f>
        <v/>
      </c>
      <c r="HS71" s="494" t="str">
        <f>IF(A71=FALSE,"",HQ71*Cotations!$BI$4)</f>
        <v/>
      </c>
      <c r="HT71" s="294" t="str">
        <f t="shared" si="499"/>
        <v/>
      </c>
      <c r="HU71" s="919" t="str">
        <f>IF(A71=FALSE,"",((HG71*TAXE)-(HG71*TAXE*HI71))+IF(HM71="N/A",0,IF(INDEX(LISTES!$F$105:$F$109,MATCH(HM71,LISTES!$C$105:$C$109,0))="FIX",HN71,HO71*HL71)))</f>
        <v/>
      </c>
      <c r="IA71" s="492" t="str">
        <f>IF(A71=FALSE,"",Cotations!D71)</f>
        <v/>
      </c>
      <c r="IB71" s="491" t="str">
        <f>IF(A71=FALSE,"",IF(LISTES!$A$17=1,Cotations!AX71,Cotations!AY71))</f>
        <v/>
      </c>
      <c r="IC71" s="285" t="str">
        <f t="shared" si="500"/>
        <v/>
      </c>
      <c r="ID71" s="300" t="str">
        <f>IF(A71=FALSE,"",IF(LISTES!$A$17=3,Detail!AU71,lig1_Formula_PREVOY))</f>
        <v/>
      </c>
      <c r="IE71" s="461" t="str">
        <f t="shared" si="501"/>
        <v/>
      </c>
      <c r="IF71" s="490" t="str">
        <f>IF(A71=FALSE,"",IF(IA71="POEA",Cotations!BA71,IF(HA71="FIXE",Cotations!BB71,IF(Cotations!BC71*Y71&lt;50000,Z71,Cotations!BC71*Y71))))</f>
        <v/>
      </c>
      <c r="IG71" s="300" t="str">
        <f t="shared" si="502"/>
        <v/>
      </c>
      <c r="IH71" s="522" t="str">
        <f>IF(A71=FALSE,"",IF(Cotations!AZ71="monthly",IG71/12*L71,IG71/365*M71))</f>
        <v/>
      </c>
      <c r="II71" s="489" t="str">
        <f>IF(A71=FALSE,"",IF(Cotations!BD71="","",Cotations!BD71))</f>
        <v/>
      </c>
      <c r="IJ71" s="300" t="str">
        <f t="shared" si="503"/>
        <v/>
      </c>
      <c r="IK71" s="300" t="str">
        <f t="shared" si="504"/>
        <v/>
      </c>
      <c r="IL71" s="919" t="str">
        <f t="shared" si="505"/>
        <v/>
      </c>
      <c r="IM71" s="517" t="str">
        <f>IF(A71=FALSE,"",Cotations!BE71)</f>
        <v/>
      </c>
      <c r="IN71" s="517" t="str">
        <f>IF(A71=FALSE,"",Cotations!BF71)</f>
        <v/>
      </c>
      <c r="IO71" s="493" t="str">
        <f>IF(A71=FALSE,"",Cotations!BG71)</f>
        <v/>
      </c>
      <c r="IP71" s="517" t="str">
        <f>IF(A71=FALSE,"",IF(IM71="N/A",0,IF(INDEX(LISTES!$F$105:$F$109,MATCH(IM71,LISTES!$C$105:$C$109,0))="FIX",IF(INDEX(LISTES!$E$105:$E$109,MATCH(IM71,LISTES!$C$105:$C$109,0))=12,IN71/12*L71,IN71/365*M71),IO71*IL71)))</f>
        <v/>
      </c>
      <c r="IQ71" s="294" t="str">
        <f t="shared" si="506"/>
        <v/>
      </c>
      <c r="IR71" s="494" t="str">
        <f>IF(A71=FALSE,"",IQ71*Cotations!BH71)</f>
        <v/>
      </c>
      <c r="IS71" s="494" t="str">
        <f>IF(A71=FALSE,"",IQ71*Cotations!BI71)</f>
        <v/>
      </c>
      <c r="IT71" s="338" t="str">
        <f t="shared" si="507"/>
        <v/>
      </c>
      <c r="IU71" s="919" t="str">
        <f>IF(A71=FALSE,"",((IG71*TAXE)-(IG71*TAXE*II71))+IF(IM71="N/A",0,IF(INDEX(LISTES!$F$105:$F$109,MATCH(IM71,LISTES!$C$105:$C$109,0))="FIX",IN71,IO71*IL71)))</f>
        <v/>
      </c>
      <c r="JA71" s="492" t="str">
        <f>IF(A71=FALSE,"",Cotations!D71)</f>
        <v/>
      </c>
      <c r="JB71" s="495" t="str">
        <f>IF(A71=FALSE,"",IF(LISTES!$A$17=1,Cotations!BJ71,Cotations!$BK$4))</f>
        <v/>
      </c>
      <c r="JC71" s="291" t="str">
        <f t="shared" si="508"/>
        <v/>
      </c>
      <c r="JD71" s="291" t="str">
        <f t="shared" si="509"/>
        <v/>
      </c>
      <c r="JE71" s="456" t="str">
        <f t="shared" si="510"/>
        <v/>
      </c>
      <c r="JF71" s="496" t="str">
        <f>IF(A71=FALSE,"",IF(JA71="POEA",Cotations!BM71,IF(JA71="FIXE",Cotations!$BM$4,Cotations!$BO$4*Y71)))</f>
        <v/>
      </c>
      <c r="JG71" s="300" t="str">
        <f t="shared" si="511"/>
        <v/>
      </c>
      <c r="JH71" s="522" t="str">
        <f>IF(A71=FALSE,"",IF(Cotations!$BL$4="monthly",JG71/12*L71,JG71/365*M71))</f>
        <v/>
      </c>
      <c r="JI71" s="489" t="str">
        <f>IF(A71=FALSE,"",Cotations!$BP$4)</f>
        <v/>
      </c>
      <c r="JJ71" s="300" t="str">
        <f t="shared" si="512"/>
        <v/>
      </c>
      <c r="JK71" s="300" t="str">
        <f t="shared" si="513"/>
        <v/>
      </c>
      <c r="JL71" s="294" t="str">
        <f t="shared" si="514"/>
        <v/>
      </c>
      <c r="JM71" s="494" t="str">
        <f>IF(A71=FALSE,"",Cotations!$BQ$4)</f>
        <v/>
      </c>
      <c r="JN71" s="522" t="str">
        <f>IF(A71=FALSE,"",Cotations!$BR$4)</f>
        <v/>
      </c>
      <c r="JO71" s="489" t="str">
        <f>IF(A71=FALSE,"",Cotations!$BS$4)</f>
        <v/>
      </c>
      <c r="JP71" s="494" t="str">
        <f>IF(A71=FALSE,"",IF(JM71="N/A",0,IF(INDEX(LISTES!$F$105:$F$109,MATCH(JM71,LISTES!$C$105:$C$109,0))="FIX",IF(INDEX(LISTES!$E$105:$E$109,MATCH(JM71,LISTES!$C$105:$C$109,0))=12,JN71/12*L71,JN71/365*M71),JO71*JL71)))</f>
        <v/>
      </c>
      <c r="JQ71" s="294" t="str">
        <f t="shared" si="515"/>
        <v/>
      </c>
      <c r="JR71" s="494" t="str">
        <f>IF(A71=FALSE,"",JQ71*Cotations!$BT$4)</f>
        <v/>
      </c>
      <c r="JS71" s="494" t="str">
        <f>IF(A71=FALSE,"",JQ71*Cotations!$BU$4)</f>
        <v/>
      </c>
      <c r="JT71" s="294" t="str">
        <f t="shared" si="516"/>
        <v/>
      </c>
      <c r="JU71" s="919" t="str">
        <f>IF(A71=FALSE,"",((JG71*TAXE)-(JG71*TAXE*JI71))+IF(JM71="N/A",0,IF(INDEX(LISTES!$F$105:$F$109,MATCH(JM71,LISTES!$C$105:$C$109,0))="FIX",JN71,JO71*JL71)))</f>
        <v/>
      </c>
      <c r="KA71" s="492" t="str">
        <f>IF(A71=FALSE,"",Cotations!D71)</f>
        <v/>
      </c>
      <c r="KB71" s="491" t="str">
        <f>IF(A71=FALSE,"",IF(LISTES!$A$17=1,Cotations!BJ71,Cotations!BK71))</f>
        <v/>
      </c>
      <c r="KC71" s="285" t="str">
        <f t="shared" si="517"/>
        <v/>
      </c>
      <c r="KD71" s="300"/>
      <c r="KE71" s="461" t="str">
        <f t="shared" si="518"/>
        <v/>
      </c>
      <c r="KF71" s="490" t="str">
        <f>IF(A71=FALSE,"",IF(KA71="POEA",Cotations!BM71,IF(KA71="FIXE",Cotations!BN71,IF(Cotations!BO71*Y71&lt;50000,Z71,Cotations!BO71*Y71))))</f>
        <v/>
      </c>
      <c r="KG71" s="300" t="str">
        <f t="shared" si="519"/>
        <v/>
      </c>
      <c r="KH71" s="522" t="str">
        <f>IF(A71=FALSE,"",IF(Cotations!BL71="monthly",KG71/12*L71,KG71/365*M71))</f>
        <v/>
      </c>
      <c r="KI71" s="489" t="str">
        <f>IF(A71=FALSE,"",IF(Cotations!BP71="","",Cotations!BP71))</f>
        <v/>
      </c>
      <c r="KJ71" s="300" t="str">
        <f t="shared" si="520"/>
        <v/>
      </c>
      <c r="KK71" s="300" t="str">
        <f t="shared" si="521"/>
        <v/>
      </c>
      <c r="KL71" s="919" t="str">
        <f t="shared" si="522"/>
        <v/>
      </c>
      <c r="KM71" s="517" t="str">
        <f>IF(A71=FALSE,"",Cotations!BQ71)</f>
        <v/>
      </c>
      <c r="KN71" s="515" t="str">
        <f>IF(A71=FALSE,"",Cotations!BR71)</f>
        <v/>
      </c>
      <c r="KO71" s="493" t="str">
        <f>IF(A71=FALSE,"",Cotations!BS71)</f>
        <v/>
      </c>
      <c r="KP71" s="517" t="str">
        <f>IF(A71=FALSE,"",IF(KM71="N/A",0,IF(INDEX(LISTES!$F$105:$F$109,MATCH(KM71,LISTES!$C$105:$C$109,0))="FIX",IF(INDEX(LISTES!$E$105:$E$109,MATCH(KM71,LISTES!$C$105:$C$109,0))=12,KN71/12*L71,KN71/365*M71),KO71*KL71)))</f>
        <v/>
      </c>
      <c r="KQ71" s="294" t="str">
        <f t="shared" si="523"/>
        <v/>
      </c>
      <c r="KR71" s="494" t="str">
        <f>IF(A71=FALSE,"",KQ71*Cotations!BT71)</f>
        <v/>
      </c>
      <c r="KS71" s="494" t="str">
        <f>IF(A71=FALSE,"",KQ71*Cotations!BU71)</f>
        <v/>
      </c>
      <c r="KT71" s="338" t="str">
        <f t="shared" si="524"/>
        <v/>
      </c>
      <c r="KU71" s="919" t="str">
        <f>IF(A71=FALSE,"",((KG71*TAXE)-(KG71*TAXE*KI71))+IF(KM71="N/A",0,IF(INDEX(LISTES!$F$105:$F$109,MATCH(KM71,LISTES!$C$105:$C$109,0))="FIX",KN71,KO71*KL71)))</f>
        <v/>
      </c>
      <c r="LA71" s="497" t="str">
        <f>IF(A71=FALSE,"",Cotations!D71)</f>
        <v/>
      </c>
      <c r="LB71" s="498" t="str">
        <f>IF(A71=FALSE,"",IF(LISTES!$A$17=1,Cotations!BV71,Cotations!$BW$4))</f>
        <v/>
      </c>
      <c r="LC71" s="499" t="str">
        <f t="shared" si="525"/>
        <v/>
      </c>
      <c r="LD71" s="499" t="str">
        <f t="shared" si="526"/>
        <v/>
      </c>
      <c r="LE71" s="500" t="str">
        <f t="shared" si="527"/>
        <v/>
      </c>
      <c r="LF71" s="501" t="str">
        <f>IF(A71=FALSE,"",IF(LA71="POEA",Cotations!EJ71,IF(LA71="FIXE",Cotations!$BY$4,Cotations!$CA$4*Y71)))</f>
        <v/>
      </c>
      <c r="LG71" s="502" t="str">
        <f t="shared" si="528"/>
        <v/>
      </c>
      <c r="LH71" s="520" t="str">
        <f>IF(A71=FALSE,"",IF(Cotations!$BX$4="monthly",LG71/12*L71,LG71/365*M71))</f>
        <v/>
      </c>
      <c r="LI71" s="503" t="str">
        <f>IF(A71=FALSE,"",Cotations!$CB$4)</f>
        <v/>
      </c>
      <c r="LJ71" s="502" t="str">
        <f t="shared" si="529"/>
        <v/>
      </c>
      <c r="LK71" s="502" t="str">
        <f t="shared" si="530"/>
        <v/>
      </c>
      <c r="LL71" s="504" t="str">
        <f t="shared" si="531"/>
        <v/>
      </c>
      <c r="LM71" s="505" t="str">
        <f>IF(A71=FALSE,"",Cotations!$CC$4)</f>
        <v/>
      </c>
      <c r="LN71" s="503" t="str">
        <f>IF(A71=FALSE,"",Cotations!$CD$4)</f>
        <v/>
      </c>
      <c r="LO71" s="503" t="str">
        <f>IF(A71=FALSE,"",Cotations!$CE$4)</f>
        <v/>
      </c>
      <c r="LP71" s="505" t="str">
        <f>IF(A71=FALSE,"",IF(LM71="N/A",0,IF(INDEX(LISTES!$F$105:$F$109,MATCH(LM71,LISTES!$C$105:$C$109,0))="FIX",IF(INDEX(LISTES!$E$105:$E$109,MATCH(LM71,LISTES!$C$105:$C$109,0))=12,LN71/12*L71,LN71/365*M71),LO71*LL71)))</f>
        <v/>
      </c>
      <c r="LQ71" s="504" t="str">
        <f t="shared" si="532"/>
        <v/>
      </c>
      <c r="LR71" s="505" t="str">
        <f>IF(A71=FALSE,"",LQ71*Cotations!$CF$4)</f>
        <v/>
      </c>
      <c r="LS71" s="505" t="str">
        <f>IF(A71=FALSE,"",LQ71*Cotations!$CG$4)</f>
        <v/>
      </c>
      <c r="LT71" s="506" t="str">
        <f t="shared" si="533"/>
        <v/>
      </c>
      <c r="LU71" s="919" t="str">
        <f>IF(A71=FALSE,"",((LG71*TAXE)-(LG71*TAXE*LI71))+IF(LM71="N/A",0,IF(INDEX(LISTES!$F$105:$F$109,MATCH(LM71,LISTES!$C$105:$C$109,0))="FIX",LN71,LO71*LL71)))</f>
        <v/>
      </c>
      <c r="MA71" s="492" t="str">
        <f>IF(A71=FALSE,"",Cotations!D71)</f>
        <v/>
      </c>
      <c r="MB71" s="491" t="str">
        <f>IF(A71=FALSE,"",IF(LISTES!$A$17=1,Cotations!BV71,Cotations!BW71))</f>
        <v/>
      </c>
      <c r="MC71" s="285" t="str">
        <f t="shared" si="534"/>
        <v/>
      </c>
      <c r="MD71" s="300"/>
      <c r="ME71" s="461" t="str">
        <f t="shared" si="535"/>
        <v/>
      </c>
      <c r="MF71" s="490" t="str">
        <f>IF(A71=FALSE,"",IF(MA71="POEA",Cotations!BY71,IF(MA71="FIXE",Cotations!BZ71,IF(Cotations!CA71*Y71&lt;50000,Z71,Cotations!CA71*Y71))))</f>
        <v/>
      </c>
      <c r="MG71" s="300" t="str">
        <f t="shared" si="536"/>
        <v/>
      </c>
      <c r="MH71" s="522" t="str">
        <f>IF(A71=FALSE,"",IF(Cotations!BX71="monthly",MG71/12*L71,MG71/365*M71))</f>
        <v/>
      </c>
      <c r="MI71" s="489" t="str">
        <f>IF(A71=FALSE,"",IF(Cotations!CB71="","",Cotations!CB71))</f>
        <v/>
      </c>
      <c r="MJ71" s="300" t="str">
        <f t="shared" si="537"/>
        <v/>
      </c>
      <c r="MK71" s="300" t="str">
        <f t="shared" si="538"/>
        <v/>
      </c>
      <c r="ML71" s="919" t="str">
        <f t="shared" si="539"/>
        <v/>
      </c>
      <c r="MM71" s="517" t="str">
        <f>IF(A71=FALSE,"",Cotations!CC71)</f>
        <v/>
      </c>
      <c r="MN71" s="515" t="str">
        <f>IF(A71=FALSE,"",Cotations!CD71)</f>
        <v/>
      </c>
      <c r="MO71" s="493" t="str">
        <f>IF(A71=FALSE,"",Cotations!CE71)</f>
        <v/>
      </c>
      <c r="MP71" s="517" t="str">
        <f>IF(A71=FALSE,"",IF(MM71="N/A",0,IF(INDEX(LISTES!$F$105:$F$109,MATCH(MM71,LISTES!$C$105:$C$109,0))="FIX",IF(INDEX(LISTES!$E$105:$E$109,MATCH(MM71,LISTES!$C$105:$C$109,0))=12,MN71/12*L71,MN71/365*M71),MO71*ML71)))</f>
        <v/>
      </c>
      <c r="MQ71" s="294" t="str">
        <f t="shared" si="540"/>
        <v/>
      </c>
      <c r="MR71" s="494" t="str">
        <f>IF(A71=FALSE,"",MQ71*Cotations!CF71)</f>
        <v/>
      </c>
      <c r="MS71" s="494" t="str">
        <f>IF(A71=FALSE,"",MQ71*Cotations!CG71)</f>
        <v/>
      </c>
      <c r="MT71" s="338" t="str">
        <f t="shared" si="541"/>
        <v/>
      </c>
      <c r="MU71" s="919" t="str">
        <f>IF(A71=FALSE,"",((MG71*TAXE)-(MG71*TAXE*MI71))+IF(MM71="N/A",0,IF(INDEX(LISTES!$F$105:$F$109,MATCH(MM71,LISTES!$C$105:$C$109,0))="FIX",MN71,MO71*ML71)))</f>
        <v/>
      </c>
      <c r="NA71" s="497" t="str">
        <f>IF(A71=FALSE,"",Cotations!D71)</f>
        <v/>
      </c>
      <c r="NB71" s="498" t="str">
        <f>IF(A71=FALSE,"",IF(LISTES!$A$17=1,Cotations!CH71,Cotations!$CI$4))</f>
        <v/>
      </c>
      <c r="NC71" s="499" t="str">
        <f t="shared" si="542"/>
        <v/>
      </c>
      <c r="ND71" s="499" t="str">
        <f t="shared" si="543"/>
        <v/>
      </c>
      <c r="NE71" s="500" t="str">
        <f t="shared" si="544"/>
        <v/>
      </c>
      <c r="NF71" s="501" t="str">
        <f>IF(A71=FALSE,"",IF(NA71="POEA",Cotations!CK71,IF(NA71="FIXE",Cotations!$CK$4,Cotations!$CM$4*Y71)))</f>
        <v/>
      </c>
      <c r="NG71" s="502" t="str">
        <f t="shared" si="545"/>
        <v/>
      </c>
      <c r="NH71" s="520" t="str">
        <f>IF(A71=FALSE,"",IF(Cotations!$CJ$4="monthly",NG71/12*L71,NG71/365*M71))</f>
        <v/>
      </c>
      <c r="NI71" s="503" t="str">
        <f>IF(A71=FALSE,"",Cotations!$CN$4)</f>
        <v/>
      </c>
      <c r="NJ71" s="502" t="str">
        <f t="shared" si="546"/>
        <v/>
      </c>
      <c r="NK71" s="502" t="str">
        <f t="shared" si="547"/>
        <v/>
      </c>
      <c r="NL71" s="504" t="str">
        <f t="shared" si="548"/>
        <v/>
      </c>
      <c r="NM71" s="505" t="str">
        <f>IF(A71=FALSE,"",Cotations!$CO$4)</f>
        <v/>
      </c>
      <c r="NN71" s="520" t="str">
        <f>IF(A71=FALSE,"",Cotations!$CP$4)</f>
        <v/>
      </c>
      <c r="NO71" s="503" t="str">
        <f>IF(A71=FALSE,"",Cotations!$CQ$4)</f>
        <v/>
      </c>
      <c r="NP71" s="505" t="str">
        <f>IF(A71=FALSE,"",IF(NM71="N/A",0,IF(INDEX(LISTES!$F$105:$F$109,MATCH(NM71,LISTES!$C$105:$C$109,0))="FIX",IF(INDEX(LISTES!$E$105:$E$109,MATCH(NM71,LISTES!$C$105:$C$109,0))=12,NN71/12*L71,NN71/365*M71),NO71*NL71)))</f>
        <v/>
      </c>
      <c r="NQ71" s="504" t="str">
        <f t="shared" si="549"/>
        <v/>
      </c>
      <c r="NR71" s="505" t="str">
        <f>IF(A71=FALSE,"",NQ71*Cotations!$CR$4)</f>
        <v/>
      </c>
      <c r="NS71" s="505" t="str">
        <f>IF(A71=FALSE,"",NQ71*Cotations!$CS$4)</f>
        <v/>
      </c>
      <c r="NT71" s="506" t="str">
        <f t="shared" si="550"/>
        <v/>
      </c>
      <c r="NU71" s="919" t="str">
        <f>IF(A71=FALSE,"",((NG71*TAXE)-(NG71*TAXE*NI71))+IF(NM71="N/A",0,IF(INDEX(LISTES!$F$105:$F$109,MATCH(NM71,LISTES!$C$105:$C$109,0))="FIX",NN71,NO71*NL71)))</f>
        <v/>
      </c>
      <c r="OA71" s="492" t="str">
        <f>IF(A71=FALSE,"",Cotations!D71)</f>
        <v/>
      </c>
      <c r="OB71" s="491" t="str">
        <f>IF(A71=FALSE,"",IF(LISTES!$A$17=1,Cotations!CH71,Cotations!CI71))</f>
        <v/>
      </c>
      <c r="OC71" s="285" t="str">
        <f t="shared" si="551"/>
        <v/>
      </c>
      <c r="OD71" s="300"/>
      <c r="OE71" s="461" t="str">
        <f t="shared" si="552"/>
        <v/>
      </c>
      <c r="OF71" s="490" t="str">
        <f>IF(A71=FALSE,"",IF(OA71="POEA",Cotations!CK71,IF(OA71="FIXE",Cotations!CL71,IF(Cotations!CM71*Y71&lt;50000,Z71,Cotations!CM71*Y71))))</f>
        <v/>
      </c>
      <c r="OG71" s="300" t="str">
        <f t="shared" si="553"/>
        <v/>
      </c>
      <c r="OH71" s="522" t="str">
        <f>IF(A71=FALSE,"",IF(Cotations!CJ71="monthly",OG71/12*L71,OG71/365*M71))</f>
        <v/>
      </c>
      <c r="OI71" s="489" t="str">
        <f>IF(A71=FALSE,"",IF(Cotations!CN71="","",Cotations!CN71))</f>
        <v/>
      </c>
      <c r="OJ71" s="300" t="str">
        <f t="shared" si="554"/>
        <v/>
      </c>
      <c r="OK71" s="300" t="str">
        <f t="shared" si="555"/>
        <v/>
      </c>
      <c r="OL71" s="919" t="str">
        <f t="shared" si="556"/>
        <v/>
      </c>
      <c r="OM71" s="517" t="str">
        <f>IF(A71=FALSE,"",Cotations!CO71)</f>
        <v/>
      </c>
      <c r="ON71" s="515" t="str">
        <f>IF(A71=FALSE,"",Cotations!CP71)</f>
        <v/>
      </c>
      <c r="OO71" s="493" t="str">
        <f>IF(A71=FALSE,"",Cotations!CQ71)</f>
        <v/>
      </c>
      <c r="OP71" s="517" t="str">
        <f>IF(A71=FALSE,"",IF(OM71="N/A",0,IF(INDEX(LISTES!$F$105:$F$109,MATCH(OM71,LISTES!$C$105:$C$109,0))="FIX",IF(INDEX(LISTES!$E$105:$E$109,MATCH(OM71,LISTES!$C$105:$C$109,0))=12,ON71/12*L71,ON71/365*M71),OO71*OL71)))</f>
        <v/>
      </c>
      <c r="OQ71" s="294" t="str">
        <f t="shared" si="557"/>
        <v/>
      </c>
      <c r="OR71" s="494" t="str">
        <f>IF(A71=FALSE,"",OQ71*Cotations!CR71)</f>
        <v/>
      </c>
      <c r="OS71" s="494" t="str">
        <f>IF(A71=FALSE,"",OQ71*Cotations!CS71)</f>
        <v/>
      </c>
      <c r="OT71" s="338" t="str">
        <f t="shared" si="558"/>
        <v/>
      </c>
      <c r="OU71" s="919" t="str">
        <f>IF(A71=FALSE,"",((OG71*TAXE)-(OG71*TAXE*OI71))+IF(OM71="N/A",0,IF(INDEX(LISTES!$F$105:$F$109,MATCH(OM71,LISTES!$C$105:$C$109,0))="FIX",ON71,OO71*OL71)))</f>
        <v/>
      </c>
      <c r="PA71" s="497" t="str">
        <f t="shared" si="559"/>
        <v/>
      </c>
      <c r="PB71" s="498" t="str">
        <f>IF(A71=FALSE,"",IF(LISTES!$A$17=1,Cotations!CT71,Cotations!$CU$4))</f>
        <v/>
      </c>
      <c r="PC71" s="499" t="str">
        <f t="shared" si="560"/>
        <v/>
      </c>
      <c r="PD71" s="499" t="str">
        <f t="shared" si="561"/>
        <v/>
      </c>
      <c r="PE71" s="500" t="str">
        <f t="shared" si="562"/>
        <v/>
      </c>
      <c r="PF71" s="501" t="str">
        <f>IF(A71=FALSE,"",Cotations!$CY$4*Y71)</f>
        <v/>
      </c>
      <c r="PG71" s="502" t="str">
        <f t="shared" si="563"/>
        <v/>
      </c>
      <c r="PH71" s="520" t="str">
        <f>IF(A71=FALSE,"",IF(Cotations!$CV$4="monthly",PG71/12*L71,PG71/365*M71))</f>
        <v/>
      </c>
      <c r="PI71" s="503" t="str">
        <f>IF(A71=FALSE,"",Cotations!$CZ$4)</f>
        <v/>
      </c>
      <c r="PJ71" s="502" t="str">
        <f t="shared" si="564"/>
        <v/>
      </c>
      <c r="PK71" s="502" t="str">
        <f t="shared" si="565"/>
        <v/>
      </c>
      <c r="PL71" s="504" t="str">
        <f t="shared" si="566"/>
        <v/>
      </c>
      <c r="PM71" s="505" t="str">
        <f>IF(A71=FALSE,"",Cotations!$DA$4)</f>
        <v/>
      </c>
      <c r="PN71" s="520" t="str">
        <f>IF(A71=FALSE,"",Cotations!$DB$4)</f>
        <v/>
      </c>
      <c r="PO71" s="503" t="str">
        <f>IF(A71=FALSE,"",Cotations!$DC$4)</f>
        <v/>
      </c>
      <c r="PP71" s="505" t="str">
        <f>IF(A71=FALSE,"",IF(PM71="N/A",0,IF(INDEX(LISTES!$F$105:$F$109,MATCH(PM71,LISTES!$C$105:$C$109,0))="FIX",IF(INDEX(LISTES!$E$105:$E$109,MATCH(PM71,LISTES!$C$105:$C$109,0))=12,PN71/12*L71,PN71/365*M71),PO71*PL71)))</f>
        <v/>
      </c>
      <c r="PQ71" s="504" t="str">
        <f t="shared" si="567"/>
        <v/>
      </c>
      <c r="PR71" s="505" t="str">
        <f>IF(A71=FALSE,"",PQ71*Cotations!$DD$4)</f>
        <v/>
      </c>
      <c r="PS71" s="505" t="str">
        <f>IF(A71=FALSE,"",PQ71*Cotations!$DE$4)</f>
        <v/>
      </c>
      <c r="PT71" s="506" t="str">
        <f t="shared" si="568"/>
        <v/>
      </c>
      <c r="PU71" s="919" t="str">
        <f>IF(A71=FALSE,"",((PG71*TAXE)-(PG71*TAXE*PI71))+IF(PM71="N/A",0,IF(INDEX(LISTES!$F$105:$F$109,MATCH(PM71,LISTES!$C$105:$C$109,0))="FIX",PN71,PO71*PL71)))</f>
        <v/>
      </c>
      <c r="QA71" s="492" t="str">
        <f t="shared" si="569"/>
        <v/>
      </c>
      <c r="QB71" s="491" t="str">
        <f>IF(A71=FALSE,"",IF(LISTES!$A$17=1,Cotations!CT71,Cotations!CU71))</f>
        <v/>
      </c>
      <c r="QC71" s="285" t="str">
        <f t="shared" si="570"/>
        <v/>
      </c>
      <c r="QD71" s="300"/>
      <c r="QE71" s="461" t="str">
        <f t="shared" si="571"/>
        <v/>
      </c>
      <c r="QF71" s="490" t="str">
        <f>IF(A71=FALSE,"",Cotations!CY71*AA71)</f>
        <v/>
      </c>
      <c r="QG71" s="300" t="str">
        <f t="shared" si="572"/>
        <v/>
      </c>
      <c r="QH71" s="522" t="str">
        <f>IF(A71=FALSE,"",IF(Cotations!CV71="monthly",QG71/12*L71,QG71/365*M71))</f>
        <v/>
      </c>
      <c r="QI71" s="489" t="str">
        <f>IF(A71=FALSE,"",IF(Cotations!CZ71="","",Cotations!CZ71))</f>
        <v/>
      </c>
      <c r="QJ71" s="300" t="str">
        <f t="shared" si="573"/>
        <v/>
      </c>
      <c r="QK71" s="300" t="str">
        <f t="shared" si="574"/>
        <v/>
      </c>
      <c r="QL71" s="919" t="str">
        <f t="shared" si="575"/>
        <v/>
      </c>
      <c r="QM71" s="517" t="str">
        <f>IF(A71=FALSE,"",Cotations!DA71)</f>
        <v/>
      </c>
      <c r="QN71" s="515" t="str">
        <f>IF(A71=FALSE,"",Cotations!DB71)</f>
        <v/>
      </c>
      <c r="QO71" s="493" t="str">
        <f>IF(A71=FALSE,"",Cotations!DC71)</f>
        <v/>
      </c>
      <c r="QP71" s="517" t="str">
        <f>IF(A71=FALSE,"",IF(QM71="N/A",0,IF(INDEX(LISTES!$F$105:$F$109,MATCH(QM71,LISTES!$C$105:$C$109,0))="FIX",IF(INDEX(LISTES!$E$105:$E$109,MATCH(QM71,LISTES!$C$105:$C$109,0))=12,QN71/12*L71,QN71/365*M71),QO71*QL71)))</f>
        <v/>
      </c>
      <c r="QQ71" s="294" t="str">
        <f t="shared" si="576"/>
        <v/>
      </c>
      <c r="QR71" s="494" t="str">
        <f>IF(A71=FALSE,"",QQ71*Cotations!DD71)</f>
        <v/>
      </c>
      <c r="QS71" s="494" t="str">
        <f>IF(A71=FALSE,"",QQ71*Cotations!DE71)</f>
        <v/>
      </c>
      <c r="QT71" s="338" t="str">
        <f t="shared" si="577"/>
        <v/>
      </c>
      <c r="QU71" s="919" t="str">
        <f>IF(A71=FALSE,"",((QG71*TAXE)-(QG71*TAXE*QI71))+IF(QM71="N/A",0,IF(INDEX(LISTES!$F$105:$F$109,MATCH(QM71,LISTES!$C$105:$C$109,0))="FIX",QN71,QO71*QL71)))</f>
        <v/>
      </c>
      <c r="RA71" s="497" t="str">
        <f t="shared" si="578"/>
        <v/>
      </c>
      <c r="RB71" s="498" t="str">
        <f>IF(A71=FALSE,"",IF(LISTES!$A$17=1,Cotations!DF71,Cotations!$DG$4))</f>
        <v/>
      </c>
      <c r="RC71" s="499" t="str">
        <f t="shared" si="579"/>
        <v/>
      </c>
      <c r="RD71" s="499" t="str">
        <f t="shared" si="580"/>
        <v/>
      </c>
      <c r="RE71" s="500" t="str">
        <f t="shared" si="581"/>
        <v/>
      </c>
      <c r="RF71" s="501" t="str">
        <f>IF(A71=FALSE,"",Cotations!$DK$4*Y71)</f>
        <v/>
      </c>
      <c r="RG71" s="502" t="str">
        <f t="shared" si="582"/>
        <v/>
      </c>
      <c r="RH71" s="520" t="str">
        <f>IF(A71=FALSE,"",IF(Cotations!$DH$4="monthly",RG71/12*L71,RG71/365*M71))</f>
        <v/>
      </c>
      <c r="RI71" s="503" t="str">
        <f>IF(A71=FALSE,"",Cotations!$DL$4)</f>
        <v/>
      </c>
      <c r="RJ71" s="502" t="str">
        <f t="shared" si="583"/>
        <v/>
      </c>
      <c r="RK71" s="502" t="str">
        <f t="shared" si="584"/>
        <v/>
      </c>
      <c r="RL71" s="504" t="str">
        <f t="shared" si="585"/>
        <v/>
      </c>
      <c r="RM71" s="505" t="str">
        <f>IF(A71=FALSE,"",Cotations!$DM$4)</f>
        <v/>
      </c>
      <c r="RN71" s="520" t="str">
        <f>IF(A71=FALSE,"",Cotations!$DN$4)</f>
        <v/>
      </c>
      <c r="RO71" s="503" t="str">
        <f>IF(A71=FALSE,"",Cotations!$DO$4)</f>
        <v/>
      </c>
      <c r="RP71" s="505" t="str">
        <f>IF(A71=FALSE,"",IF(RM71="N/A",0,IF(INDEX(LISTES!$F$105:$F$109,MATCH(RM71,LISTES!$C$105:$C$109,0))="FIX",IF(INDEX(LISTES!$E$105:$E$109,MATCH(RM71,LISTES!$C$105:$C$109,0))=12,RN71/12*L71,RN71/365*M71),RO71*RL71)))</f>
        <v/>
      </c>
      <c r="RQ71" s="504" t="str">
        <f t="shared" si="586"/>
        <v/>
      </c>
      <c r="RR71" s="505" t="str">
        <f>IF(A71=FALSE,"",RQ71*Cotations!$DP$4)</f>
        <v/>
      </c>
      <c r="RS71" s="505" t="str">
        <f>IF(A71=FALSE,"",RQ71*Cotations!$DQ$4)</f>
        <v/>
      </c>
      <c r="RT71" s="506" t="str">
        <f t="shared" si="587"/>
        <v/>
      </c>
      <c r="RU71" s="919" t="str">
        <f>IF(A71=FALSE,"",((RG71*TAXE)-(RG71*TAXE*RI71))+IF(RM71="N/A",0,IF(INDEX(LISTES!$F$105:$F$109,MATCH(RM71,LISTES!$C$105:$C$109,0))="FIX",RN71,RO71*RL71)))</f>
        <v/>
      </c>
      <c r="SA71" s="492" t="str">
        <f t="shared" si="588"/>
        <v/>
      </c>
      <c r="SB71" s="491" t="str">
        <f>IF(A71=FALSE,"",IF(LISTES!$A$17=1,Cotations!DF71,Cotations!DG71))</f>
        <v/>
      </c>
      <c r="SC71" s="285" t="str">
        <f t="shared" si="589"/>
        <v/>
      </c>
      <c r="SD71" s="300"/>
      <c r="SE71" s="461" t="str">
        <f t="shared" si="590"/>
        <v/>
      </c>
      <c r="SF71" s="490" t="str">
        <f>IF(A71=FALSE,"",Cotations!DK71*AA71)</f>
        <v/>
      </c>
      <c r="SG71" s="300" t="str">
        <f t="shared" si="591"/>
        <v/>
      </c>
      <c r="SH71" s="522" t="str">
        <f>IF(A71=FALSE,"",IF(Cotations!DH71="monthly",SG71/12*L71,SG71/365*M71))</f>
        <v/>
      </c>
      <c r="SI71" s="489" t="str">
        <f>IF(A71=FALSE,"",IF(Cotations!DL71="","",Cotations!DL71))</f>
        <v/>
      </c>
      <c r="SJ71" s="300" t="str">
        <f t="shared" si="592"/>
        <v/>
      </c>
      <c r="SK71" s="300" t="str">
        <f t="shared" si="593"/>
        <v/>
      </c>
      <c r="SL71" s="919" t="str">
        <f t="shared" si="594"/>
        <v/>
      </c>
      <c r="SM71" s="285" t="str">
        <f>IF(A71=FALSE,"",Cotations!DM71)</f>
        <v/>
      </c>
      <c r="SN71" s="515" t="str">
        <f>IF(A71=FALSE,"",Cotations!DN71)</f>
        <v/>
      </c>
      <c r="SO71" s="493" t="str">
        <f>IF(A71=FALSE,"",Cotations!DO71)</f>
        <v/>
      </c>
      <c r="SP71" s="517" t="str">
        <f>IF(A71=FALSE,"",IF(SM71="N/A",0,IF(INDEX(LISTES!$F$105:$F$109,MATCH(SM71,LISTES!$C$105:$C$109,0))="FIX",IF(INDEX(LISTES!$E$105:$E$109,MATCH(SM71,LISTES!$C$105:$C$109,0))=12,SN71/12*L71,SN71/365*M71),SO71*SL71)))</f>
        <v/>
      </c>
      <c r="SQ71" s="294" t="str">
        <f t="shared" si="595"/>
        <v/>
      </c>
      <c r="SR71" s="494" t="str">
        <f>IF(A71=FALSE,"",SQ71*Cotations!DP71)</f>
        <v/>
      </c>
      <c r="SS71" s="494" t="str">
        <f>IF(A71=FALSE,"",SQ71*Cotations!DQ71)</f>
        <v/>
      </c>
      <c r="ST71" s="338" t="str">
        <f t="shared" si="596"/>
        <v/>
      </c>
      <c r="SU71" s="919" t="str">
        <f>IF(A71=FALSE,"",((SG71*TAXE)-(SG71*TAXE*SI71))+IF(SM71="N/A",0,IF(INDEX(LISTES!$F$105:$F$109,MATCH(SM71,LISTES!$C$105:$C$109,0))="FIX",SN71,SO71*SL71)))</f>
        <v/>
      </c>
      <c r="TA71" s="492" t="str">
        <f>IF(A71=FALSE,"",Cotations!D71)</f>
        <v/>
      </c>
      <c r="TB71" s="491" t="str">
        <f>IF(A71=FALSE,"",IF(LISTES!$A$17=1,Cotations!DR71,Cotations!DS71))</f>
        <v/>
      </c>
      <c r="TC71" s="285" t="str">
        <f t="shared" si="597"/>
        <v/>
      </c>
      <c r="TD71" s="300" t="str">
        <f>IF(A71=FALSE,"",Detail!CQ71)</f>
        <v/>
      </c>
      <c r="TE71" s="461" t="str">
        <f t="shared" si="598"/>
        <v/>
      </c>
      <c r="TF71" s="490" t="str">
        <f>IF(A71=FALSE,"",IF(TA71="FIXE",Cotations!DU71,Cotations!DV71*Y71))</f>
        <v/>
      </c>
      <c r="TG71" s="300" t="str">
        <f t="shared" si="599"/>
        <v/>
      </c>
      <c r="TH71" s="522" t="str">
        <f>IF(A71=FALSE,"",IF(Cotations!DT71="monthly",TG71/12*L71,TG71/365*M71))</f>
        <v/>
      </c>
      <c r="TI71" s="489" t="str">
        <f>IF(A71=FALSE,"",IF(Cotations!DW71="","",Cotations!DW71))</f>
        <v/>
      </c>
      <c r="TJ71" s="300" t="str">
        <f t="shared" si="600"/>
        <v/>
      </c>
      <c r="TK71" s="300" t="str">
        <f t="shared" si="601"/>
        <v/>
      </c>
      <c r="TL71" s="919" t="str">
        <f t="shared" si="602"/>
        <v/>
      </c>
      <c r="TM71" s="517" t="str">
        <f>IF(A71=FALSE,"",Cotations!DX71)</f>
        <v/>
      </c>
      <c r="TN71" s="517" t="str">
        <f>IF(A71=FALSE,"",Cotations!DY71)</f>
        <v/>
      </c>
      <c r="TO71" s="493" t="str">
        <f>IF(A71=FALSE,"",Cotations!DZ71)</f>
        <v/>
      </c>
      <c r="TP71" s="517" t="str">
        <f>IF(A71=FALSE,"",IF(TM71="N/A",0,IF(INDEX(LISTES!$F$105:$F$109,MATCH(TM71,LISTES!$C$105:$C$109,0))="FIX",IF(INDEX(LISTES!$E$105:$E$109,MATCH(TM71,LISTES!$C$105:$C$109,0))=12,TN71/12*L71,TN71/365*M71),TO71*TL71)))</f>
        <v/>
      </c>
      <c r="TQ71" s="294" t="str">
        <f t="shared" si="603"/>
        <v/>
      </c>
      <c r="TR71" s="494" t="str">
        <f>IF(A71=FALSE,"",TQ71*Cotations!EA71)</f>
        <v/>
      </c>
      <c r="TS71" s="494" t="str">
        <f>IF(A71=FALSE,"",TQ71*Cotations!EB71)</f>
        <v/>
      </c>
      <c r="TT71" s="338" t="str">
        <f t="shared" si="604"/>
        <v/>
      </c>
      <c r="TU71" s="919" t="str">
        <f>IF(A71=FALSE,"",((TG71*(1+TAXE)-(TG71*(1+TAXE)*TI71))+IF(TM71="N/A",0,IF(INDEX(LISTES!$F$105:$F$109,MATCH(TM71,LISTES!$C$105:$C$109,0))="FIX",TN71,TO71*TL71))))</f>
        <v/>
      </c>
      <c r="UA71" s="492" t="str">
        <f>IF(A71=FALSE,"",Cotations!D71)</f>
        <v/>
      </c>
      <c r="UB71" s="491" t="str">
        <f>IF(A71=FALSE,"",IF(LISTES!$A$17=1,Cotations!EC71,Cotations!ED71))</f>
        <v/>
      </c>
      <c r="UC71" s="285" t="str">
        <f t="shared" si="605"/>
        <v/>
      </c>
      <c r="UD71" s="300" t="str">
        <f>IF(A71=FALSE,"",Detail!CY71)</f>
        <v/>
      </c>
      <c r="UE71" s="461" t="str">
        <f t="shared" si="606"/>
        <v/>
      </c>
      <c r="UF71" s="490" t="str">
        <f>IF(A71=FALSE,"",IF(UA71="FIXE",Cotations!EF71,Cotations!EG71*Y71))</f>
        <v/>
      </c>
      <c r="UG71" s="300" t="str">
        <f t="shared" si="607"/>
        <v/>
      </c>
      <c r="UH71" s="522" t="str">
        <f>IF(A71=FALSE,"",IF(Cotations!EE71="monthly",UG71/12*L71,UG71/365*M71))</f>
        <v/>
      </c>
      <c r="UI71" s="489" t="str">
        <f>IF(A71=FALSE,"",IF(Cotations!EH71="","",Cotations!EH71))</f>
        <v/>
      </c>
      <c r="UJ71" s="300" t="str">
        <f t="shared" si="608"/>
        <v/>
      </c>
      <c r="UK71" s="300" t="str">
        <f t="shared" si="609"/>
        <v/>
      </c>
      <c r="UL71" s="919" t="str">
        <f t="shared" si="610"/>
        <v/>
      </c>
      <c r="UM71" s="517" t="str">
        <f>IF(A71=FALSE,"",Cotations!EI71)</f>
        <v/>
      </c>
      <c r="UN71" s="517" t="str">
        <f>IF(A71=FALSE,"",Cotations!EJ71)</f>
        <v/>
      </c>
      <c r="UO71" s="493" t="str">
        <f>IF(A71=FALSE,"",Cotations!EK71)</f>
        <v/>
      </c>
      <c r="UP71" s="517" t="str">
        <f>IF(A71=FALSE,"",IF(UM71="N/A",0,IF(INDEX(LISTES!$F$105:$F$109,MATCH(UM71,LISTES!$C$105:$C$109,0))="FIX",IF(INDEX(LISTES!$E$105:$E$109,MATCH(UM71,LISTES!$C$105:$C$109,0))=12,UN71/12*L71,UN71/365*M71),UO71*UL71)))</f>
        <v/>
      </c>
      <c r="UQ71" s="294" t="str">
        <f t="shared" si="611"/>
        <v/>
      </c>
      <c r="UR71" s="494" t="str">
        <f>IF(A71=FALSE,"",UQ71*Cotations!EL71)</f>
        <v/>
      </c>
      <c r="US71" s="494" t="str">
        <f>IF(A71=FALSE,"",UQ71*Cotations!EM71)</f>
        <v/>
      </c>
      <c r="UT71" s="338" t="str">
        <f t="shared" si="612"/>
        <v/>
      </c>
      <c r="UU71" s="919" t="str">
        <f>IF(A71=FALSE,"",((UG71*(1+TAXE)-(UG71*(1+TAXE)*UI71))+IF(UM71="N/A",0,IF(INDEX(LISTES!$F$105:$F$109,MATCH(UM71,LISTES!$C$105:$C$109,0))="FIX",UN71,UO71*UL71))))</f>
        <v/>
      </c>
      <c r="VA71" s="492" t="str">
        <f>IF(A71=FALSE,"",Cotations!D71)</f>
        <v/>
      </c>
      <c r="VB71" s="519" t="str">
        <f>IF(A71=FALSE,"",IF(LISTES!$A$17=1,Cotations!EN71,Cotations!EO71))</f>
        <v/>
      </c>
      <c r="VC71" s="291" t="str">
        <f t="shared" si="613"/>
        <v/>
      </c>
      <c r="VD71" s="291" t="str">
        <f t="shared" si="614"/>
        <v/>
      </c>
      <c r="VE71" s="291"/>
      <c r="VF71" s="463"/>
      <c r="VG71" s="463" t="str">
        <f t="shared" si="615"/>
        <v/>
      </c>
      <c r="VH71" s="522" t="str">
        <f>IF(A71=FALSE,"",IF(Cotations!$AQ$4="monthly",VG71/12*L71,VG71/365*M71))</f>
        <v/>
      </c>
      <c r="VI71" s="489" t="str">
        <f>IF(A71=FALSE,"",Cotations!$AR$4)</f>
        <v/>
      </c>
      <c r="VJ71" s="300" t="str">
        <f t="shared" si="616"/>
        <v/>
      </c>
      <c r="VK71" s="300" t="str">
        <f t="shared" si="617"/>
        <v/>
      </c>
      <c r="VL71" s="294" t="str">
        <f t="shared" si="618"/>
        <v/>
      </c>
      <c r="VM71" s="494" t="str">
        <f>IF(A71=FALSE,"",Cotations!$AS$4)</f>
        <v/>
      </c>
      <c r="VN71" s="494" t="str">
        <f>IF(A71=FALSE,"",Cotations!$AT$4)</f>
        <v/>
      </c>
      <c r="VO71" s="489" t="str">
        <f>IF(A71=FALSE,"",Cotations!$AU$4)</f>
        <v/>
      </c>
      <c r="VP71" s="494" t="str">
        <f>IF(A71=FALSE,"",IF(VM71="N/A",0,IF(INDEX(LISTES!$F$105:$F$109,MATCH(VM71,LISTES!$C$105:$C$109,0))="FIX",IF(INDEX(LISTES!$E$105:$E$109,MATCH(VM71,LISTES!$C$105:$C$109,0))=12,VN71/12*L71,VN71/365*M71),VO71*VL71)))</f>
        <v/>
      </c>
      <c r="VQ71" s="294" t="str">
        <f t="shared" si="619"/>
        <v/>
      </c>
      <c r="VR71" s="494" t="str">
        <f>IF(A71=FALSE,"",VQ71*Cotations!$AV$4)</f>
        <v/>
      </c>
      <c r="VS71" s="494" t="str">
        <f>IF(A71=FALSE,"",VQ71*Cotations!$AW$4)</f>
        <v/>
      </c>
      <c r="VT71" s="465" t="str">
        <f t="shared" si="620"/>
        <v/>
      </c>
      <c r="VU71" s="919" t="str">
        <f>IF(A71=FALSE,"",((VG71*TAXE)-(VG71*TAXE*VI71))+IF(VM71="N/A",0,IF(INDEX(LISTES!$F$105:$F$109,MATCH(VM71,LISTES!$C$105:$C$109,0))="FIX",VN71,VO71*VL71)))</f>
        <v/>
      </c>
      <c r="WA71" s="492" t="str">
        <f>IF(A71=FALSE,"",Cotations!D71)</f>
        <v/>
      </c>
      <c r="WB71" s="519" t="str">
        <f>IF(A71=FALSE,"",IF(LISTES!$A$17=1,Cotations!EW71,Cotations!EX71))</f>
        <v/>
      </c>
      <c r="WC71" s="291" t="str">
        <f t="shared" si="621"/>
        <v/>
      </c>
      <c r="WD71" s="291" t="str">
        <f t="shared" si="622"/>
        <v/>
      </c>
      <c r="WE71" s="291"/>
      <c r="WF71" s="463"/>
      <c r="WG71" s="463" t="str">
        <f t="shared" si="623"/>
        <v/>
      </c>
      <c r="WH71" s="522" t="str">
        <f>IF(A71=FALSE,"",IF(Cotations!$AQ$4="monthly",WG71/12*L71,WG71/365*M71))</f>
        <v/>
      </c>
      <c r="WI71" s="489" t="str">
        <f>IF(A71=FALSE,"",Cotations!$AR$4)</f>
        <v/>
      </c>
      <c r="WJ71" s="300" t="str">
        <f t="shared" si="624"/>
        <v/>
      </c>
      <c r="WK71" s="300" t="str">
        <f t="shared" si="625"/>
        <v/>
      </c>
      <c r="WL71" s="294" t="str">
        <f t="shared" si="626"/>
        <v/>
      </c>
      <c r="WM71" s="494" t="str">
        <f>IF(A71=FALSE,"",Cotations!$AS$4)</f>
        <v/>
      </c>
      <c r="WN71" s="494" t="str">
        <f>IF(A71=FALSE,"",Cotations!$AT$4)</f>
        <v/>
      </c>
      <c r="WO71" s="489" t="str">
        <f>IF(A71=FALSE,"",Cotations!$AU$4)</f>
        <v/>
      </c>
      <c r="WP71" s="494" t="str">
        <f>IF(A71=FALSE,"",IF(WM71="N/A",0,IF(INDEX(LISTES!$F$105:$F$109,MATCH(WM71,LISTES!$C$105:$C$109,0))="FIX",IF(INDEX(LISTES!$E$105:$E$109,MATCH(WM71,LISTES!$C$105:$C$109,0))=12,WN71/12*L71,WN71/365*M71),WO71*WL71)))</f>
        <v/>
      </c>
      <c r="WQ71" s="294" t="str">
        <f t="shared" si="627"/>
        <v/>
      </c>
      <c r="WR71" s="494" t="str">
        <f>IF(A71=FALSE,"",WQ71*Cotations!$AV$4)</f>
        <v/>
      </c>
      <c r="WS71" s="494" t="str">
        <f>IF(A71=FALSE,"",WQ71*Cotations!$AW$4)</f>
        <v/>
      </c>
      <c r="WT71" s="465" t="str">
        <f t="shared" si="628"/>
        <v/>
      </c>
      <c r="WU71" s="919" t="str">
        <f>IF(A71=FALSE,"",((WG71*TAXE)-(WG71*TAXE*WI71))+IF(WM71="N/A",0,IF(INDEX(LISTES!$F$105:$F$109,MATCH(WM71,LISTES!$C$105:$C$109,0))="FIX",WN71,WO71*WL71)))</f>
        <v/>
      </c>
    </row>
    <row r="72" spans="1:619">
      <c r="A72" s="942" t="b">
        <f t="shared" si="433"/>
        <v>0</v>
      </c>
      <c r="B72" s="942" t="b">
        <f>IF(NAMES!$B$9=TRUE,TRUE,FALSE)</f>
        <v>1</v>
      </c>
      <c r="C72" s="942" t="b">
        <f t="shared" si="413"/>
        <v>0</v>
      </c>
      <c r="D72" s="942" t="b">
        <f t="shared" si="414"/>
        <v>0</v>
      </c>
      <c r="E72" s="274" t="b">
        <f>IF(Cotations!C72="","",Cotations!C72)</f>
        <v>0</v>
      </c>
      <c r="F72" s="274" t="str">
        <f>IF(Cotations!D72="","",Cotations!D72)</f>
        <v>PROP</v>
      </c>
      <c r="G72" s="274" t="str">
        <f>IF(Cotations!E72="","",Cotations!E72)</f>
        <v>2016-2017!</v>
      </c>
      <c r="H72" s="274" t="str">
        <f>IF(Cotations!F72="","",Cotations!F72)</f>
        <v>SINGLE</v>
      </c>
      <c r="I72" s="274" t="str">
        <f>IF(Cotations!G72="","",Cotations!G72)</f>
        <v/>
      </c>
      <c r="J72" s="274" t="str">
        <f>IF(Cotations!H72="","",Cotations!H72)</f>
        <v/>
      </c>
      <c r="K72" s="274" t="str">
        <f>IF(Cotations!I72="","",Cotations!I72)</f>
        <v/>
      </c>
      <c r="L72" s="274" t="str">
        <f>IF(A72=FALSE,"",IF(Cotations!N72="","",Cotations!N72))</f>
        <v/>
      </c>
      <c r="M72" s="274" t="str">
        <f>IF(Cotations!P72="","",Cotations!P72)</f>
        <v/>
      </c>
      <c r="N72" s="724" t="str">
        <f>IF(NAMES!$B$10=TRUE,Cotations!J72,Cotations!L72)</f>
        <v/>
      </c>
      <c r="O72" s="724" t="str">
        <f>IF(NAMES!$B$10=TRUE,Cotations!K72,Cotations!M72)</f>
        <v/>
      </c>
      <c r="P72" s="943" t="str">
        <f t="shared" si="415"/>
        <v/>
      </c>
      <c r="Q72" s="724" t="str">
        <f>IF(A72=FALSE,"",IF(Crewlist!Y72="","",Crewlist!Y72))</f>
        <v/>
      </c>
      <c r="R72" s="78" t="str">
        <f>IF(Cotations!U72="","",Cotations!U72)</f>
        <v/>
      </c>
      <c r="S72" s="943" t="str">
        <f t="shared" si="416"/>
        <v/>
      </c>
      <c r="T72" s="919" t="str">
        <f>IF(A72=FALSE,"",VLOOKUP($U$15:$U$120,Currency!$A$2:$D$10,4,0)*Crewlist!N72)</f>
        <v/>
      </c>
      <c r="U72" s="1355" t="str">
        <f>IF(A72=FALSE,"",IF(IT72=0,Crewlist!M72&amp;"/"&amp;EX72,Crewlist!M72&amp;"/"&amp;IT72))</f>
        <v/>
      </c>
      <c r="V72" s="919" t="str">
        <f>IF(A72=FALSE,"",VLOOKUP($U$15:$U$120,Currency!$A$2:$D$10,4,0)*Detail!Q72)</f>
        <v/>
      </c>
      <c r="W72" s="1355" t="str">
        <f>IF(A72=FALSE,"",IF(IT72=0,Detail!R72&amp;"/"&amp;EX72,Detail!R72&amp;"/"&amp;IT72))</f>
        <v/>
      </c>
      <c r="X72" s="919" t="str">
        <f>IF(A72=FALSE,"",IF(LISTES!$C$17="Crewlist",Calcul!T72,Calcul!V72))</f>
        <v/>
      </c>
      <c r="Y72" s="758" t="str">
        <f t="shared" si="417"/>
        <v/>
      </c>
      <c r="Z72" s="758" t="str">
        <f>IF(A72=FALSE,"",IF(X72=0,0,IF((Cotations!BC72*12*X72)&lt;50000,50000,(12*X72))))</f>
        <v/>
      </c>
      <c r="AA72" s="758" t="str">
        <f t="shared" si="418"/>
        <v/>
      </c>
      <c r="AB72" s="758" t="str">
        <f>IF(A72=FALSE,"",IF(Crewlist!O72=0,"",Crewlist!O72))</f>
        <v/>
      </c>
      <c r="AC72" s="758" t="str">
        <f>IF(I72="","",VLOOKUP($AB$15:$AB$120,Currency!$A$15:$B$34,2,0))</f>
        <v/>
      </c>
      <c r="AD72" s="758" t="str">
        <f t="shared" si="419"/>
        <v/>
      </c>
      <c r="AE72" s="758" t="str">
        <f t="shared" si="420"/>
        <v/>
      </c>
      <c r="AF72" s="758" t="str">
        <f t="shared" si="421"/>
        <v/>
      </c>
      <c r="AG72" s="758" t="str">
        <f t="shared" si="422"/>
        <v/>
      </c>
      <c r="AH72" s="1355" t="str">
        <f t="shared" si="434"/>
        <v/>
      </c>
      <c r="AI72" s="919" t="str">
        <f t="shared" si="423"/>
        <v/>
      </c>
      <c r="AJ72" s="1382" t="str">
        <f t="shared" si="424"/>
        <v/>
      </c>
      <c r="AK72" s="1382" t="str">
        <f t="shared" si="425"/>
        <v/>
      </c>
      <c r="AL72" s="238" t="str">
        <f t="shared" si="435"/>
        <v/>
      </c>
      <c r="AM72" s="238" t="str">
        <f t="shared" si="436"/>
        <v/>
      </c>
      <c r="AN72" s="1374" t="str">
        <f t="shared" si="437"/>
        <v/>
      </c>
      <c r="AO72" s="238" t="str">
        <f t="shared" si="438"/>
        <v/>
      </c>
      <c r="AP72" s="342" t="str">
        <f>IF(A72=FALSE,"",INDEX(Rates!$Z$5:$Z$367,MATCH(EB72,colchoice,0)))</f>
        <v/>
      </c>
      <c r="AQ72" s="238" t="str">
        <f t="shared" si="439"/>
        <v/>
      </c>
      <c r="AR72" s="238" t="str">
        <f t="shared" si="440"/>
        <v/>
      </c>
      <c r="AS72" s="238" t="str">
        <f t="shared" si="441"/>
        <v/>
      </c>
      <c r="AT72" s="238" t="str">
        <f t="shared" si="442"/>
        <v/>
      </c>
      <c r="AU72" s="238" t="str">
        <f t="shared" si="443"/>
        <v/>
      </c>
      <c r="AV72" s="238" t="str">
        <f t="shared" si="429"/>
        <v/>
      </c>
      <c r="AW72" s="238" t="str">
        <f t="shared" si="444"/>
        <v/>
      </c>
      <c r="AX72" s="238" t="str">
        <f t="shared" si="445"/>
        <v/>
      </c>
      <c r="AY72" s="238" t="str">
        <f t="shared" si="446"/>
        <v/>
      </c>
      <c r="AZ72" s="238" t="str">
        <f t="shared" si="447"/>
        <v/>
      </c>
      <c r="BA72" s="238" t="str">
        <f t="shared" si="448"/>
        <v/>
      </c>
      <c r="BB72" s="552" t="str">
        <f t="shared" si="449"/>
        <v/>
      </c>
      <c r="BC72" s="347" t="str">
        <f t="shared" si="450"/>
        <v/>
      </c>
      <c r="BD72" s="239" t="str">
        <f t="shared" si="430"/>
        <v/>
      </c>
      <c r="BE72" s="239" t="str">
        <f>IF(A72=FALSE,"",IF(ALLTHESAME=TRUE,IF(DF72&lt;&gt;$BC$7,0,INDEX(DD72:DZ72,1,MATCH(Structure!$D$12,$DD$14:$DZ$14,0))),IF(EC72&lt;&gt;$BC$7,0,INDEX(EA72:EZ72,1,MATCH(Structure!$D$12,$EA$14:$EZ$14,0)))))</f>
        <v/>
      </c>
      <c r="BF72" s="239" t="str">
        <f>IF(A72=FALSE,"",IF(ALLTHESAME=TRUE,IF(FC72&lt;&gt;$BC$7,0,INDEX(FA72:FZ72,1,MATCH(Structure!$D$12,$FA$14:$FZ$14,0))),IF(GC72&lt;&gt;$BC$7,0,INDEX(GA72:GZ72,1,MATCH(Structure!$D$12,$GA$14:$GZ$14,0)))))</f>
        <v/>
      </c>
      <c r="BG72" s="239" t="str">
        <f>IF(A72=FALSE,"",IF(ALLTHESAME=TRUE,IF(VC72&lt;&gt;$BC$7,0,INDEX(VA72:VZ72,1,MATCH(Structure!$D$12,$VA$14:$VZ$14,0))),IF(VC72&lt;&gt;$BC$7,0,INDEX(VA72:VZ72,1,MATCH(Structure!$D$12,$VA$14:$VZ$14,0)))))</f>
        <v/>
      </c>
      <c r="BH72" s="239" t="str">
        <f>IF(A72=FALSE,"",IF(ALLTHESAME=TRUE,IF(WC72&lt;&gt;$BC$7,0,INDEX(WA72:WY72,1,MATCH(Structure!$D$12,$WA$14:$WZ$14,0))),IF(WC72&lt;&gt;$BC$7,0,INDEX(WA72:WZ72,1,MATCH(Structure!$D$12,$WA$14:$WZ$14,0)))))</f>
        <v/>
      </c>
      <c r="BI72" s="763" t="str">
        <f>IF(A72=FALSE,"",IF(ALLTHESAME=TRUE,IF(HC72&lt;&gt;$BC$7,0,INDEX(HA72:HZ72,1,MATCH(Structure!$D$12,$HA$14:$HZ$14,0)))+TK72,IF(IC72&lt;&gt;$BC$7,0,INDEX(IA72:IZ72,1,MATCH(Structure!$D$12,$IA$14:$IZ$14,0)))+TK72))</f>
        <v/>
      </c>
      <c r="BJ72" s="239" t="str">
        <f>IF(A72=FALSE,"",IF(ALLTHESAME=TRUE,IF(JC72&lt;&gt;$BC$7,0,INDEX(JA72:JZ72,1,MATCH(Structure!$D$12,$JA$14:$JZ$14,0))),IF(KC72&lt;&gt;$BC$7,0,INDEX(KA72:KZ72,1,MATCH(Structure!$D$12,$KA$14:$KZ$14,0)))))</f>
        <v/>
      </c>
      <c r="BK72" s="763" t="str">
        <f>IF(A72=FALSE,"",IF(ALLTHESAME=TRUE,IF(LC72&lt;&gt;$BC$7,0,INDEX(LA72:LZ72,1,MATCH(Structure!$D$12,$LA$14:$LZ$14,0)))+UK72,IF(MC72&lt;&gt;$BC$7,0,INDEX(MA72:MZ72,1,MATCH(Structure!$D$12,$MA$14:$MZ$14,0)))+UK72))</f>
        <v/>
      </c>
      <c r="BL72" s="239" t="str">
        <f>IF(A72=FALSE,"",IF(ALLTHESAME=TRUE,IF(NC72&lt;&gt;$BC$7,0,INDEX(NA72:NZ72,1,MATCH(Structure!$D$12,$NA$14:$NZ$14,0))),IF(OC72&lt;&gt;$BC$7,0,INDEX(OA72:OZ72,1,MATCH(Structure!$D$12,$OA$14:$OZ$14,0)))))</f>
        <v/>
      </c>
      <c r="BM72" s="239" t="str">
        <f>IF(A72=FALSE,"",IF(ALLTHESAME=TRUE,IF(PC72&lt;&gt;$BC$7,0,INDEX(PA72:PZ72,1,MATCH(Structure!$D$12,$PA$14:$PZ$14,0))),IF(QC72&lt;&gt;$BC$7,0,INDEX(QA72:QZ72,1,MATCH(Structure!$D$12,$QA$14:$QZ$14,0)))))</f>
        <v/>
      </c>
      <c r="BN72" s="341" t="str">
        <f>IF(A72=FALSE,"",IF(ALLTHESAME=TRUE,IF(RC72&lt;&gt;$BC$7,0,INDEX(RA72:RZ72,1,MATCH(Structure!$D$12,$RA$14:$RZ$14,0))),IF(SC72&lt;&gt;$BC$7,0,INDEX(SA72:TA72,1,MATCH(Structure!$D$12,$SA$14:$TA$14,0)))))</f>
        <v/>
      </c>
      <c r="BO72" s="507" t="str">
        <f t="shared" si="451"/>
        <v/>
      </c>
      <c r="BP72" s="239" t="str">
        <f t="shared" si="452"/>
        <v/>
      </c>
      <c r="BQ72" s="239" t="str">
        <f>IF(A72=FALSE,"",IF(ALLTHESAME=TRUE,IF(DF72&lt;&gt;$BO$7,0,INDEX(DD72:DZ72,1,MATCH(Structure!$D$12,$DD$14:$DZ$14,0))),IF(EC72&lt;&gt;$BO$7,0,INDEX(EA72:EZ72,1,MATCH(Structure!$D$12,$EA$14:$EZ$14,0)))))</f>
        <v/>
      </c>
      <c r="BR72" s="239" t="str">
        <f>IF(A72=FALSE,"",IF(ALLTHESAME=TRUE,IF(FC72&lt;&gt;$BO$7,0,INDEX(FA72:FZ72,1,MATCH(Structure!$D$12,$FA$14:$FZ$14,0))),IF(GC72&lt;&gt;$BO$7,0,INDEX(GA72:GZ72,1,MATCH(Structure!$D$12,$GA$14:$GZ$14,0)))))</f>
        <v/>
      </c>
      <c r="BS72" s="239" t="str">
        <f>IF(A72=FALSE,"",IF(ALLTHESAME=TRUE,IF(HC72&lt;&gt;$BO$7,0,INDEX(HA72:HZ72,1,MATCH(Structure!$D$12,$HA$14:$HZ$14,0))),IF(IC72&lt;&gt;$BO$7,0,INDEX(IA72:IZ72,1,MATCH(Structure!$D$12,$IA$14:$IZ$14,0)))))</f>
        <v/>
      </c>
      <c r="BT72" s="239" t="str">
        <f>IF(A72=FALSE,"",IF(ALLTHESAME=TRUE,IF(JC72&lt;&gt;$BO$7,0,INDEX(JA72:JZ72,1,MATCH(Structure!$D$12,$JA$14:$JZ$14,0))),IF(KC72&lt;&gt;$BO$7,0,INDEX(KA72:KZ72,1,MATCH(Structure!$D$12,$KA$14:$KZ$14,0)))))</f>
        <v/>
      </c>
      <c r="BU72" s="239" t="str">
        <f>IF(A72=FALSE,"",IF(ALLTHESAME=TRUE,IF(LC72&lt;&gt;$BO$7,0,INDEX(LA72:LZ72,1,MATCH(Structure!$D$12,$LA$14:$LZ$14,0))),IF(MC72&lt;&gt;$BO$7,0,INDEX(MA72:MZ72,1,MATCH(Structure!$D$12,$MA$14:$MZ$14,0)))))</f>
        <v/>
      </c>
      <c r="BV72" s="239" t="str">
        <f>IF(A72=FALSE,"",IF(ALLTHESAME=TRUE,IF(NC72&lt;&gt;$BO$7,0,INDEX(NA72:NZ72,1,MATCH(Structure!$D$12,$NA$14:$NZ$14,0))),IF(OC72&lt;&gt;$BO$7,0,INDEX(OA72:OZ72,1,MATCH(Structure!$D$12,$OA$14:$OZ$14,0)))))</f>
        <v/>
      </c>
      <c r="BW72" s="239" t="str">
        <f>IF(A72=FALSE,"",IF(ALLTHESAME=TRUE,IF(PC72&lt;&gt;$BO$7,0,INDEX(PA72:PZ72,1,MATCH(Structure!$D$12,$PA$14:$PZ$14,0))),IF(QC72&lt;&gt;$BO$7,0,INDEX(QA72:QZ72,1,MATCH(Structure!$D$12,$QA$14:$QZ$14,0)))))</f>
        <v/>
      </c>
      <c r="BX72" s="341" t="str">
        <f>IF(A72=FALSE,"",IF(ALLTHESAME=TRUE,IF(RC72&lt;&gt;$BO$7,0,INDEX(RA72:RZ72,1,MATCH(Structure!$D$12,$RA$14:$RZ$14,0))),IF(SC72&lt;&gt;$BO$7,0,INDEX(SA72:TA72,1,MATCH(Structure!$D$12,$SA$14:$TA$14,0)))))</f>
        <v/>
      </c>
      <c r="BY72" s="347" t="str">
        <f t="shared" si="453"/>
        <v/>
      </c>
      <c r="BZ72" s="507" t="str">
        <f t="shared" si="454"/>
        <v/>
      </c>
      <c r="CA72" s="239" t="str">
        <f t="shared" si="455"/>
        <v/>
      </c>
      <c r="CB72" s="239" t="str">
        <f>IF(A72=FALSE,"",IF(ALLTHESAME=TRUE,INDEX(DD72:DZ72,MATCH(DF72,DF72:DF177,0),MATCH(Structure!$D$17,$DD$14:$DZ$14,0)),INDEX(EA72:EZ72,MATCH(EC72,EC72:EC177,0),MATCH(Structure!$D$17,$EA$14:$EZ$14,0))))</f>
        <v/>
      </c>
      <c r="CC72" s="239" t="str">
        <f>IF(A72=FALSE,"",IF(ALLTHESAME=TRUE,INDEX(FA72:FZ72,MATCH(FC72,FC72:FC177,0),MATCH(Structure!$D$17,$FA$14:$FZ$14,0)),INDEX(GA72:GZ72,MATCH(GC72,GC72:GC177,0),MATCH(Structure!$D$17,$GA$14:$GZ$14,0))))</f>
        <v/>
      </c>
      <c r="CD72" s="239" t="str">
        <f>IF(A72=FALSE,"",IF(ALLTHESAME=TRUE,INDEX(HA72:HZ72,MATCH(HC72,HC72:HC177,0),MATCH(Structure!$D$17,$HA$14:$HZ$14,0)),INDEX(IA72:IZ72,MATCH(IC72,IC72:IC177,0),MATCH(Structure!$D$17,$IA$14:$IZ$14,0))))</f>
        <v/>
      </c>
      <c r="CE72" s="239" t="str">
        <f>IF(A72=FALSE,"",IF(ALLTHESAME=TRUE,INDEX(JA72:JZ72,MATCH(JC72,JC72:JC177,0),MATCH(Structure!$D$17,$JA$14:$JZ$14,0)),INDEX(KA72:KZ72,MATCH(KC72,KC72:KC177,0),MATCH(Structure!$D$17,$KA$14:$KZ$14,0))))</f>
        <v/>
      </c>
      <c r="CF72" s="239" t="str">
        <f>IF(A72=FALSE,"",IF(ALLTHESAME=TRUE,INDEX(LA72:LZ72,MATCH(LC72,LC72:LC177,0),MATCH(Structure!$D$17,$LA$14:$LZ$14,0)),INDEX(MA72:MZ72,MATCH(MC72,MC72:MC177,0),MATCH(Structure!$D$17,$MA$14:$MZ$14,0))))</f>
        <v/>
      </c>
      <c r="CG72" s="239" t="str">
        <f>IF(A72=FALSE,"",IF(ALLTHESAME=TRUE,INDEX(NA72:NZ72,MATCH(NC72,NC72:NC177,0),MATCH(Structure!$D$17,$NA$14:$NZ$14,0)),INDEX(OA72:OZ72,MATCH(OC72,OC72:OC177,0),MATCH(Structure!$D$17,$OA$14:$OZ$14,0))))</f>
        <v/>
      </c>
      <c r="CH72" s="239" t="str">
        <f>IF(A72=FALSE,"",IF(ALLTHESAME=TRUE,INDEX(PA72:PZ72,MATCH(PC72,PC72:PC177,0),MATCH(Structure!$D$17,$PA$14:$PZ$14,0)),INDEX(QA72:QZ72,MATCH(QC72,QC72:QC177,0),MATCH(Structure!$D$17,$QA$14:$QZ$14,0))))</f>
        <v/>
      </c>
      <c r="CI72" s="341" t="str">
        <f>IF(A72=FALSE,"",IF(ALLTHESAME=TRUE,INDEX(RA72:RZ72,MATCH(RC72,RC72:RC177,0),MATCH(Structure!$D$17,$RA$14:$RZ$14,0)),INDEX(SA72:TC72,MATCH(SC72,SC72:SC177,0),MATCH(Structure!$D$17,$SA$14:$TC$14,0))))</f>
        <v/>
      </c>
      <c r="CJ72" s="347"/>
      <c r="CK72" s="239" t="str">
        <f t="shared" si="456"/>
        <v/>
      </c>
      <c r="CL72" s="239" t="str">
        <f>IF(A72=FALSE,"",IF(ALLTHESAME=TRUE,INDEX(DD72:DZ72,MATCH(DF72,DF72:DF177,0),MATCH(Structure!$D$22,$DD$14:$DZ$14,0)),INDEX(EA72:EZ72,MATCH(EC72,EC72:EC177,0),MATCH(Structure!$D$22,$EA$14:$EZ$14,0))))</f>
        <v/>
      </c>
      <c r="CM72" s="239" t="str">
        <f>IF(A72=FALSE,"",IF(ALLTHESAME=TRUE,INDEX(FA72:FZ72,MATCH(FC72,FC72:FC177,0),MATCH(Structure!$D$22,$FA$14:$FZ$14,0)),INDEX(GA72:GZ72,MATCH(GC72,GC72:GC177,0),MATCH(Structure!$D$22,$GA$14:$GZ$14,0))))</f>
        <v/>
      </c>
      <c r="CN72" s="239" t="str">
        <f>IF(A72=FALSE,"",IF(ALLTHESAME=TRUE,INDEX(HA72:HZ72,MATCH(HC72,HC72:HC177,0),MATCH(Structure!$D$22,$HA$14:$HZ$14,0)),INDEX(IA72:IZ72,MATCH(IC72,IC72:IC177,0),MATCH(Structure!$D$22,$IA$14:$IZ$14,0))))</f>
        <v/>
      </c>
      <c r="CO72" s="239" t="str">
        <f>IF(A72=FALSE,"",IF(ALLTHESAME=TRUE,INDEX(JA72:JZ72,MATCH(JC72,JC72:JC177,0),MATCH(Structure!$D$22,$JA$14:$JZ$14,0)),INDEX(KA72:KZ72,MATCH(KC72,KC72:KC177,0),MATCH(Structure!$D$22,$KA$14:$KZ$14,0))))</f>
        <v/>
      </c>
      <c r="CP72" s="239" t="str">
        <f>IF(A72=FALSE,"",IF(ALLTHESAME=TRUE,INDEX(LA72:LZ72,MATCH(LC72,LC72:LC177,0),MATCH(Structure!$D$22,$LA$14:$LZ$14,0)),INDEX(MA72:MZ72,MATCH(MC72,MC72:MC177,0),MATCH(Structure!$D$22,$MA$14:$MZ$14,0))))</f>
        <v/>
      </c>
      <c r="CQ72" s="239" t="str">
        <f>IF(A72=FALSE,"",IF(ALLTHESAME=TRUE,INDEX(NA72:NZ72,MATCH(NC72,NC72:NC177,0),MATCH(Structure!$D$22,$NA$14:$NZ$14,0)),INDEX(OA72:OZ72,MATCH(OC72,OC72:OC177,0),MATCH(Structure!$D$22,$OA$14:$OZ$14,0))))</f>
        <v/>
      </c>
      <c r="CR72" s="239" t="str">
        <f>IF(A72=FALSE,"",IF(ALLTHESAME=TRUE,INDEX(PA72:PZ72,MATCH(PC72,PC72:PC177,0),MATCH(Structure!$D$22,$PA$14:$PZ$14,0)),INDEX(QA72:QZ72,MATCH(QC72,QC72:QC177,0),MATCH(Structure!$D$22,$QA$14:$QZ$14,0))))</f>
        <v/>
      </c>
      <c r="CS72" s="341" t="str">
        <f>IF(A72=FALSE,"",IF(ALLTHESAME=TRUE,INDEX(RA72:RZ72,MATCH(RC72,RC72:RC177,0),MATCH(Structure!$D$22,$RA$14:$RZ$14,0)),INDEX(SA72:TC72,MATCH(SC72,SC72:SC177,0),MATCH(Structure!$D$22,$SA$14:$TC$14,0))))</f>
        <v/>
      </c>
      <c r="CT72" s="347"/>
      <c r="CU72" s="239" t="str">
        <f t="shared" si="457"/>
        <v/>
      </c>
      <c r="CV72" s="239" t="str">
        <f>IF(A72=FALSE,"",IF(ALLTHESAME=TRUE,INDEX(DD72:DZ72,MATCH(DF72,DF72:DF177,0),MATCH(Structure!$D$8,$DD$14:$DZ$14,0)),INDEX(EA72:EZ72,MATCH(EC72,EC72:EC177,0),MATCH(Structure!$D$8,$EA$14:$EZ$14,0))))</f>
        <v/>
      </c>
      <c r="CW72" s="239" t="str">
        <f>IF(A72=FALSE,"",IF(ALLTHESAME=TRUE,INDEX(FA72:FZ72,MATCH(FC72,FC72:FC177,0),MATCH(Structure!$D$8,$FA$14:$FZ$14,0)),INDEX(GA72:GZ72,MATCH(GC72,GC72:GC177,0),MATCH(Structure!$D$8,$GA$14:$GZ$14,0))))</f>
        <v/>
      </c>
      <c r="CX72" s="239" t="str">
        <f>IF(A72=FALSE,"",IF(ALLTHESAME=TRUE,INDEX(HA72:HZ72,MATCH(HC72,HC72:HC177,0),MATCH(Structure!$D$8,$HA$14:$HZ$14,0)),INDEX(IA72:IZ72,MATCH(IC72,IC72:IC177,0),MATCH(Structure!$D$8,$IA$14:$IZ$14,0))))</f>
        <v/>
      </c>
      <c r="CY72" s="239" t="str">
        <f>IF(A72=FALSE,"",IF(ALLTHESAME=TRUE,INDEX(JA72:JZ72,MATCH(JC72,JC72:JC177,0),MATCH(Structure!$D$8,$JA$14:$JZ$14,0)),INDEX(KA72:KZ72,MATCH(KC72,KC72:KC177,0),MATCH(Structure!$D$8,$KA$14:$KZ$14,0))))</f>
        <v/>
      </c>
      <c r="CZ72" s="239" t="str">
        <f>IF(A72=FALSE,"",IF(ALLTHESAME=TRUE,INDEX(LA72:LZ72,MATCH(LC72,LC72:LC177,0),MATCH(Structure!$D$8,$LA$14:$LZ$14,0)),INDEX(MA72:MZ72,MATCH(MC72,MC72:MC177,0),MATCH(Structure!$D$8,$MA$14:$MZ$14,0))))</f>
        <v/>
      </c>
      <c r="DA72" s="239" t="str">
        <f>IF(A72=FALSE,"",IF(ALLTHESAME=TRUE,INDEX(NA72:NZ72,MATCH(NC72,NC72:NC177,0),MATCH(Structure!$D$8,$NA$14:$NZ$14,0)),INDEX(OA72:OZ72,MATCH(OC72,OC72:OC177,0),MATCH(Structure!$D$8,$OA$14:$OZ$14,0))))</f>
        <v/>
      </c>
      <c r="DB72" s="239" t="str">
        <f>IF(A72=FALSE,"",IF(ALLTHESAME=TRUE,INDEX(PA72:PZ72,MATCH(PC72,PC72:PC177,0),MATCH(Structure!$D$8,$PA$14:$PZ$14,0)),INDEX(QA72:QZ72,MATCH(QC72,QC72:QC177,0),MATCH(Structure!$D$8,$QA$14:$QZ$14,0))))</f>
        <v/>
      </c>
      <c r="DC72" s="341" t="str">
        <f>IF(A72=FALSE,"",IF(ALLTHESAME=TRUE,INDEX(RA72:RZ72,MATCH(RC72,RC72:RC177,0),MATCH(Structure!$D$8,$RA$14:$RZ$14,0)),INDEX(SA72:TC72,MATCH(SC72,SC72:SC177,0),MATCH(Structure!$D$8,$SA$14:$TC$14,0))))</f>
        <v/>
      </c>
      <c r="DD72" s="492" t="str">
        <f>IF(A72=FALSE,"",Cotations!D72)</f>
        <v/>
      </c>
      <c r="DE72" s="492" t="str">
        <f>IF(A72=FALSE,"",IF(LISTES!$A$17=1,Cotations!AF72,Cotations!$AG$4))</f>
        <v/>
      </c>
      <c r="DF72" s="291" t="str">
        <f t="shared" si="458"/>
        <v/>
      </c>
      <c r="DG72" s="291" t="str">
        <f t="shared" si="459"/>
        <v/>
      </c>
      <c r="DH72" s="291"/>
      <c r="DI72" s="463"/>
      <c r="DJ72" s="463" t="str">
        <f t="shared" si="460"/>
        <v/>
      </c>
      <c r="DK72" s="522" t="str">
        <f>IF(A72=FALSE,"",IF(Cotations!$AH$4="monthly",DJ72/12*L72,DJ72/365*M72))</f>
        <v/>
      </c>
      <c r="DL72" s="489" t="str">
        <f>IF(A72=FALSE,"",Cotations!$AI$4)</f>
        <v/>
      </c>
      <c r="DM72" s="300" t="str">
        <f t="shared" si="461"/>
        <v/>
      </c>
      <c r="DN72" s="300" t="str">
        <f t="shared" si="462"/>
        <v/>
      </c>
      <c r="DO72" s="294" t="str">
        <f t="shared" si="463"/>
        <v/>
      </c>
      <c r="DP72" s="494" t="str">
        <f>IF(A72=FALSE,"",Cotations!$AJ$4)</f>
        <v/>
      </c>
      <c r="DQ72" s="494" t="str">
        <f>IF(A72=FALSE,"",Cotations!$AK$4)</f>
        <v/>
      </c>
      <c r="DR72" s="489" t="str">
        <f>IF(A72=FALSE,"",Cotations!$AL$4)</f>
        <v/>
      </c>
      <c r="DS72" s="494" t="str">
        <f>IF(A72=FALSE,"",IF(DP72="N/A",0,IF(INDEX(LISTES!$F$105:$F$109,MATCH(DP72,LISTES!$C$105:$C$109,0))="FIX",IF(INDEX(LISTES!$E$105:$E$109,MATCH(DP72,LISTES!$C$105:$C$109,0))=12,DQ72/12*L72,DQ72/365*M72),DR72*DO72)))</f>
        <v/>
      </c>
      <c r="DT72" s="294" t="str">
        <f t="shared" si="464"/>
        <v/>
      </c>
      <c r="DU72" s="294" t="str">
        <f>IF(A72=FALSE,"",DT72*Cotations!$AM$4)</f>
        <v/>
      </c>
      <c r="DV72" s="294" t="str">
        <f>IF(A72=FALSE,"",DT72*Cotations!$AN$4)</f>
        <v/>
      </c>
      <c r="DW72" s="465" t="str">
        <f t="shared" si="465"/>
        <v/>
      </c>
      <c r="DX72" s="919" t="str">
        <f>IF(A72=FALSE,"",((DJ72*TAXE)-(DJ72*TAXE*DL72))+IF(DP72="N/A",0,IF(INDEX(LISTES!$F$105:$F$109,MATCH(DP72,LISTES!$C$105:$C$109,0))="FIX",DQ72,DR72*DO72)))</f>
        <v/>
      </c>
      <c r="DY72" s="466"/>
      <c r="DZ72" s="466"/>
      <c r="EA72" s="492" t="str">
        <f>IF(A72=FALSE,"",Cotations!D72)</f>
        <v/>
      </c>
      <c r="EB72" s="494" t="str">
        <f>IF(A72=FALSE,"",IF(LISTES!$A$17=1,Cotations!AF72,Cotations!AG72))</f>
        <v/>
      </c>
      <c r="EC72" s="284" t="str">
        <f t="shared" si="466"/>
        <v/>
      </c>
      <c r="ED72" s="284" t="str">
        <f t="shared" si="467"/>
        <v/>
      </c>
      <c r="EE72" s="284"/>
      <c r="EF72" s="284"/>
      <c r="EG72" s="284" t="str">
        <f t="shared" si="468"/>
        <v/>
      </c>
      <c r="EH72" s="1365" t="str">
        <f t="shared" si="469"/>
        <v/>
      </c>
      <c r="EI72" s="1365" t="str">
        <f t="shared" si="470"/>
        <v/>
      </c>
      <c r="EJ72" s="515" t="str">
        <f>IF(A72=FALSE,"",IF(Cotations!AH72="monthly",EG72/12*L72,EG72/365*M72))</f>
        <v/>
      </c>
      <c r="EK72" s="1364" t="str">
        <f>IF(A72=FALSE,"",IF(Cotations!AH72="monthly",EI72/12*L72,EI72/365*M72))</f>
        <v/>
      </c>
      <c r="EL72" s="493" t="str">
        <f>IF(A72=FALSE,"",IF(Cotations!AI72="","",Cotations!AI72))</f>
        <v/>
      </c>
      <c r="EM72" s="284" t="str">
        <f t="shared" si="471"/>
        <v/>
      </c>
      <c r="EN72" s="284" t="str">
        <f t="shared" si="472"/>
        <v/>
      </c>
      <c r="EO72" s="1365" t="str">
        <f t="shared" si="432"/>
        <v/>
      </c>
      <c r="EP72" s="284" t="str">
        <f t="shared" si="473"/>
        <v/>
      </c>
      <c r="EQ72" s="515" t="str">
        <f>IF(A72=FALSE,"",Cotations!AJ72)</f>
        <v/>
      </c>
      <c r="ER72" s="515" t="str">
        <f>IF(A72=FALSE,"",IF(Cotations!AK72="","",Cotations!AK72))</f>
        <v/>
      </c>
      <c r="ES72" s="493" t="str">
        <f>IF(A72=FALSE,"",Cotations!AL72)</f>
        <v/>
      </c>
      <c r="ET72" s="515" t="str">
        <f>IF(A72=FALSE,"",IF(EQ72="N/A",0,IF(INDEX(LISTES!$F$105:$F$109,MATCH(EQ72,LISTES!$C$105:$C$109,0))="FIX",IF(INDEX(LISTES!$E$105:$E$109,MATCH(EQ72,LISTES!$C$105:$C$109,0))=12,ER72/12*L72,ER72/365*M72),ES72*EP72)))</f>
        <v/>
      </c>
      <c r="EU72" s="294" t="str">
        <f t="shared" si="474"/>
        <v/>
      </c>
      <c r="EV72" s="494" t="str">
        <f>IF(A72=FALSE,"",EU72*Cotations!AM72)</f>
        <v/>
      </c>
      <c r="EW72" s="494" t="str">
        <f>IF(A72=FALSE,"",EU72*Cotations!AN72)</f>
        <v/>
      </c>
      <c r="EX72" s="334" t="str">
        <f t="shared" si="475"/>
        <v/>
      </c>
      <c r="EY72" s="919" t="str">
        <f>IF(A72=FALSE,"",((EG72*TAXE)-(EG72*TAXE*EL72)+EH72)+IF(EQ72="N/A",0,IF(INDEX(LISTES!$F$105:$F$109,MATCH(EQ72,LISTES!$C$105:$C$109,0))="FIX",ER72,ES72*EP72)))</f>
        <v/>
      </c>
      <c r="FA72" s="492" t="str">
        <f>IF(A72=FALSE,"",Cotations!D72)</f>
        <v/>
      </c>
      <c r="FB72" s="519" t="str">
        <f>IF(A72=FALSE,"",IF(LISTES!$A$17=1,Cotations!AO72,Cotations!$AP$4))</f>
        <v/>
      </c>
      <c r="FC72" s="291" t="str">
        <f t="shared" si="476"/>
        <v/>
      </c>
      <c r="FD72" s="291" t="str">
        <f t="shared" si="477"/>
        <v/>
      </c>
      <c r="FE72" s="291"/>
      <c r="FF72" s="463"/>
      <c r="FG72" s="463" t="str">
        <f t="shared" si="478"/>
        <v/>
      </c>
      <c r="FH72" s="522" t="str">
        <f>IF(A72=FALSE,"",IF(Cotations!$AQ$4="monthly",FG72/12*L72,FG72/365*M72))</f>
        <v/>
      </c>
      <c r="FI72" s="453" t="str">
        <f>IF(A72=FALSE,"",Cotations!$AR$4)</f>
        <v/>
      </c>
      <c r="FJ72" s="300" t="str">
        <f t="shared" si="479"/>
        <v/>
      </c>
      <c r="FK72" s="300" t="str">
        <f t="shared" si="480"/>
        <v/>
      </c>
      <c r="FL72" s="294" t="str">
        <f t="shared" si="481"/>
        <v/>
      </c>
      <c r="FM72" s="494" t="str">
        <f>IF(A72=FALSE,"",Cotations!$AS$4)</f>
        <v/>
      </c>
      <c r="FN72" s="494" t="str">
        <f>IF(A72=FALSE,"",Cotations!$AT$4)</f>
        <v/>
      </c>
      <c r="FO72" s="489" t="str">
        <f>IF(A72=FALSE,"",Cotations!$AU$4)</f>
        <v/>
      </c>
      <c r="FP72" s="494" t="str">
        <f>IF(A72=FALSE,"",IF(FM72="N/A",0,IF(INDEX(LISTES!$F$105:$F$109,MATCH(FM72,LISTES!$C$105:$C$109,0))="FIX",IF(INDEX(LISTES!$E$105:$E$109,MATCH(FM72,LISTES!$C$105:$C$109,0))=12,FN72/12*L72,FN72/365*M72),FO72*FL72)))</f>
        <v/>
      </c>
      <c r="FQ72" s="294" t="str">
        <f t="shared" si="482"/>
        <v/>
      </c>
      <c r="FR72" s="494" t="str">
        <f>IF(A72=FALSE,"",FQ72*Cotations!$AV$4)</f>
        <v/>
      </c>
      <c r="FS72" s="494" t="str">
        <f>IF(A72=FALSE,"",FQ72*Cotations!$AW$4)</f>
        <v/>
      </c>
      <c r="FT72" s="465" t="str">
        <f t="shared" si="483"/>
        <v/>
      </c>
      <c r="FU72" s="919" t="str">
        <f>IF(A72=FALSE,"",((FG72*TAXE)-(FG72*TAXE*FI72))+IF(FM72="N/A",0,IF(INDEX(LISTES!$F$105:$F$109,MATCH(FM72,LISTES!$C$105:$C$109,0))="FIX",FN72,FO72*FL72)))</f>
        <v/>
      </c>
      <c r="FV72" s="478"/>
      <c r="FW72" s="478"/>
      <c r="FX72" s="478"/>
      <c r="FY72" s="478"/>
      <c r="FZ72" s="478"/>
      <c r="GA72" s="492" t="str">
        <f>IF(A72=FALSE,"",Cotations!D72)</f>
        <v/>
      </c>
      <c r="GB72" s="494" t="str">
        <f>IF(A72=FALSE,"",IF(LISTES!$A$17=1,Cotations!AO72,Cotations!AP72))</f>
        <v/>
      </c>
      <c r="GC72" s="284" t="str">
        <f t="shared" si="484"/>
        <v/>
      </c>
      <c r="GD72" s="515" t="str">
        <f>IF(A72=FALSE,"",IF(Detail!AM72="","",Detail!AM72))</f>
        <v/>
      </c>
      <c r="GE72" s="284"/>
      <c r="GF72" s="284"/>
      <c r="GG72" s="284" t="str">
        <f t="shared" si="485"/>
        <v/>
      </c>
      <c r="GH72" s="515" t="str">
        <f>IF(A72=FALSE,"",IF(Cotations!AQ72="monthly",GG72/12*L72,GG72/365*M72))</f>
        <v/>
      </c>
      <c r="GI72" s="493" t="str">
        <f>IF(A72=FALSE,"",IF(Cotations!AR72="","",Cotations!AR72))</f>
        <v/>
      </c>
      <c r="GJ72" s="284" t="str">
        <f t="shared" si="486"/>
        <v/>
      </c>
      <c r="GK72" s="284" t="str">
        <f t="shared" si="487"/>
        <v/>
      </c>
      <c r="GL72" s="284" t="str">
        <f t="shared" si="488"/>
        <v/>
      </c>
      <c r="GM72" s="515" t="str">
        <f>IF(A72=FALSE,"",Cotations!AS72)</f>
        <v/>
      </c>
      <c r="GN72" s="515" t="str">
        <f>IF(A72=FALSE,"",Cotations!AT72)</f>
        <v/>
      </c>
      <c r="GO72" s="493" t="str">
        <f>IF(A72=FALSE,"",Cotations!AU72)</f>
        <v/>
      </c>
      <c r="GP72" s="515" t="str">
        <f>IF(A72=FALSE,"",IF(GM72="N/A",0,IF(INDEX(LISTES!$F$105:$F$109,MATCH(GM72,LISTES!$C$105:$C$109,0))="FIX",IF(INDEX(LISTES!$E$105:$E$109,MATCH(GM72,LISTES!$C$105:$C$109,0))=12,GN72/12*L72,GN72/365*M72),GO72*GL72)))</f>
        <v/>
      </c>
      <c r="GQ72" s="294" t="str">
        <f t="shared" si="489"/>
        <v/>
      </c>
      <c r="GR72" s="494" t="str">
        <f>IF(A72=FALSE,"",GQ72*Cotations!AV72)</f>
        <v/>
      </c>
      <c r="GS72" s="494" t="str">
        <f>IF(A72=FALSE,"",GQ72*Cotations!AW72)</f>
        <v/>
      </c>
      <c r="GT72" s="334" t="str">
        <f t="shared" si="490"/>
        <v/>
      </c>
      <c r="GU72" s="919" t="str">
        <f>IF(A72=FALSE,"",((GG72*TAXE)-(GG72*TAXE*GI72))+IF(GM72="N/A",0,IF(INDEX(LISTES!$F$105:$F$109,MATCH(GM72,LISTES!$C$105:$C$109,0))="FIX",GN72,GO72*GL72)))</f>
        <v/>
      </c>
      <c r="GV72" s="478"/>
      <c r="GW72" s="466"/>
      <c r="GX72" s="466"/>
      <c r="GY72" s="466"/>
      <c r="GZ72" s="466"/>
      <c r="HA72" s="492" t="str">
        <f>IF(A72=FALSE,"",Cotations!D72)</f>
        <v/>
      </c>
      <c r="HB72" s="495" t="str">
        <f>IF(A72=FALSE,"",IF(LISTES!$A$17=1,Cotations!AX72,Cotations!$AY$4))</f>
        <v/>
      </c>
      <c r="HC72" s="291" t="str">
        <f t="shared" si="491"/>
        <v/>
      </c>
      <c r="HD72" s="291" t="str">
        <f t="shared" si="492"/>
        <v/>
      </c>
      <c r="HE72" s="456" t="str">
        <f t="shared" si="493"/>
        <v/>
      </c>
      <c r="HF72" s="496" t="str">
        <f>IF(A72=FALSE,"",IF(HA72="POEA",Cotations!BA72,IF(HA72="FIXE",Cotations!$BA$4,Cotations!$BC$4*Y72)))</f>
        <v/>
      </c>
      <c r="HG72" s="300" t="str">
        <f t="shared" si="494"/>
        <v/>
      </c>
      <c r="HH72" s="522" t="str">
        <f>IF(A72=FALSE,"",IF(Cotations!$AZ$4="monthly",HG72/12*L72,HG72/365*M72))</f>
        <v/>
      </c>
      <c r="HI72" s="489" t="str">
        <f>IF(A72=FALSE,"",Cotations!$BD$4)</f>
        <v/>
      </c>
      <c r="HJ72" s="300" t="str">
        <f t="shared" si="495"/>
        <v/>
      </c>
      <c r="HK72" s="300" t="str">
        <f t="shared" si="496"/>
        <v/>
      </c>
      <c r="HL72" s="294" t="str">
        <f t="shared" si="497"/>
        <v/>
      </c>
      <c r="HM72" s="494" t="str">
        <f>IF(A72=FALSE,"",Cotations!$BE$4)</f>
        <v/>
      </c>
      <c r="HN72" s="522" t="str">
        <f>IF(A72=FALSE,"",Cotations!$BF$4)</f>
        <v/>
      </c>
      <c r="HO72" s="489" t="str">
        <f>IF(A72=FALSE,"",Cotations!$BG$4)</f>
        <v/>
      </c>
      <c r="HP72" s="494" t="str">
        <f>IF(A72=FALSE,"",IF(HM72="N/A",0,IF(INDEX(LISTES!$F$105:$F$109,MATCH(HM72,LISTES!$C$105:$C$109,0))="FIX",IF(INDEX(LISTES!$E$105:$E$109,MATCH(HM72,LISTES!$C$105:$C$109,0))=12,HN72/12*L72,HN72/365*M72),HO72*HL72)))</f>
        <v/>
      </c>
      <c r="HQ72" s="294" t="str">
        <f t="shared" si="498"/>
        <v/>
      </c>
      <c r="HR72" s="494" t="str">
        <f>IF(A72=FALSE,"",HQ72*Cotations!$BH$4)</f>
        <v/>
      </c>
      <c r="HS72" s="494" t="str">
        <f>IF(A72=FALSE,"",HQ72*Cotations!$BI$4)</f>
        <v/>
      </c>
      <c r="HT72" s="294" t="str">
        <f t="shared" si="499"/>
        <v/>
      </c>
      <c r="HU72" s="919" t="str">
        <f>IF(A72=FALSE,"",((HG72*TAXE)-(HG72*TAXE*HI72))+IF(HM72="N/A",0,IF(INDEX(LISTES!$F$105:$F$109,MATCH(HM72,LISTES!$C$105:$C$109,0))="FIX",HN72,HO72*HL72)))</f>
        <v/>
      </c>
      <c r="IA72" s="492" t="str">
        <f>IF(A72=FALSE,"",Cotations!D72)</f>
        <v/>
      </c>
      <c r="IB72" s="491" t="str">
        <f>IF(A72=FALSE,"",IF(LISTES!$A$17=1,Cotations!AX72,Cotations!AY72))</f>
        <v/>
      </c>
      <c r="IC72" s="285" t="str">
        <f t="shared" si="500"/>
        <v/>
      </c>
      <c r="ID72" s="300" t="str">
        <f>IF(A72=FALSE,"",IF(LISTES!$A$17=3,Detail!AU72,lig1_Formula_PREVOY))</f>
        <v/>
      </c>
      <c r="IE72" s="461" t="str">
        <f t="shared" si="501"/>
        <v/>
      </c>
      <c r="IF72" s="490" t="str">
        <f>IF(A72=FALSE,"",IF(IA72="POEA",Cotations!BA72,IF(HA72="FIXE",Cotations!BB72,IF(Cotations!BC72*Y72&lt;50000,Z72,Cotations!BC72*Y72))))</f>
        <v/>
      </c>
      <c r="IG72" s="300" t="str">
        <f t="shared" si="502"/>
        <v/>
      </c>
      <c r="IH72" s="522" t="str">
        <f>IF(A72=FALSE,"",IF(Cotations!AZ72="monthly",IG72/12*L72,IG72/365*M72))</f>
        <v/>
      </c>
      <c r="II72" s="489" t="str">
        <f>IF(A72=FALSE,"",IF(Cotations!BD72="","",Cotations!BD72))</f>
        <v/>
      </c>
      <c r="IJ72" s="300" t="str">
        <f t="shared" si="503"/>
        <v/>
      </c>
      <c r="IK72" s="300" t="str">
        <f t="shared" si="504"/>
        <v/>
      </c>
      <c r="IL72" s="919" t="str">
        <f t="shared" si="505"/>
        <v/>
      </c>
      <c r="IM72" s="517" t="str">
        <f>IF(A72=FALSE,"",Cotations!BE72)</f>
        <v/>
      </c>
      <c r="IN72" s="517" t="str">
        <f>IF(A72=FALSE,"",Cotations!BF72)</f>
        <v/>
      </c>
      <c r="IO72" s="493" t="str">
        <f>IF(A72=FALSE,"",Cotations!BG72)</f>
        <v/>
      </c>
      <c r="IP72" s="517" t="str">
        <f>IF(A72=FALSE,"",IF(IM72="N/A",0,IF(INDEX(LISTES!$F$105:$F$109,MATCH(IM72,LISTES!$C$105:$C$109,0))="FIX",IF(INDEX(LISTES!$E$105:$E$109,MATCH(IM72,LISTES!$C$105:$C$109,0))=12,IN72/12*L72,IN72/365*M72),IO72*IL72)))</f>
        <v/>
      </c>
      <c r="IQ72" s="294" t="str">
        <f t="shared" si="506"/>
        <v/>
      </c>
      <c r="IR72" s="494" t="str">
        <f>IF(A72=FALSE,"",IQ72*Cotations!BH72)</f>
        <v/>
      </c>
      <c r="IS72" s="494" t="str">
        <f>IF(A72=FALSE,"",IQ72*Cotations!BI72)</f>
        <v/>
      </c>
      <c r="IT72" s="338" t="str">
        <f t="shared" si="507"/>
        <v/>
      </c>
      <c r="IU72" s="919" t="str">
        <f>IF(A72=FALSE,"",((IG72*TAXE)-(IG72*TAXE*II72))+IF(IM72="N/A",0,IF(INDEX(LISTES!$F$105:$F$109,MATCH(IM72,LISTES!$C$105:$C$109,0))="FIX",IN72,IO72*IL72)))</f>
        <v/>
      </c>
      <c r="JA72" s="492" t="str">
        <f>IF(A72=FALSE,"",Cotations!D72)</f>
        <v/>
      </c>
      <c r="JB72" s="495" t="str">
        <f>IF(A72=FALSE,"",IF(LISTES!$A$17=1,Cotations!BJ72,Cotations!$BK$4))</f>
        <v/>
      </c>
      <c r="JC72" s="291" t="str">
        <f t="shared" si="508"/>
        <v/>
      </c>
      <c r="JD72" s="291" t="str">
        <f t="shared" si="509"/>
        <v/>
      </c>
      <c r="JE72" s="456" t="str">
        <f t="shared" si="510"/>
        <v/>
      </c>
      <c r="JF72" s="496" t="str">
        <f>IF(A72=FALSE,"",IF(JA72="POEA",Cotations!BM72,IF(JA72="FIXE",Cotations!$BM$4,Cotations!$BO$4*Y72)))</f>
        <v/>
      </c>
      <c r="JG72" s="300" t="str">
        <f t="shared" si="511"/>
        <v/>
      </c>
      <c r="JH72" s="522" t="str">
        <f>IF(A72=FALSE,"",IF(Cotations!$BL$4="monthly",JG72/12*L72,JG72/365*M72))</f>
        <v/>
      </c>
      <c r="JI72" s="489" t="str">
        <f>IF(A72=FALSE,"",Cotations!$BP$4)</f>
        <v/>
      </c>
      <c r="JJ72" s="300" t="str">
        <f t="shared" si="512"/>
        <v/>
      </c>
      <c r="JK72" s="300" t="str">
        <f t="shared" si="513"/>
        <v/>
      </c>
      <c r="JL72" s="294" t="str">
        <f t="shared" si="514"/>
        <v/>
      </c>
      <c r="JM72" s="494" t="str">
        <f>IF(A72=FALSE,"",Cotations!$BQ$4)</f>
        <v/>
      </c>
      <c r="JN72" s="522" t="str">
        <f>IF(A72=FALSE,"",Cotations!$BR$4)</f>
        <v/>
      </c>
      <c r="JO72" s="489" t="str">
        <f>IF(A72=FALSE,"",Cotations!$BS$4)</f>
        <v/>
      </c>
      <c r="JP72" s="494" t="str">
        <f>IF(A72=FALSE,"",IF(JM72="N/A",0,IF(INDEX(LISTES!$F$105:$F$109,MATCH(JM72,LISTES!$C$105:$C$109,0))="FIX",IF(INDEX(LISTES!$E$105:$E$109,MATCH(JM72,LISTES!$C$105:$C$109,0))=12,JN72/12*L72,JN72/365*M72),JO72*JL72)))</f>
        <v/>
      </c>
      <c r="JQ72" s="294" t="str">
        <f t="shared" si="515"/>
        <v/>
      </c>
      <c r="JR72" s="494" t="str">
        <f>IF(A72=FALSE,"",JQ72*Cotations!$BT$4)</f>
        <v/>
      </c>
      <c r="JS72" s="494" t="str">
        <f>IF(A72=FALSE,"",JQ72*Cotations!$BU$4)</f>
        <v/>
      </c>
      <c r="JT72" s="294" t="str">
        <f t="shared" si="516"/>
        <v/>
      </c>
      <c r="JU72" s="919" t="str">
        <f>IF(A72=FALSE,"",((JG72*TAXE)-(JG72*TAXE*JI72))+IF(JM72="N/A",0,IF(INDEX(LISTES!$F$105:$F$109,MATCH(JM72,LISTES!$C$105:$C$109,0))="FIX",JN72,JO72*JL72)))</f>
        <v/>
      </c>
      <c r="KA72" s="492" t="str">
        <f>IF(A72=FALSE,"",Cotations!D72)</f>
        <v/>
      </c>
      <c r="KB72" s="491" t="str">
        <f>IF(A72=FALSE,"",IF(LISTES!$A$17=1,Cotations!BJ72,Cotations!BK72))</f>
        <v/>
      </c>
      <c r="KC72" s="285" t="str">
        <f t="shared" si="517"/>
        <v/>
      </c>
      <c r="KD72" s="300"/>
      <c r="KE72" s="461" t="str">
        <f t="shared" si="518"/>
        <v/>
      </c>
      <c r="KF72" s="490" t="str">
        <f>IF(A72=FALSE,"",IF(KA72="POEA",Cotations!BM72,IF(KA72="FIXE",Cotations!BN72,IF(Cotations!BO72*Y72&lt;50000,Z72,Cotations!BO72*Y72))))</f>
        <v/>
      </c>
      <c r="KG72" s="300" t="str">
        <f t="shared" si="519"/>
        <v/>
      </c>
      <c r="KH72" s="522" t="str">
        <f>IF(A72=FALSE,"",IF(Cotations!BL72="monthly",KG72/12*L72,KG72/365*M72))</f>
        <v/>
      </c>
      <c r="KI72" s="489" t="str">
        <f>IF(A72=FALSE,"",IF(Cotations!BP72="","",Cotations!BP72))</f>
        <v/>
      </c>
      <c r="KJ72" s="300" t="str">
        <f t="shared" si="520"/>
        <v/>
      </c>
      <c r="KK72" s="300" t="str">
        <f t="shared" si="521"/>
        <v/>
      </c>
      <c r="KL72" s="919" t="str">
        <f t="shared" si="522"/>
        <v/>
      </c>
      <c r="KM72" s="517" t="str">
        <f>IF(A72=FALSE,"",Cotations!BQ72)</f>
        <v/>
      </c>
      <c r="KN72" s="515" t="str">
        <f>IF(A72=FALSE,"",Cotations!BR72)</f>
        <v/>
      </c>
      <c r="KO72" s="493" t="str">
        <f>IF(A72=FALSE,"",Cotations!BS72)</f>
        <v/>
      </c>
      <c r="KP72" s="517" t="str">
        <f>IF(A72=FALSE,"",IF(KM72="N/A",0,IF(INDEX(LISTES!$F$105:$F$109,MATCH(KM72,LISTES!$C$105:$C$109,0))="FIX",IF(INDEX(LISTES!$E$105:$E$109,MATCH(KM72,LISTES!$C$105:$C$109,0))=12,KN72/12*L72,KN72/365*M72),KO72*KL72)))</f>
        <v/>
      </c>
      <c r="KQ72" s="294" t="str">
        <f t="shared" si="523"/>
        <v/>
      </c>
      <c r="KR72" s="494" t="str">
        <f>IF(A72=FALSE,"",KQ72*Cotations!BT72)</f>
        <v/>
      </c>
      <c r="KS72" s="494" t="str">
        <f>IF(A72=FALSE,"",KQ72*Cotations!BU72)</f>
        <v/>
      </c>
      <c r="KT72" s="338" t="str">
        <f t="shared" si="524"/>
        <v/>
      </c>
      <c r="KU72" s="919" t="str">
        <f>IF(A72=FALSE,"",((KG72*TAXE)-(KG72*TAXE*KI72))+IF(KM72="N/A",0,IF(INDEX(LISTES!$F$105:$F$109,MATCH(KM72,LISTES!$C$105:$C$109,0))="FIX",KN72,KO72*KL72)))</f>
        <v/>
      </c>
      <c r="LA72" s="497" t="str">
        <f>IF(A72=FALSE,"",Cotations!D72)</f>
        <v/>
      </c>
      <c r="LB72" s="498" t="str">
        <f>IF(A72=FALSE,"",IF(LISTES!$A$17=1,Cotations!BV72,Cotations!$BW$4))</f>
        <v/>
      </c>
      <c r="LC72" s="499" t="str">
        <f t="shared" si="525"/>
        <v/>
      </c>
      <c r="LD72" s="499" t="str">
        <f t="shared" si="526"/>
        <v/>
      </c>
      <c r="LE72" s="500" t="str">
        <f t="shared" si="527"/>
        <v/>
      </c>
      <c r="LF72" s="501" t="str">
        <f>IF(A72=FALSE,"",IF(LA72="POEA",Cotations!EJ72,IF(LA72="FIXE",Cotations!$BY$4,Cotations!$CA$4*Y72)))</f>
        <v/>
      </c>
      <c r="LG72" s="502" t="str">
        <f t="shared" si="528"/>
        <v/>
      </c>
      <c r="LH72" s="520" t="str">
        <f>IF(A72=FALSE,"",IF(Cotations!$BX$4="monthly",LG72/12*L72,LG72/365*M72))</f>
        <v/>
      </c>
      <c r="LI72" s="503" t="str">
        <f>IF(A72=FALSE,"",Cotations!$CB$4)</f>
        <v/>
      </c>
      <c r="LJ72" s="502" t="str">
        <f t="shared" si="529"/>
        <v/>
      </c>
      <c r="LK72" s="502" t="str">
        <f t="shared" si="530"/>
        <v/>
      </c>
      <c r="LL72" s="504" t="str">
        <f t="shared" si="531"/>
        <v/>
      </c>
      <c r="LM72" s="505" t="str">
        <f>IF(A72=FALSE,"",Cotations!$CC$4)</f>
        <v/>
      </c>
      <c r="LN72" s="503" t="str">
        <f>IF(A72=FALSE,"",Cotations!$CD$4)</f>
        <v/>
      </c>
      <c r="LO72" s="503" t="str">
        <f>IF(A72=FALSE,"",Cotations!$CE$4)</f>
        <v/>
      </c>
      <c r="LP72" s="505" t="str">
        <f>IF(A72=FALSE,"",IF(LM72="N/A",0,IF(INDEX(LISTES!$F$105:$F$109,MATCH(LM72,LISTES!$C$105:$C$109,0))="FIX",IF(INDEX(LISTES!$E$105:$E$109,MATCH(LM72,LISTES!$C$105:$C$109,0))=12,LN72/12*L72,LN72/365*M72),LO72*LL72)))</f>
        <v/>
      </c>
      <c r="LQ72" s="504" t="str">
        <f t="shared" si="532"/>
        <v/>
      </c>
      <c r="LR72" s="505" t="str">
        <f>IF(A72=FALSE,"",LQ72*Cotations!$CF$4)</f>
        <v/>
      </c>
      <c r="LS72" s="505" t="str">
        <f>IF(A72=FALSE,"",LQ72*Cotations!$CG$4)</f>
        <v/>
      </c>
      <c r="LT72" s="506" t="str">
        <f t="shared" si="533"/>
        <v/>
      </c>
      <c r="LU72" s="919" t="str">
        <f>IF(A72=FALSE,"",((LG72*TAXE)-(LG72*TAXE*LI72))+IF(LM72="N/A",0,IF(INDEX(LISTES!$F$105:$F$109,MATCH(LM72,LISTES!$C$105:$C$109,0))="FIX",LN72,LO72*LL72)))</f>
        <v/>
      </c>
      <c r="MA72" s="492" t="str">
        <f>IF(A72=FALSE,"",Cotations!D72)</f>
        <v/>
      </c>
      <c r="MB72" s="491" t="str">
        <f>IF(A72=FALSE,"",IF(LISTES!$A$17=1,Cotations!BV72,Cotations!BW72))</f>
        <v/>
      </c>
      <c r="MC72" s="285" t="str">
        <f t="shared" si="534"/>
        <v/>
      </c>
      <c r="MD72" s="300"/>
      <c r="ME72" s="461" t="str">
        <f t="shared" si="535"/>
        <v/>
      </c>
      <c r="MF72" s="490" t="str">
        <f>IF(A72=FALSE,"",IF(MA72="POEA",Cotations!BY72,IF(MA72="FIXE",Cotations!BZ72,IF(Cotations!CA72*Y72&lt;50000,Z72,Cotations!CA72*Y72))))</f>
        <v/>
      </c>
      <c r="MG72" s="300" t="str">
        <f t="shared" si="536"/>
        <v/>
      </c>
      <c r="MH72" s="522" t="str">
        <f>IF(A72=FALSE,"",IF(Cotations!BX72="monthly",MG72/12*L72,MG72/365*M72))</f>
        <v/>
      </c>
      <c r="MI72" s="489" t="str">
        <f>IF(A72=FALSE,"",IF(Cotations!CB72="","",Cotations!CB72))</f>
        <v/>
      </c>
      <c r="MJ72" s="300" t="str">
        <f t="shared" si="537"/>
        <v/>
      </c>
      <c r="MK72" s="300" t="str">
        <f t="shared" si="538"/>
        <v/>
      </c>
      <c r="ML72" s="919" t="str">
        <f t="shared" si="539"/>
        <v/>
      </c>
      <c r="MM72" s="517" t="str">
        <f>IF(A72=FALSE,"",Cotations!CC72)</f>
        <v/>
      </c>
      <c r="MN72" s="515" t="str">
        <f>IF(A72=FALSE,"",Cotations!CD72)</f>
        <v/>
      </c>
      <c r="MO72" s="493" t="str">
        <f>IF(A72=FALSE,"",Cotations!CE72)</f>
        <v/>
      </c>
      <c r="MP72" s="517" t="str">
        <f>IF(A72=FALSE,"",IF(MM72="N/A",0,IF(INDEX(LISTES!$F$105:$F$109,MATCH(MM72,LISTES!$C$105:$C$109,0))="FIX",IF(INDEX(LISTES!$E$105:$E$109,MATCH(MM72,LISTES!$C$105:$C$109,0))=12,MN72/12*L72,MN72/365*M72),MO72*ML72)))</f>
        <v/>
      </c>
      <c r="MQ72" s="294" t="str">
        <f t="shared" si="540"/>
        <v/>
      </c>
      <c r="MR72" s="494" t="str">
        <f>IF(A72=FALSE,"",MQ72*Cotations!CF72)</f>
        <v/>
      </c>
      <c r="MS72" s="494" t="str">
        <f>IF(A72=FALSE,"",MQ72*Cotations!CG72)</f>
        <v/>
      </c>
      <c r="MT72" s="338" t="str">
        <f t="shared" si="541"/>
        <v/>
      </c>
      <c r="MU72" s="919" t="str">
        <f>IF(A72=FALSE,"",((MG72*TAXE)-(MG72*TAXE*MI72))+IF(MM72="N/A",0,IF(INDEX(LISTES!$F$105:$F$109,MATCH(MM72,LISTES!$C$105:$C$109,0))="FIX",MN72,MO72*ML72)))</f>
        <v/>
      </c>
      <c r="NA72" s="497" t="str">
        <f>IF(A72=FALSE,"",Cotations!D72)</f>
        <v/>
      </c>
      <c r="NB72" s="498" t="str">
        <f>IF(A72=FALSE,"",IF(LISTES!$A$17=1,Cotations!CH72,Cotations!$CI$4))</f>
        <v/>
      </c>
      <c r="NC72" s="499" t="str">
        <f t="shared" si="542"/>
        <v/>
      </c>
      <c r="ND72" s="499" t="str">
        <f t="shared" si="543"/>
        <v/>
      </c>
      <c r="NE72" s="500" t="str">
        <f t="shared" si="544"/>
        <v/>
      </c>
      <c r="NF72" s="501" t="str">
        <f>IF(A72=FALSE,"",IF(NA72="POEA",Cotations!CK72,IF(NA72="FIXE",Cotations!$CK$4,Cotations!$CM$4*Y72)))</f>
        <v/>
      </c>
      <c r="NG72" s="502" t="str">
        <f t="shared" si="545"/>
        <v/>
      </c>
      <c r="NH72" s="520" t="str">
        <f>IF(A72=FALSE,"",IF(Cotations!$CJ$4="monthly",NG72/12*L72,NG72/365*M72))</f>
        <v/>
      </c>
      <c r="NI72" s="503" t="str">
        <f>IF(A72=FALSE,"",Cotations!$CN$4)</f>
        <v/>
      </c>
      <c r="NJ72" s="502" t="str">
        <f t="shared" si="546"/>
        <v/>
      </c>
      <c r="NK72" s="502" t="str">
        <f t="shared" si="547"/>
        <v/>
      </c>
      <c r="NL72" s="504" t="str">
        <f t="shared" si="548"/>
        <v/>
      </c>
      <c r="NM72" s="505" t="str">
        <f>IF(A72=FALSE,"",Cotations!$CO$4)</f>
        <v/>
      </c>
      <c r="NN72" s="520" t="str">
        <f>IF(A72=FALSE,"",Cotations!$CP$4)</f>
        <v/>
      </c>
      <c r="NO72" s="503" t="str">
        <f>IF(A72=FALSE,"",Cotations!$CQ$4)</f>
        <v/>
      </c>
      <c r="NP72" s="505" t="str">
        <f>IF(A72=FALSE,"",IF(NM72="N/A",0,IF(INDEX(LISTES!$F$105:$F$109,MATCH(NM72,LISTES!$C$105:$C$109,0))="FIX",IF(INDEX(LISTES!$E$105:$E$109,MATCH(NM72,LISTES!$C$105:$C$109,0))=12,NN72/12*L72,NN72/365*M72),NO72*NL72)))</f>
        <v/>
      </c>
      <c r="NQ72" s="504" t="str">
        <f t="shared" si="549"/>
        <v/>
      </c>
      <c r="NR72" s="505" t="str">
        <f>IF(A72=FALSE,"",NQ72*Cotations!$CR$4)</f>
        <v/>
      </c>
      <c r="NS72" s="505" t="str">
        <f>IF(A72=FALSE,"",NQ72*Cotations!$CS$4)</f>
        <v/>
      </c>
      <c r="NT72" s="506" t="str">
        <f t="shared" si="550"/>
        <v/>
      </c>
      <c r="NU72" s="919" t="str">
        <f>IF(A72=FALSE,"",((NG72*TAXE)-(NG72*TAXE*NI72))+IF(NM72="N/A",0,IF(INDEX(LISTES!$F$105:$F$109,MATCH(NM72,LISTES!$C$105:$C$109,0))="FIX",NN72,NO72*NL72)))</f>
        <v/>
      </c>
      <c r="OA72" s="492" t="str">
        <f>IF(A72=FALSE,"",Cotations!D72)</f>
        <v/>
      </c>
      <c r="OB72" s="491" t="str">
        <f>IF(A72=FALSE,"",IF(LISTES!$A$17=1,Cotations!CH72,Cotations!CI72))</f>
        <v/>
      </c>
      <c r="OC72" s="285" t="str">
        <f t="shared" si="551"/>
        <v/>
      </c>
      <c r="OD72" s="300"/>
      <c r="OE72" s="461" t="str">
        <f t="shared" si="552"/>
        <v/>
      </c>
      <c r="OF72" s="490" t="str">
        <f>IF(A72=FALSE,"",IF(OA72="POEA",Cotations!CK72,IF(OA72="FIXE",Cotations!CL72,IF(Cotations!CM72*Y72&lt;50000,Z72,Cotations!CM72*Y72))))</f>
        <v/>
      </c>
      <c r="OG72" s="300" t="str">
        <f t="shared" si="553"/>
        <v/>
      </c>
      <c r="OH72" s="522" t="str">
        <f>IF(A72=FALSE,"",IF(Cotations!CJ72="monthly",OG72/12*L72,OG72/365*M72))</f>
        <v/>
      </c>
      <c r="OI72" s="489" t="str">
        <f>IF(A72=FALSE,"",IF(Cotations!CN72="","",Cotations!CN72))</f>
        <v/>
      </c>
      <c r="OJ72" s="300" t="str">
        <f t="shared" si="554"/>
        <v/>
      </c>
      <c r="OK72" s="300" t="str">
        <f t="shared" si="555"/>
        <v/>
      </c>
      <c r="OL72" s="919" t="str">
        <f t="shared" si="556"/>
        <v/>
      </c>
      <c r="OM72" s="517" t="str">
        <f>IF(A72=FALSE,"",Cotations!CO72)</f>
        <v/>
      </c>
      <c r="ON72" s="515" t="str">
        <f>IF(A72=FALSE,"",Cotations!CP72)</f>
        <v/>
      </c>
      <c r="OO72" s="493" t="str">
        <f>IF(A72=FALSE,"",Cotations!CQ72)</f>
        <v/>
      </c>
      <c r="OP72" s="517" t="str">
        <f>IF(A72=FALSE,"",IF(OM72="N/A",0,IF(INDEX(LISTES!$F$105:$F$109,MATCH(OM72,LISTES!$C$105:$C$109,0))="FIX",IF(INDEX(LISTES!$E$105:$E$109,MATCH(OM72,LISTES!$C$105:$C$109,0))=12,ON72/12*L72,ON72/365*M72),OO72*OL72)))</f>
        <v/>
      </c>
      <c r="OQ72" s="294" t="str">
        <f t="shared" si="557"/>
        <v/>
      </c>
      <c r="OR72" s="494" t="str">
        <f>IF(A72=FALSE,"",OQ72*Cotations!CR72)</f>
        <v/>
      </c>
      <c r="OS72" s="494" t="str">
        <f>IF(A72=FALSE,"",OQ72*Cotations!CS72)</f>
        <v/>
      </c>
      <c r="OT72" s="338" t="str">
        <f t="shared" si="558"/>
        <v/>
      </c>
      <c r="OU72" s="919" t="str">
        <f>IF(A72=FALSE,"",((OG72*TAXE)-(OG72*TAXE*OI72))+IF(OM72="N/A",0,IF(INDEX(LISTES!$F$105:$F$109,MATCH(OM72,LISTES!$C$105:$C$109,0))="FIX",ON72,OO72*OL72)))</f>
        <v/>
      </c>
      <c r="PA72" s="497" t="str">
        <f t="shared" si="559"/>
        <v/>
      </c>
      <c r="PB72" s="498" t="str">
        <f>IF(A72=FALSE,"",IF(LISTES!$A$17=1,Cotations!CT72,Cotations!$CU$4))</f>
        <v/>
      </c>
      <c r="PC72" s="499" t="str">
        <f t="shared" si="560"/>
        <v/>
      </c>
      <c r="PD72" s="499" t="str">
        <f t="shared" si="561"/>
        <v/>
      </c>
      <c r="PE72" s="500" t="str">
        <f t="shared" si="562"/>
        <v/>
      </c>
      <c r="PF72" s="501" t="str">
        <f>IF(A72=FALSE,"",Cotations!$CY$4*Y72)</f>
        <v/>
      </c>
      <c r="PG72" s="502" t="str">
        <f t="shared" si="563"/>
        <v/>
      </c>
      <c r="PH72" s="520" t="str">
        <f>IF(A72=FALSE,"",IF(Cotations!$CV$4="monthly",PG72/12*L72,PG72/365*M72))</f>
        <v/>
      </c>
      <c r="PI72" s="503" t="str">
        <f>IF(A72=FALSE,"",Cotations!$CZ$4)</f>
        <v/>
      </c>
      <c r="PJ72" s="502" t="str">
        <f t="shared" si="564"/>
        <v/>
      </c>
      <c r="PK72" s="502" t="str">
        <f t="shared" si="565"/>
        <v/>
      </c>
      <c r="PL72" s="504" t="str">
        <f t="shared" si="566"/>
        <v/>
      </c>
      <c r="PM72" s="505" t="str">
        <f>IF(A72=FALSE,"",Cotations!$DA$4)</f>
        <v/>
      </c>
      <c r="PN72" s="520" t="str">
        <f>IF(A72=FALSE,"",Cotations!$DB$4)</f>
        <v/>
      </c>
      <c r="PO72" s="503" t="str">
        <f>IF(A72=FALSE,"",Cotations!$DC$4)</f>
        <v/>
      </c>
      <c r="PP72" s="505" t="str">
        <f>IF(A72=FALSE,"",IF(PM72="N/A",0,IF(INDEX(LISTES!$F$105:$F$109,MATCH(PM72,LISTES!$C$105:$C$109,0))="FIX",IF(INDEX(LISTES!$E$105:$E$109,MATCH(PM72,LISTES!$C$105:$C$109,0))=12,PN72/12*L72,PN72/365*M72),PO72*PL72)))</f>
        <v/>
      </c>
      <c r="PQ72" s="504" t="str">
        <f t="shared" si="567"/>
        <v/>
      </c>
      <c r="PR72" s="505" t="str">
        <f>IF(A72=FALSE,"",PQ72*Cotations!$DD$4)</f>
        <v/>
      </c>
      <c r="PS72" s="505" t="str">
        <f>IF(A72=FALSE,"",PQ72*Cotations!$DE$4)</f>
        <v/>
      </c>
      <c r="PT72" s="506" t="str">
        <f t="shared" si="568"/>
        <v/>
      </c>
      <c r="PU72" s="919" t="str">
        <f>IF(A72=FALSE,"",((PG72*TAXE)-(PG72*TAXE*PI72))+IF(PM72="N/A",0,IF(INDEX(LISTES!$F$105:$F$109,MATCH(PM72,LISTES!$C$105:$C$109,0))="FIX",PN72,PO72*PL72)))</f>
        <v/>
      </c>
      <c r="QA72" s="492" t="str">
        <f t="shared" si="569"/>
        <v/>
      </c>
      <c r="QB72" s="491" t="str">
        <f>IF(A72=FALSE,"",IF(LISTES!$A$17=1,Cotations!CT72,Cotations!CU72))</f>
        <v/>
      </c>
      <c r="QC72" s="285" t="str">
        <f t="shared" si="570"/>
        <v/>
      </c>
      <c r="QD72" s="300"/>
      <c r="QE72" s="461" t="str">
        <f t="shared" si="571"/>
        <v/>
      </c>
      <c r="QF72" s="490" t="str">
        <f>IF(A72=FALSE,"",Cotations!CY72*AA72)</f>
        <v/>
      </c>
      <c r="QG72" s="300" t="str">
        <f t="shared" si="572"/>
        <v/>
      </c>
      <c r="QH72" s="522" t="str">
        <f>IF(A72=FALSE,"",IF(Cotations!CV72="monthly",QG72/12*L72,QG72/365*M72))</f>
        <v/>
      </c>
      <c r="QI72" s="489" t="str">
        <f>IF(A72=FALSE,"",IF(Cotations!CZ72="","",Cotations!CZ72))</f>
        <v/>
      </c>
      <c r="QJ72" s="300" t="str">
        <f t="shared" si="573"/>
        <v/>
      </c>
      <c r="QK72" s="300" t="str">
        <f t="shared" si="574"/>
        <v/>
      </c>
      <c r="QL72" s="919" t="str">
        <f t="shared" si="575"/>
        <v/>
      </c>
      <c r="QM72" s="517" t="str">
        <f>IF(A72=FALSE,"",Cotations!DA72)</f>
        <v/>
      </c>
      <c r="QN72" s="515" t="str">
        <f>IF(A72=FALSE,"",Cotations!DB72)</f>
        <v/>
      </c>
      <c r="QO72" s="493" t="str">
        <f>IF(A72=FALSE,"",Cotations!DC72)</f>
        <v/>
      </c>
      <c r="QP72" s="517" t="str">
        <f>IF(A72=FALSE,"",IF(QM72="N/A",0,IF(INDEX(LISTES!$F$105:$F$109,MATCH(QM72,LISTES!$C$105:$C$109,0))="FIX",IF(INDEX(LISTES!$E$105:$E$109,MATCH(QM72,LISTES!$C$105:$C$109,0))=12,QN72/12*L72,QN72/365*M72),QO72*QL72)))</f>
        <v/>
      </c>
      <c r="QQ72" s="294" t="str">
        <f t="shared" si="576"/>
        <v/>
      </c>
      <c r="QR72" s="494" t="str">
        <f>IF(A72=FALSE,"",QQ72*Cotations!DD72)</f>
        <v/>
      </c>
      <c r="QS72" s="494" t="str">
        <f>IF(A72=FALSE,"",QQ72*Cotations!DE72)</f>
        <v/>
      </c>
      <c r="QT72" s="338" t="str">
        <f t="shared" si="577"/>
        <v/>
      </c>
      <c r="QU72" s="919" t="str">
        <f>IF(A72=FALSE,"",((QG72*TAXE)-(QG72*TAXE*QI72))+IF(QM72="N/A",0,IF(INDEX(LISTES!$F$105:$F$109,MATCH(QM72,LISTES!$C$105:$C$109,0))="FIX",QN72,QO72*QL72)))</f>
        <v/>
      </c>
      <c r="RA72" s="497" t="str">
        <f t="shared" si="578"/>
        <v/>
      </c>
      <c r="RB72" s="498" t="str">
        <f>IF(A72=FALSE,"",IF(LISTES!$A$17=1,Cotations!DF72,Cotations!$DG$4))</f>
        <v/>
      </c>
      <c r="RC72" s="499" t="str">
        <f t="shared" si="579"/>
        <v/>
      </c>
      <c r="RD72" s="499" t="str">
        <f t="shared" si="580"/>
        <v/>
      </c>
      <c r="RE72" s="500" t="str">
        <f t="shared" si="581"/>
        <v/>
      </c>
      <c r="RF72" s="501" t="str">
        <f>IF(A72=FALSE,"",Cotations!$DK$4*Y72)</f>
        <v/>
      </c>
      <c r="RG72" s="502" t="str">
        <f t="shared" si="582"/>
        <v/>
      </c>
      <c r="RH72" s="520" t="str">
        <f>IF(A72=FALSE,"",IF(Cotations!$DH$4="monthly",RG72/12*L72,RG72/365*M72))</f>
        <v/>
      </c>
      <c r="RI72" s="503" t="str">
        <f>IF(A72=FALSE,"",Cotations!$DL$4)</f>
        <v/>
      </c>
      <c r="RJ72" s="502" t="str">
        <f t="shared" si="583"/>
        <v/>
      </c>
      <c r="RK72" s="502" t="str">
        <f t="shared" si="584"/>
        <v/>
      </c>
      <c r="RL72" s="504" t="str">
        <f t="shared" si="585"/>
        <v/>
      </c>
      <c r="RM72" s="505" t="str">
        <f>IF(A72=FALSE,"",Cotations!$DM$4)</f>
        <v/>
      </c>
      <c r="RN72" s="520" t="str">
        <f>IF(A72=FALSE,"",Cotations!$DN$4)</f>
        <v/>
      </c>
      <c r="RO72" s="503" t="str">
        <f>IF(A72=FALSE,"",Cotations!$DO$4)</f>
        <v/>
      </c>
      <c r="RP72" s="505" t="str">
        <f>IF(A72=FALSE,"",IF(RM72="N/A",0,IF(INDEX(LISTES!$F$105:$F$109,MATCH(RM72,LISTES!$C$105:$C$109,0))="FIX",IF(INDEX(LISTES!$E$105:$E$109,MATCH(RM72,LISTES!$C$105:$C$109,0))=12,RN72/12*L72,RN72/365*M72),RO72*RL72)))</f>
        <v/>
      </c>
      <c r="RQ72" s="504" t="str">
        <f t="shared" si="586"/>
        <v/>
      </c>
      <c r="RR72" s="505" t="str">
        <f>IF(A72=FALSE,"",RQ72*Cotations!$DP$4)</f>
        <v/>
      </c>
      <c r="RS72" s="505" t="str">
        <f>IF(A72=FALSE,"",RQ72*Cotations!$DQ$4)</f>
        <v/>
      </c>
      <c r="RT72" s="506" t="str">
        <f t="shared" si="587"/>
        <v/>
      </c>
      <c r="RU72" s="919" t="str">
        <f>IF(A72=FALSE,"",((RG72*TAXE)-(RG72*TAXE*RI72))+IF(RM72="N/A",0,IF(INDEX(LISTES!$F$105:$F$109,MATCH(RM72,LISTES!$C$105:$C$109,0))="FIX",RN72,RO72*RL72)))</f>
        <v/>
      </c>
      <c r="SA72" s="492" t="str">
        <f t="shared" si="588"/>
        <v/>
      </c>
      <c r="SB72" s="491" t="str">
        <f>IF(A72=FALSE,"",IF(LISTES!$A$17=1,Cotations!DF72,Cotations!DG72))</f>
        <v/>
      </c>
      <c r="SC72" s="285" t="str">
        <f t="shared" si="589"/>
        <v/>
      </c>
      <c r="SD72" s="300"/>
      <c r="SE72" s="461" t="str">
        <f t="shared" si="590"/>
        <v/>
      </c>
      <c r="SF72" s="490" t="str">
        <f>IF(A72=FALSE,"",Cotations!DK72*AA72)</f>
        <v/>
      </c>
      <c r="SG72" s="300" t="str">
        <f t="shared" si="591"/>
        <v/>
      </c>
      <c r="SH72" s="522" t="str">
        <f>IF(A72=FALSE,"",IF(Cotations!DH72="monthly",SG72/12*L72,SG72/365*M72))</f>
        <v/>
      </c>
      <c r="SI72" s="489" t="str">
        <f>IF(A72=FALSE,"",IF(Cotations!DL72="","",Cotations!DL72))</f>
        <v/>
      </c>
      <c r="SJ72" s="300" t="str">
        <f t="shared" si="592"/>
        <v/>
      </c>
      <c r="SK72" s="300" t="str">
        <f t="shared" si="593"/>
        <v/>
      </c>
      <c r="SL72" s="919" t="str">
        <f t="shared" si="594"/>
        <v/>
      </c>
      <c r="SM72" s="285" t="str">
        <f>IF(A72=FALSE,"",Cotations!DM72)</f>
        <v/>
      </c>
      <c r="SN72" s="515" t="str">
        <f>IF(A72=FALSE,"",Cotations!DN72)</f>
        <v/>
      </c>
      <c r="SO72" s="493" t="str">
        <f>IF(A72=FALSE,"",Cotations!DO72)</f>
        <v/>
      </c>
      <c r="SP72" s="517" t="str">
        <f>IF(A72=FALSE,"",IF(SM72="N/A",0,IF(INDEX(LISTES!$F$105:$F$109,MATCH(SM72,LISTES!$C$105:$C$109,0))="FIX",IF(INDEX(LISTES!$E$105:$E$109,MATCH(SM72,LISTES!$C$105:$C$109,0))=12,SN72/12*L72,SN72/365*M72),SO72*SL72)))</f>
        <v/>
      </c>
      <c r="SQ72" s="294" t="str">
        <f t="shared" si="595"/>
        <v/>
      </c>
      <c r="SR72" s="494" t="str">
        <f>IF(A72=FALSE,"",SQ72*Cotations!DP72)</f>
        <v/>
      </c>
      <c r="SS72" s="494" t="str">
        <f>IF(A72=FALSE,"",SQ72*Cotations!DQ72)</f>
        <v/>
      </c>
      <c r="ST72" s="338" t="str">
        <f t="shared" si="596"/>
        <v/>
      </c>
      <c r="SU72" s="919" t="str">
        <f>IF(A72=FALSE,"",((SG72*TAXE)-(SG72*TAXE*SI72))+IF(SM72="N/A",0,IF(INDEX(LISTES!$F$105:$F$109,MATCH(SM72,LISTES!$C$105:$C$109,0))="FIX",SN72,SO72*SL72)))</f>
        <v/>
      </c>
      <c r="TA72" s="492" t="str">
        <f>IF(A72=FALSE,"",Cotations!D72)</f>
        <v/>
      </c>
      <c r="TB72" s="491" t="str">
        <f>IF(A72=FALSE,"",IF(LISTES!$A$17=1,Cotations!DR72,Cotations!DS72))</f>
        <v/>
      </c>
      <c r="TC72" s="285" t="str">
        <f t="shared" si="597"/>
        <v/>
      </c>
      <c r="TD72" s="300" t="str">
        <f>IF(A72=FALSE,"",Detail!CQ72)</f>
        <v/>
      </c>
      <c r="TE72" s="461" t="str">
        <f t="shared" si="598"/>
        <v/>
      </c>
      <c r="TF72" s="490" t="str">
        <f>IF(A72=FALSE,"",IF(TA72="FIXE",Cotations!DU72,Cotations!DV72*Y72))</f>
        <v/>
      </c>
      <c r="TG72" s="300" t="str">
        <f t="shared" si="599"/>
        <v/>
      </c>
      <c r="TH72" s="522" t="str">
        <f>IF(A72=FALSE,"",IF(Cotations!DT72="monthly",TG72/12*L72,TG72/365*M72))</f>
        <v/>
      </c>
      <c r="TI72" s="489" t="str">
        <f>IF(A72=FALSE,"",IF(Cotations!DW72="","",Cotations!DW72))</f>
        <v/>
      </c>
      <c r="TJ72" s="300" t="str">
        <f t="shared" si="600"/>
        <v/>
      </c>
      <c r="TK72" s="300" t="str">
        <f t="shared" si="601"/>
        <v/>
      </c>
      <c r="TL72" s="919" t="str">
        <f t="shared" si="602"/>
        <v/>
      </c>
      <c r="TM72" s="517" t="str">
        <f>IF(A72=FALSE,"",Cotations!DX72)</f>
        <v/>
      </c>
      <c r="TN72" s="517" t="str">
        <f>IF(A72=FALSE,"",Cotations!DY72)</f>
        <v/>
      </c>
      <c r="TO72" s="493" t="str">
        <f>IF(A72=FALSE,"",Cotations!DZ72)</f>
        <v/>
      </c>
      <c r="TP72" s="517" t="str">
        <f>IF(A72=FALSE,"",IF(TM72="N/A",0,IF(INDEX(LISTES!$F$105:$F$109,MATCH(TM72,LISTES!$C$105:$C$109,0))="FIX",IF(INDEX(LISTES!$E$105:$E$109,MATCH(TM72,LISTES!$C$105:$C$109,0))=12,TN72/12*L72,TN72/365*M72),TO72*TL72)))</f>
        <v/>
      </c>
      <c r="TQ72" s="294" t="str">
        <f t="shared" si="603"/>
        <v/>
      </c>
      <c r="TR72" s="494" t="str">
        <f>IF(A72=FALSE,"",TQ72*Cotations!EA72)</f>
        <v/>
      </c>
      <c r="TS72" s="494" t="str">
        <f>IF(A72=FALSE,"",TQ72*Cotations!EB72)</f>
        <v/>
      </c>
      <c r="TT72" s="338" t="str">
        <f t="shared" si="604"/>
        <v/>
      </c>
      <c r="TU72" s="919" t="str">
        <f>IF(A72=FALSE,"",((TG72*(1+TAXE)-(TG72*(1+TAXE)*TI72))+IF(TM72="N/A",0,IF(INDEX(LISTES!$F$105:$F$109,MATCH(TM72,LISTES!$C$105:$C$109,0))="FIX",TN72,TO72*TL72))))</f>
        <v/>
      </c>
      <c r="UA72" s="492" t="str">
        <f>IF(A72=FALSE,"",Cotations!D72)</f>
        <v/>
      </c>
      <c r="UB72" s="491" t="str">
        <f>IF(A72=FALSE,"",IF(LISTES!$A$17=1,Cotations!EC72,Cotations!ED72))</f>
        <v/>
      </c>
      <c r="UC72" s="285" t="str">
        <f t="shared" si="605"/>
        <v/>
      </c>
      <c r="UD72" s="300" t="str">
        <f>IF(A72=FALSE,"",Detail!CY72)</f>
        <v/>
      </c>
      <c r="UE72" s="461" t="str">
        <f t="shared" si="606"/>
        <v/>
      </c>
      <c r="UF72" s="490" t="str">
        <f>IF(A72=FALSE,"",IF(UA72="FIXE",Cotations!EF72,Cotations!EG72*Y72))</f>
        <v/>
      </c>
      <c r="UG72" s="300" t="str">
        <f t="shared" si="607"/>
        <v/>
      </c>
      <c r="UH72" s="522" t="str">
        <f>IF(A72=FALSE,"",IF(Cotations!EE72="monthly",UG72/12*L72,UG72/365*M72))</f>
        <v/>
      </c>
      <c r="UI72" s="489" t="str">
        <f>IF(A72=FALSE,"",IF(Cotations!EH72="","",Cotations!EH72))</f>
        <v/>
      </c>
      <c r="UJ72" s="300" t="str">
        <f t="shared" si="608"/>
        <v/>
      </c>
      <c r="UK72" s="300" t="str">
        <f t="shared" si="609"/>
        <v/>
      </c>
      <c r="UL72" s="919" t="str">
        <f t="shared" si="610"/>
        <v/>
      </c>
      <c r="UM72" s="517" t="str">
        <f>IF(A72=FALSE,"",Cotations!EI72)</f>
        <v/>
      </c>
      <c r="UN72" s="517" t="str">
        <f>IF(A72=FALSE,"",Cotations!EJ72)</f>
        <v/>
      </c>
      <c r="UO72" s="493" t="str">
        <f>IF(A72=FALSE,"",Cotations!EK72)</f>
        <v/>
      </c>
      <c r="UP72" s="517" t="str">
        <f>IF(A72=FALSE,"",IF(UM72="N/A",0,IF(INDEX(LISTES!$F$105:$F$109,MATCH(UM72,LISTES!$C$105:$C$109,0))="FIX",IF(INDEX(LISTES!$E$105:$E$109,MATCH(UM72,LISTES!$C$105:$C$109,0))=12,UN72/12*L72,UN72/365*M72),UO72*UL72)))</f>
        <v/>
      </c>
      <c r="UQ72" s="294" t="str">
        <f t="shared" si="611"/>
        <v/>
      </c>
      <c r="UR72" s="494" t="str">
        <f>IF(A72=FALSE,"",UQ72*Cotations!EL72)</f>
        <v/>
      </c>
      <c r="US72" s="494" t="str">
        <f>IF(A72=FALSE,"",UQ72*Cotations!EM72)</f>
        <v/>
      </c>
      <c r="UT72" s="338" t="str">
        <f t="shared" si="612"/>
        <v/>
      </c>
      <c r="UU72" s="919" t="str">
        <f>IF(A72=FALSE,"",((UG72*(1+TAXE)-(UG72*(1+TAXE)*UI72))+IF(UM72="N/A",0,IF(INDEX(LISTES!$F$105:$F$109,MATCH(UM72,LISTES!$C$105:$C$109,0))="FIX",UN72,UO72*UL72))))</f>
        <v/>
      </c>
      <c r="VA72" s="492" t="str">
        <f>IF(A72=FALSE,"",Cotations!D72)</f>
        <v/>
      </c>
      <c r="VB72" s="519" t="str">
        <f>IF(A72=FALSE,"",IF(LISTES!$A$17=1,Cotations!EN72,Cotations!EO72))</f>
        <v/>
      </c>
      <c r="VC72" s="291" t="str">
        <f t="shared" si="613"/>
        <v/>
      </c>
      <c r="VD72" s="291" t="str">
        <f t="shared" si="614"/>
        <v/>
      </c>
      <c r="VE72" s="291"/>
      <c r="VF72" s="463"/>
      <c r="VG72" s="463" t="str">
        <f t="shared" si="615"/>
        <v/>
      </c>
      <c r="VH72" s="522" t="str">
        <f>IF(A72=FALSE,"",IF(Cotations!$AQ$4="monthly",VG72/12*L72,VG72/365*M72))</f>
        <v/>
      </c>
      <c r="VI72" s="489" t="str">
        <f>IF(A72=FALSE,"",Cotations!$AR$4)</f>
        <v/>
      </c>
      <c r="VJ72" s="300" t="str">
        <f t="shared" si="616"/>
        <v/>
      </c>
      <c r="VK72" s="300" t="str">
        <f t="shared" si="617"/>
        <v/>
      </c>
      <c r="VL72" s="294" t="str">
        <f t="shared" si="618"/>
        <v/>
      </c>
      <c r="VM72" s="494" t="str">
        <f>IF(A72=FALSE,"",Cotations!$AS$4)</f>
        <v/>
      </c>
      <c r="VN72" s="494" t="str">
        <f>IF(A72=FALSE,"",Cotations!$AT$4)</f>
        <v/>
      </c>
      <c r="VO72" s="489" t="str">
        <f>IF(A72=FALSE,"",Cotations!$AU$4)</f>
        <v/>
      </c>
      <c r="VP72" s="494" t="str">
        <f>IF(A72=FALSE,"",IF(VM72="N/A",0,IF(INDEX(LISTES!$F$105:$F$109,MATCH(VM72,LISTES!$C$105:$C$109,0))="FIX",IF(INDEX(LISTES!$E$105:$E$109,MATCH(VM72,LISTES!$C$105:$C$109,0))=12,VN72/12*L72,VN72/365*M72),VO72*VL72)))</f>
        <v/>
      </c>
      <c r="VQ72" s="294" t="str">
        <f t="shared" si="619"/>
        <v/>
      </c>
      <c r="VR72" s="494" t="str">
        <f>IF(A72=FALSE,"",VQ72*Cotations!$AV$4)</f>
        <v/>
      </c>
      <c r="VS72" s="494" t="str">
        <f>IF(A72=FALSE,"",VQ72*Cotations!$AW$4)</f>
        <v/>
      </c>
      <c r="VT72" s="465" t="str">
        <f t="shared" si="620"/>
        <v/>
      </c>
      <c r="VU72" s="919" t="str">
        <f>IF(A72=FALSE,"",((VG72*TAXE)-(VG72*TAXE*VI72))+IF(VM72="N/A",0,IF(INDEX(LISTES!$F$105:$F$109,MATCH(VM72,LISTES!$C$105:$C$109,0))="FIX",VN72,VO72*VL72)))</f>
        <v/>
      </c>
      <c r="WA72" s="492" t="str">
        <f>IF(A72=FALSE,"",Cotations!D72)</f>
        <v/>
      </c>
      <c r="WB72" s="519" t="str">
        <f>IF(A72=FALSE,"",IF(LISTES!$A$17=1,Cotations!EW72,Cotations!EX72))</f>
        <v/>
      </c>
      <c r="WC72" s="291" t="str">
        <f t="shared" si="621"/>
        <v/>
      </c>
      <c r="WD72" s="291" t="str">
        <f t="shared" si="622"/>
        <v/>
      </c>
      <c r="WE72" s="291"/>
      <c r="WF72" s="463"/>
      <c r="WG72" s="463" t="str">
        <f t="shared" si="623"/>
        <v/>
      </c>
      <c r="WH72" s="522" t="str">
        <f>IF(A72=FALSE,"",IF(Cotations!$AQ$4="monthly",WG72/12*L72,WG72/365*M72))</f>
        <v/>
      </c>
      <c r="WI72" s="489" t="str">
        <f>IF(A72=FALSE,"",Cotations!$AR$4)</f>
        <v/>
      </c>
      <c r="WJ72" s="300" t="str">
        <f t="shared" si="624"/>
        <v/>
      </c>
      <c r="WK72" s="300" t="str">
        <f t="shared" si="625"/>
        <v/>
      </c>
      <c r="WL72" s="294" t="str">
        <f t="shared" si="626"/>
        <v/>
      </c>
      <c r="WM72" s="494" t="str">
        <f>IF(A72=FALSE,"",Cotations!$AS$4)</f>
        <v/>
      </c>
      <c r="WN72" s="494" t="str">
        <f>IF(A72=FALSE,"",Cotations!$AT$4)</f>
        <v/>
      </c>
      <c r="WO72" s="489" t="str">
        <f>IF(A72=FALSE,"",Cotations!$AU$4)</f>
        <v/>
      </c>
      <c r="WP72" s="494" t="str">
        <f>IF(A72=FALSE,"",IF(WM72="N/A",0,IF(INDEX(LISTES!$F$105:$F$109,MATCH(WM72,LISTES!$C$105:$C$109,0))="FIX",IF(INDEX(LISTES!$E$105:$E$109,MATCH(WM72,LISTES!$C$105:$C$109,0))=12,WN72/12*L72,WN72/365*M72),WO72*WL72)))</f>
        <v/>
      </c>
      <c r="WQ72" s="294" t="str">
        <f t="shared" si="627"/>
        <v/>
      </c>
      <c r="WR72" s="494" t="str">
        <f>IF(A72=FALSE,"",WQ72*Cotations!$AV$4)</f>
        <v/>
      </c>
      <c r="WS72" s="494" t="str">
        <f>IF(A72=FALSE,"",WQ72*Cotations!$AW$4)</f>
        <v/>
      </c>
      <c r="WT72" s="465" t="str">
        <f t="shared" si="628"/>
        <v/>
      </c>
      <c r="WU72" s="919" t="str">
        <f>IF(A72=FALSE,"",((WG72*TAXE)-(WG72*TAXE*WI72))+IF(WM72="N/A",0,IF(INDEX(LISTES!$F$105:$F$109,MATCH(WM72,LISTES!$C$105:$C$109,0))="FIX",WN72,WO72*WL72)))</f>
        <v/>
      </c>
    </row>
    <row r="73" spans="1:619">
      <c r="A73" s="942" t="b">
        <f t="shared" si="433"/>
        <v>0</v>
      </c>
      <c r="B73" s="942" t="b">
        <f>IF(NAMES!$B$9=TRUE,TRUE,FALSE)</f>
        <v>1</v>
      </c>
      <c r="C73" s="942" t="b">
        <f t="shared" si="413"/>
        <v>0</v>
      </c>
      <c r="D73" s="942" t="b">
        <f t="shared" si="414"/>
        <v>0</v>
      </c>
      <c r="E73" s="274" t="b">
        <f>IF(Cotations!C73="","",Cotations!C73)</f>
        <v>0</v>
      </c>
      <c r="F73" s="274" t="str">
        <f>IF(Cotations!D73="","",Cotations!D73)</f>
        <v>PROP</v>
      </c>
      <c r="G73" s="274" t="str">
        <f>IF(Cotations!E73="","",Cotations!E73)</f>
        <v>2016-2017!</v>
      </c>
      <c r="H73" s="274" t="str">
        <f>IF(Cotations!F73="","",Cotations!F73)</f>
        <v>SINGLE</v>
      </c>
      <c r="I73" s="274" t="str">
        <f>IF(Cotations!G73="","",Cotations!G73)</f>
        <v/>
      </c>
      <c r="J73" s="274" t="str">
        <f>IF(Cotations!H73="","",Cotations!H73)</f>
        <v/>
      </c>
      <c r="K73" s="274" t="str">
        <f>IF(Cotations!I73="","",Cotations!I73)</f>
        <v/>
      </c>
      <c r="L73" s="274" t="str">
        <f>IF(A73=FALSE,"",IF(Cotations!N73="","",Cotations!N73))</f>
        <v/>
      </c>
      <c r="M73" s="274" t="str">
        <f>IF(Cotations!P73="","",Cotations!P73)</f>
        <v/>
      </c>
      <c r="N73" s="724" t="str">
        <f>IF(NAMES!$B$10=TRUE,Cotations!J73,Cotations!L73)</f>
        <v/>
      </c>
      <c r="O73" s="724" t="str">
        <f>IF(NAMES!$B$10=TRUE,Cotations!K73,Cotations!M73)</f>
        <v/>
      </c>
      <c r="P73" s="943" t="str">
        <f t="shared" si="415"/>
        <v/>
      </c>
      <c r="Q73" s="724" t="str">
        <f>IF(A73=FALSE,"",IF(Crewlist!Y73="","",Crewlist!Y73))</f>
        <v/>
      </c>
      <c r="R73" s="78" t="str">
        <f>IF(Cotations!U73="","",Cotations!U73)</f>
        <v/>
      </c>
      <c r="S73" s="943" t="str">
        <f t="shared" si="416"/>
        <v/>
      </c>
      <c r="T73" s="919" t="str">
        <f>IF(A73=FALSE,"",VLOOKUP($U$15:$U$120,Currency!$A$2:$D$10,4,0)*Crewlist!N73)</f>
        <v/>
      </c>
      <c r="U73" s="1355" t="str">
        <f>IF(A73=FALSE,"",IF(IT73=0,Crewlist!M73&amp;"/"&amp;EX73,Crewlist!M73&amp;"/"&amp;IT73))</f>
        <v/>
      </c>
      <c r="V73" s="919" t="str">
        <f>IF(A73=FALSE,"",VLOOKUP($U$15:$U$120,Currency!$A$2:$D$10,4,0)*Detail!Q73)</f>
        <v/>
      </c>
      <c r="W73" s="1355" t="str">
        <f>IF(A73=FALSE,"",IF(IT73=0,Detail!R73&amp;"/"&amp;EX73,Detail!R73&amp;"/"&amp;IT73))</f>
        <v/>
      </c>
      <c r="X73" s="919" t="str">
        <f>IF(A73=FALSE,"",IF(LISTES!$C$17="Crewlist",Calcul!T73,Calcul!V73))</f>
        <v/>
      </c>
      <c r="Y73" s="758" t="str">
        <f t="shared" si="417"/>
        <v/>
      </c>
      <c r="Z73" s="758" t="str">
        <f>IF(A73=FALSE,"",IF(X73=0,0,IF((Cotations!BC73*12*X73)&lt;50000,50000,(12*X73))))</f>
        <v/>
      </c>
      <c r="AA73" s="758" t="str">
        <f t="shared" si="418"/>
        <v/>
      </c>
      <c r="AB73" s="758" t="str">
        <f>IF(A73=FALSE,"",IF(Crewlist!O73=0,"",Crewlist!O73))</f>
        <v/>
      </c>
      <c r="AC73" s="758" t="str">
        <f>IF(I73="","",VLOOKUP($AB$15:$AB$120,Currency!$A$15:$B$34,2,0))</f>
        <v/>
      </c>
      <c r="AD73" s="758" t="str">
        <f t="shared" si="419"/>
        <v/>
      </c>
      <c r="AE73" s="758" t="str">
        <f t="shared" si="420"/>
        <v/>
      </c>
      <c r="AF73" s="758" t="str">
        <f t="shared" si="421"/>
        <v/>
      </c>
      <c r="AG73" s="758" t="str">
        <f t="shared" si="422"/>
        <v/>
      </c>
      <c r="AH73" s="1355" t="str">
        <f t="shared" si="434"/>
        <v/>
      </c>
      <c r="AI73" s="919" t="str">
        <f t="shared" si="423"/>
        <v/>
      </c>
      <c r="AJ73" s="1382" t="str">
        <f t="shared" si="424"/>
        <v/>
      </c>
      <c r="AK73" s="1382" t="str">
        <f t="shared" si="425"/>
        <v/>
      </c>
      <c r="AL73" s="238" t="str">
        <f t="shared" si="435"/>
        <v/>
      </c>
      <c r="AM73" s="238" t="str">
        <f t="shared" si="436"/>
        <v/>
      </c>
      <c r="AN73" s="1374" t="str">
        <f t="shared" si="437"/>
        <v/>
      </c>
      <c r="AO73" s="238" t="str">
        <f t="shared" si="438"/>
        <v/>
      </c>
      <c r="AP73" s="342" t="str">
        <f>IF(A73=FALSE,"",INDEX(Rates!$Z$5:$Z$367,MATCH(EB73,colchoice,0)))</f>
        <v/>
      </c>
      <c r="AQ73" s="238" t="str">
        <f t="shared" si="439"/>
        <v/>
      </c>
      <c r="AR73" s="238" t="str">
        <f t="shared" si="440"/>
        <v/>
      </c>
      <c r="AS73" s="238" t="str">
        <f t="shared" si="441"/>
        <v/>
      </c>
      <c r="AT73" s="238" t="str">
        <f t="shared" si="442"/>
        <v/>
      </c>
      <c r="AU73" s="238" t="str">
        <f t="shared" si="443"/>
        <v/>
      </c>
      <c r="AV73" s="238" t="str">
        <f t="shared" si="429"/>
        <v/>
      </c>
      <c r="AW73" s="238" t="str">
        <f t="shared" si="444"/>
        <v/>
      </c>
      <c r="AX73" s="238" t="str">
        <f t="shared" si="445"/>
        <v/>
      </c>
      <c r="AY73" s="238" t="str">
        <f t="shared" si="446"/>
        <v/>
      </c>
      <c r="AZ73" s="238" t="str">
        <f t="shared" si="447"/>
        <v/>
      </c>
      <c r="BA73" s="238" t="str">
        <f t="shared" si="448"/>
        <v/>
      </c>
      <c r="BB73" s="552" t="str">
        <f t="shared" si="449"/>
        <v/>
      </c>
      <c r="BC73" s="347" t="str">
        <f t="shared" si="450"/>
        <v/>
      </c>
      <c r="BD73" s="239" t="str">
        <f t="shared" si="430"/>
        <v/>
      </c>
      <c r="BE73" s="239" t="str">
        <f>IF(A73=FALSE,"",IF(ALLTHESAME=TRUE,IF(DF73&lt;&gt;$BC$7,0,INDEX(DD73:DZ73,1,MATCH(Structure!$D$12,$DD$14:$DZ$14,0))),IF(EC73&lt;&gt;$BC$7,0,INDEX(EA73:EZ73,1,MATCH(Structure!$D$12,$EA$14:$EZ$14,0)))))</f>
        <v/>
      </c>
      <c r="BF73" s="239" t="str">
        <f>IF(A73=FALSE,"",IF(ALLTHESAME=TRUE,IF(FC73&lt;&gt;$BC$7,0,INDEX(FA73:FZ73,1,MATCH(Structure!$D$12,$FA$14:$FZ$14,0))),IF(GC73&lt;&gt;$BC$7,0,INDEX(GA73:GZ73,1,MATCH(Structure!$D$12,$GA$14:$GZ$14,0)))))</f>
        <v/>
      </c>
      <c r="BG73" s="239" t="str">
        <f>IF(A73=FALSE,"",IF(ALLTHESAME=TRUE,IF(VC73&lt;&gt;$BC$7,0,INDEX(VA73:VZ73,1,MATCH(Structure!$D$12,$VA$14:$VZ$14,0))),IF(VC73&lt;&gt;$BC$7,0,INDEX(VA73:VZ73,1,MATCH(Structure!$D$12,$VA$14:$VZ$14,0)))))</f>
        <v/>
      </c>
      <c r="BH73" s="239" t="str">
        <f>IF(A73=FALSE,"",IF(ALLTHESAME=TRUE,IF(WC73&lt;&gt;$BC$7,0,INDEX(WA73:WY73,1,MATCH(Structure!$D$12,$WA$14:$WZ$14,0))),IF(WC73&lt;&gt;$BC$7,0,INDEX(WA73:WZ73,1,MATCH(Structure!$D$12,$WA$14:$WZ$14,0)))))</f>
        <v/>
      </c>
      <c r="BI73" s="763" t="str">
        <f>IF(A73=FALSE,"",IF(ALLTHESAME=TRUE,IF(HC73&lt;&gt;$BC$7,0,INDEX(HA73:HZ73,1,MATCH(Structure!$D$12,$HA$14:$HZ$14,0)))+TK73,IF(IC73&lt;&gt;$BC$7,0,INDEX(IA73:IZ73,1,MATCH(Structure!$D$12,$IA$14:$IZ$14,0)))+TK73))</f>
        <v/>
      </c>
      <c r="BJ73" s="239" t="str">
        <f>IF(A73=FALSE,"",IF(ALLTHESAME=TRUE,IF(JC73&lt;&gt;$BC$7,0,INDEX(JA73:JZ73,1,MATCH(Structure!$D$12,$JA$14:$JZ$14,0))),IF(KC73&lt;&gt;$BC$7,0,INDEX(KA73:KZ73,1,MATCH(Structure!$D$12,$KA$14:$KZ$14,0)))))</f>
        <v/>
      </c>
      <c r="BK73" s="763" t="str">
        <f>IF(A73=FALSE,"",IF(ALLTHESAME=TRUE,IF(LC73&lt;&gt;$BC$7,0,INDEX(LA73:LZ73,1,MATCH(Structure!$D$12,$LA$14:$LZ$14,0)))+UK73,IF(MC73&lt;&gt;$BC$7,0,INDEX(MA73:MZ73,1,MATCH(Structure!$D$12,$MA$14:$MZ$14,0)))+UK73))</f>
        <v/>
      </c>
      <c r="BL73" s="239" t="str">
        <f>IF(A73=FALSE,"",IF(ALLTHESAME=TRUE,IF(NC73&lt;&gt;$BC$7,0,INDEX(NA73:NZ73,1,MATCH(Structure!$D$12,$NA$14:$NZ$14,0))),IF(OC73&lt;&gt;$BC$7,0,INDEX(OA73:OZ73,1,MATCH(Structure!$D$12,$OA$14:$OZ$14,0)))))</f>
        <v/>
      </c>
      <c r="BM73" s="239" t="str">
        <f>IF(A73=FALSE,"",IF(ALLTHESAME=TRUE,IF(PC73&lt;&gt;$BC$7,0,INDEX(PA73:PZ73,1,MATCH(Structure!$D$12,$PA$14:$PZ$14,0))),IF(QC73&lt;&gt;$BC$7,0,INDEX(QA73:QZ73,1,MATCH(Structure!$D$12,$QA$14:$QZ$14,0)))))</f>
        <v/>
      </c>
      <c r="BN73" s="341" t="str">
        <f>IF(A73=FALSE,"",IF(ALLTHESAME=TRUE,IF(RC73&lt;&gt;$BC$7,0,INDEX(RA73:RZ73,1,MATCH(Structure!$D$12,$RA$14:$RZ$14,0))),IF(SC73&lt;&gt;$BC$7,0,INDEX(SA73:TA73,1,MATCH(Structure!$D$12,$SA$14:$TA$14,0)))))</f>
        <v/>
      </c>
      <c r="BO73" s="507" t="str">
        <f t="shared" si="451"/>
        <v/>
      </c>
      <c r="BP73" s="239" t="str">
        <f t="shared" si="452"/>
        <v/>
      </c>
      <c r="BQ73" s="239" t="str">
        <f>IF(A73=FALSE,"",IF(ALLTHESAME=TRUE,IF(DF73&lt;&gt;$BO$7,0,INDEX(DD73:DZ73,1,MATCH(Structure!$D$12,$DD$14:$DZ$14,0))),IF(EC73&lt;&gt;$BO$7,0,INDEX(EA73:EZ73,1,MATCH(Structure!$D$12,$EA$14:$EZ$14,0)))))</f>
        <v/>
      </c>
      <c r="BR73" s="239" t="str">
        <f>IF(A73=FALSE,"",IF(ALLTHESAME=TRUE,IF(FC73&lt;&gt;$BO$7,0,INDEX(FA73:FZ73,1,MATCH(Structure!$D$12,$FA$14:$FZ$14,0))),IF(GC73&lt;&gt;$BO$7,0,INDEX(GA73:GZ73,1,MATCH(Structure!$D$12,$GA$14:$GZ$14,0)))))</f>
        <v/>
      </c>
      <c r="BS73" s="239" t="str">
        <f>IF(A73=FALSE,"",IF(ALLTHESAME=TRUE,IF(HC73&lt;&gt;$BO$7,0,INDEX(HA73:HZ73,1,MATCH(Structure!$D$12,$HA$14:$HZ$14,0))),IF(IC73&lt;&gt;$BO$7,0,INDEX(IA73:IZ73,1,MATCH(Structure!$D$12,$IA$14:$IZ$14,0)))))</f>
        <v/>
      </c>
      <c r="BT73" s="239" t="str">
        <f>IF(A73=FALSE,"",IF(ALLTHESAME=TRUE,IF(JC73&lt;&gt;$BO$7,0,INDEX(JA73:JZ73,1,MATCH(Structure!$D$12,$JA$14:$JZ$14,0))),IF(KC73&lt;&gt;$BO$7,0,INDEX(KA73:KZ73,1,MATCH(Structure!$D$12,$KA$14:$KZ$14,0)))))</f>
        <v/>
      </c>
      <c r="BU73" s="239" t="str">
        <f>IF(A73=FALSE,"",IF(ALLTHESAME=TRUE,IF(LC73&lt;&gt;$BO$7,0,INDEX(LA73:LZ73,1,MATCH(Structure!$D$12,$LA$14:$LZ$14,0))),IF(MC73&lt;&gt;$BO$7,0,INDEX(MA73:MZ73,1,MATCH(Structure!$D$12,$MA$14:$MZ$14,0)))))</f>
        <v/>
      </c>
      <c r="BV73" s="239" t="str">
        <f>IF(A73=FALSE,"",IF(ALLTHESAME=TRUE,IF(NC73&lt;&gt;$BO$7,0,INDEX(NA73:NZ73,1,MATCH(Structure!$D$12,$NA$14:$NZ$14,0))),IF(OC73&lt;&gt;$BO$7,0,INDEX(OA73:OZ73,1,MATCH(Structure!$D$12,$OA$14:$OZ$14,0)))))</f>
        <v/>
      </c>
      <c r="BW73" s="239" t="str">
        <f>IF(A73=FALSE,"",IF(ALLTHESAME=TRUE,IF(PC73&lt;&gt;$BO$7,0,INDEX(PA73:PZ73,1,MATCH(Structure!$D$12,$PA$14:$PZ$14,0))),IF(QC73&lt;&gt;$BO$7,0,INDEX(QA73:QZ73,1,MATCH(Structure!$D$12,$QA$14:$QZ$14,0)))))</f>
        <v/>
      </c>
      <c r="BX73" s="341" t="str">
        <f>IF(A73=FALSE,"",IF(ALLTHESAME=TRUE,IF(RC73&lt;&gt;$BO$7,0,INDEX(RA73:RZ73,1,MATCH(Structure!$D$12,$RA$14:$RZ$14,0))),IF(SC73&lt;&gt;$BO$7,0,INDEX(SA73:TA73,1,MATCH(Structure!$D$12,$SA$14:$TA$14,0)))))</f>
        <v/>
      </c>
      <c r="BY73" s="347" t="str">
        <f t="shared" si="453"/>
        <v/>
      </c>
      <c r="BZ73" s="507" t="str">
        <f t="shared" si="454"/>
        <v/>
      </c>
      <c r="CA73" s="239" t="str">
        <f t="shared" si="455"/>
        <v/>
      </c>
      <c r="CB73" s="239" t="str">
        <f>IF(A73=FALSE,"",IF(ALLTHESAME=TRUE,INDEX(DD73:DZ73,MATCH(DF73,DF73:DF178,0),MATCH(Structure!$D$17,$DD$14:$DZ$14,0)),INDEX(EA73:EZ73,MATCH(EC73,EC73:EC178,0),MATCH(Structure!$D$17,$EA$14:$EZ$14,0))))</f>
        <v/>
      </c>
      <c r="CC73" s="239" t="str">
        <f>IF(A73=FALSE,"",IF(ALLTHESAME=TRUE,INDEX(FA73:FZ73,MATCH(FC73,FC73:FC178,0),MATCH(Structure!$D$17,$FA$14:$FZ$14,0)),INDEX(GA73:GZ73,MATCH(GC73,GC73:GC178,0),MATCH(Structure!$D$17,$GA$14:$GZ$14,0))))</f>
        <v/>
      </c>
      <c r="CD73" s="239" t="str">
        <f>IF(A73=FALSE,"",IF(ALLTHESAME=TRUE,INDEX(HA73:HZ73,MATCH(HC73,HC73:HC178,0),MATCH(Structure!$D$17,$HA$14:$HZ$14,0)),INDEX(IA73:IZ73,MATCH(IC73,IC73:IC178,0),MATCH(Structure!$D$17,$IA$14:$IZ$14,0))))</f>
        <v/>
      </c>
      <c r="CE73" s="239" t="str">
        <f>IF(A73=FALSE,"",IF(ALLTHESAME=TRUE,INDEX(JA73:JZ73,MATCH(JC73,JC73:JC178,0),MATCH(Structure!$D$17,$JA$14:$JZ$14,0)),INDEX(KA73:KZ73,MATCH(KC73,KC73:KC178,0),MATCH(Structure!$D$17,$KA$14:$KZ$14,0))))</f>
        <v/>
      </c>
      <c r="CF73" s="239" t="str">
        <f>IF(A73=FALSE,"",IF(ALLTHESAME=TRUE,INDEX(LA73:LZ73,MATCH(LC73,LC73:LC178,0),MATCH(Structure!$D$17,$LA$14:$LZ$14,0)),INDEX(MA73:MZ73,MATCH(MC73,MC73:MC178,0),MATCH(Structure!$D$17,$MA$14:$MZ$14,0))))</f>
        <v/>
      </c>
      <c r="CG73" s="239" t="str">
        <f>IF(A73=FALSE,"",IF(ALLTHESAME=TRUE,INDEX(NA73:NZ73,MATCH(NC73,NC73:NC178,0),MATCH(Structure!$D$17,$NA$14:$NZ$14,0)),INDEX(OA73:OZ73,MATCH(OC73,OC73:OC178,0),MATCH(Structure!$D$17,$OA$14:$OZ$14,0))))</f>
        <v/>
      </c>
      <c r="CH73" s="239" t="str">
        <f>IF(A73=FALSE,"",IF(ALLTHESAME=TRUE,INDEX(PA73:PZ73,MATCH(PC73,PC73:PC178,0),MATCH(Structure!$D$17,$PA$14:$PZ$14,0)),INDEX(QA73:QZ73,MATCH(QC73,QC73:QC178,0),MATCH(Structure!$D$17,$QA$14:$QZ$14,0))))</f>
        <v/>
      </c>
      <c r="CI73" s="341" t="str">
        <f>IF(A73=FALSE,"",IF(ALLTHESAME=TRUE,INDEX(RA73:RZ73,MATCH(RC73,RC73:RC178,0),MATCH(Structure!$D$17,$RA$14:$RZ$14,0)),INDEX(SA73:TC73,MATCH(SC73,SC73:SC178,0),MATCH(Structure!$D$17,$SA$14:$TC$14,0))))</f>
        <v/>
      </c>
      <c r="CJ73" s="347"/>
      <c r="CK73" s="239" t="str">
        <f t="shared" si="456"/>
        <v/>
      </c>
      <c r="CL73" s="239" t="str">
        <f>IF(A73=FALSE,"",IF(ALLTHESAME=TRUE,INDEX(DD73:DZ73,MATCH(DF73,DF73:DF178,0),MATCH(Structure!$D$22,$DD$14:$DZ$14,0)),INDEX(EA73:EZ73,MATCH(EC73,EC73:EC178,0),MATCH(Structure!$D$22,$EA$14:$EZ$14,0))))</f>
        <v/>
      </c>
      <c r="CM73" s="239" t="str">
        <f>IF(A73=FALSE,"",IF(ALLTHESAME=TRUE,INDEX(FA73:FZ73,MATCH(FC73,FC73:FC178,0),MATCH(Structure!$D$22,$FA$14:$FZ$14,0)),INDEX(GA73:GZ73,MATCH(GC73,GC73:GC178,0),MATCH(Structure!$D$22,$GA$14:$GZ$14,0))))</f>
        <v/>
      </c>
      <c r="CN73" s="239" t="str">
        <f>IF(A73=FALSE,"",IF(ALLTHESAME=TRUE,INDEX(HA73:HZ73,MATCH(HC73,HC73:HC178,0),MATCH(Structure!$D$22,$HA$14:$HZ$14,0)),INDEX(IA73:IZ73,MATCH(IC73,IC73:IC178,0),MATCH(Structure!$D$22,$IA$14:$IZ$14,0))))</f>
        <v/>
      </c>
      <c r="CO73" s="239" t="str">
        <f>IF(A73=FALSE,"",IF(ALLTHESAME=TRUE,INDEX(JA73:JZ73,MATCH(JC73,JC73:JC178,0),MATCH(Structure!$D$22,$JA$14:$JZ$14,0)),INDEX(KA73:KZ73,MATCH(KC73,KC73:KC178,0),MATCH(Structure!$D$22,$KA$14:$KZ$14,0))))</f>
        <v/>
      </c>
      <c r="CP73" s="239" t="str">
        <f>IF(A73=FALSE,"",IF(ALLTHESAME=TRUE,INDEX(LA73:LZ73,MATCH(LC73,LC73:LC178,0),MATCH(Structure!$D$22,$LA$14:$LZ$14,0)),INDEX(MA73:MZ73,MATCH(MC73,MC73:MC178,0),MATCH(Structure!$D$22,$MA$14:$MZ$14,0))))</f>
        <v/>
      </c>
      <c r="CQ73" s="239" t="str">
        <f>IF(A73=FALSE,"",IF(ALLTHESAME=TRUE,INDEX(NA73:NZ73,MATCH(NC73,NC73:NC178,0),MATCH(Structure!$D$22,$NA$14:$NZ$14,0)),INDEX(OA73:OZ73,MATCH(OC73,OC73:OC178,0),MATCH(Structure!$D$22,$OA$14:$OZ$14,0))))</f>
        <v/>
      </c>
      <c r="CR73" s="239" t="str">
        <f>IF(A73=FALSE,"",IF(ALLTHESAME=TRUE,INDEX(PA73:PZ73,MATCH(PC73,PC73:PC178,0),MATCH(Structure!$D$22,$PA$14:$PZ$14,0)),INDEX(QA73:QZ73,MATCH(QC73,QC73:QC178,0),MATCH(Structure!$D$22,$QA$14:$QZ$14,0))))</f>
        <v/>
      </c>
      <c r="CS73" s="341" t="str">
        <f>IF(A73=FALSE,"",IF(ALLTHESAME=TRUE,INDEX(RA73:RZ73,MATCH(RC73,RC73:RC178,0),MATCH(Structure!$D$22,$RA$14:$RZ$14,0)),INDEX(SA73:TC73,MATCH(SC73,SC73:SC178,0),MATCH(Structure!$D$22,$SA$14:$TC$14,0))))</f>
        <v/>
      </c>
      <c r="CT73" s="347"/>
      <c r="CU73" s="239" t="str">
        <f t="shared" si="457"/>
        <v/>
      </c>
      <c r="CV73" s="239" t="str">
        <f>IF(A73=FALSE,"",IF(ALLTHESAME=TRUE,INDEX(DD73:DZ73,MATCH(DF73,DF73:DF178,0),MATCH(Structure!$D$8,$DD$14:$DZ$14,0)),INDEX(EA73:EZ73,MATCH(EC73,EC73:EC178,0),MATCH(Structure!$D$8,$EA$14:$EZ$14,0))))</f>
        <v/>
      </c>
      <c r="CW73" s="239" t="str">
        <f>IF(A73=FALSE,"",IF(ALLTHESAME=TRUE,INDEX(FA73:FZ73,MATCH(FC73,FC73:FC178,0),MATCH(Structure!$D$8,$FA$14:$FZ$14,0)),INDEX(GA73:GZ73,MATCH(GC73,GC73:GC178,0),MATCH(Structure!$D$8,$GA$14:$GZ$14,0))))</f>
        <v/>
      </c>
      <c r="CX73" s="239" t="str">
        <f>IF(A73=FALSE,"",IF(ALLTHESAME=TRUE,INDEX(HA73:HZ73,MATCH(HC73,HC73:HC178,0),MATCH(Structure!$D$8,$HA$14:$HZ$14,0)),INDEX(IA73:IZ73,MATCH(IC73,IC73:IC178,0),MATCH(Structure!$D$8,$IA$14:$IZ$14,0))))</f>
        <v/>
      </c>
      <c r="CY73" s="239" t="str">
        <f>IF(A73=FALSE,"",IF(ALLTHESAME=TRUE,INDEX(JA73:JZ73,MATCH(JC73,JC73:JC178,0),MATCH(Structure!$D$8,$JA$14:$JZ$14,0)),INDEX(KA73:KZ73,MATCH(KC73,KC73:KC178,0),MATCH(Structure!$D$8,$KA$14:$KZ$14,0))))</f>
        <v/>
      </c>
      <c r="CZ73" s="239" t="str">
        <f>IF(A73=FALSE,"",IF(ALLTHESAME=TRUE,INDEX(LA73:LZ73,MATCH(LC73,LC73:LC178,0),MATCH(Structure!$D$8,$LA$14:$LZ$14,0)),INDEX(MA73:MZ73,MATCH(MC73,MC73:MC178,0),MATCH(Structure!$D$8,$MA$14:$MZ$14,0))))</f>
        <v/>
      </c>
      <c r="DA73" s="239" t="str">
        <f>IF(A73=FALSE,"",IF(ALLTHESAME=TRUE,INDEX(NA73:NZ73,MATCH(NC73,NC73:NC178,0),MATCH(Structure!$D$8,$NA$14:$NZ$14,0)),INDEX(OA73:OZ73,MATCH(OC73,OC73:OC178,0),MATCH(Structure!$D$8,$OA$14:$OZ$14,0))))</f>
        <v/>
      </c>
      <c r="DB73" s="239" t="str">
        <f>IF(A73=FALSE,"",IF(ALLTHESAME=TRUE,INDEX(PA73:PZ73,MATCH(PC73,PC73:PC178,0),MATCH(Structure!$D$8,$PA$14:$PZ$14,0)),INDEX(QA73:QZ73,MATCH(QC73,QC73:QC178,0),MATCH(Structure!$D$8,$QA$14:$QZ$14,0))))</f>
        <v/>
      </c>
      <c r="DC73" s="341" t="str">
        <f>IF(A73=FALSE,"",IF(ALLTHESAME=TRUE,INDEX(RA73:RZ73,MATCH(RC73,RC73:RC178,0),MATCH(Structure!$D$8,$RA$14:$RZ$14,0)),INDEX(SA73:TC73,MATCH(SC73,SC73:SC178,0),MATCH(Structure!$D$8,$SA$14:$TC$14,0))))</f>
        <v/>
      </c>
      <c r="DD73" s="492" t="str">
        <f>IF(A73=FALSE,"",Cotations!D73)</f>
        <v/>
      </c>
      <c r="DE73" s="492" t="str">
        <f>IF(A73=FALSE,"",IF(LISTES!$A$17=1,Cotations!AF73,Cotations!$AG$4))</f>
        <v/>
      </c>
      <c r="DF73" s="291" t="str">
        <f t="shared" si="458"/>
        <v/>
      </c>
      <c r="DG73" s="291" t="str">
        <f t="shared" si="459"/>
        <v/>
      </c>
      <c r="DH73" s="291"/>
      <c r="DI73" s="463"/>
      <c r="DJ73" s="463" t="str">
        <f t="shared" si="460"/>
        <v/>
      </c>
      <c r="DK73" s="522" t="str">
        <f>IF(A73=FALSE,"",IF(Cotations!$AH$4="monthly",DJ73/12*L73,DJ73/365*M73))</f>
        <v/>
      </c>
      <c r="DL73" s="489" t="str">
        <f>IF(A73=FALSE,"",Cotations!$AI$4)</f>
        <v/>
      </c>
      <c r="DM73" s="300" t="str">
        <f t="shared" si="461"/>
        <v/>
      </c>
      <c r="DN73" s="300" t="str">
        <f t="shared" si="462"/>
        <v/>
      </c>
      <c r="DO73" s="294" t="str">
        <f t="shared" si="463"/>
        <v/>
      </c>
      <c r="DP73" s="494" t="str">
        <f>IF(A73=FALSE,"",Cotations!$AJ$4)</f>
        <v/>
      </c>
      <c r="DQ73" s="494" t="str">
        <f>IF(A73=FALSE,"",Cotations!$AK$4)</f>
        <v/>
      </c>
      <c r="DR73" s="489" t="str">
        <f>IF(A73=FALSE,"",Cotations!$AL$4)</f>
        <v/>
      </c>
      <c r="DS73" s="494" t="str">
        <f>IF(A73=FALSE,"",IF(DP73="N/A",0,IF(INDEX(LISTES!$F$105:$F$109,MATCH(DP73,LISTES!$C$105:$C$109,0))="FIX",IF(INDEX(LISTES!$E$105:$E$109,MATCH(DP73,LISTES!$C$105:$C$109,0))=12,DQ73/12*L73,DQ73/365*M73),DR73*DO73)))</f>
        <v/>
      </c>
      <c r="DT73" s="294" t="str">
        <f t="shared" si="464"/>
        <v/>
      </c>
      <c r="DU73" s="294" t="str">
        <f>IF(A73=FALSE,"",DT73*Cotations!$AM$4)</f>
        <v/>
      </c>
      <c r="DV73" s="294" t="str">
        <f>IF(A73=FALSE,"",DT73*Cotations!$AN$4)</f>
        <v/>
      </c>
      <c r="DW73" s="465" t="str">
        <f t="shared" si="465"/>
        <v/>
      </c>
      <c r="DX73" s="919" t="str">
        <f>IF(A73=FALSE,"",((DJ73*TAXE)-(DJ73*TAXE*DL73))+IF(DP73="N/A",0,IF(INDEX(LISTES!$F$105:$F$109,MATCH(DP73,LISTES!$C$105:$C$109,0))="FIX",DQ73,DR73*DO73)))</f>
        <v/>
      </c>
      <c r="DY73" s="466"/>
      <c r="DZ73" s="466"/>
      <c r="EA73" s="492" t="str">
        <f>IF(A73=FALSE,"",Cotations!D73)</f>
        <v/>
      </c>
      <c r="EB73" s="494" t="str">
        <f>IF(A73=FALSE,"",IF(LISTES!$A$17=1,Cotations!AF73,Cotations!AG73))</f>
        <v/>
      </c>
      <c r="EC73" s="284" t="str">
        <f t="shared" si="466"/>
        <v/>
      </c>
      <c r="ED73" s="284" t="str">
        <f t="shared" si="467"/>
        <v/>
      </c>
      <c r="EE73" s="284"/>
      <c r="EF73" s="284"/>
      <c r="EG73" s="284" t="str">
        <f t="shared" si="468"/>
        <v/>
      </c>
      <c r="EH73" s="1365" t="str">
        <f t="shared" si="469"/>
        <v/>
      </c>
      <c r="EI73" s="1365" t="str">
        <f t="shared" si="470"/>
        <v/>
      </c>
      <c r="EJ73" s="515" t="str">
        <f>IF(A73=FALSE,"",IF(Cotations!AH73="monthly",EG73/12*L73,EG73/365*M73))</f>
        <v/>
      </c>
      <c r="EK73" s="1364" t="str">
        <f>IF(A73=FALSE,"",IF(Cotations!AH73="monthly",EI73/12*L73,EI73/365*M73))</f>
        <v/>
      </c>
      <c r="EL73" s="493" t="str">
        <f>IF(A73=FALSE,"",IF(Cotations!AI73="","",Cotations!AI73))</f>
        <v/>
      </c>
      <c r="EM73" s="284" t="str">
        <f t="shared" si="471"/>
        <v/>
      </c>
      <c r="EN73" s="284" t="str">
        <f t="shared" si="472"/>
        <v/>
      </c>
      <c r="EO73" s="1365" t="str">
        <f t="shared" si="432"/>
        <v/>
      </c>
      <c r="EP73" s="284" t="str">
        <f t="shared" si="473"/>
        <v/>
      </c>
      <c r="EQ73" s="515" t="str">
        <f>IF(A73=FALSE,"",Cotations!AJ73)</f>
        <v/>
      </c>
      <c r="ER73" s="515" t="str">
        <f>IF(A73=FALSE,"",IF(Cotations!AK73="","",Cotations!AK73))</f>
        <v/>
      </c>
      <c r="ES73" s="493" t="str">
        <f>IF(A73=FALSE,"",Cotations!AL73)</f>
        <v/>
      </c>
      <c r="ET73" s="515" t="str">
        <f>IF(A73=FALSE,"",IF(EQ73="N/A",0,IF(INDEX(LISTES!$F$105:$F$109,MATCH(EQ73,LISTES!$C$105:$C$109,0))="FIX",IF(INDEX(LISTES!$E$105:$E$109,MATCH(EQ73,LISTES!$C$105:$C$109,0))=12,ER73/12*L73,ER73/365*M73),ES73*EP73)))</f>
        <v/>
      </c>
      <c r="EU73" s="294" t="str">
        <f t="shared" si="474"/>
        <v/>
      </c>
      <c r="EV73" s="494" t="str">
        <f>IF(A73=FALSE,"",EU73*Cotations!AM73)</f>
        <v/>
      </c>
      <c r="EW73" s="494" t="str">
        <f>IF(A73=FALSE,"",EU73*Cotations!AN73)</f>
        <v/>
      </c>
      <c r="EX73" s="334" t="str">
        <f t="shared" si="475"/>
        <v/>
      </c>
      <c r="EY73" s="919" t="str">
        <f>IF(A73=FALSE,"",((EG73*TAXE)-(EG73*TAXE*EL73)+EH73)+IF(EQ73="N/A",0,IF(INDEX(LISTES!$F$105:$F$109,MATCH(EQ73,LISTES!$C$105:$C$109,0))="FIX",ER73,ES73*EP73)))</f>
        <v/>
      </c>
      <c r="FA73" s="492" t="str">
        <f>IF(A73=FALSE,"",Cotations!D73)</f>
        <v/>
      </c>
      <c r="FB73" s="519" t="str">
        <f>IF(A73=FALSE,"",IF(LISTES!$A$17=1,Cotations!AO73,Cotations!$AP$4))</f>
        <v/>
      </c>
      <c r="FC73" s="291" t="str">
        <f t="shared" si="476"/>
        <v/>
      </c>
      <c r="FD73" s="291" t="str">
        <f t="shared" si="477"/>
        <v/>
      </c>
      <c r="FE73" s="291"/>
      <c r="FF73" s="463"/>
      <c r="FG73" s="463" t="str">
        <f t="shared" si="478"/>
        <v/>
      </c>
      <c r="FH73" s="522" t="str">
        <f>IF(A73=FALSE,"",IF(Cotations!$AQ$4="monthly",FG73/12*L73,FG73/365*M73))</f>
        <v/>
      </c>
      <c r="FI73" s="453" t="str">
        <f>IF(A73=FALSE,"",Cotations!$AR$4)</f>
        <v/>
      </c>
      <c r="FJ73" s="300" t="str">
        <f t="shared" si="479"/>
        <v/>
      </c>
      <c r="FK73" s="300" t="str">
        <f t="shared" si="480"/>
        <v/>
      </c>
      <c r="FL73" s="294" t="str">
        <f t="shared" si="481"/>
        <v/>
      </c>
      <c r="FM73" s="494" t="str">
        <f>IF(A73=FALSE,"",Cotations!$AS$4)</f>
        <v/>
      </c>
      <c r="FN73" s="494" t="str">
        <f>IF(A73=FALSE,"",Cotations!$AT$4)</f>
        <v/>
      </c>
      <c r="FO73" s="489" t="str">
        <f>IF(A73=FALSE,"",Cotations!$AU$4)</f>
        <v/>
      </c>
      <c r="FP73" s="494" t="str">
        <f>IF(A73=FALSE,"",IF(FM73="N/A",0,IF(INDEX(LISTES!$F$105:$F$109,MATCH(FM73,LISTES!$C$105:$C$109,0))="FIX",IF(INDEX(LISTES!$E$105:$E$109,MATCH(FM73,LISTES!$C$105:$C$109,0))=12,FN73/12*L73,FN73/365*M73),FO73*FL73)))</f>
        <v/>
      </c>
      <c r="FQ73" s="294" t="str">
        <f t="shared" si="482"/>
        <v/>
      </c>
      <c r="FR73" s="494" t="str">
        <f>IF(A73=FALSE,"",FQ73*Cotations!$AV$4)</f>
        <v/>
      </c>
      <c r="FS73" s="494" t="str">
        <f>IF(A73=FALSE,"",FQ73*Cotations!$AW$4)</f>
        <v/>
      </c>
      <c r="FT73" s="465" t="str">
        <f t="shared" si="483"/>
        <v/>
      </c>
      <c r="FU73" s="919" t="str">
        <f>IF(A73=FALSE,"",((FG73*TAXE)-(FG73*TAXE*FI73))+IF(FM73="N/A",0,IF(INDEX(LISTES!$F$105:$F$109,MATCH(FM73,LISTES!$C$105:$C$109,0))="FIX",FN73,FO73*FL73)))</f>
        <v/>
      </c>
      <c r="FV73" s="478"/>
      <c r="FW73" s="478"/>
      <c r="FX73" s="478"/>
      <c r="FY73" s="478"/>
      <c r="FZ73" s="478"/>
      <c r="GA73" s="492" t="str">
        <f>IF(A73=FALSE,"",Cotations!D73)</f>
        <v/>
      </c>
      <c r="GB73" s="494" t="str">
        <f>IF(A73=FALSE,"",IF(LISTES!$A$17=1,Cotations!AO73,Cotations!AP73))</f>
        <v/>
      </c>
      <c r="GC73" s="284" t="str">
        <f t="shared" si="484"/>
        <v/>
      </c>
      <c r="GD73" s="515" t="str">
        <f>IF(A73=FALSE,"",IF(Detail!AM73="","",Detail!AM73))</f>
        <v/>
      </c>
      <c r="GE73" s="284"/>
      <c r="GF73" s="284"/>
      <c r="GG73" s="284" t="str">
        <f t="shared" si="485"/>
        <v/>
      </c>
      <c r="GH73" s="515" t="str">
        <f>IF(A73=FALSE,"",IF(Cotations!AQ73="monthly",GG73/12*L73,GG73/365*M73))</f>
        <v/>
      </c>
      <c r="GI73" s="493" t="str">
        <f>IF(A73=FALSE,"",IF(Cotations!AR73="","",Cotations!AR73))</f>
        <v/>
      </c>
      <c r="GJ73" s="284" t="str">
        <f t="shared" si="486"/>
        <v/>
      </c>
      <c r="GK73" s="284" t="str">
        <f t="shared" si="487"/>
        <v/>
      </c>
      <c r="GL73" s="284" t="str">
        <f t="shared" si="488"/>
        <v/>
      </c>
      <c r="GM73" s="515" t="str">
        <f>IF(A73=FALSE,"",Cotations!AS73)</f>
        <v/>
      </c>
      <c r="GN73" s="515" t="str">
        <f>IF(A73=FALSE,"",Cotations!AT73)</f>
        <v/>
      </c>
      <c r="GO73" s="493" t="str">
        <f>IF(A73=FALSE,"",Cotations!AU73)</f>
        <v/>
      </c>
      <c r="GP73" s="515" t="str">
        <f>IF(A73=FALSE,"",IF(GM73="N/A",0,IF(INDEX(LISTES!$F$105:$F$109,MATCH(GM73,LISTES!$C$105:$C$109,0))="FIX",IF(INDEX(LISTES!$E$105:$E$109,MATCH(GM73,LISTES!$C$105:$C$109,0))=12,GN73/12*L73,GN73/365*M73),GO73*GL73)))</f>
        <v/>
      </c>
      <c r="GQ73" s="294" t="str">
        <f t="shared" si="489"/>
        <v/>
      </c>
      <c r="GR73" s="494" t="str">
        <f>IF(A73=FALSE,"",GQ73*Cotations!AV73)</f>
        <v/>
      </c>
      <c r="GS73" s="494" t="str">
        <f>IF(A73=FALSE,"",GQ73*Cotations!AW73)</f>
        <v/>
      </c>
      <c r="GT73" s="334" t="str">
        <f t="shared" si="490"/>
        <v/>
      </c>
      <c r="GU73" s="919" t="str">
        <f>IF(A73=FALSE,"",((GG73*TAXE)-(GG73*TAXE*GI73))+IF(GM73="N/A",0,IF(INDEX(LISTES!$F$105:$F$109,MATCH(GM73,LISTES!$C$105:$C$109,0))="FIX",GN73,GO73*GL73)))</f>
        <v/>
      </c>
      <c r="GV73" s="478"/>
      <c r="GW73" s="466"/>
      <c r="GX73" s="466"/>
      <c r="GY73" s="466"/>
      <c r="GZ73" s="466"/>
      <c r="HA73" s="492" t="str">
        <f>IF(A73=FALSE,"",Cotations!D73)</f>
        <v/>
      </c>
      <c r="HB73" s="495" t="str">
        <f>IF(A73=FALSE,"",IF(LISTES!$A$17=1,Cotations!AX73,Cotations!$AY$4))</f>
        <v/>
      </c>
      <c r="HC73" s="291" t="str">
        <f t="shared" si="491"/>
        <v/>
      </c>
      <c r="HD73" s="291" t="str">
        <f t="shared" si="492"/>
        <v/>
      </c>
      <c r="HE73" s="456" t="str">
        <f t="shared" si="493"/>
        <v/>
      </c>
      <c r="HF73" s="496" t="str">
        <f>IF(A73=FALSE,"",IF(HA73="POEA",Cotations!BA73,IF(HA73="FIXE",Cotations!$BA$4,Cotations!$BC$4*Y73)))</f>
        <v/>
      </c>
      <c r="HG73" s="300" t="str">
        <f t="shared" si="494"/>
        <v/>
      </c>
      <c r="HH73" s="522" t="str">
        <f>IF(A73=FALSE,"",IF(Cotations!$AZ$4="monthly",HG73/12*L73,HG73/365*M73))</f>
        <v/>
      </c>
      <c r="HI73" s="489" t="str">
        <f>IF(A73=FALSE,"",Cotations!$BD$4)</f>
        <v/>
      </c>
      <c r="HJ73" s="300" t="str">
        <f t="shared" si="495"/>
        <v/>
      </c>
      <c r="HK73" s="300" t="str">
        <f t="shared" si="496"/>
        <v/>
      </c>
      <c r="HL73" s="294" t="str">
        <f t="shared" si="497"/>
        <v/>
      </c>
      <c r="HM73" s="494" t="str">
        <f>IF(A73=FALSE,"",Cotations!$BE$4)</f>
        <v/>
      </c>
      <c r="HN73" s="522" t="str">
        <f>IF(A73=FALSE,"",Cotations!$BF$4)</f>
        <v/>
      </c>
      <c r="HO73" s="489" t="str">
        <f>IF(A73=FALSE,"",Cotations!$BG$4)</f>
        <v/>
      </c>
      <c r="HP73" s="494" t="str">
        <f>IF(A73=FALSE,"",IF(HM73="N/A",0,IF(INDEX(LISTES!$F$105:$F$109,MATCH(HM73,LISTES!$C$105:$C$109,0))="FIX",IF(INDEX(LISTES!$E$105:$E$109,MATCH(HM73,LISTES!$C$105:$C$109,0))=12,HN73/12*L73,HN73/365*M73),HO73*HL73)))</f>
        <v/>
      </c>
      <c r="HQ73" s="294" t="str">
        <f t="shared" si="498"/>
        <v/>
      </c>
      <c r="HR73" s="494" t="str">
        <f>IF(A73=FALSE,"",HQ73*Cotations!$BH$4)</f>
        <v/>
      </c>
      <c r="HS73" s="494" t="str">
        <f>IF(A73=FALSE,"",HQ73*Cotations!$BI$4)</f>
        <v/>
      </c>
      <c r="HT73" s="294" t="str">
        <f t="shared" si="499"/>
        <v/>
      </c>
      <c r="HU73" s="919" t="str">
        <f>IF(A73=FALSE,"",((HG73*TAXE)-(HG73*TAXE*HI73))+IF(HM73="N/A",0,IF(INDEX(LISTES!$F$105:$F$109,MATCH(HM73,LISTES!$C$105:$C$109,0))="FIX",HN73,HO73*HL73)))</f>
        <v/>
      </c>
      <c r="IA73" s="492" t="str">
        <f>IF(A73=FALSE,"",Cotations!D73)</f>
        <v/>
      </c>
      <c r="IB73" s="491" t="str">
        <f>IF(A73=FALSE,"",IF(LISTES!$A$17=1,Cotations!AX73,Cotations!AY73))</f>
        <v/>
      </c>
      <c r="IC73" s="285" t="str">
        <f t="shared" si="500"/>
        <v/>
      </c>
      <c r="ID73" s="300" t="str">
        <f>IF(A73=FALSE,"",IF(LISTES!$A$17=3,Detail!AU73,lig1_Formula_PREVOY))</f>
        <v/>
      </c>
      <c r="IE73" s="461" t="str">
        <f t="shared" si="501"/>
        <v/>
      </c>
      <c r="IF73" s="490" t="str">
        <f>IF(A73=FALSE,"",IF(IA73="POEA",Cotations!BA73,IF(HA73="FIXE",Cotations!BB73,IF(Cotations!BC73*Y73&lt;50000,Z73,Cotations!BC73*Y73))))</f>
        <v/>
      </c>
      <c r="IG73" s="300" t="str">
        <f t="shared" si="502"/>
        <v/>
      </c>
      <c r="IH73" s="522" t="str">
        <f>IF(A73=FALSE,"",IF(Cotations!AZ73="monthly",IG73/12*L73,IG73/365*M73))</f>
        <v/>
      </c>
      <c r="II73" s="489" t="str">
        <f>IF(A73=FALSE,"",IF(Cotations!BD73="","",Cotations!BD73))</f>
        <v/>
      </c>
      <c r="IJ73" s="300" t="str">
        <f t="shared" si="503"/>
        <v/>
      </c>
      <c r="IK73" s="300" t="str">
        <f t="shared" si="504"/>
        <v/>
      </c>
      <c r="IL73" s="919" t="str">
        <f t="shared" si="505"/>
        <v/>
      </c>
      <c r="IM73" s="517" t="str">
        <f>IF(A73=FALSE,"",Cotations!BE73)</f>
        <v/>
      </c>
      <c r="IN73" s="517" t="str">
        <f>IF(A73=FALSE,"",Cotations!BF73)</f>
        <v/>
      </c>
      <c r="IO73" s="493" t="str">
        <f>IF(A73=FALSE,"",Cotations!BG73)</f>
        <v/>
      </c>
      <c r="IP73" s="517" t="str">
        <f>IF(A73=FALSE,"",IF(IM73="N/A",0,IF(INDEX(LISTES!$F$105:$F$109,MATCH(IM73,LISTES!$C$105:$C$109,0))="FIX",IF(INDEX(LISTES!$E$105:$E$109,MATCH(IM73,LISTES!$C$105:$C$109,0))=12,IN73/12*L73,IN73/365*M73),IO73*IL73)))</f>
        <v/>
      </c>
      <c r="IQ73" s="294" t="str">
        <f t="shared" si="506"/>
        <v/>
      </c>
      <c r="IR73" s="494" t="str">
        <f>IF(A73=FALSE,"",IQ73*Cotations!BH73)</f>
        <v/>
      </c>
      <c r="IS73" s="494" t="str">
        <f>IF(A73=FALSE,"",IQ73*Cotations!BI73)</f>
        <v/>
      </c>
      <c r="IT73" s="338" t="str">
        <f t="shared" si="507"/>
        <v/>
      </c>
      <c r="IU73" s="919" t="str">
        <f>IF(A73=FALSE,"",((IG73*TAXE)-(IG73*TAXE*II73))+IF(IM73="N/A",0,IF(INDEX(LISTES!$F$105:$F$109,MATCH(IM73,LISTES!$C$105:$C$109,0))="FIX",IN73,IO73*IL73)))</f>
        <v/>
      </c>
      <c r="JA73" s="492" t="str">
        <f>IF(A73=FALSE,"",Cotations!D73)</f>
        <v/>
      </c>
      <c r="JB73" s="495" t="str">
        <f>IF(A73=FALSE,"",IF(LISTES!$A$17=1,Cotations!BJ73,Cotations!$BK$4))</f>
        <v/>
      </c>
      <c r="JC73" s="291" t="str">
        <f t="shared" si="508"/>
        <v/>
      </c>
      <c r="JD73" s="291" t="str">
        <f t="shared" si="509"/>
        <v/>
      </c>
      <c r="JE73" s="456" t="str">
        <f t="shared" si="510"/>
        <v/>
      </c>
      <c r="JF73" s="496" t="str">
        <f>IF(A73=FALSE,"",IF(JA73="POEA",Cotations!BM73,IF(JA73="FIXE",Cotations!$BM$4,Cotations!$BO$4*Y73)))</f>
        <v/>
      </c>
      <c r="JG73" s="300" t="str">
        <f t="shared" si="511"/>
        <v/>
      </c>
      <c r="JH73" s="522" t="str">
        <f>IF(A73=FALSE,"",IF(Cotations!$BL$4="monthly",JG73/12*L73,JG73/365*M73))</f>
        <v/>
      </c>
      <c r="JI73" s="489" t="str">
        <f>IF(A73=FALSE,"",Cotations!$BP$4)</f>
        <v/>
      </c>
      <c r="JJ73" s="300" t="str">
        <f t="shared" si="512"/>
        <v/>
      </c>
      <c r="JK73" s="300" t="str">
        <f t="shared" si="513"/>
        <v/>
      </c>
      <c r="JL73" s="294" t="str">
        <f t="shared" si="514"/>
        <v/>
      </c>
      <c r="JM73" s="494" t="str">
        <f>IF(A73=FALSE,"",Cotations!$BQ$4)</f>
        <v/>
      </c>
      <c r="JN73" s="522" t="str">
        <f>IF(A73=FALSE,"",Cotations!$BR$4)</f>
        <v/>
      </c>
      <c r="JO73" s="489" t="str">
        <f>IF(A73=FALSE,"",Cotations!$BS$4)</f>
        <v/>
      </c>
      <c r="JP73" s="494" t="str">
        <f>IF(A73=FALSE,"",IF(JM73="N/A",0,IF(INDEX(LISTES!$F$105:$F$109,MATCH(JM73,LISTES!$C$105:$C$109,0))="FIX",IF(INDEX(LISTES!$E$105:$E$109,MATCH(JM73,LISTES!$C$105:$C$109,0))=12,JN73/12*L73,JN73/365*M73),JO73*JL73)))</f>
        <v/>
      </c>
      <c r="JQ73" s="294" t="str">
        <f t="shared" si="515"/>
        <v/>
      </c>
      <c r="JR73" s="494" t="str">
        <f>IF(A73=FALSE,"",JQ73*Cotations!$BT$4)</f>
        <v/>
      </c>
      <c r="JS73" s="494" t="str">
        <f>IF(A73=FALSE,"",JQ73*Cotations!$BU$4)</f>
        <v/>
      </c>
      <c r="JT73" s="294" t="str">
        <f t="shared" si="516"/>
        <v/>
      </c>
      <c r="JU73" s="919" t="str">
        <f>IF(A73=FALSE,"",((JG73*TAXE)-(JG73*TAXE*JI73))+IF(JM73="N/A",0,IF(INDEX(LISTES!$F$105:$F$109,MATCH(JM73,LISTES!$C$105:$C$109,0))="FIX",JN73,JO73*JL73)))</f>
        <v/>
      </c>
      <c r="KA73" s="492" t="str">
        <f>IF(A73=FALSE,"",Cotations!D73)</f>
        <v/>
      </c>
      <c r="KB73" s="491" t="str">
        <f>IF(A73=FALSE,"",IF(LISTES!$A$17=1,Cotations!BJ73,Cotations!BK73))</f>
        <v/>
      </c>
      <c r="KC73" s="285" t="str">
        <f t="shared" si="517"/>
        <v/>
      </c>
      <c r="KD73" s="300"/>
      <c r="KE73" s="461" t="str">
        <f t="shared" si="518"/>
        <v/>
      </c>
      <c r="KF73" s="490" t="str">
        <f>IF(A73=FALSE,"",IF(KA73="POEA",Cotations!BM73,IF(KA73="FIXE",Cotations!BN73,IF(Cotations!BO73*Y73&lt;50000,Z73,Cotations!BO73*Y73))))</f>
        <v/>
      </c>
      <c r="KG73" s="300" t="str">
        <f t="shared" si="519"/>
        <v/>
      </c>
      <c r="KH73" s="522" t="str">
        <f>IF(A73=FALSE,"",IF(Cotations!BL73="monthly",KG73/12*L73,KG73/365*M73))</f>
        <v/>
      </c>
      <c r="KI73" s="489" t="str">
        <f>IF(A73=FALSE,"",IF(Cotations!BP73="","",Cotations!BP73))</f>
        <v/>
      </c>
      <c r="KJ73" s="300" t="str">
        <f t="shared" si="520"/>
        <v/>
      </c>
      <c r="KK73" s="300" t="str">
        <f t="shared" si="521"/>
        <v/>
      </c>
      <c r="KL73" s="919" t="str">
        <f t="shared" si="522"/>
        <v/>
      </c>
      <c r="KM73" s="517" t="str">
        <f>IF(A73=FALSE,"",Cotations!BQ73)</f>
        <v/>
      </c>
      <c r="KN73" s="515" t="str">
        <f>IF(A73=FALSE,"",Cotations!BR73)</f>
        <v/>
      </c>
      <c r="KO73" s="493" t="str">
        <f>IF(A73=FALSE,"",Cotations!BS73)</f>
        <v/>
      </c>
      <c r="KP73" s="517" t="str">
        <f>IF(A73=FALSE,"",IF(KM73="N/A",0,IF(INDEX(LISTES!$F$105:$F$109,MATCH(KM73,LISTES!$C$105:$C$109,0))="FIX",IF(INDEX(LISTES!$E$105:$E$109,MATCH(KM73,LISTES!$C$105:$C$109,0))=12,KN73/12*L73,KN73/365*M73),KO73*KL73)))</f>
        <v/>
      </c>
      <c r="KQ73" s="294" t="str">
        <f t="shared" si="523"/>
        <v/>
      </c>
      <c r="KR73" s="494" t="str">
        <f>IF(A73=FALSE,"",KQ73*Cotations!BT73)</f>
        <v/>
      </c>
      <c r="KS73" s="494" t="str">
        <f>IF(A73=FALSE,"",KQ73*Cotations!BU73)</f>
        <v/>
      </c>
      <c r="KT73" s="338" t="str">
        <f t="shared" si="524"/>
        <v/>
      </c>
      <c r="KU73" s="919" t="str">
        <f>IF(A73=FALSE,"",((KG73*TAXE)-(KG73*TAXE*KI73))+IF(KM73="N/A",0,IF(INDEX(LISTES!$F$105:$F$109,MATCH(KM73,LISTES!$C$105:$C$109,0))="FIX",KN73,KO73*KL73)))</f>
        <v/>
      </c>
      <c r="LA73" s="497" t="str">
        <f>IF(A73=FALSE,"",Cotations!D73)</f>
        <v/>
      </c>
      <c r="LB73" s="498" t="str">
        <f>IF(A73=FALSE,"",IF(LISTES!$A$17=1,Cotations!BV73,Cotations!$BW$4))</f>
        <v/>
      </c>
      <c r="LC73" s="499" t="str">
        <f t="shared" si="525"/>
        <v/>
      </c>
      <c r="LD73" s="499" t="str">
        <f t="shared" si="526"/>
        <v/>
      </c>
      <c r="LE73" s="500" t="str">
        <f t="shared" si="527"/>
        <v/>
      </c>
      <c r="LF73" s="501" t="str">
        <f>IF(A73=FALSE,"",IF(LA73="POEA",Cotations!EJ73,IF(LA73="FIXE",Cotations!$BY$4,Cotations!$CA$4*Y73)))</f>
        <v/>
      </c>
      <c r="LG73" s="502" t="str">
        <f t="shared" si="528"/>
        <v/>
      </c>
      <c r="LH73" s="520" t="str">
        <f>IF(A73=FALSE,"",IF(Cotations!$BX$4="monthly",LG73/12*L73,LG73/365*M73))</f>
        <v/>
      </c>
      <c r="LI73" s="503" t="str">
        <f>IF(A73=FALSE,"",Cotations!$CB$4)</f>
        <v/>
      </c>
      <c r="LJ73" s="502" t="str">
        <f t="shared" si="529"/>
        <v/>
      </c>
      <c r="LK73" s="502" t="str">
        <f t="shared" si="530"/>
        <v/>
      </c>
      <c r="LL73" s="504" t="str">
        <f t="shared" si="531"/>
        <v/>
      </c>
      <c r="LM73" s="505" t="str">
        <f>IF(A73=FALSE,"",Cotations!$CC$4)</f>
        <v/>
      </c>
      <c r="LN73" s="503" t="str">
        <f>IF(A73=FALSE,"",Cotations!$CD$4)</f>
        <v/>
      </c>
      <c r="LO73" s="503" t="str">
        <f>IF(A73=FALSE,"",Cotations!$CE$4)</f>
        <v/>
      </c>
      <c r="LP73" s="505" t="str">
        <f>IF(A73=FALSE,"",IF(LM73="N/A",0,IF(INDEX(LISTES!$F$105:$F$109,MATCH(LM73,LISTES!$C$105:$C$109,0))="FIX",IF(INDEX(LISTES!$E$105:$E$109,MATCH(LM73,LISTES!$C$105:$C$109,0))=12,LN73/12*L73,LN73/365*M73),LO73*LL73)))</f>
        <v/>
      </c>
      <c r="LQ73" s="504" t="str">
        <f t="shared" si="532"/>
        <v/>
      </c>
      <c r="LR73" s="505" t="str">
        <f>IF(A73=FALSE,"",LQ73*Cotations!$CF$4)</f>
        <v/>
      </c>
      <c r="LS73" s="505" t="str">
        <f>IF(A73=FALSE,"",LQ73*Cotations!$CG$4)</f>
        <v/>
      </c>
      <c r="LT73" s="506" t="str">
        <f t="shared" si="533"/>
        <v/>
      </c>
      <c r="LU73" s="919" t="str">
        <f>IF(A73=FALSE,"",((LG73*TAXE)-(LG73*TAXE*LI73))+IF(LM73="N/A",0,IF(INDEX(LISTES!$F$105:$F$109,MATCH(LM73,LISTES!$C$105:$C$109,0))="FIX",LN73,LO73*LL73)))</f>
        <v/>
      </c>
      <c r="MA73" s="492" t="str">
        <f>IF(A73=FALSE,"",Cotations!D73)</f>
        <v/>
      </c>
      <c r="MB73" s="491" t="str">
        <f>IF(A73=FALSE,"",IF(LISTES!$A$17=1,Cotations!BV73,Cotations!BW73))</f>
        <v/>
      </c>
      <c r="MC73" s="285" t="str">
        <f t="shared" si="534"/>
        <v/>
      </c>
      <c r="MD73" s="300"/>
      <c r="ME73" s="461" t="str">
        <f t="shared" si="535"/>
        <v/>
      </c>
      <c r="MF73" s="490" t="str">
        <f>IF(A73=FALSE,"",IF(MA73="POEA",Cotations!BY73,IF(MA73="FIXE",Cotations!BZ73,IF(Cotations!CA73*Y73&lt;50000,Z73,Cotations!CA73*Y73))))</f>
        <v/>
      </c>
      <c r="MG73" s="300" t="str">
        <f t="shared" si="536"/>
        <v/>
      </c>
      <c r="MH73" s="522" t="str">
        <f>IF(A73=FALSE,"",IF(Cotations!BX73="monthly",MG73/12*L73,MG73/365*M73))</f>
        <v/>
      </c>
      <c r="MI73" s="489" t="str">
        <f>IF(A73=FALSE,"",IF(Cotations!CB73="","",Cotations!CB73))</f>
        <v/>
      </c>
      <c r="MJ73" s="300" t="str">
        <f t="shared" si="537"/>
        <v/>
      </c>
      <c r="MK73" s="300" t="str">
        <f t="shared" si="538"/>
        <v/>
      </c>
      <c r="ML73" s="919" t="str">
        <f t="shared" si="539"/>
        <v/>
      </c>
      <c r="MM73" s="517" t="str">
        <f>IF(A73=FALSE,"",Cotations!CC73)</f>
        <v/>
      </c>
      <c r="MN73" s="515" t="str">
        <f>IF(A73=FALSE,"",Cotations!CD73)</f>
        <v/>
      </c>
      <c r="MO73" s="493" t="str">
        <f>IF(A73=FALSE,"",Cotations!CE73)</f>
        <v/>
      </c>
      <c r="MP73" s="517" t="str">
        <f>IF(A73=FALSE,"",IF(MM73="N/A",0,IF(INDEX(LISTES!$F$105:$F$109,MATCH(MM73,LISTES!$C$105:$C$109,0))="FIX",IF(INDEX(LISTES!$E$105:$E$109,MATCH(MM73,LISTES!$C$105:$C$109,0))=12,MN73/12*L73,MN73/365*M73),MO73*ML73)))</f>
        <v/>
      </c>
      <c r="MQ73" s="294" t="str">
        <f t="shared" si="540"/>
        <v/>
      </c>
      <c r="MR73" s="494" t="str">
        <f>IF(A73=FALSE,"",MQ73*Cotations!CF73)</f>
        <v/>
      </c>
      <c r="MS73" s="494" t="str">
        <f>IF(A73=FALSE,"",MQ73*Cotations!CG73)</f>
        <v/>
      </c>
      <c r="MT73" s="338" t="str">
        <f t="shared" si="541"/>
        <v/>
      </c>
      <c r="MU73" s="919" t="str">
        <f>IF(A73=FALSE,"",((MG73*TAXE)-(MG73*TAXE*MI73))+IF(MM73="N/A",0,IF(INDEX(LISTES!$F$105:$F$109,MATCH(MM73,LISTES!$C$105:$C$109,0))="FIX",MN73,MO73*ML73)))</f>
        <v/>
      </c>
      <c r="NA73" s="497" t="str">
        <f>IF(A73=FALSE,"",Cotations!D73)</f>
        <v/>
      </c>
      <c r="NB73" s="498" t="str">
        <f>IF(A73=FALSE,"",IF(LISTES!$A$17=1,Cotations!CH73,Cotations!$CI$4))</f>
        <v/>
      </c>
      <c r="NC73" s="499" t="str">
        <f t="shared" si="542"/>
        <v/>
      </c>
      <c r="ND73" s="499" t="str">
        <f t="shared" si="543"/>
        <v/>
      </c>
      <c r="NE73" s="500" t="str">
        <f t="shared" si="544"/>
        <v/>
      </c>
      <c r="NF73" s="501" t="str">
        <f>IF(A73=FALSE,"",IF(NA73="POEA",Cotations!CK73,IF(NA73="FIXE",Cotations!$CK$4,Cotations!$CM$4*Y73)))</f>
        <v/>
      </c>
      <c r="NG73" s="502" t="str">
        <f t="shared" si="545"/>
        <v/>
      </c>
      <c r="NH73" s="520" t="str">
        <f>IF(A73=FALSE,"",IF(Cotations!$CJ$4="monthly",NG73/12*L73,NG73/365*M73))</f>
        <v/>
      </c>
      <c r="NI73" s="503" t="str">
        <f>IF(A73=FALSE,"",Cotations!$CN$4)</f>
        <v/>
      </c>
      <c r="NJ73" s="502" t="str">
        <f t="shared" si="546"/>
        <v/>
      </c>
      <c r="NK73" s="502" t="str">
        <f t="shared" si="547"/>
        <v/>
      </c>
      <c r="NL73" s="504" t="str">
        <f t="shared" si="548"/>
        <v/>
      </c>
      <c r="NM73" s="505" t="str">
        <f>IF(A73=FALSE,"",Cotations!$CO$4)</f>
        <v/>
      </c>
      <c r="NN73" s="520" t="str">
        <f>IF(A73=FALSE,"",Cotations!$CP$4)</f>
        <v/>
      </c>
      <c r="NO73" s="503" t="str">
        <f>IF(A73=FALSE,"",Cotations!$CQ$4)</f>
        <v/>
      </c>
      <c r="NP73" s="505" t="str">
        <f>IF(A73=FALSE,"",IF(NM73="N/A",0,IF(INDEX(LISTES!$F$105:$F$109,MATCH(NM73,LISTES!$C$105:$C$109,0))="FIX",IF(INDEX(LISTES!$E$105:$E$109,MATCH(NM73,LISTES!$C$105:$C$109,0))=12,NN73/12*L73,NN73/365*M73),NO73*NL73)))</f>
        <v/>
      </c>
      <c r="NQ73" s="504" t="str">
        <f t="shared" si="549"/>
        <v/>
      </c>
      <c r="NR73" s="505" t="str">
        <f>IF(A73=FALSE,"",NQ73*Cotations!$CR$4)</f>
        <v/>
      </c>
      <c r="NS73" s="505" t="str">
        <f>IF(A73=FALSE,"",NQ73*Cotations!$CS$4)</f>
        <v/>
      </c>
      <c r="NT73" s="506" t="str">
        <f t="shared" si="550"/>
        <v/>
      </c>
      <c r="NU73" s="919" t="str">
        <f>IF(A73=FALSE,"",((NG73*TAXE)-(NG73*TAXE*NI73))+IF(NM73="N/A",0,IF(INDEX(LISTES!$F$105:$F$109,MATCH(NM73,LISTES!$C$105:$C$109,0))="FIX",NN73,NO73*NL73)))</f>
        <v/>
      </c>
      <c r="OA73" s="492" t="str">
        <f>IF(A73=FALSE,"",Cotations!D73)</f>
        <v/>
      </c>
      <c r="OB73" s="491" t="str">
        <f>IF(A73=FALSE,"",IF(LISTES!$A$17=1,Cotations!CH73,Cotations!CI73))</f>
        <v/>
      </c>
      <c r="OC73" s="285" t="str">
        <f t="shared" si="551"/>
        <v/>
      </c>
      <c r="OD73" s="300"/>
      <c r="OE73" s="461" t="str">
        <f t="shared" si="552"/>
        <v/>
      </c>
      <c r="OF73" s="490" t="str">
        <f>IF(A73=FALSE,"",IF(OA73="POEA",Cotations!CK73,IF(OA73="FIXE",Cotations!CL73,IF(Cotations!CM73*Y73&lt;50000,Z73,Cotations!CM73*Y73))))</f>
        <v/>
      </c>
      <c r="OG73" s="300" t="str">
        <f t="shared" si="553"/>
        <v/>
      </c>
      <c r="OH73" s="522" t="str">
        <f>IF(A73=FALSE,"",IF(Cotations!CJ73="monthly",OG73/12*L73,OG73/365*M73))</f>
        <v/>
      </c>
      <c r="OI73" s="489" t="str">
        <f>IF(A73=FALSE,"",IF(Cotations!CN73="","",Cotations!CN73))</f>
        <v/>
      </c>
      <c r="OJ73" s="300" t="str">
        <f t="shared" si="554"/>
        <v/>
      </c>
      <c r="OK73" s="300" t="str">
        <f t="shared" si="555"/>
        <v/>
      </c>
      <c r="OL73" s="919" t="str">
        <f t="shared" si="556"/>
        <v/>
      </c>
      <c r="OM73" s="517" t="str">
        <f>IF(A73=FALSE,"",Cotations!CO73)</f>
        <v/>
      </c>
      <c r="ON73" s="515" t="str">
        <f>IF(A73=FALSE,"",Cotations!CP73)</f>
        <v/>
      </c>
      <c r="OO73" s="493" t="str">
        <f>IF(A73=FALSE,"",Cotations!CQ73)</f>
        <v/>
      </c>
      <c r="OP73" s="517" t="str">
        <f>IF(A73=FALSE,"",IF(OM73="N/A",0,IF(INDEX(LISTES!$F$105:$F$109,MATCH(OM73,LISTES!$C$105:$C$109,0))="FIX",IF(INDEX(LISTES!$E$105:$E$109,MATCH(OM73,LISTES!$C$105:$C$109,0))=12,ON73/12*L73,ON73/365*M73),OO73*OL73)))</f>
        <v/>
      </c>
      <c r="OQ73" s="294" t="str">
        <f t="shared" si="557"/>
        <v/>
      </c>
      <c r="OR73" s="494" t="str">
        <f>IF(A73=FALSE,"",OQ73*Cotations!CR73)</f>
        <v/>
      </c>
      <c r="OS73" s="494" t="str">
        <f>IF(A73=FALSE,"",OQ73*Cotations!CS73)</f>
        <v/>
      </c>
      <c r="OT73" s="338" t="str">
        <f t="shared" si="558"/>
        <v/>
      </c>
      <c r="OU73" s="919" t="str">
        <f>IF(A73=FALSE,"",((OG73*TAXE)-(OG73*TAXE*OI73))+IF(OM73="N/A",0,IF(INDEX(LISTES!$F$105:$F$109,MATCH(OM73,LISTES!$C$105:$C$109,0))="FIX",ON73,OO73*OL73)))</f>
        <v/>
      </c>
      <c r="PA73" s="497" t="str">
        <f t="shared" si="559"/>
        <v/>
      </c>
      <c r="PB73" s="498" t="str">
        <f>IF(A73=FALSE,"",IF(LISTES!$A$17=1,Cotations!CT73,Cotations!$CU$4))</f>
        <v/>
      </c>
      <c r="PC73" s="499" t="str">
        <f t="shared" si="560"/>
        <v/>
      </c>
      <c r="PD73" s="499" t="str">
        <f t="shared" si="561"/>
        <v/>
      </c>
      <c r="PE73" s="500" t="str">
        <f t="shared" si="562"/>
        <v/>
      </c>
      <c r="PF73" s="501" t="str">
        <f>IF(A73=FALSE,"",Cotations!$CY$4*Y73)</f>
        <v/>
      </c>
      <c r="PG73" s="502" t="str">
        <f t="shared" si="563"/>
        <v/>
      </c>
      <c r="PH73" s="520" t="str">
        <f>IF(A73=FALSE,"",IF(Cotations!$CV$4="monthly",PG73/12*L73,PG73/365*M73))</f>
        <v/>
      </c>
      <c r="PI73" s="503" t="str">
        <f>IF(A73=FALSE,"",Cotations!$CZ$4)</f>
        <v/>
      </c>
      <c r="PJ73" s="502" t="str">
        <f t="shared" si="564"/>
        <v/>
      </c>
      <c r="PK73" s="502" t="str">
        <f t="shared" si="565"/>
        <v/>
      </c>
      <c r="PL73" s="504" t="str">
        <f t="shared" si="566"/>
        <v/>
      </c>
      <c r="PM73" s="505" t="str">
        <f>IF(A73=FALSE,"",Cotations!$DA$4)</f>
        <v/>
      </c>
      <c r="PN73" s="520" t="str">
        <f>IF(A73=FALSE,"",Cotations!$DB$4)</f>
        <v/>
      </c>
      <c r="PO73" s="503" t="str">
        <f>IF(A73=FALSE,"",Cotations!$DC$4)</f>
        <v/>
      </c>
      <c r="PP73" s="505" t="str">
        <f>IF(A73=FALSE,"",IF(PM73="N/A",0,IF(INDEX(LISTES!$F$105:$F$109,MATCH(PM73,LISTES!$C$105:$C$109,0))="FIX",IF(INDEX(LISTES!$E$105:$E$109,MATCH(PM73,LISTES!$C$105:$C$109,0))=12,PN73/12*L73,PN73/365*M73),PO73*PL73)))</f>
        <v/>
      </c>
      <c r="PQ73" s="504" t="str">
        <f t="shared" si="567"/>
        <v/>
      </c>
      <c r="PR73" s="505" t="str">
        <f>IF(A73=FALSE,"",PQ73*Cotations!$DD$4)</f>
        <v/>
      </c>
      <c r="PS73" s="505" t="str">
        <f>IF(A73=FALSE,"",PQ73*Cotations!$DE$4)</f>
        <v/>
      </c>
      <c r="PT73" s="506" t="str">
        <f t="shared" si="568"/>
        <v/>
      </c>
      <c r="PU73" s="919" t="str">
        <f>IF(A73=FALSE,"",((PG73*TAXE)-(PG73*TAXE*PI73))+IF(PM73="N/A",0,IF(INDEX(LISTES!$F$105:$F$109,MATCH(PM73,LISTES!$C$105:$C$109,0))="FIX",PN73,PO73*PL73)))</f>
        <v/>
      </c>
      <c r="QA73" s="492" t="str">
        <f t="shared" si="569"/>
        <v/>
      </c>
      <c r="QB73" s="491" t="str">
        <f>IF(A73=FALSE,"",IF(LISTES!$A$17=1,Cotations!CT73,Cotations!CU73))</f>
        <v/>
      </c>
      <c r="QC73" s="285" t="str">
        <f t="shared" si="570"/>
        <v/>
      </c>
      <c r="QD73" s="300"/>
      <c r="QE73" s="461" t="str">
        <f t="shared" si="571"/>
        <v/>
      </c>
      <c r="QF73" s="490" t="str">
        <f>IF(A73=FALSE,"",Cotations!CY73*AA73)</f>
        <v/>
      </c>
      <c r="QG73" s="300" t="str">
        <f t="shared" si="572"/>
        <v/>
      </c>
      <c r="QH73" s="522" t="str">
        <f>IF(A73=FALSE,"",IF(Cotations!CV73="monthly",QG73/12*L73,QG73/365*M73))</f>
        <v/>
      </c>
      <c r="QI73" s="489" t="str">
        <f>IF(A73=FALSE,"",IF(Cotations!CZ73="","",Cotations!CZ73))</f>
        <v/>
      </c>
      <c r="QJ73" s="300" t="str">
        <f t="shared" si="573"/>
        <v/>
      </c>
      <c r="QK73" s="300" t="str">
        <f t="shared" si="574"/>
        <v/>
      </c>
      <c r="QL73" s="919" t="str">
        <f t="shared" si="575"/>
        <v/>
      </c>
      <c r="QM73" s="517" t="str">
        <f>IF(A73=FALSE,"",Cotations!DA73)</f>
        <v/>
      </c>
      <c r="QN73" s="515" t="str">
        <f>IF(A73=FALSE,"",Cotations!DB73)</f>
        <v/>
      </c>
      <c r="QO73" s="493" t="str">
        <f>IF(A73=FALSE,"",Cotations!DC73)</f>
        <v/>
      </c>
      <c r="QP73" s="517" t="str">
        <f>IF(A73=FALSE,"",IF(QM73="N/A",0,IF(INDEX(LISTES!$F$105:$F$109,MATCH(QM73,LISTES!$C$105:$C$109,0))="FIX",IF(INDEX(LISTES!$E$105:$E$109,MATCH(QM73,LISTES!$C$105:$C$109,0))=12,QN73/12*L73,QN73/365*M73),QO73*QL73)))</f>
        <v/>
      </c>
      <c r="QQ73" s="294" t="str">
        <f t="shared" si="576"/>
        <v/>
      </c>
      <c r="QR73" s="494" t="str">
        <f>IF(A73=FALSE,"",QQ73*Cotations!DD73)</f>
        <v/>
      </c>
      <c r="QS73" s="494" t="str">
        <f>IF(A73=FALSE,"",QQ73*Cotations!DE73)</f>
        <v/>
      </c>
      <c r="QT73" s="338" t="str">
        <f t="shared" si="577"/>
        <v/>
      </c>
      <c r="QU73" s="919" t="str">
        <f>IF(A73=FALSE,"",((QG73*TAXE)-(QG73*TAXE*QI73))+IF(QM73="N/A",0,IF(INDEX(LISTES!$F$105:$F$109,MATCH(QM73,LISTES!$C$105:$C$109,0))="FIX",QN73,QO73*QL73)))</f>
        <v/>
      </c>
      <c r="RA73" s="497" t="str">
        <f t="shared" si="578"/>
        <v/>
      </c>
      <c r="RB73" s="498" t="str">
        <f>IF(A73=FALSE,"",IF(LISTES!$A$17=1,Cotations!DF73,Cotations!$DG$4))</f>
        <v/>
      </c>
      <c r="RC73" s="499" t="str">
        <f t="shared" si="579"/>
        <v/>
      </c>
      <c r="RD73" s="499" t="str">
        <f t="shared" si="580"/>
        <v/>
      </c>
      <c r="RE73" s="500" t="str">
        <f t="shared" si="581"/>
        <v/>
      </c>
      <c r="RF73" s="501" t="str">
        <f>IF(A73=FALSE,"",Cotations!$DK$4*Y73)</f>
        <v/>
      </c>
      <c r="RG73" s="502" t="str">
        <f t="shared" si="582"/>
        <v/>
      </c>
      <c r="RH73" s="520" t="str">
        <f>IF(A73=FALSE,"",IF(Cotations!$DH$4="monthly",RG73/12*L73,RG73/365*M73))</f>
        <v/>
      </c>
      <c r="RI73" s="503" t="str">
        <f>IF(A73=FALSE,"",Cotations!$DL$4)</f>
        <v/>
      </c>
      <c r="RJ73" s="502" t="str">
        <f t="shared" si="583"/>
        <v/>
      </c>
      <c r="RK73" s="502" t="str">
        <f t="shared" si="584"/>
        <v/>
      </c>
      <c r="RL73" s="504" t="str">
        <f t="shared" si="585"/>
        <v/>
      </c>
      <c r="RM73" s="505" t="str">
        <f>IF(A73=FALSE,"",Cotations!$DM$4)</f>
        <v/>
      </c>
      <c r="RN73" s="520" t="str">
        <f>IF(A73=FALSE,"",Cotations!$DN$4)</f>
        <v/>
      </c>
      <c r="RO73" s="503" t="str">
        <f>IF(A73=FALSE,"",Cotations!$DO$4)</f>
        <v/>
      </c>
      <c r="RP73" s="505" t="str">
        <f>IF(A73=FALSE,"",IF(RM73="N/A",0,IF(INDEX(LISTES!$F$105:$F$109,MATCH(RM73,LISTES!$C$105:$C$109,0))="FIX",IF(INDEX(LISTES!$E$105:$E$109,MATCH(RM73,LISTES!$C$105:$C$109,0))=12,RN73/12*L73,RN73/365*M73),RO73*RL73)))</f>
        <v/>
      </c>
      <c r="RQ73" s="504" t="str">
        <f t="shared" si="586"/>
        <v/>
      </c>
      <c r="RR73" s="505" t="str">
        <f>IF(A73=FALSE,"",RQ73*Cotations!$DP$4)</f>
        <v/>
      </c>
      <c r="RS73" s="505" t="str">
        <f>IF(A73=FALSE,"",RQ73*Cotations!$DQ$4)</f>
        <v/>
      </c>
      <c r="RT73" s="506" t="str">
        <f t="shared" si="587"/>
        <v/>
      </c>
      <c r="RU73" s="919" t="str">
        <f>IF(A73=FALSE,"",((RG73*TAXE)-(RG73*TAXE*RI73))+IF(RM73="N/A",0,IF(INDEX(LISTES!$F$105:$F$109,MATCH(RM73,LISTES!$C$105:$C$109,0))="FIX",RN73,RO73*RL73)))</f>
        <v/>
      </c>
      <c r="SA73" s="492" t="str">
        <f t="shared" si="588"/>
        <v/>
      </c>
      <c r="SB73" s="491" t="str">
        <f>IF(A73=FALSE,"",IF(LISTES!$A$17=1,Cotations!DF73,Cotations!DG73))</f>
        <v/>
      </c>
      <c r="SC73" s="285" t="str">
        <f t="shared" si="589"/>
        <v/>
      </c>
      <c r="SD73" s="300"/>
      <c r="SE73" s="461" t="str">
        <f t="shared" si="590"/>
        <v/>
      </c>
      <c r="SF73" s="490" t="str">
        <f>IF(A73=FALSE,"",Cotations!DK73*AA73)</f>
        <v/>
      </c>
      <c r="SG73" s="300" t="str">
        <f t="shared" si="591"/>
        <v/>
      </c>
      <c r="SH73" s="522" t="str">
        <f>IF(A73=FALSE,"",IF(Cotations!DH73="monthly",SG73/12*L73,SG73/365*M73))</f>
        <v/>
      </c>
      <c r="SI73" s="489" t="str">
        <f>IF(A73=FALSE,"",IF(Cotations!DL73="","",Cotations!DL73))</f>
        <v/>
      </c>
      <c r="SJ73" s="300" t="str">
        <f t="shared" si="592"/>
        <v/>
      </c>
      <c r="SK73" s="300" t="str">
        <f t="shared" si="593"/>
        <v/>
      </c>
      <c r="SL73" s="919" t="str">
        <f t="shared" si="594"/>
        <v/>
      </c>
      <c r="SM73" s="285" t="str">
        <f>IF(A73=FALSE,"",Cotations!DM73)</f>
        <v/>
      </c>
      <c r="SN73" s="515" t="str">
        <f>IF(A73=FALSE,"",Cotations!DN73)</f>
        <v/>
      </c>
      <c r="SO73" s="493" t="str">
        <f>IF(A73=FALSE,"",Cotations!DO73)</f>
        <v/>
      </c>
      <c r="SP73" s="517" t="str">
        <f>IF(A73=FALSE,"",IF(SM73="N/A",0,IF(INDEX(LISTES!$F$105:$F$109,MATCH(SM73,LISTES!$C$105:$C$109,0))="FIX",IF(INDEX(LISTES!$E$105:$E$109,MATCH(SM73,LISTES!$C$105:$C$109,0))=12,SN73/12*L73,SN73/365*M73),SO73*SL73)))</f>
        <v/>
      </c>
      <c r="SQ73" s="294" t="str">
        <f t="shared" si="595"/>
        <v/>
      </c>
      <c r="SR73" s="494" t="str">
        <f>IF(A73=FALSE,"",SQ73*Cotations!DP73)</f>
        <v/>
      </c>
      <c r="SS73" s="494" t="str">
        <f>IF(A73=FALSE,"",SQ73*Cotations!DQ73)</f>
        <v/>
      </c>
      <c r="ST73" s="338" t="str">
        <f t="shared" si="596"/>
        <v/>
      </c>
      <c r="SU73" s="919" t="str">
        <f>IF(A73=FALSE,"",((SG73*TAXE)-(SG73*TAXE*SI73))+IF(SM73="N/A",0,IF(INDEX(LISTES!$F$105:$F$109,MATCH(SM73,LISTES!$C$105:$C$109,0))="FIX",SN73,SO73*SL73)))</f>
        <v/>
      </c>
      <c r="TA73" s="492" t="str">
        <f>IF(A73=FALSE,"",Cotations!D73)</f>
        <v/>
      </c>
      <c r="TB73" s="491" t="str">
        <f>IF(A73=FALSE,"",IF(LISTES!$A$17=1,Cotations!DR73,Cotations!DS73))</f>
        <v/>
      </c>
      <c r="TC73" s="285" t="str">
        <f t="shared" si="597"/>
        <v/>
      </c>
      <c r="TD73" s="300" t="str">
        <f>IF(A73=FALSE,"",Detail!CQ73)</f>
        <v/>
      </c>
      <c r="TE73" s="461" t="str">
        <f t="shared" si="598"/>
        <v/>
      </c>
      <c r="TF73" s="490" t="str">
        <f>IF(A73=FALSE,"",IF(TA73="FIXE",Cotations!DU73,Cotations!DV73*Y73))</f>
        <v/>
      </c>
      <c r="TG73" s="300" t="str">
        <f t="shared" si="599"/>
        <v/>
      </c>
      <c r="TH73" s="522" t="str">
        <f>IF(A73=FALSE,"",IF(Cotations!DT73="monthly",TG73/12*L73,TG73/365*M73))</f>
        <v/>
      </c>
      <c r="TI73" s="489" t="str">
        <f>IF(A73=FALSE,"",IF(Cotations!DW73="","",Cotations!DW73))</f>
        <v/>
      </c>
      <c r="TJ73" s="300" t="str">
        <f t="shared" si="600"/>
        <v/>
      </c>
      <c r="TK73" s="300" t="str">
        <f t="shared" si="601"/>
        <v/>
      </c>
      <c r="TL73" s="919" t="str">
        <f t="shared" si="602"/>
        <v/>
      </c>
      <c r="TM73" s="517" t="str">
        <f>IF(A73=FALSE,"",Cotations!DX73)</f>
        <v/>
      </c>
      <c r="TN73" s="517" t="str">
        <f>IF(A73=FALSE,"",Cotations!DY73)</f>
        <v/>
      </c>
      <c r="TO73" s="493" t="str">
        <f>IF(A73=FALSE,"",Cotations!DZ73)</f>
        <v/>
      </c>
      <c r="TP73" s="517" t="str">
        <f>IF(A73=FALSE,"",IF(TM73="N/A",0,IF(INDEX(LISTES!$F$105:$F$109,MATCH(TM73,LISTES!$C$105:$C$109,0))="FIX",IF(INDEX(LISTES!$E$105:$E$109,MATCH(TM73,LISTES!$C$105:$C$109,0))=12,TN73/12*L73,TN73/365*M73),TO73*TL73)))</f>
        <v/>
      </c>
      <c r="TQ73" s="294" t="str">
        <f t="shared" si="603"/>
        <v/>
      </c>
      <c r="TR73" s="494" t="str">
        <f>IF(A73=FALSE,"",TQ73*Cotations!EA73)</f>
        <v/>
      </c>
      <c r="TS73" s="494" t="str">
        <f>IF(A73=FALSE,"",TQ73*Cotations!EB73)</f>
        <v/>
      </c>
      <c r="TT73" s="338" t="str">
        <f t="shared" si="604"/>
        <v/>
      </c>
      <c r="TU73" s="919" t="str">
        <f>IF(A73=FALSE,"",((TG73*(1+TAXE)-(TG73*(1+TAXE)*TI73))+IF(TM73="N/A",0,IF(INDEX(LISTES!$F$105:$F$109,MATCH(TM73,LISTES!$C$105:$C$109,0))="FIX",TN73,TO73*TL73))))</f>
        <v/>
      </c>
      <c r="UA73" s="492" t="str">
        <f>IF(A73=FALSE,"",Cotations!D73)</f>
        <v/>
      </c>
      <c r="UB73" s="491" t="str">
        <f>IF(A73=FALSE,"",IF(LISTES!$A$17=1,Cotations!EC73,Cotations!ED73))</f>
        <v/>
      </c>
      <c r="UC73" s="285" t="str">
        <f t="shared" si="605"/>
        <v/>
      </c>
      <c r="UD73" s="300" t="str">
        <f>IF(A73=FALSE,"",Detail!CY73)</f>
        <v/>
      </c>
      <c r="UE73" s="461" t="str">
        <f t="shared" si="606"/>
        <v/>
      </c>
      <c r="UF73" s="490" t="str">
        <f>IF(A73=FALSE,"",IF(UA73="FIXE",Cotations!EF73,Cotations!EG73*Y73))</f>
        <v/>
      </c>
      <c r="UG73" s="300" t="str">
        <f t="shared" si="607"/>
        <v/>
      </c>
      <c r="UH73" s="522" t="str">
        <f>IF(A73=FALSE,"",IF(Cotations!EE73="monthly",UG73/12*L73,UG73/365*M73))</f>
        <v/>
      </c>
      <c r="UI73" s="489" t="str">
        <f>IF(A73=FALSE,"",IF(Cotations!EH73="","",Cotations!EH73))</f>
        <v/>
      </c>
      <c r="UJ73" s="300" t="str">
        <f t="shared" si="608"/>
        <v/>
      </c>
      <c r="UK73" s="300" t="str">
        <f t="shared" si="609"/>
        <v/>
      </c>
      <c r="UL73" s="919" t="str">
        <f t="shared" si="610"/>
        <v/>
      </c>
      <c r="UM73" s="517" t="str">
        <f>IF(A73=FALSE,"",Cotations!EI73)</f>
        <v/>
      </c>
      <c r="UN73" s="517" t="str">
        <f>IF(A73=FALSE,"",Cotations!EJ73)</f>
        <v/>
      </c>
      <c r="UO73" s="493" t="str">
        <f>IF(A73=FALSE,"",Cotations!EK73)</f>
        <v/>
      </c>
      <c r="UP73" s="517" t="str">
        <f>IF(A73=FALSE,"",IF(UM73="N/A",0,IF(INDEX(LISTES!$F$105:$F$109,MATCH(UM73,LISTES!$C$105:$C$109,0))="FIX",IF(INDEX(LISTES!$E$105:$E$109,MATCH(UM73,LISTES!$C$105:$C$109,0))=12,UN73/12*L73,UN73/365*M73),UO73*UL73)))</f>
        <v/>
      </c>
      <c r="UQ73" s="294" t="str">
        <f t="shared" si="611"/>
        <v/>
      </c>
      <c r="UR73" s="494" t="str">
        <f>IF(A73=FALSE,"",UQ73*Cotations!EL73)</f>
        <v/>
      </c>
      <c r="US73" s="494" t="str">
        <f>IF(A73=FALSE,"",UQ73*Cotations!EM73)</f>
        <v/>
      </c>
      <c r="UT73" s="338" t="str">
        <f t="shared" si="612"/>
        <v/>
      </c>
      <c r="UU73" s="919" t="str">
        <f>IF(A73=FALSE,"",((UG73*(1+TAXE)-(UG73*(1+TAXE)*UI73))+IF(UM73="N/A",0,IF(INDEX(LISTES!$F$105:$F$109,MATCH(UM73,LISTES!$C$105:$C$109,0))="FIX",UN73,UO73*UL73))))</f>
        <v/>
      </c>
      <c r="VA73" s="492" t="str">
        <f>IF(A73=FALSE,"",Cotations!D73)</f>
        <v/>
      </c>
      <c r="VB73" s="519" t="str">
        <f>IF(A73=FALSE,"",IF(LISTES!$A$17=1,Cotations!EN73,Cotations!EO73))</f>
        <v/>
      </c>
      <c r="VC73" s="291" t="str">
        <f t="shared" si="613"/>
        <v/>
      </c>
      <c r="VD73" s="291" t="str">
        <f t="shared" si="614"/>
        <v/>
      </c>
      <c r="VE73" s="291"/>
      <c r="VF73" s="463"/>
      <c r="VG73" s="463" t="str">
        <f t="shared" si="615"/>
        <v/>
      </c>
      <c r="VH73" s="522" t="str">
        <f>IF(A73=FALSE,"",IF(Cotations!$AQ$4="monthly",VG73/12*L73,VG73/365*M73))</f>
        <v/>
      </c>
      <c r="VI73" s="489" t="str">
        <f>IF(A73=FALSE,"",Cotations!$AR$4)</f>
        <v/>
      </c>
      <c r="VJ73" s="300" t="str">
        <f t="shared" si="616"/>
        <v/>
      </c>
      <c r="VK73" s="300" t="str">
        <f t="shared" si="617"/>
        <v/>
      </c>
      <c r="VL73" s="294" t="str">
        <f t="shared" si="618"/>
        <v/>
      </c>
      <c r="VM73" s="494" t="str">
        <f>IF(A73=FALSE,"",Cotations!$AS$4)</f>
        <v/>
      </c>
      <c r="VN73" s="494" t="str">
        <f>IF(A73=FALSE,"",Cotations!$AT$4)</f>
        <v/>
      </c>
      <c r="VO73" s="489" t="str">
        <f>IF(A73=FALSE,"",Cotations!$AU$4)</f>
        <v/>
      </c>
      <c r="VP73" s="494" t="str">
        <f>IF(A73=FALSE,"",IF(VM73="N/A",0,IF(INDEX(LISTES!$F$105:$F$109,MATCH(VM73,LISTES!$C$105:$C$109,0))="FIX",IF(INDEX(LISTES!$E$105:$E$109,MATCH(VM73,LISTES!$C$105:$C$109,0))=12,VN73/12*L73,VN73/365*M73),VO73*VL73)))</f>
        <v/>
      </c>
      <c r="VQ73" s="294" t="str">
        <f t="shared" si="619"/>
        <v/>
      </c>
      <c r="VR73" s="494" t="str">
        <f>IF(A73=FALSE,"",VQ73*Cotations!$AV$4)</f>
        <v/>
      </c>
      <c r="VS73" s="494" t="str">
        <f>IF(A73=FALSE,"",VQ73*Cotations!$AW$4)</f>
        <v/>
      </c>
      <c r="VT73" s="465" t="str">
        <f t="shared" si="620"/>
        <v/>
      </c>
      <c r="VU73" s="919" t="str">
        <f>IF(A73=FALSE,"",((VG73*TAXE)-(VG73*TAXE*VI73))+IF(VM73="N/A",0,IF(INDEX(LISTES!$F$105:$F$109,MATCH(VM73,LISTES!$C$105:$C$109,0))="FIX",VN73,VO73*VL73)))</f>
        <v/>
      </c>
      <c r="WA73" s="492" t="str">
        <f>IF(A73=FALSE,"",Cotations!D73)</f>
        <v/>
      </c>
      <c r="WB73" s="519" t="str">
        <f>IF(A73=FALSE,"",IF(LISTES!$A$17=1,Cotations!EW73,Cotations!EX73))</f>
        <v/>
      </c>
      <c r="WC73" s="291" t="str">
        <f t="shared" si="621"/>
        <v/>
      </c>
      <c r="WD73" s="291" t="str">
        <f t="shared" si="622"/>
        <v/>
      </c>
      <c r="WE73" s="291"/>
      <c r="WF73" s="463"/>
      <c r="WG73" s="463" t="str">
        <f t="shared" si="623"/>
        <v/>
      </c>
      <c r="WH73" s="522" t="str">
        <f>IF(A73=FALSE,"",IF(Cotations!$AQ$4="monthly",WG73/12*L73,WG73/365*M73))</f>
        <v/>
      </c>
      <c r="WI73" s="489" t="str">
        <f>IF(A73=FALSE,"",Cotations!$AR$4)</f>
        <v/>
      </c>
      <c r="WJ73" s="300" t="str">
        <f t="shared" si="624"/>
        <v/>
      </c>
      <c r="WK73" s="300" t="str">
        <f t="shared" si="625"/>
        <v/>
      </c>
      <c r="WL73" s="294" t="str">
        <f t="shared" si="626"/>
        <v/>
      </c>
      <c r="WM73" s="494" t="str">
        <f>IF(A73=FALSE,"",Cotations!$AS$4)</f>
        <v/>
      </c>
      <c r="WN73" s="494" t="str">
        <f>IF(A73=FALSE,"",Cotations!$AT$4)</f>
        <v/>
      </c>
      <c r="WO73" s="489" t="str">
        <f>IF(A73=FALSE,"",Cotations!$AU$4)</f>
        <v/>
      </c>
      <c r="WP73" s="494" t="str">
        <f>IF(A73=FALSE,"",IF(WM73="N/A",0,IF(INDEX(LISTES!$F$105:$F$109,MATCH(WM73,LISTES!$C$105:$C$109,0))="FIX",IF(INDEX(LISTES!$E$105:$E$109,MATCH(WM73,LISTES!$C$105:$C$109,0))=12,WN73/12*L73,WN73/365*M73),WO73*WL73)))</f>
        <v/>
      </c>
      <c r="WQ73" s="294" t="str">
        <f t="shared" si="627"/>
        <v/>
      </c>
      <c r="WR73" s="494" t="str">
        <f>IF(A73=FALSE,"",WQ73*Cotations!$AV$4)</f>
        <v/>
      </c>
      <c r="WS73" s="494" t="str">
        <f>IF(A73=FALSE,"",WQ73*Cotations!$AW$4)</f>
        <v/>
      </c>
      <c r="WT73" s="465" t="str">
        <f t="shared" si="628"/>
        <v/>
      </c>
      <c r="WU73" s="919" t="str">
        <f>IF(A73=FALSE,"",((WG73*TAXE)-(WG73*TAXE*WI73))+IF(WM73="N/A",0,IF(INDEX(LISTES!$F$105:$F$109,MATCH(WM73,LISTES!$C$105:$C$109,0))="FIX",WN73,WO73*WL73)))</f>
        <v/>
      </c>
    </row>
    <row r="74" spans="1:619">
      <c r="A74" s="942" t="b">
        <f t="shared" si="433"/>
        <v>0</v>
      </c>
      <c r="B74" s="942" t="b">
        <f>IF(NAMES!$B$9=TRUE,TRUE,FALSE)</f>
        <v>1</v>
      </c>
      <c r="C74" s="942" t="b">
        <f t="shared" si="413"/>
        <v>0</v>
      </c>
      <c r="D74" s="942" t="b">
        <f t="shared" si="414"/>
        <v>0</v>
      </c>
      <c r="E74" s="274" t="b">
        <f>IF(Cotations!C74="","",Cotations!C74)</f>
        <v>0</v>
      </c>
      <c r="F74" s="274" t="str">
        <f>IF(Cotations!D74="","",Cotations!D74)</f>
        <v>PROP</v>
      </c>
      <c r="G74" s="274" t="str">
        <f>IF(Cotations!E74="","",Cotations!E74)</f>
        <v>2016-2017!</v>
      </c>
      <c r="H74" s="274" t="str">
        <f>IF(Cotations!F74="","",Cotations!F74)</f>
        <v>SINGLE</v>
      </c>
      <c r="I74" s="274" t="str">
        <f>IF(Cotations!G74="","",Cotations!G74)</f>
        <v/>
      </c>
      <c r="J74" s="274" t="str">
        <f>IF(Cotations!H74="","",Cotations!H74)</f>
        <v/>
      </c>
      <c r="K74" s="274" t="str">
        <f>IF(Cotations!I74="","",Cotations!I74)</f>
        <v/>
      </c>
      <c r="L74" s="274" t="str">
        <f>IF(A74=FALSE,"",IF(Cotations!N74="","",Cotations!N74))</f>
        <v/>
      </c>
      <c r="M74" s="274" t="str">
        <f>IF(Cotations!P74="","",Cotations!P74)</f>
        <v/>
      </c>
      <c r="N74" s="724" t="str">
        <f>IF(NAMES!$B$10=TRUE,Cotations!J74,Cotations!L74)</f>
        <v/>
      </c>
      <c r="O74" s="724" t="str">
        <f>IF(NAMES!$B$10=TRUE,Cotations!K74,Cotations!M74)</f>
        <v/>
      </c>
      <c r="P74" s="943" t="str">
        <f t="shared" si="415"/>
        <v/>
      </c>
      <c r="Q74" s="724" t="str">
        <f>IF(A74=FALSE,"",IF(Crewlist!Y74="","",Crewlist!Y74))</f>
        <v/>
      </c>
      <c r="R74" s="78" t="str">
        <f>IF(Cotations!U74="","",Cotations!U74)</f>
        <v/>
      </c>
      <c r="S74" s="943" t="str">
        <f t="shared" si="416"/>
        <v/>
      </c>
      <c r="T74" s="919" t="str">
        <f>IF(A74=FALSE,"",VLOOKUP($U$15:$U$120,Currency!$A$2:$D$10,4,0)*Crewlist!N74)</f>
        <v/>
      </c>
      <c r="U74" s="1355" t="str">
        <f>IF(A74=FALSE,"",IF(IT74=0,Crewlist!M74&amp;"/"&amp;EX74,Crewlist!M74&amp;"/"&amp;IT74))</f>
        <v/>
      </c>
      <c r="V74" s="919" t="str">
        <f>IF(A74=FALSE,"",VLOOKUP($U$15:$U$120,Currency!$A$2:$D$10,4,0)*Detail!Q74)</f>
        <v/>
      </c>
      <c r="W74" s="1355" t="str">
        <f>IF(A74=FALSE,"",IF(IT74=0,Detail!R74&amp;"/"&amp;EX74,Detail!R74&amp;"/"&amp;IT74))</f>
        <v/>
      </c>
      <c r="X74" s="919" t="str">
        <f>IF(A74=FALSE,"",IF(LISTES!$C$17="Crewlist",Calcul!T74,Calcul!V74))</f>
        <v/>
      </c>
      <c r="Y74" s="758" t="str">
        <f t="shared" si="417"/>
        <v/>
      </c>
      <c r="Z74" s="758" t="str">
        <f>IF(A74=FALSE,"",IF(X74=0,0,IF((Cotations!BC74*12*X74)&lt;50000,50000,(12*X74))))</f>
        <v/>
      </c>
      <c r="AA74" s="758" t="str">
        <f t="shared" si="418"/>
        <v/>
      </c>
      <c r="AB74" s="758" t="str">
        <f>IF(A74=FALSE,"",IF(Crewlist!O74=0,"",Crewlist!O74))</f>
        <v/>
      </c>
      <c r="AC74" s="758" t="str">
        <f>IF(I74="","",VLOOKUP($AB$15:$AB$120,Currency!$A$15:$B$34,2,0))</f>
        <v/>
      </c>
      <c r="AD74" s="758" t="str">
        <f t="shared" si="419"/>
        <v/>
      </c>
      <c r="AE74" s="758" t="str">
        <f t="shared" si="420"/>
        <v/>
      </c>
      <c r="AF74" s="758" t="str">
        <f t="shared" si="421"/>
        <v/>
      </c>
      <c r="AG74" s="758" t="str">
        <f t="shared" si="422"/>
        <v/>
      </c>
      <c r="AH74" s="1355" t="str">
        <f t="shared" si="434"/>
        <v/>
      </c>
      <c r="AI74" s="919" t="str">
        <f t="shared" si="423"/>
        <v/>
      </c>
      <c r="AJ74" s="1382" t="str">
        <f t="shared" si="424"/>
        <v/>
      </c>
      <c r="AK74" s="1382" t="str">
        <f t="shared" si="425"/>
        <v/>
      </c>
      <c r="AL74" s="238" t="str">
        <f t="shared" si="435"/>
        <v/>
      </c>
      <c r="AM74" s="238" t="str">
        <f t="shared" si="436"/>
        <v/>
      </c>
      <c r="AN74" s="1374" t="str">
        <f t="shared" si="437"/>
        <v/>
      </c>
      <c r="AO74" s="238" t="str">
        <f t="shared" si="438"/>
        <v/>
      </c>
      <c r="AP74" s="342" t="str">
        <f>IF(A74=FALSE,"",INDEX(Rates!$Z$5:$Z$367,MATCH(EB74,colchoice,0)))</f>
        <v/>
      </c>
      <c r="AQ74" s="238" t="str">
        <f t="shared" si="439"/>
        <v/>
      </c>
      <c r="AR74" s="238" t="str">
        <f t="shared" si="440"/>
        <v/>
      </c>
      <c r="AS74" s="238" t="str">
        <f t="shared" si="441"/>
        <v/>
      </c>
      <c r="AT74" s="238" t="str">
        <f t="shared" si="442"/>
        <v/>
      </c>
      <c r="AU74" s="238" t="str">
        <f t="shared" si="443"/>
        <v/>
      </c>
      <c r="AV74" s="238" t="str">
        <f t="shared" si="429"/>
        <v/>
      </c>
      <c r="AW74" s="238" t="str">
        <f t="shared" si="444"/>
        <v/>
      </c>
      <c r="AX74" s="238" t="str">
        <f t="shared" si="445"/>
        <v/>
      </c>
      <c r="AY74" s="238" t="str">
        <f t="shared" si="446"/>
        <v/>
      </c>
      <c r="AZ74" s="238" t="str">
        <f t="shared" si="447"/>
        <v/>
      </c>
      <c r="BA74" s="238" t="str">
        <f t="shared" si="448"/>
        <v/>
      </c>
      <c r="BB74" s="552" t="str">
        <f t="shared" si="449"/>
        <v/>
      </c>
      <c r="BC74" s="347" t="str">
        <f t="shared" si="450"/>
        <v/>
      </c>
      <c r="BD74" s="239" t="str">
        <f t="shared" si="430"/>
        <v/>
      </c>
      <c r="BE74" s="239" t="str">
        <f>IF(A74=FALSE,"",IF(ALLTHESAME=TRUE,IF(DF74&lt;&gt;$BC$7,0,INDEX(DD74:DZ74,1,MATCH(Structure!$D$12,$DD$14:$DZ$14,0))),IF(EC74&lt;&gt;$BC$7,0,INDEX(EA74:EZ74,1,MATCH(Structure!$D$12,$EA$14:$EZ$14,0)))))</f>
        <v/>
      </c>
      <c r="BF74" s="239" t="str">
        <f>IF(A74=FALSE,"",IF(ALLTHESAME=TRUE,IF(FC74&lt;&gt;$BC$7,0,INDEX(FA74:FZ74,1,MATCH(Structure!$D$12,$FA$14:$FZ$14,0))),IF(GC74&lt;&gt;$BC$7,0,INDEX(GA74:GZ74,1,MATCH(Structure!$D$12,$GA$14:$GZ$14,0)))))</f>
        <v/>
      </c>
      <c r="BG74" s="239" t="str">
        <f>IF(A74=FALSE,"",IF(ALLTHESAME=TRUE,IF(VC74&lt;&gt;$BC$7,0,INDEX(VA74:VZ74,1,MATCH(Structure!$D$12,$VA$14:$VZ$14,0))),IF(VC74&lt;&gt;$BC$7,0,INDEX(VA74:VZ74,1,MATCH(Structure!$D$12,$VA$14:$VZ$14,0)))))</f>
        <v/>
      </c>
      <c r="BH74" s="239" t="str">
        <f>IF(A74=FALSE,"",IF(ALLTHESAME=TRUE,IF(WC74&lt;&gt;$BC$7,0,INDEX(WA74:WY74,1,MATCH(Structure!$D$12,$WA$14:$WZ$14,0))),IF(WC74&lt;&gt;$BC$7,0,INDEX(WA74:WZ74,1,MATCH(Structure!$D$12,$WA$14:$WZ$14,0)))))</f>
        <v/>
      </c>
      <c r="BI74" s="763" t="str">
        <f>IF(A74=FALSE,"",IF(ALLTHESAME=TRUE,IF(HC74&lt;&gt;$BC$7,0,INDEX(HA74:HZ74,1,MATCH(Structure!$D$12,$HA$14:$HZ$14,0)))+TK74,IF(IC74&lt;&gt;$BC$7,0,INDEX(IA74:IZ74,1,MATCH(Structure!$D$12,$IA$14:$IZ$14,0)))+TK74))</f>
        <v/>
      </c>
      <c r="BJ74" s="239" t="str">
        <f>IF(A74=FALSE,"",IF(ALLTHESAME=TRUE,IF(JC74&lt;&gt;$BC$7,0,INDEX(JA74:JZ74,1,MATCH(Structure!$D$12,$JA$14:$JZ$14,0))),IF(KC74&lt;&gt;$BC$7,0,INDEX(KA74:KZ74,1,MATCH(Structure!$D$12,$KA$14:$KZ$14,0)))))</f>
        <v/>
      </c>
      <c r="BK74" s="763" t="str">
        <f>IF(A74=FALSE,"",IF(ALLTHESAME=TRUE,IF(LC74&lt;&gt;$BC$7,0,INDEX(LA74:LZ74,1,MATCH(Structure!$D$12,$LA$14:$LZ$14,0)))+UK74,IF(MC74&lt;&gt;$BC$7,0,INDEX(MA74:MZ74,1,MATCH(Structure!$D$12,$MA$14:$MZ$14,0)))+UK74))</f>
        <v/>
      </c>
      <c r="BL74" s="239" t="str">
        <f>IF(A74=FALSE,"",IF(ALLTHESAME=TRUE,IF(NC74&lt;&gt;$BC$7,0,INDEX(NA74:NZ74,1,MATCH(Structure!$D$12,$NA$14:$NZ$14,0))),IF(OC74&lt;&gt;$BC$7,0,INDEX(OA74:OZ74,1,MATCH(Structure!$D$12,$OA$14:$OZ$14,0)))))</f>
        <v/>
      </c>
      <c r="BM74" s="239" t="str">
        <f>IF(A74=FALSE,"",IF(ALLTHESAME=TRUE,IF(PC74&lt;&gt;$BC$7,0,INDEX(PA74:PZ74,1,MATCH(Structure!$D$12,$PA$14:$PZ$14,0))),IF(QC74&lt;&gt;$BC$7,0,INDEX(QA74:QZ74,1,MATCH(Structure!$D$12,$QA$14:$QZ$14,0)))))</f>
        <v/>
      </c>
      <c r="BN74" s="341" t="str">
        <f>IF(A74=FALSE,"",IF(ALLTHESAME=TRUE,IF(RC74&lt;&gt;$BC$7,0,INDEX(RA74:RZ74,1,MATCH(Structure!$D$12,$RA$14:$RZ$14,0))),IF(SC74&lt;&gt;$BC$7,0,INDEX(SA74:TA74,1,MATCH(Structure!$D$12,$SA$14:$TA$14,0)))))</f>
        <v/>
      </c>
      <c r="BO74" s="507" t="str">
        <f t="shared" si="451"/>
        <v/>
      </c>
      <c r="BP74" s="239" t="str">
        <f t="shared" si="452"/>
        <v/>
      </c>
      <c r="BQ74" s="239" t="str">
        <f>IF(A74=FALSE,"",IF(ALLTHESAME=TRUE,IF(DF74&lt;&gt;$BO$7,0,INDEX(DD74:DZ74,1,MATCH(Structure!$D$12,$DD$14:$DZ$14,0))),IF(EC74&lt;&gt;$BO$7,0,INDEX(EA74:EZ74,1,MATCH(Structure!$D$12,$EA$14:$EZ$14,0)))))</f>
        <v/>
      </c>
      <c r="BR74" s="239" t="str">
        <f>IF(A74=FALSE,"",IF(ALLTHESAME=TRUE,IF(FC74&lt;&gt;$BO$7,0,INDEX(FA74:FZ74,1,MATCH(Structure!$D$12,$FA$14:$FZ$14,0))),IF(GC74&lt;&gt;$BO$7,0,INDEX(GA74:GZ74,1,MATCH(Structure!$D$12,$GA$14:$GZ$14,0)))))</f>
        <v/>
      </c>
      <c r="BS74" s="239" t="str">
        <f>IF(A74=FALSE,"",IF(ALLTHESAME=TRUE,IF(HC74&lt;&gt;$BO$7,0,INDEX(HA74:HZ74,1,MATCH(Structure!$D$12,$HA$14:$HZ$14,0))),IF(IC74&lt;&gt;$BO$7,0,INDEX(IA74:IZ74,1,MATCH(Structure!$D$12,$IA$14:$IZ$14,0)))))</f>
        <v/>
      </c>
      <c r="BT74" s="239" t="str">
        <f>IF(A74=FALSE,"",IF(ALLTHESAME=TRUE,IF(JC74&lt;&gt;$BO$7,0,INDEX(JA74:JZ74,1,MATCH(Structure!$D$12,$JA$14:$JZ$14,0))),IF(KC74&lt;&gt;$BO$7,0,INDEX(KA74:KZ74,1,MATCH(Structure!$D$12,$KA$14:$KZ$14,0)))))</f>
        <v/>
      </c>
      <c r="BU74" s="239" t="str">
        <f>IF(A74=FALSE,"",IF(ALLTHESAME=TRUE,IF(LC74&lt;&gt;$BO$7,0,INDEX(LA74:LZ74,1,MATCH(Structure!$D$12,$LA$14:$LZ$14,0))),IF(MC74&lt;&gt;$BO$7,0,INDEX(MA74:MZ74,1,MATCH(Structure!$D$12,$MA$14:$MZ$14,0)))))</f>
        <v/>
      </c>
      <c r="BV74" s="239" t="str">
        <f>IF(A74=FALSE,"",IF(ALLTHESAME=TRUE,IF(NC74&lt;&gt;$BO$7,0,INDEX(NA74:NZ74,1,MATCH(Structure!$D$12,$NA$14:$NZ$14,0))),IF(OC74&lt;&gt;$BO$7,0,INDEX(OA74:OZ74,1,MATCH(Structure!$D$12,$OA$14:$OZ$14,0)))))</f>
        <v/>
      </c>
      <c r="BW74" s="239" t="str">
        <f>IF(A74=FALSE,"",IF(ALLTHESAME=TRUE,IF(PC74&lt;&gt;$BO$7,0,INDEX(PA74:PZ74,1,MATCH(Structure!$D$12,$PA$14:$PZ$14,0))),IF(QC74&lt;&gt;$BO$7,0,INDEX(QA74:QZ74,1,MATCH(Structure!$D$12,$QA$14:$QZ$14,0)))))</f>
        <v/>
      </c>
      <c r="BX74" s="341" t="str">
        <f>IF(A74=FALSE,"",IF(ALLTHESAME=TRUE,IF(RC74&lt;&gt;$BO$7,0,INDEX(RA74:RZ74,1,MATCH(Structure!$D$12,$RA$14:$RZ$14,0))),IF(SC74&lt;&gt;$BO$7,0,INDEX(SA74:TA74,1,MATCH(Structure!$D$12,$SA$14:$TA$14,0)))))</f>
        <v/>
      </c>
      <c r="BY74" s="347" t="str">
        <f t="shared" si="453"/>
        <v/>
      </c>
      <c r="BZ74" s="507" t="str">
        <f t="shared" si="454"/>
        <v/>
      </c>
      <c r="CA74" s="239" t="str">
        <f t="shared" si="455"/>
        <v/>
      </c>
      <c r="CB74" s="239" t="str">
        <f>IF(A74=FALSE,"",IF(ALLTHESAME=TRUE,INDEX(DD74:DZ74,MATCH(DF74,DF74:DF179,0),MATCH(Structure!$D$17,$DD$14:$DZ$14,0)),INDEX(EA74:EZ74,MATCH(EC74,EC74:EC179,0),MATCH(Structure!$D$17,$EA$14:$EZ$14,0))))</f>
        <v/>
      </c>
      <c r="CC74" s="239" t="str">
        <f>IF(A74=FALSE,"",IF(ALLTHESAME=TRUE,INDEX(FA74:FZ74,MATCH(FC74,FC74:FC179,0),MATCH(Structure!$D$17,$FA$14:$FZ$14,0)),INDEX(GA74:GZ74,MATCH(GC74,GC74:GC179,0),MATCH(Structure!$D$17,$GA$14:$GZ$14,0))))</f>
        <v/>
      </c>
      <c r="CD74" s="239" t="str">
        <f>IF(A74=FALSE,"",IF(ALLTHESAME=TRUE,INDEX(HA74:HZ74,MATCH(HC74,HC74:HC179,0),MATCH(Structure!$D$17,$HA$14:$HZ$14,0)),INDEX(IA74:IZ74,MATCH(IC74,IC74:IC179,0),MATCH(Structure!$D$17,$IA$14:$IZ$14,0))))</f>
        <v/>
      </c>
      <c r="CE74" s="239" t="str">
        <f>IF(A74=FALSE,"",IF(ALLTHESAME=TRUE,INDEX(JA74:JZ74,MATCH(JC74,JC74:JC179,0),MATCH(Structure!$D$17,$JA$14:$JZ$14,0)),INDEX(KA74:KZ74,MATCH(KC74,KC74:KC179,0),MATCH(Structure!$D$17,$KA$14:$KZ$14,0))))</f>
        <v/>
      </c>
      <c r="CF74" s="239" t="str">
        <f>IF(A74=FALSE,"",IF(ALLTHESAME=TRUE,INDEX(LA74:LZ74,MATCH(LC74,LC74:LC179,0),MATCH(Structure!$D$17,$LA$14:$LZ$14,0)),INDEX(MA74:MZ74,MATCH(MC74,MC74:MC179,0),MATCH(Structure!$D$17,$MA$14:$MZ$14,0))))</f>
        <v/>
      </c>
      <c r="CG74" s="239" t="str">
        <f>IF(A74=FALSE,"",IF(ALLTHESAME=TRUE,INDEX(NA74:NZ74,MATCH(NC74,NC74:NC179,0),MATCH(Structure!$D$17,$NA$14:$NZ$14,0)),INDEX(OA74:OZ74,MATCH(OC74,OC74:OC179,0),MATCH(Structure!$D$17,$OA$14:$OZ$14,0))))</f>
        <v/>
      </c>
      <c r="CH74" s="239" t="str">
        <f>IF(A74=FALSE,"",IF(ALLTHESAME=TRUE,INDEX(PA74:PZ74,MATCH(PC74,PC74:PC179,0),MATCH(Structure!$D$17,$PA$14:$PZ$14,0)),INDEX(QA74:QZ74,MATCH(QC74,QC74:QC179,0),MATCH(Structure!$D$17,$QA$14:$QZ$14,0))))</f>
        <v/>
      </c>
      <c r="CI74" s="341" t="str">
        <f>IF(A74=FALSE,"",IF(ALLTHESAME=TRUE,INDEX(RA74:RZ74,MATCH(RC74,RC74:RC179,0),MATCH(Structure!$D$17,$RA$14:$RZ$14,0)),INDEX(SA74:TC74,MATCH(SC74,SC74:SC179,0),MATCH(Structure!$D$17,$SA$14:$TC$14,0))))</f>
        <v/>
      </c>
      <c r="CJ74" s="347"/>
      <c r="CK74" s="239" t="str">
        <f t="shared" si="456"/>
        <v/>
      </c>
      <c r="CL74" s="239" t="str">
        <f>IF(A74=FALSE,"",IF(ALLTHESAME=TRUE,INDEX(DD74:DZ74,MATCH(DF74,DF74:DF179,0),MATCH(Structure!$D$22,$DD$14:$DZ$14,0)),INDEX(EA74:EZ74,MATCH(EC74,EC74:EC179,0),MATCH(Structure!$D$22,$EA$14:$EZ$14,0))))</f>
        <v/>
      </c>
      <c r="CM74" s="239" t="str">
        <f>IF(A74=FALSE,"",IF(ALLTHESAME=TRUE,INDEX(FA74:FZ74,MATCH(FC74,FC74:FC179,0),MATCH(Structure!$D$22,$FA$14:$FZ$14,0)),INDEX(GA74:GZ74,MATCH(GC74,GC74:GC179,0),MATCH(Structure!$D$22,$GA$14:$GZ$14,0))))</f>
        <v/>
      </c>
      <c r="CN74" s="239" t="str">
        <f>IF(A74=FALSE,"",IF(ALLTHESAME=TRUE,INDEX(HA74:HZ74,MATCH(HC74,HC74:HC179,0),MATCH(Structure!$D$22,$HA$14:$HZ$14,0)),INDEX(IA74:IZ74,MATCH(IC74,IC74:IC179,0),MATCH(Structure!$D$22,$IA$14:$IZ$14,0))))</f>
        <v/>
      </c>
      <c r="CO74" s="239" t="str">
        <f>IF(A74=FALSE,"",IF(ALLTHESAME=TRUE,INDEX(JA74:JZ74,MATCH(JC74,JC74:JC179,0),MATCH(Structure!$D$22,$JA$14:$JZ$14,0)),INDEX(KA74:KZ74,MATCH(KC74,KC74:KC179,0),MATCH(Structure!$D$22,$KA$14:$KZ$14,0))))</f>
        <v/>
      </c>
      <c r="CP74" s="239" t="str">
        <f>IF(A74=FALSE,"",IF(ALLTHESAME=TRUE,INDEX(LA74:LZ74,MATCH(LC74,LC74:LC179,0),MATCH(Structure!$D$22,$LA$14:$LZ$14,0)),INDEX(MA74:MZ74,MATCH(MC74,MC74:MC179,0),MATCH(Structure!$D$22,$MA$14:$MZ$14,0))))</f>
        <v/>
      </c>
      <c r="CQ74" s="239" t="str">
        <f>IF(A74=FALSE,"",IF(ALLTHESAME=TRUE,INDEX(NA74:NZ74,MATCH(NC74,NC74:NC179,0),MATCH(Structure!$D$22,$NA$14:$NZ$14,0)),INDEX(OA74:OZ74,MATCH(OC74,OC74:OC179,0),MATCH(Structure!$D$22,$OA$14:$OZ$14,0))))</f>
        <v/>
      </c>
      <c r="CR74" s="239" t="str">
        <f>IF(A74=FALSE,"",IF(ALLTHESAME=TRUE,INDEX(PA74:PZ74,MATCH(PC74,PC74:PC179,0),MATCH(Structure!$D$22,$PA$14:$PZ$14,0)),INDEX(QA74:QZ74,MATCH(QC74,QC74:QC179,0),MATCH(Structure!$D$22,$QA$14:$QZ$14,0))))</f>
        <v/>
      </c>
      <c r="CS74" s="341" t="str">
        <f>IF(A74=FALSE,"",IF(ALLTHESAME=TRUE,INDEX(RA74:RZ74,MATCH(RC74,RC74:RC179,0),MATCH(Structure!$D$22,$RA$14:$RZ$14,0)),INDEX(SA74:TC74,MATCH(SC74,SC74:SC179,0),MATCH(Structure!$D$22,$SA$14:$TC$14,0))))</f>
        <v/>
      </c>
      <c r="CT74" s="347"/>
      <c r="CU74" s="239" t="str">
        <f t="shared" si="457"/>
        <v/>
      </c>
      <c r="CV74" s="239" t="str">
        <f>IF(A74=FALSE,"",IF(ALLTHESAME=TRUE,INDEX(DD74:DZ74,MATCH(DF74,DF74:DF179,0),MATCH(Structure!$D$8,$DD$14:$DZ$14,0)),INDEX(EA74:EZ74,MATCH(EC74,EC74:EC179,0),MATCH(Structure!$D$8,$EA$14:$EZ$14,0))))</f>
        <v/>
      </c>
      <c r="CW74" s="239" t="str">
        <f>IF(A74=FALSE,"",IF(ALLTHESAME=TRUE,INDEX(FA74:FZ74,MATCH(FC74,FC74:FC179,0),MATCH(Structure!$D$8,$FA$14:$FZ$14,0)),INDEX(GA74:GZ74,MATCH(GC74,GC74:GC179,0),MATCH(Structure!$D$8,$GA$14:$GZ$14,0))))</f>
        <v/>
      </c>
      <c r="CX74" s="239" t="str">
        <f>IF(A74=FALSE,"",IF(ALLTHESAME=TRUE,INDEX(HA74:HZ74,MATCH(HC74,HC74:HC179,0),MATCH(Structure!$D$8,$HA$14:$HZ$14,0)),INDEX(IA74:IZ74,MATCH(IC74,IC74:IC179,0),MATCH(Structure!$D$8,$IA$14:$IZ$14,0))))</f>
        <v/>
      </c>
      <c r="CY74" s="239" t="str">
        <f>IF(A74=FALSE,"",IF(ALLTHESAME=TRUE,INDEX(JA74:JZ74,MATCH(JC74,JC74:JC179,0),MATCH(Structure!$D$8,$JA$14:$JZ$14,0)),INDEX(KA74:KZ74,MATCH(KC74,KC74:KC179,0),MATCH(Structure!$D$8,$KA$14:$KZ$14,0))))</f>
        <v/>
      </c>
      <c r="CZ74" s="239" t="str">
        <f>IF(A74=FALSE,"",IF(ALLTHESAME=TRUE,INDEX(LA74:LZ74,MATCH(LC74,LC74:LC179,0),MATCH(Structure!$D$8,$LA$14:$LZ$14,0)),INDEX(MA74:MZ74,MATCH(MC74,MC74:MC179,0),MATCH(Structure!$D$8,$MA$14:$MZ$14,0))))</f>
        <v/>
      </c>
      <c r="DA74" s="239" t="str">
        <f>IF(A74=FALSE,"",IF(ALLTHESAME=TRUE,INDEX(NA74:NZ74,MATCH(NC74,NC74:NC179,0),MATCH(Structure!$D$8,$NA$14:$NZ$14,0)),INDEX(OA74:OZ74,MATCH(OC74,OC74:OC179,0),MATCH(Structure!$D$8,$OA$14:$OZ$14,0))))</f>
        <v/>
      </c>
      <c r="DB74" s="239" t="str">
        <f>IF(A74=FALSE,"",IF(ALLTHESAME=TRUE,INDEX(PA74:PZ74,MATCH(PC74,PC74:PC179,0),MATCH(Structure!$D$8,$PA$14:$PZ$14,0)),INDEX(QA74:QZ74,MATCH(QC74,QC74:QC179,0),MATCH(Structure!$D$8,$QA$14:$QZ$14,0))))</f>
        <v/>
      </c>
      <c r="DC74" s="341" t="str">
        <f>IF(A74=FALSE,"",IF(ALLTHESAME=TRUE,INDEX(RA74:RZ74,MATCH(RC74,RC74:RC179,0),MATCH(Structure!$D$8,$RA$14:$RZ$14,0)),INDEX(SA74:TC74,MATCH(SC74,SC74:SC179,0),MATCH(Structure!$D$8,$SA$14:$TC$14,0))))</f>
        <v/>
      </c>
      <c r="DD74" s="492" t="str">
        <f>IF(A74=FALSE,"",Cotations!D74)</f>
        <v/>
      </c>
      <c r="DE74" s="492" t="str">
        <f>IF(A74=FALSE,"",IF(LISTES!$A$17=1,Cotations!AF74,Cotations!$AG$4))</f>
        <v/>
      </c>
      <c r="DF74" s="291" t="str">
        <f t="shared" si="458"/>
        <v/>
      </c>
      <c r="DG74" s="291" t="str">
        <f t="shared" si="459"/>
        <v/>
      </c>
      <c r="DH74" s="291"/>
      <c r="DI74" s="463"/>
      <c r="DJ74" s="463" t="str">
        <f t="shared" si="460"/>
        <v/>
      </c>
      <c r="DK74" s="522" t="str">
        <f>IF(A74=FALSE,"",IF(Cotations!$AH$4="monthly",DJ74/12*L74,DJ74/365*M74))</f>
        <v/>
      </c>
      <c r="DL74" s="489" t="str">
        <f>IF(A74=FALSE,"",Cotations!$AI$4)</f>
        <v/>
      </c>
      <c r="DM74" s="300" t="str">
        <f t="shared" si="461"/>
        <v/>
      </c>
      <c r="DN74" s="300" t="str">
        <f t="shared" si="462"/>
        <v/>
      </c>
      <c r="DO74" s="294" t="str">
        <f t="shared" si="463"/>
        <v/>
      </c>
      <c r="DP74" s="494" t="str">
        <f>IF(A74=FALSE,"",Cotations!$AJ$4)</f>
        <v/>
      </c>
      <c r="DQ74" s="494" t="str">
        <f>IF(A74=FALSE,"",Cotations!$AK$4)</f>
        <v/>
      </c>
      <c r="DR74" s="489" t="str">
        <f>IF(A74=FALSE,"",Cotations!$AL$4)</f>
        <v/>
      </c>
      <c r="DS74" s="494" t="str">
        <f>IF(A74=FALSE,"",IF(DP74="N/A",0,IF(INDEX(LISTES!$F$105:$F$109,MATCH(DP74,LISTES!$C$105:$C$109,0))="FIX",IF(INDEX(LISTES!$E$105:$E$109,MATCH(DP74,LISTES!$C$105:$C$109,0))=12,DQ74/12*L74,DQ74/365*M74),DR74*DO74)))</f>
        <v/>
      </c>
      <c r="DT74" s="294" t="str">
        <f t="shared" si="464"/>
        <v/>
      </c>
      <c r="DU74" s="294" t="str">
        <f>IF(A74=FALSE,"",DT74*Cotations!$AM$4)</f>
        <v/>
      </c>
      <c r="DV74" s="294" t="str">
        <f>IF(A74=FALSE,"",DT74*Cotations!$AN$4)</f>
        <v/>
      </c>
      <c r="DW74" s="465" t="str">
        <f t="shared" si="465"/>
        <v/>
      </c>
      <c r="DX74" s="919" t="str">
        <f>IF(A74=FALSE,"",((DJ74*TAXE)-(DJ74*TAXE*DL74))+IF(DP74="N/A",0,IF(INDEX(LISTES!$F$105:$F$109,MATCH(DP74,LISTES!$C$105:$C$109,0))="FIX",DQ74,DR74*DO74)))</f>
        <v/>
      </c>
      <c r="DY74" s="466"/>
      <c r="DZ74" s="466"/>
      <c r="EA74" s="492" t="str">
        <f>IF(A74=FALSE,"",Cotations!D74)</f>
        <v/>
      </c>
      <c r="EB74" s="494" t="str">
        <f>IF(A74=FALSE,"",IF(LISTES!$A$17=1,Cotations!AF74,Cotations!AG74))</f>
        <v/>
      </c>
      <c r="EC74" s="284" t="str">
        <f t="shared" si="466"/>
        <v/>
      </c>
      <c r="ED74" s="284" t="str">
        <f t="shared" si="467"/>
        <v/>
      </c>
      <c r="EE74" s="284"/>
      <c r="EF74" s="284"/>
      <c r="EG74" s="284" t="str">
        <f t="shared" si="468"/>
        <v/>
      </c>
      <c r="EH74" s="1365" t="str">
        <f t="shared" si="469"/>
        <v/>
      </c>
      <c r="EI74" s="1365" t="str">
        <f t="shared" si="470"/>
        <v/>
      </c>
      <c r="EJ74" s="515" t="str">
        <f>IF(A74=FALSE,"",IF(Cotations!AH74="monthly",EG74/12*L74,EG74/365*M74))</f>
        <v/>
      </c>
      <c r="EK74" s="1364" t="str">
        <f>IF(A74=FALSE,"",IF(Cotations!AH74="monthly",EI74/12*L74,EI74/365*M74))</f>
        <v/>
      </c>
      <c r="EL74" s="493" t="str">
        <f>IF(A74=FALSE,"",IF(Cotations!AI74="","",Cotations!AI74))</f>
        <v/>
      </c>
      <c r="EM74" s="284" t="str">
        <f t="shared" si="471"/>
        <v/>
      </c>
      <c r="EN74" s="284" t="str">
        <f t="shared" si="472"/>
        <v/>
      </c>
      <c r="EO74" s="1365" t="str">
        <f t="shared" si="432"/>
        <v/>
      </c>
      <c r="EP74" s="284" t="str">
        <f t="shared" si="473"/>
        <v/>
      </c>
      <c r="EQ74" s="515" t="str">
        <f>IF(A74=FALSE,"",Cotations!AJ74)</f>
        <v/>
      </c>
      <c r="ER74" s="515" t="str">
        <f>IF(A74=FALSE,"",IF(Cotations!AK74="","",Cotations!AK74))</f>
        <v/>
      </c>
      <c r="ES74" s="493" t="str">
        <f>IF(A74=FALSE,"",Cotations!AL74)</f>
        <v/>
      </c>
      <c r="ET74" s="515" t="str">
        <f>IF(A74=FALSE,"",IF(EQ74="N/A",0,IF(INDEX(LISTES!$F$105:$F$109,MATCH(EQ74,LISTES!$C$105:$C$109,0))="FIX",IF(INDEX(LISTES!$E$105:$E$109,MATCH(EQ74,LISTES!$C$105:$C$109,0))=12,ER74/12*L74,ER74/365*M74),ES74*EP74)))</f>
        <v/>
      </c>
      <c r="EU74" s="294" t="str">
        <f t="shared" si="474"/>
        <v/>
      </c>
      <c r="EV74" s="494" t="str">
        <f>IF(A74=FALSE,"",EU74*Cotations!AM74)</f>
        <v/>
      </c>
      <c r="EW74" s="494" t="str">
        <f>IF(A74=FALSE,"",EU74*Cotations!AN74)</f>
        <v/>
      </c>
      <c r="EX74" s="334" t="str">
        <f t="shared" si="475"/>
        <v/>
      </c>
      <c r="EY74" s="919" t="str">
        <f>IF(A74=FALSE,"",((EG74*TAXE)-(EG74*TAXE*EL74)+EH74)+IF(EQ74="N/A",0,IF(INDEX(LISTES!$F$105:$F$109,MATCH(EQ74,LISTES!$C$105:$C$109,0))="FIX",ER74,ES74*EP74)))</f>
        <v/>
      </c>
      <c r="FA74" s="492" t="str">
        <f>IF(A74=FALSE,"",Cotations!D74)</f>
        <v/>
      </c>
      <c r="FB74" s="519" t="str">
        <f>IF(A74=FALSE,"",IF(LISTES!$A$17=1,Cotations!AO74,Cotations!$AP$4))</f>
        <v/>
      </c>
      <c r="FC74" s="291" t="str">
        <f t="shared" si="476"/>
        <v/>
      </c>
      <c r="FD74" s="291" t="str">
        <f t="shared" si="477"/>
        <v/>
      </c>
      <c r="FE74" s="291"/>
      <c r="FF74" s="463"/>
      <c r="FG74" s="463" t="str">
        <f t="shared" si="478"/>
        <v/>
      </c>
      <c r="FH74" s="522" t="str">
        <f>IF(A74=FALSE,"",IF(Cotations!$AQ$4="monthly",FG74/12*L74,FG74/365*M74))</f>
        <v/>
      </c>
      <c r="FI74" s="453" t="str">
        <f>IF(A74=FALSE,"",Cotations!$AR$4)</f>
        <v/>
      </c>
      <c r="FJ74" s="300" t="str">
        <f t="shared" si="479"/>
        <v/>
      </c>
      <c r="FK74" s="300" t="str">
        <f t="shared" si="480"/>
        <v/>
      </c>
      <c r="FL74" s="294" t="str">
        <f t="shared" si="481"/>
        <v/>
      </c>
      <c r="FM74" s="494" t="str">
        <f>IF(A74=FALSE,"",Cotations!$AS$4)</f>
        <v/>
      </c>
      <c r="FN74" s="494" t="str">
        <f>IF(A74=FALSE,"",Cotations!$AT$4)</f>
        <v/>
      </c>
      <c r="FO74" s="489" t="str">
        <f>IF(A74=FALSE,"",Cotations!$AU$4)</f>
        <v/>
      </c>
      <c r="FP74" s="494" t="str">
        <f>IF(A74=FALSE,"",IF(FM74="N/A",0,IF(INDEX(LISTES!$F$105:$F$109,MATCH(FM74,LISTES!$C$105:$C$109,0))="FIX",IF(INDEX(LISTES!$E$105:$E$109,MATCH(FM74,LISTES!$C$105:$C$109,0))=12,FN74/12*L74,FN74/365*M74),FO74*FL74)))</f>
        <v/>
      </c>
      <c r="FQ74" s="294" t="str">
        <f t="shared" si="482"/>
        <v/>
      </c>
      <c r="FR74" s="494" t="str">
        <f>IF(A74=FALSE,"",FQ74*Cotations!$AV$4)</f>
        <v/>
      </c>
      <c r="FS74" s="494" t="str">
        <f>IF(A74=FALSE,"",FQ74*Cotations!$AW$4)</f>
        <v/>
      </c>
      <c r="FT74" s="465" t="str">
        <f t="shared" si="483"/>
        <v/>
      </c>
      <c r="FU74" s="919" t="str">
        <f>IF(A74=FALSE,"",((FG74*TAXE)-(FG74*TAXE*FI74))+IF(FM74="N/A",0,IF(INDEX(LISTES!$F$105:$F$109,MATCH(FM74,LISTES!$C$105:$C$109,0))="FIX",FN74,FO74*FL74)))</f>
        <v/>
      </c>
      <c r="FV74" s="478"/>
      <c r="FW74" s="478"/>
      <c r="FX74" s="478"/>
      <c r="FY74" s="478"/>
      <c r="FZ74" s="478"/>
      <c r="GA74" s="492" t="str">
        <f>IF(A74=FALSE,"",Cotations!D74)</f>
        <v/>
      </c>
      <c r="GB74" s="494" t="str">
        <f>IF(A74=FALSE,"",IF(LISTES!$A$17=1,Cotations!AO74,Cotations!AP74))</f>
        <v/>
      </c>
      <c r="GC74" s="284" t="str">
        <f t="shared" si="484"/>
        <v/>
      </c>
      <c r="GD74" s="515" t="str">
        <f>IF(A74=FALSE,"",IF(Detail!AM74="","",Detail!AM74))</f>
        <v/>
      </c>
      <c r="GE74" s="284"/>
      <c r="GF74" s="284"/>
      <c r="GG74" s="284" t="str">
        <f t="shared" si="485"/>
        <v/>
      </c>
      <c r="GH74" s="515" t="str">
        <f>IF(A74=FALSE,"",IF(Cotations!AQ74="monthly",GG74/12*L74,GG74/365*M74))</f>
        <v/>
      </c>
      <c r="GI74" s="493" t="str">
        <f>IF(A74=FALSE,"",IF(Cotations!AR74="","",Cotations!AR74))</f>
        <v/>
      </c>
      <c r="GJ74" s="284" t="str">
        <f t="shared" si="486"/>
        <v/>
      </c>
      <c r="GK74" s="284" t="str">
        <f t="shared" si="487"/>
        <v/>
      </c>
      <c r="GL74" s="284" t="str">
        <f t="shared" si="488"/>
        <v/>
      </c>
      <c r="GM74" s="515" t="str">
        <f>IF(A74=FALSE,"",Cotations!AS74)</f>
        <v/>
      </c>
      <c r="GN74" s="515" t="str">
        <f>IF(A74=FALSE,"",Cotations!AT74)</f>
        <v/>
      </c>
      <c r="GO74" s="493" t="str">
        <f>IF(A74=FALSE,"",Cotations!AU74)</f>
        <v/>
      </c>
      <c r="GP74" s="515" t="str">
        <f>IF(A74=FALSE,"",IF(GM74="N/A",0,IF(INDEX(LISTES!$F$105:$F$109,MATCH(GM74,LISTES!$C$105:$C$109,0))="FIX",IF(INDEX(LISTES!$E$105:$E$109,MATCH(GM74,LISTES!$C$105:$C$109,0))=12,GN74/12*L74,GN74/365*M74),GO74*GL74)))</f>
        <v/>
      </c>
      <c r="GQ74" s="294" t="str">
        <f t="shared" si="489"/>
        <v/>
      </c>
      <c r="GR74" s="494" t="str">
        <f>IF(A74=FALSE,"",GQ74*Cotations!AV74)</f>
        <v/>
      </c>
      <c r="GS74" s="494" t="str">
        <f>IF(A74=FALSE,"",GQ74*Cotations!AW74)</f>
        <v/>
      </c>
      <c r="GT74" s="334" t="str">
        <f t="shared" si="490"/>
        <v/>
      </c>
      <c r="GU74" s="919" t="str">
        <f>IF(A74=FALSE,"",((GG74*TAXE)-(GG74*TAXE*GI74))+IF(GM74="N/A",0,IF(INDEX(LISTES!$F$105:$F$109,MATCH(GM74,LISTES!$C$105:$C$109,0))="FIX",GN74,GO74*GL74)))</f>
        <v/>
      </c>
      <c r="GV74" s="478"/>
      <c r="GW74" s="466"/>
      <c r="GX74" s="466"/>
      <c r="GY74" s="466"/>
      <c r="GZ74" s="466"/>
      <c r="HA74" s="492" t="str">
        <f>IF(A74=FALSE,"",Cotations!D74)</f>
        <v/>
      </c>
      <c r="HB74" s="495" t="str">
        <f>IF(A74=FALSE,"",IF(LISTES!$A$17=1,Cotations!AX74,Cotations!$AY$4))</f>
        <v/>
      </c>
      <c r="HC74" s="291" t="str">
        <f t="shared" si="491"/>
        <v/>
      </c>
      <c r="HD74" s="291" t="str">
        <f t="shared" si="492"/>
        <v/>
      </c>
      <c r="HE74" s="456" t="str">
        <f t="shared" si="493"/>
        <v/>
      </c>
      <c r="HF74" s="496" t="str">
        <f>IF(A74=FALSE,"",IF(HA74="POEA",Cotations!BA74,IF(HA74="FIXE",Cotations!$BA$4,Cotations!$BC$4*Y74)))</f>
        <v/>
      </c>
      <c r="HG74" s="300" t="str">
        <f t="shared" si="494"/>
        <v/>
      </c>
      <c r="HH74" s="522" t="str">
        <f>IF(A74=FALSE,"",IF(Cotations!$AZ$4="monthly",HG74/12*L74,HG74/365*M74))</f>
        <v/>
      </c>
      <c r="HI74" s="489" t="str">
        <f>IF(A74=FALSE,"",Cotations!$BD$4)</f>
        <v/>
      </c>
      <c r="HJ74" s="300" t="str">
        <f t="shared" si="495"/>
        <v/>
      </c>
      <c r="HK74" s="300" t="str">
        <f t="shared" si="496"/>
        <v/>
      </c>
      <c r="HL74" s="294" t="str">
        <f t="shared" si="497"/>
        <v/>
      </c>
      <c r="HM74" s="494" t="str">
        <f>IF(A74=FALSE,"",Cotations!$BE$4)</f>
        <v/>
      </c>
      <c r="HN74" s="522" t="str">
        <f>IF(A74=FALSE,"",Cotations!$BF$4)</f>
        <v/>
      </c>
      <c r="HO74" s="489" t="str">
        <f>IF(A74=FALSE,"",Cotations!$BG$4)</f>
        <v/>
      </c>
      <c r="HP74" s="494" t="str">
        <f>IF(A74=FALSE,"",IF(HM74="N/A",0,IF(INDEX(LISTES!$F$105:$F$109,MATCH(HM74,LISTES!$C$105:$C$109,0))="FIX",IF(INDEX(LISTES!$E$105:$E$109,MATCH(HM74,LISTES!$C$105:$C$109,0))=12,HN74/12*L74,HN74/365*M74),HO74*HL74)))</f>
        <v/>
      </c>
      <c r="HQ74" s="294" t="str">
        <f t="shared" si="498"/>
        <v/>
      </c>
      <c r="HR74" s="494" t="str">
        <f>IF(A74=FALSE,"",HQ74*Cotations!$BH$4)</f>
        <v/>
      </c>
      <c r="HS74" s="494" t="str">
        <f>IF(A74=FALSE,"",HQ74*Cotations!$BI$4)</f>
        <v/>
      </c>
      <c r="HT74" s="294" t="str">
        <f t="shared" si="499"/>
        <v/>
      </c>
      <c r="HU74" s="919" t="str">
        <f>IF(A74=FALSE,"",((HG74*TAXE)-(HG74*TAXE*HI74))+IF(HM74="N/A",0,IF(INDEX(LISTES!$F$105:$F$109,MATCH(HM74,LISTES!$C$105:$C$109,0))="FIX",HN74,HO74*HL74)))</f>
        <v/>
      </c>
      <c r="IA74" s="492" t="str">
        <f>IF(A74=FALSE,"",Cotations!D74)</f>
        <v/>
      </c>
      <c r="IB74" s="491" t="str">
        <f>IF(A74=FALSE,"",IF(LISTES!$A$17=1,Cotations!AX74,Cotations!AY74))</f>
        <v/>
      </c>
      <c r="IC74" s="285" t="str">
        <f t="shared" si="500"/>
        <v/>
      </c>
      <c r="ID74" s="300" t="str">
        <f>IF(A74=FALSE,"",IF(LISTES!$A$17=3,Detail!AU74,lig1_Formula_PREVOY))</f>
        <v/>
      </c>
      <c r="IE74" s="461" t="str">
        <f t="shared" si="501"/>
        <v/>
      </c>
      <c r="IF74" s="490" t="str">
        <f>IF(A74=FALSE,"",IF(IA74="POEA",Cotations!BA74,IF(HA74="FIXE",Cotations!BB74,IF(Cotations!BC74*Y74&lt;50000,Z74,Cotations!BC74*Y74))))</f>
        <v/>
      </c>
      <c r="IG74" s="300" t="str">
        <f t="shared" si="502"/>
        <v/>
      </c>
      <c r="IH74" s="522" t="str">
        <f>IF(A74=FALSE,"",IF(Cotations!AZ74="monthly",IG74/12*L74,IG74/365*M74))</f>
        <v/>
      </c>
      <c r="II74" s="489" t="str">
        <f>IF(A74=FALSE,"",IF(Cotations!BD74="","",Cotations!BD74))</f>
        <v/>
      </c>
      <c r="IJ74" s="300" t="str">
        <f t="shared" si="503"/>
        <v/>
      </c>
      <c r="IK74" s="300" t="str">
        <f t="shared" si="504"/>
        <v/>
      </c>
      <c r="IL74" s="919" t="str">
        <f t="shared" si="505"/>
        <v/>
      </c>
      <c r="IM74" s="517" t="str">
        <f>IF(A74=FALSE,"",Cotations!BE74)</f>
        <v/>
      </c>
      <c r="IN74" s="517" t="str">
        <f>IF(A74=FALSE,"",Cotations!BF74)</f>
        <v/>
      </c>
      <c r="IO74" s="493" t="str">
        <f>IF(A74=FALSE,"",Cotations!BG74)</f>
        <v/>
      </c>
      <c r="IP74" s="517" t="str">
        <f>IF(A74=FALSE,"",IF(IM74="N/A",0,IF(INDEX(LISTES!$F$105:$F$109,MATCH(IM74,LISTES!$C$105:$C$109,0))="FIX",IF(INDEX(LISTES!$E$105:$E$109,MATCH(IM74,LISTES!$C$105:$C$109,0))=12,IN74/12*L74,IN74/365*M74),IO74*IL74)))</f>
        <v/>
      </c>
      <c r="IQ74" s="294" t="str">
        <f t="shared" si="506"/>
        <v/>
      </c>
      <c r="IR74" s="494" t="str">
        <f>IF(A74=FALSE,"",IQ74*Cotations!BH74)</f>
        <v/>
      </c>
      <c r="IS74" s="494" t="str">
        <f>IF(A74=FALSE,"",IQ74*Cotations!BI74)</f>
        <v/>
      </c>
      <c r="IT74" s="338" t="str">
        <f t="shared" si="507"/>
        <v/>
      </c>
      <c r="IU74" s="919" t="str">
        <f>IF(A74=FALSE,"",((IG74*TAXE)-(IG74*TAXE*II74))+IF(IM74="N/A",0,IF(INDEX(LISTES!$F$105:$F$109,MATCH(IM74,LISTES!$C$105:$C$109,0))="FIX",IN74,IO74*IL74)))</f>
        <v/>
      </c>
      <c r="JA74" s="492" t="str">
        <f>IF(A74=FALSE,"",Cotations!D74)</f>
        <v/>
      </c>
      <c r="JB74" s="495" t="str">
        <f>IF(A74=FALSE,"",IF(LISTES!$A$17=1,Cotations!BJ74,Cotations!$BK$4))</f>
        <v/>
      </c>
      <c r="JC74" s="291" t="str">
        <f t="shared" si="508"/>
        <v/>
      </c>
      <c r="JD74" s="291" t="str">
        <f t="shared" si="509"/>
        <v/>
      </c>
      <c r="JE74" s="456" t="str">
        <f t="shared" si="510"/>
        <v/>
      </c>
      <c r="JF74" s="496" t="str">
        <f>IF(A74=FALSE,"",IF(JA74="POEA",Cotations!BM74,IF(JA74="FIXE",Cotations!$BM$4,Cotations!$BO$4*Y74)))</f>
        <v/>
      </c>
      <c r="JG74" s="300" t="str">
        <f t="shared" si="511"/>
        <v/>
      </c>
      <c r="JH74" s="522" t="str">
        <f>IF(A74=FALSE,"",IF(Cotations!$BL$4="monthly",JG74/12*L74,JG74/365*M74))</f>
        <v/>
      </c>
      <c r="JI74" s="489" t="str">
        <f>IF(A74=FALSE,"",Cotations!$BP$4)</f>
        <v/>
      </c>
      <c r="JJ74" s="300" t="str">
        <f t="shared" si="512"/>
        <v/>
      </c>
      <c r="JK74" s="300" t="str">
        <f t="shared" si="513"/>
        <v/>
      </c>
      <c r="JL74" s="294" t="str">
        <f t="shared" si="514"/>
        <v/>
      </c>
      <c r="JM74" s="494" t="str">
        <f>IF(A74=FALSE,"",Cotations!$BQ$4)</f>
        <v/>
      </c>
      <c r="JN74" s="522" t="str">
        <f>IF(A74=FALSE,"",Cotations!$BR$4)</f>
        <v/>
      </c>
      <c r="JO74" s="489" t="str">
        <f>IF(A74=FALSE,"",Cotations!$BS$4)</f>
        <v/>
      </c>
      <c r="JP74" s="494" t="str">
        <f>IF(A74=FALSE,"",IF(JM74="N/A",0,IF(INDEX(LISTES!$F$105:$F$109,MATCH(JM74,LISTES!$C$105:$C$109,0))="FIX",IF(INDEX(LISTES!$E$105:$E$109,MATCH(JM74,LISTES!$C$105:$C$109,0))=12,JN74/12*L74,JN74/365*M74),JO74*JL74)))</f>
        <v/>
      </c>
      <c r="JQ74" s="294" t="str">
        <f t="shared" si="515"/>
        <v/>
      </c>
      <c r="JR74" s="494" t="str">
        <f>IF(A74=FALSE,"",JQ74*Cotations!$BT$4)</f>
        <v/>
      </c>
      <c r="JS74" s="494" t="str">
        <f>IF(A74=FALSE,"",JQ74*Cotations!$BU$4)</f>
        <v/>
      </c>
      <c r="JT74" s="294" t="str">
        <f t="shared" si="516"/>
        <v/>
      </c>
      <c r="JU74" s="919" t="str">
        <f>IF(A74=FALSE,"",((JG74*TAXE)-(JG74*TAXE*JI74))+IF(JM74="N/A",0,IF(INDEX(LISTES!$F$105:$F$109,MATCH(JM74,LISTES!$C$105:$C$109,0))="FIX",JN74,JO74*JL74)))</f>
        <v/>
      </c>
      <c r="KA74" s="492" t="str">
        <f>IF(A74=FALSE,"",Cotations!D74)</f>
        <v/>
      </c>
      <c r="KB74" s="491" t="str">
        <f>IF(A74=FALSE,"",IF(LISTES!$A$17=1,Cotations!BJ74,Cotations!BK74))</f>
        <v/>
      </c>
      <c r="KC74" s="285" t="str">
        <f t="shared" si="517"/>
        <v/>
      </c>
      <c r="KD74" s="300"/>
      <c r="KE74" s="461" t="str">
        <f t="shared" si="518"/>
        <v/>
      </c>
      <c r="KF74" s="490" t="str">
        <f>IF(A74=FALSE,"",IF(KA74="POEA",Cotations!BM74,IF(KA74="FIXE",Cotations!BN74,IF(Cotations!BO74*Y74&lt;50000,Z74,Cotations!BO74*Y74))))</f>
        <v/>
      </c>
      <c r="KG74" s="300" t="str">
        <f t="shared" si="519"/>
        <v/>
      </c>
      <c r="KH74" s="522" t="str">
        <f>IF(A74=FALSE,"",IF(Cotations!BL74="monthly",KG74/12*L74,KG74/365*M74))</f>
        <v/>
      </c>
      <c r="KI74" s="489" t="str">
        <f>IF(A74=FALSE,"",IF(Cotations!BP74="","",Cotations!BP74))</f>
        <v/>
      </c>
      <c r="KJ74" s="300" t="str">
        <f t="shared" si="520"/>
        <v/>
      </c>
      <c r="KK74" s="300" t="str">
        <f t="shared" si="521"/>
        <v/>
      </c>
      <c r="KL74" s="919" t="str">
        <f t="shared" si="522"/>
        <v/>
      </c>
      <c r="KM74" s="517" t="str">
        <f>IF(A74=FALSE,"",Cotations!BQ74)</f>
        <v/>
      </c>
      <c r="KN74" s="515" t="str">
        <f>IF(A74=FALSE,"",Cotations!BR74)</f>
        <v/>
      </c>
      <c r="KO74" s="493" t="str">
        <f>IF(A74=FALSE,"",Cotations!BS74)</f>
        <v/>
      </c>
      <c r="KP74" s="517" t="str">
        <f>IF(A74=FALSE,"",IF(KM74="N/A",0,IF(INDEX(LISTES!$F$105:$F$109,MATCH(KM74,LISTES!$C$105:$C$109,0))="FIX",IF(INDEX(LISTES!$E$105:$E$109,MATCH(KM74,LISTES!$C$105:$C$109,0))=12,KN74/12*L74,KN74/365*M74),KO74*KL74)))</f>
        <v/>
      </c>
      <c r="KQ74" s="294" t="str">
        <f t="shared" si="523"/>
        <v/>
      </c>
      <c r="KR74" s="494" t="str">
        <f>IF(A74=FALSE,"",KQ74*Cotations!BT74)</f>
        <v/>
      </c>
      <c r="KS74" s="494" t="str">
        <f>IF(A74=FALSE,"",KQ74*Cotations!BU74)</f>
        <v/>
      </c>
      <c r="KT74" s="338" t="str">
        <f t="shared" si="524"/>
        <v/>
      </c>
      <c r="KU74" s="919" t="str">
        <f>IF(A74=FALSE,"",((KG74*TAXE)-(KG74*TAXE*KI74))+IF(KM74="N/A",0,IF(INDEX(LISTES!$F$105:$F$109,MATCH(KM74,LISTES!$C$105:$C$109,0))="FIX",KN74,KO74*KL74)))</f>
        <v/>
      </c>
      <c r="LA74" s="497" t="str">
        <f>IF(A74=FALSE,"",Cotations!D74)</f>
        <v/>
      </c>
      <c r="LB74" s="498" t="str">
        <f>IF(A74=FALSE,"",IF(LISTES!$A$17=1,Cotations!BV74,Cotations!$BW$4))</f>
        <v/>
      </c>
      <c r="LC74" s="499" t="str">
        <f t="shared" si="525"/>
        <v/>
      </c>
      <c r="LD74" s="499" t="str">
        <f t="shared" si="526"/>
        <v/>
      </c>
      <c r="LE74" s="500" t="str">
        <f t="shared" si="527"/>
        <v/>
      </c>
      <c r="LF74" s="501" t="str">
        <f>IF(A74=FALSE,"",IF(LA74="POEA",Cotations!EJ74,IF(LA74="FIXE",Cotations!$BY$4,Cotations!$CA$4*Y74)))</f>
        <v/>
      </c>
      <c r="LG74" s="502" t="str">
        <f t="shared" si="528"/>
        <v/>
      </c>
      <c r="LH74" s="520" t="str">
        <f>IF(A74=FALSE,"",IF(Cotations!$BX$4="monthly",LG74/12*L74,LG74/365*M74))</f>
        <v/>
      </c>
      <c r="LI74" s="503" t="str">
        <f>IF(A74=FALSE,"",Cotations!$CB$4)</f>
        <v/>
      </c>
      <c r="LJ74" s="502" t="str">
        <f t="shared" si="529"/>
        <v/>
      </c>
      <c r="LK74" s="502" t="str">
        <f t="shared" si="530"/>
        <v/>
      </c>
      <c r="LL74" s="504" t="str">
        <f t="shared" si="531"/>
        <v/>
      </c>
      <c r="LM74" s="505" t="str">
        <f>IF(A74=FALSE,"",Cotations!$CC$4)</f>
        <v/>
      </c>
      <c r="LN74" s="503" t="str">
        <f>IF(A74=FALSE,"",Cotations!$CD$4)</f>
        <v/>
      </c>
      <c r="LO74" s="503" t="str">
        <f>IF(A74=FALSE,"",Cotations!$CE$4)</f>
        <v/>
      </c>
      <c r="LP74" s="505" t="str">
        <f>IF(A74=FALSE,"",IF(LM74="N/A",0,IF(INDEX(LISTES!$F$105:$F$109,MATCH(LM74,LISTES!$C$105:$C$109,0))="FIX",IF(INDEX(LISTES!$E$105:$E$109,MATCH(LM74,LISTES!$C$105:$C$109,0))=12,LN74/12*L74,LN74/365*M74),LO74*LL74)))</f>
        <v/>
      </c>
      <c r="LQ74" s="504" t="str">
        <f t="shared" si="532"/>
        <v/>
      </c>
      <c r="LR74" s="505" t="str">
        <f>IF(A74=FALSE,"",LQ74*Cotations!$CF$4)</f>
        <v/>
      </c>
      <c r="LS74" s="505" t="str">
        <f>IF(A74=FALSE,"",LQ74*Cotations!$CG$4)</f>
        <v/>
      </c>
      <c r="LT74" s="506" t="str">
        <f t="shared" si="533"/>
        <v/>
      </c>
      <c r="LU74" s="919" t="str">
        <f>IF(A74=FALSE,"",((LG74*TAXE)-(LG74*TAXE*LI74))+IF(LM74="N/A",0,IF(INDEX(LISTES!$F$105:$F$109,MATCH(LM74,LISTES!$C$105:$C$109,0))="FIX",LN74,LO74*LL74)))</f>
        <v/>
      </c>
      <c r="MA74" s="492" t="str">
        <f>IF(A74=FALSE,"",Cotations!D74)</f>
        <v/>
      </c>
      <c r="MB74" s="491" t="str">
        <f>IF(A74=FALSE,"",IF(LISTES!$A$17=1,Cotations!BV74,Cotations!BW74))</f>
        <v/>
      </c>
      <c r="MC74" s="285" t="str">
        <f t="shared" si="534"/>
        <v/>
      </c>
      <c r="MD74" s="300"/>
      <c r="ME74" s="461" t="str">
        <f t="shared" si="535"/>
        <v/>
      </c>
      <c r="MF74" s="490" t="str">
        <f>IF(A74=FALSE,"",IF(MA74="POEA",Cotations!BY74,IF(MA74="FIXE",Cotations!BZ74,IF(Cotations!CA74*Y74&lt;50000,Z74,Cotations!CA74*Y74))))</f>
        <v/>
      </c>
      <c r="MG74" s="300" t="str">
        <f t="shared" si="536"/>
        <v/>
      </c>
      <c r="MH74" s="522" t="str">
        <f>IF(A74=FALSE,"",IF(Cotations!BX74="monthly",MG74/12*L74,MG74/365*M74))</f>
        <v/>
      </c>
      <c r="MI74" s="489" t="str">
        <f>IF(A74=FALSE,"",IF(Cotations!CB74="","",Cotations!CB74))</f>
        <v/>
      </c>
      <c r="MJ74" s="300" t="str">
        <f t="shared" si="537"/>
        <v/>
      </c>
      <c r="MK74" s="300" t="str">
        <f t="shared" si="538"/>
        <v/>
      </c>
      <c r="ML74" s="919" t="str">
        <f t="shared" si="539"/>
        <v/>
      </c>
      <c r="MM74" s="517" t="str">
        <f>IF(A74=FALSE,"",Cotations!CC74)</f>
        <v/>
      </c>
      <c r="MN74" s="515" t="str">
        <f>IF(A74=FALSE,"",Cotations!CD74)</f>
        <v/>
      </c>
      <c r="MO74" s="493" t="str">
        <f>IF(A74=FALSE,"",Cotations!CE74)</f>
        <v/>
      </c>
      <c r="MP74" s="517" t="str">
        <f>IF(A74=FALSE,"",IF(MM74="N/A",0,IF(INDEX(LISTES!$F$105:$F$109,MATCH(MM74,LISTES!$C$105:$C$109,0))="FIX",IF(INDEX(LISTES!$E$105:$E$109,MATCH(MM74,LISTES!$C$105:$C$109,0))=12,MN74/12*L74,MN74/365*M74),MO74*ML74)))</f>
        <v/>
      </c>
      <c r="MQ74" s="294" t="str">
        <f t="shared" si="540"/>
        <v/>
      </c>
      <c r="MR74" s="494" t="str">
        <f>IF(A74=FALSE,"",MQ74*Cotations!CF74)</f>
        <v/>
      </c>
      <c r="MS74" s="494" t="str">
        <f>IF(A74=FALSE,"",MQ74*Cotations!CG74)</f>
        <v/>
      </c>
      <c r="MT74" s="338" t="str">
        <f t="shared" si="541"/>
        <v/>
      </c>
      <c r="MU74" s="919" t="str">
        <f>IF(A74=FALSE,"",((MG74*TAXE)-(MG74*TAXE*MI74))+IF(MM74="N/A",0,IF(INDEX(LISTES!$F$105:$F$109,MATCH(MM74,LISTES!$C$105:$C$109,0))="FIX",MN74,MO74*ML74)))</f>
        <v/>
      </c>
      <c r="NA74" s="497" t="str">
        <f>IF(A74=FALSE,"",Cotations!D74)</f>
        <v/>
      </c>
      <c r="NB74" s="498" t="str">
        <f>IF(A74=FALSE,"",IF(LISTES!$A$17=1,Cotations!CH74,Cotations!$CI$4))</f>
        <v/>
      </c>
      <c r="NC74" s="499" t="str">
        <f t="shared" si="542"/>
        <v/>
      </c>
      <c r="ND74" s="499" t="str">
        <f t="shared" si="543"/>
        <v/>
      </c>
      <c r="NE74" s="500" t="str">
        <f t="shared" si="544"/>
        <v/>
      </c>
      <c r="NF74" s="501" t="str">
        <f>IF(A74=FALSE,"",IF(NA74="POEA",Cotations!CK74,IF(NA74="FIXE",Cotations!$CK$4,Cotations!$CM$4*Y74)))</f>
        <v/>
      </c>
      <c r="NG74" s="502" t="str">
        <f t="shared" si="545"/>
        <v/>
      </c>
      <c r="NH74" s="520" t="str">
        <f>IF(A74=FALSE,"",IF(Cotations!$CJ$4="monthly",NG74/12*L74,NG74/365*M74))</f>
        <v/>
      </c>
      <c r="NI74" s="503" t="str">
        <f>IF(A74=FALSE,"",Cotations!$CN$4)</f>
        <v/>
      </c>
      <c r="NJ74" s="502" t="str">
        <f t="shared" si="546"/>
        <v/>
      </c>
      <c r="NK74" s="502" t="str">
        <f t="shared" si="547"/>
        <v/>
      </c>
      <c r="NL74" s="504" t="str">
        <f t="shared" si="548"/>
        <v/>
      </c>
      <c r="NM74" s="505" t="str">
        <f>IF(A74=FALSE,"",Cotations!$CO$4)</f>
        <v/>
      </c>
      <c r="NN74" s="520" t="str">
        <f>IF(A74=FALSE,"",Cotations!$CP$4)</f>
        <v/>
      </c>
      <c r="NO74" s="503" t="str">
        <f>IF(A74=FALSE,"",Cotations!$CQ$4)</f>
        <v/>
      </c>
      <c r="NP74" s="505" t="str">
        <f>IF(A74=FALSE,"",IF(NM74="N/A",0,IF(INDEX(LISTES!$F$105:$F$109,MATCH(NM74,LISTES!$C$105:$C$109,0))="FIX",IF(INDEX(LISTES!$E$105:$E$109,MATCH(NM74,LISTES!$C$105:$C$109,0))=12,NN74/12*L74,NN74/365*M74),NO74*NL74)))</f>
        <v/>
      </c>
      <c r="NQ74" s="504" t="str">
        <f t="shared" si="549"/>
        <v/>
      </c>
      <c r="NR74" s="505" t="str">
        <f>IF(A74=FALSE,"",NQ74*Cotations!$CR$4)</f>
        <v/>
      </c>
      <c r="NS74" s="505" t="str">
        <f>IF(A74=FALSE,"",NQ74*Cotations!$CS$4)</f>
        <v/>
      </c>
      <c r="NT74" s="506" t="str">
        <f t="shared" si="550"/>
        <v/>
      </c>
      <c r="NU74" s="919" t="str">
        <f>IF(A74=FALSE,"",((NG74*TAXE)-(NG74*TAXE*NI74))+IF(NM74="N/A",0,IF(INDEX(LISTES!$F$105:$F$109,MATCH(NM74,LISTES!$C$105:$C$109,0))="FIX",NN74,NO74*NL74)))</f>
        <v/>
      </c>
      <c r="OA74" s="492" t="str">
        <f>IF(A74=FALSE,"",Cotations!D74)</f>
        <v/>
      </c>
      <c r="OB74" s="491" t="str">
        <f>IF(A74=FALSE,"",IF(LISTES!$A$17=1,Cotations!CH74,Cotations!CI74))</f>
        <v/>
      </c>
      <c r="OC74" s="285" t="str">
        <f t="shared" si="551"/>
        <v/>
      </c>
      <c r="OD74" s="300"/>
      <c r="OE74" s="461" t="str">
        <f t="shared" si="552"/>
        <v/>
      </c>
      <c r="OF74" s="490" t="str">
        <f>IF(A74=FALSE,"",IF(OA74="POEA",Cotations!CK74,IF(OA74="FIXE",Cotations!CL74,IF(Cotations!CM74*Y74&lt;50000,Z74,Cotations!CM74*Y74))))</f>
        <v/>
      </c>
      <c r="OG74" s="300" t="str">
        <f t="shared" si="553"/>
        <v/>
      </c>
      <c r="OH74" s="522" t="str">
        <f>IF(A74=FALSE,"",IF(Cotations!CJ74="monthly",OG74/12*L74,OG74/365*M74))</f>
        <v/>
      </c>
      <c r="OI74" s="489" t="str">
        <f>IF(A74=FALSE,"",IF(Cotations!CN74="","",Cotations!CN74))</f>
        <v/>
      </c>
      <c r="OJ74" s="300" t="str">
        <f t="shared" si="554"/>
        <v/>
      </c>
      <c r="OK74" s="300" t="str">
        <f t="shared" si="555"/>
        <v/>
      </c>
      <c r="OL74" s="919" t="str">
        <f t="shared" si="556"/>
        <v/>
      </c>
      <c r="OM74" s="517" t="str">
        <f>IF(A74=FALSE,"",Cotations!CO74)</f>
        <v/>
      </c>
      <c r="ON74" s="515" t="str">
        <f>IF(A74=FALSE,"",Cotations!CP74)</f>
        <v/>
      </c>
      <c r="OO74" s="493" t="str">
        <f>IF(A74=FALSE,"",Cotations!CQ74)</f>
        <v/>
      </c>
      <c r="OP74" s="517" t="str">
        <f>IF(A74=FALSE,"",IF(OM74="N/A",0,IF(INDEX(LISTES!$F$105:$F$109,MATCH(OM74,LISTES!$C$105:$C$109,0))="FIX",IF(INDEX(LISTES!$E$105:$E$109,MATCH(OM74,LISTES!$C$105:$C$109,0))=12,ON74/12*L74,ON74/365*M74),OO74*OL74)))</f>
        <v/>
      </c>
      <c r="OQ74" s="294" t="str">
        <f t="shared" si="557"/>
        <v/>
      </c>
      <c r="OR74" s="494" t="str">
        <f>IF(A74=FALSE,"",OQ74*Cotations!CR74)</f>
        <v/>
      </c>
      <c r="OS74" s="494" t="str">
        <f>IF(A74=FALSE,"",OQ74*Cotations!CS74)</f>
        <v/>
      </c>
      <c r="OT74" s="338" t="str">
        <f t="shared" si="558"/>
        <v/>
      </c>
      <c r="OU74" s="919" t="str">
        <f>IF(A74=FALSE,"",((OG74*TAXE)-(OG74*TAXE*OI74))+IF(OM74="N/A",0,IF(INDEX(LISTES!$F$105:$F$109,MATCH(OM74,LISTES!$C$105:$C$109,0))="FIX",ON74,OO74*OL74)))</f>
        <v/>
      </c>
      <c r="PA74" s="497" t="str">
        <f t="shared" si="559"/>
        <v/>
      </c>
      <c r="PB74" s="498" t="str">
        <f>IF(A74=FALSE,"",IF(LISTES!$A$17=1,Cotations!CT74,Cotations!$CU$4))</f>
        <v/>
      </c>
      <c r="PC74" s="499" t="str">
        <f t="shared" si="560"/>
        <v/>
      </c>
      <c r="PD74" s="499" t="str">
        <f t="shared" si="561"/>
        <v/>
      </c>
      <c r="PE74" s="500" t="str">
        <f t="shared" si="562"/>
        <v/>
      </c>
      <c r="PF74" s="501" t="str">
        <f>IF(A74=FALSE,"",Cotations!$CY$4*Y74)</f>
        <v/>
      </c>
      <c r="PG74" s="502" t="str">
        <f t="shared" si="563"/>
        <v/>
      </c>
      <c r="PH74" s="520" t="str">
        <f>IF(A74=FALSE,"",IF(Cotations!$CV$4="monthly",PG74/12*L74,PG74/365*M74))</f>
        <v/>
      </c>
      <c r="PI74" s="503" t="str">
        <f>IF(A74=FALSE,"",Cotations!$CZ$4)</f>
        <v/>
      </c>
      <c r="PJ74" s="502" t="str">
        <f t="shared" si="564"/>
        <v/>
      </c>
      <c r="PK74" s="502" t="str">
        <f t="shared" si="565"/>
        <v/>
      </c>
      <c r="PL74" s="504" t="str">
        <f t="shared" si="566"/>
        <v/>
      </c>
      <c r="PM74" s="505" t="str">
        <f>IF(A74=FALSE,"",Cotations!$DA$4)</f>
        <v/>
      </c>
      <c r="PN74" s="520" t="str">
        <f>IF(A74=FALSE,"",Cotations!$DB$4)</f>
        <v/>
      </c>
      <c r="PO74" s="503" t="str">
        <f>IF(A74=FALSE,"",Cotations!$DC$4)</f>
        <v/>
      </c>
      <c r="PP74" s="505" t="str">
        <f>IF(A74=FALSE,"",IF(PM74="N/A",0,IF(INDEX(LISTES!$F$105:$F$109,MATCH(PM74,LISTES!$C$105:$C$109,0))="FIX",IF(INDEX(LISTES!$E$105:$E$109,MATCH(PM74,LISTES!$C$105:$C$109,0))=12,PN74/12*L74,PN74/365*M74),PO74*PL74)))</f>
        <v/>
      </c>
      <c r="PQ74" s="504" t="str">
        <f t="shared" si="567"/>
        <v/>
      </c>
      <c r="PR74" s="505" t="str">
        <f>IF(A74=FALSE,"",PQ74*Cotations!$DD$4)</f>
        <v/>
      </c>
      <c r="PS74" s="505" t="str">
        <f>IF(A74=FALSE,"",PQ74*Cotations!$DE$4)</f>
        <v/>
      </c>
      <c r="PT74" s="506" t="str">
        <f t="shared" si="568"/>
        <v/>
      </c>
      <c r="PU74" s="919" t="str">
        <f>IF(A74=FALSE,"",((PG74*TAXE)-(PG74*TAXE*PI74))+IF(PM74="N/A",0,IF(INDEX(LISTES!$F$105:$F$109,MATCH(PM74,LISTES!$C$105:$C$109,0))="FIX",PN74,PO74*PL74)))</f>
        <v/>
      </c>
      <c r="QA74" s="492" t="str">
        <f t="shared" si="569"/>
        <v/>
      </c>
      <c r="QB74" s="491" t="str">
        <f>IF(A74=FALSE,"",IF(LISTES!$A$17=1,Cotations!CT74,Cotations!CU74))</f>
        <v/>
      </c>
      <c r="QC74" s="285" t="str">
        <f t="shared" si="570"/>
        <v/>
      </c>
      <c r="QD74" s="300"/>
      <c r="QE74" s="461" t="str">
        <f t="shared" si="571"/>
        <v/>
      </c>
      <c r="QF74" s="490" t="str">
        <f>IF(A74=FALSE,"",Cotations!CY74*AA74)</f>
        <v/>
      </c>
      <c r="QG74" s="300" t="str">
        <f t="shared" si="572"/>
        <v/>
      </c>
      <c r="QH74" s="522" t="str">
        <f>IF(A74=FALSE,"",IF(Cotations!CV74="monthly",QG74/12*L74,QG74/365*M74))</f>
        <v/>
      </c>
      <c r="QI74" s="489" t="str">
        <f>IF(A74=FALSE,"",IF(Cotations!CZ74="","",Cotations!CZ74))</f>
        <v/>
      </c>
      <c r="QJ74" s="300" t="str">
        <f t="shared" si="573"/>
        <v/>
      </c>
      <c r="QK74" s="300" t="str">
        <f t="shared" si="574"/>
        <v/>
      </c>
      <c r="QL74" s="919" t="str">
        <f t="shared" si="575"/>
        <v/>
      </c>
      <c r="QM74" s="517" t="str">
        <f>IF(A74=FALSE,"",Cotations!DA74)</f>
        <v/>
      </c>
      <c r="QN74" s="515" t="str">
        <f>IF(A74=FALSE,"",Cotations!DB74)</f>
        <v/>
      </c>
      <c r="QO74" s="493" t="str">
        <f>IF(A74=FALSE,"",Cotations!DC74)</f>
        <v/>
      </c>
      <c r="QP74" s="517" t="str">
        <f>IF(A74=FALSE,"",IF(QM74="N/A",0,IF(INDEX(LISTES!$F$105:$F$109,MATCH(QM74,LISTES!$C$105:$C$109,0))="FIX",IF(INDEX(LISTES!$E$105:$E$109,MATCH(QM74,LISTES!$C$105:$C$109,0))=12,QN74/12*L74,QN74/365*M74),QO74*QL74)))</f>
        <v/>
      </c>
      <c r="QQ74" s="294" t="str">
        <f t="shared" si="576"/>
        <v/>
      </c>
      <c r="QR74" s="494" t="str">
        <f>IF(A74=FALSE,"",QQ74*Cotations!DD74)</f>
        <v/>
      </c>
      <c r="QS74" s="494" t="str">
        <f>IF(A74=FALSE,"",QQ74*Cotations!DE74)</f>
        <v/>
      </c>
      <c r="QT74" s="338" t="str">
        <f t="shared" si="577"/>
        <v/>
      </c>
      <c r="QU74" s="919" t="str">
        <f>IF(A74=FALSE,"",((QG74*TAXE)-(QG74*TAXE*QI74))+IF(QM74="N/A",0,IF(INDEX(LISTES!$F$105:$F$109,MATCH(QM74,LISTES!$C$105:$C$109,0))="FIX",QN74,QO74*QL74)))</f>
        <v/>
      </c>
      <c r="RA74" s="497" t="str">
        <f t="shared" si="578"/>
        <v/>
      </c>
      <c r="RB74" s="498" t="str">
        <f>IF(A74=FALSE,"",IF(LISTES!$A$17=1,Cotations!DF74,Cotations!$DG$4))</f>
        <v/>
      </c>
      <c r="RC74" s="499" t="str">
        <f t="shared" si="579"/>
        <v/>
      </c>
      <c r="RD74" s="499" t="str">
        <f t="shared" si="580"/>
        <v/>
      </c>
      <c r="RE74" s="500" t="str">
        <f t="shared" si="581"/>
        <v/>
      </c>
      <c r="RF74" s="501" t="str">
        <f>IF(A74=FALSE,"",Cotations!$DK$4*Y74)</f>
        <v/>
      </c>
      <c r="RG74" s="502" t="str">
        <f t="shared" si="582"/>
        <v/>
      </c>
      <c r="RH74" s="520" t="str">
        <f>IF(A74=FALSE,"",IF(Cotations!$DH$4="monthly",RG74/12*L74,RG74/365*M74))</f>
        <v/>
      </c>
      <c r="RI74" s="503" t="str">
        <f>IF(A74=FALSE,"",Cotations!$DL$4)</f>
        <v/>
      </c>
      <c r="RJ74" s="502" t="str">
        <f t="shared" si="583"/>
        <v/>
      </c>
      <c r="RK74" s="502" t="str">
        <f t="shared" si="584"/>
        <v/>
      </c>
      <c r="RL74" s="504" t="str">
        <f t="shared" si="585"/>
        <v/>
      </c>
      <c r="RM74" s="505" t="str">
        <f>IF(A74=FALSE,"",Cotations!$DM$4)</f>
        <v/>
      </c>
      <c r="RN74" s="520" t="str">
        <f>IF(A74=FALSE,"",Cotations!$DN$4)</f>
        <v/>
      </c>
      <c r="RO74" s="503" t="str">
        <f>IF(A74=FALSE,"",Cotations!$DO$4)</f>
        <v/>
      </c>
      <c r="RP74" s="505" t="str">
        <f>IF(A74=FALSE,"",IF(RM74="N/A",0,IF(INDEX(LISTES!$F$105:$F$109,MATCH(RM74,LISTES!$C$105:$C$109,0))="FIX",IF(INDEX(LISTES!$E$105:$E$109,MATCH(RM74,LISTES!$C$105:$C$109,0))=12,RN74/12*L74,RN74/365*M74),RO74*RL74)))</f>
        <v/>
      </c>
      <c r="RQ74" s="504" t="str">
        <f t="shared" si="586"/>
        <v/>
      </c>
      <c r="RR74" s="505" t="str">
        <f>IF(A74=FALSE,"",RQ74*Cotations!$DP$4)</f>
        <v/>
      </c>
      <c r="RS74" s="505" t="str">
        <f>IF(A74=FALSE,"",RQ74*Cotations!$DQ$4)</f>
        <v/>
      </c>
      <c r="RT74" s="506" t="str">
        <f t="shared" si="587"/>
        <v/>
      </c>
      <c r="RU74" s="919" t="str">
        <f>IF(A74=FALSE,"",((RG74*TAXE)-(RG74*TAXE*RI74))+IF(RM74="N/A",0,IF(INDEX(LISTES!$F$105:$F$109,MATCH(RM74,LISTES!$C$105:$C$109,0))="FIX",RN74,RO74*RL74)))</f>
        <v/>
      </c>
      <c r="SA74" s="492" t="str">
        <f t="shared" si="588"/>
        <v/>
      </c>
      <c r="SB74" s="491" t="str">
        <f>IF(A74=FALSE,"",IF(LISTES!$A$17=1,Cotations!DF74,Cotations!DG74))</f>
        <v/>
      </c>
      <c r="SC74" s="285" t="str">
        <f t="shared" si="589"/>
        <v/>
      </c>
      <c r="SD74" s="300"/>
      <c r="SE74" s="461" t="str">
        <f t="shared" si="590"/>
        <v/>
      </c>
      <c r="SF74" s="490" t="str">
        <f>IF(A74=FALSE,"",Cotations!DK74*AA74)</f>
        <v/>
      </c>
      <c r="SG74" s="300" t="str">
        <f t="shared" si="591"/>
        <v/>
      </c>
      <c r="SH74" s="522" t="str">
        <f>IF(A74=FALSE,"",IF(Cotations!DH74="monthly",SG74/12*L74,SG74/365*M74))</f>
        <v/>
      </c>
      <c r="SI74" s="489" t="str">
        <f>IF(A74=FALSE,"",IF(Cotations!DL74="","",Cotations!DL74))</f>
        <v/>
      </c>
      <c r="SJ74" s="300" t="str">
        <f t="shared" si="592"/>
        <v/>
      </c>
      <c r="SK74" s="300" t="str">
        <f t="shared" si="593"/>
        <v/>
      </c>
      <c r="SL74" s="919" t="str">
        <f t="shared" si="594"/>
        <v/>
      </c>
      <c r="SM74" s="285" t="str">
        <f>IF(A74=FALSE,"",Cotations!DM74)</f>
        <v/>
      </c>
      <c r="SN74" s="515" t="str">
        <f>IF(A74=FALSE,"",Cotations!DN74)</f>
        <v/>
      </c>
      <c r="SO74" s="493" t="str">
        <f>IF(A74=FALSE,"",Cotations!DO74)</f>
        <v/>
      </c>
      <c r="SP74" s="517" t="str">
        <f>IF(A74=FALSE,"",IF(SM74="N/A",0,IF(INDEX(LISTES!$F$105:$F$109,MATCH(SM74,LISTES!$C$105:$C$109,0))="FIX",IF(INDEX(LISTES!$E$105:$E$109,MATCH(SM74,LISTES!$C$105:$C$109,0))=12,SN74/12*L74,SN74/365*M74),SO74*SL74)))</f>
        <v/>
      </c>
      <c r="SQ74" s="294" t="str">
        <f t="shared" si="595"/>
        <v/>
      </c>
      <c r="SR74" s="494" t="str">
        <f>IF(A74=FALSE,"",SQ74*Cotations!DP74)</f>
        <v/>
      </c>
      <c r="SS74" s="494" t="str">
        <f>IF(A74=FALSE,"",SQ74*Cotations!DQ74)</f>
        <v/>
      </c>
      <c r="ST74" s="338" t="str">
        <f t="shared" si="596"/>
        <v/>
      </c>
      <c r="SU74" s="919" t="str">
        <f>IF(A74=FALSE,"",((SG74*TAXE)-(SG74*TAXE*SI74))+IF(SM74="N/A",0,IF(INDEX(LISTES!$F$105:$F$109,MATCH(SM74,LISTES!$C$105:$C$109,0))="FIX",SN74,SO74*SL74)))</f>
        <v/>
      </c>
      <c r="TA74" s="492" t="str">
        <f>IF(A74=FALSE,"",Cotations!D74)</f>
        <v/>
      </c>
      <c r="TB74" s="491" t="str">
        <f>IF(A74=FALSE,"",IF(LISTES!$A$17=1,Cotations!DR74,Cotations!DS74))</f>
        <v/>
      </c>
      <c r="TC74" s="285" t="str">
        <f t="shared" si="597"/>
        <v/>
      </c>
      <c r="TD74" s="300" t="str">
        <f>IF(A74=FALSE,"",Detail!CQ74)</f>
        <v/>
      </c>
      <c r="TE74" s="461" t="str">
        <f t="shared" si="598"/>
        <v/>
      </c>
      <c r="TF74" s="490" t="str">
        <f>IF(A74=FALSE,"",IF(TA74="FIXE",Cotations!DU74,Cotations!DV74*Y74))</f>
        <v/>
      </c>
      <c r="TG74" s="300" t="str">
        <f t="shared" si="599"/>
        <v/>
      </c>
      <c r="TH74" s="522" t="str">
        <f>IF(A74=FALSE,"",IF(Cotations!DT74="monthly",TG74/12*L74,TG74/365*M74))</f>
        <v/>
      </c>
      <c r="TI74" s="489" t="str">
        <f>IF(A74=FALSE,"",IF(Cotations!DW74="","",Cotations!DW74))</f>
        <v/>
      </c>
      <c r="TJ74" s="300" t="str">
        <f t="shared" si="600"/>
        <v/>
      </c>
      <c r="TK74" s="300" t="str">
        <f t="shared" si="601"/>
        <v/>
      </c>
      <c r="TL74" s="919" t="str">
        <f t="shared" si="602"/>
        <v/>
      </c>
      <c r="TM74" s="517" t="str">
        <f>IF(A74=FALSE,"",Cotations!DX74)</f>
        <v/>
      </c>
      <c r="TN74" s="517" t="str">
        <f>IF(A74=FALSE,"",Cotations!DY74)</f>
        <v/>
      </c>
      <c r="TO74" s="493" t="str">
        <f>IF(A74=FALSE,"",Cotations!DZ74)</f>
        <v/>
      </c>
      <c r="TP74" s="517" t="str">
        <f>IF(A74=FALSE,"",IF(TM74="N/A",0,IF(INDEX(LISTES!$F$105:$F$109,MATCH(TM74,LISTES!$C$105:$C$109,0))="FIX",IF(INDEX(LISTES!$E$105:$E$109,MATCH(TM74,LISTES!$C$105:$C$109,0))=12,TN74/12*L74,TN74/365*M74),TO74*TL74)))</f>
        <v/>
      </c>
      <c r="TQ74" s="294" t="str">
        <f t="shared" si="603"/>
        <v/>
      </c>
      <c r="TR74" s="494" t="str">
        <f>IF(A74=FALSE,"",TQ74*Cotations!EA74)</f>
        <v/>
      </c>
      <c r="TS74" s="494" t="str">
        <f>IF(A74=FALSE,"",TQ74*Cotations!EB74)</f>
        <v/>
      </c>
      <c r="TT74" s="338" t="str">
        <f t="shared" si="604"/>
        <v/>
      </c>
      <c r="TU74" s="919" t="str">
        <f>IF(A74=FALSE,"",((TG74*(1+TAXE)-(TG74*(1+TAXE)*TI74))+IF(TM74="N/A",0,IF(INDEX(LISTES!$F$105:$F$109,MATCH(TM74,LISTES!$C$105:$C$109,0))="FIX",TN74,TO74*TL74))))</f>
        <v/>
      </c>
      <c r="UA74" s="492" t="str">
        <f>IF(A74=FALSE,"",Cotations!D74)</f>
        <v/>
      </c>
      <c r="UB74" s="491" t="str">
        <f>IF(A74=FALSE,"",IF(LISTES!$A$17=1,Cotations!EC74,Cotations!ED74))</f>
        <v/>
      </c>
      <c r="UC74" s="285" t="str">
        <f t="shared" si="605"/>
        <v/>
      </c>
      <c r="UD74" s="300" t="str">
        <f>IF(A74=FALSE,"",Detail!CY74)</f>
        <v/>
      </c>
      <c r="UE74" s="461" t="str">
        <f t="shared" si="606"/>
        <v/>
      </c>
      <c r="UF74" s="490" t="str">
        <f>IF(A74=FALSE,"",IF(UA74="FIXE",Cotations!EF74,Cotations!EG74*Y74))</f>
        <v/>
      </c>
      <c r="UG74" s="300" t="str">
        <f t="shared" si="607"/>
        <v/>
      </c>
      <c r="UH74" s="522" t="str">
        <f>IF(A74=FALSE,"",IF(Cotations!EE74="monthly",UG74/12*L74,UG74/365*M74))</f>
        <v/>
      </c>
      <c r="UI74" s="489" t="str">
        <f>IF(A74=FALSE,"",IF(Cotations!EH74="","",Cotations!EH74))</f>
        <v/>
      </c>
      <c r="UJ74" s="300" t="str">
        <f t="shared" si="608"/>
        <v/>
      </c>
      <c r="UK74" s="300" t="str">
        <f t="shared" si="609"/>
        <v/>
      </c>
      <c r="UL74" s="919" t="str">
        <f t="shared" si="610"/>
        <v/>
      </c>
      <c r="UM74" s="517" t="str">
        <f>IF(A74=FALSE,"",Cotations!EI74)</f>
        <v/>
      </c>
      <c r="UN74" s="517" t="str">
        <f>IF(A74=FALSE,"",Cotations!EJ74)</f>
        <v/>
      </c>
      <c r="UO74" s="493" t="str">
        <f>IF(A74=FALSE,"",Cotations!EK74)</f>
        <v/>
      </c>
      <c r="UP74" s="517" t="str">
        <f>IF(A74=FALSE,"",IF(UM74="N/A",0,IF(INDEX(LISTES!$F$105:$F$109,MATCH(UM74,LISTES!$C$105:$C$109,0))="FIX",IF(INDEX(LISTES!$E$105:$E$109,MATCH(UM74,LISTES!$C$105:$C$109,0))=12,UN74/12*L74,UN74/365*M74),UO74*UL74)))</f>
        <v/>
      </c>
      <c r="UQ74" s="294" t="str">
        <f t="shared" si="611"/>
        <v/>
      </c>
      <c r="UR74" s="494" t="str">
        <f>IF(A74=FALSE,"",UQ74*Cotations!EL74)</f>
        <v/>
      </c>
      <c r="US74" s="494" t="str">
        <f>IF(A74=FALSE,"",UQ74*Cotations!EM74)</f>
        <v/>
      </c>
      <c r="UT74" s="338" t="str">
        <f t="shared" si="612"/>
        <v/>
      </c>
      <c r="UU74" s="919" t="str">
        <f>IF(A74=FALSE,"",((UG74*(1+TAXE)-(UG74*(1+TAXE)*UI74))+IF(UM74="N/A",0,IF(INDEX(LISTES!$F$105:$F$109,MATCH(UM74,LISTES!$C$105:$C$109,0))="FIX",UN74,UO74*UL74))))</f>
        <v/>
      </c>
      <c r="VA74" s="492" t="str">
        <f>IF(A74=FALSE,"",Cotations!D74)</f>
        <v/>
      </c>
      <c r="VB74" s="519" t="str">
        <f>IF(A74=FALSE,"",IF(LISTES!$A$17=1,Cotations!EN74,Cotations!EO74))</f>
        <v/>
      </c>
      <c r="VC74" s="291" t="str">
        <f t="shared" si="613"/>
        <v/>
      </c>
      <c r="VD74" s="291" t="str">
        <f t="shared" si="614"/>
        <v/>
      </c>
      <c r="VE74" s="291"/>
      <c r="VF74" s="463"/>
      <c r="VG74" s="463" t="str">
        <f t="shared" si="615"/>
        <v/>
      </c>
      <c r="VH74" s="522" t="str">
        <f>IF(A74=FALSE,"",IF(Cotations!$AQ$4="monthly",VG74/12*L74,VG74/365*M74))</f>
        <v/>
      </c>
      <c r="VI74" s="489" t="str">
        <f>IF(A74=FALSE,"",Cotations!$AR$4)</f>
        <v/>
      </c>
      <c r="VJ74" s="300" t="str">
        <f t="shared" si="616"/>
        <v/>
      </c>
      <c r="VK74" s="300" t="str">
        <f t="shared" si="617"/>
        <v/>
      </c>
      <c r="VL74" s="294" t="str">
        <f t="shared" si="618"/>
        <v/>
      </c>
      <c r="VM74" s="494" t="str">
        <f>IF(A74=FALSE,"",Cotations!$AS$4)</f>
        <v/>
      </c>
      <c r="VN74" s="494" t="str">
        <f>IF(A74=FALSE,"",Cotations!$AT$4)</f>
        <v/>
      </c>
      <c r="VO74" s="489" t="str">
        <f>IF(A74=FALSE,"",Cotations!$AU$4)</f>
        <v/>
      </c>
      <c r="VP74" s="494" t="str">
        <f>IF(A74=FALSE,"",IF(VM74="N/A",0,IF(INDEX(LISTES!$F$105:$F$109,MATCH(VM74,LISTES!$C$105:$C$109,0))="FIX",IF(INDEX(LISTES!$E$105:$E$109,MATCH(VM74,LISTES!$C$105:$C$109,0))=12,VN74/12*L74,VN74/365*M74),VO74*VL74)))</f>
        <v/>
      </c>
      <c r="VQ74" s="294" t="str">
        <f t="shared" si="619"/>
        <v/>
      </c>
      <c r="VR74" s="494" t="str">
        <f>IF(A74=FALSE,"",VQ74*Cotations!$AV$4)</f>
        <v/>
      </c>
      <c r="VS74" s="494" t="str">
        <f>IF(A74=FALSE,"",VQ74*Cotations!$AW$4)</f>
        <v/>
      </c>
      <c r="VT74" s="465" t="str">
        <f t="shared" si="620"/>
        <v/>
      </c>
      <c r="VU74" s="919" t="str">
        <f>IF(A74=FALSE,"",((VG74*TAXE)-(VG74*TAXE*VI74))+IF(VM74="N/A",0,IF(INDEX(LISTES!$F$105:$F$109,MATCH(VM74,LISTES!$C$105:$C$109,0))="FIX",VN74,VO74*VL74)))</f>
        <v/>
      </c>
      <c r="WA74" s="492" t="str">
        <f>IF(A74=FALSE,"",Cotations!D74)</f>
        <v/>
      </c>
      <c r="WB74" s="519" t="str">
        <f>IF(A74=FALSE,"",IF(LISTES!$A$17=1,Cotations!EW74,Cotations!EX74))</f>
        <v/>
      </c>
      <c r="WC74" s="291" t="str">
        <f t="shared" si="621"/>
        <v/>
      </c>
      <c r="WD74" s="291" t="str">
        <f t="shared" si="622"/>
        <v/>
      </c>
      <c r="WE74" s="291"/>
      <c r="WF74" s="463"/>
      <c r="WG74" s="463" t="str">
        <f t="shared" si="623"/>
        <v/>
      </c>
      <c r="WH74" s="522" t="str">
        <f>IF(A74=FALSE,"",IF(Cotations!$AQ$4="monthly",WG74/12*L74,WG74/365*M74))</f>
        <v/>
      </c>
      <c r="WI74" s="489" t="str">
        <f>IF(A74=FALSE,"",Cotations!$AR$4)</f>
        <v/>
      </c>
      <c r="WJ74" s="300" t="str">
        <f t="shared" si="624"/>
        <v/>
      </c>
      <c r="WK74" s="300" t="str">
        <f t="shared" si="625"/>
        <v/>
      </c>
      <c r="WL74" s="294" t="str">
        <f t="shared" si="626"/>
        <v/>
      </c>
      <c r="WM74" s="494" t="str">
        <f>IF(A74=FALSE,"",Cotations!$AS$4)</f>
        <v/>
      </c>
      <c r="WN74" s="494" t="str">
        <f>IF(A74=FALSE,"",Cotations!$AT$4)</f>
        <v/>
      </c>
      <c r="WO74" s="489" t="str">
        <f>IF(A74=FALSE,"",Cotations!$AU$4)</f>
        <v/>
      </c>
      <c r="WP74" s="494" t="str">
        <f>IF(A74=FALSE,"",IF(WM74="N/A",0,IF(INDEX(LISTES!$F$105:$F$109,MATCH(WM74,LISTES!$C$105:$C$109,0))="FIX",IF(INDEX(LISTES!$E$105:$E$109,MATCH(WM74,LISTES!$C$105:$C$109,0))=12,WN74/12*L74,WN74/365*M74),WO74*WL74)))</f>
        <v/>
      </c>
      <c r="WQ74" s="294" t="str">
        <f t="shared" si="627"/>
        <v/>
      </c>
      <c r="WR74" s="494" t="str">
        <f>IF(A74=FALSE,"",WQ74*Cotations!$AV$4)</f>
        <v/>
      </c>
      <c r="WS74" s="494" t="str">
        <f>IF(A74=FALSE,"",WQ74*Cotations!$AW$4)</f>
        <v/>
      </c>
      <c r="WT74" s="465" t="str">
        <f t="shared" si="628"/>
        <v/>
      </c>
      <c r="WU74" s="919" t="str">
        <f>IF(A74=FALSE,"",((WG74*TAXE)-(WG74*TAXE*WI74))+IF(WM74="N/A",0,IF(INDEX(LISTES!$F$105:$F$109,MATCH(WM74,LISTES!$C$105:$C$109,0))="FIX",WN74,WO74*WL74)))</f>
        <v/>
      </c>
    </row>
    <row r="75" spans="1:619">
      <c r="A75" s="942" t="b">
        <f t="shared" si="433"/>
        <v>0</v>
      </c>
      <c r="B75" s="942" t="b">
        <f>IF(NAMES!$B$9=TRUE,TRUE,FALSE)</f>
        <v>1</v>
      </c>
      <c r="C75" s="942" t="b">
        <f t="shared" si="413"/>
        <v>0</v>
      </c>
      <c r="D75" s="942" t="b">
        <f t="shared" si="414"/>
        <v>0</v>
      </c>
      <c r="E75" s="274" t="b">
        <f>IF(Cotations!C75="","",Cotations!C75)</f>
        <v>0</v>
      </c>
      <c r="F75" s="274" t="str">
        <f>IF(Cotations!D75="","",Cotations!D75)</f>
        <v>PROP</v>
      </c>
      <c r="G75" s="274" t="str">
        <f>IF(Cotations!E75="","",Cotations!E75)</f>
        <v>2016-2017!</v>
      </c>
      <c r="H75" s="274" t="str">
        <f>IF(Cotations!F75="","",Cotations!F75)</f>
        <v>SINGLE</v>
      </c>
      <c r="I75" s="274" t="str">
        <f>IF(Cotations!G75="","",Cotations!G75)</f>
        <v/>
      </c>
      <c r="J75" s="274" t="str">
        <f>IF(Cotations!H75="","",Cotations!H75)</f>
        <v/>
      </c>
      <c r="K75" s="274" t="str">
        <f>IF(Cotations!I75="","",Cotations!I75)</f>
        <v/>
      </c>
      <c r="L75" s="274" t="str">
        <f>IF(A75=FALSE,"",IF(Cotations!N75="","",Cotations!N75))</f>
        <v/>
      </c>
      <c r="M75" s="274" t="str">
        <f>IF(Cotations!P75="","",Cotations!P75)</f>
        <v/>
      </c>
      <c r="N75" s="724" t="str">
        <f>IF(NAMES!$B$10=TRUE,Cotations!J75,Cotations!L75)</f>
        <v/>
      </c>
      <c r="O75" s="724" t="str">
        <f>IF(NAMES!$B$10=TRUE,Cotations!K75,Cotations!M75)</f>
        <v/>
      </c>
      <c r="P75" s="943" t="str">
        <f t="shared" si="415"/>
        <v/>
      </c>
      <c r="Q75" s="724" t="str">
        <f>IF(A75=FALSE,"",IF(Crewlist!Y75="","",Crewlist!Y75))</f>
        <v/>
      </c>
      <c r="R75" s="78" t="str">
        <f>IF(Cotations!U75="","",Cotations!U75)</f>
        <v/>
      </c>
      <c r="S75" s="943" t="str">
        <f t="shared" si="416"/>
        <v/>
      </c>
      <c r="T75" s="919" t="str">
        <f>IF(A75=FALSE,"",VLOOKUP($U$15:$U$120,Currency!$A$2:$D$10,4,0)*Crewlist!N75)</f>
        <v/>
      </c>
      <c r="U75" s="1355" t="str">
        <f>IF(A75=FALSE,"",IF(IT75=0,Crewlist!M75&amp;"/"&amp;EX75,Crewlist!M75&amp;"/"&amp;IT75))</f>
        <v/>
      </c>
      <c r="V75" s="919" t="str">
        <f>IF(A75=FALSE,"",VLOOKUP($U$15:$U$120,Currency!$A$2:$D$10,4,0)*Detail!Q75)</f>
        <v/>
      </c>
      <c r="W75" s="1355" t="str">
        <f>IF(A75=FALSE,"",IF(IT75=0,Detail!R75&amp;"/"&amp;EX75,Detail!R75&amp;"/"&amp;IT75))</f>
        <v/>
      </c>
      <c r="X75" s="919" t="str">
        <f>IF(A75=FALSE,"",IF(LISTES!$C$17="Crewlist",Calcul!T75,Calcul!V75))</f>
        <v/>
      </c>
      <c r="Y75" s="758" t="str">
        <f t="shared" si="417"/>
        <v/>
      </c>
      <c r="Z75" s="758" t="str">
        <f>IF(A75=FALSE,"",IF(X75=0,0,IF((Cotations!BC75*12*X75)&lt;50000,50000,(12*X75))))</f>
        <v/>
      </c>
      <c r="AA75" s="758" t="str">
        <f t="shared" si="418"/>
        <v/>
      </c>
      <c r="AB75" s="758" t="str">
        <f>IF(A75=FALSE,"",IF(Crewlist!O75=0,"",Crewlist!O75))</f>
        <v/>
      </c>
      <c r="AC75" s="758" t="str">
        <f>IF(I75="","",VLOOKUP($AB$15:$AB$120,Currency!$A$15:$B$34,2,0))</f>
        <v/>
      </c>
      <c r="AD75" s="758" t="str">
        <f t="shared" si="419"/>
        <v/>
      </c>
      <c r="AE75" s="758" t="str">
        <f t="shared" si="420"/>
        <v/>
      </c>
      <c r="AF75" s="758" t="str">
        <f t="shared" si="421"/>
        <v/>
      </c>
      <c r="AG75" s="758" t="str">
        <f t="shared" si="422"/>
        <v/>
      </c>
      <c r="AH75" s="1355" t="str">
        <f t="shared" si="434"/>
        <v/>
      </c>
      <c r="AI75" s="919" t="str">
        <f t="shared" si="423"/>
        <v/>
      </c>
      <c r="AJ75" s="1382" t="str">
        <f t="shared" si="424"/>
        <v/>
      </c>
      <c r="AK75" s="1382" t="str">
        <f t="shared" si="425"/>
        <v/>
      </c>
      <c r="AL75" s="238" t="str">
        <f t="shared" si="435"/>
        <v/>
      </c>
      <c r="AM75" s="238" t="str">
        <f t="shared" si="436"/>
        <v/>
      </c>
      <c r="AN75" s="1374" t="str">
        <f t="shared" si="437"/>
        <v/>
      </c>
      <c r="AO75" s="238" t="str">
        <f t="shared" si="438"/>
        <v/>
      </c>
      <c r="AP75" s="342" t="str">
        <f>IF(A75=FALSE,"",INDEX(Rates!$Z$5:$Z$367,MATCH(EB75,colchoice,0)))</f>
        <v/>
      </c>
      <c r="AQ75" s="238" t="str">
        <f t="shared" si="439"/>
        <v/>
      </c>
      <c r="AR75" s="238" t="str">
        <f t="shared" si="440"/>
        <v/>
      </c>
      <c r="AS75" s="238" t="str">
        <f t="shared" si="441"/>
        <v/>
      </c>
      <c r="AT75" s="238" t="str">
        <f t="shared" si="442"/>
        <v/>
      </c>
      <c r="AU75" s="238" t="str">
        <f t="shared" si="443"/>
        <v/>
      </c>
      <c r="AV75" s="238" t="str">
        <f t="shared" si="429"/>
        <v/>
      </c>
      <c r="AW75" s="238" t="str">
        <f t="shared" si="444"/>
        <v/>
      </c>
      <c r="AX75" s="238" t="str">
        <f t="shared" si="445"/>
        <v/>
      </c>
      <c r="AY75" s="238" t="str">
        <f t="shared" si="446"/>
        <v/>
      </c>
      <c r="AZ75" s="238" t="str">
        <f t="shared" si="447"/>
        <v/>
      </c>
      <c r="BA75" s="238" t="str">
        <f t="shared" si="448"/>
        <v/>
      </c>
      <c r="BB75" s="552" t="str">
        <f t="shared" si="449"/>
        <v/>
      </c>
      <c r="BC75" s="347" t="str">
        <f t="shared" si="450"/>
        <v/>
      </c>
      <c r="BD75" s="239" t="str">
        <f t="shared" si="430"/>
        <v/>
      </c>
      <c r="BE75" s="239" t="str">
        <f>IF(A75=FALSE,"",IF(ALLTHESAME=TRUE,IF(DF75&lt;&gt;$BC$7,0,INDEX(DD75:DZ75,1,MATCH(Structure!$D$12,$DD$14:$DZ$14,0))),IF(EC75&lt;&gt;$BC$7,0,INDEX(EA75:EZ75,1,MATCH(Structure!$D$12,$EA$14:$EZ$14,0)))))</f>
        <v/>
      </c>
      <c r="BF75" s="239" t="str">
        <f>IF(A75=FALSE,"",IF(ALLTHESAME=TRUE,IF(FC75&lt;&gt;$BC$7,0,INDEX(FA75:FZ75,1,MATCH(Structure!$D$12,$FA$14:$FZ$14,0))),IF(GC75&lt;&gt;$BC$7,0,INDEX(GA75:GZ75,1,MATCH(Structure!$D$12,$GA$14:$GZ$14,0)))))</f>
        <v/>
      </c>
      <c r="BG75" s="239" t="str">
        <f>IF(A75=FALSE,"",IF(ALLTHESAME=TRUE,IF(VC75&lt;&gt;$BC$7,0,INDEX(VA75:VZ75,1,MATCH(Structure!$D$12,$VA$14:$VZ$14,0))),IF(VC75&lt;&gt;$BC$7,0,INDEX(VA75:VZ75,1,MATCH(Structure!$D$12,$VA$14:$VZ$14,0)))))</f>
        <v/>
      </c>
      <c r="BH75" s="239" t="str">
        <f>IF(A75=FALSE,"",IF(ALLTHESAME=TRUE,IF(WC75&lt;&gt;$BC$7,0,INDEX(WA75:WY75,1,MATCH(Structure!$D$12,$WA$14:$WZ$14,0))),IF(WC75&lt;&gt;$BC$7,0,INDEX(WA75:WZ75,1,MATCH(Structure!$D$12,$WA$14:$WZ$14,0)))))</f>
        <v/>
      </c>
      <c r="BI75" s="763" t="str">
        <f>IF(A75=FALSE,"",IF(ALLTHESAME=TRUE,IF(HC75&lt;&gt;$BC$7,0,INDEX(HA75:HZ75,1,MATCH(Structure!$D$12,$HA$14:$HZ$14,0)))+TK75,IF(IC75&lt;&gt;$BC$7,0,INDEX(IA75:IZ75,1,MATCH(Structure!$D$12,$IA$14:$IZ$14,0)))+TK75))</f>
        <v/>
      </c>
      <c r="BJ75" s="239" t="str">
        <f>IF(A75=FALSE,"",IF(ALLTHESAME=TRUE,IF(JC75&lt;&gt;$BC$7,0,INDEX(JA75:JZ75,1,MATCH(Structure!$D$12,$JA$14:$JZ$14,0))),IF(KC75&lt;&gt;$BC$7,0,INDEX(KA75:KZ75,1,MATCH(Structure!$D$12,$KA$14:$KZ$14,0)))))</f>
        <v/>
      </c>
      <c r="BK75" s="763" t="str">
        <f>IF(A75=FALSE,"",IF(ALLTHESAME=TRUE,IF(LC75&lt;&gt;$BC$7,0,INDEX(LA75:LZ75,1,MATCH(Structure!$D$12,$LA$14:$LZ$14,0)))+UK75,IF(MC75&lt;&gt;$BC$7,0,INDEX(MA75:MZ75,1,MATCH(Structure!$D$12,$MA$14:$MZ$14,0)))+UK75))</f>
        <v/>
      </c>
      <c r="BL75" s="239" t="str">
        <f>IF(A75=FALSE,"",IF(ALLTHESAME=TRUE,IF(NC75&lt;&gt;$BC$7,0,INDEX(NA75:NZ75,1,MATCH(Structure!$D$12,$NA$14:$NZ$14,0))),IF(OC75&lt;&gt;$BC$7,0,INDEX(OA75:OZ75,1,MATCH(Structure!$D$12,$OA$14:$OZ$14,0)))))</f>
        <v/>
      </c>
      <c r="BM75" s="239" t="str">
        <f>IF(A75=FALSE,"",IF(ALLTHESAME=TRUE,IF(PC75&lt;&gt;$BC$7,0,INDEX(PA75:PZ75,1,MATCH(Structure!$D$12,$PA$14:$PZ$14,0))),IF(QC75&lt;&gt;$BC$7,0,INDEX(QA75:QZ75,1,MATCH(Structure!$D$12,$QA$14:$QZ$14,0)))))</f>
        <v/>
      </c>
      <c r="BN75" s="341" t="str">
        <f>IF(A75=FALSE,"",IF(ALLTHESAME=TRUE,IF(RC75&lt;&gt;$BC$7,0,INDEX(RA75:RZ75,1,MATCH(Structure!$D$12,$RA$14:$RZ$14,0))),IF(SC75&lt;&gt;$BC$7,0,INDEX(SA75:TA75,1,MATCH(Structure!$D$12,$SA$14:$TA$14,0)))))</f>
        <v/>
      </c>
      <c r="BO75" s="507" t="str">
        <f t="shared" si="451"/>
        <v/>
      </c>
      <c r="BP75" s="239" t="str">
        <f t="shared" si="452"/>
        <v/>
      </c>
      <c r="BQ75" s="239" t="str">
        <f>IF(A75=FALSE,"",IF(ALLTHESAME=TRUE,IF(DF75&lt;&gt;$BO$7,0,INDEX(DD75:DZ75,1,MATCH(Structure!$D$12,$DD$14:$DZ$14,0))),IF(EC75&lt;&gt;$BO$7,0,INDEX(EA75:EZ75,1,MATCH(Structure!$D$12,$EA$14:$EZ$14,0)))))</f>
        <v/>
      </c>
      <c r="BR75" s="239" t="str">
        <f>IF(A75=FALSE,"",IF(ALLTHESAME=TRUE,IF(FC75&lt;&gt;$BO$7,0,INDEX(FA75:FZ75,1,MATCH(Structure!$D$12,$FA$14:$FZ$14,0))),IF(GC75&lt;&gt;$BO$7,0,INDEX(GA75:GZ75,1,MATCH(Structure!$D$12,$GA$14:$GZ$14,0)))))</f>
        <v/>
      </c>
      <c r="BS75" s="239" t="str">
        <f>IF(A75=FALSE,"",IF(ALLTHESAME=TRUE,IF(HC75&lt;&gt;$BO$7,0,INDEX(HA75:HZ75,1,MATCH(Structure!$D$12,$HA$14:$HZ$14,0))),IF(IC75&lt;&gt;$BO$7,0,INDEX(IA75:IZ75,1,MATCH(Structure!$D$12,$IA$14:$IZ$14,0)))))</f>
        <v/>
      </c>
      <c r="BT75" s="239" t="str">
        <f>IF(A75=FALSE,"",IF(ALLTHESAME=TRUE,IF(JC75&lt;&gt;$BO$7,0,INDEX(JA75:JZ75,1,MATCH(Structure!$D$12,$JA$14:$JZ$14,0))),IF(KC75&lt;&gt;$BO$7,0,INDEX(KA75:KZ75,1,MATCH(Structure!$D$12,$KA$14:$KZ$14,0)))))</f>
        <v/>
      </c>
      <c r="BU75" s="239" t="str">
        <f>IF(A75=FALSE,"",IF(ALLTHESAME=TRUE,IF(LC75&lt;&gt;$BO$7,0,INDEX(LA75:LZ75,1,MATCH(Structure!$D$12,$LA$14:$LZ$14,0))),IF(MC75&lt;&gt;$BO$7,0,INDEX(MA75:MZ75,1,MATCH(Structure!$D$12,$MA$14:$MZ$14,0)))))</f>
        <v/>
      </c>
      <c r="BV75" s="239" t="str">
        <f>IF(A75=FALSE,"",IF(ALLTHESAME=TRUE,IF(NC75&lt;&gt;$BO$7,0,INDEX(NA75:NZ75,1,MATCH(Structure!$D$12,$NA$14:$NZ$14,0))),IF(OC75&lt;&gt;$BO$7,0,INDEX(OA75:OZ75,1,MATCH(Structure!$D$12,$OA$14:$OZ$14,0)))))</f>
        <v/>
      </c>
      <c r="BW75" s="239" t="str">
        <f>IF(A75=FALSE,"",IF(ALLTHESAME=TRUE,IF(PC75&lt;&gt;$BO$7,0,INDEX(PA75:PZ75,1,MATCH(Structure!$D$12,$PA$14:$PZ$14,0))),IF(QC75&lt;&gt;$BO$7,0,INDEX(QA75:QZ75,1,MATCH(Structure!$D$12,$QA$14:$QZ$14,0)))))</f>
        <v/>
      </c>
      <c r="BX75" s="341" t="str">
        <f>IF(A75=FALSE,"",IF(ALLTHESAME=TRUE,IF(RC75&lt;&gt;$BO$7,0,INDEX(RA75:RZ75,1,MATCH(Structure!$D$12,$RA$14:$RZ$14,0))),IF(SC75&lt;&gt;$BO$7,0,INDEX(SA75:TA75,1,MATCH(Structure!$D$12,$SA$14:$TA$14,0)))))</f>
        <v/>
      </c>
      <c r="BY75" s="347" t="str">
        <f t="shared" si="453"/>
        <v/>
      </c>
      <c r="BZ75" s="507" t="str">
        <f t="shared" si="454"/>
        <v/>
      </c>
      <c r="CA75" s="239" t="str">
        <f t="shared" si="455"/>
        <v/>
      </c>
      <c r="CB75" s="239" t="str">
        <f>IF(A75=FALSE,"",IF(ALLTHESAME=TRUE,INDEX(DD75:DZ75,MATCH(DF75,DF75:DF180,0),MATCH(Structure!$D$17,$DD$14:$DZ$14,0)),INDEX(EA75:EZ75,MATCH(EC75,EC75:EC180,0),MATCH(Structure!$D$17,$EA$14:$EZ$14,0))))</f>
        <v/>
      </c>
      <c r="CC75" s="239" t="str">
        <f>IF(A75=FALSE,"",IF(ALLTHESAME=TRUE,INDEX(FA75:FZ75,MATCH(FC75,FC75:FC180,0),MATCH(Structure!$D$17,$FA$14:$FZ$14,0)),INDEX(GA75:GZ75,MATCH(GC75,GC75:GC180,0),MATCH(Structure!$D$17,$GA$14:$GZ$14,0))))</f>
        <v/>
      </c>
      <c r="CD75" s="239" t="str">
        <f>IF(A75=FALSE,"",IF(ALLTHESAME=TRUE,INDEX(HA75:HZ75,MATCH(HC75,HC75:HC180,0),MATCH(Structure!$D$17,$HA$14:$HZ$14,0)),INDEX(IA75:IZ75,MATCH(IC75,IC75:IC180,0),MATCH(Structure!$D$17,$IA$14:$IZ$14,0))))</f>
        <v/>
      </c>
      <c r="CE75" s="239" t="str">
        <f>IF(A75=FALSE,"",IF(ALLTHESAME=TRUE,INDEX(JA75:JZ75,MATCH(JC75,JC75:JC180,0),MATCH(Structure!$D$17,$JA$14:$JZ$14,0)),INDEX(KA75:KZ75,MATCH(KC75,KC75:KC180,0),MATCH(Structure!$D$17,$KA$14:$KZ$14,0))))</f>
        <v/>
      </c>
      <c r="CF75" s="239" t="str">
        <f>IF(A75=FALSE,"",IF(ALLTHESAME=TRUE,INDEX(LA75:LZ75,MATCH(LC75,LC75:LC180,0),MATCH(Structure!$D$17,$LA$14:$LZ$14,0)),INDEX(MA75:MZ75,MATCH(MC75,MC75:MC180,0),MATCH(Structure!$D$17,$MA$14:$MZ$14,0))))</f>
        <v/>
      </c>
      <c r="CG75" s="239" t="str">
        <f>IF(A75=FALSE,"",IF(ALLTHESAME=TRUE,INDEX(NA75:NZ75,MATCH(NC75,NC75:NC180,0),MATCH(Structure!$D$17,$NA$14:$NZ$14,0)),INDEX(OA75:OZ75,MATCH(OC75,OC75:OC180,0),MATCH(Structure!$D$17,$OA$14:$OZ$14,0))))</f>
        <v/>
      </c>
      <c r="CH75" s="239" t="str">
        <f>IF(A75=FALSE,"",IF(ALLTHESAME=TRUE,INDEX(PA75:PZ75,MATCH(PC75,PC75:PC180,0),MATCH(Structure!$D$17,$PA$14:$PZ$14,0)),INDEX(QA75:QZ75,MATCH(QC75,QC75:QC180,0),MATCH(Structure!$D$17,$QA$14:$QZ$14,0))))</f>
        <v/>
      </c>
      <c r="CI75" s="341" t="str">
        <f>IF(A75=FALSE,"",IF(ALLTHESAME=TRUE,INDEX(RA75:RZ75,MATCH(RC75,RC75:RC180,0),MATCH(Structure!$D$17,$RA$14:$RZ$14,0)),INDEX(SA75:TC75,MATCH(SC75,SC75:SC180,0),MATCH(Structure!$D$17,$SA$14:$TC$14,0))))</f>
        <v/>
      </c>
      <c r="CJ75" s="347"/>
      <c r="CK75" s="239" t="str">
        <f t="shared" si="456"/>
        <v/>
      </c>
      <c r="CL75" s="239" t="str">
        <f>IF(A75=FALSE,"",IF(ALLTHESAME=TRUE,INDEX(DD75:DZ75,MATCH(DF75,DF75:DF180,0),MATCH(Structure!$D$22,$DD$14:$DZ$14,0)),INDEX(EA75:EZ75,MATCH(EC75,EC75:EC180,0),MATCH(Structure!$D$22,$EA$14:$EZ$14,0))))</f>
        <v/>
      </c>
      <c r="CM75" s="239" t="str">
        <f>IF(A75=FALSE,"",IF(ALLTHESAME=TRUE,INDEX(FA75:FZ75,MATCH(FC75,FC75:FC180,0),MATCH(Structure!$D$22,$FA$14:$FZ$14,0)),INDEX(GA75:GZ75,MATCH(GC75,GC75:GC180,0),MATCH(Structure!$D$22,$GA$14:$GZ$14,0))))</f>
        <v/>
      </c>
      <c r="CN75" s="239" t="str">
        <f>IF(A75=FALSE,"",IF(ALLTHESAME=TRUE,INDEX(HA75:HZ75,MATCH(HC75,HC75:HC180,0),MATCH(Structure!$D$22,$HA$14:$HZ$14,0)),INDEX(IA75:IZ75,MATCH(IC75,IC75:IC180,0),MATCH(Structure!$D$22,$IA$14:$IZ$14,0))))</f>
        <v/>
      </c>
      <c r="CO75" s="239" t="str">
        <f>IF(A75=FALSE,"",IF(ALLTHESAME=TRUE,INDEX(JA75:JZ75,MATCH(JC75,JC75:JC180,0),MATCH(Structure!$D$22,$JA$14:$JZ$14,0)),INDEX(KA75:KZ75,MATCH(KC75,KC75:KC180,0),MATCH(Structure!$D$22,$KA$14:$KZ$14,0))))</f>
        <v/>
      </c>
      <c r="CP75" s="239" t="str">
        <f>IF(A75=FALSE,"",IF(ALLTHESAME=TRUE,INDEX(LA75:LZ75,MATCH(LC75,LC75:LC180,0),MATCH(Structure!$D$22,$LA$14:$LZ$14,0)),INDEX(MA75:MZ75,MATCH(MC75,MC75:MC180,0),MATCH(Structure!$D$22,$MA$14:$MZ$14,0))))</f>
        <v/>
      </c>
      <c r="CQ75" s="239" t="str">
        <f>IF(A75=FALSE,"",IF(ALLTHESAME=TRUE,INDEX(NA75:NZ75,MATCH(NC75,NC75:NC180,0),MATCH(Structure!$D$22,$NA$14:$NZ$14,0)),INDEX(OA75:OZ75,MATCH(OC75,OC75:OC180,0),MATCH(Structure!$D$22,$OA$14:$OZ$14,0))))</f>
        <v/>
      </c>
      <c r="CR75" s="239" t="str">
        <f>IF(A75=FALSE,"",IF(ALLTHESAME=TRUE,INDEX(PA75:PZ75,MATCH(PC75,PC75:PC180,0),MATCH(Structure!$D$22,$PA$14:$PZ$14,0)),INDEX(QA75:QZ75,MATCH(QC75,QC75:QC180,0),MATCH(Structure!$D$22,$QA$14:$QZ$14,0))))</f>
        <v/>
      </c>
      <c r="CS75" s="341" t="str">
        <f>IF(A75=FALSE,"",IF(ALLTHESAME=TRUE,INDEX(RA75:RZ75,MATCH(RC75,RC75:RC180,0),MATCH(Structure!$D$22,$RA$14:$RZ$14,0)),INDEX(SA75:TC75,MATCH(SC75,SC75:SC180,0),MATCH(Structure!$D$22,$SA$14:$TC$14,0))))</f>
        <v/>
      </c>
      <c r="CT75" s="347"/>
      <c r="CU75" s="239" t="str">
        <f t="shared" si="457"/>
        <v/>
      </c>
      <c r="CV75" s="239" t="str">
        <f>IF(A75=FALSE,"",IF(ALLTHESAME=TRUE,INDEX(DD75:DZ75,MATCH(DF75,DF75:DF180,0),MATCH(Structure!$D$8,$DD$14:$DZ$14,0)),INDEX(EA75:EZ75,MATCH(EC75,EC75:EC180,0),MATCH(Structure!$D$8,$EA$14:$EZ$14,0))))</f>
        <v/>
      </c>
      <c r="CW75" s="239" t="str">
        <f>IF(A75=FALSE,"",IF(ALLTHESAME=TRUE,INDEX(FA75:FZ75,MATCH(FC75,FC75:FC180,0),MATCH(Structure!$D$8,$FA$14:$FZ$14,0)),INDEX(GA75:GZ75,MATCH(GC75,GC75:GC180,0),MATCH(Structure!$D$8,$GA$14:$GZ$14,0))))</f>
        <v/>
      </c>
      <c r="CX75" s="239" t="str">
        <f>IF(A75=FALSE,"",IF(ALLTHESAME=TRUE,INDEX(HA75:HZ75,MATCH(HC75,HC75:HC180,0),MATCH(Structure!$D$8,$HA$14:$HZ$14,0)),INDEX(IA75:IZ75,MATCH(IC75,IC75:IC180,0),MATCH(Structure!$D$8,$IA$14:$IZ$14,0))))</f>
        <v/>
      </c>
      <c r="CY75" s="239" t="str">
        <f>IF(A75=FALSE,"",IF(ALLTHESAME=TRUE,INDEX(JA75:JZ75,MATCH(JC75,JC75:JC180,0),MATCH(Structure!$D$8,$JA$14:$JZ$14,0)),INDEX(KA75:KZ75,MATCH(KC75,KC75:KC180,0),MATCH(Structure!$D$8,$KA$14:$KZ$14,0))))</f>
        <v/>
      </c>
      <c r="CZ75" s="239" t="str">
        <f>IF(A75=FALSE,"",IF(ALLTHESAME=TRUE,INDEX(LA75:LZ75,MATCH(LC75,LC75:LC180,0),MATCH(Structure!$D$8,$LA$14:$LZ$14,0)),INDEX(MA75:MZ75,MATCH(MC75,MC75:MC180,0),MATCH(Structure!$D$8,$MA$14:$MZ$14,0))))</f>
        <v/>
      </c>
      <c r="DA75" s="239" t="str">
        <f>IF(A75=FALSE,"",IF(ALLTHESAME=TRUE,INDEX(NA75:NZ75,MATCH(NC75,NC75:NC180,0),MATCH(Structure!$D$8,$NA$14:$NZ$14,0)),INDEX(OA75:OZ75,MATCH(OC75,OC75:OC180,0),MATCH(Structure!$D$8,$OA$14:$OZ$14,0))))</f>
        <v/>
      </c>
      <c r="DB75" s="239" t="str">
        <f>IF(A75=FALSE,"",IF(ALLTHESAME=TRUE,INDEX(PA75:PZ75,MATCH(PC75,PC75:PC180,0),MATCH(Structure!$D$8,$PA$14:$PZ$14,0)),INDEX(QA75:QZ75,MATCH(QC75,QC75:QC180,0),MATCH(Structure!$D$8,$QA$14:$QZ$14,0))))</f>
        <v/>
      </c>
      <c r="DC75" s="341" t="str">
        <f>IF(A75=FALSE,"",IF(ALLTHESAME=TRUE,INDEX(RA75:RZ75,MATCH(RC75,RC75:RC180,0),MATCH(Structure!$D$8,$RA$14:$RZ$14,0)),INDEX(SA75:TC75,MATCH(SC75,SC75:SC180,0),MATCH(Structure!$D$8,$SA$14:$TC$14,0))))</f>
        <v/>
      </c>
      <c r="DD75" s="492" t="str">
        <f>IF(A75=FALSE,"",Cotations!D75)</f>
        <v/>
      </c>
      <c r="DE75" s="492" t="str">
        <f>IF(A75=FALSE,"",IF(LISTES!$A$17=1,Cotations!AF75,Cotations!$AG$4))</f>
        <v/>
      </c>
      <c r="DF75" s="291" t="str">
        <f t="shared" si="458"/>
        <v/>
      </c>
      <c r="DG75" s="291" t="str">
        <f t="shared" si="459"/>
        <v/>
      </c>
      <c r="DH75" s="291"/>
      <c r="DI75" s="463"/>
      <c r="DJ75" s="463" t="str">
        <f t="shared" si="460"/>
        <v/>
      </c>
      <c r="DK75" s="522" t="str">
        <f>IF(A75=FALSE,"",IF(Cotations!$AH$4="monthly",DJ75/12*L75,DJ75/365*M75))</f>
        <v/>
      </c>
      <c r="DL75" s="489" t="str">
        <f>IF(A75=FALSE,"",Cotations!$AI$4)</f>
        <v/>
      </c>
      <c r="DM75" s="300" t="str">
        <f t="shared" si="461"/>
        <v/>
      </c>
      <c r="DN75" s="300" t="str">
        <f t="shared" si="462"/>
        <v/>
      </c>
      <c r="DO75" s="294" t="str">
        <f t="shared" si="463"/>
        <v/>
      </c>
      <c r="DP75" s="494" t="str">
        <f>IF(A75=FALSE,"",Cotations!$AJ$4)</f>
        <v/>
      </c>
      <c r="DQ75" s="494" t="str">
        <f>IF(A75=FALSE,"",Cotations!$AK$4)</f>
        <v/>
      </c>
      <c r="DR75" s="489" t="str">
        <f>IF(A75=FALSE,"",Cotations!$AL$4)</f>
        <v/>
      </c>
      <c r="DS75" s="494" t="str">
        <f>IF(A75=FALSE,"",IF(DP75="N/A",0,IF(INDEX(LISTES!$F$105:$F$109,MATCH(DP75,LISTES!$C$105:$C$109,0))="FIX",IF(INDEX(LISTES!$E$105:$E$109,MATCH(DP75,LISTES!$C$105:$C$109,0))=12,DQ75/12*L75,DQ75/365*M75),DR75*DO75)))</f>
        <v/>
      </c>
      <c r="DT75" s="294" t="str">
        <f t="shared" si="464"/>
        <v/>
      </c>
      <c r="DU75" s="294" t="str">
        <f>IF(A75=FALSE,"",DT75*Cotations!$AM$4)</f>
        <v/>
      </c>
      <c r="DV75" s="294" t="str">
        <f>IF(A75=FALSE,"",DT75*Cotations!$AN$4)</f>
        <v/>
      </c>
      <c r="DW75" s="465" t="str">
        <f t="shared" si="465"/>
        <v/>
      </c>
      <c r="DX75" s="919" t="str">
        <f>IF(A75=FALSE,"",((DJ75*TAXE)-(DJ75*TAXE*DL75))+IF(DP75="N/A",0,IF(INDEX(LISTES!$F$105:$F$109,MATCH(DP75,LISTES!$C$105:$C$109,0))="FIX",DQ75,DR75*DO75)))</f>
        <v/>
      </c>
      <c r="DY75" s="466"/>
      <c r="DZ75" s="466"/>
      <c r="EA75" s="492" t="str">
        <f>IF(A75=FALSE,"",Cotations!D75)</f>
        <v/>
      </c>
      <c r="EB75" s="494" t="str">
        <f>IF(A75=FALSE,"",IF(LISTES!$A$17=1,Cotations!AF75,Cotations!AG75))</f>
        <v/>
      </c>
      <c r="EC75" s="284" t="str">
        <f t="shared" si="466"/>
        <v/>
      </c>
      <c r="ED75" s="284" t="str">
        <f t="shared" si="467"/>
        <v/>
      </c>
      <c r="EE75" s="284"/>
      <c r="EF75" s="284"/>
      <c r="EG75" s="284" t="str">
        <f t="shared" si="468"/>
        <v/>
      </c>
      <c r="EH75" s="1365" t="str">
        <f t="shared" si="469"/>
        <v/>
      </c>
      <c r="EI75" s="1365" t="str">
        <f t="shared" si="470"/>
        <v/>
      </c>
      <c r="EJ75" s="515" t="str">
        <f>IF(A75=FALSE,"",IF(Cotations!AH75="monthly",EG75/12*L75,EG75/365*M75))</f>
        <v/>
      </c>
      <c r="EK75" s="1364" t="str">
        <f>IF(A75=FALSE,"",IF(Cotations!AH75="monthly",EI75/12*L75,EI75/365*M75))</f>
        <v/>
      </c>
      <c r="EL75" s="493" t="str">
        <f>IF(A75=FALSE,"",IF(Cotations!AI75="","",Cotations!AI75))</f>
        <v/>
      </c>
      <c r="EM75" s="284" t="str">
        <f t="shared" si="471"/>
        <v/>
      </c>
      <c r="EN75" s="284" t="str">
        <f t="shared" si="472"/>
        <v/>
      </c>
      <c r="EO75" s="1365" t="str">
        <f t="shared" si="432"/>
        <v/>
      </c>
      <c r="EP75" s="284" t="str">
        <f t="shared" si="473"/>
        <v/>
      </c>
      <c r="EQ75" s="515" t="str">
        <f>IF(A75=FALSE,"",Cotations!AJ75)</f>
        <v/>
      </c>
      <c r="ER75" s="515" t="str">
        <f>IF(A75=FALSE,"",IF(Cotations!AK75="","",Cotations!AK75))</f>
        <v/>
      </c>
      <c r="ES75" s="493" t="str">
        <f>IF(A75=FALSE,"",Cotations!AL75)</f>
        <v/>
      </c>
      <c r="ET75" s="515" t="str">
        <f>IF(A75=FALSE,"",IF(EQ75="N/A",0,IF(INDEX(LISTES!$F$105:$F$109,MATCH(EQ75,LISTES!$C$105:$C$109,0))="FIX",IF(INDEX(LISTES!$E$105:$E$109,MATCH(EQ75,LISTES!$C$105:$C$109,0))=12,ER75/12*L75,ER75/365*M75),ES75*EP75)))</f>
        <v/>
      </c>
      <c r="EU75" s="294" t="str">
        <f t="shared" si="474"/>
        <v/>
      </c>
      <c r="EV75" s="494" t="str">
        <f>IF(A75=FALSE,"",EU75*Cotations!AM75)</f>
        <v/>
      </c>
      <c r="EW75" s="494" t="str">
        <f>IF(A75=FALSE,"",EU75*Cotations!AN75)</f>
        <v/>
      </c>
      <c r="EX75" s="334" t="str">
        <f t="shared" si="475"/>
        <v/>
      </c>
      <c r="EY75" s="919" t="str">
        <f>IF(A75=FALSE,"",((EG75*TAXE)-(EG75*TAXE*EL75)+EH75)+IF(EQ75="N/A",0,IF(INDEX(LISTES!$F$105:$F$109,MATCH(EQ75,LISTES!$C$105:$C$109,0))="FIX",ER75,ES75*EP75)))</f>
        <v/>
      </c>
      <c r="FA75" s="492" t="str">
        <f>IF(A75=FALSE,"",Cotations!D75)</f>
        <v/>
      </c>
      <c r="FB75" s="519" t="str">
        <f>IF(A75=FALSE,"",IF(LISTES!$A$17=1,Cotations!AO75,Cotations!$AP$4))</f>
        <v/>
      </c>
      <c r="FC75" s="291" t="str">
        <f t="shared" si="476"/>
        <v/>
      </c>
      <c r="FD75" s="291" t="str">
        <f t="shared" si="477"/>
        <v/>
      </c>
      <c r="FE75" s="291"/>
      <c r="FF75" s="463"/>
      <c r="FG75" s="463" t="str">
        <f t="shared" si="478"/>
        <v/>
      </c>
      <c r="FH75" s="522" t="str">
        <f>IF(A75=FALSE,"",IF(Cotations!$AQ$4="monthly",FG75/12*L75,FG75/365*M75))</f>
        <v/>
      </c>
      <c r="FI75" s="453" t="str">
        <f>IF(A75=FALSE,"",Cotations!$AR$4)</f>
        <v/>
      </c>
      <c r="FJ75" s="300" t="str">
        <f t="shared" si="479"/>
        <v/>
      </c>
      <c r="FK75" s="300" t="str">
        <f t="shared" si="480"/>
        <v/>
      </c>
      <c r="FL75" s="294" t="str">
        <f t="shared" si="481"/>
        <v/>
      </c>
      <c r="FM75" s="494" t="str">
        <f>IF(A75=FALSE,"",Cotations!$AS$4)</f>
        <v/>
      </c>
      <c r="FN75" s="494" t="str">
        <f>IF(A75=FALSE,"",Cotations!$AT$4)</f>
        <v/>
      </c>
      <c r="FO75" s="489" t="str">
        <f>IF(A75=FALSE,"",Cotations!$AU$4)</f>
        <v/>
      </c>
      <c r="FP75" s="494" t="str">
        <f>IF(A75=FALSE,"",IF(FM75="N/A",0,IF(INDEX(LISTES!$F$105:$F$109,MATCH(FM75,LISTES!$C$105:$C$109,0))="FIX",IF(INDEX(LISTES!$E$105:$E$109,MATCH(FM75,LISTES!$C$105:$C$109,0))=12,FN75/12*L75,FN75/365*M75),FO75*FL75)))</f>
        <v/>
      </c>
      <c r="FQ75" s="294" t="str">
        <f t="shared" si="482"/>
        <v/>
      </c>
      <c r="FR75" s="494" t="str">
        <f>IF(A75=FALSE,"",FQ75*Cotations!$AV$4)</f>
        <v/>
      </c>
      <c r="FS75" s="494" t="str">
        <f>IF(A75=FALSE,"",FQ75*Cotations!$AW$4)</f>
        <v/>
      </c>
      <c r="FT75" s="465" t="str">
        <f t="shared" si="483"/>
        <v/>
      </c>
      <c r="FU75" s="919" t="str">
        <f>IF(A75=FALSE,"",((FG75*TAXE)-(FG75*TAXE*FI75))+IF(FM75="N/A",0,IF(INDEX(LISTES!$F$105:$F$109,MATCH(FM75,LISTES!$C$105:$C$109,0))="FIX",FN75,FO75*FL75)))</f>
        <v/>
      </c>
      <c r="FV75" s="478"/>
      <c r="FW75" s="478"/>
      <c r="FX75" s="478"/>
      <c r="FY75" s="478"/>
      <c r="FZ75" s="478"/>
      <c r="GA75" s="492" t="str">
        <f>IF(A75=FALSE,"",Cotations!D75)</f>
        <v/>
      </c>
      <c r="GB75" s="494" t="str">
        <f>IF(A75=FALSE,"",IF(LISTES!$A$17=1,Cotations!AO75,Cotations!AP75))</f>
        <v/>
      </c>
      <c r="GC75" s="284" t="str">
        <f t="shared" si="484"/>
        <v/>
      </c>
      <c r="GD75" s="515" t="str">
        <f>IF(A75=FALSE,"",IF(Detail!AM75="","",Detail!AM75))</f>
        <v/>
      </c>
      <c r="GE75" s="284"/>
      <c r="GF75" s="284"/>
      <c r="GG75" s="284" t="str">
        <f t="shared" si="485"/>
        <v/>
      </c>
      <c r="GH75" s="515" t="str">
        <f>IF(A75=FALSE,"",IF(Cotations!AQ75="monthly",GG75/12*L75,GG75/365*M75))</f>
        <v/>
      </c>
      <c r="GI75" s="493" t="str">
        <f>IF(A75=FALSE,"",IF(Cotations!AR75="","",Cotations!AR75))</f>
        <v/>
      </c>
      <c r="GJ75" s="284" t="str">
        <f t="shared" si="486"/>
        <v/>
      </c>
      <c r="GK75" s="284" t="str">
        <f t="shared" si="487"/>
        <v/>
      </c>
      <c r="GL75" s="284" t="str">
        <f t="shared" si="488"/>
        <v/>
      </c>
      <c r="GM75" s="515" t="str">
        <f>IF(A75=FALSE,"",Cotations!AS75)</f>
        <v/>
      </c>
      <c r="GN75" s="515" t="str">
        <f>IF(A75=FALSE,"",Cotations!AT75)</f>
        <v/>
      </c>
      <c r="GO75" s="493" t="str">
        <f>IF(A75=FALSE,"",Cotations!AU75)</f>
        <v/>
      </c>
      <c r="GP75" s="515" t="str">
        <f>IF(A75=FALSE,"",IF(GM75="N/A",0,IF(INDEX(LISTES!$F$105:$F$109,MATCH(GM75,LISTES!$C$105:$C$109,0))="FIX",IF(INDEX(LISTES!$E$105:$E$109,MATCH(GM75,LISTES!$C$105:$C$109,0))=12,GN75/12*L75,GN75/365*M75),GO75*GL75)))</f>
        <v/>
      </c>
      <c r="GQ75" s="294" t="str">
        <f t="shared" si="489"/>
        <v/>
      </c>
      <c r="GR75" s="494" t="str">
        <f>IF(A75=FALSE,"",GQ75*Cotations!AV75)</f>
        <v/>
      </c>
      <c r="GS75" s="494" t="str">
        <f>IF(A75=FALSE,"",GQ75*Cotations!AW75)</f>
        <v/>
      </c>
      <c r="GT75" s="334" t="str">
        <f t="shared" si="490"/>
        <v/>
      </c>
      <c r="GU75" s="919" t="str">
        <f>IF(A75=FALSE,"",((GG75*TAXE)-(GG75*TAXE*GI75))+IF(GM75="N/A",0,IF(INDEX(LISTES!$F$105:$F$109,MATCH(GM75,LISTES!$C$105:$C$109,0))="FIX",GN75,GO75*GL75)))</f>
        <v/>
      </c>
      <c r="GV75" s="478"/>
      <c r="GW75" s="466"/>
      <c r="GX75" s="466"/>
      <c r="GY75" s="466"/>
      <c r="GZ75" s="466"/>
      <c r="HA75" s="492" t="str">
        <f>IF(A75=FALSE,"",Cotations!D75)</f>
        <v/>
      </c>
      <c r="HB75" s="495" t="str">
        <f>IF(A75=FALSE,"",IF(LISTES!$A$17=1,Cotations!AX75,Cotations!$AY$4))</f>
        <v/>
      </c>
      <c r="HC75" s="291" t="str">
        <f t="shared" si="491"/>
        <v/>
      </c>
      <c r="HD75" s="291" t="str">
        <f t="shared" si="492"/>
        <v/>
      </c>
      <c r="HE75" s="456" t="str">
        <f t="shared" si="493"/>
        <v/>
      </c>
      <c r="HF75" s="496" t="str">
        <f>IF(A75=FALSE,"",IF(HA75="POEA",Cotations!BA75,IF(HA75="FIXE",Cotations!$BA$4,Cotations!$BC$4*Y75)))</f>
        <v/>
      </c>
      <c r="HG75" s="300" t="str">
        <f t="shared" si="494"/>
        <v/>
      </c>
      <c r="HH75" s="522" t="str">
        <f>IF(A75=FALSE,"",IF(Cotations!$AZ$4="monthly",HG75/12*L75,HG75/365*M75))</f>
        <v/>
      </c>
      <c r="HI75" s="489" t="str">
        <f>IF(A75=FALSE,"",Cotations!$BD$4)</f>
        <v/>
      </c>
      <c r="HJ75" s="300" t="str">
        <f t="shared" si="495"/>
        <v/>
      </c>
      <c r="HK75" s="300" t="str">
        <f t="shared" si="496"/>
        <v/>
      </c>
      <c r="HL75" s="294" t="str">
        <f t="shared" si="497"/>
        <v/>
      </c>
      <c r="HM75" s="494" t="str">
        <f>IF(A75=FALSE,"",Cotations!$BE$4)</f>
        <v/>
      </c>
      <c r="HN75" s="522" t="str">
        <f>IF(A75=FALSE,"",Cotations!$BF$4)</f>
        <v/>
      </c>
      <c r="HO75" s="489" t="str">
        <f>IF(A75=FALSE,"",Cotations!$BG$4)</f>
        <v/>
      </c>
      <c r="HP75" s="494" t="str">
        <f>IF(A75=FALSE,"",IF(HM75="N/A",0,IF(INDEX(LISTES!$F$105:$F$109,MATCH(HM75,LISTES!$C$105:$C$109,0))="FIX",IF(INDEX(LISTES!$E$105:$E$109,MATCH(HM75,LISTES!$C$105:$C$109,0))=12,HN75/12*L75,HN75/365*M75),HO75*HL75)))</f>
        <v/>
      </c>
      <c r="HQ75" s="294" t="str">
        <f t="shared" si="498"/>
        <v/>
      </c>
      <c r="HR75" s="494" t="str">
        <f>IF(A75=FALSE,"",HQ75*Cotations!$BH$4)</f>
        <v/>
      </c>
      <c r="HS75" s="494" t="str">
        <f>IF(A75=FALSE,"",HQ75*Cotations!$BI$4)</f>
        <v/>
      </c>
      <c r="HT75" s="294" t="str">
        <f t="shared" si="499"/>
        <v/>
      </c>
      <c r="HU75" s="919" t="str">
        <f>IF(A75=FALSE,"",((HG75*TAXE)-(HG75*TAXE*HI75))+IF(HM75="N/A",0,IF(INDEX(LISTES!$F$105:$F$109,MATCH(HM75,LISTES!$C$105:$C$109,0))="FIX",HN75,HO75*HL75)))</f>
        <v/>
      </c>
      <c r="IA75" s="492" t="str">
        <f>IF(A75=FALSE,"",Cotations!D75)</f>
        <v/>
      </c>
      <c r="IB75" s="491" t="str">
        <f>IF(A75=FALSE,"",IF(LISTES!$A$17=1,Cotations!AX75,Cotations!AY75))</f>
        <v/>
      </c>
      <c r="IC75" s="285" t="str">
        <f t="shared" si="500"/>
        <v/>
      </c>
      <c r="ID75" s="300" t="str">
        <f>IF(A75=FALSE,"",IF(LISTES!$A$17=3,Detail!AU75,lig1_Formula_PREVOY))</f>
        <v/>
      </c>
      <c r="IE75" s="461" t="str">
        <f t="shared" si="501"/>
        <v/>
      </c>
      <c r="IF75" s="490" t="str">
        <f>IF(A75=FALSE,"",IF(IA75="POEA",Cotations!BA75,IF(HA75="FIXE",Cotations!BB75,IF(Cotations!BC75*Y75&lt;50000,Z75,Cotations!BC75*Y75))))</f>
        <v/>
      </c>
      <c r="IG75" s="300" t="str">
        <f t="shared" si="502"/>
        <v/>
      </c>
      <c r="IH75" s="522" t="str">
        <f>IF(A75=FALSE,"",IF(Cotations!AZ75="monthly",IG75/12*L75,IG75/365*M75))</f>
        <v/>
      </c>
      <c r="II75" s="489" t="str">
        <f>IF(A75=FALSE,"",IF(Cotations!BD75="","",Cotations!BD75))</f>
        <v/>
      </c>
      <c r="IJ75" s="300" t="str">
        <f t="shared" si="503"/>
        <v/>
      </c>
      <c r="IK75" s="300" t="str">
        <f t="shared" si="504"/>
        <v/>
      </c>
      <c r="IL75" s="919" t="str">
        <f t="shared" si="505"/>
        <v/>
      </c>
      <c r="IM75" s="517" t="str">
        <f>IF(A75=FALSE,"",Cotations!BE75)</f>
        <v/>
      </c>
      <c r="IN75" s="517" t="str">
        <f>IF(A75=FALSE,"",Cotations!BF75)</f>
        <v/>
      </c>
      <c r="IO75" s="493" t="str">
        <f>IF(A75=FALSE,"",Cotations!BG75)</f>
        <v/>
      </c>
      <c r="IP75" s="517" t="str">
        <f>IF(A75=FALSE,"",IF(IM75="N/A",0,IF(INDEX(LISTES!$F$105:$F$109,MATCH(IM75,LISTES!$C$105:$C$109,0))="FIX",IF(INDEX(LISTES!$E$105:$E$109,MATCH(IM75,LISTES!$C$105:$C$109,0))=12,IN75/12*L75,IN75/365*M75),IO75*IL75)))</f>
        <v/>
      </c>
      <c r="IQ75" s="294" t="str">
        <f t="shared" si="506"/>
        <v/>
      </c>
      <c r="IR75" s="494" t="str">
        <f>IF(A75=FALSE,"",IQ75*Cotations!BH75)</f>
        <v/>
      </c>
      <c r="IS75" s="494" t="str">
        <f>IF(A75=FALSE,"",IQ75*Cotations!BI75)</f>
        <v/>
      </c>
      <c r="IT75" s="338" t="str">
        <f t="shared" si="507"/>
        <v/>
      </c>
      <c r="IU75" s="919" t="str">
        <f>IF(A75=FALSE,"",((IG75*TAXE)-(IG75*TAXE*II75))+IF(IM75="N/A",0,IF(INDEX(LISTES!$F$105:$F$109,MATCH(IM75,LISTES!$C$105:$C$109,0))="FIX",IN75,IO75*IL75)))</f>
        <v/>
      </c>
      <c r="JA75" s="492" t="str">
        <f>IF(A75=FALSE,"",Cotations!D75)</f>
        <v/>
      </c>
      <c r="JB75" s="495" t="str">
        <f>IF(A75=FALSE,"",IF(LISTES!$A$17=1,Cotations!BJ75,Cotations!$BK$4))</f>
        <v/>
      </c>
      <c r="JC75" s="291" t="str">
        <f t="shared" si="508"/>
        <v/>
      </c>
      <c r="JD75" s="291" t="str">
        <f t="shared" si="509"/>
        <v/>
      </c>
      <c r="JE75" s="456" t="str">
        <f t="shared" si="510"/>
        <v/>
      </c>
      <c r="JF75" s="496" t="str">
        <f>IF(A75=FALSE,"",IF(JA75="POEA",Cotations!BM75,IF(JA75="FIXE",Cotations!$BM$4,Cotations!$BO$4*Y75)))</f>
        <v/>
      </c>
      <c r="JG75" s="300" t="str">
        <f t="shared" si="511"/>
        <v/>
      </c>
      <c r="JH75" s="522" t="str">
        <f>IF(A75=FALSE,"",IF(Cotations!$BL$4="monthly",JG75/12*L75,JG75/365*M75))</f>
        <v/>
      </c>
      <c r="JI75" s="489" t="str">
        <f>IF(A75=FALSE,"",Cotations!$BP$4)</f>
        <v/>
      </c>
      <c r="JJ75" s="300" t="str">
        <f t="shared" si="512"/>
        <v/>
      </c>
      <c r="JK75" s="300" t="str">
        <f t="shared" si="513"/>
        <v/>
      </c>
      <c r="JL75" s="294" t="str">
        <f t="shared" si="514"/>
        <v/>
      </c>
      <c r="JM75" s="494" t="str">
        <f>IF(A75=FALSE,"",Cotations!$BQ$4)</f>
        <v/>
      </c>
      <c r="JN75" s="522" t="str">
        <f>IF(A75=FALSE,"",Cotations!$BR$4)</f>
        <v/>
      </c>
      <c r="JO75" s="489" t="str">
        <f>IF(A75=FALSE,"",Cotations!$BS$4)</f>
        <v/>
      </c>
      <c r="JP75" s="494" t="str">
        <f>IF(A75=FALSE,"",IF(JM75="N/A",0,IF(INDEX(LISTES!$F$105:$F$109,MATCH(JM75,LISTES!$C$105:$C$109,0))="FIX",IF(INDEX(LISTES!$E$105:$E$109,MATCH(JM75,LISTES!$C$105:$C$109,0))=12,JN75/12*L75,JN75/365*M75),JO75*JL75)))</f>
        <v/>
      </c>
      <c r="JQ75" s="294" t="str">
        <f t="shared" si="515"/>
        <v/>
      </c>
      <c r="JR75" s="494" t="str">
        <f>IF(A75=FALSE,"",JQ75*Cotations!$BT$4)</f>
        <v/>
      </c>
      <c r="JS75" s="494" t="str">
        <f>IF(A75=FALSE,"",JQ75*Cotations!$BU$4)</f>
        <v/>
      </c>
      <c r="JT75" s="294" t="str">
        <f t="shared" si="516"/>
        <v/>
      </c>
      <c r="JU75" s="919" t="str">
        <f>IF(A75=FALSE,"",((JG75*TAXE)-(JG75*TAXE*JI75))+IF(JM75="N/A",0,IF(INDEX(LISTES!$F$105:$F$109,MATCH(JM75,LISTES!$C$105:$C$109,0))="FIX",JN75,JO75*JL75)))</f>
        <v/>
      </c>
      <c r="KA75" s="492" t="str">
        <f>IF(A75=FALSE,"",Cotations!D75)</f>
        <v/>
      </c>
      <c r="KB75" s="491" t="str">
        <f>IF(A75=FALSE,"",IF(LISTES!$A$17=1,Cotations!BJ75,Cotations!BK75))</f>
        <v/>
      </c>
      <c r="KC75" s="285" t="str">
        <f t="shared" si="517"/>
        <v/>
      </c>
      <c r="KD75" s="300"/>
      <c r="KE75" s="461" t="str">
        <f t="shared" si="518"/>
        <v/>
      </c>
      <c r="KF75" s="490" t="str">
        <f>IF(A75=FALSE,"",IF(KA75="POEA",Cotations!BM75,IF(KA75="FIXE",Cotations!BN75,IF(Cotations!BO75*Y75&lt;50000,Z75,Cotations!BO75*Y75))))</f>
        <v/>
      </c>
      <c r="KG75" s="300" t="str">
        <f t="shared" si="519"/>
        <v/>
      </c>
      <c r="KH75" s="522" t="str">
        <f>IF(A75=FALSE,"",IF(Cotations!BL75="monthly",KG75/12*L75,KG75/365*M75))</f>
        <v/>
      </c>
      <c r="KI75" s="489" t="str">
        <f>IF(A75=FALSE,"",IF(Cotations!BP75="","",Cotations!BP75))</f>
        <v/>
      </c>
      <c r="KJ75" s="300" t="str">
        <f t="shared" si="520"/>
        <v/>
      </c>
      <c r="KK75" s="300" t="str">
        <f t="shared" si="521"/>
        <v/>
      </c>
      <c r="KL75" s="919" t="str">
        <f t="shared" si="522"/>
        <v/>
      </c>
      <c r="KM75" s="517" t="str">
        <f>IF(A75=FALSE,"",Cotations!BQ75)</f>
        <v/>
      </c>
      <c r="KN75" s="515" t="str">
        <f>IF(A75=FALSE,"",Cotations!BR75)</f>
        <v/>
      </c>
      <c r="KO75" s="493" t="str">
        <f>IF(A75=FALSE,"",Cotations!BS75)</f>
        <v/>
      </c>
      <c r="KP75" s="517" t="str">
        <f>IF(A75=FALSE,"",IF(KM75="N/A",0,IF(INDEX(LISTES!$F$105:$F$109,MATCH(KM75,LISTES!$C$105:$C$109,0))="FIX",IF(INDEX(LISTES!$E$105:$E$109,MATCH(KM75,LISTES!$C$105:$C$109,0))=12,KN75/12*L75,KN75/365*M75),KO75*KL75)))</f>
        <v/>
      </c>
      <c r="KQ75" s="294" t="str">
        <f t="shared" si="523"/>
        <v/>
      </c>
      <c r="KR75" s="494" t="str">
        <f>IF(A75=FALSE,"",KQ75*Cotations!BT75)</f>
        <v/>
      </c>
      <c r="KS75" s="494" t="str">
        <f>IF(A75=FALSE,"",KQ75*Cotations!BU75)</f>
        <v/>
      </c>
      <c r="KT75" s="338" t="str">
        <f t="shared" si="524"/>
        <v/>
      </c>
      <c r="KU75" s="919" t="str">
        <f>IF(A75=FALSE,"",((KG75*TAXE)-(KG75*TAXE*KI75))+IF(KM75="N/A",0,IF(INDEX(LISTES!$F$105:$F$109,MATCH(KM75,LISTES!$C$105:$C$109,0))="FIX",KN75,KO75*KL75)))</f>
        <v/>
      </c>
      <c r="LA75" s="497" t="str">
        <f>IF(A75=FALSE,"",Cotations!D75)</f>
        <v/>
      </c>
      <c r="LB75" s="498" t="str">
        <f>IF(A75=FALSE,"",IF(LISTES!$A$17=1,Cotations!BV75,Cotations!$BW$4))</f>
        <v/>
      </c>
      <c r="LC75" s="499" t="str">
        <f t="shared" si="525"/>
        <v/>
      </c>
      <c r="LD75" s="499" t="str">
        <f t="shared" si="526"/>
        <v/>
      </c>
      <c r="LE75" s="500" t="str">
        <f t="shared" si="527"/>
        <v/>
      </c>
      <c r="LF75" s="501" t="str">
        <f>IF(A75=FALSE,"",IF(LA75="POEA",Cotations!EJ75,IF(LA75="FIXE",Cotations!$BY$4,Cotations!$CA$4*Y75)))</f>
        <v/>
      </c>
      <c r="LG75" s="502" t="str">
        <f t="shared" si="528"/>
        <v/>
      </c>
      <c r="LH75" s="520" t="str">
        <f>IF(A75=FALSE,"",IF(Cotations!$BX$4="monthly",LG75/12*L75,LG75/365*M75))</f>
        <v/>
      </c>
      <c r="LI75" s="503" t="str">
        <f>IF(A75=FALSE,"",Cotations!$CB$4)</f>
        <v/>
      </c>
      <c r="LJ75" s="502" t="str">
        <f t="shared" si="529"/>
        <v/>
      </c>
      <c r="LK75" s="502" t="str">
        <f t="shared" si="530"/>
        <v/>
      </c>
      <c r="LL75" s="504" t="str">
        <f t="shared" si="531"/>
        <v/>
      </c>
      <c r="LM75" s="505" t="str">
        <f>IF(A75=FALSE,"",Cotations!$CC$4)</f>
        <v/>
      </c>
      <c r="LN75" s="503" t="str">
        <f>IF(A75=FALSE,"",Cotations!$CD$4)</f>
        <v/>
      </c>
      <c r="LO75" s="503" t="str">
        <f>IF(A75=FALSE,"",Cotations!$CE$4)</f>
        <v/>
      </c>
      <c r="LP75" s="505" t="str">
        <f>IF(A75=FALSE,"",IF(LM75="N/A",0,IF(INDEX(LISTES!$F$105:$F$109,MATCH(LM75,LISTES!$C$105:$C$109,0))="FIX",IF(INDEX(LISTES!$E$105:$E$109,MATCH(LM75,LISTES!$C$105:$C$109,0))=12,LN75/12*L75,LN75/365*M75),LO75*LL75)))</f>
        <v/>
      </c>
      <c r="LQ75" s="504" t="str">
        <f t="shared" si="532"/>
        <v/>
      </c>
      <c r="LR75" s="505" t="str">
        <f>IF(A75=FALSE,"",LQ75*Cotations!$CF$4)</f>
        <v/>
      </c>
      <c r="LS75" s="505" t="str">
        <f>IF(A75=FALSE,"",LQ75*Cotations!$CG$4)</f>
        <v/>
      </c>
      <c r="LT75" s="506" t="str">
        <f t="shared" si="533"/>
        <v/>
      </c>
      <c r="LU75" s="919" t="str">
        <f>IF(A75=FALSE,"",((LG75*TAXE)-(LG75*TAXE*LI75))+IF(LM75="N/A",0,IF(INDEX(LISTES!$F$105:$F$109,MATCH(LM75,LISTES!$C$105:$C$109,0))="FIX",LN75,LO75*LL75)))</f>
        <v/>
      </c>
      <c r="MA75" s="492" t="str">
        <f>IF(A75=FALSE,"",Cotations!D75)</f>
        <v/>
      </c>
      <c r="MB75" s="491" t="str">
        <f>IF(A75=FALSE,"",IF(LISTES!$A$17=1,Cotations!BV75,Cotations!BW75))</f>
        <v/>
      </c>
      <c r="MC75" s="285" t="str">
        <f t="shared" si="534"/>
        <v/>
      </c>
      <c r="MD75" s="300"/>
      <c r="ME75" s="461" t="str">
        <f t="shared" si="535"/>
        <v/>
      </c>
      <c r="MF75" s="490" t="str">
        <f>IF(A75=FALSE,"",IF(MA75="POEA",Cotations!BY75,IF(MA75="FIXE",Cotations!BZ75,IF(Cotations!CA75*Y75&lt;50000,Z75,Cotations!CA75*Y75))))</f>
        <v/>
      </c>
      <c r="MG75" s="300" t="str">
        <f t="shared" si="536"/>
        <v/>
      </c>
      <c r="MH75" s="522" t="str">
        <f>IF(A75=FALSE,"",IF(Cotations!BX75="monthly",MG75/12*L75,MG75/365*M75))</f>
        <v/>
      </c>
      <c r="MI75" s="489" t="str">
        <f>IF(A75=FALSE,"",IF(Cotations!CB75="","",Cotations!CB75))</f>
        <v/>
      </c>
      <c r="MJ75" s="300" t="str">
        <f t="shared" si="537"/>
        <v/>
      </c>
      <c r="MK75" s="300" t="str">
        <f t="shared" si="538"/>
        <v/>
      </c>
      <c r="ML75" s="919" t="str">
        <f t="shared" si="539"/>
        <v/>
      </c>
      <c r="MM75" s="517" t="str">
        <f>IF(A75=FALSE,"",Cotations!CC75)</f>
        <v/>
      </c>
      <c r="MN75" s="515" t="str">
        <f>IF(A75=FALSE,"",Cotations!CD75)</f>
        <v/>
      </c>
      <c r="MO75" s="493" t="str">
        <f>IF(A75=FALSE,"",Cotations!CE75)</f>
        <v/>
      </c>
      <c r="MP75" s="517" t="str">
        <f>IF(A75=FALSE,"",IF(MM75="N/A",0,IF(INDEX(LISTES!$F$105:$F$109,MATCH(MM75,LISTES!$C$105:$C$109,0))="FIX",IF(INDEX(LISTES!$E$105:$E$109,MATCH(MM75,LISTES!$C$105:$C$109,0))=12,MN75/12*L75,MN75/365*M75),MO75*ML75)))</f>
        <v/>
      </c>
      <c r="MQ75" s="294" t="str">
        <f t="shared" si="540"/>
        <v/>
      </c>
      <c r="MR75" s="494" t="str">
        <f>IF(A75=FALSE,"",MQ75*Cotations!CF75)</f>
        <v/>
      </c>
      <c r="MS75" s="494" t="str">
        <f>IF(A75=FALSE,"",MQ75*Cotations!CG75)</f>
        <v/>
      </c>
      <c r="MT75" s="338" t="str">
        <f t="shared" si="541"/>
        <v/>
      </c>
      <c r="MU75" s="919" t="str">
        <f>IF(A75=FALSE,"",((MG75*TAXE)-(MG75*TAXE*MI75))+IF(MM75="N/A",0,IF(INDEX(LISTES!$F$105:$F$109,MATCH(MM75,LISTES!$C$105:$C$109,0))="FIX",MN75,MO75*ML75)))</f>
        <v/>
      </c>
      <c r="NA75" s="497" t="str">
        <f>IF(A75=FALSE,"",Cotations!D75)</f>
        <v/>
      </c>
      <c r="NB75" s="498" t="str">
        <f>IF(A75=FALSE,"",IF(LISTES!$A$17=1,Cotations!CH75,Cotations!$CI$4))</f>
        <v/>
      </c>
      <c r="NC75" s="499" t="str">
        <f t="shared" si="542"/>
        <v/>
      </c>
      <c r="ND75" s="499" t="str">
        <f t="shared" si="543"/>
        <v/>
      </c>
      <c r="NE75" s="500" t="str">
        <f t="shared" si="544"/>
        <v/>
      </c>
      <c r="NF75" s="501" t="str">
        <f>IF(A75=FALSE,"",IF(NA75="POEA",Cotations!CK75,IF(NA75="FIXE",Cotations!$CK$4,Cotations!$CM$4*Y75)))</f>
        <v/>
      </c>
      <c r="NG75" s="502" t="str">
        <f t="shared" si="545"/>
        <v/>
      </c>
      <c r="NH75" s="520" t="str">
        <f>IF(A75=FALSE,"",IF(Cotations!$CJ$4="monthly",NG75/12*L75,NG75/365*M75))</f>
        <v/>
      </c>
      <c r="NI75" s="503" t="str">
        <f>IF(A75=FALSE,"",Cotations!$CN$4)</f>
        <v/>
      </c>
      <c r="NJ75" s="502" t="str">
        <f t="shared" si="546"/>
        <v/>
      </c>
      <c r="NK75" s="502" t="str">
        <f t="shared" si="547"/>
        <v/>
      </c>
      <c r="NL75" s="504" t="str">
        <f t="shared" si="548"/>
        <v/>
      </c>
      <c r="NM75" s="505" t="str">
        <f>IF(A75=FALSE,"",Cotations!$CO$4)</f>
        <v/>
      </c>
      <c r="NN75" s="520" t="str">
        <f>IF(A75=FALSE,"",Cotations!$CP$4)</f>
        <v/>
      </c>
      <c r="NO75" s="503" t="str">
        <f>IF(A75=FALSE,"",Cotations!$CQ$4)</f>
        <v/>
      </c>
      <c r="NP75" s="505" t="str">
        <f>IF(A75=FALSE,"",IF(NM75="N/A",0,IF(INDEX(LISTES!$F$105:$F$109,MATCH(NM75,LISTES!$C$105:$C$109,0))="FIX",IF(INDEX(LISTES!$E$105:$E$109,MATCH(NM75,LISTES!$C$105:$C$109,0))=12,NN75/12*L75,NN75/365*M75),NO75*NL75)))</f>
        <v/>
      </c>
      <c r="NQ75" s="504" t="str">
        <f t="shared" si="549"/>
        <v/>
      </c>
      <c r="NR75" s="505" t="str">
        <f>IF(A75=FALSE,"",NQ75*Cotations!$CR$4)</f>
        <v/>
      </c>
      <c r="NS75" s="505" t="str">
        <f>IF(A75=FALSE,"",NQ75*Cotations!$CS$4)</f>
        <v/>
      </c>
      <c r="NT75" s="506" t="str">
        <f t="shared" si="550"/>
        <v/>
      </c>
      <c r="NU75" s="919" t="str">
        <f>IF(A75=FALSE,"",((NG75*TAXE)-(NG75*TAXE*NI75))+IF(NM75="N/A",0,IF(INDEX(LISTES!$F$105:$F$109,MATCH(NM75,LISTES!$C$105:$C$109,0))="FIX",NN75,NO75*NL75)))</f>
        <v/>
      </c>
      <c r="OA75" s="492" t="str">
        <f>IF(A75=FALSE,"",Cotations!D75)</f>
        <v/>
      </c>
      <c r="OB75" s="491" t="str">
        <f>IF(A75=FALSE,"",IF(LISTES!$A$17=1,Cotations!CH75,Cotations!CI75))</f>
        <v/>
      </c>
      <c r="OC75" s="285" t="str">
        <f t="shared" si="551"/>
        <v/>
      </c>
      <c r="OD75" s="300"/>
      <c r="OE75" s="461" t="str">
        <f t="shared" si="552"/>
        <v/>
      </c>
      <c r="OF75" s="490" t="str">
        <f>IF(A75=FALSE,"",IF(OA75="POEA",Cotations!CK75,IF(OA75="FIXE",Cotations!CL75,IF(Cotations!CM75*Y75&lt;50000,Z75,Cotations!CM75*Y75))))</f>
        <v/>
      </c>
      <c r="OG75" s="300" t="str">
        <f t="shared" si="553"/>
        <v/>
      </c>
      <c r="OH75" s="522" t="str">
        <f>IF(A75=FALSE,"",IF(Cotations!CJ75="monthly",OG75/12*L75,OG75/365*M75))</f>
        <v/>
      </c>
      <c r="OI75" s="489" t="str">
        <f>IF(A75=FALSE,"",IF(Cotations!CN75="","",Cotations!CN75))</f>
        <v/>
      </c>
      <c r="OJ75" s="300" t="str">
        <f t="shared" si="554"/>
        <v/>
      </c>
      <c r="OK75" s="300" t="str">
        <f t="shared" si="555"/>
        <v/>
      </c>
      <c r="OL75" s="919" t="str">
        <f t="shared" si="556"/>
        <v/>
      </c>
      <c r="OM75" s="517" t="str">
        <f>IF(A75=FALSE,"",Cotations!CO75)</f>
        <v/>
      </c>
      <c r="ON75" s="515" t="str">
        <f>IF(A75=FALSE,"",Cotations!CP75)</f>
        <v/>
      </c>
      <c r="OO75" s="493" t="str">
        <f>IF(A75=FALSE,"",Cotations!CQ75)</f>
        <v/>
      </c>
      <c r="OP75" s="517" t="str">
        <f>IF(A75=FALSE,"",IF(OM75="N/A",0,IF(INDEX(LISTES!$F$105:$F$109,MATCH(OM75,LISTES!$C$105:$C$109,0))="FIX",IF(INDEX(LISTES!$E$105:$E$109,MATCH(OM75,LISTES!$C$105:$C$109,0))=12,ON75/12*L75,ON75/365*M75),OO75*OL75)))</f>
        <v/>
      </c>
      <c r="OQ75" s="294" t="str">
        <f t="shared" si="557"/>
        <v/>
      </c>
      <c r="OR75" s="494" t="str">
        <f>IF(A75=FALSE,"",OQ75*Cotations!CR75)</f>
        <v/>
      </c>
      <c r="OS75" s="494" t="str">
        <f>IF(A75=FALSE,"",OQ75*Cotations!CS75)</f>
        <v/>
      </c>
      <c r="OT75" s="338" t="str">
        <f t="shared" si="558"/>
        <v/>
      </c>
      <c r="OU75" s="919" t="str">
        <f>IF(A75=FALSE,"",((OG75*TAXE)-(OG75*TAXE*OI75))+IF(OM75="N/A",0,IF(INDEX(LISTES!$F$105:$F$109,MATCH(OM75,LISTES!$C$105:$C$109,0))="FIX",ON75,OO75*OL75)))</f>
        <v/>
      </c>
      <c r="PA75" s="497" t="str">
        <f t="shared" si="559"/>
        <v/>
      </c>
      <c r="PB75" s="498" t="str">
        <f>IF(A75=FALSE,"",IF(LISTES!$A$17=1,Cotations!CT75,Cotations!$CU$4))</f>
        <v/>
      </c>
      <c r="PC75" s="499" t="str">
        <f t="shared" si="560"/>
        <v/>
      </c>
      <c r="PD75" s="499" t="str">
        <f t="shared" si="561"/>
        <v/>
      </c>
      <c r="PE75" s="500" t="str">
        <f t="shared" si="562"/>
        <v/>
      </c>
      <c r="PF75" s="501" t="str">
        <f>IF(A75=FALSE,"",Cotations!$CY$4*Y75)</f>
        <v/>
      </c>
      <c r="PG75" s="502" t="str">
        <f t="shared" si="563"/>
        <v/>
      </c>
      <c r="PH75" s="520" t="str">
        <f>IF(A75=FALSE,"",IF(Cotations!$CV$4="monthly",PG75/12*L75,PG75/365*M75))</f>
        <v/>
      </c>
      <c r="PI75" s="503" t="str">
        <f>IF(A75=FALSE,"",Cotations!$CZ$4)</f>
        <v/>
      </c>
      <c r="PJ75" s="502" t="str">
        <f t="shared" si="564"/>
        <v/>
      </c>
      <c r="PK75" s="502" t="str">
        <f t="shared" si="565"/>
        <v/>
      </c>
      <c r="PL75" s="504" t="str">
        <f t="shared" si="566"/>
        <v/>
      </c>
      <c r="PM75" s="505" t="str">
        <f>IF(A75=FALSE,"",Cotations!$DA$4)</f>
        <v/>
      </c>
      <c r="PN75" s="520" t="str">
        <f>IF(A75=FALSE,"",Cotations!$DB$4)</f>
        <v/>
      </c>
      <c r="PO75" s="503" t="str">
        <f>IF(A75=FALSE,"",Cotations!$DC$4)</f>
        <v/>
      </c>
      <c r="PP75" s="505" t="str">
        <f>IF(A75=FALSE,"",IF(PM75="N/A",0,IF(INDEX(LISTES!$F$105:$F$109,MATCH(PM75,LISTES!$C$105:$C$109,0))="FIX",IF(INDEX(LISTES!$E$105:$E$109,MATCH(PM75,LISTES!$C$105:$C$109,0))=12,PN75/12*L75,PN75/365*M75),PO75*PL75)))</f>
        <v/>
      </c>
      <c r="PQ75" s="504" t="str">
        <f t="shared" si="567"/>
        <v/>
      </c>
      <c r="PR75" s="505" t="str">
        <f>IF(A75=FALSE,"",PQ75*Cotations!$DD$4)</f>
        <v/>
      </c>
      <c r="PS75" s="505" t="str">
        <f>IF(A75=FALSE,"",PQ75*Cotations!$DE$4)</f>
        <v/>
      </c>
      <c r="PT75" s="506" t="str">
        <f t="shared" si="568"/>
        <v/>
      </c>
      <c r="PU75" s="919" t="str">
        <f>IF(A75=FALSE,"",((PG75*TAXE)-(PG75*TAXE*PI75))+IF(PM75="N/A",0,IF(INDEX(LISTES!$F$105:$F$109,MATCH(PM75,LISTES!$C$105:$C$109,0))="FIX",PN75,PO75*PL75)))</f>
        <v/>
      </c>
      <c r="QA75" s="492" t="str">
        <f t="shared" si="569"/>
        <v/>
      </c>
      <c r="QB75" s="491" t="str">
        <f>IF(A75=FALSE,"",IF(LISTES!$A$17=1,Cotations!CT75,Cotations!CU75))</f>
        <v/>
      </c>
      <c r="QC75" s="285" t="str">
        <f t="shared" si="570"/>
        <v/>
      </c>
      <c r="QD75" s="300"/>
      <c r="QE75" s="461" t="str">
        <f t="shared" si="571"/>
        <v/>
      </c>
      <c r="QF75" s="490" t="str">
        <f>IF(A75=FALSE,"",Cotations!CY75*AA75)</f>
        <v/>
      </c>
      <c r="QG75" s="300" t="str">
        <f t="shared" si="572"/>
        <v/>
      </c>
      <c r="QH75" s="522" t="str">
        <f>IF(A75=FALSE,"",IF(Cotations!CV75="monthly",QG75/12*L75,QG75/365*M75))</f>
        <v/>
      </c>
      <c r="QI75" s="489" t="str">
        <f>IF(A75=FALSE,"",IF(Cotations!CZ75="","",Cotations!CZ75))</f>
        <v/>
      </c>
      <c r="QJ75" s="300" t="str">
        <f t="shared" si="573"/>
        <v/>
      </c>
      <c r="QK75" s="300" t="str">
        <f t="shared" si="574"/>
        <v/>
      </c>
      <c r="QL75" s="919" t="str">
        <f t="shared" si="575"/>
        <v/>
      </c>
      <c r="QM75" s="517" t="str">
        <f>IF(A75=FALSE,"",Cotations!DA75)</f>
        <v/>
      </c>
      <c r="QN75" s="515" t="str">
        <f>IF(A75=FALSE,"",Cotations!DB75)</f>
        <v/>
      </c>
      <c r="QO75" s="493" t="str">
        <f>IF(A75=FALSE,"",Cotations!DC75)</f>
        <v/>
      </c>
      <c r="QP75" s="517" t="str">
        <f>IF(A75=FALSE,"",IF(QM75="N/A",0,IF(INDEX(LISTES!$F$105:$F$109,MATCH(QM75,LISTES!$C$105:$C$109,0))="FIX",IF(INDEX(LISTES!$E$105:$E$109,MATCH(QM75,LISTES!$C$105:$C$109,0))=12,QN75/12*L75,QN75/365*M75),QO75*QL75)))</f>
        <v/>
      </c>
      <c r="QQ75" s="294" t="str">
        <f t="shared" si="576"/>
        <v/>
      </c>
      <c r="QR75" s="494" t="str">
        <f>IF(A75=FALSE,"",QQ75*Cotations!DD75)</f>
        <v/>
      </c>
      <c r="QS75" s="494" t="str">
        <f>IF(A75=FALSE,"",QQ75*Cotations!DE75)</f>
        <v/>
      </c>
      <c r="QT75" s="338" t="str">
        <f t="shared" si="577"/>
        <v/>
      </c>
      <c r="QU75" s="919" t="str">
        <f>IF(A75=FALSE,"",((QG75*TAXE)-(QG75*TAXE*QI75))+IF(QM75="N/A",0,IF(INDEX(LISTES!$F$105:$F$109,MATCH(QM75,LISTES!$C$105:$C$109,0))="FIX",QN75,QO75*QL75)))</f>
        <v/>
      </c>
      <c r="RA75" s="497" t="str">
        <f t="shared" si="578"/>
        <v/>
      </c>
      <c r="RB75" s="498" t="str">
        <f>IF(A75=FALSE,"",IF(LISTES!$A$17=1,Cotations!DF75,Cotations!$DG$4))</f>
        <v/>
      </c>
      <c r="RC75" s="499" t="str">
        <f t="shared" si="579"/>
        <v/>
      </c>
      <c r="RD75" s="499" t="str">
        <f t="shared" si="580"/>
        <v/>
      </c>
      <c r="RE75" s="500" t="str">
        <f t="shared" si="581"/>
        <v/>
      </c>
      <c r="RF75" s="501" t="str">
        <f>IF(A75=FALSE,"",Cotations!$DK$4*Y75)</f>
        <v/>
      </c>
      <c r="RG75" s="502" t="str">
        <f t="shared" si="582"/>
        <v/>
      </c>
      <c r="RH75" s="520" t="str">
        <f>IF(A75=FALSE,"",IF(Cotations!$DH$4="monthly",RG75/12*L75,RG75/365*M75))</f>
        <v/>
      </c>
      <c r="RI75" s="503" t="str">
        <f>IF(A75=FALSE,"",Cotations!$DL$4)</f>
        <v/>
      </c>
      <c r="RJ75" s="502" t="str">
        <f t="shared" si="583"/>
        <v/>
      </c>
      <c r="RK75" s="502" t="str">
        <f t="shared" si="584"/>
        <v/>
      </c>
      <c r="RL75" s="504" t="str">
        <f t="shared" si="585"/>
        <v/>
      </c>
      <c r="RM75" s="505" t="str">
        <f>IF(A75=FALSE,"",Cotations!$DM$4)</f>
        <v/>
      </c>
      <c r="RN75" s="520" t="str">
        <f>IF(A75=FALSE,"",Cotations!$DN$4)</f>
        <v/>
      </c>
      <c r="RO75" s="503" t="str">
        <f>IF(A75=FALSE,"",Cotations!$DO$4)</f>
        <v/>
      </c>
      <c r="RP75" s="505" t="str">
        <f>IF(A75=FALSE,"",IF(RM75="N/A",0,IF(INDEX(LISTES!$F$105:$F$109,MATCH(RM75,LISTES!$C$105:$C$109,0))="FIX",IF(INDEX(LISTES!$E$105:$E$109,MATCH(RM75,LISTES!$C$105:$C$109,0))=12,RN75/12*L75,RN75/365*M75),RO75*RL75)))</f>
        <v/>
      </c>
      <c r="RQ75" s="504" t="str">
        <f t="shared" si="586"/>
        <v/>
      </c>
      <c r="RR75" s="505" t="str">
        <f>IF(A75=FALSE,"",RQ75*Cotations!$DP$4)</f>
        <v/>
      </c>
      <c r="RS75" s="505" t="str">
        <f>IF(A75=FALSE,"",RQ75*Cotations!$DQ$4)</f>
        <v/>
      </c>
      <c r="RT75" s="506" t="str">
        <f t="shared" si="587"/>
        <v/>
      </c>
      <c r="RU75" s="919" t="str">
        <f>IF(A75=FALSE,"",((RG75*TAXE)-(RG75*TAXE*RI75))+IF(RM75="N/A",0,IF(INDEX(LISTES!$F$105:$F$109,MATCH(RM75,LISTES!$C$105:$C$109,0))="FIX",RN75,RO75*RL75)))</f>
        <v/>
      </c>
      <c r="SA75" s="492" t="str">
        <f t="shared" si="588"/>
        <v/>
      </c>
      <c r="SB75" s="491" t="str">
        <f>IF(A75=FALSE,"",IF(LISTES!$A$17=1,Cotations!DF75,Cotations!DG75))</f>
        <v/>
      </c>
      <c r="SC75" s="285" t="str">
        <f t="shared" si="589"/>
        <v/>
      </c>
      <c r="SD75" s="300"/>
      <c r="SE75" s="461" t="str">
        <f t="shared" si="590"/>
        <v/>
      </c>
      <c r="SF75" s="490" t="str">
        <f>IF(A75=FALSE,"",Cotations!DK75*AA75)</f>
        <v/>
      </c>
      <c r="SG75" s="300" t="str">
        <f t="shared" si="591"/>
        <v/>
      </c>
      <c r="SH75" s="522" t="str">
        <f>IF(A75=FALSE,"",IF(Cotations!DH75="monthly",SG75/12*L75,SG75/365*M75))</f>
        <v/>
      </c>
      <c r="SI75" s="489" t="str">
        <f>IF(A75=FALSE,"",IF(Cotations!DL75="","",Cotations!DL75))</f>
        <v/>
      </c>
      <c r="SJ75" s="300" t="str">
        <f t="shared" si="592"/>
        <v/>
      </c>
      <c r="SK75" s="300" t="str">
        <f t="shared" si="593"/>
        <v/>
      </c>
      <c r="SL75" s="919" t="str">
        <f t="shared" si="594"/>
        <v/>
      </c>
      <c r="SM75" s="285" t="str">
        <f>IF(A75=FALSE,"",Cotations!DM75)</f>
        <v/>
      </c>
      <c r="SN75" s="515" t="str">
        <f>IF(A75=FALSE,"",Cotations!DN75)</f>
        <v/>
      </c>
      <c r="SO75" s="493" t="str">
        <f>IF(A75=FALSE,"",Cotations!DO75)</f>
        <v/>
      </c>
      <c r="SP75" s="517" t="str">
        <f>IF(A75=FALSE,"",IF(SM75="N/A",0,IF(INDEX(LISTES!$F$105:$F$109,MATCH(SM75,LISTES!$C$105:$C$109,0))="FIX",IF(INDEX(LISTES!$E$105:$E$109,MATCH(SM75,LISTES!$C$105:$C$109,0))=12,SN75/12*L75,SN75/365*M75),SO75*SL75)))</f>
        <v/>
      </c>
      <c r="SQ75" s="294" t="str">
        <f t="shared" si="595"/>
        <v/>
      </c>
      <c r="SR75" s="494" t="str">
        <f>IF(A75=FALSE,"",SQ75*Cotations!DP75)</f>
        <v/>
      </c>
      <c r="SS75" s="494" t="str">
        <f>IF(A75=FALSE,"",SQ75*Cotations!DQ75)</f>
        <v/>
      </c>
      <c r="ST75" s="338" t="str">
        <f t="shared" si="596"/>
        <v/>
      </c>
      <c r="SU75" s="919" t="str">
        <f>IF(A75=FALSE,"",((SG75*TAXE)-(SG75*TAXE*SI75))+IF(SM75="N/A",0,IF(INDEX(LISTES!$F$105:$F$109,MATCH(SM75,LISTES!$C$105:$C$109,0))="FIX",SN75,SO75*SL75)))</f>
        <v/>
      </c>
      <c r="TA75" s="492" t="str">
        <f>IF(A75=FALSE,"",Cotations!D75)</f>
        <v/>
      </c>
      <c r="TB75" s="491" t="str">
        <f>IF(A75=FALSE,"",IF(LISTES!$A$17=1,Cotations!DR75,Cotations!DS75))</f>
        <v/>
      </c>
      <c r="TC75" s="285" t="str">
        <f t="shared" si="597"/>
        <v/>
      </c>
      <c r="TD75" s="300" t="str">
        <f>IF(A75=FALSE,"",Detail!CQ75)</f>
        <v/>
      </c>
      <c r="TE75" s="461" t="str">
        <f t="shared" si="598"/>
        <v/>
      </c>
      <c r="TF75" s="490" t="str">
        <f>IF(A75=FALSE,"",IF(TA75="FIXE",Cotations!DU75,Cotations!DV75*Y75))</f>
        <v/>
      </c>
      <c r="TG75" s="300" t="str">
        <f t="shared" si="599"/>
        <v/>
      </c>
      <c r="TH75" s="522" t="str">
        <f>IF(A75=FALSE,"",IF(Cotations!DT75="monthly",TG75/12*L75,TG75/365*M75))</f>
        <v/>
      </c>
      <c r="TI75" s="489" t="str">
        <f>IF(A75=FALSE,"",IF(Cotations!DW75="","",Cotations!DW75))</f>
        <v/>
      </c>
      <c r="TJ75" s="300" t="str">
        <f t="shared" si="600"/>
        <v/>
      </c>
      <c r="TK75" s="300" t="str">
        <f t="shared" si="601"/>
        <v/>
      </c>
      <c r="TL75" s="919" t="str">
        <f t="shared" si="602"/>
        <v/>
      </c>
      <c r="TM75" s="517" t="str">
        <f>IF(A75=FALSE,"",Cotations!DX75)</f>
        <v/>
      </c>
      <c r="TN75" s="517" t="str">
        <f>IF(A75=FALSE,"",Cotations!DY75)</f>
        <v/>
      </c>
      <c r="TO75" s="493" t="str">
        <f>IF(A75=FALSE,"",Cotations!DZ75)</f>
        <v/>
      </c>
      <c r="TP75" s="517" t="str">
        <f>IF(A75=FALSE,"",IF(TM75="N/A",0,IF(INDEX(LISTES!$F$105:$F$109,MATCH(TM75,LISTES!$C$105:$C$109,0))="FIX",IF(INDEX(LISTES!$E$105:$E$109,MATCH(TM75,LISTES!$C$105:$C$109,0))=12,TN75/12*L75,TN75/365*M75),TO75*TL75)))</f>
        <v/>
      </c>
      <c r="TQ75" s="294" t="str">
        <f t="shared" si="603"/>
        <v/>
      </c>
      <c r="TR75" s="494" t="str">
        <f>IF(A75=FALSE,"",TQ75*Cotations!EA75)</f>
        <v/>
      </c>
      <c r="TS75" s="494" t="str">
        <f>IF(A75=FALSE,"",TQ75*Cotations!EB75)</f>
        <v/>
      </c>
      <c r="TT75" s="338" t="str">
        <f t="shared" si="604"/>
        <v/>
      </c>
      <c r="TU75" s="919" t="str">
        <f>IF(A75=FALSE,"",((TG75*(1+TAXE)-(TG75*(1+TAXE)*TI75))+IF(TM75="N/A",0,IF(INDEX(LISTES!$F$105:$F$109,MATCH(TM75,LISTES!$C$105:$C$109,0))="FIX",TN75,TO75*TL75))))</f>
        <v/>
      </c>
      <c r="UA75" s="492" t="str">
        <f>IF(A75=FALSE,"",Cotations!D75)</f>
        <v/>
      </c>
      <c r="UB75" s="491" t="str">
        <f>IF(A75=FALSE,"",IF(LISTES!$A$17=1,Cotations!EC75,Cotations!ED75))</f>
        <v/>
      </c>
      <c r="UC75" s="285" t="str">
        <f t="shared" si="605"/>
        <v/>
      </c>
      <c r="UD75" s="300" t="str">
        <f>IF(A75=FALSE,"",Detail!CY75)</f>
        <v/>
      </c>
      <c r="UE75" s="461" t="str">
        <f t="shared" si="606"/>
        <v/>
      </c>
      <c r="UF75" s="490" t="str">
        <f>IF(A75=FALSE,"",IF(UA75="FIXE",Cotations!EF75,Cotations!EG75*Y75))</f>
        <v/>
      </c>
      <c r="UG75" s="300" t="str">
        <f t="shared" si="607"/>
        <v/>
      </c>
      <c r="UH75" s="522" t="str">
        <f>IF(A75=FALSE,"",IF(Cotations!EE75="monthly",UG75/12*L75,UG75/365*M75))</f>
        <v/>
      </c>
      <c r="UI75" s="489" t="str">
        <f>IF(A75=FALSE,"",IF(Cotations!EH75="","",Cotations!EH75))</f>
        <v/>
      </c>
      <c r="UJ75" s="300" t="str">
        <f t="shared" si="608"/>
        <v/>
      </c>
      <c r="UK75" s="300" t="str">
        <f t="shared" si="609"/>
        <v/>
      </c>
      <c r="UL75" s="919" t="str">
        <f t="shared" si="610"/>
        <v/>
      </c>
      <c r="UM75" s="517" t="str">
        <f>IF(A75=FALSE,"",Cotations!EI75)</f>
        <v/>
      </c>
      <c r="UN75" s="517" t="str">
        <f>IF(A75=FALSE,"",Cotations!EJ75)</f>
        <v/>
      </c>
      <c r="UO75" s="493" t="str">
        <f>IF(A75=FALSE,"",Cotations!EK75)</f>
        <v/>
      </c>
      <c r="UP75" s="517" t="str">
        <f>IF(A75=FALSE,"",IF(UM75="N/A",0,IF(INDEX(LISTES!$F$105:$F$109,MATCH(UM75,LISTES!$C$105:$C$109,0))="FIX",IF(INDEX(LISTES!$E$105:$E$109,MATCH(UM75,LISTES!$C$105:$C$109,0))=12,UN75/12*L75,UN75/365*M75),UO75*UL75)))</f>
        <v/>
      </c>
      <c r="UQ75" s="294" t="str">
        <f t="shared" si="611"/>
        <v/>
      </c>
      <c r="UR75" s="494" t="str">
        <f>IF(A75=FALSE,"",UQ75*Cotations!EL75)</f>
        <v/>
      </c>
      <c r="US75" s="494" t="str">
        <f>IF(A75=FALSE,"",UQ75*Cotations!EM75)</f>
        <v/>
      </c>
      <c r="UT75" s="338" t="str">
        <f t="shared" si="612"/>
        <v/>
      </c>
      <c r="UU75" s="919" t="str">
        <f>IF(A75=FALSE,"",((UG75*(1+TAXE)-(UG75*(1+TAXE)*UI75))+IF(UM75="N/A",0,IF(INDEX(LISTES!$F$105:$F$109,MATCH(UM75,LISTES!$C$105:$C$109,0))="FIX",UN75,UO75*UL75))))</f>
        <v/>
      </c>
      <c r="VA75" s="492" t="str">
        <f>IF(A75=FALSE,"",Cotations!D75)</f>
        <v/>
      </c>
      <c r="VB75" s="519" t="str">
        <f>IF(A75=FALSE,"",IF(LISTES!$A$17=1,Cotations!EN75,Cotations!EO75))</f>
        <v/>
      </c>
      <c r="VC75" s="291" t="str">
        <f t="shared" si="613"/>
        <v/>
      </c>
      <c r="VD75" s="291" t="str">
        <f t="shared" si="614"/>
        <v/>
      </c>
      <c r="VE75" s="291"/>
      <c r="VF75" s="463"/>
      <c r="VG75" s="463" t="str">
        <f t="shared" si="615"/>
        <v/>
      </c>
      <c r="VH75" s="522" t="str">
        <f>IF(A75=FALSE,"",IF(Cotations!$AQ$4="monthly",VG75/12*L75,VG75/365*M75))</f>
        <v/>
      </c>
      <c r="VI75" s="489" t="str">
        <f>IF(A75=FALSE,"",Cotations!$AR$4)</f>
        <v/>
      </c>
      <c r="VJ75" s="300" t="str">
        <f t="shared" si="616"/>
        <v/>
      </c>
      <c r="VK75" s="300" t="str">
        <f t="shared" si="617"/>
        <v/>
      </c>
      <c r="VL75" s="294" t="str">
        <f t="shared" si="618"/>
        <v/>
      </c>
      <c r="VM75" s="494" t="str">
        <f>IF(A75=FALSE,"",Cotations!$AS$4)</f>
        <v/>
      </c>
      <c r="VN75" s="494" t="str">
        <f>IF(A75=FALSE,"",Cotations!$AT$4)</f>
        <v/>
      </c>
      <c r="VO75" s="489" t="str">
        <f>IF(A75=FALSE,"",Cotations!$AU$4)</f>
        <v/>
      </c>
      <c r="VP75" s="494" t="str">
        <f>IF(A75=FALSE,"",IF(VM75="N/A",0,IF(INDEX(LISTES!$F$105:$F$109,MATCH(VM75,LISTES!$C$105:$C$109,0))="FIX",IF(INDEX(LISTES!$E$105:$E$109,MATCH(VM75,LISTES!$C$105:$C$109,0))=12,VN75/12*L75,VN75/365*M75),VO75*VL75)))</f>
        <v/>
      </c>
      <c r="VQ75" s="294" t="str">
        <f t="shared" si="619"/>
        <v/>
      </c>
      <c r="VR75" s="494" t="str">
        <f>IF(A75=FALSE,"",VQ75*Cotations!$AV$4)</f>
        <v/>
      </c>
      <c r="VS75" s="494" t="str">
        <f>IF(A75=FALSE,"",VQ75*Cotations!$AW$4)</f>
        <v/>
      </c>
      <c r="VT75" s="465" t="str">
        <f t="shared" si="620"/>
        <v/>
      </c>
      <c r="VU75" s="919" t="str">
        <f>IF(A75=FALSE,"",((VG75*TAXE)-(VG75*TAXE*VI75))+IF(VM75="N/A",0,IF(INDEX(LISTES!$F$105:$F$109,MATCH(VM75,LISTES!$C$105:$C$109,0))="FIX",VN75,VO75*VL75)))</f>
        <v/>
      </c>
      <c r="WA75" s="492" t="str">
        <f>IF(A75=FALSE,"",Cotations!D75)</f>
        <v/>
      </c>
      <c r="WB75" s="519" t="str">
        <f>IF(A75=FALSE,"",IF(LISTES!$A$17=1,Cotations!EW75,Cotations!EX75))</f>
        <v/>
      </c>
      <c r="WC75" s="291" t="str">
        <f t="shared" si="621"/>
        <v/>
      </c>
      <c r="WD75" s="291" t="str">
        <f t="shared" si="622"/>
        <v/>
      </c>
      <c r="WE75" s="291"/>
      <c r="WF75" s="463"/>
      <c r="WG75" s="463" t="str">
        <f t="shared" si="623"/>
        <v/>
      </c>
      <c r="WH75" s="522" t="str">
        <f>IF(A75=FALSE,"",IF(Cotations!$AQ$4="monthly",WG75/12*L75,WG75/365*M75))</f>
        <v/>
      </c>
      <c r="WI75" s="489" t="str">
        <f>IF(A75=FALSE,"",Cotations!$AR$4)</f>
        <v/>
      </c>
      <c r="WJ75" s="300" t="str">
        <f t="shared" si="624"/>
        <v/>
      </c>
      <c r="WK75" s="300" t="str">
        <f t="shared" si="625"/>
        <v/>
      </c>
      <c r="WL75" s="294" t="str">
        <f t="shared" si="626"/>
        <v/>
      </c>
      <c r="WM75" s="494" t="str">
        <f>IF(A75=FALSE,"",Cotations!$AS$4)</f>
        <v/>
      </c>
      <c r="WN75" s="494" t="str">
        <f>IF(A75=FALSE,"",Cotations!$AT$4)</f>
        <v/>
      </c>
      <c r="WO75" s="489" t="str">
        <f>IF(A75=FALSE,"",Cotations!$AU$4)</f>
        <v/>
      </c>
      <c r="WP75" s="494" t="str">
        <f>IF(A75=FALSE,"",IF(WM75="N/A",0,IF(INDEX(LISTES!$F$105:$F$109,MATCH(WM75,LISTES!$C$105:$C$109,0))="FIX",IF(INDEX(LISTES!$E$105:$E$109,MATCH(WM75,LISTES!$C$105:$C$109,0))=12,WN75/12*L75,WN75/365*M75),WO75*WL75)))</f>
        <v/>
      </c>
      <c r="WQ75" s="294" t="str">
        <f t="shared" si="627"/>
        <v/>
      </c>
      <c r="WR75" s="494" t="str">
        <f>IF(A75=FALSE,"",WQ75*Cotations!$AV$4)</f>
        <v/>
      </c>
      <c r="WS75" s="494" t="str">
        <f>IF(A75=FALSE,"",WQ75*Cotations!$AW$4)</f>
        <v/>
      </c>
      <c r="WT75" s="465" t="str">
        <f t="shared" si="628"/>
        <v/>
      </c>
      <c r="WU75" s="919" t="str">
        <f>IF(A75=FALSE,"",((WG75*TAXE)-(WG75*TAXE*WI75))+IF(WM75="N/A",0,IF(INDEX(LISTES!$F$105:$F$109,MATCH(WM75,LISTES!$C$105:$C$109,0))="FIX",WN75,WO75*WL75)))</f>
        <v/>
      </c>
    </row>
    <row r="76" spans="1:619">
      <c r="A76" s="942" t="b">
        <f t="shared" si="433"/>
        <v>0</v>
      </c>
      <c r="B76" s="942" t="b">
        <f>IF(NAMES!$B$9=TRUE,TRUE,FALSE)</f>
        <v>1</v>
      </c>
      <c r="C76" s="942" t="b">
        <f t="shared" si="413"/>
        <v>0</v>
      </c>
      <c r="D76" s="942" t="b">
        <f t="shared" si="414"/>
        <v>0</v>
      </c>
      <c r="E76" s="274" t="b">
        <f>IF(Cotations!C76="","",Cotations!C76)</f>
        <v>0</v>
      </c>
      <c r="F76" s="274" t="str">
        <f>IF(Cotations!D76="","",Cotations!D76)</f>
        <v>PROP</v>
      </c>
      <c r="G76" s="274" t="str">
        <f>IF(Cotations!E76="","",Cotations!E76)</f>
        <v>2016-2017!</v>
      </c>
      <c r="H76" s="274" t="str">
        <f>IF(Cotations!F76="","",Cotations!F76)</f>
        <v>SINGLE</v>
      </c>
      <c r="I76" s="274" t="str">
        <f>IF(Cotations!G76="","",Cotations!G76)</f>
        <v/>
      </c>
      <c r="J76" s="274" t="str">
        <f>IF(Cotations!H76="","",Cotations!H76)</f>
        <v/>
      </c>
      <c r="K76" s="274" t="str">
        <f>IF(Cotations!I76="","",Cotations!I76)</f>
        <v/>
      </c>
      <c r="L76" s="274" t="str">
        <f>IF(A76=FALSE,"",IF(Cotations!N76="","",Cotations!N76))</f>
        <v/>
      </c>
      <c r="M76" s="274" t="str">
        <f>IF(Cotations!P76="","",Cotations!P76)</f>
        <v/>
      </c>
      <c r="N76" s="724" t="str">
        <f>IF(NAMES!$B$10=TRUE,Cotations!J76,Cotations!L76)</f>
        <v/>
      </c>
      <c r="O76" s="724" t="str">
        <f>IF(NAMES!$B$10=TRUE,Cotations!K76,Cotations!M76)</f>
        <v/>
      </c>
      <c r="P76" s="943" t="str">
        <f t="shared" si="415"/>
        <v/>
      </c>
      <c r="Q76" s="724" t="str">
        <f>IF(A76=FALSE,"",IF(Crewlist!Y76="","",Crewlist!Y76))</f>
        <v/>
      </c>
      <c r="R76" s="78" t="str">
        <f>IF(Cotations!U76="","",Cotations!U76)</f>
        <v/>
      </c>
      <c r="S76" s="943" t="str">
        <f t="shared" si="416"/>
        <v/>
      </c>
      <c r="T76" s="919" t="str">
        <f>IF(A76=FALSE,"",VLOOKUP($U$15:$U$120,Currency!$A$2:$D$10,4,0)*Crewlist!N76)</f>
        <v/>
      </c>
      <c r="U76" s="1355" t="str">
        <f>IF(A76=FALSE,"",IF(IT76=0,Crewlist!M76&amp;"/"&amp;EX76,Crewlist!M76&amp;"/"&amp;IT76))</f>
        <v/>
      </c>
      <c r="V76" s="919" t="str">
        <f>IF(A76=FALSE,"",VLOOKUP($U$15:$U$120,Currency!$A$2:$D$10,4,0)*Detail!Q76)</f>
        <v/>
      </c>
      <c r="W76" s="1355" t="str">
        <f>IF(A76=FALSE,"",IF(IT76=0,Detail!R76&amp;"/"&amp;EX76,Detail!R76&amp;"/"&amp;IT76))</f>
        <v/>
      </c>
      <c r="X76" s="919" t="str">
        <f>IF(A76=FALSE,"",IF(LISTES!$C$17="Crewlist",Calcul!T76,Calcul!V76))</f>
        <v/>
      </c>
      <c r="Y76" s="758" t="str">
        <f t="shared" si="417"/>
        <v/>
      </c>
      <c r="Z76" s="758" t="str">
        <f>IF(A76=FALSE,"",IF(X76=0,0,IF((Cotations!BC76*12*X76)&lt;50000,50000,(12*X76))))</f>
        <v/>
      </c>
      <c r="AA76" s="758" t="str">
        <f t="shared" si="418"/>
        <v/>
      </c>
      <c r="AB76" s="758" t="str">
        <f>IF(A76=FALSE,"",IF(Crewlist!O76=0,"",Crewlist!O76))</f>
        <v/>
      </c>
      <c r="AC76" s="758" t="str">
        <f>IF(I76="","",VLOOKUP($AB$15:$AB$120,Currency!$A$15:$B$34,2,0))</f>
        <v/>
      </c>
      <c r="AD76" s="758" t="str">
        <f t="shared" si="419"/>
        <v/>
      </c>
      <c r="AE76" s="758" t="str">
        <f t="shared" si="420"/>
        <v/>
      </c>
      <c r="AF76" s="758" t="str">
        <f t="shared" si="421"/>
        <v/>
      </c>
      <c r="AG76" s="758" t="str">
        <f t="shared" si="422"/>
        <v/>
      </c>
      <c r="AH76" s="1355" t="str">
        <f t="shared" si="434"/>
        <v/>
      </c>
      <c r="AI76" s="919" t="str">
        <f t="shared" si="423"/>
        <v/>
      </c>
      <c r="AJ76" s="1382" t="str">
        <f t="shared" si="424"/>
        <v/>
      </c>
      <c r="AK76" s="1382" t="str">
        <f t="shared" si="425"/>
        <v/>
      </c>
      <c r="AL76" s="238" t="str">
        <f t="shared" si="435"/>
        <v/>
      </c>
      <c r="AM76" s="238" t="str">
        <f t="shared" si="436"/>
        <v/>
      </c>
      <c r="AN76" s="1374" t="str">
        <f t="shared" si="437"/>
        <v/>
      </c>
      <c r="AO76" s="238" t="str">
        <f t="shared" si="438"/>
        <v/>
      </c>
      <c r="AP76" s="342" t="str">
        <f>IF(A76=FALSE,"",INDEX(Rates!$Z$5:$Z$367,MATCH(EB76,colchoice,0)))</f>
        <v/>
      </c>
      <c r="AQ76" s="238" t="str">
        <f t="shared" si="439"/>
        <v/>
      </c>
      <c r="AR76" s="238" t="str">
        <f t="shared" si="440"/>
        <v/>
      </c>
      <c r="AS76" s="238" t="str">
        <f t="shared" si="441"/>
        <v/>
      </c>
      <c r="AT76" s="238" t="str">
        <f t="shared" si="442"/>
        <v/>
      </c>
      <c r="AU76" s="238" t="str">
        <f t="shared" si="443"/>
        <v/>
      </c>
      <c r="AV76" s="238" t="str">
        <f t="shared" si="429"/>
        <v/>
      </c>
      <c r="AW76" s="238" t="str">
        <f t="shared" si="444"/>
        <v/>
      </c>
      <c r="AX76" s="238" t="str">
        <f t="shared" si="445"/>
        <v/>
      </c>
      <c r="AY76" s="238" t="str">
        <f t="shared" si="446"/>
        <v/>
      </c>
      <c r="AZ76" s="238" t="str">
        <f t="shared" si="447"/>
        <v/>
      </c>
      <c r="BA76" s="238" t="str">
        <f t="shared" si="448"/>
        <v/>
      </c>
      <c r="BB76" s="552" t="str">
        <f t="shared" si="449"/>
        <v/>
      </c>
      <c r="BC76" s="347" t="str">
        <f t="shared" si="450"/>
        <v/>
      </c>
      <c r="BD76" s="239" t="str">
        <f t="shared" si="430"/>
        <v/>
      </c>
      <c r="BE76" s="239" t="str">
        <f>IF(A76=FALSE,"",IF(ALLTHESAME=TRUE,IF(DF76&lt;&gt;$BC$7,0,INDEX(DD76:DZ76,1,MATCH(Structure!$D$12,$DD$14:$DZ$14,0))),IF(EC76&lt;&gt;$BC$7,0,INDEX(EA76:EZ76,1,MATCH(Structure!$D$12,$EA$14:$EZ$14,0)))))</f>
        <v/>
      </c>
      <c r="BF76" s="239" t="str">
        <f>IF(A76=FALSE,"",IF(ALLTHESAME=TRUE,IF(FC76&lt;&gt;$BC$7,0,INDEX(FA76:FZ76,1,MATCH(Structure!$D$12,$FA$14:$FZ$14,0))),IF(GC76&lt;&gt;$BC$7,0,INDEX(GA76:GZ76,1,MATCH(Structure!$D$12,$GA$14:$GZ$14,0)))))</f>
        <v/>
      </c>
      <c r="BG76" s="239" t="str">
        <f>IF(A76=FALSE,"",IF(ALLTHESAME=TRUE,IF(VC76&lt;&gt;$BC$7,0,INDEX(VA76:VZ76,1,MATCH(Structure!$D$12,$VA$14:$VZ$14,0))),IF(VC76&lt;&gt;$BC$7,0,INDEX(VA76:VZ76,1,MATCH(Structure!$D$12,$VA$14:$VZ$14,0)))))</f>
        <v/>
      </c>
      <c r="BH76" s="239" t="str">
        <f>IF(A76=FALSE,"",IF(ALLTHESAME=TRUE,IF(WC76&lt;&gt;$BC$7,0,INDEX(WA76:WY76,1,MATCH(Structure!$D$12,$WA$14:$WZ$14,0))),IF(WC76&lt;&gt;$BC$7,0,INDEX(WA76:WZ76,1,MATCH(Structure!$D$12,$WA$14:$WZ$14,0)))))</f>
        <v/>
      </c>
      <c r="BI76" s="763" t="str">
        <f>IF(A76=FALSE,"",IF(ALLTHESAME=TRUE,IF(HC76&lt;&gt;$BC$7,0,INDEX(HA76:HZ76,1,MATCH(Structure!$D$12,$HA$14:$HZ$14,0)))+TK76,IF(IC76&lt;&gt;$BC$7,0,INDEX(IA76:IZ76,1,MATCH(Structure!$D$12,$IA$14:$IZ$14,0)))+TK76))</f>
        <v/>
      </c>
      <c r="BJ76" s="239" t="str">
        <f>IF(A76=FALSE,"",IF(ALLTHESAME=TRUE,IF(JC76&lt;&gt;$BC$7,0,INDEX(JA76:JZ76,1,MATCH(Structure!$D$12,$JA$14:$JZ$14,0))),IF(KC76&lt;&gt;$BC$7,0,INDEX(KA76:KZ76,1,MATCH(Structure!$D$12,$KA$14:$KZ$14,0)))))</f>
        <v/>
      </c>
      <c r="BK76" s="763" t="str">
        <f>IF(A76=FALSE,"",IF(ALLTHESAME=TRUE,IF(LC76&lt;&gt;$BC$7,0,INDEX(LA76:LZ76,1,MATCH(Structure!$D$12,$LA$14:$LZ$14,0)))+UK76,IF(MC76&lt;&gt;$BC$7,0,INDEX(MA76:MZ76,1,MATCH(Structure!$D$12,$MA$14:$MZ$14,0)))+UK76))</f>
        <v/>
      </c>
      <c r="BL76" s="239" t="str">
        <f>IF(A76=FALSE,"",IF(ALLTHESAME=TRUE,IF(NC76&lt;&gt;$BC$7,0,INDEX(NA76:NZ76,1,MATCH(Structure!$D$12,$NA$14:$NZ$14,0))),IF(OC76&lt;&gt;$BC$7,0,INDEX(OA76:OZ76,1,MATCH(Structure!$D$12,$OA$14:$OZ$14,0)))))</f>
        <v/>
      </c>
      <c r="BM76" s="239" t="str">
        <f>IF(A76=FALSE,"",IF(ALLTHESAME=TRUE,IF(PC76&lt;&gt;$BC$7,0,INDEX(PA76:PZ76,1,MATCH(Structure!$D$12,$PA$14:$PZ$14,0))),IF(QC76&lt;&gt;$BC$7,0,INDEX(QA76:QZ76,1,MATCH(Structure!$D$12,$QA$14:$QZ$14,0)))))</f>
        <v/>
      </c>
      <c r="BN76" s="341" t="str">
        <f>IF(A76=FALSE,"",IF(ALLTHESAME=TRUE,IF(RC76&lt;&gt;$BC$7,0,INDEX(RA76:RZ76,1,MATCH(Structure!$D$12,$RA$14:$RZ$14,0))),IF(SC76&lt;&gt;$BC$7,0,INDEX(SA76:TA76,1,MATCH(Structure!$D$12,$SA$14:$TA$14,0)))))</f>
        <v/>
      </c>
      <c r="BO76" s="507" t="str">
        <f t="shared" si="451"/>
        <v/>
      </c>
      <c r="BP76" s="239" t="str">
        <f t="shared" si="452"/>
        <v/>
      </c>
      <c r="BQ76" s="239" t="str">
        <f>IF(A76=FALSE,"",IF(ALLTHESAME=TRUE,IF(DF76&lt;&gt;$BO$7,0,INDEX(DD76:DZ76,1,MATCH(Structure!$D$12,$DD$14:$DZ$14,0))),IF(EC76&lt;&gt;$BO$7,0,INDEX(EA76:EZ76,1,MATCH(Structure!$D$12,$EA$14:$EZ$14,0)))))</f>
        <v/>
      </c>
      <c r="BR76" s="239" t="str">
        <f>IF(A76=FALSE,"",IF(ALLTHESAME=TRUE,IF(FC76&lt;&gt;$BO$7,0,INDEX(FA76:FZ76,1,MATCH(Structure!$D$12,$FA$14:$FZ$14,0))),IF(GC76&lt;&gt;$BO$7,0,INDEX(GA76:GZ76,1,MATCH(Structure!$D$12,$GA$14:$GZ$14,0)))))</f>
        <v/>
      </c>
      <c r="BS76" s="239" t="str">
        <f>IF(A76=FALSE,"",IF(ALLTHESAME=TRUE,IF(HC76&lt;&gt;$BO$7,0,INDEX(HA76:HZ76,1,MATCH(Structure!$D$12,$HA$14:$HZ$14,0))),IF(IC76&lt;&gt;$BO$7,0,INDEX(IA76:IZ76,1,MATCH(Structure!$D$12,$IA$14:$IZ$14,0)))))</f>
        <v/>
      </c>
      <c r="BT76" s="239" t="str">
        <f>IF(A76=FALSE,"",IF(ALLTHESAME=TRUE,IF(JC76&lt;&gt;$BO$7,0,INDEX(JA76:JZ76,1,MATCH(Structure!$D$12,$JA$14:$JZ$14,0))),IF(KC76&lt;&gt;$BO$7,0,INDEX(KA76:KZ76,1,MATCH(Structure!$D$12,$KA$14:$KZ$14,0)))))</f>
        <v/>
      </c>
      <c r="BU76" s="239" t="str">
        <f>IF(A76=FALSE,"",IF(ALLTHESAME=TRUE,IF(LC76&lt;&gt;$BO$7,0,INDEX(LA76:LZ76,1,MATCH(Structure!$D$12,$LA$14:$LZ$14,0))),IF(MC76&lt;&gt;$BO$7,0,INDEX(MA76:MZ76,1,MATCH(Structure!$D$12,$MA$14:$MZ$14,0)))))</f>
        <v/>
      </c>
      <c r="BV76" s="239" t="str">
        <f>IF(A76=FALSE,"",IF(ALLTHESAME=TRUE,IF(NC76&lt;&gt;$BO$7,0,INDEX(NA76:NZ76,1,MATCH(Structure!$D$12,$NA$14:$NZ$14,0))),IF(OC76&lt;&gt;$BO$7,0,INDEX(OA76:OZ76,1,MATCH(Structure!$D$12,$OA$14:$OZ$14,0)))))</f>
        <v/>
      </c>
      <c r="BW76" s="239" t="str">
        <f>IF(A76=FALSE,"",IF(ALLTHESAME=TRUE,IF(PC76&lt;&gt;$BO$7,0,INDEX(PA76:PZ76,1,MATCH(Structure!$D$12,$PA$14:$PZ$14,0))),IF(QC76&lt;&gt;$BO$7,0,INDEX(QA76:QZ76,1,MATCH(Structure!$D$12,$QA$14:$QZ$14,0)))))</f>
        <v/>
      </c>
      <c r="BX76" s="341" t="str">
        <f>IF(A76=FALSE,"",IF(ALLTHESAME=TRUE,IF(RC76&lt;&gt;$BO$7,0,INDEX(RA76:RZ76,1,MATCH(Structure!$D$12,$RA$14:$RZ$14,0))),IF(SC76&lt;&gt;$BO$7,0,INDEX(SA76:TA76,1,MATCH(Structure!$D$12,$SA$14:$TA$14,0)))))</f>
        <v/>
      </c>
      <c r="BY76" s="347" t="str">
        <f t="shared" si="453"/>
        <v/>
      </c>
      <c r="BZ76" s="507" t="str">
        <f t="shared" si="454"/>
        <v/>
      </c>
      <c r="CA76" s="239" t="str">
        <f t="shared" si="455"/>
        <v/>
      </c>
      <c r="CB76" s="239" t="str">
        <f>IF(A76=FALSE,"",IF(ALLTHESAME=TRUE,INDEX(DD76:DZ76,MATCH(DF76,DF76:DF181,0),MATCH(Structure!$D$17,$DD$14:$DZ$14,0)),INDEX(EA76:EZ76,MATCH(EC76,EC76:EC181,0),MATCH(Structure!$D$17,$EA$14:$EZ$14,0))))</f>
        <v/>
      </c>
      <c r="CC76" s="239" t="str">
        <f>IF(A76=FALSE,"",IF(ALLTHESAME=TRUE,INDEX(FA76:FZ76,MATCH(FC76,FC76:FC181,0),MATCH(Structure!$D$17,$FA$14:$FZ$14,0)),INDEX(GA76:GZ76,MATCH(GC76,GC76:GC181,0),MATCH(Structure!$D$17,$GA$14:$GZ$14,0))))</f>
        <v/>
      </c>
      <c r="CD76" s="239" t="str">
        <f>IF(A76=FALSE,"",IF(ALLTHESAME=TRUE,INDEX(HA76:HZ76,MATCH(HC76,HC76:HC181,0),MATCH(Structure!$D$17,$HA$14:$HZ$14,0)),INDEX(IA76:IZ76,MATCH(IC76,IC76:IC181,0),MATCH(Structure!$D$17,$IA$14:$IZ$14,0))))</f>
        <v/>
      </c>
      <c r="CE76" s="239" t="str">
        <f>IF(A76=FALSE,"",IF(ALLTHESAME=TRUE,INDEX(JA76:JZ76,MATCH(JC76,JC76:JC181,0),MATCH(Structure!$D$17,$JA$14:$JZ$14,0)),INDEX(KA76:KZ76,MATCH(KC76,KC76:KC181,0),MATCH(Structure!$D$17,$KA$14:$KZ$14,0))))</f>
        <v/>
      </c>
      <c r="CF76" s="239" t="str">
        <f>IF(A76=FALSE,"",IF(ALLTHESAME=TRUE,INDEX(LA76:LZ76,MATCH(LC76,LC76:LC181,0),MATCH(Structure!$D$17,$LA$14:$LZ$14,0)),INDEX(MA76:MZ76,MATCH(MC76,MC76:MC181,0),MATCH(Structure!$D$17,$MA$14:$MZ$14,0))))</f>
        <v/>
      </c>
      <c r="CG76" s="239" t="str">
        <f>IF(A76=FALSE,"",IF(ALLTHESAME=TRUE,INDEX(NA76:NZ76,MATCH(NC76,NC76:NC181,0),MATCH(Structure!$D$17,$NA$14:$NZ$14,0)),INDEX(OA76:OZ76,MATCH(OC76,OC76:OC181,0),MATCH(Structure!$D$17,$OA$14:$OZ$14,0))))</f>
        <v/>
      </c>
      <c r="CH76" s="239" t="str">
        <f>IF(A76=FALSE,"",IF(ALLTHESAME=TRUE,INDEX(PA76:PZ76,MATCH(PC76,PC76:PC181,0),MATCH(Structure!$D$17,$PA$14:$PZ$14,0)),INDEX(QA76:QZ76,MATCH(QC76,QC76:QC181,0),MATCH(Structure!$D$17,$QA$14:$QZ$14,0))))</f>
        <v/>
      </c>
      <c r="CI76" s="341" t="str">
        <f>IF(A76=FALSE,"",IF(ALLTHESAME=TRUE,INDEX(RA76:RZ76,MATCH(RC76,RC76:RC181,0),MATCH(Structure!$D$17,$RA$14:$RZ$14,0)),INDEX(SA76:TC76,MATCH(SC76,SC76:SC181,0),MATCH(Structure!$D$17,$SA$14:$TC$14,0))))</f>
        <v/>
      </c>
      <c r="CJ76" s="347"/>
      <c r="CK76" s="239" t="str">
        <f t="shared" si="456"/>
        <v/>
      </c>
      <c r="CL76" s="239" t="str">
        <f>IF(A76=FALSE,"",IF(ALLTHESAME=TRUE,INDEX(DD76:DZ76,MATCH(DF76,DF76:DF181,0),MATCH(Structure!$D$22,$DD$14:$DZ$14,0)),INDEX(EA76:EZ76,MATCH(EC76,EC76:EC181,0),MATCH(Structure!$D$22,$EA$14:$EZ$14,0))))</f>
        <v/>
      </c>
      <c r="CM76" s="239" t="str">
        <f>IF(A76=FALSE,"",IF(ALLTHESAME=TRUE,INDEX(FA76:FZ76,MATCH(FC76,FC76:FC181,0),MATCH(Structure!$D$22,$FA$14:$FZ$14,0)),INDEX(GA76:GZ76,MATCH(GC76,GC76:GC181,0),MATCH(Structure!$D$22,$GA$14:$GZ$14,0))))</f>
        <v/>
      </c>
      <c r="CN76" s="239" t="str">
        <f>IF(A76=FALSE,"",IF(ALLTHESAME=TRUE,INDEX(HA76:HZ76,MATCH(HC76,HC76:HC181,0),MATCH(Structure!$D$22,$HA$14:$HZ$14,0)),INDEX(IA76:IZ76,MATCH(IC76,IC76:IC181,0),MATCH(Structure!$D$22,$IA$14:$IZ$14,0))))</f>
        <v/>
      </c>
      <c r="CO76" s="239" t="str">
        <f>IF(A76=FALSE,"",IF(ALLTHESAME=TRUE,INDEX(JA76:JZ76,MATCH(JC76,JC76:JC181,0),MATCH(Structure!$D$22,$JA$14:$JZ$14,0)),INDEX(KA76:KZ76,MATCH(KC76,KC76:KC181,0),MATCH(Structure!$D$22,$KA$14:$KZ$14,0))))</f>
        <v/>
      </c>
      <c r="CP76" s="239" t="str">
        <f>IF(A76=FALSE,"",IF(ALLTHESAME=TRUE,INDEX(LA76:LZ76,MATCH(LC76,LC76:LC181,0),MATCH(Structure!$D$22,$LA$14:$LZ$14,0)),INDEX(MA76:MZ76,MATCH(MC76,MC76:MC181,0),MATCH(Structure!$D$22,$MA$14:$MZ$14,0))))</f>
        <v/>
      </c>
      <c r="CQ76" s="239" t="str">
        <f>IF(A76=FALSE,"",IF(ALLTHESAME=TRUE,INDEX(NA76:NZ76,MATCH(NC76,NC76:NC181,0),MATCH(Structure!$D$22,$NA$14:$NZ$14,0)),INDEX(OA76:OZ76,MATCH(OC76,OC76:OC181,0),MATCH(Structure!$D$22,$OA$14:$OZ$14,0))))</f>
        <v/>
      </c>
      <c r="CR76" s="239" t="str">
        <f>IF(A76=FALSE,"",IF(ALLTHESAME=TRUE,INDEX(PA76:PZ76,MATCH(PC76,PC76:PC181,0),MATCH(Structure!$D$22,$PA$14:$PZ$14,0)),INDEX(QA76:QZ76,MATCH(QC76,QC76:QC181,0),MATCH(Structure!$D$22,$QA$14:$QZ$14,0))))</f>
        <v/>
      </c>
      <c r="CS76" s="341" t="str">
        <f>IF(A76=FALSE,"",IF(ALLTHESAME=TRUE,INDEX(RA76:RZ76,MATCH(RC76,RC76:RC181,0),MATCH(Structure!$D$22,$RA$14:$RZ$14,0)),INDEX(SA76:TC76,MATCH(SC76,SC76:SC181,0),MATCH(Structure!$D$22,$SA$14:$TC$14,0))))</f>
        <v/>
      </c>
      <c r="CT76" s="347"/>
      <c r="CU76" s="239" t="str">
        <f t="shared" si="457"/>
        <v/>
      </c>
      <c r="CV76" s="239" t="str">
        <f>IF(A76=FALSE,"",IF(ALLTHESAME=TRUE,INDEX(DD76:DZ76,MATCH(DF76,DF76:DF181,0),MATCH(Structure!$D$8,$DD$14:$DZ$14,0)),INDEX(EA76:EZ76,MATCH(EC76,EC76:EC181,0),MATCH(Structure!$D$8,$EA$14:$EZ$14,0))))</f>
        <v/>
      </c>
      <c r="CW76" s="239" t="str">
        <f>IF(A76=FALSE,"",IF(ALLTHESAME=TRUE,INDEX(FA76:FZ76,MATCH(FC76,FC76:FC181,0),MATCH(Structure!$D$8,$FA$14:$FZ$14,0)),INDEX(GA76:GZ76,MATCH(GC76,GC76:GC181,0),MATCH(Structure!$D$8,$GA$14:$GZ$14,0))))</f>
        <v/>
      </c>
      <c r="CX76" s="239" t="str">
        <f>IF(A76=FALSE,"",IF(ALLTHESAME=TRUE,INDEX(HA76:HZ76,MATCH(HC76,HC76:HC181,0),MATCH(Structure!$D$8,$HA$14:$HZ$14,0)),INDEX(IA76:IZ76,MATCH(IC76,IC76:IC181,0),MATCH(Structure!$D$8,$IA$14:$IZ$14,0))))</f>
        <v/>
      </c>
      <c r="CY76" s="239" t="str">
        <f>IF(A76=FALSE,"",IF(ALLTHESAME=TRUE,INDEX(JA76:JZ76,MATCH(JC76,JC76:JC181,0),MATCH(Structure!$D$8,$JA$14:$JZ$14,0)),INDEX(KA76:KZ76,MATCH(KC76,KC76:KC181,0),MATCH(Structure!$D$8,$KA$14:$KZ$14,0))))</f>
        <v/>
      </c>
      <c r="CZ76" s="239" t="str">
        <f>IF(A76=FALSE,"",IF(ALLTHESAME=TRUE,INDEX(LA76:LZ76,MATCH(LC76,LC76:LC181,0),MATCH(Structure!$D$8,$LA$14:$LZ$14,0)),INDEX(MA76:MZ76,MATCH(MC76,MC76:MC181,0),MATCH(Structure!$D$8,$MA$14:$MZ$14,0))))</f>
        <v/>
      </c>
      <c r="DA76" s="239" t="str">
        <f>IF(A76=FALSE,"",IF(ALLTHESAME=TRUE,INDEX(NA76:NZ76,MATCH(NC76,NC76:NC181,0),MATCH(Structure!$D$8,$NA$14:$NZ$14,0)),INDEX(OA76:OZ76,MATCH(OC76,OC76:OC181,0),MATCH(Structure!$D$8,$OA$14:$OZ$14,0))))</f>
        <v/>
      </c>
      <c r="DB76" s="239" t="str">
        <f>IF(A76=FALSE,"",IF(ALLTHESAME=TRUE,INDEX(PA76:PZ76,MATCH(PC76,PC76:PC181,0),MATCH(Structure!$D$8,$PA$14:$PZ$14,0)),INDEX(QA76:QZ76,MATCH(QC76,QC76:QC181,0),MATCH(Structure!$D$8,$QA$14:$QZ$14,0))))</f>
        <v/>
      </c>
      <c r="DC76" s="341" t="str">
        <f>IF(A76=FALSE,"",IF(ALLTHESAME=TRUE,INDEX(RA76:RZ76,MATCH(RC76,RC76:RC181,0),MATCH(Structure!$D$8,$RA$14:$RZ$14,0)),INDEX(SA76:TC76,MATCH(SC76,SC76:SC181,0),MATCH(Structure!$D$8,$SA$14:$TC$14,0))))</f>
        <v/>
      </c>
      <c r="DD76" s="492" t="str">
        <f>IF(A76=FALSE,"",Cotations!D76)</f>
        <v/>
      </c>
      <c r="DE76" s="492" t="str">
        <f>IF(A76=FALSE,"",IF(LISTES!$A$17=1,Cotations!AF76,Cotations!$AG$4))</f>
        <v/>
      </c>
      <c r="DF76" s="291" t="str">
        <f t="shared" si="458"/>
        <v/>
      </c>
      <c r="DG76" s="291" t="str">
        <f t="shared" si="459"/>
        <v/>
      </c>
      <c r="DH76" s="291"/>
      <c r="DI76" s="463"/>
      <c r="DJ76" s="463" t="str">
        <f t="shared" si="460"/>
        <v/>
      </c>
      <c r="DK76" s="522" t="str">
        <f>IF(A76=FALSE,"",IF(Cotations!$AH$4="monthly",DJ76/12*L76,DJ76/365*M76))</f>
        <v/>
      </c>
      <c r="DL76" s="489" t="str">
        <f>IF(A76=FALSE,"",Cotations!$AI$4)</f>
        <v/>
      </c>
      <c r="DM76" s="300" t="str">
        <f t="shared" si="461"/>
        <v/>
      </c>
      <c r="DN76" s="300" t="str">
        <f t="shared" si="462"/>
        <v/>
      </c>
      <c r="DO76" s="294" t="str">
        <f t="shared" si="463"/>
        <v/>
      </c>
      <c r="DP76" s="494" t="str">
        <f>IF(A76=FALSE,"",Cotations!$AJ$4)</f>
        <v/>
      </c>
      <c r="DQ76" s="494" t="str">
        <f>IF(A76=FALSE,"",Cotations!$AK$4)</f>
        <v/>
      </c>
      <c r="DR76" s="489" t="str">
        <f>IF(A76=FALSE,"",Cotations!$AL$4)</f>
        <v/>
      </c>
      <c r="DS76" s="494" t="str">
        <f>IF(A76=FALSE,"",IF(DP76="N/A",0,IF(INDEX(LISTES!$F$105:$F$109,MATCH(DP76,LISTES!$C$105:$C$109,0))="FIX",IF(INDEX(LISTES!$E$105:$E$109,MATCH(DP76,LISTES!$C$105:$C$109,0))=12,DQ76/12*L76,DQ76/365*M76),DR76*DO76)))</f>
        <v/>
      </c>
      <c r="DT76" s="294" t="str">
        <f t="shared" si="464"/>
        <v/>
      </c>
      <c r="DU76" s="294" t="str">
        <f>IF(A76=FALSE,"",DT76*Cotations!$AM$4)</f>
        <v/>
      </c>
      <c r="DV76" s="294" t="str">
        <f>IF(A76=FALSE,"",DT76*Cotations!$AN$4)</f>
        <v/>
      </c>
      <c r="DW76" s="465" t="str">
        <f t="shared" si="465"/>
        <v/>
      </c>
      <c r="DX76" s="919" t="str">
        <f>IF(A76=FALSE,"",((DJ76*TAXE)-(DJ76*TAXE*DL76))+IF(DP76="N/A",0,IF(INDEX(LISTES!$F$105:$F$109,MATCH(DP76,LISTES!$C$105:$C$109,0))="FIX",DQ76,DR76*DO76)))</f>
        <v/>
      </c>
      <c r="DY76" s="466"/>
      <c r="DZ76" s="466"/>
      <c r="EA76" s="492" t="str">
        <f>IF(A76=FALSE,"",Cotations!D76)</f>
        <v/>
      </c>
      <c r="EB76" s="494" t="str">
        <f>IF(A76=FALSE,"",IF(LISTES!$A$17=1,Cotations!AF76,Cotations!AG76))</f>
        <v/>
      </c>
      <c r="EC76" s="284" t="str">
        <f t="shared" si="466"/>
        <v/>
      </c>
      <c r="ED76" s="284" t="str">
        <f t="shared" si="467"/>
        <v/>
      </c>
      <c r="EE76" s="284"/>
      <c r="EF76" s="284"/>
      <c r="EG76" s="284" t="str">
        <f t="shared" si="468"/>
        <v/>
      </c>
      <c r="EH76" s="1365" t="str">
        <f t="shared" si="469"/>
        <v/>
      </c>
      <c r="EI76" s="1365" t="str">
        <f t="shared" si="470"/>
        <v/>
      </c>
      <c r="EJ76" s="515" t="str">
        <f>IF(A76=FALSE,"",IF(Cotations!AH76="monthly",EG76/12*L76,EG76/365*M76))</f>
        <v/>
      </c>
      <c r="EK76" s="1364" t="str">
        <f>IF(A76=FALSE,"",IF(Cotations!AH76="monthly",EI76/12*L76,EI76/365*M76))</f>
        <v/>
      </c>
      <c r="EL76" s="493" t="str">
        <f>IF(A76=FALSE,"",IF(Cotations!AI76="","",Cotations!AI76))</f>
        <v/>
      </c>
      <c r="EM76" s="284" t="str">
        <f t="shared" si="471"/>
        <v/>
      </c>
      <c r="EN76" s="284" t="str">
        <f t="shared" si="472"/>
        <v/>
      </c>
      <c r="EO76" s="1365" t="str">
        <f t="shared" si="432"/>
        <v/>
      </c>
      <c r="EP76" s="284" t="str">
        <f t="shared" si="473"/>
        <v/>
      </c>
      <c r="EQ76" s="515" t="str">
        <f>IF(A76=FALSE,"",Cotations!AJ76)</f>
        <v/>
      </c>
      <c r="ER76" s="515" t="str">
        <f>IF(A76=FALSE,"",IF(Cotations!AK76="","",Cotations!AK76))</f>
        <v/>
      </c>
      <c r="ES76" s="493" t="str">
        <f>IF(A76=FALSE,"",Cotations!AL76)</f>
        <v/>
      </c>
      <c r="ET76" s="515" t="str">
        <f>IF(A76=FALSE,"",IF(EQ76="N/A",0,IF(INDEX(LISTES!$F$105:$F$109,MATCH(EQ76,LISTES!$C$105:$C$109,0))="FIX",IF(INDEX(LISTES!$E$105:$E$109,MATCH(EQ76,LISTES!$C$105:$C$109,0))=12,ER76/12*L76,ER76/365*M76),ES76*EP76)))</f>
        <v/>
      </c>
      <c r="EU76" s="294" t="str">
        <f t="shared" si="474"/>
        <v/>
      </c>
      <c r="EV76" s="494" t="str">
        <f>IF(A76=FALSE,"",EU76*Cotations!AM76)</f>
        <v/>
      </c>
      <c r="EW76" s="494" t="str">
        <f>IF(A76=FALSE,"",EU76*Cotations!AN76)</f>
        <v/>
      </c>
      <c r="EX76" s="334" t="str">
        <f t="shared" si="475"/>
        <v/>
      </c>
      <c r="EY76" s="919" t="str">
        <f>IF(A76=FALSE,"",((EG76*TAXE)-(EG76*TAXE*EL76)+EH76)+IF(EQ76="N/A",0,IF(INDEX(LISTES!$F$105:$F$109,MATCH(EQ76,LISTES!$C$105:$C$109,0))="FIX",ER76,ES76*EP76)))</f>
        <v/>
      </c>
      <c r="FA76" s="492" t="str">
        <f>IF(A76=FALSE,"",Cotations!D76)</f>
        <v/>
      </c>
      <c r="FB76" s="519" t="str">
        <f>IF(A76=FALSE,"",IF(LISTES!$A$17=1,Cotations!AO76,Cotations!$AP$4))</f>
        <v/>
      </c>
      <c r="FC76" s="291" t="str">
        <f t="shared" si="476"/>
        <v/>
      </c>
      <c r="FD76" s="291" t="str">
        <f t="shared" si="477"/>
        <v/>
      </c>
      <c r="FE76" s="291"/>
      <c r="FF76" s="463"/>
      <c r="FG76" s="463" t="str">
        <f t="shared" si="478"/>
        <v/>
      </c>
      <c r="FH76" s="522" t="str">
        <f>IF(A76=FALSE,"",IF(Cotations!$AQ$4="monthly",FG76/12*L76,FG76/365*M76))</f>
        <v/>
      </c>
      <c r="FI76" s="453" t="str">
        <f>IF(A76=FALSE,"",Cotations!$AR$4)</f>
        <v/>
      </c>
      <c r="FJ76" s="300" t="str">
        <f t="shared" si="479"/>
        <v/>
      </c>
      <c r="FK76" s="300" t="str">
        <f t="shared" si="480"/>
        <v/>
      </c>
      <c r="FL76" s="294" t="str">
        <f t="shared" si="481"/>
        <v/>
      </c>
      <c r="FM76" s="494" t="str">
        <f>IF(A76=FALSE,"",Cotations!$AS$4)</f>
        <v/>
      </c>
      <c r="FN76" s="494" t="str">
        <f>IF(A76=FALSE,"",Cotations!$AT$4)</f>
        <v/>
      </c>
      <c r="FO76" s="489" t="str">
        <f>IF(A76=FALSE,"",Cotations!$AU$4)</f>
        <v/>
      </c>
      <c r="FP76" s="494" t="str">
        <f>IF(A76=FALSE,"",IF(FM76="N/A",0,IF(INDEX(LISTES!$F$105:$F$109,MATCH(FM76,LISTES!$C$105:$C$109,0))="FIX",IF(INDEX(LISTES!$E$105:$E$109,MATCH(FM76,LISTES!$C$105:$C$109,0))=12,FN76/12*L76,FN76/365*M76),FO76*FL76)))</f>
        <v/>
      </c>
      <c r="FQ76" s="294" t="str">
        <f t="shared" si="482"/>
        <v/>
      </c>
      <c r="FR76" s="494" t="str">
        <f>IF(A76=FALSE,"",FQ76*Cotations!$AV$4)</f>
        <v/>
      </c>
      <c r="FS76" s="494" t="str">
        <f>IF(A76=FALSE,"",FQ76*Cotations!$AW$4)</f>
        <v/>
      </c>
      <c r="FT76" s="465" t="str">
        <f t="shared" si="483"/>
        <v/>
      </c>
      <c r="FU76" s="919" t="str">
        <f>IF(A76=FALSE,"",((FG76*TAXE)-(FG76*TAXE*FI76))+IF(FM76="N/A",0,IF(INDEX(LISTES!$F$105:$F$109,MATCH(FM76,LISTES!$C$105:$C$109,0))="FIX",FN76,FO76*FL76)))</f>
        <v/>
      </c>
      <c r="FV76" s="478"/>
      <c r="FW76" s="478"/>
      <c r="FX76" s="478"/>
      <c r="FY76" s="478"/>
      <c r="FZ76" s="478"/>
      <c r="GA76" s="492" t="str">
        <f>IF(A76=FALSE,"",Cotations!D76)</f>
        <v/>
      </c>
      <c r="GB76" s="494" t="str">
        <f>IF(A76=FALSE,"",IF(LISTES!$A$17=1,Cotations!AO76,Cotations!AP76))</f>
        <v/>
      </c>
      <c r="GC76" s="284" t="str">
        <f t="shared" si="484"/>
        <v/>
      </c>
      <c r="GD76" s="515" t="str">
        <f>IF(A76=FALSE,"",IF(Detail!AM76="","",Detail!AM76))</f>
        <v/>
      </c>
      <c r="GE76" s="284"/>
      <c r="GF76" s="284"/>
      <c r="GG76" s="284" t="str">
        <f t="shared" si="485"/>
        <v/>
      </c>
      <c r="GH76" s="515" t="str">
        <f>IF(A76=FALSE,"",IF(Cotations!AQ76="monthly",GG76/12*L76,GG76/365*M76))</f>
        <v/>
      </c>
      <c r="GI76" s="493" t="str">
        <f>IF(A76=FALSE,"",IF(Cotations!AR76="","",Cotations!AR76))</f>
        <v/>
      </c>
      <c r="GJ76" s="284" t="str">
        <f t="shared" si="486"/>
        <v/>
      </c>
      <c r="GK76" s="284" t="str">
        <f t="shared" si="487"/>
        <v/>
      </c>
      <c r="GL76" s="284" t="str">
        <f t="shared" si="488"/>
        <v/>
      </c>
      <c r="GM76" s="515" t="str">
        <f>IF(A76=FALSE,"",Cotations!AS76)</f>
        <v/>
      </c>
      <c r="GN76" s="515" t="str">
        <f>IF(A76=FALSE,"",Cotations!AT76)</f>
        <v/>
      </c>
      <c r="GO76" s="493" t="str">
        <f>IF(A76=FALSE,"",Cotations!AU76)</f>
        <v/>
      </c>
      <c r="GP76" s="515" t="str">
        <f>IF(A76=FALSE,"",IF(GM76="N/A",0,IF(INDEX(LISTES!$F$105:$F$109,MATCH(GM76,LISTES!$C$105:$C$109,0))="FIX",IF(INDEX(LISTES!$E$105:$E$109,MATCH(GM76,LISTES!$C$105:$C$109,0))=12,GN76/12*L76,GN76/365*M76),GO76*GL76)))</f>
        <v/>
      </c>
      <c r="GQ76" s="294" t="str">
        <f t="shared" si="489"/>
        <v/>
      </c>
      <c r="GR76" s="494" t="str">
        <f>IF(A76=FALSE,"",GQ76*Cotations!AV76)</f>
        <v/>
      </c>
      <c r="GS76" s="494" t="str">
        <f>IF(A76=FALSE,"",GQ76*Cotations!AW76)</f>
        <v/>
      </c>
      <c r="GT76" s="334" t="str">
        <f t="shared" si="490"/>
        <v/>
      </c>
      <c r="GU76" s="919" t="str">
        <f>IF(A76=FALSE,"",((GG76*TAXE)-(GG76*TAXE*GI76))+IF(GM76="N/A",0,IF(INDEX(LISTES!$F$105:$F$109,MATCH(GM76,LISTES!$C$105:$C$109,0))="FIX",GN76,GO76*GL76)))</f>
        <v/>
      </c>
      <c r="GV76" s="478"/>
      <c r="GW76" s="466"/>
      <c r="GX76" s="466"/>
      <c r="GY76" s="466"/>
      <c r="GZ76" s="466"/>
      <c r="HA76" s="492" t="str">
        <f>IF(A76=FALSE,"",Cotations!D76)</f>
        <v/>
      </c>
      <c r="HB76" s="495" t="str">
        <f>IF(A76=FALSE,"",IF(LISTES!$A$17=1,Cotations!AX76,Cotations!$AY$4))</f>
        <v/>
      </c>
      <c r="HC76" s="291" t="str">
        <f t="shared" si="491"/>
        <v/>
      </c>
      <c r="HD76" s="291" t="str">
        <f t="shared" si="492"/>
        <v/>
      </c>
      <c r="HE76" s="456" t="str">
        <f t="shared" si="493"/>
        <v/>
      </c>
      <c r="HF76" s="496" t="str">
        <f>IF(A76=FALSE,"",IF(HA76="POEA",Cotations!BA76,IF(HA76="FIXE",Cotations!$BA$4,Cotations!$BC$4*Y76)))</f>
        <v/>
      </c>
      <c r="HG76" s="300" t="str">
        <f t="shared" si="494"/>
        <v/>
      </c>
      <c r="HH76" s="522" t="str">
        <f>IF(A76=FALSE,"",IF(Cotations!$AZ$4="monthly",HG76/12*L76,HG76/365*M76))</f>
        <v/>
      </c>
      <c r="HI76" s="489" t="str">
        <f>IF(A76=FALSE,"",Cotations!$BD$4)</f>
        <v/>
      </c>
      <c r="HJ76" s="300" t="str">
        <f t="shared" si="495"/>
        <v/>
      </c>
      <c r="HK76" s="300" t="str">
        <f t="shared" si="496"/>
        <v/>
      </c>
      <c r="HL76" s="294" t="str">
        <f t="shared" si="497"/>
        <v/>
      </c>
      <c r="HM76" s="494" t="str">
        <f>IF(A76=FALSE,"",Cotations!$BE$4)</f>
        <v/>
      </c>
      <c r="HN76" s="522" t="str">
        <f>IF(A76=FALSE,"",Cotations!$BF$4)</f>
        <v/>
      </c>
      <c r="HO76" s="489" t="str">
        <f>IF(A76=FALSE,"",Cotations!$BG$4)</f>
        <v/>
      </c>
      <c r="HP76" s="494" t="str">
        <f>IF(A76=FALSE,"",IF(HM76="N/A",0,IF(INDEX(LISTES!$F$105:$F$109,MATCH(HM76,LISTES!$C$105:$C$109,0))="FIX",IF(INDEX(LISTES!$E$105:$E$109,MATCH(HM76,LISTES!$C$105:$C$109,0))=12,HN76/12*L76,HN76/365*M76),HO76*HL76)))</f>
        <v/>
      </c>
      <c r="HQ76" s="294" t="str">
        <f t="shared" si="498"/>
        <v/>
      </c>
      <c r="HR76" s="494" t="str">
        <f>IF(A76=FALSE,"",HQ76*Cotations!$BH$4)</f>
        <v/>
      </c>
      <c r="HS76" s="494" t="str">
        <f>IF(A76=FALSE,"",HQ76*Cotations!$BI$4)</f>
        <v/>
      </c>
      <c r="HT76" s="294" t="str">
        <f t="shared" si="499"/>
        <v/>
      </c>
      <c r="HU76" s="919" t="str">
        <f>IF(A76=FALSE,"",((HG76*TAXE)-(HG76*TAXE*HI76))+IF(HM76="N/A",0,IF(INDEX(LISTES!$F$105:$F$109,MATCH(HM76,LISTES!$C$105:$C$109,0))="FIX",HN76,HO76*HL76)))</f>
        <v/>
      </c>
      <c r="IA76" s="492" t="str">
        <f>IF(A76=FALSE,"",Cotations!D76)</f>
        <v/>
      </c>
      <c r="IB76" s="491" t="str">
        <f>IF(A76=FALSE,"",IF(LISTES!$A$17=1,Cotations!AX76,Cotations!AY76))</f>
        <v/>
      </c>
      <c r="IC76" s="285" t="str">
        <f t="shared" si="500"/>
        <v/>
      </c>
      <c r="ID76" s="300" t="str">
        <f>IF(A76=FALSE,"",IF(LISTES!$A$17=3,Detail!AU76,lig1_Formula_PREVOY))</f>
        <v/>
      </c>
      <c r="IE76" s="461" t="str">
        <f t="shared" si="501"/>
        <v/>
      </c>
      <c r="IF76" s="490" t="str">
        <f>IF(A76=FALSE,"",IF(IA76="POEA",Cotations!BA76,IF(HA76="FIXE",Cotations!BB76,IF(Cotations!BC76*Y76&lt;50000,Z76,Cotations!BC76*Y76))))</f>
        <v/>
      </c>
      <c r="IG76" s="300" t="str">
        <f t="shared" si="502"/>
        <v/>
      </c>
      <c r="IH76" s="522" t="str">
        <f>IF(A76=FALSE,"",IF(Cotations!AZ76="monthly",IG76/12*L76,IG76/365*M76))</f>
        <v/>
      </c>
      <c r="II76" s="489" t="str">
        <f>IF(A76=FALSE,"",IF(Cotations!BD76="","",Cotations!BD76))</f>
        <v/>
      </c>
      <c r="IJ76" s="300" t="str">
        <f t="shared" si="503"/>
        <v/>
      </c>
      <c r="IK76" s="300" t="str">
        <f t="shared" si="504"/>
        <v/>
      </c>
      <c r="IL76" s="919" t="str">
        <f t="shared" si="505"/>
        <v/>
      </c>
      <c r="IM76" s="517" t="str">
        <f>IF(A76=FALSE,"",Cotations!BE76)</f>
        <v/>
      </c>
      <c r="IN76" s="517" t="str">
        <f>IF(A76=FALSE,"",Cotations!BF76)</f>
        <v/>
      </c>
      <c r="IO76" s="493" t="str">
        <f>IF(A76=FALSE,"",Cotations!BG76)</f>
        <v/>
      </c>
      <c r="IP76" s="517" t="str">
        <f>IF(A76=FALSE,"",IF(IM76="N/A",0,IF(INDEX(LISTES!$F$105:$F$109,MATCH(IM76,LISTES!$C$105:$C$109,0))="FIX",IF(INDEX(LISTES!$E$105:$E$109,MATCH(IM76,LISTES!$C$105:$C$109,0))=12,IN76/12*L76,IN76/365*M76),IO76*IL76)))</f>
        <v/>
      </c>
      <c r="IQ76" s="294" t="str">
        <f t="shared" si="506"/>
        <v/>
      </c>
      <c r="IR76" s="494" t="str">
        <f>IF(A76=FALSE,"",IQ76*Cotations!BH76)</f>
        <v/>
      </c>
      <c r="IS76" s="494" t="str">
        <f>IF(A76=FALSE,"",IQ76*Cotations!BI76)</f>
        <v/>
      </c>
      <c r="IT76" s="338" t="str">
        <f t="shared" si="507"/>
        <v/>
      </c>
      <c r="IU76" s="919" t="str">
        <f>IF(A76=FALSE,"",((IG76*TAXE)-(IG76*TAXE*II76))+IF(IM76="N/A",0,IF(INDEX(LISTES!$F$105:$F$109,MATCH(IM76,LISTES!$C$105:$C$109,0))="FIX",IN76,IO76*IL76)))</f>
        <v/>
      </c>
      <c r="JA76" s="492" t="str">
        <f>IF(A76=FALSE,"",Cotations!D76)</f>
        <v/>
      </c>
      <c r="JB76" s="495" t="str">
        <f>IF(A76=FALSE,"",IF(LISTES!$A$17=1,Cotations!BJ76,Cotations!$BK$4))</f>
        <v/>
      </c>
      <c r="JC76" s="291" t="str">
        <f t="shared" si="508"/>
        <v/>
      </c>
      <c r="JD76" s="291" t="str">
        <f t="shared" si="509"/>
        <v/>
      </c>
      <c r="JE76" s="456" t="str">
        <f t="shared" si="510"/>
        <v/>
      </c>
      <c r="JF76" s="496" t="str">
        <f>IF(A76=FALSE,"",IF(JA76="POEA",Cotations!BM76,IF(JA76="FIXE",Cotations!$BM$4,Cotations!$BO$4*Y76)))</f>
        <v/>
      </c>
      <c r="JG76" s="300" t="str">
        <f t="shared" si="511"/>
        <v/>
      </c>
      <c r="JH76" s="522" t="str">
        <f>IF(A76=FALSE,"",IF(Cotations!$BL$4="monthly",JG76/12*L76,JG76/365*M76))</f>
        <v/>
      </c>
      <c r="JI76" s="489" t="str">
        <f>IF(A76=FALSE,"",Cotations!$BP$4)</f>
        <v/>
      </c>
      <c r="JJ76" s="300" t="str">
        <f t="shared" si="512"/>
        <v/>
      </c>
      <c r="JK76" s="300" t="str">
        <f t="shared" si="513"/>
        <v/>
      </c>
      <c r="JL76" s="294" t="str">
        <f t="shared" si="514"/>
        <v/>
      </c>
      <c r="JM76" s="494" t="str">
        <f>IF(A76=FALSE,"",Cotations!$BQ$4)</f>
        <v/>
      </c>
      <c r="JN76" s="522" t="str">
        <f>IF(A76=FALSE,"",Cotations!$BR$4)</f>
        <v/>
      </c>
      <c r="JO76" s="489" t="str">
        <f>IF(A76=FALSE,"",Cotations!$BS$4)</f>
        <v/>
      </c>
      <c r="JP76" s="494" t="str">
        <f>IF(A76=FALSE,"",IF(JM76="N/A",0,IF(INDEX(LISTES!$F$105:$F$109,MATCH(JM76,LISTES!$C$105:$C$109,0))="FIX",IF(INDEX(LISTES!$E$105:$E$109,MATCH(JM76,LISTES!$C$105:$C$109,0))=12,JN76/12*L76,JN76/365*M76),JO76*JL76)))</f>
        <v/>
      </c>
      <c r="JQ76" s="294" t="str">
        <f t="shared" si="515"/>
        <v/>
      </c>
      <c r="JR76" s="494" t="str">
        <f>IF(A76=FALSE,"",JQ76*Cotations!$BT$4)</f>
        <v/>
      </c>
      <c r="JS76" s="494" t="str">
        <f>IF(A76=FALSE,"",JQ76*Cotations!$BU$4)</f>
        <v/>
      </c>
      <c r="JT76" s="294" t="str">
        <f t="shared" si="516"/>
        <v/>
      </c>
      <c r="JU76" s="919" t="str">
        <f>IF(A76=FALSE,"",((JG76*TAXE)-(JG76*TAXE*JI76))+IF(JM76="N/A",0,IF(INDEX(LISTES!$F$105:$F$109,MATCH(JM76,LISTES!$C$105:$C$109,0))="FIX",JN76,JO76*JL76)))</f>
        <v/>
      </c>
      <c r="KA76" s="492" t="str">
        <f>IF(A76=FALSE,"",Cotations!D76)</f>
        <v/>
      </c>
      <c r="KB76" s="491" t="str">
        <f>IF(A76=FALSE,"",IF(LISTES!$A$17=1,Cotations!BJ76,Cotations!BK76))</f>
        <v/>
      </c>
      <c r="KC76" s="285" t="str">
        <f t="shared" si="517"/>
        <v/>
      </c>
      <c r="KD76" s="300"/>
      <c r="KE76" s="461" t="str">
        <f t="shared" si="518"/>
        <v/>
      </c>
      <c r="KF76" s="490" t="str">
        <f>IF(A76=FALSE,"",IF(KA76="POEA",Cotations!BM76,IF(KA76="FIXE",Cotations!BN76,IF(Cotations!BO76*Y76&lt;50000,Z76,Cotations!BO76*Y76))))</f>
        <v/>
      </c>
      <c r="KG76" s="300" t="str">
        <f t="shared" si="519"/>
        <v/>
      </c>
      <c r="KH76" s="522" t="str">
        <f>IF(A76=FALSE,"",IF(Cotations!BL76="monthly",KG76/12*L76,KG76/365*M76))</f>
        <v/>
      </c>
      <c r="KI76" s="489" t="str">
        <f>IF(A76=FALSE,"",IF(Cotations!BP76="","",Cotations!BP76))</f>
        <v/>
      </c>
      <c r="KJ76" s="300" t="str">
        <f t="shared" si="520"/>
        <v/>
      </c>
      <c r="KK76" s="300" t="str">
        <f t="shared" si="521"/>
        <v/>
      </c>
      <c r="KL76" s="919" t="str">
        <f t="shared" si="522"/>
        <v/>
      </c>
      <c r="KM76" s="517" t="str">
        <f>IF(A76=FALSE,"",Cotations!BQ76)</f>
        <v/>
      </c>
      <c r="KN76" s="515" t="str">
        <f>IF(A76=FALSE,"",Cotations!BR76)</f>
        <v/>
      </c>
      <c r="KO76" s="493" t="str">
        <f>IF(A76=FALSE,"",Cotations!BS76)</f>
        <v/>
      </c>
      <c r="KP76" s="517" t="str">
        <f>IF(A76=FALSE,"",IF(KM76="N/A",0,IF(INDEX(LISTES!$F$105:$F$109,MATCH(KM76,LISTES!$C$105:$C$109,0))="FIX",IF(INDEX(LISTES!$E$105:$E$109,MATCH(KM76,LISTES!$C$105:$C$109,0))=12,KN76/12*L76,KN76/365*M76),KO76*KL76)))</f>
        <v/>
      </c>
      <c r="KQ76" s="294" t="str">
        <f t="shared" si="523"/>
        <v/>
      </c>
      <c r="KR76" s="494" t="str">
        <f>IF(A76=FALSE,"",KQ76*Cotations!BT76)</f>
        <v/>
      </c>
      <c r="KS76" s="494" t="str">
        <f>IF(A76=FALSE,"",KQ76*Cotations!BU76)</f>
        <v/>
      </c>
      <c r="KT76" s="338" t="str">
        <f t="shared" si="524"/>
        <v/>
      </c>
      <c r="KU76" s="919" t="str">
        <f>IF(A76=FALSE,"",((KG76*TAXE)-(KG76*TAXE*KI76))+IF(KM76="N/A",0,IF(INDEX(LISTES!$F$105:$F$109,MATCH(KM76,LISTES!$C$105:$C$109,0))="FIX",KN76,KO76*KL76)))</f>
        <v/>
      </c>
      <c r="LA76" s="497" t="str">
        <f>IF(A76=FALSE,"",Cotations!D76)</f>
        <v/>
      </c>
      <c r="LB76" s="498" t="str">
        <f>IF(A76=FALSE,"",IF(LISTES!$A$17=1,Cotations!BV76,Cotations!$BW$4))</f>
        <v/>
      </c>
      <c r="LC76" s="499" t="str">
        <f t="shared" si="525"/>
        <v/>
      </c>
      <c r="LD76" s="499" t="str">
        <f t="shared" si="526"/>
        <v/>
      </c>
      <c r="LE76" s="500" t="str">
        <f t="shared" si="527"/>
        <v/>
      </c>
      <c r="LF76" s="501" t="str">
        <f>IF(A76=FALSE,"",IF(LA76="POEA",Cotations!EJ76,IF(LA76="FIXE",Cotations!$BY$4,Cotations!$CA$4*Y76)))</f>
        <v/>
      </c>
      <c r="LG76" s="502" t="str">
        <f t="shared" si="528"/>
        <v/>
      </c>
      <c r="LH76" s="520" t="str">
        <f>IF(A76=FALSE,"",IF(Cotations!$BX$4="monthly",LG76/12*L76,LG76/365*M76))</f>
        <v/>
      </c>
      <c r="LI76" s="503" t="str">
        <f>IF(A76=FALSE,"",Cotations!$CB$4)</f>
        <v/>
      </c>
      <c r="LJ76" s="502" t="str">
        <f t="shared" si="529"/>
        <v/>
      </c>
      <c r="LK76" s="502" t="str">
        <f t="shared" si="530"/>
        <v/>
      </c>
      <c r="LL76" s="504" t="str">
        <f t="shared" si="531"/>
        <v/>
      </c>
      <c r="LM76" s="505" t="str">
        <f>IF(A76=FALSE,"",Cotations!$CC$4)</f>
        <v/>
      </c>
      <c r="LN76" s="503" t="str">
        <f>IF(A76=FALSE,"",Cotations!$CD$4)</f>
        <v/>
      </c>
      <c r="LO76" s="503" t="str">
        <f>IF(A76=FALSE,"",Cotations!$CE$4)</f>
        <v/>
      </c>
      <c r="LP76" s="505" t="str">
        <f>IF(A76=FALSE,"",IF(LM76="N/A",0,IF(INDEX(LISTES!$F$105:$F$109,MATCH(LM76,LISTES!$C$105:$C$109,0))="FIX",IF(INDEX(LISTES!$E$105:$E$109,MATCH(LM76,LISTES!$C$105:$C$109,0))=12,LN76/12*L76,LN76/365*M76),LO76*LL76)))</f>
        <v/>
      </c>
      <c r="LQ76" s="504" t="str">
        <f t="shared" si="532"/>
        <v/>
      </c>
      <c r="LR76" s="505" t="str">
        <f>IF(A76=FALSE,"",LQ76*Cotations!$CF$4)</f>
        <v/>
      </c>
      <c r="LS76" s="505" t="str">
        <f>IF(A76=FALSE,"",LQ76*Cotations!$CG$4)</f>
        <v/>
      </c>
      <c r="LT76" s="506" t="str">
        <f t="shared" si="533"/>
        <v/>
      </c>
      <c r="LU76" s="919" t="str">
        <f>IF(A76=FALSE,"",((LG76*TAXE)-(LG76*TAXE*LI76))+IF(LM76="N/A",0,IF(INDEX(LISTES!$F$105:$F$109,MATCH(LM76,LISTES!$C$105:$C$109,0))="FIX",LN76,LO76*LL76)))</f>
        <v/>
      </c>
      <c r="MA76" s="492" t="str">
        <f>IF(A76=FALSE,"",Cotations!D76)</f>
        <v/>
      </c>
      <c r="MB76" s="491" t="str">
        <f>IF(A76=FALSE,"",IF(LISTES!$A$17=1,Cotations!BV76,Cotations!BW76))</f>
        <v/>
      </c>
      <c r="MC76" s="285" t="str">
        <f t="shared" si="534"/>
        <v/>
      </c>
      <c r="MD76" s="300"/>
      <c r="ME76" s="461" t="str">
        <f t="shared" si="535"/>
        <v/>
      </c>
      <c r="MF76" s="490" t="str">
        <f>IF(A76=FALSE,"",IF(MA76="POEA",Cotations!BY76,IF(MA76="FIXE",Cotations!BZ76,IF(Cotations!CA76*Y76&lt;50000,Z76,Cotations!CA76*Y76))))</f>
        <v/>
      </c>
      <c r="MG76" s="300" t="str">
        <f t="shared" si="536"/>
        <v/>
      </c>
      <c r="MH76" s="522" t="str">
        <f>IF(A76=FALSE,"",IF(Cotations!BX76="monthly",MG76/12*L76,MG76/365*M76))</f>
        <v/>
      </c>
      <c r="MI76" s="489" t="str">
        <f>IF(A76=FALSE,"",IF(Cotations!CB76="","",Cotations!CB76))</f>
        <v/>
      </c>
      <c r="MJ76" s="300" t="str">
        <f t="shared" si="537"/>
        <v/>
      </c>
      <c r="MK76" s="300" t="str">
        <f t="shared" si="538"/>
        <v/>
      </c>
      <c r="ML76" s="919" t="str">
        <f t="shared" si="539"/>
        <v/>
      </c>
      <c r="MM76" s="517" t="str">
        <f>IF(A76=FALSE,"",Cotations!CC76)</f>
        <v/>
      </c>
      <c r="MN76" s="515" t="str">
        <f>IF(A76=FALSE,"",Cotations!CD76)</f>
        <v/>
      </c>
      <c r="MO76" s="493" t="str">
        <f>IF(A76=FALSE,"",Cotations!CE76)</f>
        <v/>
      </c>
      <c r="MP76" s="517" t="str">
        <f>IF(A76=FALSE,"",IF(MM76="N/A",0,IF(INDEX(LISTES!$F$105:$F$109,MATCH(MM76,LISTES!$C$105:$C$109,0))="FIX",IF(INDEX(LISTES!$E$105:$E$109,MATCH(MM76,LISTES!$C$105:$C$109,0))=12,MN76/12*L76,MN76/365*M76),MO76*ML76)))</f>
        <v/>
      </c>
      <c r="MQ76" s="294" t="str">
        <f t="shared" si="540"/>
        <v/>
      </c>
      <c r="MR76" s="494" t="str">
        <f>IF(A76=FALSE,"",MQ76*Cotations!CF76)</f>
        <v/>
      </c>
      <c r="MS76" s="494" t="str">
        <f>IF(A76=FALSE,"",MQ76*Cotations!CG76)</f>
        <v/>
      </c>
      <c r="MT76" s="338" t="str">
        <f t="shared" si="541"/>
        <v/>
      </c>
      <c r="MU76" s="919" t="str">
        <f>IF(A76=FALSE,"",((MG76*TAXE)-(MG76*TAXE*MI76))+IF(MM76="N/A",0,IF(INDEX(LISTES!$F$105:$F$109,MATCH(MM76,LISTES!$C$105:$C$109,0))="FIX",MN76,MO76*ML76)))</f>
        <v/>
      </c>
      <c r="NA76" s="497" t="str">
        <f>IF(A76=FALSE,"",Cotations!D76)</f>
        <v/>
      </c>
      <c r="NB76" s="498" t="str">
        <f>IF(A76=FALSE,"",IF(LISTES!$A$17=1,Cotations!CH76,Cotations!$CI$4))</f>
        <v/>
      </c>
      <c r="NC76" s="499" t="str">
        <f t="shared" si="542"/>
        <v/>
      </c>
      <c r="ND76" s="499" t="str">
        <f t="shared" si="543"/>
        <v/>
      </c>
      <c r="NE76" s="500" t="str">
        <f t="shared" si="544"/>
        <v/>
      </c>
      <c r="NF76" s="501" t="str">
        <f>IF(A76=FALSE,"",IF(NA76="POEA",Cotations!CK76,IF(NA76="FIXE",Cotations!$CK$4,Cotations!$CM$4*Y76)))</f>
        <v/>
      </c>
      <c r="NG76" s="502" t="str">
        <f t="shared" si="545"/>
        <v/>
      </c>
      <c r="NH76" s="520" t="str">
        <f>IF(A76=FALSE,"",IF(Cotations!$CJ$4="monthly",NG76/12*L76,NG76/365*M76))</f>
        <v/>
      </c>
      <c r="NI76" s="503" t="str">
        <f>IF(A76=FALSE,"",Cotations!$CN$4)</f>
        <v/>
      </c>
      <c r="NJ76" s="502" t="str">
        <f t="shared" si="546"/>
        <v/>
      </c>
      <c r="NK76" s="502" t="str">
        <f t="shared" si="547"/>
        <v/>
      </c>
      <c r="NL76" s="504" t="str">
        <f t="shared" si="548"/>
        <v/>
      </c>
      <c r="NM76" s="505" t="str">
        <f>IF(A76=FALSE,"",Cotations!$CO$4)</f>
        <v/>
      </c>
      <c r="NN76" s="520" t="str">
        <f>IF(A76=FALSE,"",Cotations!$CP$4)</f>
        <v/>
      </c>
      <c r="NO76" s="503" t="str">
        <f>IF(A76=FALSE,"",Cotations!$CQ$4)</f>
        <v/>
      </c>
      <c r="NP76" s="505" t="str">
        <f>IF(A76=FALSE,"",IF(NM76="N/A",0,IF(INDEX(LISTES!$F$105:$F$109,MATCH(NM76,LISTES!$C$105:$C$109,0))="FIX",IF(INDEX(LISTES!$E$105:$E$109,MATCH(NM76,LISTES!$C$105:$C$109,0))=12,NN76/12*L76,NN76/365*M76),NO76*NL76)))</f>
        <v/>
      </c>
      <c r="NQ76" s="504" t="str">
        <f t="shared" si="549"/>
        <v/>
      </c>
      <c r="NR76" s="505" t="str">
        <f>IF(A76=FALSE,"",NQ76*Cotations!$CR$4)</f>
        <v/>
      </c>
      <c r="NS76" s="505" t="str">
        <f>IF(A76=FALSE,"",NQ76*Cotations!$CS$4)</f>
        <v/>
      </c>
      <c r="NT76" s="506" t="str">
        <f t="shared" si="550"/>
        <v/>
      </c>
      <c r="NU76" s="919" t="str">
        <f>IF(A76=FALSE,"",((NG76*TAXE)-(NG76*TAXE*NI76))+IF(NM76="N/A",0,IF(INDEX(LISTES!$F$105:$F$109,MATCH(NM76,LISTES!$C$105:$C$109,0))="FIX",NN76,NO76*NL76)))</f>
        <v/>
      </c>
      <c r="OA76" s="492" t="str">
        <f>IF(A76=FALSE,"",Cotations!D76)</f>
        <v/>
      </c>
      <c r="OB76" s="491" t="str">
        <f>IF(A76=FALSE,"",IF(LISTES!$A$17=1,Cotations!CH76,Cotations!CI76))</f>
        <v/>
      </c>
      <c r="OC76" s="285" t="str">
        <f t="shared" si="551"/>
        <v/>
      </c>
      <c r="OD76" s="300"/>
      <c r="OE76" s="461" t="str">
        <f t="shared" si="552"/>
        <v/>
      </c>
      <c r="OF76" s="490" t="str">
        <f>IF(A76=FALSE,"",IF(OA76="POEA",Cotations!CK76,IF(OA76="FIXE",Cotations!CL76,IF(Cotations!CM76*Y76&lt;50000,Z76,Cotations!CM76*Y76))))</f>
        <v/>
      </c>
      <c r="OG76" s="300" t="str">
        <f t="shared" si="553"/>
        <v/>
      </c>
      <c r="OH76" s="522" t="str">
        <f>IF(A76=FALSE,"",IF(Cotations!CJ76="monthly",OG76/12*L76,OG76/365*M76))</f>
        <v/>
      </c>
      <c r="OI76" s="489" t="str">
        <f>IF(A76=FALSE,"",IF(Cotations!CN76="","",Cotations!CN76))</f>
        <v/>
      </c>
      <c r="OJ76" s="300" t="str">
        <f t="shared" si="554"/>
        <v/>
      </c>
      <c r="OK76" s="300" t="str">
        <f t="shared" si="555"/>
        <v/>
      </c>
      <c r="OL76" s="919" t="str">
        <f t="shared" si="556"/>
        <v/>
      </c>
      <c r="OM76" s="517" t="str">
        <f>IF(A76=FALSE,"",Cotations!CO76)</f>
        <v/>
      </c>
      <c r="ON76" s="515" t="str">
        <f>IF(A76=FALSE,"",Cotations!CP76)</f>
        <v/>
      </c>
      <c r="OO76" s="493" t="str">
        <f>IF(A76=FALSE,"",Cotations!CQ76)</f>
        <v/>
      </c>
      <c r="OP76" s="517" t="str">
        <f>IF(A76=FALSE,"",IF(OM76="N/A",0,IF(INDEX(LISTES!$F$105:$F$109,MATCH(OM76,LISTES!$C$105:$C$109,0))="FIX",IF(INDEX(LISTES!$E$105:$E$109,MATCH(OM76,LISTES!$C$105:$C$109,0))=12,ON76/12*L76,ON76/365*M76),OO76*OL76)))</f>
        <v/>
      </c>
      <c r="OQ76" s="294" t="str">
        <f t="shared" si="557"/>
        <v/>
      </c>
      <c r="OR76" s="494" t="str">
        <f>IF(A76=FALSE,"",OQ76*Cotations!CR76)</f>
        <v/>
      </c>
      <c r="OS76" s="494" t="str">
        <f>IF(A76=FALSE,"",OQ76*Cotations!CS76)</f>
        <v/>
      </c>
      <c r="OT76" s="338" t="str">
        <f t="shared" si="558"/>
        <v/>
      </c>
      <c r="OU76" s="919" t="str">
        <f>IF(A76=FALSE,"",((OG76*TAXE)-(OG76*TAXE*OI76))+IF(OM76="N/A",0,IF(INDEX(LISTES!$F$105:$F$109,MATCH(OM76,LISTES!$C$105:$C$109,0))="FIX",ON76,OO76*OL76)))</f>
        <v/>
      </c>
      <c r="PA76" s="497" t="str">
        <f t="shared" si="559"/>
        <v/>
      </c>
      <c r="PB76" s="498" t="str">
        <f>IF(A76=FALSE,"",IF(LISTES!$A$17=1,Cotations!CT76,Cotations!$CU$4))</f>
        <v/>
      </c>
      <c r="PC76" s="499" t="str">
        <f t="shared" si="560"/>
        <v/>
      </c>
      <c r="PD76" s="499" t="str">
        <f t="shared" si="561"/>
        <v/>
      </c>
      <c r="PE76" s="500" t="str">
        <f t="shared" si="562"/>
        <v/>
      </c>
      <c r="PF76" s="501" t="str">
        <f>IF(A76=FALSE,"",Cotations!$CY$4*Y76)</f>
        <v/>
      </c>
      <c r="PG76" s="502" t="str">
        <f t="shared" si="563"/>
        <v/>
      </c>
      <c r="PH76" s="520" t="str">
        <f>IF(A76=FALSE,"",IF(Cotations!$CV$4="monthly",PG76/12*L76,PG76/365*M76))</f>
        <v/>
      </c>
      <c r="PI76" s="503" t="str">
        <f>IF(A76=FALSE,"",Cotations!$CZ$4)</f>
        <v/>
      </c>
      <c r="PJ76" s="502" t="str">
        <f t="shared" si="564"/>
        <v/>
      </c>
      <c r="PK76" s="502" t="str">
        <f t="shared" si="565"/>
        <v/>
      </c>
      <c r="PL76" s="504" t="str">
        <f t="shared" si="566"/>
        <v/>
      </c>
      <c r="PM76" s="505" t="str">
        <f>IF(A76=FALSE,"",Cotations!$DA$4)</f>
        <v/>
      </c>
      <c r="PN76" s="520" t="str">
        <f>IF(A76=FALSE,"",Cotations!$DB$4)</f>
        <v/>
      </c>
      <c r="PO76" s="503" t="str">
        <f>IF(A76=FALSE,"",Cotations!$DC$4)</f>
        <v/>
      </c>
      <c r="PP76" s="505" t="str">
        <f>IF(A76=FALSE,"",IF(PM76="N/A",0,IF(INDEX(LISTES!$F$105:$F$109,MATCH(PM76,LISTES!$C$105:$C$109,0))="FIX",IF(INDEX(LISTES!$E$105:$E$109,MATCH(PM76,LISTES!$C$105:$C$109,0))=12,PN76/12*L76,PN76/365*M76),PO76*PL76)))</f>
        <v/>
      </c>
      <c r="PQ76" s="504" t="str">
        <f t="shared" si="567"/>
        <v/>
      </c>
      <c r="PR76" s="505" t="str">
        <f>IF(A76=FALSE,"",PQ76*Cotations!$DD$4)</f>
        <v/>
      </c>
      <c r="PS76" s="505" t="str">
        <f>IF(A76=FALSE,"",PQ76*Cotations!$DE$4)</f>
        <v/>
      </c>
      <c r="PT76" s="506" t="str">
        <f t="shared" si="568"/>
        <v/>
      </c>
      <c r="PU76" s="919" t="str">
        <f>IF(A76=FALSE,"",((PG76*TAXE)-(PG76*TAXE*PI76))+IF(PM76="N/A",0,IF(INDEX(LISTES!$F$105:$F$109,MATCH(PM76,LISTES!$C$105:$C$109,0))="FIX",PN76,PO76*PL76)))</f>
        <v/>
      </c>
      <c r="QA76" s="492" t="str">
        <f t="shared" si="569"/>
        <v/>
      </c>
      <c r="QB76" s="491" t="str">
        <f>IF(A76=FALSE,"",IF(LISTES!$A$17=1,Cotations!CT76,Cotations!CU76))</f>
        <v/>
      </c>
      <c r="QC76" s="285" t="str">
        <f t="shared" si="570"/>
        <v/>
      </c>
      <c r="QD76" s="300"/>
      <c r="QE76" s="461" t="str">
        <f t="shared" si="571"/>
        <v/>
      </c>
      <c r="QF76" s="490" t="str">
        <f>IF(A76=FALSE,"",Cotations!CY76*AA76)</f>
        <v/>
      </c>
      <c r="QG76" s="300" t="str">
        <f t="shared" si="572"/>
        <v/>
      </c>
      <c r="QH76" s="522" t="str">
        <f>IF(A76=FALSE,"",IF(Cotations!CV76="monthly",QG76/12*L76,QG76/365*M76))</f>
        <v/>
      </c>
      <c r="QI76" s="489" t="str">
        <f>IF(A76=FALSE,"",IF(Cotations!CZ76="","",Cotations!CZ76))</f>
        <v/>
      </c>
      <c r="QJ76" s="300" t="str">
        <f t="shared" si="573"/>
        <v/>
      </c>
      <c r="QK76" s="300" t="str">
        <f t="shared" si="574"/>
        <v/>
      </c>
      <c r="QL76" s="919" t="str">
        <f t="shared" si="575"/>
        <v/>
      </c>
      <c r="QM76" s="517" t="str">
        <f>IF(A76=FALSE,"",Cotations!DA76)</f>
        <v/>
      </c>
      <c r="QN76" s="515" t="str">
        <f>IF(A76=FALSE,"",Cotations!DB76)</f>
        <v/>
      </c>
      <c r="QO76" s="493" t="str">
        <f>IF(A76=FALSE,"",Cotations!DC76)</f>
        <v/>
      </c>
      <c r="QP76" s="517" t="str">
        <f>IF(A76=FALSE,"",IF(QM76="N/A",0,IF(INDEX(LISTES!$F$105:$F$109,MATCH(QM76,LISTES!$C$105:$C$109,0))="FIX",IF(INDEX(LISTES!$E$105:$E$109,MATCH(QM76,LISTES!$C$105:$C$109,0))=12,QN76/12*L76,QN76/365*M76),QO76*QL76)))</f>
        <v/>
      </c>
      <c r="QQ76" s="294" t="str">
        <f t="shared" si="576"/>
        <v/>
      </c>
      <c r="QR76" s="494" t="str">
        <f>IF(A76=FALSE,"",QQ76*Cotations!DD76)</f>
        <v/>
      </c>
      <c r="QS76" s="494" t="str">
        <f>IF(A76=FALSE,"",QQ76*Cotations!DE76)</f>
        <v/>
      </c>
      <c r="QT76" s="338" t="str">
        <f t="shared" si="577"/>
        <v/>
      </c>
      <c r="QU76" s="919" t="str">
        <f>IF(A76=FALSE,"",((QG76*TAXE)-(QG76*TAXE*QI76))+IF(QM76="N/A",0,IF(INDEX(LISTES!$F$105:$F$109,MATCH(QM76,LISTES!$C$105:$C$109,0))="FIX",QN76,QO76*QL76)))</f>
        <v/>
      </c>
      <c r="RA76" s="497" t="str">
        <f t="shared" si="578"/>
        <v/>
      </c>
      <c r="RB76" s="498" t="str">
        <f>IF(A76=FALSE,"",IF(LISTES!$A$17=1,Cotations!DF76,Cotations!$DG$4))</f>
        <v/>
      </c>
      <c r="RC76" s="499" t="str">
        <f t="shared" si="579"/>
        <v/>
      </c>
      <c r="RD76" s="499" t="str">
        <f t="shared" si="580"/>
        <v/>
      </c>
      <c r="RE76" s="500" t="str">
        <f t="shared" si="581"/>
        <v/>
      </c>
      <c r="RF76" s="501" t="str">
        <f>IF(A76=FALSE,"",Cotations!$DK$4*Y76)</f>
        <v/>
      </c>
      <c r="RG76" s="502" t="str">
        <f t="shared" si="582"/>
        <v/>
      </c>
      <c r="RH76" s="520" t="str">
        <f>IF(A76=FALSE,"",IF(Cotations!$DH$4="monthly",RG76/12*L76,RG76/365*M76))</f>
        <v/>
      </c>
      <c r="RI76" s="503" t="str">
        <f>IF(A76=FALSE,"",Cotations!$DL$4)</f>
        <v/>
      </c>
      <c r="RJ76" s="502" t="str">
        <f t="shared" si="583"/>
        <v/>
      </c>
      <c r="RK76" s="502" t="str">
        <f t="shared" si="584"/>
        <v/>
      </c>
      <c r="RL76" s="504" t="str">
        <f t="shared" si="585"/>
        <v/>
      </c>
      <c r="RM76" s="505" t="str">
        <f>IF(A76=FALSE,"",Cotations!$DM$4)</f>
        <v/>
      </c>
      <c r="RN76" s="520" t="str">
        <f>IF(A76=FALSE,"",Cotations!$DN$4)</f>
        <v/>
      </c>
      <c r="RO76" s="503" t="str">
        <f>IF(A76=FALSE,"",Cotations!$DO$4)</f>
        <v/>
      </c>
      <c r="RP76" s="505" t="str">
        <f>IF(A76=FALSE,"",IF(RM76="N/A",0,IF(INDEX(LISTES!$F$105:$F$109,MATCH(RM76,LISTES!$C$105:$C$109,0))="FIX",IF(INDEX(LISTES!$E$105:$E$109,MATCH(RM76,LISTES!$C$105:$C$109,0))=12,RN76/12*L76,RN76/365*M76),RO76*RL76)))</f>
        <v/>
      </c>
      <c r="RQ76" s="504" t="str">
        <f t="shared" si="586"/>
        <v/>
      </c>
      <c r="RR76" s="505" t="str">
        <f>IF(A76=FALSE,"",RQ76*Cotations!$DP$4)</f>
        <v/>
      </c>
      <c r="RS76" s="505" t="str">
        <f>IF(A76=FALSE,"",RQ76*Cotations!$DQ$4)</f>
        <v/>
      </c>
      <c r="RT76" s="506" t="str">
        <f t="shared" si="587"/>
        <v/>
      </c>
      <c r="RU76" s="919" t="str">
        <f>IF(A76=FALSE,"",((RG76*TAXE)-(RG76*TAXE*RI76))+IF(RM76="N/A",0,IF(INDEX(LISTES!$F$105:$F$109,MATCH(RM76,LISTES!$C$105:$C$109,0))="FIX",RN76,RO76*RL76)))</f>
        <v/>
      </c>
      <c r="SA76" s="492" t="str">
        <f t="shared" si="588"/>
        <v/>
      </c>
      <c r="SB76" s="491" t="str">
        <f>IF(A76=FALSE,"",IF(LISTES!$A$17=1,Cotations!DF76,Cotations!DG76))</f>
        <v/>
      </c>
      <c r="SC76" s="285" t="str">
        <f t="shared" si="589"/>
        <v/>
      </c>
      <c r="SD76" s="300"/>
      <c r="SE76" s="461" t="str">
        <f t="shared" si="590"/>
        <v/>
      </c>
      <c r="SF76" s="490" t="str">
        <f>IF(A76=FALSE,"",Cotations!DK76*AA76)</f>
        <v/>
      </c>
      <c r="SG76" s="300" t="str">
        <f t="shared" si="591"/>
        <v/>
      </c>
      <c r="SH76" s="522" t="str">
        <f>IF(A76=FALSE,"",IF(Cotations!DH76="monthly",SG76/12*L76,SG76/365*M76))</f>
        <v/>
      </c>
      <c r="SI76" s="489" t="str">
        <f>IF(A76=FALSE,"",IF(Cotations!DL76="","",Cotations!DL76))</f>
        <v/>
      </c>
      <c r="SJ76" s="300" t="str">
        <f t="shared" si="592"/>
        <v/>
      </c>
      <c r="SK76" s="300" t="str">
        <f t="shared" si="593"/>
        <v/>
      </c>
      <c r="SL76" s="919" t="str">
        <f t="shared" si="594"/>
        <v/>
      </c>
      <c r="SM76" s="285" t="str">
        <f>IF(A76=FALSE,"",Cotations!DM76)</f>
        <v/>
      </c>
      <c r="SN76" s="515" t="str">
        <f>IF(A76=FALSE,"",Cotations!DN76)</f>
        <v/>
      </c>
      <c r="SO76" s="493" t="str">
        <f>IF(A76=FALSE,"",Cotations!DO76)</f>
        <v/>
      </c>
      <c r="SP76" s="517" t="str">
        <f>IF(A76=FALSE,"",IF(SM76="N/A",0,IF(INDEX(LISTES!$F$105:$F$109,MATCH(SM76,LISTES!$C$105:$C$109,0))="FIX",IF(INDEX(LISTES!$E$105:$E$109,MATCH(SM76,LISTES!$C$105:$C$109,0))=12,SN76/12*L76,SN76/365*M76),SO76*SL76)))</f>
        <v/>
      </c>
      <c r="SQ76" s="294" t="str">
        <f t="shared" si="595"/>
        <v/>
      </c>
      <c r="SR76" s="494" t="str">
        <f>IF(A76=FALSE,"",SQ76*Cotations!DP76)</f>
        <v/>
      </c>
      <c r="SS76" s="494" t="str">
        <f>IF(A76=FALSE,"",SQ76*Cotations!DQ76)</f>
        <v/>
      </c>
      <c r="ST76" s="338" t="str">
        <f t="shared" si="596"/>
        <v/>
      </c>
      <c r="SU76" s="919" t="str">
        <f>IF(A76=FALSE,"",((SG76*TAXE)-(SG76*TAXE*SI76))+IF(SM76="N/A",0,IF(INDEX(LISTES!$F$105:$F$109,MATCH(SM76,LISTES!$C$105:$C$109,0))="FIX",SN76,SO76*SL76)))</f>
        <v/>
      </c>
      <c r="TA76" s="492" t="str">
        <f>IF(A76=FALSE,"",Cotations!D76)</f>
        <v/>
      </c>
      <c r="TB76" s="491" t="str">
        <f>IF(A76=FALSE,"",IF(LISTES!$A$17=1,Cotations!DR76,Cotations!DS76))</f>
        <v/>
      </c>
      <c r="TC76" s="285" t="str">
        <f t="shared" si="597"/>
        <v/>
      </c>
      <c r="TD76" s="300" t="str">
        <f>IF(A76=FALSE,"",Detail!CQ76)</f>
        <v/>
      </c>
      <c r="TE76" s="461" t="str">
        <f t="shared" si="598"/>
        <v/>
      </c>
      <c r="TF76" s="490" t="str">
        <f>IF(A76=FALSE,"",IF(TA76="FIXE",Cotations!DU76,Cotations!DV76*Y76))</f>
        <v/>
      </c>
      <c r="TG76" s="300" t="str">
        <f t="shared" si="599"/>
        <v/>
      </c>
      <c r="TH76" s="522" t="str">
        <f>IF(A76=FALSE,"",IF(Cotations!DT76="monthly",TG76/12*L76,TG76/365*M76))</f>
        <v/>
      </c>
      <c r="TI76" s="489" t="str">
        <f>IF(A76=FALSE,"",IF(Cotations!DW76="","",Cotations!DW76))</f>
        <v/>
      </c>
      <c r="TJ76" s="300" t="str">
        <f t="shared" si="600"/>
        <v/>
      </c>
      <c r="TK76" s="300" t="str">
        <f t="shared" si="601"/>
        <v/>
      </c>
      <c r="TL76" s="919" t="str">
        <f t="shared" si="602"/>
        <v/>
      </c>
      <c r="TM76" s="517" t="str">
        <f>IF(A76=FALSE,"",Cotations!DX76)</f>
        <v/>
      </c>
      <c r="TN76" s="517" t="str">
        <f>IF(A76=FALSE,"",Cotations!DY76)</f>
        <v/>
      </c>
      <c r="TO76" s="493" t="str">
        <f>IF(A76=FALSE,"",Cotations!DZ76)</f>
        <v/>
      </c>
      <c r="TP76" s="517" t="str">
        <f>IF(A76=FALSE,"",IF(TM76="N/A",0,IF(INDEX(LISTES!$F$105:$F$109,MATCH(TM76,LISTES!$C$105:$C$109,0))="FIX",IF(INDEX(LISTES!$E$105:$E$109,MATCH(TM76,LISTES!$C$105:$C$109,0))=12,TN76/12*L76,TN76/365*M76),TO76*TL76)))</f>
        <v/>
      </c>
      <c r="TQ76" s="294" t="str">
        <f t="shared" si="603"/>
        <v/>
      </c>
      <c r="TR76" s="494" t="str">
        <f>IF(A76=FALSE,"",TQ76*Cotations!EA76)</f>
        <v/>
      </c>
      <c r="TS76" s="494" t="str">
        <f>IF(A76=FALSE,"",TQ76*Cotations!EB76)</f>
        <v/>
      </c>
      <c r="TT76" s="338" t="str">
        <f t="shared" si="604"/>
        <v/>
      </c>
      <c r="TU76" s="919" t="str">
        <f>IF(A76=FALSE,"",((TG76*(1+TAXE)-(TG76*(1+TAXE)*TI76))+IF(TM76="N/A",0,IF(INDEX(LISTES!$F$105:$F$109,MATCH(TM76,LISTES!$C$105:$C$109,0))="FIX",TN76,TO76*TL76))))</f>
        <v/>
      </c>
      <c r="UA76" s="492" t="str">
        <f>IF(A76=FALSE,"",Cotations!D76)</f>
        <v/>
      </c>
      <c r="UB76" s="491" t="str">
        <f>IF(A76=FALSE,"",IF(LISTES!$A$17=1,Cotations!EC76,Cotations!ED76))</f>
        <v/>
      </c>
      <c r="UC76" s="285" t="str">
        <f t="shared" si="605"/>
        <v/>
      </c>
      <c r="UD76" s="300" t="str">
        <f>IF(A76=FALSE,"",Detail!CY76)</f>
        <v/>
      </c>
      <c r="UE76" s="461" t="str">
        <f t="shared" si="606"/>
        <v/>
      </c>
      <c r="UF76" s="490" t="str">
        <f>IF(A76=FALSE,"",IF(UA76="FIXE",Cotations!EF76,Cotations!EG76*Y76))</f>
        <v/>
      </c>
      <c r="UG76" s="300" t="str">
        <f t="shared" si="607"/>
        <v/>
      </c>
      <c r="UH76" s="522" t="str">
        <f>IF(A76=FALSE,"",IF(Cotations!EE76="monthly",UG76/12*L76,UG76/365*M76))</f>
        <v/>
      </c>
      <c r="UI76" s="489" t="str">
        <f>IF(A76=FALSE,"",IF(Cotations!EH76="","",Cotations!EH76))</f>
        <v/>
      </c>
      <c r="UJ76" s="300" t="str">
        <f t="shared" si="608"/>
        <v/>
      </c>
      <c r="UK76" s="300" t="str">
        <f t="shared" si="609"/>
        <v/>
      </c>
      <c r="UL76" s="919" t="str">
        <f t="shared" si="610"/>
        <v/>
      </c>
      <c r="UM76" s="517" t="str">
        <f>IF(A76=FALSE,"",Cotations!EI76)</f>
        <v/>
      </c>
      <c r="UN76" s="517" t="str">
        <f>IF(A76=FALSE,"",Cotations!EJ76)</f>
        <v/>
      </c>
      <c r="UO76" s="493" t="str">
        <f>IF(A76=FALSE,"",Cotations!EK76)</f>
        <v/>
      </c>
      <c r="UP76" s="517" t="str">
        <f>IF(A76=FALSE,"",IF(UM76="N/A",0,IF(INDEX(LISTES!$F$105:$F$109,MATCH(UM76,LISTES!$C$105:$C$109,0))="FIX",IF(INDEX(LISTES!$E$105:$E$109,MATCH(UM76,LISTES!$C$105:$C$109,0))=12,UN76/12*L76,UN76/365*M76),UO76*UL76)))</f>
        <v/>
      </c>
      <c r="UQ76" s="294" t="str">
        <f t="shared" si="611"/>
        <v/>
      </c>
      <c r="UR76" s="494" t="str">
        <f>IF(A76=FALSE,"",UQ76*Cotations!EL76)</f>
        <v/>
      </c>
      <c r="US76" s="494" t="str">
        <f>IF(A76=FALSE,"",UQ76*Cotations!EM76)</f>
        <v/>
      </c>
      <c r="UT76" s="338" t="str">
        <f t="shared" si="612"/>
        <v/>
      </c>
      <c r="UU76" s="919" t="str">
        <f>IF(A76=FALSE,"",((UG76*(1+TAXE)-(UG76*(1+TAXE)*UI76))+IF(UM76="N/A",0,IF(INDEX(LISTES!$F$105:$F$109,MATCH(UM76,LISTES!$C$105:$C$109,0))="FIX",UN76,UO76*UL76))))</f>
        <v/>
      </c>
      <c r="VA76" s="492" t="str">
        <f>IF(A76=FALSE,"",Cotations!D76)</f>
        <v/>
      </c>
      <c r="VB76" s="519" t="str">
        <f>IF(A76=FALSE,"",IF(LISTES!$A$17=1,Cotations!EN76,Cotations!EO76))</f>
        <v/>
      </c>
      <c r="VC76" s="291" t="str">
        <f t="shared" si="613"/>
        <v/>
      </c>
      <c r="VD76" s="291" t="str">
        <f t="shared" si="614"/>
        <v/>
      </c>
      <c r="VE76" s="291"/>
      <c r="VF76" s="463"/>
      <c r="VG76" s="463" t="str">
        <f t="shared" si="615"/>
        <v/>
      </c>
      <c r="VH76" s="522" t="str">
        <f>IF(A76=FALSE,"",IF(Cotations!$AQ$4="monthly",VG76/12*L76,VG76/365*M76))</f>
        <v/>
      </c>
      <c r="VI76" s="489" t="str">
        <f>IF(A76=FALSE,"",Cotations!$AR$4)</f>
        <v/>
      </c>
      <c r="VJ76" s="300" t="str">
        <f t="shared" si="616"/>
        <v/>
      </c>
      <c r="VK76" s="300" t="str">
        <f t="shared" si="617"/>
        <v/>
      </c>
      <c r="VL76" s="294" t="str">
        <f t="shared" si="618"/>
        <v/>
      </c>
      <c r="VM76" s="494" t="str">
        <f>IF(A76=FALSE,"",Cotations!$AS$4)</f>
        <v/>
      </c>
      <c r="VN76" s="494" t="str">
        <f>IF(A76=FALSE,"",Cotations!$AT$4)</f>
        <v/>
      </c>
      <c r="VO76" s="489" t="str">
        <f>IF(A76=FALSE,"",Cotations!$AU$4)</f>
        <v/>
      </c>
      <c r="VP76" s="494" t="str">
        <f>IF(A76=FALSE,"",IF(VM76="N/A",0,IF(INDEX(LISTES!$F$105:$F$109,MATCH(VM76,LISTES!$C$105:$C$109,0))="FIX",IF(INDEX(LISTES!$E$105:$E$109,MATCH(VM76,LISTES!$C$105:$C$109,0))=12,VN76/12*L76,VN76/365*M76),VO76*VL76)))</f>
        <v/>
      </c>
      <c r="VQ76" s="294" t="str">
        <f t="shared" si="619"/>
        <v/>
      </c>
      <c r="VR76" s="494" t="str">
        <f>IF(A76=FALSE,"",VQ76*Cotations!$AV$4)</f>
        <v/>
      </c>
      <c r="VS76" s="494" t="str">
        <f>IF(A76=FALSE,"",VQ76*Cotations!$AW$4)</f>
        <v/>
      </c>
      <c r="VT76" s="465" t="str">
        <f t="shared" si="620"/>
        <v/>
      </c>
      <c r="VU76" s="919" t="str">
        <f>IF(A76=FALSE,"",((VG76*TAXE)-(VG76*TAXE*VI76))+IF(VM76="N/A",0,IF(INDEX(LISTES!$F$105:$F$109,MATCH(VM76,LISTES!$C$105:$C$109,0))="FIX",VN76,VO76*VL76)))</f>
        <v/>
      </c>
      <c r="WA76" s="492" t="str">
        <f>IF(A76=FALSE,"",Cotations!D76)</f>
        <v/>
      </c>
      <c r="WB76" s="519" t="str">
        <f>IF(A76=FALSE,"",IF(LISTES!$A$17=1,Cotations!EW76,Cotations!EX76))</f>
        <v/>
      </c>
      <c r="WC76" s="291" t="str">
        <f t="shared" si="621"/>
        <v/>
      </c>
      <c r="WD76" s="291" t="str">
        <f t="shared" si="622"/>
        <v/>
      </c>
      <c r="WE76" s="291"/>
      <c r="WF76" s="463"/>
      <c r="WG76" s="463" t="str">
        <f t="shared" si="623"/>
        <v/>
      </c>
      <c r="WH76" s="522" t="str">
        <f>IF(A76=FALSE,"",IF(Cotations!$AQ$4="monthly",WG76/12*L76,WG76/365*M76))</f>
        <v/>
      </c>
      <c r="WI76" s="489" t="str">
        <f>IF(A76=FALSE,"",Cotations!$AR$4)</f>
        <v/>
      </c>
      <c r="WJ76" s="300" t="str">
        <f t="shared" si="624"/>
        <v/>
      </c>
      <c r="WK76" s="300" t="str">
        <f t="shared" si="625"/>
        <v/>
      </c>
      <c r="WL76" s="294" t="str">
        <f t="shared" si="626"/>
        <v/>
      </c>
      <c r="WM76" s="494" t="str">
        <f>IF(A76=FALSE,"",Cotations!$AS$4)</f>
        <v/>
      </c>
      <c r="WN76" s="494" t="str">
        <f>IF(A76=FALSE,"",Cotations!$AT$4)</f>
        <v/>
      </c>
      <c r="WO76" s="489" t="str">
        <f>IF(A76=FALSE,"",Cotations!$AU$4)</f>
        <v/>
      </c>
      <c r="WP76" s="494" t="str">
        <f>IF(A76=FALSE,"",IF(WM76="N/A",0,IF(INDEX(LISTES!$F$105:$F$109,MATCH(WM76,LISTES!$C$105:$C$109,0))="FIX",IF(INDEX(LISTES!$E$105:$E$109,MATCH(WM76,LISTES!$C$105:$C$109,0))=12,WN76/12*L76,WN76/365*M76),WO76*WL76)))</f>
        <v/>
      </c>
      <c r="WQ76" s="294" t="str">
        <f t="shared" si="627"/>
        <v/>
      </c>
      <c r="WR76" s="494" t="str">
        <f>IF(A76=FALSE,"",WQ76*Cotations!$AV$4)</f>
        <v/>
      </c>
      <c r="WS76" s="494" t="str">
        <f>IF(A76=FALSE,"",WQ76*Cotations!$AW$4)</f>
        <v/>
      </c>
      <c r="WT76" s="465" t="str">
        <f t="shared" si="628"/>
        <v/>
      </c>
      <c r="WU76" s="919" t="str">
        <f>IF(A76=FALSE,"",((WG76*TAXE)-(WG76*TAXE*WI76))+IF(WM76="N/A",0,IF(INDEX(LISTES!$F$105:$F$109,MATCH(WM76,LISTES!$C$105:$C$109,0))="FIX",WN76,WO76*WL76)))</f>
        <v/>
      </c>
    </row>
    <row r="77" spans="1:619">
      <c r="A77" s="942" t="b">
        <f t="shared" si="433"/>
        <v>0</v>
      </c>
      <c r="B77" s="942" t="b">
        <f>IF(NAMES!$B$9=TRUE,TRUE,FALSE)</f>
        <v>1</v>
      </c>
      <c r="C77" s="942" t="b">
        <f t="shared" si="413"/>
        <v>0</v>
      </c>
      <c r="D77" s="942" t="b">
        <f t="shared" si="414"/>
        <v>0</v>
      </c>
      <c r="E77" s="274" t="b">
        <f>IF(Cotations!C77="","",Cotations!C77)</f>
        <v>0</v>
      </c>
      <c r="F77" s="274" t="str">
        <f>IF(Cotations!D77="","",Cotations!D77)</f>
        <v>PROP</v>
      </c>
      <c r="G77" s="274" t="str">
        <f>IF(Cotations!E77="","",Cotations!E77)</f>
        <v>2016-2017!</v>
      </c>
      <c r="H77" s="274" t="str">
        <f>IF(Cotations!F77="","",Cotations!F77)</f>
        <v>SINGLE</v>
      </c>
      <c r="I77" s="274" t="str">
        <f>IF(Cotations!G77="","",Cotations!G77)</f>
        <v/>
      </c>
      <c r="J77" s="274" t="str">
        <f>IF(Cotations!H77="","",Cotations!H77)</f>
        <v/>
      </c>
      <c r="K77" s="274" t="str">
        <f>IF(Cotations!I77="","",Cotations!I77)</f>
        <v/>
      </c>
      <c r="L77" s="274" t="str">
        <f>IF(A77=FALSE,"",IF(Cotations!N77="","",Cotations!N77))</f>
        <v/>
      </c>
      <c r="M77" s="274" t="str">
        <f>IF(Cotations!P77="","",Cotations!P77)</f>
        <v/>
      </c>
      <c r="N77" s="724" t="str">
        <f>IF(NAMES!$B$10=TRUE,Cotations!J77,Cotations!L77)</f>
        <v/>
      </c>
      <c r="O77" s="724" t="str">
        <f>IF(NAMES!$B$10=TRUE,Cotations!K77,Cotations!M77)</f>
        <v/>
      </c>
      <c r="P77" s="943" t="str">
        <f t="shared" si="415"/>
        <v/>
      </c>
      <c r="Q77" s="724" t="str">
        <f>IF(A77=FALSE,"",IF(Crewlist!Y77="","",Crewlist!Y77))</f>
        <v/>
      </c>
      <c r="R77" s="78" t="str">
        <f>IF(Cotations!U77="","",Cotations!U77)</f>
        <v/>
      </c>
      <c r="S77" s="943" t="str">
        <f t="shared" si="416"/>
        <v/>
      </c>
      <c r="T77" s="919" t="str">
        <f>IF(A77=FALSE,"",VLOOKUP($U$15:$U$120,Currency!$A$2:$D$10,4,0)*Crewlist!N77)</f>
        <v/>
      </c>
      <c r="U77" s="1355" t="str">
        <f>IF(A77=FALSE,"",IF(IT77=0,Crewlist!M77&amp;"/"&amp;EX77,Crewlist!M77&amp;"/"&amp;IT77))</f>
        <v/>
      </c>
      <c r="V77" s="919" t="str">
        <f>IF(A77=FALSE,"",VLOOKUP($U$15:$U$120,Currency!$A$2:$D$10,4,0)*Detail!Q77)</f>
        <v/>
      </c>
      <c r="W77" s="1355" t="str">
        <f>IF(A77=FALSE,"",IF(IT77=0,Detail!R77&amp;"/"&amp;EX77,Detail!R77&amp;"/"&amp;IT77))</f>
        <v/>
      </c>
      <c r="X77" s="919" t="str">
        <f>IF(A77=FALSE,"",IF(LISTES!$C$17="Crewlist",Calcul!T77,Calcul!V77))</f>
        <v/>
      </c>
      <c r="Y77" s="758" t="str">
        <f t="shared" si="417"/>
        <v/>
      </c>
      <c r="Z77" s="758" t="str">
        <f>IF(A77=FALSE,"",IF(X77=0,0,IF((Cotations!BC77*12*X77)&lt;50000,50000,(12*X77))))</f>
        <v/>
      </c>
      <c r="AA77" s="758" t="str">
        <f t="shared" si="418"/>
        <v/>
      </c>
      <c r="AB77" s="758" t="str">
        <f>IF(A77=FALSE,"",IF(Crewlist!O77=0,"",Crewlist!O77))</f>
        <v/>
      </c>
      <c r="AC77" s="758" t="str">
        <f>IF(I77="","",VLOOKUP($AB$15:$AB$120,Currency!$A$15:$B$34,2,0))</f>
        <v/>
      </c>
      <c r="AD77" s="758" t="str">
        <f t="shared" si="419"/>
        <v/>
      </c>
      <c r="AE77" s="758" t="str">
        <f t="shared" si="420"/>
        <v/>
      </c>
      <c r="AF77" s="758" t="str">
        <f t="shared" si="421"/>
        <v/>
      </c>
      <c r="AG77" s="758" t="str">
        <f t="shared" si="422"/>
        <v/>
      </c>
      <c r="AH77" s="1355" t="str">
        <f t="shared" si="434"/>
        <v/>
      </c>
      <c r="AI77" s="919" t="str">
        <f t="shared" si="423"/>
        <v/>
      </c>
      <c r="AJ77" s="1382" t="str">
        <f t="shared" si="424"/>
        <v/>
      </c>
      <c r="AK77" s="1382" t="str">
        <f t="shared" si="425"/>
        <v/>
      </c>
      <c r="AL77" s="238" t="str">
        <f t="shared" si="435"/>
        <v/>
      </c>
      <c r="AM77" s="238" t="str">
        <f t="shared" si="436"/>
        <v/>
      </c>
      <c r="AN77" s="1374" t="str">
        <f t="shared" si="437"/>
        <v/>
      </c>
      <c r="AO77" s="238" t="str">
        <f t="shared" si="438"/>
        <v/>
      </c>
      <c r="AP77" s="342" t="str">
        <f>IF(A77=FALSE,"",INDEX(Rates!$Z$5:$Z$367,MATCH(EB77,colchoice,0)))</f>
        <v/>
      </c>
      <c r="AQ77" s="238" t="str">
        <f t="shared" si="439"/>
        <v/>
      </c>
      <c r="AR77" s="238" t="str">
        <f t="shared" si="440"/>
        <v/>
      </c>
      <c r="AS77" s="238" t="str">
        <f t="shared" si="441"/>
        <v/>
      </c>
      <c r="AT77" s="238" t="str">
        <f t="shared" si="442"/>
        <v/>
      </c>
      <c r="AU77" s="238" t="str">
        <f t="shared" si="443"/>
        <v/>
      </c>
      <c r="AV77" s="238" t="str">
        <f t="shared" si="429"/>
        <v/>
      </c>
      <c r="AW77" s="238" t="str">
        <f t="shared" si="444"/>
        <v/>
      </c>
      <c r="AX77" s="238" t="str">
        <f t="shared" si="445"/>
        <v/>
      </c>
      <c r="AY77" s="238" t="str">
        <f t="shared" si="446"/>
        <v/>
      </c>
      <c r="AZ77" s="238" t="str">
        <f t="shared" si="447"/>
        <v/>
      </c>
      <c r="BA77" s="238" t="str">
        <f t="shared" si="448"/>
        <v/>
      </c>
      <c r="BB77" s="552" t="str">
        <f t="shared" si="449"/>
        <v/>
      </c>
      <c r="BC77" s="347" t="str">
        <f t="shared" si="450"/>
        <v/>
      </c>
      <c r="BD77" s="239" t="str">
        <f t="shared" si="430"/>
        <v/>
      </c>
      <c r="BE77" s="239" t="str">
        <f>IF(A77=FALSE,"",IF(ALLTHESAME=TRUE,IF(DF77&lt;&gt;$BC$7,0,INDEX(DD77:DZ77,1,MATCH(Structure!$D$12,$DD$14:$DZ$14,0))),IF(EC77&lt;&gt;$BC$7,0,INDEX(EA77:EZ77,1,MATCH(Structure!$D$12,$EA$14:$EZ$14,0)))))</f>
        <v/>
      </c>
      <c r="BF77" s="239" t="str">
        <f>IF(A77=FALSE,"",IF(ALLTHESAME=TRUE,IF(FC77&lt;&gt;$BC$7,0,INDEX(FA77:FZ77,1,MATCH(Structure!$D$12,$FA$14:$FZ$14,0))),IF(GC77&lt;&gt;$BC$7,0,INDEX(GA77:GZ77,1,MATCH(Structure!$D$12,$GA$14:$GZ$14,0)))))</f>
        <v/>
      </c>
      <c r="BG77" s="239" t="str">
        <f>IF(A77=FALSE,"",IF(ALLTHESAME=TRUE,IF(VC77&lt;&gt;$BC$7,0,INDEX(VA77:VZ77,1,MATCH(Structure!$D$12,$VA$14:$VZ$14,0))),IF(VC77&lt;&gt;$BC$7,0,INDEX(VA77:VZ77,1,MATCH(Structure!$D$12,$VA$14:$VZ$14,0)))))</f>
        <v/>
      </c>
      <c r="BH77" s="239" t="str">
        <f>IF(A77=FALSE,"",IF(ALLTHESAME=TRUE,IF(WC77&lt;&gt;$BC$7,0,INDEX(WA77:WY77,1,MATCH(Structure!$D$12,$WA$14:$WZ$14,0))),IF(WC77&lt;&gt;$BC$7,0,INDEX(WA77:WZ77,1,MATCH(Structure!$D$12,$WA$14:$WZ$14,0)))))</f>
        <v/>
      </c>
      <c r="BI77" s="763" t="str">
        <f>IF(A77=FALSE,"",IF(ALLTHESAME=TRUE,IF(HC77&lt;&gt;$BC$7,0,INDEX(HA77:HZ77,1,MATCH(Structure!$D$12,$HA$14:$HZ$14,0)))+TK77,IF(IC77&lt;&gt;$BC$7,0,INDEX(IA77:IZ77,1,MATCH(Structure!$D$12,$IA$14:$IZ$14,0)))+TK77))</f>
        <v/>
      </c>
      <c r="BJ77" s="239" t="str">
        <f>IF(A77=FALSE,"",IF(ALLTHESAME=TRUE,IF(JC77&lt;&gt;$BC$7,0,INDEX(JA77:JZ77,1,MATCH(Structure!$D$12,$JA$14:$JZ$14,0))),IF(KC77&lt;&gt;$BC$7,0,INDEX(KA77:KZ77,1,MATCH(Structure!$D$12,$KA$14:$KZ$14,0)))))</f>
        <v/>
      </c>
      <c r="BK77" s="763" t="str">
        <f>IF(A77=FALSE,"",IF(ALLTHESAME=TRUE,IF(LC77&lt;&gt;$BC$7,0,INDEX(LA77:LZ77,1,MATCH(Structure!$D$12,$LA$14:$LZ$14,0)))+UK77,IF(MC77&lt;&gt;$BC$7,0,INDEX(MA77:MZ77,1,MATCH(Structure!$D$12,$MA$14:$MZ$14,0)))+UK77))</f>
        <v/>
      </c>
      <c r="BL77" s="239" t="str">
        <f>IF(A77=FALSE,"",IF(ALLTHESAME=TRUE,IF(NC77&lt;&gt;$BC$7,0,INDEX(NA77:NZ77,1,MATCH(Structure!$D$12,$NA$14:$NZ$14,0))),IF(OC77&lt;&gt;$BC$7,0,INDEX(OA77:OZ77,1,MATCH(Structure!$D$12,$OA$14:$OZ$14,0)))))</f>
        <v/>
      </c>
      <c r="BM77" s="239" t="str">
        <f>IF(A77=FALSE,"",IF(ALLTHESAME=TRUE,IF(PC77&lt;&gt;$BC$7,0,INDEX(PA77:PZ77,1,MATCH(Structure!$D$12,$PA$14:$PZ$14,0))),IF(QC77&lt;&gt;$BC$7,0,INDEX(QA77:QZ77,1,MATCH(Structure!$D$12,$QA$14:$QZ$14,0)))))</f>
        <v/>
      </c>
      <c r="BN77" s="341" t="str">
        <f>IF(A77=FALSE,"",IF(ALLTHESAME=TRUE,IF(RC77&lt;&gt;$BC$7,0,INDEX(RA77:RZ77,1,MATCH(Structure!$D$12,$RA$14:$RZ$14,0))),IF(SC77&lt;&gt;$BC$7,0,INDEX(SA77:TA77,1,MATCH(Structure!$D$12,$SA$14:$TA$14,0)))))</f>
        <v/>
      </c>
      <c r="BO77" s="507" t="str">
        <f t="shared" si="451"/>
        <v/>
      </c>
      <c r="BP77" s="239" t="str">
        <f t="shared" si="452"/>
        <v/>
      </c>
      <c r="BQ77" s="239" t="str">
        <f>IF(A77=FALSE,"",IF(ALLTHESAME=TRUE,IF(DF77&lt;&gt;$BO$7,0,INDEX(DD77:DZ77,1,MATCH(Structure!$D$12,$DD$14:$DZ$14,0))),IF(EC77&lt;&gt;$BO$7,0,INDEX(EA77:EZ77,1,MATCH(Structure!$D$12,$EA$14:$EZ$14,0)))))</f>
        <v/>
      </c>
      <c r="BR77" s="239" t="str">
        <f>IF(A77=FALSE,"",IF(ALLTHESAME=TRUE,IF(FC77&lt;&gt;$BO$7,0,INDEX(FA77:FZ77,1,MATCH(Structure!$D$12,$FA$14:$FZ$14,0))),IF(GC77&lt;&gt;$BO$7,0,INDEX(GA77:GZ77,1,MATCH(Structure!$D$12,$GA$14:$GZ$14,0)))))</f>
        <v/>
      </c>
      <c r="BS77" s="239" t="str">
        <f>IF(A77=FALSE,"",IF(ALLTHESAME=TRUE,IF(HC77&lt;&gt;$BO$7,0,INDEX(HA77:HZ77,1,MATCH(Structure!$D$12,$HA$14:$HZ$14,0))),IF(IC77&lt;&gt;$BO$7,0,INDEX(IA77:IZ77,1,MATCH(Structure!$D$12,$IA$14:$IZ$14,0)))))</f>
        <v/>
      </c>
      <c r="BT77" s="239" t="str">
        <f>IF(A77=FALSE,"",IF(ALLTHESAME=TRUE,IF(JC77&lt;&gt;$BO$7,0,INDEX(JA77:JZ77,1,MATCH(Structure!$D$12,$JA$14:$JZ$14,0))),IF(KC77&lt;&gt;$BO$7,0,INDEX(KA77:KZ77,1,MATCH(Structure!$D$12,$KA$14:$KZ$14,0)))))</f>
        <v/>
      </c>
      <c r="BU77" s="239" t="str">
        <f>IF(A77=FALSE,"",IF(ALLTHESAME=TRUE,IF(LC77&lt;&gt;$BO$7,0,INDEX(LA77:LZ77,1,MATCH(Structure!$D$12,$LA$14:$LZ$14,0))),IF(MC77&lt;&gt;$BO$7,0,INDEX(MA77:MZ77,1,MATCH(Structure!$D$12,$MA$14:$MZ$14,0)))))</f>
        <v/>
      </c>
      <c r="BV77" s="239" t="str">
        <f>IF(A77=FALSE,"",IF(ALLTHESAME=TRUE,IF(NC77&lt;&gt;$BO$7,0,INDEX(NA77:NZ77,1,MATCH(Structure!$D$12,$NA$14:$NZ$14,0))),IF(OC77&lt;&gt;$BO$7,0,INDEX(OA77:OZ77,1,MATCH(Structure!$D$12,$OA$14:$OZ$14,0)))))</f>
        <v/>
      </c>
      <c r="BW77" s="239" t="str">
        <f>IF(A77=FALSE,"",IF(ALLTHESAME=TRUE,IF(PC77&lt;&gt;$BO$7,0,INDEX(PA77:PZ77,1,MATCH(Structure!$D$12,$PA$14:$PZ$14,0))),IF(QC77&lt;&gt;$BO$7,0,INDEX(QA77:QZ77,1,MATCH(Structure!$D$12,$QA$14:$QZ$14,0)))))</f>
        <v/>
      </c>
      <c r="BX77" s="341" t="str">
        <f>IF(A77=FALSE,"",IF(ALLTHESAME=TRUE,IF(RC77&lt;&gt;$BO$7,0,INDEX(RA77:RZ77,1,MATCH(Structure!$D$12,$RA$14:$RZ$14,0))),IF(SC77&lt;&gt;$BO$7,0,INDEX(SA77:TA77,1,MATCH(Structure!$D$12,$SA$14:$TA$14,0)))))</f>
        <v/>
      </c>
      <c r="BY77" s="347" t="str">
        <f t="shared" si="453"/>
        <v/>
      </c>
      <c r="BZ77" s="507" t="str">
        <f t="shared" si="454"/>
        <v/>
      </c>
      <c r="CA77" s="239" t="str">
        <f t="shared" si="455"/>
        <v/>
      </c>
      <c r="CB77" s="239" t="str">
        <f>IF(A77=FALSE,"",IF(ALLTHESAME=TRUE,INDEX(DD77:DZ77,MATCH(DF77,DF77:DF182,0),MATCH(Structure!$D$17,$DD$14:$DZ$14,0)),INDEX(EA77:EZ77,MATCH(EC77,EC77:EC182,0),MATCH(Structure!$D$17,$EA$14:$EZ$14,0))))</f>
        <v/>
      </c>
      <c r="CC77" s="239" t="str">
        <f>IF(A77=FALSE,"",IF(ALLTHESAME=TRUE,INDEX(FA77:FZ77,MATCH(FC77,FC77:FC182,0),MATCH(Structure!$D$17,$FA$14:$FZ$14,0)),INDEX(GA77:GZ77,MATCH(GC77,GC77:GC182,0),MATCH(Structure!$D$17,$GA$14:$GZ$14,0))))</f>
        <v/>
      </c>
      <c r="CD77" s="239" t="str">
        <f>IF(A77=FALSE,"",IF(ALLTHESAME=TRUE,INDEX(HA77:HZ77,MATCH(HC77,HC77:HC182,0),MATCH(Structure!$D$17,$HA$14:$HZ$14,0)),INDEX(IA77:IZ77,MATCH(IC77,IC77:IC182,0),MATCH(Structure!$D$17,$IA$14:$IZ$14,0))))</f>
        <v/>
      </c>
      <c r="CE77" s="239" t="str">
        <f>IF(A77=FALSE,"",IF(ALLTHESAME=TRUE,INDEX(JA77:JZ77,MATCH(JC77,JC77:JC182,0),MATCH(Structure!$D$17,$JA$14:$JZ$14,0)),INDEX(KA77:KZ77,MATCH(KC77,KC77:KC182,0),MATCH(Structure!$D$17,$KA$14:$KZ$14,0))))</f>
        <v/>
      </c>
      <c r="CF77" s="239" t="str">
        <f>IF(A77=FALSE,"",IF(ALLTHESAME=TRUE,INDEX(LA77:LZ77,MATCH(LC77,LC77:LC182,0),MATCH(Structure!$D$17,$LA$14:$LZ$14,0)),INDEX(MA77:MZ77,MATCH(MC77,MC77:MC182,0),MATCH(Structure!$D$17,$MA$14:$MZ$14,0))))</f>
        <v/>
      </c>
      <c r="CG77" s="239" t="str">
        <f>IF(A77=FALSE,"",IF(ALLTHESAME=TRUE,INDEX(NA77:NZ77,MATCH(NC77,NC77:NC182,0),MATCH(Structure!$D$17,$NA$14:$NZ$14,0)),INDEX(OA77:OZ77,MATCH(OC77,OC77:OC182,0),MATCH(Structure!$D$17,$OA$14:$OZ$14,0))))</f>
        <v/>
      </c>
      <c r="CH77" s="239" t="str">
        <f>IF(A77=FALSE,"",IF(ALLTHESAME=TRUE,INDEX(PA77:PZ77,MATCH(PC77,PC77:PC182,0),MATCH(Structure!$D$17,$PA$14:$PZ$14,0)),INDEX(QA77:QZ77,MATCH(QC77,QC77:QC182,0),MATCH(Structure!$D$17,$QA$14:$QZ$14,0))))</f>
        <v/>
      </c>
      <c r="CI77" s="341" t="str">
        <f>IF(A77=FALSE,"",IF(ALLTHESAME=TRUE,INDEX(RA77:RZ77,MATCH(RC77,RC77:RC182,0),MATCH(Structure!$D$17,$RA$14:$RZ$14,0)),INDEX(SA77:TC77,MATCH(SC77,SC77:SC182,0),MATCH(Structure!$D$17,$SA$14:$TC$14,0))))</f>
        <v/>
      </c>
      <c r="CJ77" s="347"/>
      <c r="CK77" s="239" t="str">
        <f t="shared" si="456"/>
        <v/>
      </c>
      <c r="CL77" s="239" t="str">
        <f>IF(A77=FALSE,"",IF(ALLTHESAME=TRUE,INDEX(DD77:DZ77,MATCH(DF77,DF77:DF182,0),MATCH(Structure!$D$22,$DD$14:$DZ$14,0)),INDEX(EA77:EZ77,MATCH(EC77,EC77:EC182,0),MATCH(Structure!$D$22,$EA$14:$EZ$14,0))))</f>
        <v/>
      </c>
      <c r="CM77" s="239" t="str">
        <f>IF(A77=FALSE,"",IF(ALLTHESAME=TRUE,INDEX(FA77:FZ77,MATCH(FC77,FC77:FC182,0),MATCH(Structure!$D$22,$FA$14:$FZ$14,0)),INDEX(GA77:GZ77,MATCH(GC77,GC77:GC182,0),MATCH(Structure!$D$22,$GA$14:$GZ$14,0))))</f>
        <v/>
      </c>
      <c r="CN77" s="239" t="str">
        <f>IF(A77=FALSE,"",IF(ALLTHESAME=TRUE,INDEX(HA77:HZ77,MATCH(HC77,HC77:HC182,0),MATCH(Structure!$D$22,$HA$14:$HZ$14,0)),INDEX(IA77:IZ77,MATCH(IC77,IC77:IC182,0),MATCH(Structure!$D$22,$IA$14:$IZ$14,0))))</f>
        <v/>
      </c>
      <c r="CO77" s="239" t="str">
        <f>IF(A77=FALSE,"",IF(ALLTHESAME=TRUE,INDEX(JA77:JZ77,MATCH(JC77,JC77:JC182,0),MATCH(Structure!$D$22,$JA$14:$JZ$14,0)),INDEX(KA77:KZ77,MATCH(KC77,KC77:KC182,0),MATCH(Structure!$D$22,$KA$14:$KZ$14,0))))</f>
        <v/>
      </c>
      <c r="CP77" s="239" t="str">
        <f>IF(A77=FALSE,"",IF(ALLTHESAME=TRUE,INDEX(LA77:LZ77,MATCH(LC77,LC77:LC182,0),MATCH(Structure!$D$22,$LA$14:$LZ$14,0)),INDEX(MA77:MZ77,MATCH(MC77,MC77:MC182,0),MATCH(Structure!$D$22,$MA$14:$MZ$14,0))))</f>
        <v/>
      </c>
      <c r="CQ77" s="239" t="str">
        <f>IF(A77=FALSE,"",IF(ALLTHESAME=TRUE,INDEX(NA77:NZ77,MATCH(NC77,NC77:NC182,0),MATCH(Structure!$D$22,$NA$14:$NZ$14,0)),INDEX(OA77:OZ77,MATCH(OC77,OC77:OC182,0),MATCH(Structure!$D$22,$OA$14:$OZ$14,0))))</f>
        <v/>
      </c>
      <c r="CR77" s="239" t="str">
        <f>IF(A77=FALSE,"",IF(ALLTHESAME=TRUE,INDEX(PA77:PZ77,MATCH(PC77,PC77:PC182,0),MATCH(Structure!$D$22,$PA$14:$PZ$14,0)),INDEX(QA77:QZ77,MATCH(QC77,QC77:QC182,0),MATCH(Structure!$D$22,$QA$14:$QZ$14,0))))</f>
        <v/>
      </c>
      <c r="CS77" s="341" t="str">
        <f>IF(A77=FALSE,"",IF(ALLTHESAME=TRUE,INDEX(RA77:RZ77,MATCH(RC77,RC77:RC182,0),MATCH(Structure!$D$22,$RA$14:$RZ$14,0)),INDEX(SA77:TC77,MATCH(SC77,SC77:SC182,0),MATCH(Structure!$D$22,$SA$14:$TC$14,0))))</f>
        <v/>
      </c>
      <c r="CT77" s="347"/>
      <c r="CU77" s="239" t="str">
        <f t="shared" si="457"/>
        <v/>
      </c>
      <c r="CV77" s="239" t="str">
        <f>IF(A77=FALSE,"",IF(ALLTHESAME=TRUE,INDEX(DD77:DZ77,MATCH(DF77,DF77:DF182,0),MATCH(Structure!$D$8,$DD$14:$DZ$14,0)),INDEX(EA77:EZ77,MATCH(EC77,EC77:EC182,0),MATCH(Structure!$D$8,$EA$14:$EZ$14,0))))</f>
        <v/>
      </c>
      <c r="CW77" s="239" t="str">
        <f>IF(A77=FALSE,"",IF(ALLTHESAME=TRUE,INDEX(FA77:FZ77,MATCH(FC77,FC77:FC182,0),MATCH(Structure!$D$8,$FA$14:$FZ$14,0)),INDEX(GA77:GZ77,MATCH(GC77,GC77:GC182,0),MATCH(Structure!$D$8,$GA$14:$GZ$14,0))))</f>
        <v/>
      </c>
      <c r="CX77" s="239" t="str">
        <f>IF(A77=FALSE,"",IF(ALLTHESAME=TRUE,INDEX(HA77:HZ77,MATCH(HC77,HC77:HC182,0),MATCH(Structure!$D$8,$HA$14:$HZ$14,0)),INDEX(IA77:IZ77,MATCH(IC77,IC77:IC182,0),MATCH(Structure!$D$8,$IA$14:$IZ$14,0))))</f>
        <v/>
      </c>
      <c r="CY77" s="239" t="str">
        <f>IF(A77=FALSE,"",IF(ALLTHESAME=TRUE,INDEX(JA77:JZ77,MATCH(JC77,JC77:JC182,0),MATCH(Structure!$D$8,$JA$14:$JZ$14,0)),INDEX(KA77:KZ77,MATCH(KC77,KC77:KC182,0),MATCH(Structure!$D$8,$KA$14:$KZ$14,0))))</f>
        <v/>
      </c>
      <c r="CZ77" s="239" t="str">
        <f>IF(A77=FALSE,"",IF(ALLTHESAME=TRUE,INDEX(LA77:LZ77,MATCH(LC77,LC77:LC182,0),MATCH(Structure!$D$8,$LA$14:$LZ$14,0)),INDEX(MA77:MZ77,MATCH(MC77,MC77:MC182,0),MATCH(Structure!$D$8,$MA$14:$MZ$14,0))))</f>
        <v/>
      </c>
      <c r="DA77" s="239" t="str">
        <f>IF(A77=FALSE,"",IF(ALLTHESAME=TRUE,INDEX(NA77:NZ77,MATCH(NC77,NC77:NC182,0),MATCH(Structure!$D$8,$NA$14:$NZ$14,0)),INDEX(OA77:OZ77,MATCH(OC77,OC77:OC182,0),MATCH(Structure!$D$8,$OA$14:$OZ$14,0))))</f>
        <v/>
      </c>
      <c r="DB77" s="239" t="str">
        <f>IF(A77=FALSE,"",IF(ALLTHESAME=TRUE,INDEX(PA77:PZ77,MATCH(PC77,PC77:PC182,0),MATCH(Structure!$D$8,$PA$14:$PZ$14,0)),INDEX(QA77:QZ77,MATCH(QC77,QC77:QC182,0),MATCH(Structure!$D$8,$QA$14:$QZ$14,0))))</f>
        <v/>
      </c>
      <c r="DC77" s="341" t="str">
        <f>IF(A77=FALSE,"",IF(ALLTHESAME=TRUE,INDEX(RA77:RZ77,MATCH(RC77,RC77:RC182,0),MATCH(Structure!$D$8,$RA$14:$RZ$14,0)),INDEX(SA77:TC77,MATCH(SC77,SC77:SC182,0),MATCH(Structure!$D$8,$SA$14:$TC$14,0))))</f>
        <v/>
      </c>
      <c r="DD77" s="492" t="str">
        <f>IF(A77=FALSE,"",Cotations!D77)</f>
        <v/>
      </c>
      <c r="DE77" s="492" t="str">
        <f>IF(A77=FALSE,"",IF(LISTES!$A$17=1,Cotations!AF77,Cotations!$AG$4))</f>
        <v/>
      </c>
      <c r="DF77" s="291" t="str">
        <f t="shared" si="458"/>
        <v/>
      </c>
      <c r="DG77" s="291" t="str">
        <f t="shared" si="459"/>
        <v/>
      </c>
      <c r="DH77" s="291"/>
      <c r="DI77" s="463"/>
      <c r="DJ77" s="463" t="str">
        <f t="shared" si="460"/>
        <v/>
      </c>
      <c r="DK77" s="522" t="str">
        <f>IF(A77=FALSE,"",IF(Cotations!$AH$4="monthly",DJ77/12*L77,DJ77/365*M77))</f>
        <v/>
      </c>
      <c r="DL77" s="489" t="str">
        <f>IF(A77=FALSE,"",Cotations!$AI$4)</f>
        <v/>
      </c>
      <c r="DM77" s="300" t="str">
        <f t="shared" si="461"/>
        <v/>
      </c>
      <c r="DN77" s="300" t="str">
        <f t="shared" si="462"/>
        <v/>
      </c>
      <c r="DO77" s="294" t="str">
        <f t="shared" si="463"/>
        <v/>
      </c>
      <c r="DP77" s="494" t="str">
        <f>IF(A77=FALSE,"",Cotations!$AJ$4)</f>
        <v/>
      </c>
      <c r="DQ77" s="494" t="str">
        <f>IF(A77=FALSE,"",Cotations!$AK$4)</f>
        <v/>
      </c>
      <c r="DR77" s="489" t="str">
        <f>IF(A77=FALSE,"",Cotations!$AL$4)</f>
        <v/>
      </c>
      <c r="DS77" s="494" t="str">
        <f>IF(A77=FALSE,"",IF(DP77="N/A",0,IF(INDEX(LISTES!$F$105:$F$109,MATCH(DP77,LISTES!$C$105:$C$109,0))="FIX",IF(INDEX(LISTES!$E$105:$E$109,MATCH(DP77,LISTES!$C$105:$C$109,0))=12,DQ77/12*L77,DQ77/365*M77),DR77*DO77)))</f>
        <v/>
      </c>
      <c r="DT77" s="294" t="str">
        <f t="shared" si="464"/>
        <v/>
      </c>
      <c r="DU77" s="294" t="str">
        <f>IF(A77=FALSE,"",DT77*Cotations!$AM$4)</f>
        <v/>
      </c>
      <c r="DV77" s="294" t="str">
        <f>IF(A77=FALSE,"",DT77*Cotations!$AN$4)</f>
        <v/>
      </c>
      <c r="DW77" s="465" t="str">
        <f t="shared" si="465"/>
        <v/>
      </c>
      <c r="DX77" s="919" t="str">
        <f>IF(A77=FALSE,"",((DJ77*TAXE)-(DJ77*TAXE*DL77))+IF(DP77="N/A",0,IF(INDEX(LISTES!$F$105:$F$109,MATCH(DP77,LISTES!$C$105:$C$109,0))="FIX",DQ77,DR77*DO77)))</f>
        <v/>
      </c>
      <c r="DY77" s="466"/>
      <c r="DZ77" s="466"/>
      <c r="EA77" s="492" t="str">
        <f>IF(A77=FALSE,"",Cotations!D77)</f>
        <v/>
      </c>
      <c r="EB77" s="494" t="str">
        <f>IF(A77=FALSE,"",IF(LISTES!$A$17=1,Cotations!AF77,Cotations!AG77))</f>
        <v/>
      </c>
      <c r="EC77" s="284" t="str">
        <f t="shared" si="466"/>
        <v/>
      </c>
      <c r="ED77" s="284" t="str">
        <f t="shared" si="467"/>
        <v/>
      </c>
      <c r="EE77" s="284"/>
      <c r="EF77" s="284"/>
      <c r="EG77" s="284" t="str">
        <f t="shared" si="468"/>
        <v/>
      </c>
      <c r="EH77" s="1365" t="str">
        <f t="shared" si="469"/>
        <v/>
      </c>
      <c r="EI77" s="1365" t="str">
        <f t="shared" si="470"/>
        <v/>
      </c>
      <c r="EJ77" s="515" t="str">
        <f>IF(A77=FALSE,"",IF(Cotations!AH77="monthly",EG77/12*L77,EG77/365*M77))</f>
        <v/>
      </c>
      <c r="EK77" s="1364" t="str">
        <f>IF(A77=FALSE,"",IF(Cotations!AH77="monthly",EI77/12*L77,EI77/365*M77))</f>
        <v/>
      </c>
      <c r="EL77" s="493" t="str">
        <f>IF(A77=FALSE,"",IF(Cotations!AI77="","",Cotations!AI77))</f>
        <v/>
      </c>
      <c r="EM77" s="284" t="str">
        <f t="shared" si="471"/>
        <v/>
      </c>
      <c r="EN77" s="284" t="str">
        <f t="shared" si="472"/>
        <v/>
      </c>
      <c r="EO77" s="1365" t="str">
        <f t="shared" si="432"/>
        <v/>
      </c>
      <c r="EP77" s="284" t="str">
        <f t="shared" si="473"/>
        <v/>
      </c>
      <c r="EQ77" s="515" t="str">
        <f>IF(A77=FALSE,"",Cotations!AJ77)</f>
        <v/>
      </c>
      <c r="ER77" s="515" t="str">
        <f>IF(A77=FALSE,"",IF(Cotations!AK77="","",Cotations!AK77))</f>
        <v/>
      </c>
      <c r="ES77" s="493" t="str">
        <f>IF(A77=FALSE,"",Cotations!AL77)</f>
        <v/>
      </c>
      <c r="ET77" s="515" t="str">
        <f>IF(A77=FALSE,"",IF(EQ77="N/A",0,IF(INDEX(LISTES!$F$105:$F$109,MATCH(EQ77,LISTES!$C$105:$C$109,0))="FIX",IF(INDEX(LISTES!$E$105:$E$109,MATCH(EQ77,LISTES!$C$105:$C$109,0))=12,ER77/12*L77,ER77/365*M77),ES77*EP77)))</f>
        <v/>
      </c>
      <c r="EU77" s="294" t="str">
        <f t="shared" si="474"/>
        <v/>
      </c>
      <c r="EV77" s="494" t="str">
        <f>IF(A77=FALSE,"",EU77*Cotations!AM77)</f>
        <v/>
      </c>
      <c r="EW77" s="494" t="str">
        <f>IF(A77=FALSE,"",EU77*Cotations!AN77)</f>
        <v/>
      </c>
      <c r="EX77" s="334" t="str">
        <f t="shared" si="475"/>
        <v/>
      </c>
      <c r="EY77" s="919" t="str">
        <f>IF(A77=FALSE,"",((EG77*TAXE)-(EG77*TAXE*EL77)+EH77)+IF(EQ77="N/A",0,IF(INDEX(LISTES!$F$105:$F$109,MATCH(EQ77,LISTES!$C$105:$C$109,0))="FIX",ER77,ES77*EP77)))</f>
        <v/>
      </c>
      <c r="FA77" s="492" t="str">
        <f>IF(A77=FALSE,"",Cotations!D77)</f>
        <v/>
      </c>
      <c r="FB77" s="519" t="str">
        <f>IF(A77=FALSE,"",IF(LISTES!$A$17=1,Cotations!AO77,Cotations!$AP$4))</f>
        <v/>
      </c>
      <c r="FC77" s="291" t="str">
        <f t="shared" si="476"/>
        <v/>
      </c>
      <c r="FD77" s="291" t="str">
        <f t="shared" si="477"/>
        <v/>
      </c>
      <c r="FE77" s="291"/>
      <c r="FF77" s="463"/>
      <c r="FG77" s="463" t="str">
        <f t="shared" si="478"/>
        <v/>
      </c>
      <c r="FH77" s="522" t="str">
        <f>IF(A77=FALSE,"",IF(Cotations!$AQ$4="monthly",FG77/12*L77,FG77/365*M77))</f>
        <v/>
      </c>
      <c r="FI77" s="453" t="str">
        <f>IF(A77=FALSE,"",Cotations!$AR$4)</f>
        <v/>
      </c>
      <c r="FJ77" s="300" t="str">
        <f t="shared" si="479"/>
        <v/>
      </c>
      <c r="FK77" s="300" t="str">
        <f t="shared" si="480"/>
        <v/>
      </c>
      <c r="FL77" s="294" t="str">
        <f t="shared" si="481"/>
        <v/>
      </c>
      <c r="FM77" s="494" t="str">
        <f>IF(A77=FALSE,"",Cotations!$AS$4)</f>
        <v/>
      </c>
      <c r="FN77" s="494" t="str">
        <f>IF(A77=FALSE,"",Cotations!$AT$4)</f>
        <v/>
      </c>
      <c r="FO77" s="489" t="str">
        <f>IF(A77=FALSE,"",Cotations!$AU$4)</f>
        <v/>
      </c>
      <c r="FP77" s="494" t="str">
        <f>IF(A77=FALSE,"",IF(FM77="N/A",0,IF(INDEX(LISTES!$F$105:$F$109,MATCH(FM77,LISTES!$C$105:$C$109,0))="FIX",IF(INDEX(LISTES!$E$105:$E$109,MATCH(FM77,LISTES!$C$105:$C$109,0))=12,FN77/12*L77,FN77/365*M77),FO77*FL77)))</f>
        <v/>
      </c>
      <c r="FQ77" s="294" t="str">
        <f t="shared" si="482"/>
        <v/>
      </c>
      <c r="FR77" s="494" t="str">
        <f>IF(A77=FALSE,"",FQ77*Cotations!$AV$4)</f>
        <v/>
      </c>
      <c r="FS77" s="494" t="str">
        <f>IF(A77=FALSE,"",FQ77*Cotations!$AW$4)</f>
        <v/>
      </c>
      <c r="FT77" s="465" t="str">
        <f t="shared" si="483"/>
        <v/>
      </c>
      <c r="FU77" s="919" t="str">
        <f>IF(A77=FALSE,"",((FG77*TAXE)-(FG77*TAXE*FI77))+IF(FM77="N/A",0,IF(INDEX(LISTES!$F$105:$F$109,MATCH(FM77,LISTES!$C$105:$C$109,0))="FIX",FN77,FO77*FL77)))</f>
        <v/>
      </c>
      <c r="FV77" s="478"/>
      <c r="FW77" s="478"/>
      <c r="FX77" s="478"/>
      <c r="FY77" s="478"/>
      <c r="FZ77" s="478"/>
      <c r="GA77" s="492" t="str">
        <f>IF(A77=FALSE,"",Cotations!D77)</f>
        <v/>
      </c>
      <c r="GB77" s="494" t="str">
        <f>IF(A77=FALSE,"",IF(LISTES!$A$17=1,Cotations!AO77,Cotations!AP77))</f>
        <v/>
      </c>
      <c r="GC77" s="284" t="str">
        <f t="shared" si="484"/>
        <v/>
      </c>
      <c r="GD77" s="515" t="str">
        <f>IF(A77=FALSE,"",IF(Detail!AM77="","",Detail!AM77))</f>
        <v/>
      </c>
      <c r="GE77" s="284"/>
      <c r="GF77" s="284"/>
      <c r="GG77" s="284" t="str">
        <f t="shared" si="485"/>
        <v/>
      </c>
      <c r="GH77" s="515" t="str">
        <f>IF(A77=FALSE,"",IF(Cotations!AQ77="monthly",GG77/12*L77,GG77/365*M77))</f>
        <v/>
      </c>
      <c r="GI77" s="493" t="str">
        <f>IF(A77=FALSE,"",IF(Cotations!AR77="","",Cotations!AR77))</f>
        <v/>
      </c>
      <c r="GJ77" s="284" t="str">
        <f t="shared" si="486"/>
        <v/>
      </c>
      <c r="GK77" s="284" t="str">
        <f t="shared" si="487"/>
        <v/>
      </c>
      <c r="GL77" s="284" t="str">
        <f t="shared" si="488"/>
        <v/>
      </c>
      <c r="GM77" s="515" t="str">
        <f>IF(A77=FALSE,"",Cotations!AS77)</f>
        <v/>
      </c>
      <c r="GN77" s="515" t="str">
        <f>IF(A77=FALSE,"",Cotations!AT77)</f>
        <v/>
      </c>
      <c r="GO77" s="493" t="str">
        <f>IF(A77=FALSE,"",Cotations!AU77)</f>
        <v/>
      </c>
      <c r="GP77" s="515" t="str">
        <f>IF(A77=FALSE,"",IF(GM77="N/A",0,IF(INDEX(LISTES!$F$105:$F$109,MATCH(GM77,LISTES!$C$105:$C$109,0))="FIX",IF(INDEX(LISTES!$E$105:$E$109,MATCH(GM77,LISTES!$C$105:$C$109,0))=12,GN77/12*L77,GN77/365*M77),GO77*GL77)))</f>
        <v/>
      </c>
      <c r="GQ77" s="294" t="str">
        <f t="shared" si="489"/>
        <v/>
      </c>
      <c r="GR77" s="494" t="str">
        <f>IF(A77=FALSE,"",GQ77*Cotations!AV77)</f>
        <v/>
      </c>
      <c r="GS77" s="494" t="str">
        <f>IF(A77=FALSE,"",GQ77*Cotations!AW77)</f>
        <v/>
      </c>
      <c r="GT77" s="334" t="str">
        <f t="shared" si="490"/>
        <v/>
      </c>
      <c r="GU77" s="919" t="str">
        <f>IF(A77=FALSE,"",((GG77*TAXE)-(GG77*TAXE*GI77))+IF(GM77="N/A",0,IF(INDEX(LISTES!$F$105:$F$109,MATCH(GM77,LISTES!$C$105:$C$109,0))="FIX",GN77,GO77*GL77)))</f>
        <v/>
      </c>
      <c r="GV77" s="478"/>
      <c r="GW77" s="466"/>
      <c r="GX77" s="466"/>
      <c r="GY77" s="466"/>
      <c r="GZ77" s="466"/>
      <c r="HA77" s="492" t="str">
        <f>IF(A77=FALSE,"",Cotations!D77)</f>
        <v/>
      </c>
      <c r="HB77" s="495" t="str">
        <f>IF(A77=FALSE,"",IF(LISTES!$A$17=1,Cotations!AX77,Cotations!$AY$4))</f>
        <v/>
      </c>
      <c r="HC77" s="291" t="str">
        <f t="shared" si="491"/>
        <v/>
      </c>
      <c r="HD77" s="291" t="str">
        <f t="shared" si="492"/>
        <v/>
      </c>
      <c r="HE77" s="456" t="str">
        <f t="shared" si="493"/>
        <v/>
      </c>
      <c r="HF77" s="496" t="str">
        <f>IF(A77=FALSE,"",IF(HA77="POEA",Cotations!BA77,IF(HA77="FIXE",Cotations!$BA$4,Cotations!$BC$4*Y77)))</f>
        <v/>
      </c>
      <c r="HG77" s="300" t="str">
        <f t="shared" si="494"/>
        <v/>
      </c>
      <c r="HH77" s="522" t="str">
        <f>IF(A77=FALSE,"",IF(Cotations!$AZ$4="monthly",HG77/12*L77,HG77/365*M77))</f>
        <v/>
      </c>
      <c r="HI77" s="489" t="str">
        <f>IF(A77=FALSE,"",Cotations!$BD$4)</f>
        <v/>
      </c>
      <c r="HJ77" s="300" t="str">
        <f t="shared" si="495"/>
        <v/>
      </c>
      <c r="HK77" s="300" t="str">
        <f t="shared" si="496"/>
        <v/>
      </c>
      <c r="HL77" s="294" t="str">
        <f t="shared" si="497"/>
        <v/>
      </c>
      <c r="HM77" s="494" t="str">
        <f>IF(A77=FALSE,"",Cotations!$BE$4)</f>
        <v/>
      </c>
      <c r="HN77" s="522" t="str">
        <f>IF(A77=FALSE,"",Cotations!$BF$4)</f>
        <v/>
      </c>
      <c r="HO77" s="489" t="str">
        <f>IF(A77=FALSE,"",Cotations!$BG$4)</f>
        <v/>
      </c>
      <c r="HP77" s="494" t="str">
        <f>IF(A77=FALSE,"",IF(HM77="N/A",0,IF(INDEX(LISTES!$F$105:$F$109,MATCH(HM77,LISTES!$C$105:$C$109,0))="FIX",IF(INDEX(LISTES!$E$105:$E$109,MATCH(HM77,LISTES!$C$105:$C$109,0))=12,HN77/12*L77,HN77/365*M77),HO77*HL77)))</f>
        <v/>
      </c>
      <c r="HQ77" s="294" t="str">
        <f t="shared" si="498"/>
        <v/>
      </c>
      <c r="HR77" s="494" t="str">
        <f>IF(A77=FALSE,"",HQ77*Cotations!$BH$4)</f>
        <v/>
      </c>
      <c r="HS77" s="494" t="str">
        <f>IF(A77=FALSE,"",HQ77*Cotations!$BI$4)</f>
        <v/>
      </c>
      <c r="HT77" s="294" t="str">
        <f t="shared" si="499"/>
        <v/>
      </c>
      <c r="HU77" s="919" t="str">
        <f>IF(A77=FALSE,"",((HG77*TAXE)-(HG77*TAXE*HI77))+IF(HM77="N/A",0,IF(INDEX(LISTES!$F$105:$F$109,MATCH(HM77,LISTES!$C$105:$C$109,0))="FIX",HN77,HO77*HL77)))</f>
        <v/>
      </c>
      <c r="IA77" s="492" t="str">
        <f>IF(A77=FALSE,"",Cotations!D77)</f>
        <v/>
      </c>
      <c r="IB77" s="491" t="str">
        <f>IF(A77=FALSE,"",IF(LISTES!$A$17=1,Cotations!AX77,Cotations!AY77))</f>
        <v/>
      </c>
      <c r="IC77" s="285" t="str">
        <f t="shared" si="500"/>
        <v/>
      </c>
      <c r="ID77" s="300" t="str">
        <f>IF(A77=FALSE,"",IF(LISTES!$A$17=3,Detail!AU77,lig1_Formula_PREVOY))</f>
        <v/>
      </c>
      <c r="IE77" s="461" t="str">
        <f t="shared" si="501"/>
        <v/>
      </c>
      <c r="IF77" s="490" t="str">
        <f>IF(A77=FALSE,"",IF(IA77="POEA",Cotations!BA77,IF(HA77="FIXE",Cotations!BB77,IF(Cotations!BC77*Y77&lt;50000,Z77,Cotations!BC77*Y77))))</f>
        <v/>
      </c>
      <c r="IG77" s="300" t="str">
        <f t="shared" si="502"/>
        <v/>
      </c>
      <c r="IH77" s="522" t="str">
        <f>IF(A77=FALSE,"",IF(Cotations!AZ77="monthly",IG77/12*L77,IG77/365*M77))</f>
        <v/>
      </c>
      <c r="II77" s="489" t="str">
        <f>IF(A77=FALSE,"",IF(Cotations!BD77="","",Cotations!BD77))</f>
        <v/>
      </c>
      <c r="IJ77" s="300" t="str">
        <f t="shared" si="503"/>
        <v/>
      </c>
      <c r="IK77" s="300" t="str">
        <f t="shared" si="504"/>
        <v/>
      </c>
      <c r="IL77" s="919" t="str">
        <f t="shared" si="505"/>
        <v/>
      </c>
      <c r="IM77" s="517" t="str">
        <f>IF(A77=FALSE,"",Cotations!BE77)</f>
        <v/>
      </c>
      <c r="IN77" s="517" t="str">
        <f>IF(A77=FALSE,"",Cotations!BF77)</f>
        <v/>
      </c>
      <c r="IO77" s="493" t="str">
        <f>IF(A77=FALSE,"",Cotations!BG77)</f>
        <v/>
      </c>
      <c r="IP77" s="517" t="str">
        <f>IF(A77=FALSE,"",IF(IM77="N/A",0,IF(INDEX(LISTES!$F$105:$F$109,MATCH(IM77,LISTES!$C$105:$C$109,0))="FIX",IF(INDEX(LISTES!$E$105:$E$109,MATCH(IM77,LISTES!$C$105:$C$109,0))=12,IN77/12*L77,IN77/365*M77),IO77*IL77)))</f>
        <v/>
      </c>
      <c r="IQ77" s="294" t="str">
        <f t="shared" si="506"/>
        <v/>
      </c>
      <c r="IR77" s="494" t="str">
        <f>IF(A77=FALSE,"",IQ77*Cotations!BH77)</f>
        <v/>
      </c>
      <c r="IS77" s="494" t="str">
        <f>IF(A77=FALSE,"",IQ77*Cotations!BI77)</f>
        <v/>
      </c>
      <c r="IT77" s="338" t="str">
        <f t="shared" si="507"/>
        <v/>
      </c>
      <c r="IU77" s="919" t="str">
        <f>IF(A77=FALSE,"",((IG77*TAXE)-(IG77*TAXE*II77))+IF(IM77="N/A",0,IF(INDEX(LISTES!$F$105:$F$109,MATCH(IM77,LISTES!$C$105:$C$109,0))="FIX",IN77,IO77*IL77)))</f>
        <v/>
      </c>
      <c r="JA77" s="492" t="str">
        <f>IF(A77=FALSE,"",Cotations!D77)</f>
        <v/>
      </c>
      <c r="JB77" s="495" t="str">
        <f>IF(A77=FALSE,"",IF(LISTES!$A$17=1,Cotations!BJ77,Cotations!$BK$4))</f>
        <v/>
      </c>
      <c r="JC77" s="291" t="str">
        <f t="shared" si="508"/>
        <v/>
      </c>
      <c r="JD77" s="291" t="str">
        <f t="shared" si="509"/>
        <v/>
      </c>
      <c r="JE77" s="456" t="str">
        <f t="shared" si="510"/>
        <v/>
      </c>
      <c r="JF77" s="496" t="str">
        <f>IF(A77=FALSE,"",IF(JA77="POEA",Cotations!BM77,IF(JA77="FIXE",Cotations!$BM$4,Cotations!$BO$4*Y77)))</f>
        <v/>
      </c>
      <c r="JG77" s="300" t="str">
        <f t="shared" si="511"/>
        <v/>
      </c>
      <c r="JH77" s="522" t="str">
        <f>IF(A77=FALSE,"",IF(Cotations!$BL$4="monthly",JG77/12*L77,JG77/365*M77))</f>
        <v/>
      </c>
      <c r="JI77" s="489" t="str">
        <f>IF(A77=FALSE,"",Cotations!$BP$4)</f>
        <v/>
      </c>
      <c r="JJ77" s="300" t="str">
        <f t="shared" si="512"/>
        <v/>
      </c>
      <c r="JK77" s="300" t="str">
        <f t="shared" si="513"/>
        <v/>
      </c>
      <c r="JL77" s="294" t="str">
        <f t="shared" si="514"/>
        <v/>
      </c>
      <c r="JM77" s="494" t="str">
        <f>IF(A77=FALSE,"",Cotations!$BQ$4)</f>
        <v/>
      </c>
      <c r="JN77" s="522" t="str">
        <f>IF(A77=FALSE,"",Cotations!$BR$4)</f>
        <v/>
      </c>
      <c r="JO77" s="489" t="str">
        <f>IF(A77=FALSE,"",Cotations!$BS$4)</f>
        <v/>
      </c>
      <c r="JP77" s="494" t="str">
        <f>IF(A77=FALSE,"",IF(JM77="N/A",0,IF(INDEX(LISTES!$F$105:$F$109,MATCH(JM77,LISTES!$C$105:$C$109,0))="FIX",IF(INDEX(LISTES!$E$105:$E$109,MATCH(JM77,LISTES!$C$105:$C$109,0))=12,JN77/12*L77,JN77/365*M77),JO77*JL77)))</f>
        <v/>
      </c>
      <c r="JQ77" s="294" t="str">
        <f t="shared" si="515"/>
        <v/>
      </c>
      <c r="JR77" s="494" t="str">
        <f>IF(A77=FALSE,"",JQ77*Cotations!$BT$4)</f>
        <v/>
      </c>
      <c r="JS77" s="494" t="str">
        <f>IF(A77=FALSE,"",JQ77*Cotations!$BU$4)</f>
        <v/>
      </c>
      <c r="JT77" s="294" t="str">
        <f t="shared" si="516"/>
        <v/>
      </c>
      <c r="JU77" s="919" t="str">
        <f>IF(A77=FALSE,"",((JG77*TAXE)-(JG77*TAXE*JI77))+IF(JM77="N/A",0,IF(INDEX(LISTES!$F$105:$F$109,MATCH(JM77,LISTES!$C$105:$C$109,0))="FIX",JN77,JO77*JL77)))</f>
        <v/>
      </c>
      <c r="KA77" s="492" t="str">
        <f>IF(A77=FALSE,"",Cotations!D77)</f>
        <v/>
      </c>
      <c r="KB77" s="491" t="str">
        <f>IF(A77=FALSE,"",IF(LISTES!$A$17=1,Cotations!BJ77,Cotations!BK77))</f>
        <v/>
      </c>
      <c r="KC77" s="285" t="str">
        <f t="shared" si="517"/>
        <v/>
      </c>
      <c r="KD77" s="300"/>
      <c r="KE77" s="461" t="str">
        <f t="shared" si="518"/>
        <v/>
      </c>
      <c r="KF77" s="490" t="str">
        <f>IF(A77=FALSE,"",IF(KA77="POEA",Cotations!BM77,IF(KA77="FIXE",Cotations!BN77,IF(Cotations!BO77*Y77&lt;50000,Z77,Cotations!BO77*Y77))))</f>
        <v/>
      </c>
      <c r="KG77" s="300" t="str">
        <f t="shared" si="519"/>
        <v/>
      </c>
      <c r="KH77" s="522" t="str">
        <f>IF(A77=FALSE,"",IF(Cotations!BL77="monthly",KG77/12*L77,KG77/365*M77))</f>
        <v/>
      </c>
      <c r="KI77" s="489" t="str">
        <f>IF(A77=FALSE,"",IF(Cotations!BP77="","",Cotations!BP77))</f>
        <v/>
      </c>
      <c r="KJ77" s="300" t="str">
        <f t="shared" si="520"/>
        <v/>
      </c>
      <c r="KK77" s="300" t="str">
        <f t="shared" si="521"/>
        <v/>
      </c>
      <c r="KL77" s="919" t="str">
        <f t="shared" si="522"/>
        <v/>
      </c>
      <c r="KM77" s="517" t="str">
        <f>IF(A77=FALSE,"",Cotations!BQ77)</f>
        <v/>
      </c>
      <c r="KN77" s="515" t="str">
        <f>IF(A77=FALSE,"",Cotations!BR77)</f>
        <v/>
      </c>
      <c r="KO77" s="493" t="str">
        <f>IF(A77=FALSE,"",Cotations!BS77)</f>
        <v/>
      </c>
      <c r="KP77" s="517" t="str">
        <f>IF(A77=FALSE,"",IF(KM77="N/A",0,IF(INDEX(LISTES!$F$105:$F$109,MATCH(KM77,LISTES!$C$105:$C$109,0))="FIX",IF(INDEX(LISTES!$E$105:$E$109,MATCH(KM77,LISTES!$C$105:$C$109,0))=12,KN77/12*L77,KN77/365*M77),KO77*KL77)))</f>
        <v/>
      </c>
      <c r="KQ77" s="294" t="str">
        <f t="shared" si="523"/>
        <v/>
      </c>
      <c r="KR77" s="494" t="str">
        <f>IF(A77=FALSE,"",KQ77*Cotations!BT77)</f>
        <v/>
      </c>
      <c r="KS77" s="494" t="str">
        <f>IF(A77=FALSE,"",KQ77*Cotations!BU77)</f>
        <v/>
      </c>
      <c r="KT77" s="338" t="str">
        <f t="shared" si="524"/>
        <v/>
      </c>
      <c r="KU77" s="919" t="str">
        <f>IF(A77=FALSE,"",((KG77*TAXE)-(KG77*TAXE*KI77))+IF(KM77="N/A",0,IF(INDEX(LISTES!$F$105:$F$109,MATCH(KM77,LISTES!$C$105:$C$109,0))="FIX",KN77,KO77*KL77)))</f>
        <v/>
      </c>
      <c r="LA77" s="497" t="str">
        <f>IF(A77=FALSE,"",Cotations!D77)</f>
        <v/>
      </c>
      <c r="LB77" s="498" t="str">
        <f>IF(A77=FALSE,"",IF(LISTES!$A$17=1,Cotations!BV77,Cotations!$BW$4))</f>
        <v/>
      </c>
      <c r="LC77" s="499" t="str">
        <f t="shared" si="525"/>
        <v/>
      </c>
      <c r="LD77" s="499" t="str">
        <f t="shared" si="526"/>
        <v/>
      </c>
      <c r="LE77" s="500" t="str">
        <f t="shared" si="527"/>
        <v/>
      </c>
      <c r="LF77" s="501" t="str">
        <f>IF(A77=FALSE,"",IF(LA77="POEA",Cotations!EJ77,IF(LA77="FIXE",Cotations!$BY$4,Cotations!$CA$4*Y77)))</f>
        <v/>
      </c>
      <c r="LG77" s="502" t="str">
        <f t="shared" si="528"/>
        <v/>
      </c>
      <c r="LH77" s="520" t="str">
        <f>IF(A77=FALSE,"",IF(Cotations!$BX$4="monthly",LG77/12*L77,LG77/365*M77))</f>
        <v/>
      </c>
      <c r="LI77" s="503" t="str">
        <f>IF(A77=FALSE,"",Cotations!$CB$4)</f>
        <v/>
      </c>
      <c r="LJ77" s="502" t="str">
        <f t="shared" si="529"/>
        <v/>
      </c>
      <c r="LK77" s="502" t="str">
        <f t="shared" si="530"/>
        <v/>
      </c>
      <c r="LL77" s="504" t="str">
        <f t="shared" si="531"/>
        <v/>
      </c>
      <c r="LM77" s="505" t="str">
        <f>IF(A77=FALSE,"",Cotations!$CC$4)</f>
        <v/>
      </c>
      <c r="LN77" s="503" t="str">
        <f>IF(A77=FALSE,"",Cotations!$CD$4)</f>
        <v/>
      </c>
      <c r="LO77" s="503" t="str">
        <f>IF(A77=FALSE,"",Cotations!$CE$4)</f>
        <v/>
      </c>
      <c r="LP77" s="505" t="str">
        <f>IF(A77=FALSE,"",IF(LM77="N/A",0,IF(INDEX(LISTES!$F$105:$F$109,MATCH(LM77,LISTES!$C$105:$C$109,0))="FIX",IF(INDEX(LISTES!$E$105:$E$109,MATCH(LM77,LISTES!$C$105:$C$109,0))=12,LN77/12*L77,LN77/365*M77),LO77*LL77)))</f>
        <v/>
      </c>
      <c r="LQ77" s="504" t="str">
        <f t="shared" si="532"/>
        <v/>
      </c>
      <c r="LR77" s="505" t="str">
        <f>IF(A77=FALSE,"",LQ77*Cotations!$CF$4)</f>
        <v/>
      </c>
      <c r="LS77" s="505" t="str">
        <f>IF(A77=FALSE,"",LQ77*Cotations!$CG$4)</f>
        <v/>
      </c>
      <c r="LT77" s="506" t="str">
        <f t="shared" si="533"/>
        <v/>
      </c>
      <c r="LU77" s="919" t="str">
        <f>IF(A77=FALSE,"",((LG77*TAXE)-(LG77*TAXE*LI77))+IF(LM77="N/A",0,IF(INDEX(LISTES!$F$105:$F$109,MATCH(LM77,LISTES!$C$105:$C$109,0))="FIX",LN77,LO77*LL77)))</f>
        <v/>
      </c>
      <c r="MA77" s="492" t="str">
        <f>IF(A77=FALSE,"",Cotations!D77)</f>
        <v/>
      </c>
      <c r="MB77" s="491" t="str">
        <f>IF(A77=FALSE,"",IF(LISTES!$A$17=1,Cotations!BV77,Cotations!BW77))</f>
        <v/>
      </c>
      <c r="MC77" s="285" t="str">
        <f t="shared" si="534"/>
        <v/>
      </c>
      <c r="MD77" s="300"/>
      <c r="ME77" s="461" t="str">
        <f t="shared" si="535"/>
        <v/>
      </c>
      <c r="MF77" s="490" t="str">
        <f>IF(A77=FALSE,"",IF(MA77="POEA",Cotations!BY77,IF(MA77="FIXE",Cotations!BZ77,IF(Cotations!CA77*Y77&lt;50000,Z77,Cotations!CA77*Y77))))</f>
        <v/>
      </c>
      <c r="MG77" s="300" t="str">
        <f t="shared" si="536"/>
        <v/>
      </c>
      <c r="MH77" s="522" t="str">
        <f>IF(A77=FALSE,"",IF(Cotations!BX77="monthly",MG77/12*L77,MG77/365*M77))</f>
        <v/>
      </c>
      <c r="MI77" s="489" t="str">
        <f>IF(A77=FALSE,"",IF(Cotations!CB77="","",Cotations!CB77))</f>
        <v/>
      </c>
      <c r="MJ77" s="300" t="str">
        <f t="shared" si="537"/>
        <v/>
      </c>
      <c r="MK77" s="300" t="str">
        <f t="shared" si="538"/>
        <v/>
      </c>
      <c r="ML77" s="919" t="str">
        <f t="shared" si="539"/>
        <v/>
      </c>
      <c r="MM77" s="517" t="str">
        <f>IF(A77=FALSE,"",Cotations!CC77)</f>
        <v/>
      </c>
      <c r="MN77" s="515" t="str">
        <f>IF(A77=FALSE,"",Cotations!CD77)</f>
        <v/>
      </c>
      <c r="MO77" s="493" t="str">
        <f>IF(A77=FALSE,"",Cotations!CE77)</f>
        <v/>
      </c>
      <c r="MP77" s="517" t="str">
        <f>IF(A77=FALSE,"",IF(MM77="N/A",0,IF(INDEX(LISTES!$F$105:$F$109,MATCH(MM77,LISTES!$C$105:$C$109,0))="FIX",IF(INDEX(LISTES!$E$105:$E$109,MATCH(MM77,LISTES!$C$105:$C$109,0))=12,MN77/12*L77,MN77/365*M77),MO77*ML77)))</f>
        <v/>
      </c>
      <c r="MQ77" s="294" t="str">
        <f t="shared" si="540"/>
        <v/>
      </c>
      <c r="MR77" s="494" t="str">
        <f>IF(A77=FALSE,"",MQ77*Cotations!CF77)</f>
        <v/>
      </c>
      <c r="MS77" s="494" t="str">
        <f>IF(A77=FALSE,"",MQ77*Cotations!CG77)</f>
        <v/>
      </c>
      <c r="MT77" s="338" t="str">
        <f t="shared" si="541"/>
        <v/>
      </c>
      <c r="MU77" s="919" t="str">
        <f>IF(A77=FALSE,"",((MG77*TAXE)-(MG77*TAXE*MI77))+IF(MM77="N/A",0,IF(INDEX(LISTES!$F$105:$F$109,MATCH(MM77,LISTES!$C$105:$C$109,0))="FIX",MN77,MO77*ML77)))</f>
        <v/>
      </c>
      <c r="NA77" s="497" t="str">
        <f>IF(A77=FALSE,"",Cotations!D77)</f>
        <v/>
      </c>
      <c r="NB77" s="498" t="str">
        <f>IF(A77=FALSE,"",IF(LISTES!$A$17=1,Cotations!CH77,Cotations!$CI$4))</f>
        <v/>
      </c>
      <c r="NC77" s="499" t="str">
        <f t="shared" si="542"/>
        <v/>
      </c>
      <c r="ND77" s="499" t="str">
        <f t="shared" si="543"/>
        <v/>
      </c>
      <c r="NE77" s="500" t="str">
        <f t="shared" si="544"/>
        <v/>
      </c>
      <c r="NF77" s="501" t="str">
        <f>IF(A77=FALSE,"",IF(NA77="POEA",Cotations!CK77,IF(NA77="FIXE",Cotations!$CK$4,Cotations!$CM$4*Y77)))</f>
        <v/>
      </c>
      <c r="NG77" s="502" t="str">
        <f t="shared" si="545"/>
        <v/>
      </c>
      <c r="NH77" s="520" t="str">
        <f>IF(A77=FALSE,"",IF(Cotations!$CJ$4="monthly",NG77/12*L77,NG77/365*M77))</f>
        <v/>
      </c>
      <c r="NI77" s="503" t="str">
        <f>IF(A77=FALSE,"",Cotations!$CN$4)</f>
        <v/>
      </c>
      <c r="NJ77" s="502" t="str">
        <f t="shared" si="546"/>
        <v/>
      </c>
      <c r="NK77" s="502" t="str">
        <f t="shared" si="547"/>
        <v/>
      </c>
      <c r="NL77" s="504" t="str">
        <f t="shared" si="548"/>
        <v/>
      </c>
      <c r="NM77" s="505" t="str">
        <f>IF(A77=FALSE,"",Cotations!$CO$4)</f>
        <v/>
      </c>
      <c r="NN77" s="520" t="str">
        <f>IF(A77=FALSE,"",Cotations!$CP$4)</f>
        <v/>
      </c>
      <c r="NO77" s="503" t="str">
        <f>IF(A77=FALSE,"",Cotations!$CQ$4)</f>
        <v/>
      </c>
      <c r="NP77" s="505" t="str">
        <f>IF(A77=FALSE,"",IF(NM77="N/A",0,IF(INDEX(LISTES!$F$105:$F$109,MATCH(NM77,LISTES!$C$105:$C$109,0))="FIX",IF(INDEX(LISTES!$E$105:$E$109,MATCH(NM77,LISTES!$C$105:$C$109,0))=12,NN77/12*L77,NN77/365*M77),NO77*NL77)))</f>
        <v/>
      </c>
      <c r="NQ77" s="504" t="str">
        <f t="shared" si="549"/>
        <v/>
      </c>
      <c r="NR77" s="505" t="str">
        <f>IF(A77=FALSE,"",NQ77*Cotations!$CR$4)</f>
        <v/>
      </c>
      <c r="NS77" s="505" t="str">
        <f>IF(A77=FALSE,"",NQ77*Cotations!$CS$4)</f>
        <v/>
      </c>
      <c r="NT77" s="506" t="str">
        <f t="shared" si="550"/>
        <v/>
      </c>
      <c r="NU77" s="919" t="str">
        <f>IF(A77=FALSE,"",((NG77*TAXE)-(NG77*TAXE*NI77))+IF(NM77="N/A",0,IF(INDEX(LISTES!$F$105:$F$109,MATCH(NM77,LISTES!$C$105:$C$109,0))="FIX",NN77,NO77*NL77)))</f>
        <v/>
      </c>
      <c r="OA77" s="492" t="str">
        <f>IF(A77=FALSE,"",Cotations!D77)</f>
        <v/>
      </c>
      <c r="OB77" s="491" t="str">
        <f>IF(A77=FALSE,"",IF(LISTES!$A$17=1,Cotations!CH77,Cotations!CI77))</f>
        <v/>
      </c>
      <c r="OC77" s="285" t="str">
        <f t="shared" si="551"/>
        <v/>
      </c>
      <c r="OD77" s="300"/>
      <c r="OE77" s="461" t="str">
        <f t="shared" si="552"/>
        <v/>
      </c>
      <c r="OF77" s="490" t="str">
        <f>IF(A77=FALSE,"",IF(OA77="POEA",Cotations!CK77,IF(OA77="FIXE",Cotations!CL77,IF(Cotations!CM77*Y77&lt;50000,Z77,Cotations!CM77*Y77))))</f>
        <v/>
      </c>
      <c r="OG77" s="300" t="str">
        <f t="shared" si="553"/>
        <v/>
      </c>
      <c r="OH77" s="522" t="str">
        <f>IF(A77=FALSE,"",IF(Cotations!CJ77="monthly",OG77/12*L77,OG77/365*M77))</f>
        <v/>
      </c>
      <c r="OI77" s="489" t="str">
        <f>IF(A77=FALSE,"",IF(Cotations!CN77="","",Cotations!CN77))</f>
        <v/>
      </c>
      <c r="OJ77" s="300" t="str">
        <f t="shared" si="554"/>
        <v/>
      </c>
      <c r="OK77" s="300" t="str">
        <f t="shared" si="555"/>
        <v/>
      </c>
      <c r="OL77" s="919" t="str">
        <f t="shared" si="556"/>
        <v/>
      </c>
      <c r="OM77" s="517" t="str">
        <f>IF(A77=FALSE,"",Cotations!CO77)</f>
        <v/>
      </c>
      <c r="ON77" s="515" t="str">
        <f>IF(A77=FALSE,"",Cotations!CP77)</f>
        <v/>
      </c>
      <c r="OO77" s="493" t="str">
        <f>IF(A77=FALSE,"",Cotations!CQ77)</f>
        <v/>
      </c>
      <c r="OP77" s="517" t="str">
        <f>IF(A77=FALSE,"",IF(OM77="N/A",0,IF(INDEX(LISTES!$F$105:$F$109,MATCH(OM77,LISTES!$C$105:$C$109,0))="FIX",IF(INDEX(LISTES!$E$105:$E$109,MATCH(OM77,LISTES!$C$105:$C$109,0))=12,ON77/12*L77,ON77/365*M77),OO77*OL77)))</f>
        <v/>
      </c>
      <c r="OQ77" s="294" t="str">
        <f t="shared" si="557"/>
        <v/>
      </c>
      <c r="OR77" s="494" t="str">
        <f>IF(A77=FALSE,"",OQ77*Cotations!CR77)</f>
        <v/>
      </c>
      <c r="OS77" s="494" t="str">
        <f>IF(A77=FALSE,"",OQ77*Cotations!CS77)</f>
        <v/>
      </c>
      <c r="OT77" s="338" t="str">
        <f t="shared" si="558"/>
        <v/>
      </c>
      <c r="OU77" s="919" t="str">
        <f>IF(A77=FALSE,"",((OG77*TAXE)-(OG77*TAXE*OI77))+IF(OM77="N/A",0,IF(INDEX(LISTES!$F$105:$F$109,MATCH(OM77,LISTES!$C$105:$C$109,0))="FIX",ON77,OO77*OL77)))</f>
        <v/>
      </c>
      <c r="PA77" s="497" t="str">
        <f t="shared" si="559"/>
        <v/>
      </c>
      <c r="PB77" s="498" t="str">
        <f>IF(A77=FALSE,"",IF(LISTES!$A$17=1,Cotations!CT77,Cotations!$CU$4))</f>
        <v/>
      </c>
      <c r="PC77" s="499" t="str">
        <f t="shared" si="560"/>
        <v/>
      </c>
      <c r="PD77" s="499" t="str">
        <f t="shared" si="561"/>
        <v/>
      </c>
      <c r="PE77" s="500" t="str">
        <f t="shared" si="562"/>
        <v/>
      </c>
      <c r="PF77" s="501" t="str">
        <f>IF(A77=FALSE,"",Cotations!$CY$4*Y77)</f>
        <v/>
      </c>
      <c r="PG77" s="502" t="str">
        <f t="shared" si="563"/>
        <v/>
      </c>
      <c r="PH77" s="520" t="str">
        <f>IF(A77=FALSE,"",IF(Cotations!$CV$4="monthly",PG77/12*L77,PG77/365*M77))</f>
        <v/>
      </c>
      <c r="PI77" s="503" t="str">
        <f>IF(A77=FALSE,"",Cotations!$CZ$4)</f>
        <v/>
      </c>
      <c r="PJ77" s="502" t="str">
        <f t="shared" si="564"/>
        <v/>
      </c>
      <c r="PK77" s="502" t="str">
        <f t="shared" si="565"/>
        <v/>
      </c>
      <c r="PL77" s="504" t="str">
        <f t="shared" si="566"/>
        <v/>
      </c>
      <c r="PM77" s="505" t="str">
        <f>IF(A77=FALSE,"",Cotations!$DA$4)</f>
        <v/>
      </c>
      <c r="PN77" s="520" t="str">
        <f>IF(A77=FALSE,"",Cotations!$DB$4)</f>
        <v/>
      </c>
      <c r="PO77" s="503" t="str">
        <f>IF(A77=FALSE,"",Cotations!$DC$4)</f>
        <v/>
      </c>
      <c r="PP77" s="505" t="str">
        <f>IF(A77=FALSE,"",IF(PM77="N/A",0,IF(INDEX(LISTES!$F$105:$F$109,MATCH(PM77,LISTES!$C$105:$C$109,0))="FIX",IF(INDEX(LISTES!$E$105:$E$109,MATCH(PM77,LISTES!$C$105:$C$109,0))=12,PN77/12*L77,PN77/365*M77),PO77*PL77)))</f>
        <v/>
      </c>
      <c r="PQ77" s="504" t="str">
        <f t="shared" si="567"/>
        <v/>
      </c>
      <c r="PR77" s="505" t="str">
        <f>IF(A77=FALSE,"",PQ77*Cotations!$DD$4)</f>
        <v/>
      </c>
      <c r="PS77" s="505" t="str">
        <f>IF(A77=FALSE,"",PQ77*Cotations!$DE$4)</f>
        <v/>
      </c>
      <c r="PT77" s="506" t="str">
        <f t="shared" si="568"/>
        <v/>
      </c>
      <c r="PU77" s="919" t="str">
        <f>IF(A77=FALSE,"",((PG77*TAXE)-(PG77*TAXE*PI77))+IF(PM77="N/A",0,IF(INDEX(LISTES!$F$105:$F$109,MATCH(PM77,LISTES!$C$105:$C$109,0))="FIX",PN77,PO77*PL77)))</f>
        <v/>
      </c>
      <c r="QA77" s="492" t="str">
        <f t="shared" si="569"/>
        <v/>
      </c>
      <c r="QB77" s="491" t="str">
        <f>IF(A77=FALSE,"",IF(LISTES!$A$17=1,Cotations!CT77,Cotations!CU77))</f>
        <v/>
      </c>
      <c r="QC77" s="285" t="str">
        <f t="shared" si="570"/>
        <v/>
      </c>
      <c r="QD77" s="300"/>
      <c r="QE77" s="461" t="str">
        <f t="shared" si="571"/>
        <v/>
      </c>
      <c r="QF77" s="490" t="str">
        <f>IF(A77=FALSE,"",Cotations!CY77*AA77)</f>
        <v/>
      </c>
      <c r="QG77" s="300" t="str">
        <f t="shared" si="572"/>
        <v/>
      </c>
      <c r="QH77" s="522" t="str">
        <f>IF(A77=FALSE,"",IF(Cotations!CV77="monthly",QG77/12*L77,QG77/365*M77))</f>
        <v/>
      </c>
      <c r="QI77" s="489" t="str">
        <f>IF(A77=FALSE,"",IF(Cotations!CZ77="","",Cotations!CZ77))</f>
        <v/>
      </c>
      <c r="QJ77" s="300" t="str">
        <f t="shared" si="573"/>
        <v/>
      </c>
      <c r="QK77" s="300" t="str">
        <f t="shared" si="574"/>
        <v/>
      </c>
      <c r="QL77" s="919" t="str">
        <f t="shared" si="575"/>
        <v/>
      </c>
      <c r="QM77" s="517" t="str">
        <f>IF(A77=FALSE,"",Cotations!DA77)</f>
        <v/>
      </c>
      <c r="QN77" s="515" t="str">
        <f>IF(A77=FALSE,"",Cotations!DB77)</f>
        <v/>
      </c>
      <c r="QO77" s="493" t="str">
        <f>IF(A77=FALSE,"",Cotations!DC77)</f>
        <v/>
      </c>
      <c r="QP77" s="517" t="str">
        <f>IF(A77=FALSE,"",IF(QM77="N/A",0,IF(INDEX(LISTES!$F$105:$F$109,MATCH(QM77,LISTES!$C$105:$C$109,0))="FIX",IF(INDEX(LISTES!$E$105:$E$109,MATCH(QM77,LISTES!$C$105:$C$109,0))=12,QN77/12*L77,QN77/365*M77),QO77*QL77)))</f>
        <v/>
      </c>
      <c r="QQ77" s="294" t="str">
        <f t="shared" si="576"/>
        <v/>
      </c>
      <c r="QR77" s="494" t="str">
        <f>IF(A77=FALSE,"",QQ77*Cotations!DD77)</f>
        <v/>
      </c>
      <c r="QS77" s="494" t="str">
        <f>IF(A77=FALSE,"",QQ77*Cotations!DE77)</f>
        <v/>
      </c>
      <c r="QT77" s="338" t="str">
        <f t="shared" si="577"/>
        <v/>
      </c>
      <c r="QU77" s="919" t="str">
        <f>IF(A77=FALSE,"",((QG77*TAXE)-(QG77*TAXE*QI77))+IF(QM77="N/A",0,IF(INDEX(LISTES!$F$105:$F$109,MATCH(QM77,LISTES!$C$105:$C$109,0))="FIX",QN77,QO77*QL77)))</f>
        <v/>
      </c>
      <c r="RA77" s="497" t="str">
        <f t="shared" si="578"/>
        <v/>
      </c>
      <c r="RB77" s="498" t="str">
        <f>IF(A77=FALSE,"",IF(LISTES!$A$17=1,Cotations!DF77,Cotations!$DG$4))</f>
        <v/>
      </c>
      <c r="RC77" s="499" t="str">
        <f t="shared" si="579"/>
        <v/>
      </c>
      <c r="RD77" s="499" t="str">
        <f t="shared" si="580"/>
        <v/>
      </c>
      <c r="RE77" s="500" t="str">
        <f t="shared" si="581"/>
        <v/>
      </c>
      <c r="RF77" s="501" t="str">
        <f>IF(A77=FALSE,"",Cotations!$DK$4*Y77)</f>
        <v/>
      </c>
      <c r="RG77" s="502" t="str">
        <f t="shared" si="582"/>
        <v/>
      </c>
      <c r="RH77" s="520" t="str">
        <f>IF(A77=FALSE,"",IF(Cotations!$DH$4="monthly",RG77/12*L77,RG77/365*M77))</f>
        <v/>
      </c>
      <c r="RI77" s="503" t="str">
        <f>IF(A77=FALSE,"",Cotations!$DL$4)</f>
        <v/>
      </c>
      <c r="RJ77" s="502" t="str">
        <f t="shared" si="583"/>
        <v/>
      </c>
      <c r="RK77" s="502" t="str">
        <f t="shared" si="584"/>
        <v/>
      </c>
      <c r="RL77" s="504" t="str">
        <f t="shared" si="585"/>
        <v/>
      </c>
      <c r="RM77" s="505" t="str">
        <f>IF(A77=FALSE,"",Cotations!$DM$4)</f>
        <v/>
      </c>
      <c r="RN77" s="520" t="str">
        <f>IF(A77=FALSE,"",Cotations!$DN$4)</f>
        <v/>
      </c>
      <c r="RO77" s="503" t="str">
        <f>IF(A77=FALSE,"",Cotations!$DO$4)</f>
        <v/>
      </c>
      <c r="RP77" s="505" t="str">
        <f>IF(A77=FALSE,"",IF(RM77="N/A",0,IF(INDEX(LISTES!$F$105:$F$109,MATCH(RM77,LISTES!$C$105:$C$109,0))="FIX",IF(INDEX(LISTES!$E$105:$E$109,MATCH(RM77,LISTES!$C$105:$C$109,0))=12,RN77/12*L77,RN77/365*M77),RO77*RL77)))</f>
        <v/>
      </c>
      <c r="RQ77" s="504" t="str">
        <f t="shared" si="586"/>
        <v/>
      </c>
      <c r="RR77" s="505" t="str">
        <f>IF(A77=FALSE,"",RQ77*Cotations!$DP$4)</f>
        <v/>
      </c>
      <c r="RS77" s="505" t="str">
        <f>IF(A77=FALSE,"",RQ77*Cotations!$DQ$4)</f>
        <v/>
      </c>
      <c r="RT77" s="506" t="str">
        <f t="shared" si="587"/>
        <v/>
      </c>
      <c r="RU77" s="919" t="str">
        <f>IF(A77=FALSE,"",((RG77*TAXE)-(RG77*TAXE*RI77))+IF(RM77="N/A",0,IF(INDEX(LISTES!$F$105:$F$109,MATCH(RM77,LISTES!$C$105:$C$109,0))="FIX",RN77,RO77*RL77)))</f>
        <v/>
      </c>
      <c r="SA77" s="492" t="str">
        <f t="shared" si="588"/>
        <v/>
      </c>
      <c r="SB77" s="491" t="str">
        <f>IF(A77=FALSE,"",IF(LISTES!$A$17=1,Cotations!DF77,Cotations!DG77))</f>
        <v/>
      </c>
      <c r="SC77" s="285" t="str">
        <f t="shared" si="589"/>
        <v/>
      </c>
      <c r="SD77" s="300"/>
      <c r="SE77" s="461" t="str">
        <f t="shared" si="590"/>
        <v/>
      </c>
      <c r="SF77" s="490" t="str">
        <f>IF(A77=FALSE,"",Cotations!DK77*AA77)</f>
        <v/>
      </c>
      <c r="SG77" s="300" t="str">
        <f t="shared" si="591"/>
        <v/>
      </c>
      <c r="SH77" s="522" t="str">
        <f>IF(A77=FALSE,"",IF(Cotations!DH77="monthly",SG77/12*L77,SG77/365*M77))</f>
        <v/>
      </c>
      <c r="SI77" s="489" t="str">
        <f>IF(A77=FALSE,"",IF(Cotations!DL77="","",Cotations!DL77))</f>
        <v/>
      </c>
      <c r="SJ77" s="300" t="str">
        <f t="shared" si="592"/>
        <v/>
      </c>
      <c r="SK77" s="300" t="str">
        <f t="shared" si="593"/>
        <v/>
      </c>
      <c r="SL77" s="919" t="str">
        <f t="shared" si="594"/>
        <v/>
      </c>
      <c r="SM77" s="285" t="str">
        <f>IF(A77=FALSE,"",Cotations!DM77)</f>
        <v/>
      </c>
      <c r="SN77" s="515" t="str">
        <f>IF(A77=FALSE,"",Cotations!DN77)</f>
        <v/>
      </c>
      <c r="SO77" s="493" t="str">
        <f>IF(A77=FALSE,"",Cotations!DO77)</f>
        <v/>
      </c>
      <c r="SP77" s="517" t="str">
        <f>IF(A77=FALSE,"",IF(SM77="N/A",0,IF(INDEX(LISTES!$F$105:$F$109,MATCH(SM77,LISTES!$C$105:$C$109,0))="FIX",IF(INDEX(LISTES!$E$105:$E$109,MATCH(SM77,LISTES!$C$105:$C$109,0))=12,SN77/12*L77,SN77/365*M77),SO77*SL77)))</f>
        <v/>
      </c>
      <c r="SQ77" s="294" t="str">
        <f t="shared" si="595"/>
        <v/>
      </c>
      <c r="SR77" s="494" t="str">
        <f>IF(A77=FALSE,"",SQ77*Cotations!DP77)</f>
        <v/>
      </c>
      <c r="SS77" s="494" t="str">
        <f>IF(A77=FALSE,"",SQ77*Cotations!DQ77)</f>
        <v/>
      </c>
      <c r="ST77" s="338" t="str">
        <f t="shared" si="596"/>
        <v/>
      </c>
      <c r="SU77" s="919" t="str">
        <f>IF(A77=FALSE,"",((SG77*TAXE)-(SG77*TAXE*SI77))+IF(SM77="N/A",0,IF(INDEX(LISTES!$F$105:$F$109,MATCH(SM77,LISTES!$C$105:$C$109,0))="FIX",SN77,SO77*SL77)))</f>
        <v/>
      </c>
      <c r="TA77" s="492" t="str">
        <f>IF(A77=FALSE,"",Cotations!D77)</f>
        <v/>
      </c>
      <c r="TB77" s="491" t="str">
        <f>IF(A77=FALSE,"",IF(LISTES!$A$17=1,Cotations!DR77,Cotations!DS77))</f>
        <v/>
      </c>
      <c r="TC77" s="285" t="str">
        <f t="shared" si="597"/>
        <v/>
      </c>
      <c r="TD77" s="300" t="str">
        <f>IF(A77=FALSE,"",Detail!CQ77)</f>
        <v/>
      </c>
      <c r="TE77" s="461" t="str">
        <f t="shared" si="598"/>
        <v/>
      </c>
      <c r="TF77" s="490" t="str">
        <f>IF(A77=FALSE,"",IF(TA77="FIXE",Cotations!DU77,Cotations!DV77*Y77))</f>
        <v/>
      </c>
      <c r="TG77" s="300" t="str">
        <f t="shared" si="599"/>
        <v/>
      </c>
      <c r="TH77" s="522" t="str">
        <f>IF(A77=FALSE,"",IF(Cotations!DT77="monthly",TG77/12*L77,TG77/365*M77))</f>
        <v/>
      </c>
      <c r="TI77" s="489" t="str">
        <f>IF(A77=FALSE,"",IF(Cotations!DW77="","",Cotations!DW77))</f>
        <v/>
      </c>
      <c r="TJ77" s="300" t="str">
        <f t="shared" si="600"/>
        <v/>
      </c>
      <c r="TK77" s="300" t="str">
        <f t="shared" si="601"/>
        <v/>
      </c>
      <c r="TL77" s="919" t="str">
        <f t="shared" si="602"/>
        <v/>
      </c>
      <c r="TM77" s="517" t="str">
        <f>IF(A77=FALSE,"",Cotations!DX77)</f>
        <v/>
      </c>
      <c r="TN77" s="517" t="str">
        <f>IF(A77=FALSE,"",Cotations!DY77)</f>
        <v/>
      </c>
      <c r="TO77" s="493" t="str">
        <f>IF(A77=FALSE,"",Cotations!DZ77)</f>
        <v/>
      </c>
      <c r="TP77" s="517" t="str">
        <f>IF(A77=FALSE,"",IF(TM77="N/A",0,IF(INDEX(LISTES!$F$105:$F$109,MATCH(TM77,LISTES!$C$105:$C$109,0))="FIX",IF(INDEX(LISTES!$E$105:$E$109,MATCH(TM77,LISTES!$C$105:$C$109,0))=12,TN77/12*L77,TN77/365*M77),TO77*TL77)))</f>
        <v/>
      </c>
      <c r="TQ77" s="294" t="str">
        <f t="shared" si="603"/>
        <v/>
      </c>
      <c r="TR77" s="494" t="str">
        <f>IF(A77=FALSE,"",TQ77*Cotations!EA77)</f>
        <v/>
      </c>
      <c r="TS77" s="494" t="str">
        <f>IF(A77=FALSE,"",TQ77*Cotations!EB77)</f>
        <v/>
      </c>
      <c r="TT77" s="338" t="str">
        <f t="shared" si="604"/>
        <v/>
      </c>
      <c r="TU77" s="919" t="str">
        <f>IF(A77=FALSE,"",((TG77*(1+TAXE)-(TG77*(1+TAXE)*TI77))+IF(TM77="N/A",0,IF(INDEX(LISTES!$F$105:$F$109,MATCH(TM77,LISTES!$C$105:$C$109,0))="FIX",TN77,TO77*TL77))))</f>
        <v/>
      </c>
      <c r="UA77" s="492" t="str">
        <f>IF(A77=FALSE,"",Cotations!D77)</f>
        <v/>
      </c>
      <c r="UB77" s="491" t="str">
        <f>IF(A77=FALSE,"",IF(LISTES!$A$17=1,Cotations!EC77,Cotations!ED77))</f>
        <v/>
      </c>
      <c r="UC77" s="285" t="str">
        <f t="shared" si="605"/>
        <v/>
      </c>
      <c r="UD77" s="300" t="str">
        <f>IF(A77=FALSE,"",Detail!CY77)</f>
        <v/>
      </c>
      <c r="UE77" s="461" t="str">
        <f t="shared" si="606"/>
        <v/>
      </c>
      <c r="UF77" s="490" t="str">
        <f>IF(A77=FALSE,"",IF(UA77="FIXE",Cotations!EF77,Cotations!EG77*Y77))</f>
        <v/>
      </c>
      <c r="UG77" s="300" t="str">
        <f t="shared" si="607"/>
        <v/>
      </c>
      <c r="UH77" s="522" t="str">
        <f>IF(A77=FALSE,"",IF(Cotations!EE77="monthly",UG77/12*L77,UG77/365*M77))</f>
        <v/>
      </c>
      <c r="UI77" s="489" t="str">
        <f>IF(A77=FALSE,"",IF(Cotations!EH77="","",Cotations!EH77))</f>
        <v/>
      </c>
      <c r="UJ77" s="300" t="str">
        <f t="shared" si="608"/>
        <v/>
      </c>
      <c r="UK77" s="300" t="str">
        <f t="shared" si="609"/>
        <v/>
      </c>
      <c r="UL77" s="919" t="str">
        <f t="shared" si="610"/>
        <v/>
      </c>
      <c r="UM77" s="517" t="str">
        <f>IF(A77=FALSE,"",Cotations!EI77)</f>
        <v/>
      </c>
      <c r="UN77" s="517" t="str">
        <f>IF(A77=FALSE,"",Cotations!EJ77)</f>
        <v/>
      </c>
      <c r="UO77" s="493" t="str">
        <f>IF(A77=FALSE,"",Cotations!EK77)</f>
        <v/>
      </c>
      <c r="UP77" s="517" t="str">
        <f>IF(A77=FALSE,"",IF(UM77="N/A",0,IF(INDEX(LISTES!$F$105:$F$109,MATCH(UM77,LISTES!$C$105:$C$109,0))="FIX",IF(INDEX(LISTES!$E$105:$E$109,MATCH(UM77,LISTES!$C$105:$C$109,0))=12,UN77/12*L77,UN77/365*M77),UO77*UL77)))</f>
        <v/>
      </c>
      <c r="UQ77" s="294" t="str">
        <f t="shared" si="611"/>
        <v/>
      </c>
      <c r="UR77" s="494" t="str">
        <f>IF(A77=FALSE,"",UQ77*Cotations!EL77)</f>
        <v/>
      </c>
      <c r="US77" s="494" t="str">
        <f>IF(A77=FALSE,"",UQ77*Cotations!EM77)</f>
        <v/>
      </c>
      <c r="UT77" s="338" t="str">
        <f t="shared" si="612"/>
        <v/>
      </c>
      <c r="UU77" s="919" t="str">
        <f>IF(A77=FALSE,"",((UG77*(1+TAXE)-(UG77*(1+TAXE)*UI77))+IF(UM77="N/A",0,IF(INDEX(LISTES!$F$105:$F$109,MATCH(UM77,LISTES!$C$105:$C$109,0))="FIX",UN77,UO77*UL77))))</f>
        <v/>
      </c>
      <c r="VA77" s="492" t="str">
        <f>IF(A77=FALSE,"",Cotations!D77)</f>
        <v/>
      </c>
      <c r="VB77" s="519" t="str">
        <f>IF(A77=FALSE,"",IF(LISTES!$A$17=1,Cotations!EN77,Cotations!EO77))</f>
        <v/>
      </c>
      <c r="VC77" s="291" t="str">
        <f t="shared" si="613"/>
        <v/>
      </c>
      <c r="VD77" s="291" t="str">
        <f t="shared" si="614"/>
        <v/>
      </c>
      <c r="VE77" s="291"/>
      <c r="VF77" s="463"/>
      <c r="VG77" s="463" t="str">
        <f t="shared" si="615"/>
        <v/>
      </c>
      <c r="VH77" s="522" t="str">
        <f>IF(A77=FALSE,"",IF(Cotations!$AQ$4="monthly",VG77/12*L77,VG77/365*M77))</f>
        <v/>
      </c>
      <c r="VI77" s="489" t="str">
        <f>IF(A77=FALSE,"",Cotations!$AR$4)</f>
        <v/>
      </c>
      <c r="VJ77" s="300" t="str">
        <f t="shared" si="616"/>
        <v/>
      </c>
      <c r="VK77" s="300" t="str">
        <f t="shared" si="617"/>
        <v/>
      </c>
      <c r="VL77" s="294" t="str">
        <f t="shared" si="618"/>
        <v/>
      </c>
      <c r="VM77" s="494" t="str">
        <f>IF(A77=FALSE,"",Cotations!$AS$4)</f>
        <v/>
      </c>
      <c r="VN77" s="494" t="str">
        <f>IF(A77=FALSE,"",Cotations!$AT$4)</f>
        <v/>
      </c>
      <c r="VO77" s="489" t="str">
        <f>IF(A77=FALSE,"",Cotations!$AU$4)</f>
        <v/>
      </c>
      <c r="VP77" s="494" t="str">
        <f>IF(A77=FALSE,"",IF(VM77="N/A",0,IF(INDEX(LISTES!$F$105:$F$109,MATCH(VM77,LISTES!$C$105:$C$109,0))="FIX",IF(INDEX(LISTES!$E$105:$E$109,MATCH(VM77,LISTES!$C$105:$C$109,0))=12,VN77/12*L77,VN77/365*M77),VO77*VL77)))</f>
        <v/>
      </c>
      <c r="VQ77" s="294" t="str">
        <f t="shared" si="619"/>
        <v/>
      </c>
      <c r="VR77" s="494" t="str">
        <f>IF(A77=FALSE,"",VQ77*Cotations!$AV$4)</f>
        <v/>
      </c>
      <c r="VS77" s="494" t="str">
        <f>IF(A77=FALSE,"",VQ77*Cotations!$AW$4)</f>
        <v/>
      </c>
      <c r="VT77" s="465" t="str">
        <f t="shared" si="620"/>
        <v/>
      </c>
      <c r="VU77" s="919" t="str">
        <f>IF(A77=FALSE,"",((VG77*TAXE)-(VG77*TAXE*VI77))+IF(VM77="N/A",0,IF(INDEX(LISTES!$F$105:$F$109,MATCH(VM77,LISTES!$C$105:$C$109,0))="FIX",VN77,VO77*VL77)))</f>
        <v/>
      </c>
      <c r="WA77" s="492" t="str">
        <f>IF(A77=FALSE,"",Cotations!D77)</f>
        <v/>
      </c>
      <c r="WB77" s="519" t="str">
        <f>IF(A77=FALSE,"",IF(LISTES!$A$17=1,Cotations!EW77,Cotations!EX77))</f>
        <v/>
      </c>
      <c r="WC77" s="291" t="str">
        <f t="shared" si="621"/>
        <v/>
      </c>
      <c r="WD77" s="291" t="str">
        <f t="shared" si="622"/>
        <v/>
      </c>
      <c r="WE77" s="291"/>
      <c r="WF77" s="463"/>
      <c r="WG77" s="463" t="str">
        <f t="shared" si="623"/>
        <v/>
      </c>
      <c r="WH77" s="522" t="str">
        <f>IF(A77=FALSE,"",IF(Cotations!$AQ$4="monthly",WG77/12*L77,WG77/365*M77))</f>
        <v/>
      </c>
      <c r="WI77" s="489" t="str">
        <f>IF(A77=FALSE,"",Cotations!$AR$4)</f>
        <v/>
      </c>
      <c r="WJ77" s="300" t="str">
        <f t="shared" si="624"/>
        <v/>
      </c>
      <c r="WK77" s="300" t="str">
        <f t="shared" si="625"/>
        <v/>
      </c>
      <c r="WL77" s="294" t="str">
        <f t="shared" si="626"/>
        <v/>
      </c>
      <c r="WM77" s="494" t="str">
        <f>IF(A77=FALSE,"",Cotations!$AS$4)</f>
        <v/>
      </c>
      <c r="WN77" s="494" t="str">
        <f>IF(A77=FALSE,"",Cotations!$AT$4)</f>
        <v/>
      </c>
      <c r="WO77" s="489" t="str">
        <f>IF(A77=FALSE,"",Cotations!$AU$4)</f>
        <v/>
      </c>
      <c r="WP77" s="494" t="str">
        <f>IF(A77=FALSE,"",IF(WM77="N/A",0,IF(INDEX(LISTES!$F$105:$F$109,MATCH(WM77,LISTES!$C$105:$C$109,0))="FIX",IF(INDEX(LISTES!$E$105:$E$109,MATCH(WM77,LISTES!$C$105:$C$109,0))=12,WN77/12*L77,WN77/365*M77),WO77*WL77)))</f>
        <v/>
      </c>
      <c r="WQ77" s="294" t="str">
        <f t="shared" si="627"/>
        <v/>
      </c>
      <c r="WR77" s="494" t="str">
        <f>IF(A77=FALSE,"",WQ77*Cotations!$AV$4)</f>
        <v/>
      </c>
      <c r="WS77" s="494" t="str">
        <f>IF(A77=FALSE,"",WQ77*Cotations!$AW$4)</f>
        <v/>
      </c>
      <c r="WT77" s="465" t="str">
        <f t="shared" si="628"/>
        <v/>
      </c>
      <c r="WU77" s="919" t="str">
        <f>IF(A77=FALSE,"",((WG77*TAXE)-(WG77*TAXE*WI77))+IF(WM77="N/A",0,IF(INDEX(LISTES!$F$105:$F$109,MATCH(WM77,LISTES!$C$105:$C$109,0))="FIX",WN77,WO77*WL77)))</f>
        <v/>
      </c>
    </row>
    <row r="78" spans="1:619">
      <c r="A78" s="942" t="b">
        <f t="shared" si="433"/>
        <v>0</v>
      </c>
      <c r="B78" s="942" t="b">
        <f>IF(NAMES!$B$9=TRUE,TRUE,FALSE)</f>
        <v>1</v>
      </c>
      <c r="C78" s="942" t="b">
        <f t="shared" si="413"/>
        <v>0</v>
      </c>
      <c r="D78" s="942" t="b">
        <f t="shared" si="414"/>
        <v>0</v>
      </c>
      <c r="E78" s="274" t="b">
        <f>IF(Cotations!C78="","",Cotations!C78)</f>
        <v>0</v>
      </c>
      <c r="F78" s="274" t="str">
        <f>IF(Cotations!D78="","",Cotations!D78)</f>
        <v>PROP</v>
      </c>
      <c r="G78" s="274" t="str">
        <f>IF(Cotations!E78="","",Cotations!E78)</f>
        <v>2016-2017!</v>
      </c>
      <c r="H78" s="274" t="str">
        <f>IF(Cotations!F78="","",Cotations!F78)</f>
        <v>SINGLE</v>
      </c>
      <c r="I78" s="274" t="str">
        <f>IF(Cotations!G78="","",Cotations!G78)</f>
        <v/>
      </c>
      <c r="J78" s="274" t="str">
        <f>IF(Cotations!H78="","",Cotations!H78)</f>
        <v/>
      </c>
      <c r="K78" s="274" t="str">
        <f>IF(Cotations!I78="","",Cotations!I78)</f>
        <v/>
      </c>
      <c r="L78" s="274" t="str">
        <f>IF(A78=FALSE,"",IF(Cotations!N78="","",Cotations!N78))</f>
        <v/>
      </c>
      <c r="M78" s="274" t="str">
        <f>IF(Cotations!P78="","",Cotations!P78)</f>
        <v/>
      </c>
      <c r="N78" s="724" t="str">
        <f>IF(NAMES!$B$10=TRUE,Cotations!J78,Cotations!L78)</f>
        <v/>
      </c>
      <c r="O78" s="724" t="str">
        <f>IF(NAMES!$B$10=TRUE,Cotations!K78,Cotations!M78)</f>
        <v/>
      </c>
      <c r="P78" s="943" t="str">
        <f t="shared" si="415"/>
        <v/>
      </c>
      <c r="Q78" s="724" t="str">
        <f>IF(A78=FALSE,"",IF(Crewlist!Y78="","",Crewlist!Y78))</f>
        <v/>
      </c>
      <c r="R78" s="78" t="str">
        <f>IF(Cotations!U78="","",Cotations!U78)</f>
        <v/>
      </c>
      <c r="S78" s="943" t="str">
        <f t="shared" si="416"/>
        <v/>
      </c>
      <c r="T78" s="919" t="str">
        <f>IF(A78=FALSE,"",VLOOKUP($U$15:$U$120,Currency!$A$2:$D$10,4,0)*Crewlist!N78)</f>
        <v/>
      </c>
      <c r="U78" s="1355" t="str">
        <f>IF(A78=FALSE,"",IF(IT78=0,Crewlist!M78&amp;"/"&amp;EX78,Crewlist!M78&amp;"/"&amp;IT78))</f>
        <v/>
      </c>
      <c r="V78" s="919" t="str">
        <f>IF(A78=FALSE,"",VLOOKUP($U$15:$U$120,Currency!$A$2:$D$10,4,0)*Detail!Q78)</f>
        <v/>
      </c>
      <c r="W78" s="1355" t="str">
        <f>IF(A78=FALSE,"",IF(IT78=0,Detail!R78&amp;"/"&amp;EX78,Detail!R78&amp;"/"&amp;IT78))</f>
        <v/>
      </c>
      <c r="X78" s="919" t="str">
        <f>IF(A78=FALSE,"",IF(LISTES!$C$17="Crewlist",Calcul!T78,Calcul!V78))</f>
        <v/>
      </c>
      <c r="Y78" s="758" t="str">
        <f t="shared" si="417"/>
        <v/>
      </c>
      <c r="Z78" s="758" t="str">
        <f>IF(A78=FALSE,"",IF(X78=0,0,IF((Cotations!BC78*12*X78)&lt;50000,50000,(12*X78))))</f>
        <v/>
      </c>
      <c r="AA78" s="758" t="str">
        <f t="shared" si="418"/>
        <v/>
      </c>
      <c r="AB78" s="758" t="str">
        <f>IF(A78=FALSE,"",IF(Crewlist!O78=0,"",Crewlist!O78))</f>
        <v/>
      </c>
      <c r="AC78" s="758" t="str">
        <f>IF(I78="","",VLOOKUP($AB$15:$AB$120,Currency!$A$15:$B$34,2,0))</f>
        <v/>
      </c>
      <c r="AD78" s="758" t="str">
        <f t="shared" si="419"/>
        <v/>
      </c>
      <c r="AE78" s="758" t="str">
        <f t="shared" si="420"/>
        <v/>
      </c>
      <c r="AF78" s="758" t="str">
        <f t="shared" si="421"/>
        <v/>
      </c>
      <c r="AG78" s="758" t="str">
        <f t="shared" si="422"/>
        <v/>
      </c>
      <c r="AH78" s="1355" t="str">
        <f t="shared" si="434"/>
        <v/>
      </c>
      <c r="AI78" s="919" t="str">
        <f t="shared" si="423"/>
        <v/>
      </c>
      <c r="AJ78" s="1382" t="str">
        <f t="shared" si="424"/>
        <v/>
      </c>
      <c r="AK78" s="1382" t="str">
        <f t="shared" si="425"/>
        <v/>
      </c>
      <c r="AL78" s="238" t="str">
        <f t="shared" si="435"/>
        <v/>
      </c>
      <c r="AM78" s="238" t="str">
        <f t="shared" si="436"/>
        <v/>
      </c>
      <c r="AN78" s="1374" t="str">
        <f t="shared" si="437"/>
        <v/>
      </c>
      <c r="AO78" s="238" t="str">
        <f t="shared" si="438"/>
        <v/>
      </c>
      <c r="AP78" s="342" t="str">
        <f>IF(A78=FALSE,"",INDEX(Rates!$Z$5:$Z$367,MATCH(EB78,colchoice,0)))</f>
        <v/>
      </c>
      <c r="AQ78" s="238" t="str">
        <f t="shared" si="439"/>
        <v/>
      </c>
      <c r="AR78" s="238" t="str">
        <f t="shared" si="440"/>
        <v/>
      </c>
      <c r="AS78" s="238" t="str">
        <f t="shared" si="441"/>
        <v/>
      </c>
      <c r="AT78" s="238" t="str">
        <f t="shared" si="442"/>
        <v/>
      </c>
      <c r="AU78" s="238" t="str">
        <f t="shared" si="443"/>
        <v/>
      </c>
      <c r="AV78" s="238" t="str">
        <f t="shared" si="429"/>
        <v/>
      </c>
      <c r="AW78" s="238" t="str">
        <f t="shared" si="444"/>
        <v/>
      </c>
      <c r="AX78" s="238" t="str">
        <f t="shared" si="445"/>
        <v/>
      </c>
      <c r="AY78" s="238" t="str">
        <f t="shared" si="446"/>
        <v/>
      </c>
      <c r="AZ78" s="238" t="str">
        <f t="shared" si="447"/>
        <v/>
      </c>
      <c r="BA78" s="238" t="str">
        <f t="shared" si="448"/>
        <v/>
      </c>
      <c r="BB78" s="552" t="str">
        <f t="shared" si="449"/>
        <v/>
      </c>
      <c r="BC78" s="347" t="str">
        <f t="shared" si="450"/>
        <v/>
      </c>
      <c r="BD78" s="239" t="str">
        <f t="shared" si="430"/>
        <v/>
      </c>
      <c r="BE78" s="239" t="str">
        <f>IF(A78=FALSE,"",IF(ALLTHESAME=TRUE,IF(DF78&lt;&gt;$BC$7,0,INDEX(DD78:DZ78,1,MATCH(Structure!$D$12,$DD$14:$DZ$14,0))),IF(EC78&lt;&gt;$BC$7,0,INDEX(EA78:EZ78,1,MATCH(Structure!$D$12,$EA$14:$EZ$14,0)))))</f>
        <v/>
      </c>
      <c r="BF78" s="239" t="str">
        <f>IF(A78=FALSE,"",IF(ALLTHESAME=TRUE,IF(FC78&lt;&gt;$BC$7,0,INDEX(FA78:FZ78,1,MATCH(Structure!$D$12,$FA$14:$FZ$14,0))),IF(GC78&lt;&gt;$BC$7,0,INDEX(GA78:GZ78,1,MATCH(Structure!$D$12,$GA$14:$GZ$14,0)))))</f>
        <v/>
      </c>
      <c r="BG78" s="239" t="str">
        <f>IF(A78=FALSE,"",IF(ALLTHESAME=TRUE,IF(VC78&lt;&gt;$BC$7,0,INDEX(VA78:VZ78,1,MATCH(Structure!$D$12,$VA$14:$VZ$14,0))),IF(VC78&lt;&gt;$BC$7,0,INDEX(VA78:VZ78,1,MATCH(Structure!$D$12,$VA$14:$VZ$14,0)))))</f>
        <v/>
      </c>
      <c r="BH78" s="239" t="str">
        <f>IF(A78=FALSE,"",IF(ALLTHESAME=TRUE,IF(WC78&lt;&gt;$BC$7,0,INDEX(WA78:WY78,1,MATCH(Structure!$D$12,$WA$14:$WZ$14,0))),IF(WC78&lt;&gt;$BC$7,0,INDEX(WA78:WZ78,1,MATCH(Structure!$D$12,$WA$14:$WZ$14,0)))))</f>
        <v/>
      </c>
      <c r="BI78" s="763" t="str">
        <f>IF(A78=FALSE,"",IF(ALLTHESAME=TRUE,IF(HC78&lt;&gt;$BC$7,0,INDEX(HA78:HZ78,1,MATCH(Structure!$D$12,$HA$14:$HZ$14,0)))+TK78,IF(IC78&lt;&gt;$BC$7,0,INDEX(IA78:IZ78,1,MATCH(Structure!$D$12,$IA$14:$IZ$14,0)))+TK78))</f>
        <v/>
      </c>
      <c r="BJ78" s="239" t="str">
        <f>IF(A78=FALSE,"",IF(ALLTHESAME=TRUE,IF(JC78&lt;&gt;$BC$7,0,INDEX(JA78:JZ78,1,MATCH(Structure!$D$12,$JA$14:$JZ$14,0))),IF(KC78&lt;&gt;$BC$7,0,INDEX(KA78:KZ78,1,MATCH(Structure!$D$12,$KA$14:$KZ$14,0)))))</f>
        <v/>
      </c>
      <c r="BK78" s="763" t="str">
        <f>IF(A78=FALSE,"",IF(ALLTHESAME=TRUE,IF(LC78&lt;&gt;$BC$7,0,INDEX(LA78:LZ78,1,MATCH(Structure!$D$12,$LA$14:$LZ$14,0)))+UK78,IF(MC78&lt;&gt;$BC$7,0,INDEX(MA78:MZ78,1,MATCH(Structure!$D$12,$MA$14:$MZ$14,0)))+UK78))</f>
        <v/>
      </c>
      <c r="BL78" s="239" t="str">
        <f>IF(A78=FALSE,"",IF(ALLTHESAME=TRUE,IF(NC78&lt;&gt;$BC$7,0,INDEX(NA78:NZ78,1,MATCH(Structure!$D$12,$NA$14:$NZ$14,0))),IF(OC78&lt;&gt;$BC$7,0,INDEX(OA78:OZ78,1,MATCH(Structure!$D$12,$OA$14:$OZ$14,0)))))</f>
        <v/>
      </c>
      <c r="BM78" s="239" t="str">
        <f>IF(A78=FALSE,"",IF(ALLTHESAME=TRUE,IF(PC78&lt;&gt;$BC$7,0,INDEX(PA78:PZ78,1,MATCH(Structure!$D$12,$PA$14:$PZ$14,0))),IF(QC78&lt;&gt;$BC$7,0,INDEX(QA78:QZ78,1,MATCH(Structure!$D$12,$QA$14:$QZ$14,0)))))</f>
        <v/>
      </c>
      <c r="BN78" s="341" t="str">
        <f>IF(A78=FALSE,"",IF(ALLTHESAME=TRUE,IF(RC78&lt;&gt;$BC$7,0,INDEX(RA78:RZ78,1,MATCH(Structure!$D$12,$RA$14:$RZ$14,0))),IF(SC78&lt;&gt;$BC$7,0,INDEX(SA78:TA78,1,MATCH(Structure!$D$12,$SA$14:$TA$14,0)))))</f>
        <v/>
      </c>
      <c r="BO78" s="507" t="str">
        <f t="shared" si="451"/>
        <v/>
      </c>
      <c r="BP78" s="239" t="str">
        <f t="shared" si="452"/>
        <v/>
      </c>
      <c r="BQ78" s="239" t="str">
        <f>IF(A78=FALSE,"",IF(ALLTHESAME=TRUE,IF(DF78&lt;&gt;$BO$7,0,INDEX(DD78:DZ78,1,MATCH(Structure!$D$12,$DD$14:$DZ$14,0))),IF(EC78&lt;&gt;$BO$7,0,INDEX(EA78:EZ78,1,MATCH(Structure!$D$12,$EA$14:$EZ$14,0)))))</f>
        <v/>
      </c>
      <c r="BR78" s="239" t="str">
        <f>IF(A78=FALSE,"",IF(ALLTHESAME=TRUE,IF(FC78&lt;&gt;$BO$7,0,INDEX(FA78:FZ78,1,MATCH(Structure!$D$12,$FA$14:$FZ$14,0))),IF(GC78&lt;&gt;$BO$7,0,INDEX(GA78:GZ78,1,MATCH(Structure!$D$12,$GA$14:$GZ$14,0)))))</f>
        <v/>
      </c>
      <c r="BS78" s="239" t="str">
        <f>IF(A78=FALSE,"",IF(ALLTHESAME=TRUE,IF(HC78&lt;&gt;$BO$7,0,INDEX(HA78:HZ78,1,MATCH(Structure!$D$12,$HA$14:$HZ$14,0))),IF(IC78&lt;&gt;$BO$7,0,INDEX(IA78:IZ78,1,MATCH(Structure!$D$12,$IA$14:$IZ$14,0)))))</f>
        <v/>
      </c>
      <c r="BT78" s="239" t="str">
        <f>IF(A78=FALSE,"",IF(ALLTHESAME=TRUE,IF(JC78&lt;&gt;$BO$7,0,INDEX(JA78:JZ78,1,MATCH(Structure!$D$12,$JA$14:$JZ$14,0))),IF(KC78&lt;&gt;$BO$7,0,INDEX(KA78:KZ78,1,MATCH(Structure!$D$12,$KA$14:$KZ$14,0)))))</f>
        <v/>
      </c>
      <c r="BU78" s="239" t="str">
        <f>IF(A78=FALSE,"",IF(ALLTHESAME=TRUE,IF(LC78&lt;&gt;$BO$7,0,INDEX(LA78:LZ78,1,MATCH(Structure!$D$12,$LA$14:$LZ$14,0))),IF(MC78&lt;&gt;$BO$7,0,INDEX(MA78:MZ78,1,MATCH(Structure!$D$12,$MA$14:$MZ$14,0)))))</f>
        <v/>
      </c>
      <c r="BV78" s="239" t="str">
        <f>IF(A78=FALSE,"",IF(ALLTHESAME=TRUE,IF(NC78&lt;&gt;$BO$7,0,INDEX(NA78:NZ78,1,MATCH(Structure!$D$12,$NA$14:$NZ$14,0))),IF(OC78&lt;&gt;$BO$7,0,INDEX(OA78:OZ78,1,MATCH(Structure!$D$12,$OA$14:$OZ$14,0)))))</f>
        <v/>
      </c>
      <c r="BW78" s="239" t="str">
        <f>IF(A78=FALSE,"",IF(ALLTHESAME=TRUE,IF(PC78&lt;&gt;$BO$7,0,INDEX(PA78:PZ78,1,MATCH(Structure!$D$12,$PA$14:$PZ$14,0))),IF(QC78&lt;&gt;$BO$7,0,INDEX(QA78:QZ78,1,MATCH(Structure!$D$12,$QA$14:$QZ$14,0)))))</f>
        <v/>
      </c>
      <c r="BX78" s="341" t="str">
        <f>IF(A78=FALSE,"",IF(ALLTHESAME=TRUE,IF(RC78&lt;&gt;$BO$7,0,INDEX(RA78:RZ78,1,MATCH(Structure!$D$12,$RA$14:$RZ$14,0))),IF(SC78&lt;&gt;$BO$7,0,INDEX(SA78:TA78,1,MATCH(Structure!$D$12,$SA$14:$TA$14,0)))))</f>
        <v/>
      </c>
      <c r="BY78" s="347" t="str">
        <f t="shared" si="453"/>
        <v/>
      </c>
      <c r="BZ78" s="507" t="str">
        <f t="shared" si="454"/>
        <v/>
      </c>
      <c r="CA78" s="239" t="str">
        <f t="shared" si="455"/>
        <v/>
      </c>
      <c r="CB78" s="239" t="str">
        <f>IF(A78=FALSE,"",IF(ALLTHESAME=TRUE,INDEX(DD78:DZ78,MATCH(DF78,DF78:DF183,0),MATCH(Structure!$D$17,$DD$14:$DZ$14,0)),INDEX(EA78:EZ78,MATCH(EC78,EC78:EC183,0),MATCH(Structure!$D$17,$EA$14:$EZ$14,0))))</f>
        <v/>
      </c>
      <c r="CC78" s="239" t="str">
        <f>IF(A78=FALSE,"",IF(ALLTHESAME=TRUE,INDEX(FA78:FZ78,MATCH(FC78,FC78:FC183,0),MATCH(Structure!$D$17,$FA$14:$FZ$14,0)),INDEX(GA78:GZ78,MATCH(GC78,GC78:GC183,0),MATCH(Structure!$D$17,$GA$14:$GZ$14,0))))</f>
        <v/>
      </c>
      <c r="CD78" s="239" t="str">
        <f>IF(A78=FALSE,"",IF(ALLTHESAME=TRUE,INDEX(HA78:HZ78,MATCH(HC78,HC78:HC183,0),MATCH(Structure!$D$17,$HA$14:$HZ$14,0)),INDEX(IA78:IZ78,MATCH(IC78,IC78:IC183,0),MATCH(Structure!$D$17,$IA$14:$IZ$14,0))))</f>
        <v/>
      </c>
      <c r="CE78" s="239" t="str">
        <f>IF(A78=FALSE,"",IF(ALLTHESAME=TRUE,INDEX(JA78:JZ78,MATCH(JC78,JC78:JC183,0),MATCH(Structure!$D$17,$JA$14:$JZ$14,0)),INDEX(KA78:KZ78,MATCH(KC78,KC78:KC183,0),MATCH(Structure!$D$17,$KA$14:$KZ$14,0))))</f>
        <v/>
      </c>
      <c r="CF78" s="239" t="str">
        <f>IF(A78=FALSE,"",IF(ALLTHESAME=TRUE,INDEX(LA78:LZ78,MATCH(LC78,LC78:LC183,0),MATCH(Structure!$D$17,$LA$14:$LZ$14,0)),INDEX(MA78:MZ78,MATCH(MC78,MC78:MC183,0),MATCH(Structure!$D$17,$MA$14:$MZ$14,0))))</f>
        <v/>
      </c>
      <c r="CG78" s="239" t="str">
        <f>IF(A78=FALSE,"",IF(ALLTHESAME=TRUE,INDEX(NA78:NZ78,MATCH(NC78,NC78:NC183,0),MATCH(Structure!$D$17,$NA$14:$NZ$14,0)),INDEX(OA78:OZ78,MATCH(OC78,OC78:OC183,0),MATCH(Structure!$D$17,$OA$14:$OZ$14,0))))</f>
        <v/>
      </c>
      <c r="CH78" s="239" t="str">
        <f>IF(A78=FALSE,"",IF(ALLTHESAME=TRUE,INDEX(PA78:PZ78,MATCH(PC78,PC78:PC183,0),MATCH(Structure!$D$17,$PA$14:$PZ$14,0)),INDEX(QA78:QZ78,MATCH(QC78,QC78:QC183,0),MATCH(Structure!$D$17,$QA$14:$QZ$14,0))))</f>
        <v/>
      </c>
      <c r="CI78" s="341" t="str">
        <f>IF(A78=FALSE,"",IF(ALLTHESAME=TRUE,INDEX(RA78:RZ78,MATCH(RC78,RC78:RC183,0),MATCH(Structure!$D$17,$RA$14:$RZ$14,0)),INDEX(SA78:TC78,MATCH(SC78,SC78:SC183,0),MATCH(Structure!$D$17,$SA$14:$TC$14,0))))</f>
        <v/>
      </c>
      <c r="CJ78" s="347"/>
      <c r="CK78" s="239" t="str">
        <f t="shared" si="456"/>
        <v/>
      </c>
      <c r="CL78" s="239" t="str">
        <f>IF(A78=FALSE,"",IF(ALLTHESAME=TRUE,INDEX(DD78:DZ78,MATCH(DF78,DF78:DF183,0),MATCH(Structure!$D$22,$DD$14:$DZ$14,0)),INDEX(EA78:EZ78,MATCH(EC78,EC78:EC183,0),MATCH(Structure!$D$22,$EA$14:$EZ$14,0))))</f>
        <v/>
      </c>
      <c r="CM78" s="239" t="str">
        <f>IF(A78=FALSE,"",IF(ALLTHESAME=TRUE,INDEX(FA78:FZ78,MATCH(FC78,FC78:FC183,0),MATCH(Structure!$D$22,$FA$14:$FZ$14,0)),INDEX(GA78:GZ78,MATCH(GC78,GC78:GC183,0),MATCH(Structure!$D$22,$GA$14:$GZ$14,0))))</f>
        <v/>
      </c>
      <c r="CN78" s="239" t="str">
        <f>IF(A78=FALSE,"",IF(ALLTHESAME=TRUE,INDEX(HA78:HZ78,MATCH(HC78,HC78:HC183,0),MATCH(Structure!$D$22,$HA$14:$HZ$14,0)),INDEX(IA78:IZ78,MATCH(IC78,IC78:IC183,0),MATCH(Structure!$D$22,$IA$14:$IZ$14,0))))</f>
        <v/>
      </c>
      <c r="CO78" s="239" t="str">
        <f>IF(A78=FALSE,"",IF(ALLTHESAME=TRUE,INDEX(JA78:JZ78,MATCH(JC78,JC78:JC183,0),MATCH(Structure!$D$22,$JA$14:$JZ$14,0)),INDEX(KA78:KZ78,MATCH(KC78,KC78:KC183,0),MATCH(Structure!$D$22,$KA$14:$KZ$14,0))))</f>
        <v/>
      </c>
      <c r="CP78" s="239" t="str">
        <f>IF(A78=FALSE,"",IF(ALLTHESAME=TRUE,INDEX(LA78:LZ78,MATCH(LC78,LC78:LC183,0),MATCH(Structure!$D$22,$LA$14:$LZ$14,0)),INDEX(MA78:MZ78,MATCH(MC78,MC78:MC183,0),MATCH(Structure!$D$22,$MA$14:$MZ$14,0))))</f>
        <v/>
      </c>
      <c r="CQ78" s="239" t="str">
        <f>IF(A78=FALSE,"",IF(ALLTHESAME=TRUE,INDEX(NA78:NZ78,MATCH(NC78,NC78:NC183,0),MATCH(Structure!$D$22,$NA$14:$NZ$14,0)),INDEX(OA78:OZ78,MATCH(OC78,OC78:OC183,0),MATCH(Structure!$D$22,$OA$14:$OZ$14,0))))</f>
        <v/>
      </c>
      <c r="CR78" s="239" t="str">
        <f>IF(A78=FALSE,"",IF(ALLTHESAME=TRUE,INDEX(PA78:PZ78,MATCH(PC78,PC78:PC183,0),MATCH(Structure!$D$22,$PA$14:$PZ$14,0)),INDEX(QA78:QZ78,MATCH(QC78,QC78:QC183,0),MATCH(Structure!$D$22,$QA$14:$QZ$14,0))))</f>
        <v/>
      </c>
      <c r="CS78" s="341" t="str">
        <f>IF(A78=FALSE,"",IF(ALLTHESAME=TRUE,INDEX(RA78:RZ78,MATCH(RC78,RC78:RC183,0),MATCH(Structure!$D$22,$RA$14:$RZ$14,0)),INDEX(SA78:TC78,MATCH(SC78,SC78:SC183,0),MATCH(Structure!$D$22,$SA$14:$TC$14,0))))</f>
        <v/>
      </c>
      <c r="CT78" s="347"/>
      <c r="CU78" s="239" t="str">
        <f t="shared" si="457"/>
        <v/>
      </c>
      <c r="CV78" s="239" t="str">
        <f>IF(A78=FALSE,"",IF(ALLTHESAME=TRUE,INDEX(DD78:DZ78,MATCH(DF78,DF78:DF183,0),MATCH(Structure!$D$8,$DD$14:$DZ$14,0)),INDEX(EA78:EZ78,MATCH(EC78,EC78:EC183,0),MATCH(Structure!$D$8,$EA$14:$EZ$14,0))))</f>
        <v/>
      </c>
      <c r="CW78" s="239" t="str">
        <f>IF(A78=FALSE,"",IF(ALLTHESAME=TRUE,INDEX(FA78:FZ78,MATCH(FC78,FC78:FC183,0),MATCH(Structure!$D$8,$FA$14:$FZ$14,0)),INDEX(GA78:GZ78,MATCH(GC78,GC78:GC183,0),MATCH(Structure!$D$8,$GA$14:$GZ$14,0))))</f>
        <v/>
      </c>
      <c r="CX78" s="239" t="str">
        <f>IF(A78=FALSE,"",IF(ALLTHESAME=TRUE,INDEX(HA78:HZ78,MATCH(HC78,HC78:HC183,0),MATCH(Structure!$D$8,$HA$14:$HZ$14,0)),INDEX(IA78:IZ78,MATCH(IC78,IC78:IC183,0),MATCH(Structure!$D$8,$IA$14:$IZ$14,0))))</f>
        <v/>
      </c>
      <c r="CY78" s="239" t="str">
        <f>IF(A78=FALSE,"",IF(ALLTHESAME=TRUE,INDEX(JA78:JZ78,MATCH(JC78,JC78:JC183,0),MATCH(Structure!$D$8,$JA$14:$JZ$14,0)),INDEX(KA78:KZ78,MATCH(KC78,KC78:KC183,0),MATCH(Structure!$D$8,$KA$14:$KZ$14,0))))</f>
        <v/>
      </c>
      <c r="CZ78" s="239" t="str">
        <f>IF(A78=FALSE,"",IF(ALLTHESAME=TRUE,INDEX(LA78:LZ78,MATCH(LC78,LC78:LC183,0),MATCH(Structure!$D$8,$LA$14:$LZ$14,0)),INDEX(MA78:MZ78,MATCH(MC78,MC78:MC183,0),MATCH(Structure!$D$8,$MA$14:$MZ$14,0))))</f>
        <v/>
      </c>
      <c r="DA78" s="239" t="str">
        <f>IF(A78=FALSE,"",IF(ALLTHESAME=TRUE,INDEX(NA78:NZ78,MATCH(NC78,NC78:NC183,0),MATCH(Structure!$D$8,$NA$14:$NZ$14,0)),INDEX(OA78:OZ78,MATCH(OC78,OC78:OC183,0),MATCH(Structure!$D$8,$OA$14:$OZ$14,0))))</f>
        <v/>
      </c>
      <c r="DB78" s="239" t="str">
        <f>IF(A78=FALSE,"",IF(ALLTHESAME=TRUE,INDEX(PA78:PZ78,MATCH(PC78,PC78:PC183,0),MATCH(Structure!$D$8,$PA$14:$PZ$14,0)),INDEX(QA78:QZ78,MATCH(QC78,QC78:QC183,0),MATCH(Structure!$D$8,$QA$14:$QZ$14,0))))</f>
        <v/>
      </c>
      <c r="DC78" s="341" t="str">
        <f>IF(A78=FALSE,"",IF(ALLTHESAME=TRUE,INDEX(RA78:RZ78,MATCH(RC78,RC78:RC183,0),MATCH(Structure!$D$8,$RA$14:$RZ$14,0)),INDEX(SA78:TC78,MATCH(SC78,SC78:SC183,0),MATCH(Structure!$D$8,$SA$14:$TC$14,0))))</f>
        <v/>
      </c>
      <c r="DD78" s="492" t="str">
        <f>IF(A78=FALSE,"",Cotations!D78)</f>
        <v/>
      </c>
      <c r="DE78" s="492" t="str">
        <f>IF(A78=FALSE,"",IF(LISTES!$A$17=1,Cotations!AF78,Cotations!$AG$4))</f>
        <v/>
      </c>
      <c r="DF78" s="291" t="str">
        <f t="shared" si="458"/>
        <v/>
      </c>
      <c r="DG78" s="291" t="str">
        <f t="shared" si="459"/>
        <v/>
      </c>
      <c r="DH78" s="291"/>
      <c r="DI78" s="463"/>
      <c r="DJ78" s="463" t="str">
        <f t="shared" si="460"/>
        <v/>
      </c>
      <c r="DK78" s="522" t="str">
        <f>IF(A78=FALSE,"",IF(Cotations!$AH$4="monthly",DJ78/12*L78,DJ78/365*M78))</f>
        <v/>
      </c>
      <c r="DL78" s="489" t="str">
        <f>IF(A78=FALSE,"",Cotations!$AI$4)</f>
        <v/>
      </c>
      <c r="DM78" s="300" t="str">
        <f t="shared" si="461"/>
        <v/>
      </c>
      <c r="DN78" s="300" t="str">
        <f t="shared" si="462"/>
        <v/>
      </c>
      <c r="DO78" s="294" t="str">
        <f t="shared" si="463"/>
        <v/>
      </c>
      <c r="DP78" s="494" t="str">
        <f>IF(A78=FALSE,"",Cotations!$AJ$4)</f>
        <v/>
      </c>
      <c r="DQ78" s="494" t="str">
        <f>IF(A78=FALSE,"",Cotations!$AK$4)</f>
        <v/>
      </c>
      <c r="DR78" s="489" t="str">
        <f>IF(A78=FALSE,"",Cotations!$AL$4)</f>
        <v/>
      </c>
      <c r="DS78" s="494" t="str">
        <f>IF(A78=FALSE,"",IF(DP78="N/A",0,IF(INDEX(LISTES!$F$105:$F$109,MATCH(DP78,LISTES!$C$105:$C$109,0))="FIX",IF(INDEX(LISTES!$E$105:$E$109,MATCH(DP78,LISTES!$C$105:$C$109,0))=12,DQ78/12*L78,DQ78/365*M78),DR78*DO78)))</f>
        <v/>
      </c>
      <c r="DT78" s="294" t="str">
        <f t="shared" si="464"/>
        <v/>
      </c>
      <c r="DU78" s="294" t="str">
        <f>IF(A78=FALSE,"",DT78*Cotations!$AM$4)</f>
        <v/>
      </c>
      <c r="DV78" s="294" t="str">
        <f>IF(A78=FALSE,"",DT78*Cotations!$AN$4)</f>
        <v/>
      </c>
      <c r="DW78" s="465" t="str">
        <f t="shared" si="465"/>
        <v/>
      </c>
      <c r="DX78" s="919" t="str">
        <f>IF(A78=FALSE,"",((DJ78*TAXE)-(DJ78*TAXE*DL78))+IF(DP78="N/A",0,IF(INDEX(LISTES!$F$105:$F$109,MATCH(DP78,LISTES!$C$105:$C$109,0))="FIX",DQ78,DR78*DO78)))</f>
        <v/>
      </c>
      <c r="DY78" s="466"/>
      <c r="DZ78" s="466"/>
      <c r="EA78" s="492" t="str">
        <f>IF(A78=FALSE,"",Cotations!D78)</f>
        <v/>
      </c>
      <c r="EB78" s="494" t="str">
        <f>IF(A78=FALSE,"",IF(LISTES!$A$17=1,Cotations!AF78,Cotations!AG78))</f>
        <v/>
      </c>
      <c r="EC78" s="284" t="str">
        <f t="shared" si="466"/>
        <v/>
      </c>
      <c r="ED78" s="284" t="str">
        <f t="shared" si="467"/>
        <v/>
      </c>
      <c r="EE78" s="284"/>
      <c r="EF78" s="284"/>
      <c r="EG78" s="284" t="str">
        <f t="shared" si="468"/>
        <v/>
      </c>
      <c r="EH78" s="1365" t="str">
        <f t="shared" si="469"/>
        <v/>
      </c>
      <c r="EI78" s="1365" t="str">
        <f t="shared" si="470"/>
        <v/>
      </c>
      <c r="EJ78" s="515" t="str">
        <f>IF(A78=FALSE,"",IF(Cotations!AH78="monthly",EG78/12*L78,EG78/365*M78))</f>
        <v/>
      </c>
      <c r="EK78" s="1364" t="str">
        <f>IF(A78=FALSE,"",IF(Cotations!AH78="monthly",EI78/12*L78,EI78/365*M78))</f>
        <v/>
      </c>
      <c r="EL78" s="493" t="str">
        <f>IF(A78=FALSE,"",IF(Cotations!AI78="","",Cotations!AI78))</f>
        <v/>
      </c>
      <c r="EM78" s="284" t="str">
        <f t="shared" si="471"/>
        <v/>
      </c>
      <c r="EN78" s="284" t="str">
        <f t="shared" si="472"/>
        <v/>
      </c>
      <c r="EO78" s="1365" t="str">
        <f t="shared" si="432"/>
        <v/>
      </c>
      <c r="EP78" s="284" t="str">
        <f t="shared" si="473"/>
        <v/>
      </c>
      <c r="EQ78" s="515" t="str">
        <f>IF(A78=FALSE,"",Cotations!AJ78)</f>
        <v/>
      </c>
      <c r="ER78" s="515" t="str">
        <f>IF(A78=FALSE,"",IF(Cotations!AK78="","",Cotations!AK78))</f>
        <v/>
      </c>
      <c r="ES78" s="493" t="str">
        <f>IF(A78=FALSE,"",Cotations!AL78)</f>
        <v/>
      </c>
      <c r="ET78" s="515" t="str">
        <f>IF(A78=FALSE,"",IF(EQ78="N/A",0,IF(INDEX(LISTES!$F$105:$F$109,MATCH(EQ78,LISTES!$C$105:$C$109,0))="FIX",IF(INDEX(LISTES!$E$105:$E$109,MATCH(EQ78,LISTES!$C$105:$C$109,0))=12,ER78/12*L78,ER78/365*M78),ES78*EP78)))</f>
        <v/>
      </c>
      <c r="EU78" s="294" t="str">
        <f t="shared" si="474"/>
        <v/>
      </c>
      <c r="EV78" s="494" t="str">
        <f>IF(A78=FALSE,"",EU78*Cotations!AM78)</f>
        <v/>
      </c>
      <c r="EW78" s="494" t="str">
        <f>IF(A78=FALSE,"",EU78*Cotations!AN78)</f>
        <v/>
      </c>
      <c r="EX78" s="334" t="str">
        <f t="shared" si="475"/>
        <v/>
      </c>
      <c r="EY78" s="919" t="str">
        <f>IF(A78=FALSE,"",((EG78*TAXE)-(EG78*TAXE*EL78)+EH78)+IF(EQ78="N/A",0,IF(INDEX(LISTES!$F$105:$F$109,MATCH(EQ78,LISTES!$C$105:$C$109,0))="FIX",ER78,ES78*EP78)))</f>
        <v/>
      </c>
      <c r="FA78" s="492" t="str">
        <f>IF(A78=FALSE,"",Cotations!D78)</f>
        <v/>
      </c>
      <c r="FB78" s="519" t="str">
        <f>IF(A78=FALSE,"",IF(LISTES!$A$17=1,Cotations!AO78,Cotations!$AP$4))</f>
        <v/>
      </c>
      <c r="FC78" s="291" t="str">
        <f t="shared" si="476"/>
        <v/>
      </c>
      <c r="FD78" s="291" t="str">
        <f t="shared" si="477"/>
        <v/>
      </c>
      <c r="FE78" s="291"/>
      <c r="FF78" s="463"/>
      <c r="FG78" s="463" t="str">
        <f t="shared" si="478"/>
        <v/>
      </c>
      <c r="FH78" s="522" t="str">
        <f>IF(A78=FALSE,"",IF(Cotations!$AQ$4="monthly",FG78/12*L78,FG78/365*M78))</f>
        <v/>
      </c>
      <c r="FI78" s="453" t="str">
        <f>IF(A78=FALSE,"",Cotations!$AR$4)</f>
        <v/>
      </c>
      <c r="FJ78" s="300" t="str">
        <f t="shared" si="479"/>
        <v/>
      </c>
      <c r="FK78" s="300" t="str">
        <f t="shared" si="480"/>
        <v/>
      </c>
      <c r="FL78" s="294" t="str">
        <f t="shared" si="481"/>
        <v/>
      </c>
      <c r="FM78" s="494" t="str">
        <f>IF(A78=FALSE,"",Cotations!$AS$4)</f>
        <v/>
      </c>
      <c r="FN78" s="494" t="str">
        <f>IF(A78=FALSE,"",Cotations!$AT$4)</f>
        <v/>
      </c>
      <c r="FO78" s="489" t="str">
        <f>IF(A78=FALSE,"",Cotations!$AU$4)</f>
        <v/>
      </c>
      <c r="FP78" s="494" t="str">
        <f>IF(A78=FALSE,"",IF(FM78="N/A",0,IF(INDEX(LISTES!$F$105:$F$109,MATCH(FM78,LISTES!$C$105:$C$109,0))="FIX",IF(INDEX(LISTES!$E$105:$E$109,MATCH(FM78,LISTES!$C$105:$C$109,0))=12,FN78/12*L78,FN78/365*M78),FO78*FL78)))</f>
        <v/>
      </c>
      <c r="FQ78" s="294" t="str">
        <f t="shared" si="482"/>
        <v/>
      </c>
      <c r="FR78" s="494" t="str">
        <f>IF(A78=FALSE,"",FQ78*Cotations!$AV$4)</f>
        <v/>
      </c>
      <c r="FS78" s="494" t="str">
        <f>IF(A78=FALSE,"",FQ78*Cotations!$AW$4)</f>
        <v/>
      </c>
      <c r="FT78" s="465" t="str">
        <f t="shared" si="483"/>
        <v/>
      </c>
      <c r="FU78" s="919" t="str">
        <f>IF(A78=FALSE,"",((FG78*TAXE)-(FG78*TAXE*FI78))+IF(FM78="N/A",0,IF(INDEX(LISTES!$F$105:$F$109,MATCH(FM78,LISTES!$C$105:$C$109,0))="FIX",FN78,FO78*FL78)))</f>
        <v/>
      </c>
      <c r="FV78" s="478"/>
      <c r="FW78" s="478"/>
      <c r="FX78" s="478"/>
      <c r="FY78" s="478"/>
      <c r="FZ78" s="478"/>
      <c r="GA78" s="492" t="str">
        <f>IF(A78=FALSE,"",Cotations!D78)</f>
        <v/>
      </c>
      <c r="GB78" s="494" t="str">
        <f>IF(A78=FALSE,"",IF(LISTES!$A$17=1,Cotations!AO78,Cotations!AP78))</f>
        <v/>
      </c>
      <c r="GC78" s="284" t="str">
        <f t="shared" si="484"/>
        <v/>
      </c>
      <c r="GD78" s="515" t="str">
        <f>IF(A78=FALSE,"",IF(Detail!AM78="","",Detail!AM78))</f>
        <v/>
      </c>
      <c r="GE78" s="284"/>
      <c r="GF78" s="284"/>
      <c r="GG78" s="284" t="str">
        <f t="shared" si="485"/>
        <v/>
      </c>
      <c r="GH78" s="515" t="str">
        <f>IF(A78=FALSE,"",IF(Cotations!AQ78="monthly",GG78/12*L78,GG78/365*M78))</f>
        <v/>
      </c>
      <c r="GI78" s="493" t="str">
        <f>IF(A78=FALSE,"",IF(Cotations!AR78="","",Cotations!AR78))</f>
        <v/>
      </c>
      <c r="GJ78" s="284" t="str">
        <f t="shared" si="486"/>
        <v/>
      </c>
      <c r="GK78" s="284" t="str">
        <f t="shared" si="487"/>
        <v/>
      </c>
      <c r="GL78" s="284" t="str">
        <f t="shared" si="488"/>
        <v/>
      </c>
      <c r="GM78" s="515" t="str">
        <f>IF(A78=FALSE,"",Cotations!AS78)</f>
        <v/>
      </c>
      <c r="GN78" s="515" t="str">
        <f>IF(A78=FALSE,"",Cotations!AT78)</f>
        <v/>
      </c>
      <c r="GO78" s="493" t="str">
        <f>IF(A78=FALSE,"",Cotations!AU78)</f>
        <v/>
      </c>
      <c r="GP78" s="515" t="str">
        <f>IF(A78=FALSE,"",IF(GM78="N/A",0,IF(INDEX(LISTES!$F$105:$F$109,MATCH(GM78,LISTES!$C$105:$C$109,0))="FIX",IF(INDEX(LISTES!$E$105:$E$109,MATCH(GM78,LISTES!$C$105:$C$109,0))=12,GN78/12*L78,GN78/365*M78),GO78*GL78)))</f>
        <v/>
      </c>
      <c r="GQ78" s="294" t="str">
        <f t="shared" si="489"/>
        <v/>
      </c>
      <c r="GR78" s="494" t="str">
        <f>IF(A78=FALSE,"",GQ78*Cotations!AV78)</f>
        <v/>
      </c>
      <c r="GS78" s="494" t="str">
        <f>IF(A78=FALSE,"",GQ78*Cotations!AW78)</f>
        <v/>
      </c>
      <c r="GT78" s="334" t="str">
        <f t="shared" si="490"/>
        <v/>
      </c>
      <c r="GU78" s="919" t="str">
        <f>IF(A78=FALSE,"",((GG78*TAXE)-(GG78*TAXE*GI78))+IF(GM78="N/A",0,IF(INDEX(LISTES!$F$105:$F$109,MATCH(GM78,LISTES!$C$105:$C$109,0))="FIX",GN78,GO78*GL78)))</f>
        <v/>
      </c>
      <c r="GV78" s="478"/>
      <c r="GW78" s="466"/>
      <c r="GX78" s="466"/>
      <c r="GY78" s="466"/>
      <c r="GZ78" s="466"/>
      <c r="HA78" s="492" t="str">
        <f>IF(A78=FALSE,"",Cotations!D78)</f>
        <v/>
      </c>
      <c r="HB78" s="495" t="str">
        <f>IF(A78=FALSE,"",IF(LISTES!$A$17=1,Cotations!AX78,Cotations!$AY$4))</f>
        <v/>
      </c>
      <c r="HC78" s="291" t="str">
        <f t="shared" si="491"/>
        <v/>
      </c>
      <c r="HD78" s="291" t="str">
        <f t="shared" si="492"/>
        <v/>
      </c>
      <c r="HE78" s="456" t="str">
        <f t="shared" si="493"/>
        <v/>
      </c>
      <c r="HF78" s="496" t="str">
        <f>IF(A78=FALSE,"",IF(HA78="POEA",Cotations!BA78,IF(HA78="FIXE",Cotations!$BA$4,Cotations!$BC$4*Y78)))</f>
        <v/>
      </c>
      <c r="HG78" s="300" t="str">
        <f t="shared" si="494"/>
        <v/>
      </c>
      <c r="HH78" s="522" t="str">
        <f>IF(A78=FALSE,"",IF(Cotations!$AZ$4="monthly",HG78/12*L78,HG78/365*M78))</f>
        <v/>
      </c>
      <c r="HI78" s="489" t="str">
        <f>IF(A78=FALSE,"",Cotations!$BD$4)</f>
        <v/>
      </c>
      <c r="HJ78" s="300" t="str">
        <f t="shared" si="495"/>
        <v/>
      </c>
      <c r="HK78" s="300" t="str">
        <f t="shared" si="496"/>
        <v/>
      </c>
      <c r="HL78" s="294" t="str">
        <f t="shared" si="497"/>
        <v/>
      </c>
      <c r="HM78" s="494" t="str">
        <f>IF(A78=FALSE,"",Cotations!$BE$4)</f>
        <v/>
      </c>
      <c r="HN78" s="522" t="str">
        <f>IF(A78=FALSE,"",Cotations!$BF$4)</f>
        <v/>
      </c>
      <c r="HO78" s="489" t="str">
        <f>IF(A78=FALSE,"",Cotations!$BG$4)</f>
        <v/>
      </c>
      <c r="HP78" s="494" t="str">
        <f>IF(A78=FALSE,"",IF(HM78="N/A",0,IF(INDEX(LISTES!$F$105:$F$109,MATCH(HM78,LISTES!$C$105:$C$109,0))="FIX",IF(INDEX(LISTES!$E$105:$E$109,MATCH(HM78,LISTES!$C$105:$C$109,0))=12,HN78/12*L78,HN78/365*M78),HO78*HL78)))</f>
        <v/>
      </c>
      <c r="HQ78" s="294" t="str">
        <f t="shared" si="498"/>
        <v/>
      </c>
      <c r="HR78" s="494" t="str">
        <f>IF(A78=FALSE,"",HQ78*Cotations!$BH$4)</f>
        <v/>
      </c>
      <c r="HS78" s="494" t="str">
        <f>IF(A78=FALSE,"",HQ78*Cotations!$BI$4)</f>
        <v/>
      </c>
      <c r="HT78" s="294" t="str">
        <f t="shared" si="499"/>
        <v/>
      </c>
      <c r="HU78" s="919" t="str">
        <f>IF(A78=FALSE,"",((HG78*TAXE)-(HG78*TAXE*HI78))+IF(HM78="N/A",0,IF(INDEX(LISTES!$F$105:$F$109,MATCH(HM78,LISTES!$C$105:$C$109,0))="FIX",HN78,HO78*HL78)))</f>
        <v/>
      </c>
      <c r="IA78" s="492" t="str">
        <f>IF(A78=FALSE,"",Cotations!D78)</f>
        <v/>
      </c>
      <c r="IB78" s="491" t="str">
        <f>IF(A78=FALSE,"",IF(LISTES!$A$17=1,Cotations!AX78,Cotations!AY78))</f>
        <v/>
      </c>
      <c r="IC78" s="285" t="str">
        <f t="shared" si="500"/>
        <v/>
      </c>
      <c r="ID78" s="300" t="str">
        <f>IF(A78=FALSE,"",IF(LISTES!$A$17=3,Detail!AU78,lig1_Formula_PREVOY))</f>
        <v/>
      </c>
      <c r="IE78" s="461" t="str">
        <f t="shared" si="501"/>
        <v/>
      </c>
      <c r="IF78" s="490" t="str">
        <f>IF(A78=FALSE,"",IF(IA78="POEA",Cotations!BA78,IF(HA78="FIXE",Cotations!BB78,IF(Cotations!BC78*Y78&lt;50000,Z78,Cotations!BC78*Y78))))</f>
        <v/>
      </c>
      <c r="IG78" s="300" t="str">
        <f t="shared" si="502"/>
        <v/>
      </c>
      <c r="IH78" s="522" t="str">
        <f>IF(A78=FALSE,"",IF(Cotations!AZ78="monthly",IG78/12*L78,IG78/365*M78))</f>
        <v/>
      </c>
      <c r="II78" s="489" t="str">
        <f>IF(A78=FALSE,"",IF(Cotations!BD78="","",Cotations!BD78))</f>
        <v/>
      </c>
      <c r="IJ78" s="300" t="str">
        <f t="shared" si="503"/>
        <v/>
      </c>
      <c r="IK78" s="300" t="str">
        <f t="shared" si="504"/>
        <v/>
      </c>
      <c r="IL78" s="919" t="str">
        <f t="shared" si="505"/>
        <v/>
      </c>
      <c r="IM78" s="517" t="str">
        <f>IF(A78=FALSE,"",Cotations!BE78)</f>
        <v/>
      </c>
      <c r="IN78" s="517" t="str">
        <f>IF(A78=FALSE,"",Cotations!BF78)</f>
        <v/>
      </c>
      <c r="IO78" s="493" t="str">
        <f>IF(A78=FALSE,"",Cotations!BG78)</f>
        <v/>
      </c>
      <c r="IP78" s="517" t="str">
        <f>IF(A78=FALSE,"",IF(IM78="N/A",0,IF(INDEX(LISTES!$F$105:$F$109,MATCH(IM78,LISTES!$C$105:$C$109,0))="FIX",IF(INDEX(LISTES!$E$105:$E$109,MATCH(IM78,LISTES!$C$105:$C$109,0))=12,IN78/12*L78,IN78/365*M78),IO78*IL78)))</f>
        <v/>
      </c>
      <c r="IQ78" s="294" t="str">
        <f t="shared" si="506"/>
        <v/>
      </c>
      <c r="IR78" s="494" t="str">
        <f>IF(A78=FALSE,"",IQ78*Cotations!BH78)</f>
        <v/>
      </c>
      <c r="IS78" s="494" t="str">
        <f>IF(A78=FALSE,"",IQ78*Cotations!BI78)</f>
        <v/>
      </c>
      <c r="IT78" s="338" t="str">
        <f t="shared" si="507"/>
        <v/>
      </c>
      <c r="IU78" s="919" t="str">
        <f>IF(A78=FALSE,"",((IG78*TAXE)-(IG78*TAXE*II78))+IF(IM78="N/A",0,IF(INDEX(LISTES!$F$105:$F$109,MATCH(IM78,LISTES!$C$105:$C$109,0))="FIX",IN78,IO78*IL78)))</f>
        <v/>
      </c>
      <c r="JA78" s="492" t="str">
        <f>IF(A78=FALSE,"",Cotations!D78)</f>
        <v/>
      </c>
      <c r="JB78" s="495" t="str">
        <f>IF(A78=FALSE,"",IF(LISTES!$A$17=1,Cotations!BJ78,Cotations!$BK$4))</f>
        <v/>
      </c>
      <c r="JC78" s="291" t="str">
        <f t="shared" si="508"/>
        <v/>
      </c>
      <c r="JD78" s="291" t="str">
        <f t="shared" si="509"/>
        <v/>
      </c>
      <c r="JE78" s="456" t="str">
        <f t="shared" si="510"/>
        <v/>
      </c>
      <c r="JF78" s="496" t="str">
        <f>IF(A78=FALSE,"",IF(JA78="POEA",Cotations!BM78,IF(JA78="FIXE",Cotations!$BM$4,Cotations!$BO$4*Y78)))</f>
        <v/>
      </c>
      <c r="JG78" s="300" t="str">
        <f t="shared" si="511"/>
        <v/>
      </c>
      <c r="JH78" s="522" t="str">
        <f>IF(A78=FALSE,"",IF(Cotations!$BL$4="monthly",JG78/12*L78,JG78/365*M78))</f>
        <v/>
      </c>
      <c r="JI78" s="489" t="str">
        <f>IF(A78=FALSE,"",Cotations!$BP$4)</f>
        <v/>
      </c>
      <c r="JJ78" s="300" t="str">
        <f t="shared" si="512"/>
        <v/>
      </c>
      <c r="JK78" s="300" t="str">
        <f t="shared" si="513"/>
        <v/>
      </c>
      <c r="JL78" s="294" t="str">
        <f t="shared" si="514"/>
        <v/>
      </c>
      <c r="JM78" s="494" t="str">
        <f>IF(A78=FALSE,"",Cotations!$BQ$4)</f>
        <v/>
      </c>
      <c r="JN78" s="522" t="str">
        <f>IF(A78=FALSE,"",Cotations!$BR$4)</f>
        <v/>
      </c>
      <c r="JO78" s="489" t="str">
        <f>IF(A78=FALSE,"",Cotations!$BS$4)</f>
        <v/>
      </c>
      <c r="JP78" s="494" t="str">
        <f>IF(A78=FALSE,"",IF(JM78="N/A",0,IF(INDEX(LISTES!$F$105:$F$109,MATCH(JM78,LISTES!$C$105:$C$109,0))="FIX",IF(INDEX(LISTES!$E$105:$E$109,MATCH(JM78,LISTES!$C$105:$C$109,0))=12,JN78/12*L78,JN78/365*M78),JO78*JL78)))</f>
        <v/>
      </c>
      <c r="JQ78" s="294" t="str">
        <f t="shared" si="515"/>
        <v/>
      </c>
      <c r="JR78" s="494" t="str">
        <f>IF(A78=FALSE,"",JQ78*Cotations!$BT$4)</f>
        <v/>
      </c>
      <c r="JS78" s="494" t="str">
        <f>IF(A78=FALSE,"",JQ78*Cotations!$BU$4)</f>
        <v/>
      </c>
      <c r="JT78" s="294" t="str">
        <f t="shared" si="516"/>
        <v/>
      </c>
      <c r="JU78" s="919" t="str">
        <f>IF(A78=FALSE,"",((JG78*TAXE)-(JG78*TAXE*JI78))+IF(JM78="N/A",0,IF(INDEX(LISTES!$F$105:$F$109,MATCH(JM78,LISTES!$C$105:$C$109,0))="FIX",JN78,JO78*JL78)))</f>
        <v/>
      </c>
      <c r="KA78" s="492" t="str">
        <f>IF(A78=FALSE,"",Cotations!D78)</f>
        <v/>
      </c>
      <c r="KB78" s="491" t="str">
        <f>IF(A78=FALSE,"",IF(LISTES!$A$17=1,Cotations!BJ78,Cotations!BK78))</f>
        <v/>
      </c>
      <c r="KC78" s="285" t="str">
        <f t="shared" si="517"/>
        <v/>
      </c>
      <c r="KD78" s="300"/>
      <c r="KE78" s="461" t="str">
        <f t="shared" si="518"/>
        <v/>
      </c>
      <c r="KF78" s="490" t="str">
        <f>IF(A78=FALSE,"",IF(KA78="POEA",Cotations!BM78,IF(KA78="FIXE",Cotations!BN78,IF(Cotations!BO78*Y78&lt;50000,Z78,Cotations!BO78*Y78))))</f>
        <v/>
      </c>
      <c r="KG78" s="300" t="str">
        <f t="shared" si="519"/>
        <v/>
      </c>
      <c r="KH78" s="522" t="str">
        <f>IF(A78=FALSE,"",IF(Cotations!BL78="monthly",KG78/12*L78,KG78/365*M78))</f>
        <v/>
      </c>
      <c r="KI78" s="489" t="str">
        <f>IF(A78=FALSE,"",IF(Cotations!BP78="","",Cotations!BP78))</f>
        <v/>
      </c>
      <c r="KJ78" s="300" t="str">
        <f t="shared" si="520"/>
        <v/>
      </c>
      <c r="KK78" s="300" t="str">
        <f t="shared" si="521"/>
        <v/>
      </c>
      <c r="KL78" s="919" t="str">
        <f t="shared" si="522"/>
        <v/>
      </c>
      <c r="KM78" s="517" t="str">
        <f>IF(A78=FALSE,"",Cotations!BQ78)</f>
        <v/>
      </c>
      <c r="KN78" s="515" t="str">
        <f>IF(A78=FALSE,"",Cotations!BR78)</f>
        <v/>
      </c>
      <c r="KO78" s="493" t="str">
        <f>IF(A78=FALSE,"",Cotations!BS78)</f>
        <v/>
      </c>
      <c r="KP78" s="517" t="str">
        <f>IF(A78=FALSE,"",IF(KM78="N/A",0,IF(INDEX(LISTES!$F$105:$F$109,MATCH(KM78,LISTES!$C$105:$C$109,0))="FIX",IF(INDEX(LISTES!$E$105:$E$109,MATCH(KM78,LISTES!$C$105:$C$109,0))=12,KN78/12*L78,KN78/365*M78),KO78*KL78)))</f>
        <v/>
      </c>
      <c r="KQ78" s="294" t="str">
        <f t="shared" si="523"/>
        <v/>
      </c>
      <c r="KR78" s="494" t="str">
        <f>IF(A78=FALSE,"",KQ78*Cotations!BT78)</f>
        <v/>
      </c>
      <c r="KS78" s="494" t="str">
        <f>IF(A78=FALSE,"",KQ78*Cotations!BU78)</f>
        <v/>
      </c>
      <c r="KT78" s="338" t="str">
        <f t="shared" si="524"/>
        <v/>
      </c>
      <c r="KU78" s="919" t="str">
        <f>IF(A78=FALSE,"",((KG78*TAXE)-(KG78*TAXE*KI78))+IF(KM78="N/A",0,IF(INDEX(LISTES!$F$105:$F$109,MATCH(KM78,LISTES!$C$105:$C$109,0))="FIX",KN78,KO78*KL78)))</f>
        <v/>
      </c>
      <c r="LA78" s="497" t="str">
        <f>IF(A78=FALSE,"",Cotations!D78)</f>
        <v/>
      </c>
      <c r="LB78" s="498" t="str">
        <f>IF(A78=FALSE,"",IF(LISTES!$A$17=1,Cotations!BV78,Cotations!$BW$4))</f>
        <v/>
      </c>
      <c r="LC78" s="499" t="str">
        <f t="shared" si="525"/>
        <v/>
      </c>
      <c r="LD78" s="499" t="str">
        <f t="shared" si="526"/>
        <v/>
      </c>
      <c r="LE78" s="500" t="str">
        <f t="shared" si="527"/>
        <v/>
      </c>
      <c r="LF78" s="501" t="str">
        <f>IF(A78=FALSE,"",IF(LA78="POEA",Cotations!EJ78,IF(LA78="FIXE",Cotations!$BY$4,Cotations!$CA$4*Y78)))</f>
        <v/>
      </c>
      <c r="LG78" s="502" t="str">
        <f t="shared" si="528"/>
        <v/>
      </c>
      <c r="LH78" s="520" t="str">
        <f>IF(A78=FALSE,"",IF(Cotations!$BX$4="monthly",LG78/12*L78,LG78/365*M78))</f>
        <v/>
      </c>
      <c r="LI78" s="503" t="str">
        <f>IF(A78=FALSE,"",Cotations!$CB$4)</f>
        <v/>
      </c>
      <c r="LJ78" s="502" t="str">
        <f t="shared" si="529"/>
        <v/>
      </c>
      <c r="LK78" s="502" t="str">
        <f t="shared" si="530"/>
        <v/>
      </c>
      <c r="LL78" s="504" t="str">
        <f t="shared" si="531"/>
        <v/>
      </c>
      <c r="LM78" s="505" t="str">
        <f>IF(A78=FALSE,"",Cotations!$CC$4)</f>
        <v/>
      </c>
      <c r="LN78" s="503" t="str">
        <f>IF(A78=FALSE,"",Cotations!$CD$4)</f>
        <v/>
      </c>
      <c r="LO78" s="503" t="str">
        <f>IF(A78=FALSE,"",Cotations!$CE$4)</f>
        <v/>
      </c>
      <c r="LP78" s="505" t="str">
        <f>IF(A78=FALSE,"",IF(LM78="N/A",0,IF(INDEX(LISTES!$F$105:$F$109,MATCH(LM78,LISTES!$C$105:$C$109,0))="FIX",IF(INDEX(LISTES!$E$105:$E$109,MATCH(LM78,LISTES!$C$105:$C$109,0))=12,LN78/12*L78,LN78/365*M78),LO78*LL78)))</f>
        <v/>
      </c>
      <c r="LQ78" s="504" t="str">
        <f t="shared" si="532"/>
        <v/>
      </c>
      <c r="LR78" s="505" t="str">
        <f>IF(A78=FALSE,"",LQ78*Cotations!$CF$4)</f>
        <v/>
      </c>
      <c r="LS78" s="505" t="str">
        <f>IF(A78=FALSE,"",LQ78*Cotations!$CG$4)</f>
        <v/>
      </c>
      <c r="LT78" s="506" t="str">
        <f t="shared" si="533"/>
        <v/>
      </c>
      <c r="LU78" s="919" t="str">
        <f>IF(A78=FALSE,"",((LG78*TAXE)-(LG78*TAXE*LI78))+IF(LM78="N/A",0,IF(INDEX(LISTES!$F$105:$F$109,MATCH(LM78,LISTES!$C$105:$C$109,0))="FIX",LN78,LO78*LL78)))</f>
        <v/>
      </c>
      <c r="MA78" s="492" t="str">
        <f>IF(A78=FALSE,"",Cotations!D78)</f>
        <v/>
      </c>
      <c r="MB78" s="491" t="str">
        <f>IF(A78=FALSE,"",IF(LISTES!$A$17=1,Cotations!BV78,Cotations!BW78))</f>
        <v/>
      </c>
      <c r="MC78" s="285" t="str">
        <f t="shared" si="534"/>
        <v/>
      </c>
      <c r="MD78" s="300"/>
      <c r="ME78" s="461" t="str">
        <f t="shared" si="535"/>
        <v/>
      </c>
      <c r="MF78" s="490" t="str">
        <f>IF(A78=FALSE,"",IF(MA78="POEA",Cotations!BY78,IF(MA78="FIXE",Cotations!BZ78,IF(Cotations!CA78*Y78&lt;50000,Z78,Cotations!CA78*Y78))))</f>
        <v/>
      </c>
      <c r="MG78" s="300" t="str">
        <f t="shared" si="536"/>
        <v/>
      </c>
      <c r="MH78" s="522" t="str">
        <f>IF(A78=FALSE,"",IF(Cotations!BX78="monthly",MG78/12*L78,MG78/365*M78))</f>
        <v/>
      </c>
      <c r="MI78" s="489" t="str">
        <f>IF(A78=FALSE,"",IF(Cotations!CB78="","",Cotations!CB78))</f>
        <v/>
      </c>
      <c r="MJ78" s="300" t="str">
        <f t="shared" si="537"/>
        <v/>
      </c>
      <c r="MK78" s="300" t="str">
        <f t="shared" si="538"/>
        <v/>
      </c>
      <c r="ML78" s="919" t="str">
        <f t="shared" si="539"/>
        <v/>
      </c>
      <c r="MM78" s="517" t="str">
        <f>IF(A78=FALSE,"",Cotations!CC78)</f>
        <v/>
      </c>
      <c r="MN78" s="515" t="str">
        <f>IF(A78=FALSE,"",Cotations!CD78)</f>
        <v/>
      </c>
      <c r="MO78" s="493" t="str">
        <f>IF(A78=FALSE,"",Cotations!CE78)</f>
        <v/>
      </c>
      <c r="MP78" s="517" t="str">
        <f>IF(A78=FALSE,"",IF(MM78="N/A",0,IF(INDEX(LISTES!$F$105:$F$109,MATCH(MM78,LISTES!$C$105:$C$109,0))="FIX",IF(INDEX(LISTES!$E$105:$E$109,MATCH(MM78,LISTES!$C$105:$C$109,0))=12,MN78/12*L78,MN78/365*M78),MO78*ML78)))</f>
        <v/>
      </c>
      <c r="MQ78" s="294" t="str">
        <f t="shared" si="540"/>
        <v/>
      </c>
      <c r="MR78" s="494" t="str">
        <f>IF(A78=FALSE,"",MQ78*Cotations!CF78)</f>
        <v/>
      </c>
      <c r="MS78" s="494" t="str">
        <f>IF(A78=FALSE,"",MQ78*Cotations!CG78)</f>
        <v/>
      </c>
      <c r="MT78" s="338" t="str">
        <f t="shared" si="541"/>
        <v/>
      </c>
      <c r="MU78" s="919" t="str">
        <f>IF(A78=FALSE,"",((MG78*TAXE)-(MG78*TAXE*MI78))+IF(MM78="N/A",0,IF(INDEX(LISTES!$F$105:$F$109,MATCH(MM78,LISTES!$C$105:$C$109,0))="FIX",MN78,MO78*ML78)))</f>
        <v/>
      </c>
      <c r="NA78" s="497" t="str">
        <f>IF(A78=FALSE,"",Cotations!D78)</f>
        <v/>
      </c>
      <c r="NB78" s="498" t="str">
        <f>IF(A78=FALSE,"",IF(LISTES!$A$17=1,Cotations!CH78,Cotations!$CI$4))</f>
        <v/>
      </c>
      <c r="NC78" s="499" t="str">
        <f t="shared" si="542"/>
        <v/>
      </c>
      <c r="ND78" s="499" t="str">
        <f t="shared" si="543"/>
        <v/>
      </c>
      <c r="NE78" s="500" t="str">
        <f t="shared" si="544"/>
        <v/>
      </c>
      <c r="NF78" s="501" t="str">
        <f>IF(A78=FALSE,"",IF(NA78="POEA",Cotations!CK78,IF(NA78="FIXE",Cotations!$CK$4,Cotations!$CM$4*Y78)))</f>
        <v/>
      </c>
      <c r="NG78" s="502" t="str">
        <f t="shared" si="545"/>
        <v/>
      </c>
      <c r="NH78" s="520" t="str">
        <f>IF(A78=FALSE,"",IF(Cotations!$CJ$4="monthly",NG78/12*L78,NG78/365*M78))</f>
        <v/>
      </c>
      <c r="NI78" s="503" t="str">
        <f>IF(A78=FALSE,"",Cotations!$CN$4)</f>
        <v/>
      </c>
      <c r="NJ78" s="502" t="str">
        <f t="shared" si="546"/>
        <v/>
      </c>
      <c r="NK78" s="502" t="str">
        <f t="shared" si="547"/>
        <v/>
      </c>
      <c r="NL78" s="504" t="str">
        <f t="shared" si="548"/>
        <v/>
      </c>
      <c r="NM78" s="505" t="str">
        <f>IF(A78=FALSE,"",Cotations!$CO$4)</f>
        <v/>
      </c>
      <c r="NN78" s="520" t="str">
        <f>IF(A78=FALSE,"",Cotations!$CP$4)</f>
        <v/>
      </c>
      <c r="NO78" s="503" t="str">
        <f>IF(A78=FALSE,"",Cotations!$CQ$4)</f>
        <v/>
      </c>
      <c r="NP78" s="505" t="str">
        <f>IF(A78=FALSE,"",IF(NM78="N/A",0,IF(INDEX(LISTES!$F$105:$F$109,MATCH(NM78,LISTES!$C$105:$C$109,0))="FIX",IF(INDEX(LISTES!$E$105:$E$109,MATCH(NM78,LISTES!$C$105:$C$109,0))=12,NN78/12*L78,NN78/365*M78),NO78*NL78)))</f>
        <v/>
      </c>
      <c r="NQ78" s="504" t="str">
        <f t="shared" si="549"/>
        <v/>
      </c>
      <c r="NR78" s="505" t="str">
        <f>IF(A78=FALSE,"",NQ78*Cotations!$CR$4)</f>
        <v/>
      </c>
      <c r="NS78" s="505" t="str">
        <f>IF(A78=FALSE,"",NQ78*Cotations!$CS$4)</f>
        <v/>
      </c>
      <c r="NT78" s="506" t="str">
        <f t="shared" si="550"/>
        <v/>
      </c>
      <c r="NU78" s="919" t="str">
        <f>IF(A78=FALSE,"",((NG78*TAXE)-(NG78*TAXE*NI78))+IF(NM78="N/A",0,IF(INDEX(LISTES!$F$105:$F$109,MATCH(NM78,LISTES!$C$105:$C$109,0))="FIX",NN78,NO78*NL78)))</f>
        <v/>
      </c>
      <c r="OA78" s="492" t="str">
        <f>IF(A78=FALSE,"",Cotations!D78)</f>
        <v/>
      </c>
      <c r="OB78" s="491" t="str">
        <f>IF(A78=FALSE,"",IF(LISTES!$A$17=1,Cotations!CH78,Cotations!CI78))</f>
        <v/>
      </c>
      <c r="OC78" s="285" t="str">
        <f t="shared" si="551"/>
        <v/>
      </c>
      <c r="OD78" s="300"/>
      <c r="OE78" s="461" t="str">
        <f t="shared" si="552"/>
        <v/>
      </c>
      <c r="OF78" s="490" t="str">
        <f>IF(A78=FALSE,"",IF(OA78="POEA",Cotations!CK78,IF(OA78="FIXE",Cotations!CL78,IF(Cotations!CM78*Y78&lt;50000,Z78,Cotations!CM78*Y78))))</f>
        <v/>
      </c>
      <c r="OG78" s="300" t="str">
        <f t="shared" si="553"/>
        <v/>
      </c>
      <c r="OH78" s="522" t="str">
        <f>IF(A78=FALSE,"",IF(Cotations!CJ78="monthly",OG78/12*L78,OG78/365*M78))</f>
        <v/>
      </c>
      <c r="OI78" s="489" t="str">
        <f>IF(A78=FALSE,"",IF(Cotations!CN78="","",Cotations!CN78))</f>
        <v/>
      </c>
      <c r="OJ78" s="300" t="str">
        <f t="shared" si="554"/>
        <v/>
      </c>
      <c r="OK78" s="300" t="str">
        <f t="shared" si="555"/>
        <v/>
      </c>
      <c r="OL78" s="919" t="str">
        <f t="shared" si="556"/>
        <v/>
      </c>
      <c r="OM78" s="517" t="str">
        <f>IF(A78=FALSE,"",Cotations!CO78)</f>
        <v/>
      </c>
      <c r="ON78" s="515" t="str">
        <f>IF(A78=FALSE,"",Cotations!CP78)</f>
        <v/>
      </c>
      <c r="OO78" s="493" t="str">
        <f>IF(A78=FALSE,"",Cotations!CQ78)</f>
        <v/>
      </c>
      <c r="OP78" s="517" t="str">
        <f>IF(A78=FALSE,"",IF(OM78="N/A",0,IF(INDEX(LISTES!$F$105:$F$109,MATCH(OM78,LISTES!$C$105:$C$109,0))="FIX",IF(INDEX(LISTES!$E$105:$E$109,MATCH(OM78,LISTES!$C$105:$C$109,0))=12,ON78/12*L78,ON78/365*M78),OO78*OL78)))</f>
        <v/>
      </c>
      <c r="OQ78" s="294" t="str">
        <f t="shared" si="557"/>
        <v/>
      </c>
      <c r="OR78" s="494" t="str">
        <f>IF(A78=FALSE,"",OQ78*Cotations!CR78)</f>
        <v/>
      </c>
      <c r="OS78" s="494" t="str">
        <f>IF(A78=FALSE,"",OQ78*Cotations!CS78)</f>
        <v/>
      </c>
      <c r="OT78" s="338" t="str">
        <f t="shared" si="558"/>
        <v/>
      </c>
      <c r="OU78" s="919" t="str">
        <f>IF(A78=FALSE,"",((OG78*TAXE)-(OG78*TAXE*OI78))+IF(OM78="N/A",0,IF(INDEX(LISTES!$F$105:$F$109,MATCH(OM78,LISTES!$C$105:$C$109,0))="FIX",ON78,OO78*OL78)))</f>
        <v/>
      </c>
      <c r="PA78" s="497" t="str">
        <f t="shared" si="559"/>
        <v/>
      </c>
      <c r="PB78" s="498" t="str">
        <f>IF(A78=FALSE,"",IF(LISTES!$A$17=1,Cotations!CT78,Cotations!$CU$4))</f>
        <v/>
      </c>
      <c r="PC78" s="499" t="str">
        <f t="shared" si="560"/>
        <v/>
      </c>
      <c r="PD78" s="499" t="str">
        <f t="shared" si="561"/>
        <v/>
      </c>
      <c r="PE78" s="500" t="str">
        <f t="shared" si="562"/>
        <v/>
      </c>
      <c r="PF78" s="501" t="str">
        <f>IF(A78=FALSE,"",Cotations!$CY$4*Y78)</f>
        <v/>
      </c>
      <c r="PG78" s="502" t="str">
        <f t="shared" si="563"/>
        <v/>
      </c>
      <c r="PH78" s="520" t="str">
        <f>IF(A78=FALSE,"",IF(Cotations!$CV$4="monthly",PG78/12*L78,PG78/365*M78))</f>
        <v/>
      </c>
      <c r="PI78" s="503" t="str">
        <f>IF(A78=FALSE,"",Cotations!$CZ$4)</f>
        <v/>
      </c>
      <c r="PJ78" s="502" t="str">
        <f t="shared" si="564"/>
        <v/>
      </c>
      <c r="PK78" s="502" t="str">
        <f t="shared" si="565"/>
        <v/>
      </c>
      <c r="PL78" s="504" t="str">
        <f t="shared" si="566"/>
        <v/>
      </c>
      <c r="PM78" s="505" t="str">
        <f>IF(A78=FALSE,"",Cotations!$DA$4)</f>
        <v/>
      </c>
      <c r="PN78" s="520" t="str">
        <f>IF(A78=FALSE,"",Cotations!$DB$4)</f>
        <v/>
      </c>
      <c r="PO78" s="503" t="str">
        <f>IF(A78=FALSE,"",Cotations!$DC$4)</f>
        <v/>
      </c>
      <c r="PP78" s="505" t="str">
        <f>IF(A78=FALSE,"",IF(PM78="N/A",0,IF(INDEX(LISTES!$F$105:$F$109,MATCH(PM78,LISTES!$C$105:$C$109,0))="FIX",IF(INDEX(LISTES!$E$105:$E$109,MATCH(PM78,LISTES!$C$105:$C$109,0))=12,PN78/12*L78,PN78/365*M78),PO78*PL78)))</f>
        <v/>
      </c>
      <c r="PQ78" s="504" t="str">
        <f t="shared" si="567"/>
        <v/>
      </c>
      <c r="PR78" s="505" t="str">
        <f>IF(A78=FALSE,"",PQ78*Cotations!$DD$4)</f>
        <v/>
      </c>
      <c r="PS78" s="505" t="str">
        <f>IF(A78=FALSE,"",PQ78*Cotations!$DE$4)</f>
        <v/>
      </c>
      <c r="PT78" s="506" t="str">
        <f t="shared" si="568"/>
        <v/>
      </c>
      <c r="PU78" s="919" t="str">
        <f>IF(A78=FALSE,"",((PG78*TAXE)-(PG78*TAXE*PI78))+IF(PM78="N/A",0,IF(INDEX(LISTES!$F$105:$F$109,MATCH(PM78,LISTES!$C$105:$C$109,0))="FIX",PN78,PO78*PL78)))</f>
        <v/>
      </c>
      <c r="QA78" s="492" t="str">
        <f t="shared" si="569"/>
        <v/>
      </c>
      <c r="QB78" s="491" t="str">
        <f>IF(A78=FALSE,"",IF(LISTES!$A$17=1,Cotations!CT78,Cotations!CU78))</f>
        <v/>
      </c>
      <c r="QC78" s="285" t="str">
        <f t="shared" si="570"/>
        <v/>
      </c>
      <c r="QD78" s="300"/>
      <c r="QE78" s="461" t="str">
        <f t="shared" si="571"/>
        <v/>
      </c>
      <c r="QF78" s="490" t="str">
        <f>IF(A78=FALSE,"",Cotations!CY78*AA78)</f>
        <v/>
      </c>
      <c r="QG78" s="300" t="str">
        <f t="shared" si="572"/>
        <v/>
      </c>
      <c r="QH78" s="522" t="str">
        <f>IF(A78=FALSE,"",IF(Cotations!CV78="monthly",QG78/12*L78,QG78/365*M78))</f>
        <v/>
      </c>
      <c r="QI78" s="489" t="str">
        <f>IF(A78=FALSE,"",IF(Cotations!CZ78="","",Cotations!CZ78))</f>
        <v/>
      </c>
      <c r="QJ78" s="300" t="str">
        <f t="shared" si="573"/>
        <v/>
      </c>
      <c r="QK78" s="300" t="str">
        <f t="shared" si="574"/>
        <v/>
      </c>
      <c r="QL78" s="919" t="str">
        <f t="shared" si="575"/>
        <v/>
      </c>
      <c r="QM78" s="517" t="str">
        <f>IF(A78=FALSE,"",Cotations!DA78)</f>
        <v/>
      </c>
      <c r="QN78" s="515" t="str">
        <f>IF(A78=FALSE,"",Cotations!DB78)</f>
        <v/>
      </c>
      <c r="QO78" s="493" t="str">
        <f>IF(A78=FALSE,"",Cotations!DC78)</f>
        <v/>
      </c>
      <c r="QP78" s="517" t="str">
        <f>IF(A78=FALSE,"",IF(QM78="N/A",0,IF(INDEX(LISTES!$F$105:$F$109,MATCH(QM78,LISTES!$C$105:$C$109,0))="FIX",IF(INDEX(LISTES!$E$105:$E$109,MATCH(QM78,LISTES!$C$105:$C$109,0))=12,QN78/12*L78,QN78/365*M78),QO78*QL78)))</f>
        <v/>
      </c>
      <c r="QQ78" s="294" t="str">
        <f t="shared" si="576"/>
        <v/>
      </c>
      <c r="QR78" s="494" t="str">
        <f>IF(A78=FALSE,"",QQ78*Cotations!DD78)</f>
        <v/>
      </c>
      <c r="QS78" s="494" t="str">
        <f>IF(A78=FALSE,"",QQ78*Cotations!DE78)</f>
        <v/>
      </c>
      <c r="QT78" s="338" t="str">
        <f t="shared" si="577"/>
        <v/>
      </c>
      <c r="QU78" s="919" t="str">
        <f>IF(A78=FALSE,"",((QG78*TAXE)-(QG78*TAXE*QI78))+IF(QM78="N/A",0,IF(INDEX(LISTES!$F$105:$F$109,MATCH(QM78,LISTES!$C$105:$C$109,0))="FIX",QN78,QO78*QL78)))</f>
        <v/>
      </c>
      <c r="RA78" s="497" t="str">
        <f t="shared" si="578"/>
        <v/>
      </c>
      <c r="RB78" s="498" t="str">
        <f>IF(A78=FALSE,"",IF(LISTES!$A$17=1,Cotations!DF78,Cotations!$DG$4))</f>
        <v/>
      </c>
      <c r="RC78" s="499" t="str">
        <f t="shared" si="579"/>
        <v/>
      </c>
      <c r="RD78" s="499" t="str">
        <f t="shared" si="580"/>
        <v/>
      </c>
      <c r="RE78" s="500" t="str">
        <f t="shared" si="581"/>
        <v/>
      </c>
      <c r="RF78" s="501" t="str">
        <f>IF(A78=FALSE,"",Cotations!$DK$4*Y78)</f>
        <v/>
      </c>
      <c r="RG78" s="502" t="str">
        <f t="shared" si="582"/>
        <v/>
      </c>
      <c r="RH78" s="520" t="str">
        <f>IF(A78=FALSE,"",IF(Cotations!$DH$4="monthly",RG78/12*L78,RG78/365*M78))</f>
        <v/>
      </c>
      <c r="RI78" s="503" t="str">
        <f>IF(A78=FALSE,"",Cotations!$DL$4)</f>
        <v/>
      </c>
      <c r="RJ78" s="502" t="str">
        <f t="shared" si="583"/>
        <v/>
      </c>
      <c r="RK78" s="502" t="str">
        <f t="shared" si="584"/>
        <v/>
      </c>
      <c r="RL78" s="504" t="str">
        <f t="shared" si="585"/>
        <v/>
      </c>
      <c r="RM78" s="505" t="str">
        <f>IF(A78=FALSE,"",Cotations!$DM$4)</f>
        <v/>
      </c>
      <c r="RN78" s="520" t="str">
        <f>IF(A78=FALSE,"",Cotations!$DN$4)</f>
        <v/>
      </c>
      <c r="RO78" s="503" t="str">
        <f>IF(A78=FALSE,"",Cotations!$DO$4)</f>
        <v/>
      </c>
      <c r="RP78" s="505" t="str">
        <f>IF(A78=FALSE,"",IF(RM78="N/A",0,IF(INDEX(LISTES!$F$105:$F$109,MATCH(RM78,LISTES!$C$105:$C$109,0))="FIX",IF(INDEX(LISTES!$E$105:$E$109,MATCH(RM78,LISTES!$C$105:$C$109,0))=12,RN78/12*L78,RN78/365*M78),RO78*RL78)))</f>
        <v/>
      </c>
      <c r="RQ78" s="504" t="str">
        <f t="shared" si="586"/>
        <v/>
      </c>
      <c r="RR78" s="505" t="str">
        <f>IF(A78=FALSE,"",RQ78*Cotations!$DP$4)</f>
        <v/>
      </c>
      <c r="RS78" s="505" t="str">
        <f>IF(A78=FALSE,"",RQ78*Cotations!$DQ$4)</f>
        <v/>
      </c>
      <c r="RT78" s="506" t="str">
        <f t="shared" si="587"/>
        <v/>
      </c>
      <c r="RU78" s="919" t="str">
        <f>IF(A78=FALSE,"",((RG78*TAXE)-(RG78*TAXE*RI78))+IF(RM78="N/A",0,IF(INDEX(LISTES!$F$105:$F$109,MATCH(RM78,LISTES!$C$105:$C$109,0))="FIX",RN78,RO78*RL78)))</f>
        <v/>
      </c>
      <c r="SA78" s="492" t="str">
        <f t="shared" si="588"/>
        <v/>
      </c>
      <c r="SB78" s="491" t="str">
        <f>IF(A78=FALSE,"",IF(LISTES!$A$17=1,Cotations!DF78,Cotations!DG78))</f>
        <v/>
      </c>
      <c r="SC78" s="285" t="str">
        <f t="shared" si="589"/>
        <v/>
      </c>
      <c r="SD78" s="300"/>
      <c r="SE78" s="461" t="str">
        <f t="shared" si="590"/>
        <v/>
      </c>
      <c r="SF78" s="490" t="str">
        <f>IF(A78=FALSE,"",Cotations!DK78*AA78)</f>
        <v/>
      </c>
      <c r="SG78" s="300" t="str">
        <f t="shared" si="591"/>
        <v/>
      </c>
      <c r="SH78" s="522" t="str">
        <f>IF(A78=FALSE,"",IF(Cotations!DH78="monthly",SG78/12*L78,SG78/365*M78))</f>
        <v/>
      </c>
      <c r="SI78" s="489" t="str">
        <f>IF(A78=FALSE,"",IF(Cotations!DL78="","",Cotations!DL78))</f>
        <v/>
      </c>
      <c r="SJ78" s="300" t="str">
        <f t="shared" si="592"/>
        <v/>
      </c>
      <c r="SK78" s="300" t="str">
        <f t="shared" si="593"/>
        <v/>
      </c>
      <c r="SL78" s="919" t="str">
        <f t="shared" si="594"/>
        <v/>
      </c>
      <c r="SM78" s="285" t="str">
        <f>IF(A78=FALSE,"",Cotations!DM78)</f>
        <v/>
      </c>
      <c r="SN78" s="515" t="str">
        <f>IF(A78=FALSE,"",Cotations!DN78)</f>
        <v/>
      </c>
      <c r="SO78" s="493" t="str">
        <f>IF(A78=FALSE,"",Cotations!DO78)</f>
        <v/>
      </c>
      <c r="SP78" s="517" t="str">
        <f>IF(A78=FALSE,"",IF(SM78="N/A",0,IF(INDEX(LISTES!$F$105:$F$109,MATCH(SM78,LISTES!$C$105:$C$109,0))="FIX",IF(INDEX(LISTES!$E$105:$E$109,MATCH(SM78,LISTES!$C$105:$C$109,0))=12,SN78/12*L78,SN78/365*M78),SO78*SL78)))</f>
        <v/>
      </c>
      <c r="SQ78" s="294" t="str">
        <f t="shared" si="595"/>
        <v/>
      </c>
      <c r="SR78" s="494" t="str">
        <f>IF(A78=FALSE,"",SQ78*Cotations!DP78)</f>
        <v/>
      </c>
      <c r="SS78" s="494" t="str">
        <f>IF(A78=FALSE,"",SQ78*Cotations!DQ78)</f>
        <v/>
      </c>
      <c r="ST78" s="338" t="str">
        <f t="shared" si="596"/>
        <v/>
      </c>
      <c r="SU78" s="919" t="str">
        <f>IF(A78=FALSE,"",((SG78*TAXE)-(SG78*TAXE*SI78))+IF(SM78="N/A",0,IF(INDEX(LISTES!$F$105:$F$109,MATCH(SM78,LISTES!$C$105:$C$109,0))="FIX",SN78,SO78*SL78)))</f>
        <v/>
      </c>
      <c r="TA78" s="492" t="str">
        <f>IF(A78=FALSE,"",Cotations!D78)</f>
        <v/>
      </c>
      <c r="TB78" s="491" t="str">
        <f>IF(A78=FALSE,"",IF(LISTES!$A$17=1,Cotations!DR78,Cotations!DS78))</f>
        <v/>
      </c>
      <c r="TC78" s="285" t="str">
        <f t="shared" si="597"/>
        <v/>
      </c>
      <c r="TD78" s="300" t="str">
        <f>IF(A78=FALSE,"",Detail!CQ78)</f>
        <v/>
      </c>
      <c r="TE78" s="461" t="str">
        <f t="shared" si="598"/>
        <v/>
      </c>
      <c r="TF78" s="490" t="str">
        <f>IF(A78=FALSE,"",IF(TA78="FIXE",Cotations!DU78,Cotations!DV78*Y78))</f>
        <v/>
      </c>
      <c r="TG78" s="300" t="str">
        <f t="shared" si="599"/>
        <v/>
      </c>
      <c r="TH78" s="522" t="str">
        <f>IF(A78=FALSE,"",IF(Cotations!DT78="monthly",TG78/12*L78,TG78/365*M78))</f>
        <v/>
      </c>
      <c r="TI78" s="489" t="str">
        <f>IF(A78=FALSE,"",IF(Cotations!DW78="","",Cotations!DW78))</f>
        <v/>
      </c>
      <c r="TJ78" s="300" t="str">
        <f t="shared" si="600"/>
        <v/>
      </c>
      <c r="TK78" s="300" t="str">
        <f t="shared" si="601"/>
        <v/>
      </c>
      <c r="TL78" s="919" t="str">
        <f t="shared" si="602"/>
        <v/>
      </c>
      <c r="TM78" s="517" t="str">
        <f>IF(A78=FALSE,"",Cotations!DX78)</f>
        <v/>
      </c>
      <c r="TN78" s="517" t="str">
        <f>IF(A78=FALSE,"",Cotations!DY78)</f>
        <v/>
      </c>
      <c r="TO78" s="493" t="str">
        <f>IF(A78=FALSE,"",Cotations!DZ78)</f>
        <v/>
      </c>
      <c r="TP78" s="517" t="str">
        <f>IF(A78=FALSE,"",IF(TM78="N/A",0,IF(INDEX(LISTES!$F$105:$F$109,MATCH(TM78,LISTES!$C$105:$C$109,0))="FIX",IF(INDEX(LISTES!$E$105:$E$109,MATCH(TM78,LISTES!$C$105:$C$109,0))=12,TN78/12*L78,TN78/365*M78),TO78*TL78)))</f>
        <v/>
      </c>
      <c r="TQ78" s="294" t="str">
        <f t="shared" si="603"/>
        <v/>
      </c>
      <c r="TR78" s="494" t="str">
        <f>IF(A78=FALSE,"",TQ78*Cotations!EA78)</f>
        <v/>
      </c>
      <c r="TS78" s="494" t="str">
        <f>IF(A78=FALSE,"",TQ78*Cotations!EB78)</f>
        <v/>
      </c>
      <c r="TT78" s="338" t="str">
        <f t="shared" si="604"/>
        <v/>
      </c>
      <c r="TU78" s="919" t="str">
        <f>IF(A78=FALSE,"",((TG78*(1+TAXE)-(TG78*(1+TAXE)*TI78))+IF(TM78="N/A",0,IF(INDEX(LISTES!$F$105:$F$109,MATCH(TM78,LISTES!$C$105:$C$109,0))="FIX",TN78,TO78*TL78))))</f>
        <v/>
      </c>
      <c r="UA78" s="492" t="str">
        <f>IF(A78=FALSE,"",Cotations!D78)</f>
        <v/>
      </c>
      <c r="UB78" s="491" t="str">
        <f>IF(A78=FALSE,"",IF(LISTES!$A$17=1,Cotations!EC78,Cotations!ED78))</f>
        <v/>
      </c>
      <c r="UC78" s="285" t="str">
        <f t="shared" si="605"/>
        <v/>
      </c>
      <c r="UD78" s="300" t="str">
        <f>IF(A78=FALSE,"",Detail!CY78)</f>
        <v/>
      </c>
      <c r="UE78" s="461" t="str">
        <f t="shared" si="606"/>
        <v/>
      </c>
      <c r="UF78" s="490" t="str">
        <f>IF(A78=FALSE,"",IF(UA78="FIXE",Cotations!EF78,Cotations!EG78*Y78))</f>
        <v/>
      </c>
      <c r="UG78" s="300" t="str">
        <f t="shared" si="607"/>
        <v/>
      </c>
      <c r="UH78" s="522" t="str">
        <f>IF(A78=FALSE,"",IF(Cotations!EE78="monthly",UG78/12*L78,UG78/365*M78))</f>
        <v/>
      </c>
      <c r="UI78" s="489" t="str">
        <f>IF(A78=FALSE,"",IF(Cotations!EH78="","",Cotations!EH78))</f>
        <v/>
      </c>
      <c r="UJ78" s="300" t="str">
        <f t="shared" si="608"/>
        <v/>
      </c>
      <c r="UK78" s="300" t="str">
        <f t="shared" si="609"/>
        <v/>
      </c>
      <c r="UL78" s="919" t="str">
        <f t="shared" si="610"/>
        <v/>
      </c>
      <c r="UM78" s="517" t="str">
        <f>IF(A78=FALSE,"",Cotations!EI78)</f>
        <v/>
      </c>
      <c r="UN78" s="517" t="str">
        <f>IF(A78=FALSE,"",Cotations!EJ78)</f>
        <v/>
      </c>
      <c r="UO78" s="493" t="str">
        <f>IF(A78=FALSE,"",Cotations!EK78)</f>
        <v/>
      </c>
      <c r="UP78" s="517" t="str">
        <f>IF(A78=FALSE,"",IF(UM78="N/A",0,IF(INDEX(LISTES!$F$105:$F$109,MATCH(UM78,LISTES!$C$105:$C$109,0))="FIX",IF(INDEX(LISTES!$E$105:$E$109,MATCH(UM78,LISTES!$C$105:$C$109,0))=12,UN78/12*L78,UN78/365*M78),UO78*UL78)))</f>
        <v/>
      </c>
      <c r="UQ78" s="294" t="str">
        <f t="shared" si="611"/>
        <v/>
      </c>
      <c r="UR78" s="494" t="str">
        <f>IF(A78=FALSE,"",UQ78*Cotations!EL78)</f>
        <v/>
      </c>
      <c r="US78" s="494" t="str">
        <f>IF(A78=FALSE,"",UQ78*Cotations!EM78)</f>
        <v/>
      </c>
      <c r="UT78" s="338" t="str">
        <f t="shared" si="612"/>
        <v/>
      </c>
      <c r="UU78" s="919" t="str">
        <f>IF(A78=FALSE,"",((UG78*(1+TAXE)-(UG78*(1+TAXE)*UI78))+IF(UM78="N/A",0,IF(INDEX(LISTES!$F$105:$F$109,MATCH(UM78,LISTES!$C$105:$C$109,0))="FIX",UN78,UO78*UL78))))</f>
        <v/>
      </c>
      <c r="VA78" s="492" t="str">
        <f>IF(A78=FALSE,"",Cotations!D78)</f>
        <v/>
      </c>
      <c r="VB78" s="519" t="str">
        <f>IF(A78=FALSE,"",IF(LISTES!$A$17=1,Cotations!EN78,Cotations!EO78))</f>
        <v/>
      </c>
      <c r="VC78" s="291" t="str">
        <f t="shared" si="613"/>
        <v/>
      </c>
      <c r="VD78" s="291" t="str">
        <f t="shared" si="614"/>
        <v/>
      </c>
      <c r="VE78" s="291"/>
      <c r="VF78" s="463"/>
      <c r="VG78" s="463" t="str">
        <f t="shared" si="615"/>
        <v/>
      </c>
      <c r="VH78" s="522" t="str">
        <f>IF(A78=FALSE,"",IF(Cotations!$AQ$4="monthly",VG78/12*L78,VG78/365*M78))</f>
        <v/>
      </c>
      <c r="VI78" s="489" t="str">
        <f>IF(A78=FALSE,"",Cotations!$AR$4)</f>
        <v/>
      </c>
      <c r="VJ78" s="300" t="str">
        <f t="shared" si="616"/>
        <v/>
      </c>
      <c r="VK78" s="300" t="str">
        <f t="shared" si="617"/>
        <v/>
      </c>
      <c r="VL78" s="294" t="str">
        <f t="shared" si="618"/>
        <v/>
      </c>
      <c r="VM78" s="494" t="str">
        <f>IF(A78=FALSE,"",Cotations!$AS$4)</f>
        <v/>
      </c>
      <c r="VN78" s="494" t="str">
        <f>IF(A78=FALSE,"",Cotations!$AT$4)</f>
        <v/>
      </c>
      <c r="VO78" s="489" t="str">
        <f>IF(A78=FALSE,"",Cotations!$AU$4)</f>
        <v/>
      </c>
      <c r="VP78" s="494" t="str">
        <f>IF(A78=FALSE,"",IF(VM78="N/A",0,IF(INDEX(LISTES!$F$105:$F$109,MATCH(VM78,LISTES!$C$105:$C$109,0))="FIX",IF(INDEX(LISTES!$E$105:$E$109,MATCH(VM78,LISTES!$C$105:$C$109,0))=12,VN78/12*L78,VN78/365*M78),VO78*VL78)))</f>
        <v/>
      </c>
      <c r="VQ78" s="294" t="str">
        <f t="shared" si="619"/>
        <v/>
      </c>
      <c r="VR78" s="494" t="str">
        <f>IF(A78=FALSE,"",VQ78*Cotations!$AV$4)</f>
        <v/>
      </c>
      <c r="VS78" s="494" t="str">
        <f>IF(A78=FALSE,"",VQ78*Cotations!$AW$4)</f>
        <v/>
      </c>
      <c r="VT78" s="465" t="str">
        <f t="shared" si="620"/>
        <v/>
      </c>
      <c r="VU78" s="919" t="str">
        <f>IF(A78=FALSE,"",((VG78*TAXE)-(VG78*TAXE*VI78))+IF(VM78="N/A",0,IF(INDEX(LISTES!$F$105:$F$109,MATCH(VM78,LISTES!$C$105:$C$109,0))="FIX",VN78,VO78*VL78)))</f>
        <v/>
      </c>
      <c r="WA78" s="492" t="str">
        <f>IF(A78=FALSE,"",Cotations!D78)</f>
        <v/>
      </c>
      <c r="WB78" s="519" t="str">
        <f>IF(A78=FALSE,"",IF(LISTES!$A$17=1,Cotations!EW78,Cotations!EX78))</f>
        <v/>
      </c>
      <c r="WC78" s="291" t="str">
        <f t="shared" si="621"/>
        <v/>
      </c>
      <c r="WD78" s="291" t="str">
        <f t="shared" si="622"/>
        <v/>
      </c>
      <c r="WE78" s="291"/>
      <c r="WF78" s="463"/>
      <c r="WG78" s="463" t="str">
        <f t="shared" si="623"/>
        <v/>
      </c>
      <c r="WH78" s="522" t="str">
        <f>IF(A78=FALSE,"",IF(Cotations!$AQ$4="monthly",WG78/12*L78,WG78/365*M78))</f>
        <v/>
      </c>
      <c r="WI78" s="489" t="str">
        <f>IF(A78=FALSE,"",Cotations!$AR$4)</f>
        <v/>
      </c>
      <c r="WJ78" s="300" t="str">
        <f t="shared" si="624"/>
        <v/>
      </c>
      <c r="WK78" s="300" t="str">
        <f t="shared" si="625"/>
        <v/>
      </c>
      <c r="WL78" s="294" t="str">
        <f t="shared" si="626"/>
        <v/>
      </c>
      <c r="WM78" s="494" t="str">
        <f>IF(A78=FALSE,"",Cotations!$AS$4)</f>
        <v/>
      </c>
      <c r="WN78" s="494" t="str">
        <f>IF(A78=FALSE,"",Cotations!$AT$4)</f>
        <v/>
      </c>
      <c r="WO78" s="489" t="str">
        <f>IF(A78=FALSE,"",Cotations!$AU$4)</f>
        <v/>
      </c>
      <c r="WP78" s="494" t="str">
        <f>IF(A78=FALSE,"",IF(WM78="N/A",0,IF(INDEX(LISTES!$F$105:$F$109,MATCH(WM78,LISTES!$C$105:$C$109,0))="FIX",IF(INDEX(LISTES!$E$105:$E$109,MATCH(WM78,LISTES!$C$105:$C$109,0))=12,WN78/12*L78,WN78/365*M78),WO78*WL78)))</f>
        <v/>
      </c>
      <c r="WQ78" s="294" t="str">
        <f t="shared" si="627"/>
        <v/>
      </c>
      <c r="WR78" s="494" t="str">
        <f>IF(A78=FALSE,"",WQ78*Cotations!$AV$4)</f>
        <v/>
      </c>
      <c r="WS78" s="494" t="str">
        <f>IF(A78=FALSE,"",WQ78*Cotations!$AW$4)</f>
        <v/>
      </c>
      <c r="WT78" s="465" t="str">
        <f t="shared" si="628"/>
        <v/>
      </c>
      <c r="WU78" s="919" t="str">
        <f>IF(A78=FALSE,"",((WG78*TAXE)-(WG78*TAXE*WI78))+IF(WM78="N/A",0,IF(INDEX(LISTES!$F$105:$F$109,MATCH(WM78,LISTES!$C$105:$C$109,0))="FIX",WN78,WO78*WL78)))</f>
        <v/>
      </c>
    </row>
    <row r="79" spans="1:619">
      <c r="A79" s="942" t="b">
        <f t="shared" ref="A79:A110" si="629">IF(B79=FALSE,FALSE,IF(C79=FALSE,FALSE,IF(D79=FALSE,FALSE,TRUE)))</f>
        <v>0</v>
      </c>
      <c r="B79" s="942" t="b">
        <f>IF(NAMES!$B$9=TRUE,TRUE,FALSE)</f>
        <v>1</v>
      </c>
      <c r="C79" s="942" t="b">
        <f t="shared" si="413"/>
        <v>0</v>
      </c>
      <c r="D79" s="942" t="b">
        <f t="shared" si="414"/>
        <v>0</v>
      </c>
      <c r="E79" s="274" t="b">
        <f>IF(Cotations!C79="","",Cotations!C79)</f>
        <v>0</v>
      </c>
      <c r="F79" s="274" t="str">
        <f>IF(Cotations!D79="","",Cotations!D79)</f>
        <v>PROP</v>
      </c>
      <c r="G79" s="274" t="str">
        <f>IF(Cotations!E79="","",Cotations!E79)</f>
        <v>2016-2017!</v>
      </c>
      <c r="H79" s="274" t="str">
        <f>IF(Cotations!F79="","",Cotations!F79)</f>
        <v>SINGLE</v>
      </c>
      <c r="I79" s="274" t="str">
        <f>IF(Cotations!G79="","",Cotations!G79)</f>
        <v/>
      </c>
      <c r="J79" s="274" t="str">
        <f>IF(Cotations!H79="","",Cotations!H79)</f>
        <v/>
      </c>
      <c r="K79" s="274" t="str">
        <f>IF(Cotations!I79="","",Cotations!I79)</f>
        <v/>
      </c>
      <c r="L79" s="274" t="str">
        <f>IF(A79=FALSE,"",IF(Cotations!N79="","",Cotations!N79))</f>
        <v/>
      </c>
      <c r="M79" s="274" t="str">
        <f>IF(Cotations!P79="","",Cotations!P79)</f>
        <v/>
      </c>
      <c r="N79" s="724" t="str">
        <f>IF(NAMES!$B$10=TRUE,Cotations!J79,Cotations!L79)</f>
        <v/>
      </c>
      <c r="O79" s="724" t="str">
        <f>IF(NAMES!$B$10=TRUE,Cotations!K79,Cotations!M79)</f>
        <v/>
      </c>
      <c r="P79" s="943" t="str">
        <f t="shared" si="415"/>
        <v/>
      </c>
      <c r="Q79" s="724" t="str">
        <f>IF(A79=FALSE,"",IF(Crewlist!Y79="","",Crewlist!Y79))</f>
        <v/>
      </c>
      <c r="R79" s="78" t="str">
        <f>IF(Cotations!U79="","",Cotations!U79)</f>
        <v/>
      </c>
      <c r="S79" s="943" t="str">
        <f t="shared" si="416"/>
        <v/>
      </c>
      <c r="T79" s="919" t="str">
        <f>IF(A79=FALSE,"",VLOOKUP($U$15:$U$120,Currency!$A$2:$D$10,4,0)*Crewlist!N79)</f>
        <v/>
      </c>
      <c r="U79" s="1355" t="str">
        <f>IF(A79=FALSE,"",IF(IT79=0,Crewlist!M79&amp;"/"&amp;EX79,Crewlist!M79&amp;"/"&amp;IT79))</f>
        <v/>
      </c>
      <c r="V79" s="919" t="str">
        <f>IF(A79=FALSE,"",VLOOKUP($U$15:$U$120,Currency!$A$2:$D$10,4,0)*Detail!Q79)</f>
        <v/>
      </c>
      <c r="W79" s="1355" t="str">
        <f>IF(A79=FALSE,"",IF(IT79=0,Detail!R79&amp;"/"&amp;EX79,Detail!R79&amp;"/"&amp;IT79))</f>
        <v/>
      </c>
      <c r="X79" s="919" t="str">
        <f>IF(A79=FALSE,"",IF(LISTES!$C$17="Crewlist",Calcul!T79,Calcul!V79))</f>
        <v/>
      </c>
      <c r="Y79" s="758" t="str">
        <f t="shared" si="417"/>
        <v/>
      </c>
      <c r="Z79" s="758" t="str">
        <f>IF(A79=FALSE,"",IF(X79=0,0,IF((Cotations!BC79*12*X79)&lt;50000,50000,(12*X79))))</f>
        <v/>
      </c>
      <c r="AA79" s="758" t="str">
        <f t="shared" si="418"/>
        <v/>
      </c>
      <c r="AB79" s="758" t="str">
        <f>IF(A79=FALSE,"",IF(Crewlist!O79=0,"",Crewlist!O79))</f>
        <v/>
      </c>
      <c r="AC79" s="758" t="str">
        <f>IF(I79="","",VLOOKUP($AB$15:$AB$120,Currency!$A$15:$B$34,2,0))</f>
        <v/>
      </c>
      <c r="AD79" s="758" t="str">
        <f t="shared" si="419"/>
        <v/>
      </c>
      <c r="AE79" s="758" t="str">
        <f t="shared" si="420"/>
        <v/>
      </c>
      <c r="AF79" s="758" t="str">
        <f t="shared" si="421"/>
        <v/>
      </c>
      <c r="AG79" s="758" t="str">
        <f t="shared" si="422"/>
        <v/>
      </c>
      <c r="AH79" s="1355" t="str">
        <f t="shared" ref="AH79:AH110" si="630">IF(A79=FALSE,"",EX79)</f>
        <v/>
      </c>
      <c r="AI79" s="919" t="str">
        <f t="shared" si="423"/>
        <v/>
      </c>
      <c r="AJ79" s="1382" t="str">
        <f t="shared" si="424"/>
        <v/>
      </c>
      <c r="AK79" s="1382" t="str">
        <f t="shared" si="425"/>
        <v/>
      </c>
      <c r="AL79" s="238" t="str">
        <f t="shared" ref="AL79:AL110" si="631">IF(A79=FALSE,"",BZ79+CA79)</f>
        <v/>
      </c>
      <c r="AM79" s="238" t="str">
        <f t="shared" ref="AM79:AM110" si="632">IF(A79=FALSE,"",AR79*(TAXE-1))</f>
        <v/>
      </c>
      <c r="AN79" s="1374" t="str">
        <f t="shared" ref="AN79:AN110" si="633">IF(A79=FALSE,"",EO79)</f>
        <v/>
      </c>
      <c r="AO79" s="238" t="str">
        <f t="shared" ref="AO79:AO110" si="634">IF(A79=FALSE,"",AL79+AM79)</f>
        <v/>
      </c>
      <c r="AP79" s="342" t="str">
        <f>IF(A79=FALSE,"",INDEX(Rates!$Z$5:$Z$367,MATCH(EB79,colchoice,0)))</f>
        <v/>
      </c>
      <c r="AQ79" s="238" t="str">
        <f t="shared" ref="AQ79:AQ110" si="635">IF(A79=FALSE,"",IF(AP79="NO",0,IF(AP79="WCA",L79,15/12*L79)))</f>
        <v/>
      </c>
      <c r="AR79" s="238" t="str">
        <f t="shared" ref="AR79:AR110" si="636">IF(A79=FALSE,"",BD79+BP79)</f>
        <v/>
      </c>
      <c r="AS79" s="238" t="str">
        <f t="shared" ref="AS79:AS110" si="637">IF(A79=FALSE,"",SUM(AU79:AV79)*TAXE)</f>
        <v/>
      </c>
      <c r="AT79" s="238" t="str">
        <f t="shared" ref="AT79:AT110" si="638">IF(A79=FALSE,"",SUM(AW79:BB79)*TAXE)</f>
        <v/>
      </c>
      <c r="AU79" s="238" t="str">
        <f t="shared" ref="AU79:AU110" si="639">IF(A79=FALSE,"",BE79+BQ79)</f>
        <v/>
      </c>
      <c r="AV79" s="238" t="str">
        <f t="shared" si="429"/>
        <v/>
      </c>
      <c r="AW79" s="238" t="str">
        <f t="shared" ref="AW79:AW110" si="640">IF(A79=FALSE,"",BI79+BS79)</f>
        <v/>
      </c>
      <c r="AX79" s="238" t="str">
        <f t="shared" ref="AX79:AX110" si="641">IF(A79=FALSE,"",BJ79+BT79)</f>
        <v/>
      </c>
      <c r="AY79" s="238" t="str">
        <f t="shared" ref="AY79:AY110" si="642">IF(A79=FALSE,"",BK79+BU79)</f>
        <v/>
      </c>
      <c r="AZ79" s="238" t="str">
        <f t="shared" ref="AZ79:AZ110" si="643">IF(A79=FALSE,"",BL79+BV79)</f>
        <v/>
      </c>
      <c r="BA79" s="238" t="str">
        <f t="shared" ref="BA79:BA110" si="644">IF(A79=FALSE,"",BM79+BW79)</f>
        <v/>
      </c>
      <c r="BB79" s="552" t="str">
        <f t="shared" ref="BB79:BB110" si="645">IF(A79=FALSE,"",BN79+BX79)</f>
        <v/>
      </c>
      <c r="BC79" s="347" t="str">
        <f t="shared" ref="BC79:BC110" si="646">IF(A79=FALSE,"",BD79*TAXE)</f>
        <v/>
      </c>
      <c r="BD79" s="239" t="str">
        <f t="shared" si="430"/>
        <v/>
      </c>
      <c r="BE79" s="239" t="str">
        <f>IF(A79=FALSE,"",IF(ALLTHESAME=TRUE,IF(DF79&lt;&gt;$BC$7,0,INDEX(DD79:DZ79,1,MATCH(Structure!$D$12,$DD$14:$DZ$14,0))),IF(EC79&lt;&gt;$BC$7,0,INDEX(EA79:EZ79,1,MATCH(Structure!$D$12,$EA$14:$EZ$14,0)))))</f>
        <v/>
      </c>
      <c r="BF79" s="239" t="str">
        <f>IF(A79=FALSE,"",IF(ALLTHESAME=TRUE,IF(FC79&lt;&gt;$BC$7,0,INDEX(FA79:FZ79,1,MATCH(Structure!$D$12,$FA$14:$FZ$14,0))),IF(GC79&lt;&gt;$BC$7,0,INDEX(GA79:GZ79,1,MATCH(Structure!$D$12,$GA$14:$GZ$14,0)))))</f>
        <v/>
      </c>
      <c r="BG79" s="239" t="str">
        <f>IF(A79=FALSE,"",IF(ALLTHESAME=TRUE,IF(VC79&lt;&gt;$BC$7,0,INDEX(VA79:VZ79,1,MATCH(Structure!$D$12,$VA$14:$VZ$14,0))),IF(VC79&lt;&gt;$BC$7,0,INDEX(VA79:VZ79,1,MATCH(Structure!$D$12,$VA$14:$VZ$14,0)))))</f>
        <v/>
      </c>
      <c r="BH79" s="239" t="str">
        <f>IF(A79=FALSE,"",IF(ALLTHESAME=TRUE,IF(WC79&lt;&gt;$BC$7,0,INDEX(WA79:WY79,1,MATCH(Structure!$D$12,$WA$14:$WZ$14,0))),IF(WC79&lt;&gt;$BC$7,0,INDEX(WA79:WZ79,1,MATCH(Structure!$D$12,$WA$14:$WZ$14,0)))))</f>
        <v/>
      </c>
      <c r="BI79" s="763" t="str">
        <f>IF(A79=FALSE,"",IF(ALLTHESAME=TRUE,IF(HC79&lt;&gt;$BC$7,0,INDEX(HA79:HZ79,1,MATCH(Structure!$D$12,$HA$14:$HZ$14,0)))+TK79,IF(IC79&lt;&gt;$BC$7,0,INDEX(IA79:IZ79,1,MATCH(Structure!$D$12,$IA$14:$IZ$14,0)))+TK79))</f>
        <v/>
      </c>
      <c r="BJ79" s="239" t="str">
        <f>IF(A79=FALSE,"",IF(ALLTHESAME=TRUE,IF(JC79&lt;&gt;$BC$7,0,INDEX(JA79:JZ79,1,MATCH(Structure!$D$12,$JA$14:$JZ$14,0))),IF(KC79&lt;&gt;$BC$7,0,INDEX(KA79:KZ79,1,MATCH(Structure!$D$12,$KA$14:$KZ$14,0)))))</f>
        <v/>
      </c>
      <c r="BK79" s="763" t="str">
        <f>IF(A79=FALSE,"",IF(ALLTHESAME=TRUE,IF(LC79&lt;&gt;$BC$7,0,INDEX(LA79:LZ79,1,MATCH(Structure!$D$12,$LA$14:$LZ$14,0)))+UK79,IF(MC79&lt;&gt;$BC$7,0,INDEX(MA79:MZ79,1,MATCH(Structure!$D$12,$MA$14:$MZ$14,0)))+UK79))</f>
        <v/>
      </c>
      <c r="BL79" s="239" t="str">
        <f>IF(A79=FALSE,"",IF(ALLTHESAME=TRUE,IF(NC79&lt;&gt;$BC$7,0,INDEX(NA79:NZ79,1,MATCH(Structure!$D$12,$NA$14:$NZ$14,0))),IF(OC79&lt;&gt;$BC$7,0,INDEX(OA79:OZ79,1,MATCH(Structure!$D$12,$OA$14:$OZ$14,0)))))</f>
        <v/>
      </c>
      <c r="BM79" s="239" t="str">
        <f>IF(A79=FALSE,"",IF(ALLTHESAME=TRUE,IF(PC79&lt;&gt;$BC$7,0,INDEX(PA79:PZ79,1,MATCH(Structure!$D$12,$PA$14:$PZ$14,0))),IF(QC79&lt;&gt;$BC$7,0,INDEX(QA79:QZ79,1,MATCH(Structure!$D$12,$QA$14:$QZ$14,0)))))</f>
        <v/>
      </c>
      <c r="BN79" s="341" t="str">
        <f>IF(A79=FALSE,"",IF(ALLTHESAME=TRUE,IF(RC79&lt;&gt;$BC$7,0,INDEX(RA79:RZ79,1,MATCH(Structure!$D$12,$RA$14:$RZ$14,0))),IF(SC79&lt;&gt;$BC$7,0,INDEX(SA79:TA79,1,MATCH(Structure!$D$12,$SA$14:$TA$14,0)))))</f>
        <v/>
      </c>
      <c r="BO79" s="507" t="str">
        <f t="shared" ref="BO79:BO110" si="647">IF(A79=FALSE,"",BP79*TAXE)</f>
        <v/>
      </c>
      <c r="BP79" s="239" t="str">
        <f t="shared" ref="BP79:BP110" si="648">IF(A79=FALSE,"",SUM(BQ79:BX79))</f>
        <v/>
      </c>
      <c r="BQ79" s="239" t="str">
        <f>IF(A79=FALSE,"",IF(ALLTHESAME=TRUE,IF(DF79&lt;&gt;$BO$7,0,INDEX(DD79:DZ79,1,MATCH(Structure!$D$12,$DD$14:$DZ$14,0))),IF(EC79&lt;&gt;$BO$7,0,INDEX(EA79:EZ79,1,MATCH(Structure!$D$12,$EA$14:$EZ$14,0)))))</f>
        <v/>
      </c>
      <c r="BR79" s="239" t="str">
        <f>IF(A79=FALSE,"",IF(ALLTHESAME=TRUE,IF(FC79&lt;&gt;$BO$7,0,INDEX(FA79:FZ79,1,MATCH(Structure!$D$12,$FA$14:$FZ$14,0))),IF(GC79&lt;&gt;$BO$7,0,INDEX(GA79:GZ79,1,MATCH(Structure!$D$12,$GA$14:$GZ$14,0)))))</f>
        <v/>
      </c>
      <c r="BS79" s="239" t="str">
        <f>IF(A79=FALSE,"",IF(ALLTHESAME=TRUE,IF(HC79&lt;&gt;$BO$7,0,INDEX(HA79:HZ79,1,MATCH(Structure!$D$12,$HA$14:$HZ$14,0))),IF(IC79&lt;&gt;$BO$7,0,INDEX(IA79:IZ79,1,MATCH(Structure!$D$12,$IA$14:$IZ$14,0)))))</f>
        <v/>
      </c>
      <c r="BT79" s="239" t="str">
        <f>IF(A79=FALSE,"",IF(ALLTHESAME=TRUE,IF(JC79&lt;&gt;$BO$7,0,INDEX(JA79:JZ79,1,MATCH(Structure!$D$12,$JA$14:$JZ$14,0))),IF(KC79&lt;&gt;$BO$7,0,INDEX(KA79:KZ79,1,MATCH(Structure!$D$12,$KA$14:$KZ$14,0)))))</f>
        <v/>
      </c>
      <c r="BU79" s="239" t="str">
        <f>IF(A79=FALSE,"",IF(ALLTHESAME=TRUE,IF(LC79&lt;&gt;$BO$7,0,INDEX(LA79:LZ79,1,MATCH(Structure!$D$12,$LA$14:$LZ$14,0))),IF(MC79&lt;&gt;$BO$7,0,INDEX(MA79:MZ79,1,MATCH(Structure!$D$12,$MA$14:$MZ$14,0)))))</f>
        <v/>
      </c>
      <c r="BV79" s="239" t="str">
        <f>IF(A79=FALSE,"",IF(ALLTHESAME=TRUE,IF(NC79&lt;&gt;$BO$7,0,INDEX(NA79:NZ79,1,MATCH(Structure!$D$12,$NA$14:$NZ$14,0))),IF(OC79&lt;&gt;$BO$7,0,INDEX(OA79:OZ79,1,MATCH(Structure!$D$12,$OA$14:$OZ$14,0)))))</f>
        <v/>
      </c>
      <c r="BW79" s="239" t="str">
        <f>IF(A79=FALSE,"",IF(ALLTHESAME=TRUE,IF(PC79&lt;&gt;$BO$7,0,INDEX(PA79:PZ79,1,MATCH(Structure!$D$12,$PA$14:$PZ$14,0))),IF(QC79&lt;&gt;$BO$7,0,INDEX(QA79:QZ79,1,MATCH(Structure!$D$12,$QA$14:$QZ$14,0)))))</f>
        <v/>
      </c>
      <c r="BX79" s="341" t="str">
        <f>IF(A79=FALSE,"",IF(ALLTHESAME=TRUE,IF(RC79&lt;&gt;$BO$7,0,INDEX(RA79:RZ79,1,MATCH(Structure!$D$12,$RA$14:$RZ$14,0))),IF(SC79&lt;&gt;$BO$7,0,INDEX(SA79:TA79,1,MATCH(Structure!$D$12,$SA$14:$TA$14,0)))))</f>
        <v/>
      </c>
      <c r="BY79" s="347" t="str">
        <f t="shared" ref="BY79:BY110" si="649">IF(A79=FALSE,"",IF(SUM(CD79:CI79)&gt;0,"PREV","MEDI"))</f>
        <v/>
      </c>
      <c r="BZ79" s="507" t="str">
        <f t="shared" ref="BZ79:BZ110" si="650">IF(A79=FALSE,"",SUM(CB79:CC79))</f>
        <v/>
      </c>
      <c r="CA79" s="239" t="str">
        <f t="shared" ref="CA79:CA110" si="651">IF(A79=FALSE,"",SUM(CD79:CI79))</f>
        <v/>
      </c>
      <c r="CB79" s="239" t="str">
        <f>IF(A79=FALSE,"",IF(ALLTHESAME=TRUE,INDEX(DD79:DZ79,MATCH(DF79,DF79:DF184,0),MATCH(Structure!$D$17,$DD$14:$DZ$14,0)),INDEX(EA79:EZ79,MATCH(EC79,EC79:EC184,0),MATCH(Structure!$D$17,$EA$14:$EZ$14,0))))</f>
        <v/>
      </c>
      <c r="CC79" s="239" t="str">
        <f>IF(A79=FALSE,"",IF(ALLTHESAME=TRUE,INDEX(FA79:FZ79,MATCH(FC79,FC79:FC184,0),MATCH(Structure!$D$17,$FA$14:$FZ$14,0)),INDEX(GA79:GZ79,MATCH(GC79,GC79:GC184,0),MATCH(Structure!$D$17,$GA$14:$GZ$14,0))))</f>
        <v/>
      </c>
      <c r="CD79" s="239" t="str">
        <f>IF(A79=FALSE,"",IF(ALLTHESAME=TRUE,INDEX(HA79:HZ79,MATCH(HC79,HC79:HC184,0),MATCH(Structure!$D$17,$HA$14:$HZ$14,0)),INDEX(IA79:IZ79,MATCH(IC79,IC79:IC184,0),MATCH(Structure!$D$17,$IA$14:$IZ$14,0))))</f>
        <v/>
      </c>
      <c r="CE79" s="239" t="str">
        <f>IF(A79=FALSE,"",IF(ALLTHESAME=TRUE,INDEX(JA79:JZ79,MATCH(JC79,JC79:JC184,0),MATCH(Structure!$D$17,$JA$14:$JZ$14,0)),INDEX(KA79:KZ79,MATCH(KC79,KC79:KC184,0),MATCH(Structure!$D$17,$KA$14:$KZ$14,0))))</f>
        <v/>
      </c>
      <c r="CF79" s="239" t="str">
        <f>IF(A79=FALSE,"",IF(ALLTHESAME=TRUE,INDEX(LA79:LZ79,MATCH(LC79,LC79:LC184,0),MATCH(Structure!$D$17,$LA$14:$LZ$14,0)),INDEX(MA79:MZ79,MATCH(MC79,MC79:MC184,0),MATCH(Structure!$D$17,$MA$14:$MZ$14,0))))</f>
        <v/>
      </c>
      <c r="CG79" s="239" t="str">
        <f>IF(A79=FALSE,"",IF(ALLTHESAME=TRUE,INDEX(NA79:NZ79,MATCH(NC79,NC79:NC184,0),MATCH(Structure!$D$17,$NA$14:$NZ$14,0)),INDEX(OA79:OZ79,MATCH(OC79,OC79:OC184,0),MATCH(Structure!$D$17,$OA$14:$OZ$14,0))))</f>
        <v/>
      </c>
      <c r="CH79" s="239" t="str">
        <f>IF(A79=FALSE,"",IF(ALLTHESAME=TRUE,INDEX(PA79:PZ79,MATCH(PC79,PC79:PC184,0),MATCH(Structure!$D$17,$PA$14:$PZ$14,0)),INDEX(QA79:QZ79,MATCH(QC79,QC79:QC184,0),MATCH(Structure!$D$17,$QA$14:$QZ$14,0))))</f>
        <v/>
      </c>
      <c r="CI79" s="341" t="str">
        <f>IF(A79=FALSE,"",IF(ALLTHESAME=TRUE,INDEX(RA79:RZ79,MATCH(RC79,RC79:RC184,0),MATCH(Structure!$D$17,$RA$14:$RZ$14,0)),INDEX(SA79:TC79,MATCH(SC79,SC79:SC184,0),MATCH(Structure!$D$17,$SA$14:$TC$14,0))))</f>
        <v/>
      </c>
      <c r="CJ79" s="347"/>
      <c r="CK79" s="239" t="str">
        <f t="shared" ref="CK79:CK110" si="652">IF(A79=FALSE,"",SUM(CL79:CS79))</f>
        <v/>
      </c>
      <c r="CL79" s="239" t="str">
        <f>IF(A79=FALSE,"",IF(ALLTHESAME=TRUE,INDEX(DD79:DZ79,MATCH(DF79,DF79:DF184,0),MATCH(Structure!$D$22,$DD$14:$DZ$14,0)),INDEX(EA79:EZ79,MATCH(EC79,EC79:EC184,0),MATCH(Structure!$D$22,$EA$14:$EZ$14,0))))</f>
        <v/>
      </c>
      <c r="CM79" s="239" t="str">
        <f>IF(A79=FALSE,"",IF(ALLTHESAME=TRUE,INDEX(FA79:FZ79,MATCH(FC79,FC79:FC184,0),MATCH(Structure!$D$22,$FA$14:$FZ$14,0)),INDEX(GA79:GZ79,MATCH(GC79,GC79:GC184,0),MATCH(Structure!$D$22,$GA$14:$GZ$14,0))))</f>
        <v/>
      </c>
      <c r="CN79" s="239" t="str">
        <f>IF(A79=FALSE,"",IF(ALLTHESAME=TRUE,INDEX(HA79:HZ79,MATCH(HC79,HC79:HC184,0),MATCH(Structure!$D$22,$HA$14:$HZ$14,0)),INDEX(IA79:IZ79,MATCH(IC79,IC79:IC184,0),MATCH(Structure!$D$22,$IA$14:$IZ$14,0))))</f>
        <v/>
      </c>
      <c r="CO79" s="239" t="str">
        <f>IF(A79=FALSE,"",IF(ALLTHESAME=TRUE,INDEX(JA79:JZ79,MATCH(JC79,JC79:JC184,0),MATCH(Structure!$D$22,$JA$14:$JZ$14,0)),INDEX(KA79:KZ79,MATCH(KC79,KC79:KC184,0),MATCH(Structure!$D$22,$KA$14:$KZ$14,0))))</f>
        <v/>
      </c>
      <c r="CP79" s="239" t="str">
        <f>IF(A79=FALSE,"",IF(ALLTHESAME=TRUE,INDEX(LA79:LZ79,MATCH(LC79,LC79:LC184,0),MATCH(Structure!$D$22,$LA$14:$LZ$14,0)),INDEX(MA79:MZ79,MATCH(MC79,MC79:MC184,0),MATCH(Structure!$D$22,$MA$14:$MZ$14,0))))</f>
        <v/>
      </c>
      <c r="CQ79" s="239" t="str">
        <f>IF(A79=FALSE,"",IF(ALLTHESAME=TRUE,INDEX(NA79:NZ79,MATCH(NC79,NC79:NC184,0),MATCH(Structure!$D$22,$NA$14:$NZ$14,0)),INDEX(OA79:OZ79,MATCH(OC79,OC79:OC184,0),MATCH(Structure!$D$22,$OA$14:$OZ$14,0))))</f>
        <v/>
      </c>
      <c r="CR79" s="239" t="str">
        <f>IF(A79=FALSE,"",IF(ALLTHESAME=TRUE,INDEX(PA79:PZ79,MATCH(PC79,PC79:PC184,0),MATCH(Structure!$D$22,$PA$14:$PZ$14,0)),INDEX(QA79:QZ79,MATCH(QC79,QC79:QC184,0),MATCH(Structure!$D$22,$QA$14:$QZ$14,0))))</f>
        <v/>
      </c>
      <c r="CS79" s="341" t="str">
        <f>IF(A79=FALSE,"",IF(ALLTHESAME=TRUE,INDEX(RA79:RZ79,MATCH(RC79,RC79:RC184,0),MATCH(Structure!$D$22,$RA$14:$RZ$14,0)),INDEX(SA79:TC79,MATCH(SC79,SC79:SC184,0),MATCH(Structure!$D$22,$SA$14:$TC$14,0))))</f>
        <v/>
      </c>
      <c r="CT79" s="347"/>
      <c r="CU79" s="239" t="str">
        <f t="shared" ref="CU79:CU110" si="653">IF(A79=FALSE,"",SUM(CV79:DC79))</f>
        <v/>
      </c>
      <c r="CV79" s="239" t="str">
        <f>IF(A79=FALSE,"",IF(ALLTHESAME=TRUE,INDEX(DD79:DZ79,MATCH(DF79,DF79:DF184,0),MATCH(Structure!$D$8,$DD$14:$DZ$14,0)),INDEX(EA79:EZ79,MATCH(EC79,EC79:EC184,0),MATCH(Structure!$D$8,$EA$14:$EZ$14,0))))</f>
        <v/>
      </c>
      <c r="CW79" s="239" t="str">
        <f>IF(A79=FALSE,"",IF(ALLTHESAME=TRUE,INDEX(FA79:FZ79,MATCH(FC79,FC79:FC184,0),MATCH(Structure!$D$8,$FA$14:$FZ$14,0)),INDEX(GA79:GZ79,MATCH(GC79,GC79:GC184,0),MATCH(Structure!$D$8,$GA$14:$GZ$14,0))))</f>
        <v/>
      </c>
      <c r="CX79" s="239" t="str">
        <f>IF(A79=FALSE,"",IF(ALLTHESAME=TRUE,INDEX(HA79:HZ79,MATCH(HC79,HC79:HC184,0),MATCH(Structure!$D$8,$HA$14:$HZ$14,0)),INDEX(IA79:IZ79,MATCH(IC79,IC79:IC184,0),MATCH(Structure!$D$8,$IA$14:$IZ$14,0))))</f>
        <v/>
      </c>
      <c r="CY79" s="239" t="str">
        <f>IF(A79=FALSE,"",IF(ALLTHESAME=TRUE,INDEX(JA79:JZ79,MATCH(JC79,JC79:JC184,0),MATCH(Structure!$D$8,$JA$14:$JZ$14,0)),INDEX(KA79:KZ79,MATCH(KC79,KC79:KC184,0),MATCH(Structure!$D$8,$KA$14:$KZ$14,0))))</f>
        <v/>
      </c>
      <c r="CZ79" s="239" t="str">
        <f>IF(A79=FALSE,"",IF(ALLTHESAME=TRUE,INDEX(LA79:LZ79,MATCH(LC79,LC79:LC184,0),MATCH(Structure!$D$8,$LA$14:$LZ$14,0)),INDEX(MA79:MZ79,MATCH(MC79,MC79:MC184,0),MATCH(Structure!$D$8,$MA$14:$MZ$14,0))))</f>
        <v/>
      </c>
      <c r="DA79" s="239" t="str">
        <f>IF(A79=FALSE,"",IF(ALLTHESAME=TRUE,INDEX(NA79:NZ79,MATCH(NC79,NC79:NC184,0),MATCH(Structure!$D$8,$NA$14:$NZ$14,0)),INDEX(OA79:OZ79,MATCH(OC79,OC79:OC184,0),MATCH(Structure!$D$8,$OA$14:$OZ$14,0))))</f>
        <v/>
      </c>
      <c r="DB79" s="239" t="str">
        <f>IF(A79=FALSE,"",IF(ALLTHESAME=TRUE,INDEX(PA79:PZ79,MATCH(PC79,PC79:PC184,0),MATCH(Structure!$D$8,$PA$14:$PZ$14,0)),INDEX(QA79:QZ79,MATCH(QC79,QC79:QC184,0),MATCH(Structure!$D$8,$QA$14:$QZ$14,0))))</f>
        <v/>
      </c>
      <c r="DC79" s="341" t="str">
        <f>IF(A79=FALSE,"",IF(ALLTHESAME=TRUE,INDEX(RA79:RZ79,MATCH(RC79,RC79:RC184,0),MATCH(Structure!$D$8,$RA$14:$RZ$14,0)),INDEX(SA79:TC79,MATCH(SC79,SC79:SC184,0),MATCH(Structure!$D$8,$SA$14:$TC$14,0))))</f>
        <v/>
      </c>
      <c r="DD79" s="492" t="str">
        <f>IF(A79=FALSE,"",Cotations!D79)</f>
        <v/>
      </c>
      <c r="DE79" s="492" t="str">
        <f>IF(A79=FALSE,"",IF(LISTES!$A$17=1,Cotations!AF79,Cotations!$AG$4))</f>
        <v/>
      </c>
      <c r="DF79" s="291" t="str">
        <f t="shared" ref="DF79:DF110" si="654">IF(A79=FALSE,"",INDEX(colAssureur,MATCH(DE79,colchoice,0)))</f>
        <v/>
      </c>
      <c r="DG79" s="291" t="str">
        <f t="shared" ref="DG79:DG110" si="655">IF(A79=FALSE,"",INDEX(colProduct,MATCH(DE79,colchoice,0)))</f>
        <v/>
      </c>
      <c r="DH79" s="291"/>
      <c r="DI79" s="463"/>
      <c r="DJ79" s="463" t="str">
        <f t="shared" ref="DJ79:DJ110" si="656">IF(A79=FALSE,"",INDEX(colRatesHT,MATCH(DE79,colchoice,0)))</f>
        <v/>
      </c>
      <c r="DK79" s="522" t="str">
        <f>IF(A79=FALSE,"",IF(Cotations!$AH$4="monthly",DJ79/12*L79,DJ79/365*M79))</f>
        <v/>
      </c>
      <c r="DL79" s="489" t="str">
        <f>IF(A79=FALSE,"",Cotations!$AI$4)</f>
        <v/>
      </c>
      <c r="DM79" s="300" t="str">
        <f t="shared" ref="DM79:DM110" si="657">IF(A79=FALSE,"",DK79*DL79)</f>
        <v/>
      </c>
      <c r="DN79" s="300" t="str">
        <f t="shared" ref="DN79:DN110" si="658">IF(A79=FALSE,"",DK79-DM79)</f>
        <v/>
      </c>
      <c r="DO79" s="294" t="str">
        <f t="shared" ref="DO79:DO110" si="659">IF(A79=FALSE,"",DN79*TAXE)</f>
        <v/>
      </c>
      <c r="DP79" s="494" t="str">
        <f>IF(A79=FALSE,"",Cotations!$AJ$4)</f>
        <v/>
      </c>
      <c r="DQ79" s="494" t="str">
        <f>IF(A79=FALSE,"",Cotations!$AK$4)</f>
        <v/>
      </c>
      <c r="DR79" s="489" t="str">
        <f>IF(A79=FALSE,"",Cotations!$AL$4)</f>
        <v/>
      </c>
      <c r="DS79" s="494" t="str">
        <f>IF(A79=FALSE,"",IF(DP79="N/A",0,IF(INDEX(LISTES!$F$105:$F$109,MATCH(DP79,LISTES!$C$105:$C$109,0))="FIX",IF(INDEX(LISTES!$E$105:$E$109,MATCH(DP79,LISTES!$C$105:$C$109,0))=12,DQ79/12*L79,DQ79/365*M79),DR79*DO79)))</f>
        <v/>
      </c>
      <c r="DT79" s="294" t="str">
        <f t="shared" ref="DT79:DT110" si="660">IF(A79=FALSE,"",DO79+DS79)</f>
        <v/>
      </c>
      <c r="DU79" s="294" t="str">
        <f>IF(A79=FALSE,"",DT79*Cotations!$AM$4)</f>
        <v/>
      </c>
      <c r="DV79" s="294" t="str">
        <f>IF(A79=FALSE,"",DT79*Cotations!$AN$4)</f>
        <v/>
      </c>
      <c r="DW79" s="465" t="str">
        <f t="shared" ref="DW79:DW110" si="661">IF(A79=FALSE,"",INDEX(colCurrency,MATCH(DE79,colchoice,0)))</f>
        <v/>
      </c>
      <c r="DX79" s="919" t="str">
        <f>IF(A79=FALSE,"",((DJ79*TAXE)-(DJ79*TAXE*DL79))+IF(DP79="N/A",0,IF(INDEX(LISTES!$F$105:$F$109,MATCH(DP79,LISTES!$C$105:$C$109,0))="FIX",DQ79,DR79*DO79)))</f>
        <v/>
      </c>
      <c r="DY79" s="466"/>
      <c r="DZ79" s="466"/>
      <c r="EA79" s="492" t="str">
        <f>IF(A79=FALSE,"",Cotations!D79)</f>
        <v/>
      </c>
      <c r="EB79" s="494" t="str">
        <f>IF(A79=FALSE,"",IF(LISTES!$A$17=1,Cotations!AF79,Cotations!AG79))</f>
        <v/>
      </c>
      <c r="EC79" s="284" t="str">
        <f t="shared" ref="EC79:EC110" si="662">IF(A79=FALSE,"",INDEX(colAssureur,MATCH(EB79,colchoice,0)))</f>
        <v/>
      </c>
      <c r="ED79" s="284" t="str">
        <f t="shared" ref="ED79:ED110" si="663">IF(A79=FALSE,"",IF(N79="","",INDEX(colProduct,MATCH(EB79,colchoice,0))))</f>
        <v/>
      </c>
      <c r="EE79" s="284"/>
      <c r="EF79" s="284"/>
      <c r="EG79" s="284" t="str">
        <f t="shared" ref="EG79:EG110" si="664">IF(A79=FALSE,"",INDEX(colRatesHT,MATCH(EB79,colchoice,0)))</f>
        <v/>
      </c>
      <c r="EH79" s="1365" t="str">
        <f t="shared" ref="EH79:EH110" si="665">IF(A79=FALSE,"",INDEX(colSURCOM,MATCH(EB79,colchoice,0)))</f>
        <v/>
      </c>
      <c r="EI79" s="1365" t="str">
        <f t="shared" ref="EI79:EI110" si="666">IF(A79=FALSE,"",INDEX(colRatesHTsurcom,MATCH(EB79,colchoice,0)))</f>
        <v/>
      </c>
      <c r="EJ79" s="515" t="str">
        <f>IF(A79=FALSE,"",IF(Cotations!AH79="monthly",EG79/12*L79,EG79/365*M79))</f>
        <v/>
      </c>
      <c r="EK79" s="1364" t="str">
        <f>IF(A79=FALSE,"",IF(Cotations!AH79="monthly",EI79/12*L79,EI79/365*M79))</f>
        <v/>
      </c>
      <c r="EL79" s="493" t="str">
        <f>IF(A79=FALSE,"",IF(Cotations!AI79="","",Cotations!AI79))</f>
        <v/>
      </c>
      <c r="EM79" s="284" t="str">
        <f t="shared" ref="EM79:EM110" si="667">IF(A79=FALSE,"",EJ79*EL79)</f>
        <v/>
      </c>
      <c r="EN79" s="284" t="str">
        <f t="shared" ref="EN79:EN110" si="668">IF(A79=FALSE,"",EJ79-EM79)</f>
        <v/>
      </c>
      <c r="EO79" s="1365" t="str">
        <f t="shared" si="432"/>
        <v/>
      </c>
      <c r="EP79" s="284" t="str">
        <f t="shared" ref="EP79:EP110" si="669">IF(A79=FALSE,"",(EN79*TAXE)+EO79)</f>
        <v/>
      </c>
      <c r="EQ79" s="515" t="str">
        <f>IF(A79=FALSE,"",Cotations!AJ79)</f>
        <v/>
      </c>
      <c r="ER79" s="515" t="str">
        <f>IF(A79=FALSE,"",IF(Cotations!AK79="","",Cotations!AK79))</f>
        <v/>
      </c>
      <c r="ES79" s="493" t="str">
        <f>IF(A79=FALSE,"",Cotations!AL79)</f>
        <v/>
      </c>
      <c r="ET79" s="515" t="str">
        <f>IF(A79=FALSE,"",IF(EQ79="N/A",0,IF(INDEX(LISTES!$F$105:$F$109,MATCH(EQ79,LISTES!$C$105:$C$109,0))="FIX",IF(INDEX(LISTES!$E$105:$E$109,MATCH(EQ79,LISTES!$C$105:$C$109,0))=12,ER79/12*L79,ER79/365*M79),ES79*EP79)))</f>
        <v/>
      </c>
      <c r="EU79" s="294" t="str">
        <f t="shared" ref="EU79:EU110" si="670">IF(A79=FALSE,"",EP79+ET79)</f>
        <v/>
      </c>
      <c r="EV79" s="494" t="str">
        <f>IF(A79=FALSE,"",EU79*Cotations!AM79)</f>
        <v/>
      </c>
      <c r="EW79" s="494" t="str">
        <f>IF(A79=FALSE,"",EU79*Cotations!AN79)</f>
        <v/>
      </c>
      <c r="EX79" s="334" t="str">
        <f t="shared" ref="EX79:EX110" si="671">IF(A79=FALSE,"",INDEX(colCurrency,MATCH(EB79,colchoice,0)))</f>
        <v/>
      </c>
      <c r="EY79" s="919" t="str">
        <f>IF(A79=FALSE,"",((EG79*TAXE)-(EG79*TAXE*EL79)+EH79)+IF(EQ79="N/A",0,IF(INDEX(LISTES!$F$105:$F$109,MATCH(EQ79,LISTES!$C$105:$C$109,0))="FIX",ER79,ES79*EP79)))</f>
        <v/>
      </c>
      <c r="FA79" s="492" t="str">
        <f>IF(A79=FALSE,"",Cotations!D79)</f>
        <v/>
      </c>
      <c r="FB79" s="519" t="str">
        <f>IF(A79=FALSE,"",IF(LISTES!$A$17=1,Cotations!AO79,Cotations!$AP$4))</f>
        <v/>
      </c>
      <c r="FC79" s="291" t="str">
        <f t="shared" ref="FC79:FC110" si="672">IF(A79=FALSE,"",INDEX(colAssureur,MATCH(FB79,colchoice,0)))</f>
        <v/>
      </c>
      <c r="FD79" s="291" t="str">
        <f t="shared" ref="FD79:FD110" si="673">IF(A79=FALSE,"",INDEX(colProduct,MATCH(FB79,colchoice,0)))</f>
        <v/>
      </c>
      <c r="FE79" s="291"/>
      <c r="FF79" s="463"/>
      <c r="FG79" s="463" t="str">
        <f t="shared" ref="FG79:FG110" si="674">IF(A79=FALSE,"",INDEX(colRatesHT,MATCH(FB79,colchoice,0)))</f>
        <v/>
      </c>
      <c r="FH79" s="522" t="str">
        <f>IF(A79=FALSE,"",IF(Cotations!$AQ$4="monthly",FG79/12*L79,FG79/365*M79))</f>
        <v/>
      </c>
      <c r="FI79" s="453" t="str">
        <f>IF(A79=FALSE,"",Cotations!$AR$4)</f>
        <v/>
      </c>
      <c r="FJ79" s="300" t="str">
        <f t="shared" ref="FJ79:FJ110" si="675">IF(A79=FALSE,"",FH79*FI79)</f>
        <v/>
      </c>
      <c r="FK79" s="300" t="str">
        <f t="shared" ref="FK79:FK110" si="676">IF(A79=FALSE,"",FH79-FJ79)</f>
        <v/>
      </c>
      <c r="FL79" s="294" t="str">
        <f t="shared" ref="FL79:FL110" si="677">IF(A79=FALSE,"",FK79*TAXE)</f>
        <v/>
      </c>
      <c r="FM79" s="494" t="str">
        <f>IF(A79=FALSE,"",Cotations!$AS$4)</f>
        <v/>
      </c>
      <c r="FN79" s="494" t="str">
        <f>IF(A79=FALSE,"",Cotations!$AT$4)</f>
        <v/>
      </c>
      <c r="FO79" s="489" t="str">
        <f>IF(A79=FALSE,"",Cotations!$AU$4)</f>
        <v/>
      </c>
      <c r="FP79" s="494" t="str">
        <f>IF(A79=FALSE,"",IF(FM79="N/A",0,IF(INDEX(LISTES!$F$105:$F$109,MATCH(FM79,LISTES!$C$105:$C$109,0))="FIX",IF(INDEX(LISTES!$E$105:$E$109,MATCH(FM79,LISTES!$C$105:$C$109,0))=12,FN79/12*L79,FN79/365*M79),FO79*FL79)))</f>
        <v/>
      </c>
      <c r="FQ79" s="294" t="str">
        <f t="shared" ref="FQ79:FQ110" si="678">IF(A79=FALSE,"",FL79+FP79)</f>
        <v/>
      </c>
      <c r="FR79" s="494" t="str">
        <f>IF(A79=FALSE,"",FQ79*Cotations!$AV$4)</f>
        <v/>
      </c>
      <c r="FS79" s="494" t="str">
        <f>IF(A79=FALSE,"",FQ79*Cotations!$AW$4)</f>
        <v/>
      </c>
      <c r="FT79" s="465" t="str">
        <f t="shared" ref="FT79:FT110" si="679">IF(A79=FALSE,"",INDEX(colCurrency,MATCH(FB79,colchoice,0)))</f>
        <v/>
      </c>
      <c r="FU79" s="919" t="str">
        <f>IF(A79=FALSE,"",((FG79*TAXE)-(FG79*TAXE*FI79))+IF(FM79="N/A",0,IF(INDEX(LISTES!$F$105:$F$109,MATCH(FM79,LISTES!$C$105:$C$109,0))="FIX",FN79,FO79*FL79)))</f>
        <v/>
      </c>
      <c r="FV79" s="478"/>
      <c r="FW79" s="478"/>
      <c r="FX79" s="478"/>
      <c r="FY79" s="478"/>
      <c r="FZ79" s="478"/>
      <c r="GA79" s="492" t="str">
        <f>IF(A79=FALSE,"",Cotations!D79)</f>
        <v/>
      </c>
      <c r="GB79" s="494" t="str">
        <f>IF(A79=FALSE,"",IF(LISTES!$A$17=1,Cotations!AO79,Cotations!AP79))</f>
        <v/>
      </c>
      <c r="GC79" s="284" t="str">
        <f t="shared" ref="GC79:GC110" si="680">IF(A79=FALSE,"",INDEX(colAssureur,MATCH(GB79,colchoice,0)))</f>
        <v/>
      </c>
      <c r="GD79" s="515" t="str">
        <f>IF(A79=FALSE,"",IF(Detail!AM79="","",Detail!AM79))</f>
        <v/>
      </c>
      <c r="GE79" s="284"/>
      <c r="GF79" s="284"/>
      <c r="GG79" s="284" t="str">
        <f t="shared" ref="GG79:GG110" si="681">IF(A79=FALSE,"",INDEX(colRatesHT,MATCH(GB79,colchoice,0)))</f>
        <v/>
      </c>
      <c r="GH79" s="515" t="str">
        <f>IF(A79=FALSE,"",IF(Cotations!AQ79="monthly",GG79/12*L79,GG79/365*M79))</f>
        <v/>
      </c>
      <c r="GI79" s="493" t="str">
        <f>IF(A79=FALSE,"",IF(Cotations!AR79="","",Cotations!AR79))</f>
        <v/>
      </c>
      <c r="GJ79" s="284" t="str">
        <f t="shared" ref="GJ79:GJ110" si="682">IF(A79=FALSE,"",GH79*GI79)</f>
        <v/>
      </c>
      <c r="GK79" s="284" t="str">
        <f t="shared" ref="GK79:GK110" si="683">IF(A79=FALSE,"",GH79-GJ79)</f>
        <v/>
      </c>
      <c r="GL79" s="284" t="str">
        <f t="shared" ref="GL79:GL110" si="684">IF(A79=FALSE,"",GK79*TAXE)</f>
        <v/>
      </c>
      <c r="GM79" s="515" t="str">
        <f>IF(A79=FALSE,"",Cotations!AS79)</f>
        <v/>
      </c>
      <c r="GN79" s="515" t="str">
        <f>IF(A79=FALSE,"",Cotations!AT79)</f>
        <v/>
      </c>
      <c r="GO79" s="493" t="str">
        <f>IF(A79=FALSE,"",Cotations!AU79)</f>
        <v/>
      </c>
      <c r="GP79" s="515" t="str">
        <f>IF(A79=FALSE,"",IF(GM79="N/A",0,IF(INDEX(LISTES!$F$105:$F$109,MATCH(GM79,LISTES!$C$105:$C$109,0))="FIX",IF(INDEX(LISTES!$E$105:$E$109,MATCH(GM79,LISTES!$C$105:$C$109,0))=12,GN79/12*L79,GN79/365*M79),GO79*GL79)))</f>
        <v/>
      </c>
      <c r="GQ79" s="294" t="str">
        <f t="shared" ref="GQ79:GQ110" si="685">IF(A79=FALSE,"",GL79+GP79)</f>
        <v/>
      </c>
      <c r="GR79" s="494" t="str">
        <f>IF(A79=FALSE,"",GQ79*Cotations!AV79)</f>
        <v/>
      </c>
      <c r="GS79" s="494" t="str">
        <f>IF(A79=FALSE,"",GQ79*Cotations!AW79)</f>
        <v/>
      </c>
      <c r="GT79" s="334" t="str">
        <f t="shared" ref="GT79:GT110" si="686">IF(A79=FALSE,"",INDEX(colCurrency,MATCH(GB79,colchoice,0)))</f>
        <v/>
      </c>
      <c r="GU79" s="919" t="str">
        <f>IF(A79=FALSE,"",((GG79*TAXE)-(GG79*TAXE*GI79))+IF(GM79="N/A",0,IF(INDEX(LISTES!$F$105:$F$109,MATCH(GM79,LISTES!$C$105:$C$109,0))="FIX",GN79,GO79*GL79)))</f>
        <v/>
      </c>
      <c r="GV79" s="478"/>
      <c r="GW79" s="466"/>
      <c r="GX79" s="466"/>
      <c r="GY79" s="466"/>
      <c r="GZ79" s="466"/>
      <c r="HA79" s="492" t="str">
        <f>IF(A79=FALSE,"",Cotations!D79)</f>
        <v/>
      </c>
      <c r="HB79" s="495" t="str">
        <f>IF(A79=FALSE,"",IF(LISTES!$A$17=1,Cotations!AX79,Cotations!$AY$4))</f>
        <v/>
      </c>
      <c r="HC79" s="291" t="str">
        <f t="shared" ref="HC79:HC110" si="687">IF(A79=FALSE,"",INDEX(colAssureur,MATCH(HB79,colchoice,0)))</f>
        <v/>
      </c>
      <c r="HD79" s="291" t="str">
        <f t="shared" ref="HD79:HD110" si="688">IF(A79=FALSE,"",INDEX(colProduct,MATCH(HB79,colchoice,0)))</f>
        <v/>
      </c>
      <c r="HE79" s="456" t="str">
        <f t="shared" ref="HE79:HE110" si="689">IF(A79=FALSE,"",IF(HA79="POEA",$HA$2,INDEX(colRatesHT,MATCH(HB79,colchoice,0))))</f>
        <v/>
      </c>
      <c r="HF79" s="496" t="str">
        <f>IF(A79=FALSE,"",IF(HA79="POEA",Cotations!BA79,IF(HA79="FIXE",Cotations!$BA$4,Cotations!$BC$4*Y79)))</f>
        <v/>
      </c>
      <c r="HG79" s="300" t="str">
        <f t="shared" ref="HG79:HG110" si="690">IF(A79=FALSE,"",IF(HB79="N/A",0,IF(HA79="POEA",HF79*$HA$2,HF79*HE79)))</f>
        <v/>
      </c>
      <c r="HH79" s="522" t="str">
        <f>IF(A79=FALSE,"",IF(Cotations!$AZ$4="monthly",HG79/12*L79,HG79/365*M79))</f>
        <v/>
      </c>
      <c r="HI79" s="489" t="str">
        <f>IF(A79=FALSE,"",Cotations!$BD$4)</f>
        <v/>
      </c>
      <c r="HJ79" s="300" t="str">
        <f t="shared" ref="HJ79:HJ110" si="691">IF(A79=FALSE,"",HH79*HI79)</f>
        <v/>
      </c>
      <c r="HK79" s="300" t="str">
        <f t="shared" ref="HK79:HK110" si="692">IF(A79=FALSE,"",HH79-HJ79)</f>
        <v/>
      </c>
      <c r="HL79" s="294" t="str">
        <f t="shared" ref="HL79:HL110" si="693">IF(A79=FALSE,"",HK79*TAXE)</f>
        <v/>
      </c>
      <c r="HM79" s="494" t="str">
        <f>IF(A79=FALSE,"",Cotations!$BE$4)</f>
        <v/>
      </c>
      <c r="HN79" s="522" t="str">
        <f>IF(A79=FALSE,"",Cotations!$BF$4)</f>
        <v/>
      </c>
      <c r="HO79" s="489" t="str">
        <f>IF(A79=FALSE,"",Cotations!$BG$4)</f>
        <v/>
      </c>
      <c r="HP79" s="494" t="str">
        <f>IF(A79=FALSE,"",IF(HM79="N/A",0,IF(INDEX(LISTES!$F$105:$F$109,MATCH(HM79,LISTES!$C$105:$C$109,0))="FIX",IF(INDEX(LISTES!$E$105:$E$109,MATCH(HM79,LISTES!$C$105:$C$109,0))=12,HN79/12*L79,HN79/365*M79),HO79*HL79)))</f>
        <v/>
      </c>
      <c r="HQ79" s="294" t="str">
        <f t="shared" ref="HQ79:HQ110" si="694">IF(A79=FALSE,"",HL79+HP79)</f>
        <v/>
      </c>
      <c r="HR79" s="494" t="str">
        <f>IF(A79=FALSE,"",HQ79*Cotations!$BH$4)</f>
        <v/>
      </c>
      <c r="HS79" s="494" t="str">
        <f>IF(A79=FALSE,"",HQ79*Cotations!$BI$4)</f>
        <v/>
      </c>
      <c r="HT79" s="294" t="str">
        <f t="shared" ref="HT79:HT110" si="695">IF(A79=FALSE,"",INDEX(colCurrency,MATCH(HB79,colchoice,0)))</f>
        <v/>
      </c>
      <c r="HU79" s="919" t="str">
        <f>IF(A79=FALSE,"",((HG79*TAXE)-(HG79*TAXE*HI79))+IF(HM79="N/A",0,IF(INDEX(LISTES!$F$105:$F$109,MATCH(HM79,LISTES!$C$105:$C$109,0))="FIX",HN79,HO79*HL79)))</f>
        <v/>
      </c>
      <c r="IA79" s="492" t="str">
        <f>IF(A79=FALSE,"",Cotations!D79)</f>
        <v/>
      </c>
      <c r="IB79" s="491" t="str">
        <f>IF(A79=FALSE,"",IF(LISTES!$A$17=1,Cotations!AX79,Cotations!AY79))</f>
        <v/>
      </c>
      <c r="IC79" s="285" t="str">
        <f t="shared" ref="IC79:IC110" si="696">IF(A79=FALSE,"",INDEX(colAssureur,MATCH(IB79,colchoice,0)))</f>
        <v/>
      </c>
      <c r="ID79" s="300" t="str">
        <f>IF(A79=FALSE,"",IF(LISTES!$A$17=3,Detail!AU79,lig1_Formula_PREVOY))</f>
        <v/>
      </c>
      <c r="IE79" s="461" t="str">
        <f t="shared" ref="IE79:IE110" si="697">IF(A79=FALSE,"",IF(IA79="POEA",$IA$2,INDEX(colRatesHT,MATCH(IB79,colchoice,0))))</f>
        <v/>
      </c>
      <c r="IF79" s="490" t="str">
        <f>IF(A79=FALSE,"",IF(IA79="POEA",Cotations!BA79,IF(HA79="FIXE",Cotations!BB79,IF(Cotations!BC79*Y79&lt;50000,Z79,Cotations!BC79*Y79))))</f>
        <v/>
      </c>
      <c r="IG79" s="300" t="str">
        <f t="shared" ref="IG79:IG110" si="698">IF(A79=FALSE,"",IF(IB79="N/A",0,IF79*IE79))</f>
        <v/>
      </c>
      <c r="IH79" s="522" t="str">
        <f>IF(A79=FALSE,"",IF(Cotations!AZ79="monthly",IG79/12*L79,IG79/365*M79))</f>
        <v/>
      </c>
      <c r="II79" s="489" t="str">
        <f>IF(A79=FALSE,"",IF(Cotations!BD79="","",Cotations!BD79))</f>
        <v/>
      </c>
      <c r="IJ79" s="300" t="str">
        <f t="shared" ref="IJ79:IJ110" si="699">IF(A79=FALSE,"",IH79*II79)</f>
        <v/>
      </c>
      <c r="IK79" s="300" t="str">
        <f t="shared" ref="IK79:IK110" si="700">IF(A79=FALSE,"",IH79-IJ79)</f>
        <v/>
      </c>
      <c r="IL79" s="919" t="str">
        <f t="shared" ref="IL79:IL110" si="701">IF(A79=FALSE,"",IK79*TAXE)</f>
        <v/>
      </c>
      <c r="IM79" s="517" t="str">
        <f>IF(A79=FALSE,"",Cotations!BE79)</f>
        <v/>
      </c>
      <c r="IN79" s="517" t="str">
        <f>IF(A79=FALSE,"",Cotations!BF79)</f>
        <v/>
      </c>
      <c r="IO79" s="493" t="str">
        <f>IF(A79=FALSE,"",Cotations!BG79)</f>
        <v/>
      </c>
      <c r="IP79" s="517" t="str">
        <f>IF(A79=FALSE,"",IF(IM79="N/A",0,IF(INDEX(LISTES!$F$105:$F$109,MATCH(IM79,LISTES!$C$105:$C$109,0))="FIX",IF(INDEX(LISTES!$E$105:$E$109,MATCH(IM79,LISTES!$C$105:$C$109,0))=12,IN79/12*L79,IN79/365*M79),IO79*IL79)))</f>
        <v/>
      </c>
      <c r="IQ79" s="294" t="str">
        <f t="shared" ref="IQ79:IQ110" si="702">IF(A79=FALSE,"",IL79+IP79)</f>
        <v/>
      </c>
      <c r="IR79" s="494" t="str">
        <f>IF(A79=FALSE,"",IQ79*Cotations!BH79)</f>
        <v/>
      </c>
      <c r="IS79" s="494" t="str">
        <f>IF(A79=FALSE,"",IQ79*Cotations!BI79)</f>
        <v/>
      </c>
      <c r="IT79" s="338" t="str">
        <f t="shared" ref="IT79:IT110" si="703">IF(A79=FALSE,"",INDEX(colCurrency,MATCH(IB79,colchoice,0)))</f>
        <v/>
      </c>
      <c r="IU79" s="919" t="str">
        <f>IF(A79=FALSE,"",((IG79*TAXE)-(IG79*TAXE*II79))+IF(IM79="N/A",0,IF(INDEX(LISTES!$F$105:$F$109,MATCH(IM79,LISTES!$C$105:$C$109,0))="FIX",IN79,IO79*IL79)))</f>
        <v/>
      </c>
      <c r="JA79" s="492" t="str">
        <f>IF(A79=FALSE,"",Cotations!D79)</f>
        <v/>
      </c>
      <c r="JB79" s="495" t="str">
        <f>IF(A79=FALSE,"",IF(LISTES!$A$17=1,Cotations!BJ79,Cotations!$BK$4))</f>
        <v/>
      </c>
      <c r="JC79" s="291" t="str">
        <f t="shared" ref="JC79:JC110" si="704">IF(A79=FALSE,"",INDEX(colAssureur,MATCH(JB79,colchoice,0)))</f>
        <v/>
      </c>
      <c r="JD79" s="291" t="str">
        <f t="shared" ref="JD79:JD110" si="705">IF(A79=FALSE,"",INDEX(colProduct,MATCH(JB79,colchoice,0)))</f>
        <v/>
      </c>
      <c r="JE79" s="456" t="str">
        <f t="shared" ref="JE79:JE110" si="706">IF(A79=FALSE,"",IF(JA79="POEA",$JA$2,INDEX(colRatesHT,MATCH(JB79,colchoice,0))))</f>
        <v/>
      </c>
      <c r="JF79" s="496" t="str">
        <f>IF(A79=FALSE,"",IF(JA79="POEA",Cotations!BM79,IF(JA79="FIXE",Cotations!$BM$4,Cotations!$BO$4*Y79)))</f>
        <v/>
      </c>
      <c r="JG79" s="300" t="str">
        <f t="shared" ref="JG79:JG110" si="707">IF(A79=FALSE,"",IF(JB79="N/A",0,IF(JA79="POEA",JF79*$JA$2,JF79*JE79)))</f>
        <v/>
      </c>
      <c r="JH79" s="522" t="str">
        <f>IF(A79=FALSE,"",IF(Cotations!$BL$4="monthly",JG79/12*L79,JG79/365*M79))</f>
        <v/>
      </c>
      <c r="JI79" s="489" t="str">
        <f>IF(A79=FALSE,"",Cotations!$BP$4)</f>
        <v/>
      </c>
      <c r="JJ79" s="300" t="str">
        <f t="shared" ref="JJ79:JJ110" si="708">IF(A79=FALSE,"",JH79*JI79)</f>
        <v/>
      </c>
      <c r="JK79" s="300" t="str">
        <f t="shared" ref="JK79:JK110" si="709">IF(A79=FALSE,"",JH79-JJ79)</f>
        <v/>
      </c>
      <c r="JL79" s="294" t="str">
        <f t="shared" ref="JL79:JL110" si="710">IF(A79=FALSE,"",JK79*TAXE)</f>
        <v/>
      </c>
      <c r="JM79" s="494" t="str">
        <f>IF(A79=FALSE,"",Cotations!$BQ$4)</f>
        <v/>
      </c>
      <c r="JN79" s="522" t="str">
        <f>IF(A79=FALSE,"",Cotations!$BR$4)</f>
        <v/>
      </c>
      <c r="JO79" s="489" t="str">
        <f>IF(A79=FALSE,"",Cotations!$BS$4)</f>
        <v/>
      </c>
      <c r="JP79" s="494" t="str">
        <f>IF(A79=FALSE,"",IF(JM79="N/A",0,IF(INDEX(LISTES!$F$105:$F$109,MATCH(JM79,LISTES!$C$105:$C$109,0))="FIX",IF(INDEX(LISTES!$E$105:$E$109,MATCH(JM79,LISTES!$C$105:$C$109,0))=12,JN79/12*L79,JN79/365*M79),JO79*JL79)))</f>
        <v/>
      </c>
      <c r="JQ79" s="294" t="str">
        <f t="shared" ref="JQ79:JQ110" si="711">IF(A79=FALSE,"",JL79+JP79)</f>
        <v/>
      </c>
      <c r="JR79" s="494" t="str">
        <f>IF(A79=FALSE,"",JQ79*Cotations!$BT$4)</f>
        <v/>
      </c>
      <c r="JS79" s="494" t="str">
        <f>IF(A79=FALSE,"",JQ79*Cotations!$BU$4)</f>
        <v/>
      </c>
      <c r="JT79" s="294" t="str">
        <f t="shared" ref="JT79:JT110" si="712">IF(A79=FALSE,"",INDEX(colCurrency,MATCH(JB79,colchoice,0)))</f>
        <v/>
      </c>
      <c r="JU79" s="919" t="str">
        <f>IF(A79=FALSE,"",((JG79*TAXE)-(JG79*TAXE*JI79))+IF(JM79="N/A",0,IF(INDEX(LISTES!$F$105:$F$109,MATCH(JM79,LISTES!$C$105:$C$109,0))="FIX",JN79,JO79*JL79)))</f>
        <v/>
      </c>
      <c r="KA79" s="492" t="str">
        <f>IF(A79=FALSE,"",Cotations!D79)</f>
        <v/>
      </c>
      <c r="KB79" s="491" t="str">
        <f>IF(A79=FALSE,"",IF(LISTES!$A$17=1,Cotations!BJ79,Cotations!BK79))</f>
        <v/>
      </c>
      <c r="KC79" s="285" t="str">
        <f t="shared" ref="KC79:KC110" si="713">IF(A79=FALSE,"",INDEX(colAssureur,MATCH(KB79,colchoice,0)))</f>
        <v/>
      </c>
      <c r="KD79" s="300"/>
      <c r="KE79" s="461" t="str">
        <f t="shared" ref="KE79:KE110" si="714">IF(A79=FALSE,"",IF(KA79="POEA",$KA$2,INDEX(colRatesHT,MATCH(KB79,colchoice,0))))</f>
        <v/>
      </c>
      <c r="KF79" s="490" t="str">
        <f>IF(A79=FALSE,"",IF(KA79="POEA",Cotations!BM79,IF(KA79="FIXE",Cotations!BN79,IF(Cotations!BO79*Y79&lt;50000,Z79,Cotations!BO79*Y79))))</f>
        <v/>
      </c>
      <c r="KG79" s="300" t="str">
        <f t="shared" ref="KG79:KG110" si="715">IF(A79=FALSE,"",IF(KB79="N/A",0,KF79*INDEX(colRatesHT,MATCH(KB79,colchoice,0))))</f>
        <v/>
      </c>
      <c r="KH79" s="522" t="str">
        <f>IF(A79=FALSE,"",IF(Cotations!BL79="monthly",KG79/12*L79,KG79/365*M79))</f>
        <v/>
      </c>
      <c r="KI79" s="489" t="str">
        <f>IF(A79=FALSE,"",IF(Cotations!BP79="","",Cotations!BP79))</f>
        <v/>
      </c>
      <c r="KJ79" s="300" t="str">
        <f t="shared" ref="KJ79:KJ110" si="716">IF(A79=FALSE,"",KH79*KI79)</f>
        <v/>
      </c>
      <c r="KK79" s="300" t="str">
        <f t="shared" ref="KK79:KK110" si="717">IF(A79=FALSE,"",KH79-KJ79)</f>
        <v/>
      </c>
      <c r="KL79" s="919" t="str">
        <f t="shared" ref="KL79:KL110" si="718">IF(A79=FALSE,"",KK79*TAXE)</f>
        <v/>
      </c>
      <c r="KM79" s="517" t="str">
        <f>IF(A79=FALSE,"",Cotations!BQ79)</f>
        <v/>
      </c>
      <c r="KN79" s="515" t="str">
        <f>IF(A79=FALSE,"",Cotations!BR79)</f>
        <v/>
      </c>
      <c r="KO79" s="493" t="str">
        <f>IF(A79=FALSE,"",Cotations!BS79)</f>
        <v/>
      </c>
      <c r="KP79" s="517" t="str">
        <f>IF(A79=FALSE,"",IF(KM79="N/A",0,IF(INDEX(LISTES!$F$105:$F$109,MATCH(KM79,LISTES!$C$105:$C$109,0))="FIX",IF(INDEX(LISTES!$E$105:$E$109,MATCH(KM79,LISTES!$C$105:$C$109,0))=12,KN79/12*L79,KN79/365*M79),KO79*KL79)))</f>
        <v/>
      </c>
      <c r="KQ79" s="294" t="str">
        <f t="shared" ref="KQ79:KQ110" si="719">IF(A79=FALSE,"",KL79+KP79)</f>
        <v/>
      </c>
      <c r="KR79" s="494" t="str">
        <f>IF(A79=FALSE,"",KQ79*Cotations!BT79)</f>
        <v/>
      </c>
      <c r="KS79" s="494" t="str">
        <f>IF(A79=FALSE,"",KQ79*Cotations!BU79)</f>
        <v/>
      </c>
      <c r="KT79" s="338" t="str">
        <f t="shared" ref="KT79:KT110" si="720">IF(A79=FALSE,"",INDEX(colCurrency,MATCH(KB79,colchoice,0)))</f>
        <v/>
      </c>
      <c r="KU79" s="919" t="str">
        <f>IF(A79=FALSE,"",((KG79*TAXE)-(KG79*TAXE*KI79))+IF(KM79="N/A",0,IF(INDEX(LISTES!$F$105:$F$109,MATCH(KM79,LISTES!$C$105:$C$109,0))="FIX",KN79,KO79*KL79)))</f>
        <v/>
      </c>
      <c r="LA79" s="497" t="str">
        <f>IF(A79=FALSE,"",Cotations!D79)</f>
        <v/>
      </c>
      <c r="LB79" s="498" t="str">
        <f>IF(A79=FALSE,"",IF(LISTES!$A$17=1,Cotations!BV79,Cotations!$BW$4))</f>
        <v/>
      </c>
      <c r="LC79" s="499" t="str">
        <f t="shared" ref="LC79:LC110" si="721">IF(A79=FALSE,"",INDEX(colAssureur,MATCH(LB79,colchoice,0)))</f>
        <v/>
      </c>
      <c r="LD79" s="499" t="str">
        <f t="shared" ref="LD79:LD110" si="722">IF(A79=FALSE,"",INDEX(colProduct,MATCH(LB79,colchoice,0)))</f>
        <v/>
      </c>
      <c r="LE79" s="500" t="str">
        <f t="shared" ref="LE79:LE110" si="723">IF(A79=FALSE,"",IF(LA79="POEA",$KA$2,INDEX(colRatesHT,MATCH(LB79,colchoice,0))))</f>
        <v/>
      </c>
      <c r="LF79" s="501" t="str">
        <f>IF(A79=FALSE,"",IF(LA79="POEA",Cotations!EJ79,IF(LA79="FIXE",Cotations!$BY$4,Cotations!$CA$4*Y79)))</f>
        <v/>
      </c>
      <c r="LG79" s="502" t="str">
        <f t="shared" ref="LG79:LG110" si="724">IF(A79=FALSE,"",IF(LB79="N/A",0,IF(LA79="POEA",LF79*$LA$2,LF79*LE79)))</f>
        <v/>
      </c>
      <c r="LH79" s="520" t="str">
        <f>IF(A79=FALSE,"",IF(Cotations!$BX$4="monthly",LG79/12*L79,LG79/365*M79))</f>
        <v/>
      </c>
      <c r="LI79" s="503" t="str">
        <f>IF(A79=FALSE,"",Cotations!$CB$4)</f>
        <v/>
      </c>
      <c r="LJ79" s="502" t="str">
        <f t="shared" ref="LJ79:LJ110" si="725">IF(A79=FALSE,"",LH79*LI79)</f>
        <v/>
      </c>
      <c r="LK79" s="502" t="str">
        <f t="shared" ref="LK79:LK110" si="726">IF(A79=FALSE,"",LH79-LJ79)</f>
        <v/>
      </c>
      <c r="LL79" s="504" t="str">
        <f t="shared" ref="LL79:LL110" si="727">IF(A79=FALSE,"",LK79*TAXE)</f>
        <v/>
      </c>
      <c r="LM79" s="505" t="str">
        <f>IF(A79=FALSE,"",Cotations!$CC$4)</f>
        <v/>
      </c>
      <c r="LN79" s="503" t="str">
        <f>IF(A79=FALSE,"",Cotations!$CD$4)</f>
        <v/>
      </c>
      <c r="LO79" s="503" t="str">
        <f>IF(A79=FALSE,"",Cotations!$CE$4)</f>
        <v/>
      </c>
      <c r="LP79" s="505" t="str">
        <f>IF(A79=FALSE,"",IF(LM79="N/A",0,IF(INDEX(LISTES!$F$105:$F$109,MATCH(LM79,LISTES!$C$105:$C$109,0))="FIX",IF(INDEX(LISTES!$E$105:$E$109,MATCH(LM79,LISTES!$C$105:$C$109,0))=12,LN79/12*L79,LN79/365*M79),LO79*LL79)))</f>
        <v/>
      </c>
      <c r="LQ79" s="504" t="str">
        <f t="shared" ref="LQ79:LQ110" si="728">IF(A79=FALSE,"",LL79+LP79)</f>
        <v/>
      </c>
      <c r="LR79" s="505" t="str">
        <f>IF(A79=FALSE,"",LQ79*Cotations!$CF$4)</f>
        <v/>
      </c>
      <c r="LS79" s="505" t="str">
        <f>IF(A79=FALSE,"",LQ79*Cotations!$CG$4)</f>
        <v/>
      </c>
      <c r="LT79" s="506" t="str">
        <f t="shared" ref="LT79:LT110" si="729">IF(A79=FALSE,"",INDEX(colCurrency,MATCH(LB79,colchoice,0)))</f>
        <v/>
      </c>
      <c r="LU79" s="919" t="str">
        <f>IF(A79=FALSE,"",((LG79*TAXE)-(LG79*TAXE*LI79))+IF(LM79="N/A",0,IF(INDEX(LISTES!$F$105:$F$109,MATCH(LM79,LISTES!$C$105:$C$109,0))="FIX",LN79,LO79*LL79)))</f>
        <v/>
      </c>
      <c r="MA79" s="492" t="str">
        <f>IF(A79=FALSE,"",Cotations!D79)</f>
        <v/>
      </c>
      <c r="MB79" s="491" t="str">
        <f>IF(A79=FALSE,"",IF(LISTES!$A$17=1,Cotations!BV79,Cotations!BW79))</f>
        <v/>
      </c>
      <c r="MC79" s="285" t="str">
        <f t="shared" ref="MC79:MC110" si="730">IF(A79=FALSE,"",INDEX(colAssureur,MATCH(MB79,colchoice,0)))</f>
        <v/>
      </c>
      <c r="MD79" s="300"/>
      <c r="ME79" s="461" t="str">
        <f t="shared" ref="ME79:ME110" si="731">IF(A79=FALSE,"",IF(MA79="POEA",$MA$2,INDEX(colRatesHT,MATCH(MB79,colchoice,0))))</f>
        <v/>
      </c>
      <c r="MF79" s="490" t="str">
        <f>IF(A79=FALSE,"",IF(MA79="POEA",Cotations!BY79,IF(MA79="FIXE",Cotations!BZ79,IF(Cotations!CA79*Y79&lt;50000,Z79,Cotations!CA79*Y79))))</f>
        <v/>
      </c>
      <c r="MG79" s="300" t="str">
        <f t="shared" ref="MG79:MG110" si="732">IF(A79=FALSE,"",IF(MB79="N/A",0,MF79*INDEX(colRatesHT,MATCH(MB79,colchoice,0))))</f>
        <v/>
      </c>
      <c r="MH79" s="522" t="str">
        <f>IF(A79=FALSE,"",IF(Cotations!BX79="monthly",MG79/12*L79,MG79/365*M79))</f>
        <v/>
      </c>
      <c r="MI79" s="489" t="str">
        <f>IF(A79=FALSE,"",IF(Cotations!CB79="","",Cotations!CB79))</f>
        <v/>
      </c>
      <c r="MJ79" s="300" t="str">
        <f t="shared" ref="MJ79:MJ110" si="733">IF(A79=FALSE,"",MH79*MI79)</f>
        <v/>
      </c>
      <c r="MK79" s="300" t="str">
        <f t="shared" ref="MK79:MK110" si="734">IF(A79=FALSE,"",MH79-MJ79)</f>
        <v/>
      </c>
      <c r="ML79" s="919" t="str">
        <f t="shared" ref="ML79:ML110" si="735">IF(A79=FALSE,"",MK79*TAXE)</f>
        <v/>
      </c>
      <c r="MM79" s="517" t="str">
        <f>IF(A79=FALSE,"",Cotations!CC79)</f>
        <v/>
      </c>
      <c r="MN79" s="515" t="str">
        <f>IF(A79=FALSE,"",Cotations!CD79)</f>
        <v/>
      </c>
      <c r="MO79" s="493" t="str">
        <f>IF(A79=FALSE,"",Cotations!CE79)</f>
        <v/>
      </c>
      <c r="MP79" s="517" t="str">
        <f>IF(A79=FALSE,"",IF(MM79="N/A",0,IF(INDEX(LISTES!$F$105:$F$109,MATCH(MM79,LISTES!$C$105:$C$109,0))="FIX",IF(INDEX(LISTES!$E$105:$E$109,MATCH(MM79,LISTES!$C$105:$C$109,0))=12,MN79/12*L79,MN79/365*M79),MO79*ML79)))</f>
        <v/>
      </c>
      <c r="MQ79" s="294" t="str">
        <f t="shared" ref="MQ79:MQ110" si="736">IF(A79=FALSE,"",ML79+MP79)</f>
        <v/>
      </c>
      <c r="MR79" s="494" t="str">
        <f>IF(A79=FALSE,"",MQ79*Cotations!CF79)</f>
        <v/>
      </c>
      <c r="MS79" s="494" t="str">
        <f>IF(A79=FALSE,"",MQ79*Cotations!CG79)</f>
        <v/>
      </c>
      <c r="MT79" s="338" t="str">
        <f t="shared" ref="MT79:MT110" si="737">IF(A79=FALSE,"",INDEX(colCurrency,MATCH(MB79,colchoice,0)))</f>
        <v/>
      </c>
      <c r="MU79" s="919" t="str">
        <f>IF(A79=FALSE,"",((MG79*TAXE)-(MG79*TAXE*MI79))+IF(MM79="N/A",0,IF(INDEX(LISTES!$F$105:$F$109,MATCH(MM79,LISTES!$C$105:$C$109,0))="FIX",MN79,MO79*ML79)))</f>
        <v/>
      </c>
      <c r="NA79" s="497" t="str">
        <f>IF(A79=FALSE,"",Cotations!D79)</f>
        <v/>
      </c>
      <c r="NB79" s="498" t="str">
        <f>IF(A79=FALSE,"",IF(LISTES!$A$17=1,Cotations!CH79,Cotations!$CI$4))</f>
        <v/>
      </c>
      <c r="NC79" s="499" t="str">
        <f t="shared" ref="NC79:NC110" si="738">IF(A79=FALSE,"",INDEX(colAssureur,MATCH(NB79,colchoice,0)))</f>
        <v/>
      </c>
      <c r="ND79" s="499" t="str">
        <f t="shared" ref="ND79:ND110" si="739">IF(A79=FALSE,"",INDEX(colProduct,MATCH(NB79,colchoice,0)))</f>
        <v/>
      </c>
      <c r="NE79" s="500" t="str">
        <f t="shared" ref="NE79:NE110" si="740">IF(A79=FALSE,"",IF(NA79="POEA",$NA$2,INDEX(colRatesHT,MATCH(NB79,colchoice,0))))</f>
        <v/>
      </c>
      <c r="NF79" s="501" t="str">
        <f>IF(A79=FALSE,"",IF(NA79="POEA",Cotations!CK79,IF(NA79="FIXE",Cotations!$CK$4,Cotations!$CM$4*Y79)))</f>
        <v/>
      </c>
      <c r="NG79" s="502" t="str">
        <f t="shared" ref="NG79:NG110" si="741">IF(A79=FALSE,"",IF(NB79="N/A",0,IF(NA79="POEA",NF79*$NA$2,NF79*NE79)))</f>
        <v/>
      </c>
      <c r="NH79" s="520" t="str">
        <f>IF(A79=FALSE,"",IF(Cotations!$CJ$4="monthly",NG79/12*L79,NG79/365*M79))</f>
        <v/>
      </c>
      <c r="NI79" s="503" t="str">
        <f>IF(A79=FALSE,"",Cotations!$CN$4)</f>
        <v/>
      </c>
      <c r="NJ79" s="502" t="str">
        <f t="shared" ref="NJ79:NJ110" si="742">IF(A79=FALSE,"",NH79*NI79)</f>
        <v/>
      </c>
      <c r="NK79" s="502" t="str">
        <f t="shared" ref="NK79:NK110" si="743">IF(A79=FALSE,"",NH79-NJ79)</f>
        <v/>
      </c>
      <c r="NL79" s="504" t="str">
        <f t="shared" ref="NL79:NL110" si="744">IF(A79=FALSE,"",NK79*TAXE)</f>
        <v/>
      </c>
      <c r="NM79" s="505" t="str">
        <f>IF(A79=FALSE,"",Cotations!$CO$4)</f>
        <v/>
      </c>
      <c r="NN79" s="520" t="str">
        <f>IF(A79=FALSE,"",Cotations!$CP$4)</f>
        <v/>
      </c>
      <c r="NO79" s="503" t="str">
        <f>IF(A79=FALSE,"",Cotations!$CQ$4)</f>
        <v/>
      </c>
      <c r="NP79" s="505" t="str">
        <f>IF(A79=FALSE,"",IF(NM79="N/A",0,IF(INDEX(LISTES!$F$105:$F$109,MATCH(NM79,LISTES!$C$105:$C$109,0))="FIX",IF(INDEX(LISTES!$E$105:$E$109,MATCH(NM79,LISTES!$C$105:$C$109,0))=12,NN79/12*L79,NN79/365*M79),NO79*NL79)))</f>
        <v/>
      </c>
      <c r="NQ79" s="504" t="str">
        <f t="shared" ref="NQ79:NQ110" si="745">IF(A79=FALSE,"",NL79+NP79)</f>
        <v/>
      </c>
      <c r="NR79" s="505" t="str">
        <f>IF(A79=FALSE,"",NQ79*Cotations!$CR$4)</f>
        <v/>
      </c>
      <c r="NS79" s="505" t="str">
        <f>IF(A79=FALSE,"",NQ79*Cotations!$CS$4)</f>
        <v/>
      </c>
      <c r="NT79" s="506" t="str">
        <f t="shared" ref="NT79:NT110" si="746">IF(A79=FALSE,"",INDEX(colCurrency,MATCH(NB79,colchoice,0)))</f>
        <v/>
      </c>
      <c r="NU79" s="919" t="str">
        <f>IF(A79=FALSE,"",((NG79*TAXE)-(NG79*TAXE*NI79))+IF(NM79="N/A",0,IF(INDEX(LISTES!$F$105:$F$109,MATCH(NM79,LISTES!$C$105:$C$109,0))="FIX",NN79,NO79*NL79)))</f>
        <v/>
      </c>
      <c r="OA79" s="492" t="str">
        <f>IF(A79=FALSE,"",Cotations!D79)</f>
        <v/>
      </c>
      <c r="OB79" s="491" t="str">
        <f>IF(A79=FALSE,"",IF(LISTES!$A$17=1,Cotations!CH79,Cotations!CI79))</f>
        <v/>
      </c>
      <c r="OC79" s="285" t="str">
        <f t="shared" ref="OC79:OC110" si="747">IF(A79=FALSE,"",INDEX(colAssureur,MATCH(OB79,colchoice,0)))</f>
        <v/>
      </c>
      <c r="OD79" s="300"/>
      <c r="OE79" s="461" t="str">
        <f t="shared" ref="OE79:OE110" si="748">IF(A79=FALSE,"",IF(OA79="POEA",$OA$2,INDEX(colRatesHT,MATCH(OB79,colchoice,0))))</f>
        <v/>
      </c>
      <c r="OF79" s="490" t="str">
        <f>IF(A79=FALSE,"",IF(OA79="POEA",Cotations!CK79,IF(OA79="FIXE",Cotations!CL79,IF(Cotations!CM79*Y79&lt;50000,Z79,Cotations!CM79*Y79))))</f>
        <v/>
      </c>
      <c r="OG79" s="300" t="str">
        <f t="shared" ref="OG79:OG110" si="749">IF(A79=FALSE,"",IF(OB79="N/A",0,OF79*INDEX(colRatesHT,MATCH(OB79,colchoice,0))))</f>
        <v/>
      </c>
      <c r="OH79" s="522" t="str">
        <f>IF(A79=FALSE,"",IF(Cotations!CJ79="monthly",OG79/12*L79,OG79/365*M79))</f>
        <v/>
      </c>
      <c r="OI79" s="489" t="str">
        <f>IF(A79=FALSE,"",IF(Cotations!CN79="","",Cotations!CN79))</f>
        <v/>
      </c>
      <c r="OJ79" s="300" t="str">
        <f t="shared" ref="OJ79:OJ110" si="750">IF(A79=FALSE,"",OH79*OI79)</f>
        <v/>
      </c>
      <c r="OK79" s="300" t="str">
        <f t="shared" ref="OK79:OK110" si="751">IF(A79=FALSE,"",OH79-OJ79)</f>
        <v/>
      </c>
      <c r="OL79" s="919" t="str">
        <f t="shared" ref="OL79:OL110" si="752">IF(A79=FALSE,"",OK79*TAXE)</f>
        <v/>
      </c>
      <c r="OM79" s="517" t="str">
        <f>IF(A79=FALSE,"",Cotations!CO79)</f>
        <v/>
      </c>
      <c r="ON79" s="515" t="str">
        <f>IF(A79=FALSE,"",Cotations!CP79)</f>
        <v/>
      </c>
      <c r="OO79" s="493" t="str">
        <f>IF(A79=FALSE,"",Cotations!CQ79)</f>
        <v/>
      </c>
      <c r="OP79" s="517" t="str">
        <f>IF(A79=FALSE,"",IF(OM79="N/A",0,IF(INDEX(LISTES!$F$105:$F$109,MATCH(OM79,LISTES!$C$105:$C$109,0))="FIX",IF(INDEX(LISTES!$E$105:$E$109,MATCH(OM79,LISTES!$C$105:$C$109,0))=12,ON79/12*L79,ON79/365*M79),OO79*OL79)))</f>
        <v/>
      </c>
      <c r="OQ79" s="294" t="str">
        <f t="shared" ref="OQ79:OQ110" si="753">IF(A79=FALSE,"",OL79+OP79)</f>
        <v/>
      </c>
      <c r="OR79" s="494" t="str">
        <f>IF(A79=FALSE,"",OQ79*Cotations!CR79)</f>
        <v/>
      </c>
      <c r="OS79" s="494" t="str">
        <f>IF(A79=FALSE,"",OQ79*Cotations!CS79)</f>
        <v/>
      </c>
      <c r="OT79" s="338" t="str">
        <f t="shared" ref="OT79:OT110" si="754">IF(A79=FALSE,"",INDEX(colCurrency,MATCH(OB79,colchoice,0)))</f>
        <v/>
      </c>
      <c r="OU79" s="919" t="str">
        <f>IF(A79=FALSE,"",((OG79*TAXE)-(OG79*TAXE*OI79))+IF(OM79="N/A",0,IF(INDEX(LISTES!$F$105:$F$109,MATCH(OM79,LISTES!$C$105:$C$109,0))="FIX",ON79,OO79*OL79)))</f>
        <v/>
      </c>
      <c r="PA79" s="497" t="str">
        <f t="shared" ref="PA79:PA110" si="755">IF(A79=FALSE,"","PROP")</f>
        <v/>
      </c>
      <c r="PB79" s="498" t="str">
        <f>IF(A79=FALSE,"",IF(LISTES!$A$17=1,Cotations!CT79,Cotations!$CU$4))</f>
        <v/>
      </c>
      <c r="PC79" s="499" t="str">
        <f t="shared" ref="PC79:PC110" si="756">IF(A79=FALSE,"",INDEX(colAssureur,MATCH(PB79,colchoice,0)))</f>
        <v/>
      </c>
      <c r="PD79" s="499" t="str">
        <f t="shared" ref="PD79:PD110" si="757">IF(A79=FALSE,"",INDEX(colProduct,MATCH(PB79,colchoice,0)))</f>
        <v/>
      </c>
      <c r="PE79" s="500" t="str">
        <f t="shared" ref="PE79:PE110" si="758">IF(A79=FALSE,"",IF(PA79="POEA",$PA$2,INDEX(colRatesHT,MATCH(PB79,colchoice,0))))</f>
        <v/>
      </c>
      <c r="PF79" s="501" t="str">
        <f>IF(A79=FALSE,"",Cotations!$CY$4*Y79)</f>
        <v/>
      </c>
      <c r="PG79" s="502" t="str">
        <f t="shared" ref="PG79:PG110" si="759">IF(A79=FALSE,"",IF(PB79="N/A",0,IF(PA79="POEA",PF79*$PA$2,PF79*PE79)))</f>
        <v/>
      </c>
      <c r="PH79" s="520" t="str">
        <f>IF(A79=FALSE,"",IF(Cotations!$CV$4="monthly",PG79/12*L79,PG79/365*M79))</f>
        <v/>
      </c>
      <c r="PI79" s="503" t="str">
        <f>IF(A79=FALSE,"",Cotations!$CZ$4)</f>
        <v/>
      </c>
      <c r="PJ79" s="502" t="str">
        <f t="shared" ref="PJ79:PJ110" si="760">IF(A79=FALSE,"",PH79*PI79)</f>
        <v/>
      </c>
      <c r="PK79" s="502" t="str">
        <f t="shared" ref="PK79:PK110" si="761">IF(A79=FALSE,"",PH79-PJ79)</f>
        <v/>
      </c>
      <c r="PL79" s="504" t="str">
        <f t="shared" ref="PL79:PL110" si="762">IF(A79=FALSE,"",PK79*TAXE)</f>
        <v/>
      </c>
      <c r="PM79" s="505" t="str">
        <f>IF(A79=FALSE,"",Cotations!$DA$4)</f>
        <v/>
      </c>
      <c r="PN79" s="520" t="str">
        <f>IF(A79=FALSE,"",Cotations!$DB$4)</f>
        <v/>
      </c>
      <c r="PO79" s="503" t="str">
        <f>IF(A79=FALSE,"",Cotations!$DC$4)</f>
        <v/>
      </c>
      <c r="PP79" s="505" t="str">
        <f>IF(A79=FALSE,"",IF(PM79="N/A",0,IF(INDEX(LISTES!$F$105:$F$109,MATCH(PM79,LISTES!$C$105:$C$109,0))="FIX",IF(INDEX(LISTES!$E$105:$E$109,MATCH(PM79,LISTES!$C$105:$C$109,0))=12,PN79/12*L79,PN79/365*M79),PO79*PL79)))</f>
        <v/>
      </c>
      <c r="PQ79" s="504" t="str">
        <f t="shared" ref="PQ79:PQ110" si="763">IF(A79=FALSE,"",PL79+PP79)</f>
        <v/>
      </c>
      <c r="PR79" s="505" t="str">
        <f>IF(A79=FALSE,"",PQ79*Cotations!$DD$4)</f>
        <v/>
      </c>
      <c r="PS79" s="505" t="str">
        <f>IF(A79=FALSE,"",PQ79*Cotations!$DE$4)</f>
        <v/>
      </c>
      <c r="PT79" s="506" t="str">
        <f t="shared" ref="PT79:PT110" si="764">IF(A79=FALSE,"",INDEX(colCurrency,MATCH(PB79,colchoice,0)))</f>
        <v/>
      </c>
      <c r="PU79" s="919" t="str">
        <f>IF(A79=FALSE,"",((PG79*TAXE)-(PG79*TAXE*PI79))+IF(PM79="N/A",0,IF(INDEX(LISTES!$F$105:$F$109,MATCH(PM79,LISTES!$C$105:$C$109,0))="FIX",PN79,PO79*PL79)))</f>
        <v/>
      </c>
      <c r="QA79" s="492" t="str">
        <f t="shared" ref="QA79:QA110" si="765">IF(A79=FALSE,"","PROP")</f>
        <v/>
      </c>
      <c r="QB79" s="491" t="str">
        <f>IF(A79=FALSE,"",IF(LISTES!$A$17=1,Cotations!CT79,Cotations!CU79))</f>
        <v/>
      </c>
      <c r="QC79" s="285" t="str">
        <f t="shared" ref="QC79:QC110" si="766">IF(A79=FALSE,"",INDEX(colAssureur,MATCH(QB79,colchoice,0)))</f>
        <v/>
      </c>
      <c r="QD79" s="300"/>
      <c r="QE79" s="461" t="str">
        <f t="shared" ref="QE79:QE110" si="767">IF(A79=FALSE,"",IF(QA79="POEA",$QA$2,INDEX(colRatesHT,MATCH(QB79,colchoice,0))))</f>
        <v/>
      </c>
      <c r="QF79" s="490" t="str">
        <f>IF(A79=FALSE,"",Cotations!CY79*AA79)</f>
        <v/>
      </c>
      <c r="QG79" s="300" t="str">
        <f t="shared" ref="QG79:QG110" si="768">IF(A79=FALSE,"",IF(QB79="N/A",0,QF79*INDEX(colRatesHT,MATCH(QB79,colchoice,0))))</f>
        <v/>
      </c>
      <c r="QH79" s="522" t="str">
        <f>IF(A79=FALSE,"",IF(Cotations!CV79="monthly",QG79/12*L79,QG79/365*M79))</f>
        <v/>
      </c>
      <c r="QI79" s="489" t="str">
        <f>IF(A79=FALSE,"",IF(Cotations!CZ79="","",Cotations!CZ79))</f>
        <v/>
      </c>
      <c r="QJ79" s="300" t="str">
        <f t="shared" ref="QJ79:QJ110" si="769">IF(A79=FALSE,"",QH79*QI79)</f>
        <v/>
      </c>
      <c r="QK79" s="300" t="str">
        <f t="shared" ref="QK79:QK110" si="770">IF(A79=FALSE,"",QH79-QJ79)</f>
        <v/>
      </c>
      <c r="QL79" s="919" t="str">
        <f t="shared" ref="QL79:QL110" si="771">IF(A79=FALSE,"",QK79*TAXE)</f>
        <v/>
      </c>
      <c r="QM79" s="517" t="str">
        <f>IF(A79=FALSE,"",Cotations!DA79)</f>
        <v/>
      </c>
      <c r="QN79" s="515" t="str">
        <f>IF(A79=FALSE,"",Cotations!DB79)</f>
        <v/>
      </c>
      <c r="QO79" s="493" t="str">
        <f>IF(A79=FALSE,"",Cotations!DC79)</f>
        <v/>
      </c>
      <c r="QP79" s="517" t="str">
        <f>IF(A79=FALSE,"",IF(QM79="N/A",0,IF(INDEX(LISTES!$F$105:$F$109,MATCH(QM79,LISTES!$C$105:$C$109,0))="FIX",IF(INDEX(LISTES!$E$105:$E$109,MATCH(QM79,LISTES!$C$105:$C$109,0))=12,QN79/12*L79,QN79/365*M79),QO79*QL79)))</f>
        <v/>
      </c>
      <c r="QQ79" s="294" t="str">
        <f t="shared" ref="QQ79:QQ110" si="772">IF(A79=FALSE,"",QL79+QP79)</f>
        <v/>
      </c>
      <c r="QR79" s="494" t="str">
        <f>IF(A79=FALSE,"",QQ79*Cotations!DD79)</f>
        <v/>
      </c>
      <c r="QS79" s="494" t="str">
        <f>IF(A79=FALSE,"",QQ79*Cotations!DE79)</f>
        <v/>
      </c>
      <c r="QT79" s="338" t="str">
        <f t="shared" ref="QT79:QT110" si="773">IF(A79=FALSE,"",INDEX(colCurrency,MATCH(QB79,colchoice,0)))</f>
        <v/>
      </c>
      <c r="QU79" s="919" t="str">
        <f>IF(A79=FALSE,"",((QG79*TAXE)-(QG79*TAXE*QI79))+IF(QM79="N/A",0,IF(INDEX(LISTES!$F$105:$F$109,MATCH(QM79,LISTES!$C$105:$C$109,0))="FIX",QN79,QO79*QL79)))</f>
        <v/>
      </c>
      <c r="RA79" s="497" t="str">
        <f t="shared" ref="RA79:RA110" si="774">IF(A79=FALSE,"","PROP")</f>
        <v/>
      </c>
      <c r="RB79" s="498" t="str">
        <f>IF(A79=FALSE,"",IF(LISTES!$A$17=1,Cotations!DF79,Cotations!$DG$4))</f>
        <v/>
      </c>
      <c r="RC79" s="499" t="str">
        <f t="shared" ref="RC79:RC110" si="775">IF(A79=FALSE,"",INDEX(colAssureur,MATCH(RB79,colchoice,0)))</f>
        <v/>
      </c>
      <c r="RD79" s="499" t="str">
        <f t="shared" ref="RD79:RD110" si="776">IF(A79=FALSE,"",INDEX(colProduct,MATCH(RB79,colchoice,0)))</f>
        <v/>
      </c>
      <c r="RE79" s="500" t="str">
        <f t="shared" ref="RE79:RE110" si="777">IF(A79=FALSE,"",IF(RA79="POEA",$RA$2,INDEX(colRatesHT,MATCH(RB79,colchoice,0))))</f>
        <v/>
      </c>
      <c r="RF79" s="501" t="str">
        <f>IF(A79=FALSE,"",Cotations!$DK$4*Y79)</f>
        <v/>
      </c>
      <c r="RG79" s="502" t="str">
        <f t="shared" ref="RG79:RG110" si="778">IF(A79=FALSE,"",IF(RB79="N/A",0,IF(RA79="POEA",RF79*$RA$2,RF79*RE79)))</f>
        <v/>
      </c>
      <c r="RH79" s="520" t="str">
        <f>IF(A79=FALSE,"",IF(Cotations!$DH$4="monthly",RG79/12*L79,RG79/365*M79))</f>
        <v/>
      </c>
      <c r="RI79" s="503" t="str">
        <f>IF(A79=FALSE,"",Cotations!$DL$4)</f>
        <v/>
      </c>
      <c r="RJ79" s="502" t="str">
        <f t="shared" ref="RJ79:RJ110" si="779">IF(A79=FALSE,"",RH79*RI79)</f>
        <v/>
      </c>
      <c r="RK79" s="502" t="str">
        <f t="shared" ref="RK79:RK110" si="780">IF(A79=FALSE,"",RH79-RJ79)</f>
        <v/>
      </c>
      <c r="RL79" s="504" t="str">
        <f t="shared" ref="RL79:RL110" si="781">IF(A79=FALSE,"",RK79*TAXE)</f>
        <v/>
      </c>
      <c r="RM79" s="505" t="str">
        <f>IF(A79=FALSE,"",Cotations!$DM$4)</f>
        <v/>
      </c>
      <c r="RN79" s="520" t="str">
        <f>IF(A79=FALSE,"",Cotations!$DN$4)</f>
        <v/>
      </c>
      <c r="RO79" s="503" t="str">
        <f>IF(A79=FALSE,"",Cotations!$DO$4)</f>
        <v/>
      </c>
      <c r="RP79" s="505" t="str">
        <f>IF(A79=FALSE,"",IF(RM79="N/A",0,IF(INDEX(LISTES!$F$105:$F$109,MATCH(RM79,LISTES!$C$105:$C$109,0))="FIX",IF(INDEX(LISTES!$E$105:$E$109,MATCH(RM79,LISTES!$C$105:$C$109,0))=12,RN79/12*L79,RN79/365*M79),RO79*RL79)))</f>
        <v/>
      </c>
      <c r="RQ79" s="504" t="str">
        <f t="shared" ref="RQ79:RQ110" si="782">IF(A79=FALSE,"",RL79+RP79)</f>
        <v/>
      </c>
      <c r="RR79" s="505" t="str">
        <f>IF(A79=FALSE,"",RQ79*Cotations!$DP$4)</f>
        <v/>
      </c>
      <c r="RS79" s="505" t="str">
        <f>IF(A79=FALSE,"",RQ79*Cotations!$DQ$4)</f>
        <v/>
      </c>
      <c r="RT79" s="506" t="str">
        <f t="shared" ref="RT79:RT110" si="783">IF(A79=FALSE,"",INDEX(colCurrency,MATCH(RB79,colchoice,0)))</f>
        <v/>
      </c>
      <c r="RU79" s="919" t="str">
        <f>IF(A79=FALSE,"",((RG79*TAXE)-(RG79*TAXE*RI79))+IF(RM79="N/A",0,IF(INDEX(LISTES!$F$105:$F$109,MATCH(RM79,LISTES!$C$105:$C$109,0))="FIX",RN79,RO79*RL79)))</f>
        <v/>
      </c>
      <c r="SA79" s="492" t="str">
        <f t="shared" ref="SA79:SA110" si="784">IF(A79=FALSE,"","PROP")</f>
        <v/>
      </c>
      <c r="SB79" s="491" t="str">
        <f>IF(A79=FALSE,"",IF(LISTES!$A$17=1,Cotations!DF79,Cotations!DG79))</f>
        <v/>
      </c>
      <c r="SC79" s="285" t="str">
        <f t="shared" ref="SC79:SC110" si="785">IF(A79=FALSE,"",INDEX(colAssureur,MATCH(SB79,colchoice,0)))</f>
        <v/>
      </c>
      <c r="SD79" s="300"/>
      <c r="SE79" s="461" t="str">
        <f t="shared" ref="SE79:SE110" si="786">IF(A79=FALSE,"",IF(SA79="POEA",$SA$2,INDEX(colRatesHT,MATCH(SB79,colchoice,0))))</f>
        <v/>
      </c>
      <c r="SF79" s="490" t="str">
        <f>IF(A79=FALSE,"",Cotations!DK79*AA79)</f>
        <v/>
      </c>
      <c r="SG79" s="300" t="str">
        <f t="shared" ref="SG79:SG110" si="787">IF(A79=FALSE,"",IF(SB79="N/A",0,SF79*INDEX(colRatesHT,MATCH(SB79,colchoice,0))))</f>
        <v/>
      </c>
      <c r="SH79" s="522" t="str">
        <f>IF(A79=FALSE,"",IF(Cotations!DH79="monthly",SG79/12*L79,SG79/365*M79))</f>
        <v/>
      </c>
      <c r="SI79" s="489" t="str">
        <f>IF(A79=FALSE,"",IF(Cotations!DL79="","",Cotations!DL79))</f>
        <v/>
      </c>
      <c r="SJ79" s="300" t="str">
        <f t="shared" ref="SJ79:SJ110" si="788">IF(A79=FALSE,"",SH79*SI79)</f>
        <v/>
      </c>
      <c r="SK79" s="300" t="str">
        <f t="shared" ref="SK79:SK110" si="789">IF(A79=FALSE,"",SH79-SJ79)</f>
        <v/>
      </c>
      <c r="SL79" s="919" t="str">
        <f t="shared" ref="SL79:SL110" si="790">IF(A79=FALSE,"",SK79*TAXE)</f>
        <v/>
      </c>
      <c r="SM79" s="285" t="str">
        <f>IF(A79=FALSE,"",Cotations!DM79)</f>
        <v/>
      </c>
      <c r="SN79" s="515" t="str">
        <f>IF(A79=FALSE,"",Cotations!DN79)</f>
        <v/>
      </c>
      <c r="SO79" s="493" t="str">
        <f>IF(A79=FALSE,"",Cotations!DO79)</f>
        <v/>
      </c>
      <c r="SP79" s="517" t="str">
        <f>IF(A79=FALSE,"",IF(SM79="N/A",0,IF(INDEX(LISTES!$F$105:$F$109,MATCH(SM79,LISTES!$C$105:$C$109,0))="FIX",IF(INDEX(LISTES!$E$105:$E$109,MATCH(SM79,LISTES!$C$105:$C$109,0))=12,SN79/12*L79,SN79/365*M79),SO79*SL79)))</f>
        <v/>
      </c>
      <c r="SQ79" s="294" t="str">
        <f t="shared" ref="SQ79:SQ110" si="791">IF(A79=FALSE,"",SL79+SP79)</f>
        <v/>
      </c>
      <c r="SR79" s="494" t="str">
        <f>IF(A79=FALSE,"",SQ79*Cotations!DP79)</f>
        <v/>
      </c>
      <c r="SS79" s="494" t="str">
        <f>IF(A79=FALSE,"",SQ79*Cotations!DQ79)</f>
        <v/>
      </c>
      <c r="ST79" s="338" t="str">
        <f t="shared" ref="ST79:ST110" si="792">IF(A79=FALSE,"",INDEX(colCurrency,MATCH(SB79,colchoice,0)))</f>
        <v/>
      </c>
      <c r="SU79" s="919" t="str">
        <f>IF(A79=FALSE,"",((SG79*TAXE)-(SG79*TAXE*SI79))+IF(SM79="N/A",0,IF(INDEX(LISTES!$F$105:$F$109,MATCH(SM79,LISTES!$C$105:$C$109,0))="FIX",SN79,SO79*SL79)))</f>
        <v/>
      </c>
      <c r="TA79" s="492" t="str">
        <f>IF(A79=FALSE,"",Cotations!D79)</f>
        <v/>
      </c>
      <c r="TB79" s="491" t="str">
        <f>IF(A79=FALSE,"",IF(LISTES!$A$17=1,Cotations!DR79,Cotations!DS79))</f>
        <v/>
      </c>
      <c r="TC79" s="285" t="str">
        <f t="shared" ref="TC79:TC110" si="793">IF(A79=FALSE,"",INDEX(colAssureur,MATCH(TB79,colchoice,0)))</f>
        <v/>
      </c>
      <c r="TD79" s="300" t="str">
        <f>IF(A79=FALSE,"",Detail!CQ79)</f>
        <v/>
      </c>
      <c r="TE79" s="461" t="str">
        <f t="shared" ref="TE79:TE110" si="794">IF(A79=FALSE,"",IF(TB79="",0,INDEX(colRatesHT,MATCH(TB79,colchoice,0))))</f>
        <v/>
      </c>
      <c r="TF79" s="490" t="str">
        <f>IF(A79=FALSE,"",IF(TA79="FIXE",Cotations!DU79,Cotations!DV79*Y79))</f>
        <v/>
      </c>
      <c r="TG79" s="300" t="str">
        <f t="shared" ref="TG79:TG110" si="795">IF(A79=FALSE,"",IF(TB79="N/A",0,TF79*INDEX(colRatesHT,MATCH(TB79,colchoice,0))))</f>
        <v/>
      </c>
      <c r="TH79" s="522" t="str">
        <f>IF(A79=FALSE,"",IF(Cotations!DT79="monthly",TG79/12*L79,TG79/365*M79))</f>
        <v/>
      </c>
      <c r="TI79" s="489" t="str">
        <f>IF(A79=FALSE,"",IF(Cotations!DW79="","",Cotations!DW79))</f>
        <v/>
      </c>
      <c r="TJ79" s="300" t="str">
        <f t="shared" ref="TJ79:TJ110" si="796">IF(A79=FALSE,"",TH79*TI79)</f>
        <v/>
      </c>
      <c r="TK79" s="300" t="str">
        <f t="shared" ref="TK79:TK110" si="797">IF(A79=FALSE,"",TH79-TJ79)</f>
        <v/>
      </c>
      <c r="TL79" s="919" t="str">
        <f t="shared" ref="TL79:TL110" si="798">IF(A79=FALSE,"",TK79*(1+TAXE))</f>
        <v/>
      </c>
      <c r="TM79" s="517" t="str">
        <f>IF(A79=FALSE,"",Cotations!DX79)</f>
        <v/>
      </c>
      <c r="TN79" s="517" t="str">
        <f>IF(A79=FALSE,"",Cotations!DY79)</f>
        <v/>
      </c>
      <c r="TO79" s="493" t="str">
        <f>IF(A79=FALSE,"",Cotations!DZ79)</f>
        <v/>
      </c>
      <c r="TP79" s="517" t="str">
        <f>IF(A79=FALSE,"",IF(TM79="N/A",0,IF(INDEX(LISTES!$F$105:$F$109,MATCH(TM79,LISTES!$C$105:$C$109,0))="FIX",IF(INDEX(LISTES!$E$105:$E$109,MATCH(TM79,LISTES!$C$105:$C$109,0))=12,TN79/12*L79,TN79/365*M79),TO79*TL79)))</f>
        <v/>
      </c>
      <c r="TQ79" s="294" t="str">
        <f t="shared" ref="TQ79:TQ110" si="799">IF(A79=FALSE,"",TL79+TP79)</f>
        <v/>
      </c>
      <c r="TR79" s="494" t="str">
        <f>IF(A79=FALSE,"",TQ79*Cotations!EA79)</f>
        <v/>
      </c>
      <c r="TS79" s="494" t="str">
        <f>IF(A79=FALSE,"",TQ79*Cotations!EB79)</f>
        <v/>
      </c>
      <c r="TT79" s="338" t="str">
        <f t="shared" ref="TT79:TT110" si="800">IF(A79=FALSE,"",INDEX(colCurrency,MATCH(TB79,colchoice,0)))</f>
        <v/>
      </c>
      <c r="TU79" s="919" t="str">
        <f>IF(A79=FALSE,"",((TG79*(1+TAXE)-(TG79*(1+TAXE)*TI79))+IF(TM79="N/A",0,IF(INDEX(LISTES!$F$105:$F$109,MATCH(TM79,LISTES!$C$105:$C$109,0))="FIX",TN79,TO79*TL79))))</f>
        <v/>
      </c>
      <c r="UA79" s="492" t="str">
        <f>IF(A79=FALSE,"",Cotations!D79)</f>
        <v/>
      </c>
      <c r="UB79" s="491" t="str">
        <f>IF(A79=FALSE,"",IF(LISTES!$A$17=1,Cotations!EC79,Cotations!ED79))</f>
        <v/>
      </c>
      <c r="UC79" s="285" t="str">
        <f t="shared" ref="UC79:UC110" si="801">IF(A79=FALSE,"",INDEX(colAssureur,MATCH(UB79,colchoice,0)))</f>
        <v/>
      </c>
      <c r="UD79" s="300" t="str">
        <f>IF(A79=FALSE,"",Detail!CY79)</f>
        <v/>
      </c>
      <c r="UE79" s="461" t="str">
        <f t="shared" ref="UE79:UE110" si="802">IF(A79=FALSE,"",INDEX(colRatesHT,MATCH(UB79,colchoice,0)))</f>
        <v/>
      </c>
      <c r="UF79" s="490" t="str">
        <f>IF(A79=FALSE,"",IF(UA79="FIXE",Cotations!EF79,Cotations!EG79*Y79))</f>
        <v/>
      </c>
      <c r="UG79" s="300" t="str">
        <f t="shared" ref="UG79:UG110" si="803">IF(A79=FALSE,"",IF(UB79="N/A",0,UF79*INDEX(colRatesHT,MATCH(UB79,colchoice,0))))</f>
        <v/>
      </c>
      <c r="UH79" s="522" t="str">
        <f>IF(A79=FALSE,"",IF(Cotations!EE79="monthly",UG79/12*L79,UG79/365*M79))</f>
        <v/>
      </c>
      <c r="UI79" s="489" t="str">
        <f>IF(A79=FALSE,"",IF(Cotations!EH79="","",Cotations!EH79))</f>
        <v/>
      </c>
      <c r="UJ79" s="300" t="str">
        <f t="shared" ref="UJ79:UJ110" si="804">IF(A79=FALSE,"",UH79*UI79)</f>
        <v/>
      </c>
      <c r="UK79" s="300" t="str">
        <f t="shared" ref="UK79:UK110" si="805">IF(A79=FALSE,"",UH79-UJ79)</f>
        <v/>
      </c>
      <c r="UL79" s="919" t="str">
        <f t="shared" ref="UL79:UL110" si="806">IF(A79=FALSE,"",UK79*(1+TAXE))</f>
        <v/>
      </c>
      <c r="UM79" s="517" t="str">
        <f>IF(A79=FALSE,"",Cotations!EI79)</f>
        <v/>
      </c>
      <c r="UN79" s="517" t="str">
        <f>IF(A79=FALSE,"",Cotations!EJ79)</f>
        <v/>
      </c>
      <c r="UO79" s="493" t="str">
        <f>IF(A79=FALSE,"",Cotations!EK79)</f>
        <v/>
      </c>
      <c r="UP79" s="517" t="str">
        <f>IF(A79=FALSE,"",IF(UM79="N/A",0,IF(INDEX(LISTES!$F$105:$F$109,MATCH(UM79,LISTES!$C$105:$C$109,0))="FIX",IF(INDEX(LISTES!$E$105:$E$109,MATCH(UM79,LISTES!$C$105:$C$109,0))=12,UN79/12*L79,UN79/365*M79),UO79*UL79)))</f>
        <v/>
      </c>
      <c r="UQ79" s="294" t="str">
        <f t="shared" ref="UQ79:UQ110" si="807">IF(A79=FALSE,"",UL79+UP79)</f>
        <v/>
      </c>
      <c r="UR79" s="494" t="str">
        <f>IF(A79=FALSE,"",UQ79*Cotations!EL79)</f>
        <v/>
      </c>
      <c r="US79" s="494" t="str">
        <f>IF(A79=FALSE,"",UQ79*Cotations!EM79)</f>
        <v/>
      </c>
      <c r="UT79" s="338" t="str">
        <f t="shared" ref="UT79:UT110" si="808">IF(A79=FALSE,"",INDEX(colCurrency,MATCH(UB79,colchoice,0)))</f>
        <v/>
      </c>
      <c r="UU79" s="919" t="str">
        <f>IF(A79=FALSE,"",((UG79*(1+TAXE)-(UG79*(1+TAXE)*UI79))+IF(UM79="N/A",0,IF(INDEX(LISTES!$F$105:$F$109,MATCH(UM79,LISTES!$C$105:$C$109,0))="FIX",UN79,UO79*UL79))))</f>
        <v/>
      </c>
      <c r="VA79" s="492" t="str">
        <f>IF(A79=FALSE,"",Cotations!D79)</f>
        <v/>
      </c>
      <c r="VB79" s="519" t="str">
        <f>IF(A79=FALSE,"",IF(LISTES!$A$17=1,Cotations!EN79,Cotations!EO79))</f>
        <v/>
      </c>
      <c r="VC79" s="291" t="str">
        <f t="shared" ref="VC79:VC110" si="809">IF(A79=FALSE,"",INDEX(colAssureur,MATCH(VB79,colchoice,0)))</f>
        <v/>
      </c>
      <c r="VD79" s="291" t="str">
        <f t="shared" ref="VD79:VD110" si="810">IF(A79=FALSE,"",INDEX(colProduct,MATCH(VB79,colchoice,0)))</f>
        <v/>
      </c>
      <c r="VE79" s="291"/>
      <c r="VF79" s="463"/>
      <c r="VG79" s="463" t="str">
        <f t="shared" ref="VG79:VG110" si="811">IF(A79=FALSE,"",INDEX(colRatesHT,MATCH(VB79,colchoice,0)))</f>
        <v/>
      </c>
      <c r="VH79" s="522" t="str">
        <f>IF(A79=FALSE,"",IF(Cotations!$AQ$4="monthly",VG79/12*L79,VG79/365*M79))</f>
        <v/>
      </c>
      <c r="VI79" s="489" t="str">
        <f>IF(A79=FALSE,"",Cotations!$AR$4)</f>
        <v/>
      </c>
      <c r="VJ79" s="300" t="str">
        <f t="shared" ref="VJ79:VJ110" si="812">IF(A79=FALSE,"",VH79*VI79)</f>
        <v/>
      </c>
      <c r="VK79" s="300" t="str">
        <f t="shared" ref="VK79:VK110" si="813">IF(A79=FALSE,"",VH79-VJ79)</f>
        <v/>
      </c>
      <c r="VL79" s="294" t="str">
        <f t="shared" ref="VL79:VL110" si="814">IF(A79=FALSE,"",VK79*TAXE)</f>
        <v/>
      </c>
      <c r="VM79" s="494" t="str">
        <f>IF(A79=FALSE,"",Cotations!$AS$4)</f>
        <v/>
      </c>
      <c r="VN79" s="494" t="str">
        <f>IF(A79=FALSE,"",Cotations!$AT$4)</f>
        <v/>
      </c>
      <c r="VO79" s="489" t="str">
        <f>IF(A79=FALSE,"",Cotations!$AU$4)</f>
        <v/>
      </c>
      <c r="VP79" s="494" t="str">
        <f>IF(A79=FALSE,"",IF(VM79="N/A",0,IF(INDEX(LISTES!$F$105:$F$109,MATCH(VM79,LISTES!$C$105:$C$109,0))="FIX",IF(INDEX(LISTES!$E$105:$E$109,MATCH(VM79,LISTES!$C$105:$C$109,0))=12,VN79/12*L79,VN79/365*M79),VO79*VL79)))</f>
        <v/>
      </c>
      <c r="VQ79" s="294" t="str">
        <f t="shared" ref="VQ79:VQ110" si="815">IF(A79=FALSE,"",VL79+VP79)</f>
        <v/>
      </c>
      <c r="VR79" s="494" t="str">
        <f>IF(A79=FALSE,"",VQ79*Cotations!$AV$4)</f>
        <v/>
      </c>
      <c r="VS79" s="494" t="str">
        <f>IF(A79=FALSE,"",VQ79*Cotations!$AW$4)</f>
        <v/>
      </c>
      <c r="VT79" s="465" t="str">
        <f t="shared" ref="VT79:VT110" si="816">IF(A79=FALSE,"",INDEX(colCurrency,MATCH(VB79,colchoice,0)))</f>
        <v/>
      </c>
      <c r="VU79" s="919" t="str">
        <f>IF(A79=FALSE,"",((VG79*TAXE)-(VG79*TAXE*VI79))+IF(VM79="N/A",0,IF(INDEX(LISTES!$F$105:$F$109,MATCH(VM79,LISTES!$C$105:$C$109,0))="FIX",VN79,VO79*VL79)))</f>
        <v/>
      </c>
      <c r="WA79" s="492" t="str">
        <f>IF(A79=FALSE,"",Cotations!D79)</f>
        <v/>
      </c>
      <c r="WB79" s="519" t="str">
        <f>IF(A79=FALSE,"",IF(LISTES!$A$17=1,Cotations!EW79,Cotations!EX79))</f>
        <v/>
      </c>
      <c r="WC79" s="291" t="str">
        <f t="shared" ref="WC79:WC110" si="817">IF(A79=FALSE,"",INDEX(colAssureur,MATCH(WB79,colchoice,0)))</f>
        <v/>
      </c>
      <c r="WD79" s="291" t="str">
        <f t="shared" ref="WD79:WD110" si="818">IF(A79=FALSE,"",INDEX(colProduct,MATCH(WB79,colchoice,0)))</f>
        <v/>
      </c>
      <c r="WE79" s="291"/>
      <c r="WF79" s="463"/>
      <c r="WG79" s="463" t="str">
        <f t="shared" ref="WG79:WG110" si="819">IF(A79=FALSE,"",INDEX(colRatesHT,MATCH(WB79,colchoice,0)))</f>
        <v/>
      </c>
      <c r="WH79" s="522" t="str">
        <f>IF(A79=FALSE,"",IF(Cotations!$AQ$4="monthly",WG79/12*L79,WG79/365*M79))</f>
        <v/>
      </c>
      <c r="WI79" s="489" t="str">
        <f>IF(A79=FALSE,"",Cotations!$AR$4)</f>
        <v/>
      </c>
      <c r="WJ79" s="300" t="str">
        <f t="shared" ref="WJ79:WJ110" si="820">IF(A79=FALSE,"",WH79*WI79)</f>
        <v/>
      </c>
      <c r="WK79" s="300" t="str">
        <f t="shared" ref="WK79:WK110" si="821">IF(A79=FALSE,"",WH79-WJ79)</f>
        <v/>
      </c>
      <c r="WL79" s="294" t="str">
        <f t="shared" ref="WL79:WL110" si="822">IF(A79=FALSE,"",WK79*TAXE)</f>
        <v/>
      </c>
      <c r="WM79" s="494" t="str">
        <f>IF(A79=FALSE,"",Cotations!$AS$4)</f>
        <v/>
      </c>
      <c r="WN79" s="494" t="str">
        <f>IF(A79=FALSE,"",Cotations!$AT$4)</f>
        <v/>
      </c>
      <c r="WO79" s="489" t="str">
        <f>IF(A79=FALSE,"",Cotations!$AU$4)</f>
        <v/>
      </c>
      <c r="WP79" s="494" t="str">
        <f>IF(A79=FALSE,"",IF(WM79="N/A",0,IF(INDEX(LISTES!$F$105:$F$109,MATCH(WM79,LISTES!$C$105:$C$109,0))="FIX",IF(INDEX(LISTES!$E$105:$E$109,MATCH(WM79,LISTES!$C$105:$C$109,0))=12,WN79/12*L79,WN79/365*M79),WO79*WL79)))</f>
        <v/>
      </c>
      <c r="WQ79" s="294" t="str">
        <f t="shared" ref="WQ79:WQ110" si="823">IF(A79=FALSE,"",WL79+WP79)</f>
        <v/>
      </c>
      <c r="WR79" s="494" t="str">
        <f>IF(A79=FALSE,"",WQ79*Cotations!$AV$4)</f>
        <v/>
      </c>
      <c r="WS79" s="494" t="str">
        <f>IF(A79=FALSE,"",WQ79*Cotations!$AW$4)</f>
        <v/>
      </c>
      <c r="WT79" s="465" t="str">
        <f t="shared" ref="WT79:WT110" si="824">IF(A79=FALSE,"",INDEX(colCurrency,MATCH(WB79,colchoice,0)))</f>
        <v/>
      </c>
      <c r="WU79" s="919" t="str">
        <f>IF(A79=FALSE,"",((WG79*TAXE)-(WG79*TAXE*WI79))+IF(WM79="N/A",0,IF(INDEX(LISTES!$F$105:$F$109,MATCH(WM79,LISTES!$C$105:$C$109,0))="FIX",WN79,WO79*WL79)))</f>
        <v/>
      </c>
    </row>
    <row r="80" spans="1:619">
      <c r="A80" s="942" t="b">
        <f t="shared" si="629"/>
        <v>0</v>
      </c>
      <c r="B80" s="942" t="b">
        <f>IF(NAMES!$B$9=TRUE,TRUE,FALSE)</f>
        <v>1</v>
      </c>
      <c r="C80" s="942" t="b">
        <f t="shared" ref="C80:C120" si="825">E80</f>
        <v>0</v>
      </c>
      <c r="D80" s="942" t="b">
        <f t="shared" ref="D80:D120" si="826">IF(N80="",FALSE,TRUE)</f>
        <v>0</v>
      </c>
      <c r="E80" s="274" t="b">
        <f>IF(Cotations!C80="","",Cotations!C80)</f>
        <v>0</v>
      </c>
      <c r="F80" s="274" t="str">
        <f>IF(Cotations!D80="","",Cotations!D80)</f>
        <v>PROP</v>
      </c>
      <c r="G80" s="274" t="str">
        <f>IF(Cotations!E80="","",Cotations!E80)</f>
        <v>2016-2017!</v>
      </c>
      <c r="H80" s="274" t="str">
        <f>IF(Cotations!F80="","",Cotations!F80)</f>
        <v>SINGLE</v>
      </c>
      <c r="I80" s="274" t="str">
        <f>IF(Cotations!G80="","",Cotations!G80)</f>
        <v/>
      </c>
      <c r="J80" s="274" t="str">
        <f>IF(Cotations!H80="","",Cotations!H80)</f>
        <v/>
      </c>
      <c r="K80" s="274" t="str">
        <f>IF(Cotations!I80="","",Cotations!I80)</f>
        <v/>
      </c>
      <c r="L80" s="274" t="str">
        <f>IF(A80=FALSE,"",IF(Cotations!N80="","",Cotations!N80))</f>
        <v/>
      </c>
      <c r="M80" s="274" t="str">
        <f>IF(Cotations!P80="","",Cotations!P80)</f>
        <v/>
      </c>
      <c r="N80" s="724" t="str">
        <f>IF(NAMES!$B$10=TRUE,Cotations!J80,Cotations!L80)</f>
        <v/>
      </c>
      <c r="O80" s="724" t="str">
        <f>IF(NAMES!$B$10=TRUE,Cotations!K80,Cotations!M80)</f>
        <v/>
      </c>
      <c r="P80" s="943" t="str">
        <f t="shared" ref="P80:P120" si="827">TEXT(N80,"mmmm")</f>
        <v/>
      </c>
      <c r="Q80" s="724" t="str">
        <f>IF(A80=FALSE,"",IF(Crewlist!Y80="","",Crewlist!Y80))</f>
        <v/>
      </c>
      <c r="R80" s="78" t="str">
        <f>IF(Cotations!U80="","",Cotations!U80)</f>
        <v/>
      </c>
      <c r="S80" s="943" t="str">
        <f t="shared" ref="S80:S120" si="828">IF(A80=FALSE,"",CONCATENATE(E80,I80,P80,N80))</f>
        <v/>
      </c>
      <c r="T80" s="919" t="str">
        <f>IF(A80=FALSE,"",VLOOKUP($U$15:$U$120,Currency!$A$2:$D$10,4,0)*Crewlist!N80)</f>
        <v/>
      </c>
      <c r="U80" s="1355" t="str">
        <f>IF(A80=FALSE,"",IF(IT80=0,Crewlist!M80&amp;"/"&amp;EX80,Crewlist!M80&amp;"/"&amp;IT80))</f>
        <v/>
      </c>
      <c r="V80" s="919" t="str">
        <f>IF(A80=FALSE,"",VLOOKUP($U$15:$U$120,Currency!$A$2:$D$10,4,0)*Detail!Q80)</f>
        <v/>
      </c>
      <c r="W80" s="1355" t="str">
        <f>IF(A80=FALSE,"",IF(IT80=0,Detail!R80&amp;"/"&amp;EX80,Detail!R80&amp;"/"&amp;IT80))</f>
        <v/>
      </c>
      <c r="X80" s="919" t="str">
        <f>IF(A80=FALSE,"",IF(LISTES!$C$17="Crewlist",Calcul!T80,Calcul!V80))</f>
        <v/>
      </c>
      <c r="Y80" s="758" t="str">
        <f t="shared" ref="Y80:Y120" si="829">IF(A80=FALSE,"",12*X80)</f>
        <v/>
      </c>
      <c r="Z80" s="758" t="str">
        <f>IF(A80=FALSE,"",IF(X80=0,0,IF((Cotations!BC80*12*X80)&lt;50000,50000,(12*X80))))</f>
        <v/>
      </c>
      <c r="AA80" s="758" t="str">
        <f t="shared" ref="AA80:AA120" si="830">IF(A80=FALSE,"",IF(X80=0,0,IF((12*X80)&lt;125000,(12*X80),125000)))</f>
        <v/>
      </c>
      <c r="AB80" s="758" t="str">
        <f>IF(A80=FALSE,"",IF(Crewlist!O80=0,"",Crewlist!O80))</f>
        <v/>
      </c>
      <c r="AC80" s="758" t="str">
        <f>IF(I80="","",VLOOKUP($AB$15:$AB$120,Currency!$A$15:$B$34,2,0))</f>
        <v/>
      </c>
      <c r="AD80" s="758" t="str">
        <f t="shared" ref="AD80:AD120" si="831">IF(I80="","",Y80-AC80)</f>
        <v/>
      </c>
      <c r="AE80" s="758" t="str">
        <f t="shared" ref="AE80:AE120" si="832">IF(I80="","",IF(AC80&gt;Y80,1/3*AC80,(AD80+AC80)*1/3))</f>
        <v/>
      </c>
      <c r="AF80" s="758" t="str">
        <f t="shared" ref="AF80:AF120" si="833">IF(I80="","",AE80/12)</f>
        <v/>
      </c>
      <c r="AG80" s="758" t="str">
        <f t="shared" ref="AG80:AG120" si="834">IF(A80=FALSE,"",X80*12/365*M80)</f>
        <v/>
      </c>
      <c r="AH80" s="1355" t="str">
        <f t="shared" si="630"/>
        <v/>
      </c>
      <c r="AI80" s="919" t="str">
        <f t="shared" ref="AI80:AI120" si="835">IF(A80=FALSE,"",BD80+BP80+(AN80+AO80+AQ80))</f>
        <v/>
      </c>
      <c r="AJ80" s="1382" t="str">
        <f t="shared" ref="AJ80:AJ120" si="836">IF(A80=FALSE,"",AS80+BZ80+AN80)</f>
        <v/>
      </c>
      <c r="AK80" s="1382" t="str">
        <f t="shared" ref="AK80:AK120" si="837">IF(A80=FALSE,"",AT80+CA80)</f>
        <v/>
      </c>
      <c r="AL80" s="238" t="str">
        <f t="shared" si="631"/>
        <v/>
      </c>
      <c r="AM80" s="238" t="str">
        <f t="shared" si="632"/>
        <v/>
      </c>
      <c r="AN80" s="1374" t="str">
        <f t="shared" si="633"/>
        <v/>
      </c>
      <c r="AO80" s="238" t="str">
        <f t="shared" si="634"/>
        <v/>
      </c>
      <c r="AP80" s="342" t="str">
        <f>IF(A80=FALSE,"",INDEX(Rates!$Z$5:$Z$367,MATCH(EB80,colchoice,0)))</f>
        <v/>
      </c>
      <c r="AQ80" s="238" t="str">
        <f t="shared" si="635"/>
        <v/>
      </c>
      <c r="AR80" s="238" t="str">
        <f t="shared" si="636"/>
        <v/>
      </c>
      <c r="AS80" s="238" t="str">
        <f t="shared" si="637"/>
        <v/>
      </c>
      <c r="AT80" s="238" t="str">
        <f t="shared" si="638"/>
        <v/>
      </c>
      <c r="AU80" s="238" t="str">
        <f t="shared" si="639"/>
        <v/>
      </c>
      <c r="AV80" s="238" t="str">
        <f t="shared" ref="AV80:AV120" si="838">IF(A80=FALSE,"",BF80+BR80+BG80+BH80)</f>
        <v/>
      </c>
      <c r="AW80" s="238" t="str">
        <f t="shared" si="640"/>
        <v/>
      </c>
      <c r="AX80" s="238" t="str">
        <f t="shared" si="641"/>
        <v/>
      </c>
      <c r="AY80" s="238" t="str">
        <f t="shared" si="642"/>
        <v/>
      </c>
      <c r="AZ80" s="238" t="str">
        <f t="shared" si="643"/>
        <v/>
      </c>
      <c r="BA80" s="238" t="str">
        <f t="shared" si="644"/>
        <v/>
      </c>
      <c r="BB80" s="552" t="str">
        <f t="shared" si="645"/>
        <v/>
      </c>
      <c r="BC80" s="347" t="str">
        <f t="shared" si="646"/>
        <v/>
      </c>
      <c r="BD80" s="239" t="str">
        <f t="shared" ref="BD80:BD120" si="839">IF(A80=FALSE,"",SUM(BE80:BN80))</f>
        <v/>
      </c>
      <c r="BE80" s="239" t="str">
        <f>IF(A80=FALSE,"",IF(ALLTHESAME=TRUE,IF(DF80&lt;&gt;$BC$7,0,INDEX(DD80:DZ80,1,MATCH(Structure!$D$12,$DD$14:$DZ$14,0))),IF(EC80&lt;&gt;$BC$7,0,INDEX(EA80:EZ80,1,MATCH(Structure!$D$12,$EA$14:$EZ$14,0)))))</f>
        <v/>
      </c>
      <c r="BF80" s="239" t="str">
        <f>IF(A80=FALSE,"",IF(ALLTHESAME=TRUE,IF(FC80&lt;&gt;$BC$7,0,INDEX(FA80:FZ80,1,MATCH(Structure!$D$12,$FA$14:$FZ$14,0))),IF(GC80&lt;&gt;$BC$7,0,INDEX(GA80:GZ80,1,MATCH(Structure!$D$12,$GA$14:$GZ$14,0)))))</f>
        <v/>
      </c>
      <c r="BG80" s="239" t="str">
        <f>IF(A80=FALSE,"",IF(ALLTHESAME=TRUE,IF(VC80&lt;&gt;$BC$7,0,INDEX(VA80:VZ80,1,MATCH(Structure!$D$12,$VA$14:$VZ$14,0))),IF(VC80&lt;&gt;$BC$7,0,INDEX(VA80:VZ80,1,MATCH(Structure!$D$12,$VA$14:$VZ$14,0)))))</f>
        <v/>
      </c>
      <c r="BH80" s="239" t="str">
        <f>IF(A80=FALSE,"",IF(ALLTHESAME=TRUE,IF(WC80&lt;&gt;$BC$7,0,INDEX(WA80:WY80,1,MATCH(Structure!$D$12,$WA$14:$WZ$14,0))),IF(WC80&lt;&gt;$BC$7,0,INDEX(WA80:WZ80,1,MATCH(Structure!$D$12,$WA$14:$WZ$14,0)))))</f>
        <v/>
      </c>
      <c r="BI80" s="763" t="str">
        <f>IF(A80=FALSE,"",IF(ALLTHESAME=TRUE,IF(HC80&lt;&gt;$BC$7,0,INDEX(HA80:HZ80,1,MATCH(Structure!$D$12,$HA$14:$HZ$14,0)))+TK80,IF(IC80&lt;&gt;$BC$7,0,INDEX(IA80:IZ80,1,MATCH(Structure!$D$12,$IA$14:$IZ$14,0)))+TK80))</f>
        <v/>
      </c>
      <c r="BJ80" s="239" t="str">
        <f>IF(A80=FALSE,"",IF(ALLTHESAME=TRUE,IF(JC80&lt;&gt;$BC$7,0,INDEX(JA80:JZ80,1,MATCH(Structure!$D$12,$JA$14:$JZ$14,0))),IF(KC80&lt;&gt;$BC$7,0,INDEX(KA80:KZ80,1,MATCH(Structure!$D$12,$KA$14:$KZ$14,0)))))</f>
        <v/>
      </c>
      <c r="BK80" s="763" t="str">
        <f>IF(A80=FALSE,"",IF(ALLTHESAME=TRUE,IF(LC80&lt;&gt;$BC$7,0,INDEX(LA80:LZ80,1,MATCH(Structure!$D$12,$LA$14:$LZ$14,0)))+UK80,IF(MC80&lt;&gt;$BC$7,0,INDEX(MA80:MZ80,1,MATCH(Structure!$D$12,$MA$14:$MZ$14,0)))+UK80))</f>
        <v/>
      </c>
      <c r="BL80" s="239" t="str">
        <f>IF(A80=FALSE,"",IF(ALLTHESAME=TRUE,IF(NC80&lt;&gt;$BC$7,0,INDEX(NA80:NZ80,1,MATCH(Structure!$D$12,$NA$14:$NZ$14,0))),IF(OC80&lt;&gt;$BC$7,0,INDEX(OA80:OZ80,1,MATCH(Structure!$D$12,$OA$14:$OZ$14,0)))))</f>
        <v/>
      </c>
      <c r="BM80" s="239" t="str">
        <f>IF(A80=FALSE,"",IF(ALLTHESAME=TRUE,IF(PC80&lt;&gt;$BC$7,0,INDEX(PA80:PZ80,1,MATCH(Structure!$D$12,$PA$14:$PZ$14,0))),IF(QC80&lt;&gt;$BC$7,0,INDEX(QA80:QZ80,1,MATCH(Structure!$D$12,$QA$14:$QZ$14,0)))))</f>
        <v/>
      </c>
      <c r="BN80" s="341" t="str">
        <f>IF(A80=FALSE,"",IF(ALLTHESAME=TRUE,IF(RC80&lt;&gt;$BC$7,0,INDEX(RA80:RZ80,1,MATCH(Structure!$D$12,$RA$14:$RZ$14,0))),IF(SC80&lt;&gt;$BC$7,0,INDEX(SA80:TA80,1,MATCH(Structure!$D$12,$SA$14:$TA$14,0)))))</f>
        <v/>
      </c>
      <c r="BO80" s="507" t="str">
        <f t="shared" si="647"/>
        <v/>
      </c>
      <c r="BP80" s="239" t="str">
        <f t="shared" si="648"/>
        <v/>
      </c>
      <c r="BQ80" s="239" t="str">
        <f>IF(A80=FALSE,"",IF(ALLTHESAME=TRUE,IF(DF80&lt;&gt;$BO$7,0,INDEX(DD80:DZ80,1,MATCH(Structure!$D$12,$DD$14:$DZ$14,0))),IF(EC80&lt;&gt;$BO$7,0,INDEX(EA80:EZ80,1,MATCH(Structure!$D$12,$EA$14:$EZ$14,0)))))</f>
        <v/>
      </c>
      <c r="BR80" s="239" t="str">
        <f>IF(A80=FALSE,"",IF(ALLTHESAME=TRUE,IF(FC80&lt;&gt;$BO$7,0,INDEX(FA80:FZ80,1,MATCH(Structure!$D$12,$FA$14:$FZ$14,0))),IF(GC80&lt;&gt;$BO$7,0,INDEX(GA80:GZ80,1,MATCH(Structure!$D$12,$GA$14:$GZ$14,0)))))</f>
        <v/>
      </c>
      <c r="BS80" s="239" t="str">
        <f>IF(A80=FALSE,"",IF(ALLTHESAME=TRUE,IF(HC80&lt;&gt;$BO$7,0,INDEX(HA80:HZ80,1,MATCH(Structure!$D$12,$HA$14:$HZ$14,0))),IF(IC80&lt;&gt;$BO$7,0,INDEX(IA80:IZ80,1,MATCH(Structure!$D$12,$IA$14:$IZ$14,0)))))</f>
        <v/>
      </c>
      <c r="BT80" s="239" t="str">
        <f>IF(A80=FALSE,"",IF(ALLTHESAME=TRUE,IF(JC80&lt;&gt;$BO$7,0,INDEX(JA80:JZ80,1,MATCH(Structure!$D$12,$JA$14:$JZ$14,0))),IF(KC80&lt;&gt;$BO$7,0,INDEX(KA80:KZ80,1,MATCH(Structure!$D$12,$KA$14:$KZ$14,0)))))</f>
        <v/>
      </c>
      <c r="BU80" s="239" t="str">
        <f>IF(A80=FALSE,"",IF(ALLTHESAME=TRUE,IF(LC80&lt;&gt;$BO$7,0,INDEX(LA80:LZ80,1,MATCH(Structure!$D$12,$LA$14:$LZ$14,0))),IF(MC80&lt;&gt;$BO$7,0,INDEX(MA80:MZ80,1,MATCH(Structure!$D$12,$MA$14:$MZ$14,0)))))</f>
        <v/>
      </c>
      <c r="BV80" s="239" t="str">
        <f>IF(A80=FALSE,"",IF(ALLTHESAME=TRUE,IF(NC80&lt;&gt;$BO$7,0,INDEX(NA80:NZ80,1,MATCH(Structure!$D$12,$NA$14:$NZ$14,0))),IF(OC80&lt;&gt;$BO$7,0,INDEX(OA80:OZ80,1,MATCH(Structure!$D$12,$OA$14:$OZ$14,0)))))</f>
        <v/>
      </c>
      <c r="BW80" s="239" t="str">
        <f>IF(A80=FALSE,"",IF(ALLTHESAME=TRUE,IF(PC80&lt;&gt;$BO$7,0,INDEX(PA80:PZ80,1,MATCH(Structure!$D$12,$PA$14:$PZ$14,0))),IF(QC80&lt;&gt;$BO$7,0,INDEX(QA80:QZ80,1,MATCH(Structure!$D$12,$QA$14:$QZ$14,0)))))</f>
        <v/>
      </c>
      <c r="BX80" s="341" t="str">
        <f>IF(A80=FALSE,"",IF(ALLTHESAME=TRUE,IF(RC80&lt;&gt;$BO$7,0,INDEX(RA80:RZ80,1,MATCH(Structure!$D$12,$RA$14:$RZ$14,0))),IF(SC80&lt;&gt;$BO$7,0,INDEX(SA80:TA80,1,MATCH(Structure!$D$12,$SA$14:$TA$14,0)))))</f>
        <v/>
      </c>
      <c r="BY80" s="347" t="str">
        <f t="shared" si="649"/>
        <v/>
      </c>
      <c r="BZ80" s="507" t="str">
        <f t="shared" si="650"/>
        <v/>
      </c>
      <c r="CA80" s="239" t="str">
        <f t="shared" si="651"/>
        <v/>
      </c>
      <c r="CB80" s="239" t="str">
        <f>IF(A80=FALSE,"",IF(ALLTHESAME=TRUE,INDEX(DD80:DZ80,MATCH(DF80,DF80:DF185,0),MATCH(Structure!$D$17,$DD$14:$DZ$14,0)),INDEX(EA80:EZ80,MATCH(EC80,EC80:EC185,0),MATCH(Structure!$D$17,$EA$14:$EZ$14,0))))</f>
        <v/>
      </c>
      <c r="CC80" s="239" t="str">
        <f>IF(A80=FALSE,"",IF(ALLTHESAME=TRUE,INDEX(FA80:FZ80,MATCH(FC80,FC80:FC185,0),MATCH(Structure!$D$17,$FA$14:$FZ$14,0)),INDEX(GA80:GZ80,MATCH(GC80,GC80:GC185,0),MATCH(Structure!$D$17,$GA$14:$GZ$14,0))))</f>
        <v/>
      </c>
      <c r="CD80" s="239" t="str">
        <f>IF(A80=FALSE,"",IF(ALLTHESAME=TRUE,INDEX(HA80:HZ80,MATCH(HC80,HC80:HC185,0),MATCH(Structure!$D$17,$HA$14:$HZ$14,0)),INDEX(IA80:IZ80,MATCH(IC80,IC80:IC185,0),MATCH(Structure!$D$17,$IA$14:$IZ$14,0))))</f>
        <v/>
      </c>
      <c r="CE80" s="239" t="str">
        <f>IF(A80=FALSE,"",IF(ALLTHESAME=TRUE,INDEX(JA80:JZ80,MATCH(JC80,JC80:JC185,0),MATCH(Structure!$D$17,$JA$14:$JZ$14,0)),INDEX(KA80:KZ80,MATCH(KC80,KC80:KC185,0),MATCH(Structure!$D$17,$KA$14:$KZ$14,0))))</f>
        <v/>
      </c>
      <c r="CF80" s="239" t="str">
        <f>IF(A80=FALSE,"",IF(ALLTHESAME=TRUE,INDEX(LA80:LZ80,MATCH(LC80,LC80:LC185,0),MATCH(Structure!$D$17,$LA$14:$LZ$14,0)),INDEX(MA80:MZ80,MATCH(MC80,MC80:MC185,0),MATCH(Structure!$D$17,$MA$14:$MZ$14,0))))</f>
        <v/>
      </c>
      <c r="CG80" s="239" t="str">
        <f>IF(A80=FALSE,"",IF(ALLTHESAME=TRUE,INDEX(NA80:NZ80,MATCH(NC80,NC80:NC185,0),MATCH(Structure!$D$17,$NA$14:$NZ$14,0)),INDEX(OA80:OZ80,MATCH(OC80,OC80:OC185,0),MATCH(Structure!$D$17,$OA$14:$OZ$14,0))))</f>
        <v/>
      </c>
      <c r="CH80" s="239" t="str">
        <f>IF(A80=FALSE,"",IF(ALLTHESAME=TRUE,INDEX(PA80:PZ80,MATCH(PC80,PC80:PC185,0),MATCH(Structure!$D$17,$PA$14:$PZ$14,0)),INDEX(QA80:QZ80,MATCH(QC80,QC80:QC185,0),MATCH(Structure!$D$17,$QA$14:$QZ$14,0))))</f>
        <v/>
      </c>
      <c r="CI80" s="341" t="str">
        <f>IF(A80=FALSE,"",IF(ALLTHESAME=TRUE,INDEX(RA80:RZ80,MATCH(RC80,RC80:RC185,0),MATCH(Structure!$D$17,$RA$14:$RZ$14,0)),INDEX(SA80:TC80,MATCH(SC80,SC80:SC185,0),MATCH(Structure!$D$17,$SA$14:$TC$14,0))))</f>
        <v/>
      </c>
      <c r="CJ80" s="347"/>
      <c r="CK80" s="239" t="str">
        <f t="shared" si="652"/>
        <v/>
      </c>
      <c r="CL80" s="239" t="str">
        <f>IF(A80=FALSE,"",IF(ALLTHESAME=TRUE,INDEX(DD80:DZ80,MATCH(DF80,DF80:DF185,0),MATCH(Structure!$D$22,$DD$14:$DZ$14,0)),INDEX(EA80:EZ80,MATCH(EC80,EC80:EC185,0),MATCH(Structure!$D$22,$EA$14:$EZ$14,0))))</f>
        <v/>
      </c>
      <c r="CM80" s="239" t="str">
        <f>IF(A80=FALSE,"",IF(ALLTHESAME=TRUE,INDEX(FA80:FZ80,MATCH(FC80,FC80:FC185,0),MATCH(Structure!$D$22,$FA$14:$FZ$14,0)),INDEX(GA80:GZ80,MATCH(GC80,GC80:GC185,0),MATCH(Structure!$D$22,$GA$14:$GZ$14,0))))</f>
        <v/>
      </c>
      <c r="CN80" s="239" t="str">
        <f>IF(A80=FALSE,"",IF(ALLTHESAME=TRUE,INDEX(HA80:HZ80,MATCH(HC80,HC80:HC185,0),MATCH(Structure!$D$22,$HA$14:$HZ$14,0)),INDEX(IA80:IZ80,MATCH(IC80,IC80:IC185,0),MATCH(Structure!$D$22,$IA$14:$IZ$14,0))))</f>
        <v/>
      </c>
      <c r="CO80" s="239" t="str">
        <f>IF(A80=FALSE,"",IF(ALLTHESAME=TRUE,INDEX(JA80:JZ80,MATCH(JC80,JC80:JC185,0),MATCH(Structure!$D$22,$JA$14:$JZ$14,0)),INDEX(KA80:KZ80,MATCH(KC80,KC80:KC185,0),MATCH(Structure!$D$22,$KA$14:$KZ$14,0))))</f>
        <v/>
      </c>
      <c r="CP80" s="239" t="str">
        <f>IF(A80=FALSE,"",IF(ALLTHESAME=TRUE,INDEX(LA80:LZ80,MATCH(LC80,LC80:LC185,0),MATCH(Structure!$D$22,$LA$14:$LZ$14,0)),INDEX(MA80:MZ80,MATCH(MC80,MC80:MC185,0),MATCH(Structure!$D$22,$MA$14:$MZ$14,0))))</f>
        <v/>
      </c>
      <c r="CQ80" s="239" t="str">
        <f>IF(A80=FALSE,"",IF(ALLTHESAME=TRUE,INDEX(NA80:NZ80,MATCH(NC80,NC80:NC185,0),MATCH(Structure!$D$22,$NA$14:$NZ$14,0)),INDEX(OA80:OZ80,MATCH(OC80,OC80:OC185,0),MATCH(Structure!$D$22,$OA$14:$OZ$14,0))))</f>
        <v/>
      </c>
      <c r="CR80" s="239" t="str">
        <f>IF(A80=FALSE,"",IF(ALLTHESAME=TRUE,INDEX(PA80:PZ80,MATCH(PC80,PC80:PC185,0),MATCH(Structure!$D$22,$PA$14:$PZ$14,0)),INDEX(QA80:QZ80,MATCH(QC80,QC80:QC185,0),MATCH(Structure!$D$22,$QA$14:$QZ$14,0))))</f>
        <v/>
      </c>
      <c r="CS80" s="341" t="str">
        <f>IF(A80=FALSE,"",IF(ALLTHESAME=TRUE,INDEX(RA80:RZ80,MATCH(RC80,RC80:RC185,0),MATCH(Structure!$D$22,$RA$14:$RZ$14,0)),INDEX(SA80:TC80,MATCH(SC80,SC80:SC185,0),MATCH(Structure!$D$22,$SA$14:$TC$14,0))))</f>
        <v/>
      </c>
      <c r="CT80" s="347"/>
      <c r="CU80" s="239" t="str">
        <f t="shared" si="653"/>
        <v/>
      </c>
      <c r="CV80" s="239" t="str">
        <f>IF(A80=FALSE,"",IF(ALLTHESAME=TRUE,INDEX(DD80:DZ80,MATCH(DF80,DF80:DF185,0),MATCH(Structure!$D$8,$DD$14:$DZ$14,0)),INDEX(EA80:EZ80,MATCH(EC80,EC80:EC185,0),MATCH(Structure!$D$8,$EA$14:$EZ$14,0))))</f>
        <v/>
      </c>
      <c r="CW80" s="239" t="str">
        <f>IF(A80=FALSE,"",IF(ALLTHESAME=TRUE,INDEX(FA80:FZ80,MATCH(FC80,FC80:FC185,0),MATCH(Structure!$D$8,$FA$14:$FZ$14,0)),INDEX(GA80:GZ80,MATCH(GC80,GC80:GC185,0),MATCH(Structure!$D$8,$GA$14:$GZ$14,0))))</f>
        <v/>
      </c>
      <c r="CX80" s="239" t="str">
        <f>IF(A80=FALSE,"",IF(ALLTHESAME=TRUE,INDEX(HA80:HZ80,MATCH(HC80,HC80:HC185,0),MATCH(Structure!$D$8,$HA$14:$HZ$14,0)),INDEX(IA80:IZ80,MATCH(IC80,IC80:IC185,0),MATCH(Structure!$D$8,$IA$14:$IZ$14,0))))</f>
        <v/>
      </c>
      <c r="CY80" s="239" t="str">
        <f>IF(A80=FALSE,"",IF(ALLTHESAME=TRUE,INDEX(JA80:JZ80,MATCH(JC80,JC80:JC185,0),MATCH(Structure!$D$8,$JA$14:$JZ$14,0)),INDEX(KA80:KZ80,MATCH(KC80,KC80:KC185,0),MATCH(Structure!$D$8,$KA$14:$KZ$14,0))))</f>
        <v/>
      </c>
      <c r="CZ80" s="239" t="str">
        <f>IF(A80=FALSE,"",IF(ALLTHESAME=TRUE,INDEX(LA80:LZ80,MATCH(LC80,LC80:LC185,0),MATCH(Structure!$D$8,$LA$14:$LZ$14,0)),INDEX(MA80:MZ80,MATCH(MC80,MC80:MC185,0),MATCH(Structure!$D$8,$MA$14:$MZ$14,0))))</f>
        <v/>
      </c>
      <c r="DA80" s="239" t="str">
        <f>IF(A80=FALSE,"",IF(ALLTHESAME=TRUE,INDEX(NA80:NZ80,MATCH(NC80,NC80:NC185,0),MATCH(Structure!$D$8,$NA$14:$NZ$14,0)),INDEX(OA80:OZ80,MATCH(OC80,OC80:OC185,0),MATCH(Structure!$D$8,$OA$14:$OZ$14,0))))</f>
        <v/>
      </c>
      <c r="DB80" s="239" t="str">
        <f>IF(A80=FALSE,"",IF(ALLTHESAME=TRUE,INDEX(PA80:PZ80,MATCH(PC80,PC80:PC185,0),MATCH(Structure!$D$8,$PA$14:$PZ$14,0)),INDEX(QA80:QZ80,MATCH(QC80,QC80:QC185,0),MATCH(Structure!$D$8,$QA$14:$QZ$14,0))))</f>
        <v/>
      </c>
      <c r="DC80" s="341" t="str">
        <f>IF(A80=FALSE,"",IF(ALLTHESAME=TRUE,INDEX(RA80:RZ80,MATCH(RC80,RC80:RC185,0),MATCH(Structure!$D$8,$RA$14:$RZ$14,0)),INDEX(SA80:TC80,MATCH(SC80,SC80:SC185,0),MATCH(Structure!$D$8,$SA$14:$TC$14,0))))</f>
        <v/>
      </c>
      <c r="DD80" s="492" t="str">
        <f>IF(A80=FALSE,"",Cotations!D80)</f>
        <v/>
      </c>
      <c r="DE80" s="492" t="str">
        <f>IF(A80=FALSE,"",IF(LISTES!$A$17=1,Cotations!AF80,Cotations!$AG$4))</f>
        <v/>
      </c>
      <c r="DF80" s="291" t="str">
        <f t="shared" si="654"/>
        <v/>
      </c>
      <c r="DG80" s="291" t="str">
        <f t="shared" si="655"/>
        <v/>
      </c>
      <c r="DH80" s="291"/>
      <c r="DI80" s="463"/>
      <c r="DJ80" s="463" t="str">
        <f t="shared" si="656"/>
        <v/>
      </c>
      <c r="DK80" s="522" t="str">
        <f>IF(A80=FALSE,"",IF(Cotations!$AH$4="monthly",DJ80/12*L80,DJ80/365*M80))</f>
        <v/>
      </c>
      <c r="DL80" s="489" t="str">
        <f>IF(A80=FALSE,"",Cotations!$AI$4)</f>
        <v/>
      </c>
      <c r="DM80" s="300" t="str">
        <f t="shared" si="657"/>
        <v/>
      </c>
      <c r="DN80" s="300" t="str">
        <f t="shared" si="658"/>
        <v/>
      </c>
      <c r="DO80" s="294" t="str">
        <f t="shared" si="659"/>
        <v/>
      </c>
      <c r="DP80" s="494" t="str">
        <f>IF(A80=FALSE,"",Cotations!$AJ$4)</f>
        <v/>
      </c>
      <c r="DQ80" s="494" t="str">
        <f>IF(A80=FALSE,"",Cotations!$AK$4)</f>
        <v/>
      </c>
      <c r="DR80" s="489" t="str">
        <f>IF(A80=FALSE,"",Cotations!$AL$4)</f>
        <v/>
      </c>
      <c r="DS80" s="494" t="str">
        <f>IF(A80=FALSE,"",IF(DP80="N/A",0,IF(INDEX(LISTES!$F$105:$F$109,MATCH(DP80,LISTES!$C$105:$C$109,0))="FIX",IF(INDEX(LISTES!$E$105:$E$109,MATCH(DP80,LISTES!$C$105:$C$109,0))=12,DQ80/12*L80,DQ80/365*M80),DR80*DO80)))</f>
        <v/>
      </c>
      <c r="DT80" s="294" t="str">
        <f t="shared" si="660"/>
        <v/>
      </c>
      <c r="DU80" s="294" t="str">
        <f>IF(A80=FALSE,"",DT80*Cotations!$AM$4)</f>
        <v/>
      </c>
      <c r="DV80" s="294" t="str">
        <f>IF(A80=FALSE,"",DT80*Cotations!$AN$4)</f>
        <v/>
      </c>
      <c r="DW80" s="465" t="str">
        <f t="shared" si="661"/>
        <v/>
      </c>
      <c r="DX80" s="919" t="str">
        <f>IF(A80=FALSE,"",((DJ80*TAXE)-(DJ80*TAXE*DL80))+IF(DP80="N/A",0,IF(INDEX(LISTES!$F$105:$F$109,MATCH(DP80,LISTES!$C$105:$C$109,0))="FIX",DQ80,DR80*DO80)))</f>
        <v/>
      </c>
      <c r="DY80" s="466"/>
      <c r="DZ80" s="466"/>
      <c r="EA80" s="492" t="str">
        <f>IF(A80=FALSE,"",Cotations!D80)</f>
        <v/>
      </c>
      <c r="EB80" s="494" t="str">
        <f>IF(A80=FALSE,"",IF(LISTES!$A$17=1,Cotations!AF80,Cotations!AG80))</f>
        <v/>
      </c>
      <c r="EC80" s="284" t="str">
        <f t="shared" si="662"/>
        <v/>
      </c>
      <c r="ED80" s="284" t="str">
        <f t="shared" si="663"/>
        <v/>
      </c>
      <c r="EE80" s="284"/>
      <c r="EF80" s="284"/>
      <c r="EG80" s="284" t="str">
        <f t="shared" si="664"/>
        <v/>
      </c>
      <c r="EH80" s="1365" t="str">
        <f t="shared" si="665"/>
        <v/>
      </c>
      <c r="EI80" s="1365" t="str">
        <f t="shared" si="666"/>
        <v/>
      </c>
      <c r="EJ80" s="515" t="str">
        <f>IF(A80=FALSE,"",IF(Cotations!AH80="monthly",EG80/12*L80,EG80/365*M80))</f>
        <v/>
      </c>
      <c r="EK80" s="1364" t="str">
        <f>IF(A80=FALSE,"",IF(Cotations!AH80="monthly",EI80/12*L80,EI80/365*M80))</f>
        <v/>
      </c>
      <c r="EL80" s="493" t="str">
        <f>IF(A80=FALSE,"",IF(Cotations!AI80="","",Cotations!AI80))</f>
        <v/>
      </c>
      <c r="EM80" s="284" t="str">
        <f t="shared" si="667"/>
        <v/>
      </c>
      <c r="EN80" s="284" t="str">
        <f t="shared" si="668"/>
        <v/>
      </c>
      <c r="EO80" s="1365" t="str">
        <f t="shared" ref="EO80:EO120" si="840">IF(A80=FALSE,"",IF(EH80=0,0,EK80-(EJ80-EM80)))</f>
        <v/>
      </c>
      <c r="EP80" s="284" t="str">
        <f t="shared" si="669"/>
        <v/>
      </c>
      <c r="EQ80" s="515" t="str">
        <f>IF(A80=FALSE,"",Cotations!AJ80)</f>
        <v/>
      </c>
      <c r="ER80" s="515" t="str">
        <f>IF(A80=FALSE,"",IF(Cotations!AK80="","",Cotations!AK80))</f>
        <v/>
      </c>
      <c r="ES80" s="493" t="str">
        <f>IF(A80=FALSE,"",Cotations!AL80)</f>
        <v/>
      </c>
      <c r="ET80" s="515" t="str">
        <f>IF(A80=FALSE,"",IF(EQ80="N/A",0,IF(INDEX(LISTES!$F$105:$F$109,MATCH(EQ80,LISTES!$C$105:$C$109,0))="FIX",IF(INDEX(LISTES!$E$105:$E$109,MATCH(EQ80,LISTES!$C$105:$C$109,0))=12,ER80/12*L80,ER80/365*M80),ES80*EP80)))</f>
        <v/>
      </c>
      <c r="EU80" s="294" t="str">
        <f t="shared" si="670"/>
        <v/>
      </c>
      <c r="EV80" s="494" t="str">
        <f>IF(A80=FALSE,"",EU80*Cotations!AM80)</f>
        <v/>
      </c>
      <c r="EW80" s="494" t="str">
        <f>IF(A80=FALSE,"",EU80*Cotations!AN80)</f>
        <v/>
      </c>
      <c r="EX80" s="334" t="str">
        <f t="shared" si="671"/>
        <v/>
      </c>
      <c r="EY80" s="919" t="str">
        <f>IF(A80=FALSE,"",((EG80*TAXE)-(EG80*TAXE*EL80)+EH80)+IF(EQ80="N/A",0,IF(INDEX(LISTES!$F$105:$F$109,MATCH(EQ80,LISTES!$C$105:$C$109,0))="FIX",ER80,ES80*EP80)))</f>
        <v/>
      </c>
      <c r="FA80" s="492" t="str">
        <f>IF(A80=FALSE,"",Cotations!D80)</f>
        <v/>
      </c>
      <c r="FB80" s="519" t="str">
        <f>IF(A80=FALSE,"",IF(LISTES!$A$17=1,Cotations!AO80,Cotations!$AP$4))</f>
        <v/>
      </c>
      <c r="FC80" s="291" t="str">
        <f t="shared" si="672"/>
        <v/>
      </c>
      <c r="FD80" s="291" t="str">
        <f t="shared" si="673"/>
        <v/>
      </c>
      <c r="FE80" s="291"/>
      <c r="FF80" s="463"/>
      <c r="FG80" s="463" t="str">
        <f t="shared" si="674"/>
        <v/>
      </c>
      <c r="FH80" s="522" t="str">
        <f>IF(A80=FALSE,"",IF(Cotations!$AQ$4="monthly",FG80/12*L80,FG80/365*M80))</f>
        <v/>
      </c>
      <c r="FI80" s="453" t="str">
        <f>IF(A80=FALSE,"",Cotations!$AR$4)</f>
        <v/>
      </c>
      <c r="FJ80" s="300" t="str">
        <f t="shared" si="675"/>
        <v/>
      </c>
      <c r="FK80" s="300" t="str">
        <f t="shared" si="676"/>
        <v/>
      </c>
      <c r="FL80" s="294" t="str">
        <f t="shared" si="677"/>
        <v/>
      </c>
      <c r="FM80" s="494" t="str">
        <f>IF(A80=FALSE,"",Cotations!$AS$4)</f>
        <v/>
      </c>
      <c r="FN80" s="494" t="str">
        <f>IF(A80=FALSE,"",Cotations!$AT$4)</f>
        <v/>
      </c>
      <c r="FO80" s="489" t="str">
        <f>IF(A80=FALSE,"",Cotations!$AU$4)</f>
        <v/>
      </c>
      <c r="FP80" s="494" t="str">
        <f>IF(A80=FALSE,"",IF(FM80="N/A",0,IF(INDEX(LISTES!$F$105:$F$109,MATCH(FM80,LISTES!$C$105:$C$109,0))="FIX",IF(INDEX(LISTES!$E$105:$E$109,MATCH(FM80,LISTES!$C$105:$C$109,0))=12,FN80/12*L80,FN80/365*M80),FO80*FL80)))</f>
        <v/>
      </c>
      <c r="FQ80" s="294" t="str">
        <f t="shared" si="678"/>
        <v/>
      </c>
      <c r="FR80" s="494" t="str">
        <f>IF(A80=FALSE,"",FQ80*Cotations!$AV$4)</f>
        <v/>
      </c>
      <c r="FS80" s="494" t="str">
        <f>IF(A80=FALSE,"",FQ80*Cotations!$AW$4)</f>
        <v/>
      </c>
      <c r="FT80" s="465" t="str">
        <f t="shared" si="679"/>
        <v/>
      </c>
      <c r="FU80" s="919" t="str">
        <f>IF(A80=FALSE,"",((FG80*TAXE)-(FG80*TAXE*FI80))+IF(FM80="N/A",0,IF(INDEX(LISTES!$F$105:$F$109,MATCH(FM80,LISTES!$C$105:$C$109,0))="FIX",FN80,FO80*FL80)))</f>
        <v/>
      </c>
      <c r="FV80" s="478"/>
      <c r="FW80" s="478"/>
      <c r="FX80" s="478"/>
      <c r="FY80" s="478"/>
      <c r="FZ80" s="478"/>
      <c r="GA80" s="492" t="str">
        <f>IF(A80=FALSE,"",Cotations!D80)</f>
        <v/>
      </c>
      <c r="GB80" s="494" t="str">
        <f>IF(A80=FALSE,"",IF(LISTES!$A$17=1,Cotations!AO80,Cotations!AP80))</f>
        <v/>
      </c>
      <c r="GC80" s="284" t="str">
        <f t="shared" si="680"/>
        <v/>
      </c>
      <c r="GD80" s="515" t="str">
        <f>IF(A80=FALSE,"",IF(Detail!AM80="","",Detail!AM80))</f>
        <v/>
      </c>
      <c r="GE80" s="284"/>
      <c r="GF80" s="284"/>
      <c r="GG80" s="284" t="str">
        <f t="shared" si="681"/>
        <v/>
      </c>
      <c r="GH80" s="515" t="str">
        <f>IF(A80=FALSE,"",IF(Cotations!AQ80="monthly",GG80/12*L80,GG80/365*M80))</f>
        <v/>
      </c>
      <c r="GI80" s="493" t="str">
        <f>IF(A80=FALSE,"",IF(Cotations!AR80="","",Cotations!AR80))</f>
        <v/>
      </c>
      <c r="GJ80" s="284" t="str">
        <f t="shared" si="682"/>
        <v/>
      </c>
      <c r="GK80" s="284" t="str">
        <f t="shared" si="683"/>
        <v/>
      </c>
      <c r="GL80" s="284" t="str">
        <f t="shared" si="684"/>
        <v/>
      </c>
      <c r="GM80" s="515" t="str">
        <f>IF(A80=FALSE,"",Cotations!AS80)</f>
        <v/>
      </c>
      <c r="GN80" s="515" t="str">
        <f>IF(A80=FALSE,"",Cotations!AT80)</f>
        <v/>
      </c>
      <c r="GO80" s="493" t="str">
        <f>IF(A80=FALSE,"",Cotations!AU80)</f>
        <v/>
      </c>
      <c r="GP80" s="515" t="str">
        <f>IF(A80=FALSE,"",IF(GM80="N/A",0,IF(INDEX(LISTES!$F$105:$F$109,MATCH(GM80,LISTES!$C$105:$C$109,0))="FIX",IF(INDEX(LISTES!$E$105:$E$109,MATCH(GM80,LISTES!$C$105:$C$109,0))=12,GN80/12*L80,GN80/365*M80),GO80*GL80)))</f>
        <v/>
      </c>
      <c r="GQ80" s="294" t="str">
        <f t="shared" si="685"/>
        <v/>
      </c>
      <c r="GR80" s="494" t="str">
        <f>IF(A80=FALSE,"",GQ80*Cotations!AV80)</f>
        <v/>
      </c>
      <c r="GS80" s="494" t="str">
        <f>IF(A80=FALSE,"",GQ80*Cotations!AW80)</f>
        <v/>
      </c>
      <c r="GT80" s="334" t="str">
        <f t="shared" si="686"/>
        <v/>
      </c>
      <c r="GU80" s="919" t="str">
        <f>IF(A80=FALSE,"",((GG80*TAXE)-(GG80*TAXE*GI80))+IF(GM80="N/A",0,IF(INDEX(LISTES!$F$105:$F$109,MATCH(GM80,LISTES!$C$105:$C$109,0))="FIX",GN80,GO80*GL80)))</f>
        <v/>
      </c>
      <c r="GV80" s="478"/>
      <c r="GW80" s="466"/>
      <c r="GX80" s="466"/>
      <c r="GY80" s="466"/>
      <c r="GZ80" s="466"/>
      <c r="HA80" s="492" t="str">
        <f>IF(A80=FALSE,"",Cotations!D80)</f>
        <v/>
      </c>
      <c r="HB80" s="495" t="str">
        <f>IF(A80=FALSE,"",IF(LISTES!$A$17=1,Cotations!AX80,Cotations!$AY$4))</f>
        <v/>
      </c>
      <c r="HC80" s="291" t="str">
        <f t="shared" si="687"/>
        <v/>
      </c>
      <c r="HD80" s="291" t="str">
        <f t="shared" si="688"/>
        <v/>
      </c>
      <c r="HE80" s="456" t="str">
        <f t="shared" si="689"/>
        <v/>
      </c>
      <c r="HF80" s="496" t="str">
        <f>IF(A80=FALSE,"",IF(HA80="POEA",Cotations!BA80,IF(HA80="FIXE",Cotations!$BA$4,Cotations!$BC$4*Y80)))</f>
        <v/>
      </c>
      <c r="HG80" s="300" t="str">
        <f t="shared" si="690"/>
        <v/>
      </c>
      <c r="HH80" s="522" t="str">
        <f>IF(A80=FALSE,"",IF(Cotations!$AZ$4="monthly",HG80/12*L80,HG80/365*M80))</f>
        <v/>
      </c>
      <c r="HI80" s="489" t="str">
        <f>IF(A80=FALSE,"",Cotations!$BD$4)</f>
        <v/>
      </c>
      <c r="HJ80" s="300" t="str">
        <f t="shared" si="691"/>
        <v/>
      </c>
      <c r="HK80" s="300" t="str">
        <f t="shared" si="692"/>
        <v/>
      </c>
      <c r="HL80" s="294" t="str">
        <f t="shared" si="693"/>
        <v/>
      </c>
      <c r="HM80" s="494" t="str">
        <f>IF(A80=FALSE,"",Cotations!$BE$4)</f>
        <v/>
      </c>
      <c r="HN80" s="522" t="str">
        <f>IF(A80=FALSE,"",Cotations!$BF$4)</f>
        <v/>
      </c>
      <c r="HO80" s="489" t="str">
        <f>IF(A80=FALSE,"",Cotations!$BG$4)</f>
        <v/>
      </c>
      <c r="HP80" s="494" t="str">
        <f>IF(A80=FALSE,"",IF(HM80="N/A",0,IF(INDEX(LISTES!$F$105:$F$109,MATCH(HM80,LISTES!$C$105:$C$109,0))="FIX",IF(INDEX(LISTES!$E$105:$E$109,MATCH(HM80,LISTES!$C$105:$C$109,0))=12,HN80/12*L80,HN80/365*M80),HO80*HL80)))</f>
        <v/>
      </c>
      <c r="HQ80" s="294" t="str">
        <f t="shared" si="694"/>
        <v/>
      </c>
      <c r="HR80" s="494" t="str">
        <f>IF(A80=FALSE,"",HQ80*Cotations!$BH$4)</f>
        <v/>
      </c>
      <c r="HS80" s="494" t="str">
        <f>IF(A80=FALSE,"",HQ80*Cotations!$BI$4)</f>
        <v/>
      </c>
      <c r="HT80" s="294" t="str">
        <f t="shared" si="695"/>
        <v/>
      </c>
      <c r="HU80" s="919" t="str">
        <f>IF(A80=FALSE,"",((HG80*TAXE)-(HG80*TAXE*HI80))+IF(HM80="N/A",0,IF(INDEX(LISTES!$F$105:$F$109,MATCH(HM80,LISTES!$C$105:$C$109,0))="FIX",HN80,HO80*HL80)))</f>
        <v/>
      </c>
      <c r="IA80" s="492" t="str">
        <f>IF(A80=FALSE,"",Cotations!D80)</f>
        <v/>
      </c>
      <c r="IB80" s="491" t="str">
        <f>IF(A80=FALSE,"",IF(LISTES!$A$17=1,Cotations!AX80,Cotations!AY80))</f>
        <v/>
      </c>
      <c r="IC80" s="285" t="str">
        <f t="shared" si="696"/>
        <v/>
      </c>
      <c r="ID80" s="300" t="str">
        <f>IF(A80=FALSE,"",IF(LISTES!$A$17=3,Detail!AU80,lig1_Formula_PREVOY))</f>
        <v/>
      </c>
      <c r="IE80" s="461" t="str">
        <f t="shared" si="697"/>
        <v/>
      </c>
      <c r="IF80" s="490" t="str">
        <f>IF(A80=FALSE,"",IF(IA80="POEA",Cotations!BA80,IF(HA80="FIXE",Cotations!BB80,IF(Cotations!BC80*Y80&lt;50000,Z80,Cotations!BC80*Y80))))</f>
        <v/>
      </c>
      <c r="IG80" s="300" t="str">
        <f t="shared" si="698"/>
        <v/>
      </c>
      <c r="IH80" s="522" t="str">
        <f>IF(A80=FALSE,"",IF(Cotations!AZ80="monthly",IG80/12*L80,IG80/365*M80))</f>
        <v/>
      </c>
      <c r="II80" s="489" t="str">
        <f>IF(A80=FALSE,"",IF(Cotations!BD80="","",Cotations!BD80))</f>
        <v/>
      </c>
      <c r="IJ80" s="300" t="str">
        <f t="shared" si="699"/>
        <v/>
      </c>
      <c r="IK80" s="300" t="str">
        <f t="shared" si="700"/>
        <v/>
      </c>
      <c r="IL80" s="919" t="str">
        <f t="shared" si="701"/>
        <v/>
      </c>
      <c r="IM80" s="517" t="str">
        <f>IF(A80=FALSE,"",Cotations!BE80)</f>
        <v/>
      </c>
      <c r="IN80" s="517" t="str">
        <f>IF(A80=FALSE,"",Cotations!BF80)</f>
        <v/>
      </c>
      <c r="IO80" s="493" t="str">
        <f>IF(A80=FALSE,"",Cotations!BG80)</f>
        <v/>
      </c>
      <c r="IP80" s="517" t="str">
        <f>IF(A80=FALSE,"",IF(IM80="N/A",0,IF(INDEX(LISTES!$F$105:$F$109,MATCH(IM80,LISTES!$C$105:$C$109,0))="FIX",IF(INDEX(LISTES!$E$105:$E$109,MATCH(IM80,LISTES!$C$105:$C$109,0))=12,IN80/12*L80,IN80/365*M80),IO80*IL80)))</f>
        <v/>
      </c>
      <c r="IQ80" s="294" t="str">
        <f t="shared" si="702"/>
        <v/>
      </c>
      <c r="IR80" s="494" t="str">
        <f>IF(A80=FALSE,"",IQ80*Cotations!BH80)</f>
        <v/>
      </c>
      <c r="IS80" s="494" t="str">
        <f>IF(A80=FALSE,"",IQ80*Cotations!BI80)</f>
        <v/>
      </c>
      <c r="IT80" s="338" t="str">
        <f t="shared" si="703"/>
        <v/>
      </c>
      <c r="IU80" s="919" t="str">
        <f>IF(A80=FALSE,"",((IG80*TAXE)-(IG80*TAXE*II80))+IF(IM80="N/A",0,IF(INDEX(LISTES!$F$105:$F$109,MATCH(IM80,LISTES!$C$105:$C$109,0))="FIX",IN80,IO80*IL80)))</f>
        <v/>
      </c>
      <c r="JA80" s="492" t="str">
        <f>IF(A80=FALSE,"",Cotations!D80)</f>
        <v/>
      </c>
      <c r="JB80" s="495" t="str">
        <f>IF(A80=FALSE,"",IF(LISTES!$A$17=1,Cotations!BJ80,Cotations!$BK$4))</f>
        <v/>
      </c>
      <c r="JC80" s="291" t="str">
        <f t="shared" si="704"/>
        <v/>
      </c>
      <c r="JD80" s="291" t="str">
        <f t="shared" si="705"/>
        <v/>
      </c>
      <c r="JE80" s="456" t="str">
        <f t="shared" si="706"/>
        <v/>
      </c>
      <c r="JF80" s="496" t="str">
        <f>IF(A80=FALSE,"",IF(JA80="POEA",Cotations!BM80,IF(JA80="FIXE",Cotations!$BM$4,Cotations!$BO$4*Y80)))</f>
        <v/>
      </c>
      <c r="JG80" s="300" t="str">
        <f t="shared" si="707"/>
        <v/>
      </c>
      <c r="JH80" s="522" t="str">
        <f>IF(A80=FALSE,"",IF(Cotations!$BL$4="monthly",JG80/12*L80,JG80/365*M80))</f>
        <v/>
      </c>
      <c r="JI80" s="489" t="str">
        <f>IF(A80=FALSE,"",Cotations!$BP$4)</f>
        <v/>
      </c>
      <c r="JJ80" s="300" t="str">
        <f t="shared" si="708"/>
        <v/>
      </c>
      <c r="JK80" s="300" t="str">
        <f t="shared" si="709"/>
        <v/>
      </c>
      <c r="JL80" s="294" t="str">
        <f t="shared" si="710"/>
        <v/>
      </c>
      <c r="JM80" s="494" t="str">
        <f>IF(A80=FALSE,"",Cotations!$BQ$4)</f>
        <v/>
      </c>
      <c r="JN80" s="522" t="str">
        <f>IF(A80=FALSE,"",Cotations!$BR$4)</f>
        <v/>
      </c>
      <c r="JO80" s="489" t="str">
        <f>IF(A80=FALSE,"",Cotations!$BS$4)</f>
        <v/>
      </c>
      <c r="JP80" s="494" t="str">
        <f>IF(A80=FALSE,"",IF(JM80="N/A",0,IF(INDEX(LISTES!$F$105:$F$109,MATCH(JM80,LISTES!$C$105:$C$109,0))="FIX",IF(INDEX(LISTES!$E$105:$E$109,MATCH(JM80,LISTES!$C$105:$C$109,0))=12,JN80/12*L80,JN80/365*M80),JO80*JL80)))</f>
        <v/>
      </c>
      <c r="JQ80" s="294" t="str">
        <f t="shared" si="711"/>
        <v/>
      </c>
      <c r="JR80" s="494" t="str">
        <f>IF(A80=FALSE,"",JQ80*Cotations!$BT$4)</f>
        <v/>
      </c>
      <c r="JS80" s="494" t="str">
        <f>IF(A80=FALSE,"",JQ80*Cotations!$BU$4)</f>
        <v/>
      </c>
      <c r="JT80" s="294" t="str">
        <f t="shared" si="712"/>
        <v/>
      </c>
      <c r="JU80" s="919" t="str">
        <f>IF(A80=FALSE,"",((JG80*TAXE)-(JG80*TAXE*JI80))+IF(JM80="N/A",0,IF(INDEX(LISTES!$F$105:$F$109,MATCH(JM80,LISTES!$C$105:$C$109,0))="FIX",JN80,JO80*JL80)))</f>
        <v/>
      </c>
      <c r="KA80" s="492" t="str">
        <f>IF(A80=FALSE,"",Cotations!D80)</f>
        <v/>
      </c>
      <c r="KB80" s="491" t="str">
        <f>IF(A80=FALSE,"",IF(LISTES!$A$17=1,Cotations!BJ80,Cotations!BK80))</f>
        <v/>
      </c>
      <c r="KC80" s="285" t="str">
        <f t="shared" si="713"/>
        <v/>
      </c>
      <c r="KD80" s="300"/>
      <c r="KE80" s="461" t="str">
        <f t="shared" si="714"/>
        <v/>
      </c>
      <c r="KF80" s="490" t="str">
        <f>IF(A80=FALSE,"",IF(KA80="POEA",Cotations!BM80,IF(KA80="FIXE",Cotations!BN80,IF(Cotations!BO80*Y80&lt;50000,Z80,Cotations!BO80*Y80))))</f>
        <v/>
      </c>
      <c r="KG80" s="300" t="str">
        <f t="shared" si="715"/>
        <v/>
      </c>
      <c r="KH80" s="522" t="str">
        <f>IF(A80=FALSE,"",IF(Cotations!BL80="monthly",KG80/12*L80,KG80/365*M80))</f>
        <v/>
      </c>
      <c r="KI80" s="489" t="str">
        <f>IF(A80=FALSE,"",IF(Cotations!BP80="","",Cotations!BP80))</f>
        <v/>
      </c>
      <c r="KJ80" s="300" t="str">
        <f t="shared" si="716"/>
        <v/>
      </c>
      <c r="KK80" s="300" t="str">
        <f t="shared" si="717"/>
        <v/>
      </c>
      <c r="KL80" s="919" t="str">
        <f t="shared" si="718"/>
        <v/>
      </c>
      <c r="KM80" s="517" t="str">
        <f>IF(A80=FALSE,"",Cotations!BQ80)</f>
        <v/>
      </c>
      <c r="KN80" s="515" t="str">
        <f>IF(A80=FALSE,"",Cotations!BR80)</f>
        <v/>
      </c>
      <c r="KO80" s="493" t="str">
        <f>IF(A80=FALSE,"",Cotations!BS80)</f>
        <v/>
      </c>
      <c r="KP80" s="517" t="str">
        <f>IF(A80=FALSE,"",IF(KM80="N/A",0,IF(INDEX(LISTES!$F$105:$F$109,MATCH(KM80,LISTES!$C$105:$C$109,0))="FIX",IF(INDEX(LISTES!$E$105:$E$109,MATCH(KM80,LISTES!$C$105:$C$109,0))=12,KN80/12*L80,KN80/365*M80),KO80*KL80)))</f>
        <v/>
      </c>
      <c r="KQ80" s="294" t="str">
        <f t="shared" si="719"/>
        <v/>
      </c>
      <c r="KR80" s="494" t="str">
        <f>IF(A80=FALSE,"",KQ80*Cotations!BT80)</f>
        <v/>
      </c>
      <c r="KS80" s="494" t="str">
        <f>IF(A80=FALSE,"",KQ80*Cotations!BU80)</f>
        <v/>
      </c>
      <c r="KT80" s="338" t="str">
        <f t="shared" si="720"/>
        <v/>
      </c>
      <c r="KU80" s="919" t="str">
        <f>IF(A80=FALSE,"",((KG80*TAXE)-(KG80*TAXE*KI80))+IF(KM80="N/A",0,IF(INDEX(LISTES!$F$105:$F$109,MATCH(KM80,LISTES!$C$105:$C$109,0))="FIX",KN80,KO80*KL80)))</f>
        <v/>
      </c>
      <c r="LA80" s="497" t="str">
        <f>IF(A80=FALSE,"",Cotations!D80)</f>
        <v/>
      </c>
      <c r="LB80" s="498" t="str">
        <f>IF(A80=FALSE,"",IF(LISTES!$A$17=1,Cotations!BV80,Cotations!$BW$4))</f>
        <v/>
      </c>
      <c r="LC80" s="499" t="str">
        <f t="shared" si="721"/>
        <v/>
      </c>
      <c r="LD80" s="499" t="str">
        <f t="shared" si="722"/>
        <v/>
      </c>
      <c r="LE80" s="500" t="str">
        <f t="shared" si="723"/>
        <v/>
      </c>
      <c r="LF80" s="501" t="str">
        <f>IF(A80=FALSE,"",IF(LA80="POEA",Cotations!EJ80,IF(LA80="FIXE",Cotations!$BY$4,Cotations!$CA$4*Y80)))</f>
        <v/>
      </c>
      <c r="LG80" s="502" t="str">
        <f t="shared" si="724"/>
        <v/>
      </c>
      <c r="LH80" s="520" t="str">
        <f>IF(A80=FALSE,"",IF(Cotations!$BX$4="monthly",LG80/12*L80,LG80/365*M80))</f>
        <v/>
      </c>
      <c r="LI80" s="503" t="str">
        <f>IF(A80=FALSE,"",Cotations!$CB$4)</f>
        <v/>
      </c>
      <c r="LJ80" s="502" t="str">
        <f t="shared" si="725"/>
        <v/>
      </c>
      <c r="LK80" s="502" t="str">
        <f t="shared" si="726"/>
        <v/>
      </c>
      <c r="LL80" s="504" t="str">
        <f t="shared" si="727"/>
        <v/>
      </c>
      <c r="LM80" s="505" t="str">
        <f>IF(A80=FALSE,"",Cotations!$CC$4)</f>
        <v/>
      </c>
      <c r="LN80" s="503" t="str">
        <f>IF(A80=FALSE,"",Cotations!$CD$4)</f>
        <v/>
      </c>
      <c r="LO80" s="503" t="str">
        <f>IF(A80=FALSE,"",Cotations!$CE$4)</f>
        <v/>
      </c>
      <c r="LP80" s="505" t="str">
        <f>IF(A80=FALSE,"",IF(LM80="N/A",0,IF(INDEX(LISTES!$F$105:$F$109,MATCH(LM80,LISTES!$C$105:$C$109,0))="FIX",IF(INDEX(LISTES!$E$105:$E$109,MATCH(LM80,LISTES!$C$105:$C$109,0))=12,LN80/12*L80,LN80/365*M80),LO80*LL80)))</f>
        <v/>
      </c>
      <c r="LQ80" s="504" t="str">
        <f t="shared" si="728"/>
        <v/>
      </c>
      <c r="LR80" s="505" t="str">
        <f>IF(A80=FALSE,"",LQ80*Cotations!$CF$4)</f>
        <v/>
      </c>
      <c r="LS80" s="505" t="str">
        <f>IF(A80=FALSE,"",LQ80*Cotations!$CG$4)</f>
        <v/>
      </c>
      <c r="LT80" s="506" t="str">
        <f t="shared" si="729"/>
        <v/>
      </c>
      <c r="LU80" s="919" t="str">
        <f>IF(A80=FALSE,"",((LG80*TAXE)-(LG80*TAXE*LI80))+IF(LM80="N/A",0,IF(INDEX(LISTES!$F$105:$F$109,MATCH(LM80,LISTES!$C$105:$C$109,0))="FIX",LN80,LO80*LL80)))</f>
        <v/>
      </c>
      <c r="MA80" s="492" t="str">
        <f>IF(A80=FALSE,"",Cotations!D80)</f>
        <v/>
      </c>
      <c r="MB80" s="491" t="str">
        <f>IF(A80=FALSE,"",IF(LISTES!$A$17=1,Cotations!BV80,Cotations!BW80))</f>
        <v/>
      </c>
      <c r="MC80" s="285" t="str">
        <f t="shared" si="730"/>
        <v/>
      </c>
      <c r="MD80" s="300"/>
      <c r="ME80" s="461" t="str">
        <f t="shared" si="731"/>
        <v/>
      </c>
      <c r="MF80" s="490" t="str">
        <f>IF(A80=FALSE,"",IF(MA80="POEA",Cotations!BY80,IF(MA80="FIXE",Cotations!BZ80,IF(Cotations!CA80*Y80&lt;50000,Z80,Cotations!CA80*Y80))))</f>
        <v/>
      </c>
      <c r="MG80" s="300" t="str">
        <f t="shared" si="732"/>
        <v/>
      </c>
      <c r="MH80" s="522" t="str">
        <f>IF(A80=FALSE,"",IF(Cotations!BX80="monthly",MG80/12*L80,MG80/365*M80))</f>
        <v/>
      </c>
      <c r="MI80" s="489" t="str">
        <f>IF(A80=FALSE,"",IF(Cotations!CB80="","",Cotations!CB80))</f>
        <v/>
      </c>
      <c r="MJ80" s="300" t="str">
        <f t="shared" si="733"/>
        <v/>
      </c>
      <c r="MK80" s="300" t="str">
        <f t="shared" si="734"/>
        <v/>
      </c>
      <c r="ML80" s="919" t="str">
        <f t="shared" si="735"/>
        <v/>
      </c>
      <c r="MM80" s="517" t="str">
        <f>IF(A80=FALSE,"",Cotations!CC80)</f>
        <v/>
      </c>
      <c r="MN80" s="515" t="str">
        <f>IF(A80=FALSE,"",Cotations!CD80)</f>
        <v/>
      </c>
      <c r="MO80" s="493" t="str">
        <f>IF(A80=FALSE,"",Cotations!CE80)</f>
        <v/>
      </c>
      <c r="MP80" s="517" t="str">
        <f>IF(A80=FALSE,"",IF(MM80="N/A",0,IF(INDEX(LISTES!$F$105:$F$109,MATCH(MM80,LISTES!$C$105:$C$109,0))="FIX",IF(INDEX(LISTES!$E$105:$E$109,MATCH(MM80,LISTES!$C$105:$C$109,0))=12,MN80/12*L80,MN80/365*M80),MO80*ML80)))</f>
        <v/>
      </c>
      <c r="MQ80" s="294" t="str">
        <f t="shared" si="736"/>
        <v/>
      </c>
      <c r="MR80" s="494" t="str">
        <f>IF(A80=FALSE,"",MQ80*Cotations!CF80)</f>
        <v/>
      </c>
      <c r="MS80" s="494" t="str">
        <f>IF(A80=FALSE,"",MQ80*Cotations!CG80)</f>
        <v/>
      </c>
      <c r="MT80" s="338" t="str">
        <f t="shared" si="737"/>
        <v/>
      </c>
      <c r="MU80" s="919" t="str">
        <f>IF(A80=FALSE,"",((MG80*TAXE)-(MG80*TAXE*MI80))+IF(MM80="N/A",0,IF(INDEX(LISTES!$F$105:$F$109,MATCH(MM80,LISTES!$C$105:$C$109,0))="FIX",MN80,MO80*ML80)))</f>
        <v/>
      </c>
      <c r="NA80" s="497" t="str">
        <f>IF(A80=FALSE,"",Cotations!D80)</f>
        <v/>
      </c>
      <c r="NB80" s="498" t="str">
        <f>IF(A80=FALSE,"",IF(LISTES!$A$17=1,Cotations!CH80,Cotations!$CI$4))</f>
        <v/>
      </c>
      <c r="NC80" s="499" t="str">
        <f t="shared" si="738"/>
        <v/>
      </c>
      <c r="ND80" s="499" t="str">
        <f t="shared" si="739"/>
        <v/>
      </c>
      <c r="NE80" s="500" t="str">
        <f t="shared" si="740"/>
        <v/>
      </c>
      <c r="NF80" s="501" t="str">
        <f>IF(A80=FALSE,"",IF(NA80="POEA",Cotations!CK80,IF(NA80="FIXE",Cotations!$CK$4,Cotations!$CM$4*Y80)))</f>
        <v/>
      </c>
      <c r="NG80" s="502" t="str">
        <f t="shared" si="741"/>
        <v/>
      </c>
      <c r="NH80" s="520" t="str">
        <f>IF(A80=FALSE,"",IF(Cotations!$CJ$4="monthly",NG80/12*L80,NG80/365*M80))</f>
        <v/>
      </c>
      <c r="NI80" s="503" t="str">
        <f>IF(A80=FALSE,"",Cotations!$CN$4)</f>
        <v/>
      </c>
      <c r="NJ80" s="502" t="str">
        <f t="shared" si="742"/>
        <v/>
      </c>
      <c r="NK80" s="502" t="str">
        <f t="shared" si="743"/>
        <v/>
      </c>
      <c r="NL80" s="504" t="str">
        <f t="shared" si="744"/>
        <v/>
      </c>
      <c r="NM80" s="505" t="str">
        <f>IF(A80=FALSE,"",Cotations!$CO$4)</f>
        <v/>
      </c>
      <c r="NN80" s="520" t="str">
        <f>IF(A80=FALSE,"",Cotations!$CP$4)</f>
        <v/>
      </c>
      <c r="NO80" s="503" t="str">
        <f>IF(A80=FALSE,"",Cotations!$CQ$4)</f>
        <v/>
      </c>
      <c r="NP80" s="505" t="str">
        <f>IF(A80=FALSE,"",IF(NM80="N/A",0,IF(INDEX(LISTES!$F$105:$F$109,MATCH(NM80,LISTES!$C$105:$C$109,0))="FIX",IF(INDEX(LISTES!$E$105:$E$109,MATCH(NM80,LISTES!$C$105:$C$109,0))=12,NN80/12*L80,NN80/365*M80),NO80*NL80)))</f>
        <v/>
      </c>
      <c r="NQ80" s="504" t="str">
        <f t="shared" si="745"/>
        <v/>
      </c>
      <c r="NR80" s="505" t="str">
        <f>IF(A80=FALSE,"",NQ80*Cotations!$CR$4)</f>
        <v/>
      </c>
      <c r="NS80" s="505" t="str">
        <f>IF(A80=FALSE,"",NQ80*Cotations!$CS$4)</f>
        <v/>
      </c>
      <c r="NT80" s="506" t="str">
        <f t="shared" si="746"/>
        <v/>
      </c>
      <c r="NU80" s="919" t="str">
        <f>IF(A80=FALSE,"",((NG80*TAXE)-(NG80*TAXE*NI80))+IF(NM80="N/A",0,IF(INDEX(LISTES!$F$105:$F$109,MATCH(NM80,LISTES!$C$105:$C$109,0))="FIX",NN80,NO80*NL80)))</f>
        <v/>
      </c>
      <c r="OA80" s="492" t="str">
        <f>IF(A80=FALSE,"",Cotations!D80)</f>
        <v/>
      </c>
      <c r="OB80" s="491" t="str">
        <f>IF(A80=FALSE,"",IF(LISTES!$A$17=1,Cotations!CH80,Cotations!CI80))</f>
        <v/>
      </c>
      <c r="OC80" s="285" t="str">
        <f t="shared" si="747"/>
        <v/>
      </c>
      <c r="OD80" s="300"/>
      <c r="OE80" s="461" t="str">
        <f t="shared" si="748"/>
        <v/>
      </c>
      <c r="OF80" s="490" t="str">
        <f>IF(A80=FALSE,"",IF(OA80="POEA",Cotations!CK80,IF(OA80="FIXE",Cotations!CL80,IF(Cotations!CM80*Y80&lt;50000,Z80,Cotations!CM80*Y80))))</f>
        <v/>
      </c>
      <c r="OG80" s="300" t="str">
        <f t="shared" si="749"/>
        <v/>
      </c>
      <c r="OH80" s="522" t="str">
        <f>IF(A80=FALSE,"",IF(Cotations!CJ80="monthly",OG80/12*L80,OG80/365*M80))</f>
        <v/>
      </c>
      <c r="OI80" s="489" t="str">
        <f>IF(A80=FALSE,"",IF(Cotations!CN80="","",Cotations!CN80))</f>
        <v/>
      </c>
      <c r="OJ80" s="300" t="str">
        <f t="shared" si="750"/>
        <v/>
      </c>
      <c r="OK80" s="300" t="str">
        <f t="shared" si="751"/>
        <v/>
      </c>
      <c r="OL80" s="919" t="str">
        <f t="shared" si="752"/>
        <v/>
      </c>
      <c r="OM80" s="517" t="str">
        <f>IF(A80=FALSE,"",Cotations!CO80)</f>
        <v/>
      </c>
      <c r="ON80" s="515" t="str">
        <f>IF(A80=FALSE,"",Cotations!CP80)</f>
        <v/>
      </c>
      <c r="OO80" s="493" t="str">
        <f>IF(A80=FALSE,"",Cotations!CQ80)</f>
        <v/>
      </c>
      <c r="OP80" s="517" t="str">
        <f>IF(A80=FALSE,"",IF(OM80="N/A",0,IF(INDEX(LISTES!$F$105:$F$109,MATCH(OM80,LISTES!$C$105:$C$109,0))="FIX",IF(INDEX(LISTES!$E$105:$E$109,MATCH(OM80,LISTES!$C$105:$C$109,0))=12,ON80/12*L80,ON80/365*M80),OO80*OL80)))</f>
        <v/>
      </c>
      <c r="OQ80" s="294" t="str">
        <f t="shared" si="753"/>
        <v/>
      </c>
      <c r="OR80" s="494" t="str">
        <f>IF(A80=FALSE,"",OQ80*Cotations!CR80)</f>
        <v/>
      </c>
      <c r="OS80" s="494" t="str">
        <f>IF(A80=FALSE,"",OQ80*Cotations!CS80)</f>
        <v/>
      </c>
      <c r="OT80" s="338" t="str">
        <f t="shared" si="754"/>
        <v/>
      </c>
      <c r="OU80" s="919" t="str">
        <f>IF(A80=FALSE,"",((OG80*TAXE)-(OG80*TAXE*OI80))+IF(OM80="N/A",0,IF(INDEX(LISTES!$F$105:$F$109,MATCH(OM80,LISTES!$C$105:$C$109,0))="FIX",ON80,OO80*OL80)))</f>
        <v/>
      </c>
      <c r="PA80" s="497" t="str">
        <f t="shared" si="755"/>
        <v/>
      </c>
      <c r="PB80" s="498" t="str">
        <f>IF(A80=FALSE,"",IF(LISTES!$A$17=1,Cotations!CT80,Cotations!$CU$4))</f>
        <v/>
      </c>
      <c r="PC80" s="499" t="str">
        <f t="shared" si="756"/>
        <v/>
      </c>
      <c r="PD80" s="499" t="str">
        <f t="shared" si="757"/>
        <v/>
      </c>
      <c r="PE80" s="500" t="str">
        <f t="shared" si="758"/>
        <v/>
      </c>
      <c r="PF80" s="501" t="str">
        <f>IF(A80=FALSE,"",Cotations!$CY$4*Y80)</f>
        <v/>
      </c>
      <c r="PG80" s="502" t="str">
        <f t="shared" si="759"/>
        <v/>
      </c>
      <c r="PH80" s="520" t="str">
        <f>IF(A80=FALSE,"",IF(Cotations!$CV$4="monthly",PG80/12*L80,PG80/365*M80))</f>
        <v/>
      </c>
      <c r="PI80" s="503" t="str">
        <f>IF(A80=FALSE,"",Cotations!$CZ$4)</f>
        <v/>
      </c>
      <c r="PJ80" s="502" t="str">
        <f t="shared" si="760"/>
        <v/>
      </c>
      <c r="PK80" s="502" t="str">
        <f t="shared" si="761"/>
        <v/>
      </c>
      <c r="PL80" s="504" t="str">
        <f t="shared" si="762"/>
        <v/>
      </c>
      <c r="PM80" s="505" t="str">
        <f>IF(A80=FALSE,"",Cotations!$DA$4)</f>
        <v/>
      </c>
      <c r="PN80" s="520" t="str">
        <f>IF(A80=FALSE,"",Cotations!$DB$4)</f>
        <v/>
      </c>
      <c r="PO80" s="503" t="str">
        <f>IF(A80=FALSE,"",Cotations!$DC$4)</f>
        <v/>
      </c>
      <c r="PP80" s="505" t="str">
        <f>IF(A80=FALSE,"",IF(PM80="N/A",0,IF(INDEX(LISTES!$F$105:$F$109,MATCH(PM80,LISTES!$C$105:$C$109,0))="FIX",IF(INDEX(LISTES!$E$105:$E$109,MATCH(PM80,LISTES!$C$105:$C$109,0))=12,PN80/12*L80,PN80/365*M80),PO80*PL80)))</f>
        <v/>
      </c>
      <c r="PQ80" s="504" t="str">
        <f t="shared" si="763"/>
        <v/>
      </c>
      <c r="PR80" s="505" t="str">
        <f>IF(A80=FALSE,"",PQ80*Cotations!$DD$4)</f>
        <v/>
      </c>
      <c r="PS80" s="505" t="str">
        <f>IF(A80=FALSE,"",PQ80*Cotations!$DE$4)</f>
        <v/>
      </c>
      <c r="PT80" s="506" t="str">
        <f t="shared" si="764"/>
        <v/>
      </c>
      <c r="PU80" s="919" t="str">
        <f>IF(A80=FALSE,"",((PG80*TAXE)-(PG80*TAXE*PI80))+IF(PM80="N/A",0,IF(INDEX(LISTES!$F$105:$F$109,MATCH(PM80,LISTES!$C$105:$C$109,0))="FIX",PN80,PO80*PL80)))</f>
        <v/>
      </c>
      <c r="QA80" s="492" t="str">
        <f t="shared" si="765"/>
        <v/>
      </c>
      <c r="QB80" s="491" t="str">
        <f>IF(A80=FALSE,"",IF(LISTES!$A$17=1,Cotations!CT80,Cotations!CU80))</f>
        <v/>
      </c>
      <c r="QC80" s="285" t="str">
        <f t="shared" si="766"/>
        <v/>
      </c>
      <c r="QD80" s="300"/>
      <c r="QE80" s="461" t="str">
        <f t="shared" si="767"/>
        <v/>
      </c>
      <c r="QF80" s="490" t="str">
        <f>IF(A80=FALSE,"",Cotations!CY80*AA80)</f>
        <v/>
      </c>
      <c r="QG80" s="300" t="str">
        <f t="shared" si="768"/>
        <v/>
      </c>
      <c r="QH80" s="522" t="str">
        <f>IF(A80=FALSE,"",IF(Cotations!CV80="monthly",QG80/12*L80,QG80/365*M80))</f>
        <v/>
      </c>
      <c r="QI80" s="489" t="str">
        <f>IF(A80=FALSE,"",IF(Cotations!CZ80="","",Cotations!CZ80))</f>
        <v/>
      </c>
      <c r="QJ80" s="300" t="str">
        <f t="shared" si="769"/>
        <v/>
      </c>
      <c r="QK80" s="300" t="str">
        <f t="shared" si="770"/>
        <v/>
      </c>
      <c r="QL80" s="919" t="str">
        <f t="shared" si="771"/>
        <v/>
      </c>
      <c r="QM80" s="517" t="str">
        <f>IF(A80=FALSE,"",Cotations!DA80)</f>
        <v/>
      </c>
      <c r="QN80" s="515" t="str">
        <f>IF(A80=FALSE,"",Cotations!DB80)</f>
        <v/>
      </c>
      <c r="QO80" s="493" t="str">
        <f>IF(A80=FALSE,"",Cotations!DC80)</f>
        <v/>
      </c>
      <c r="QP80" s="517" t="str">
        <f>IF(A80=FALSE,"",IF(QM80="N/A",0,IF(INDEX(LISTES!$F$105:$F$109,MATCH(QM80,LISTES!$C$105:$C$109,0))="FIX",IF(INDEX(LISTES!$E$105:$E$109,MATCH(QM80,LISTES!$C$105:$C$109,0))=12,QN80/12*L80,QN80/365*M80),QO80*QL80)))</f>
        <v/>
      </c>
      <c r="QQ80" s="294" t="str">
        <f t="shared" si="772"/>
        <v/>
      </c>
      <c r="QR80" s="494" t="str">
        <f>IF(A80=FALSE,"",QQ80*Cotations!DD80)</f>
        <v/>
      </c>
      <c r="QS80" s="494" t="str">
        <f>IF(A80=FALSE,"",QQ80*Cotations!DE80)</f>
        <v/>
      </c>
      <c r="QT80" s="338" t="str">
        <f t="shared" si="773"/>
        <v/>
      </c>
      <c r="QU80" s="919" t="str">
        <f>IF(A80=FALSE,"",((QG80*TAXE)-(QG80*TAXE*QI80))+IF(QM80="N/A",0,IF(INDEX(LISTES!$F$105:$F$109,MATCH(QM80,LISTES!$C$105:$C$109,0))="FIX",QN80,QO80*QL80)))</f>
        <v/>
      </c>
      <c r="RA80" s="497" t="str">
        <f t="shared" si="774"/>
        <v/>
      </c>
      <c r="RB80" s="498" t="str">
        <f>IF(A80=FALSE,"",IF(LISTES!$A$17=1,Cotations!DF80,Cotations!$DG$4))</f>
        <v/>
      </c>
      <c r="RC80" s="499" t="str">
        <f t="shared" si="775"/>
        <v/>
      </c>
      <c r="RD80" s="499" t="str">
        <f t="shared" si="776"/>
        <v/>
      </c>
      <c r="RE80" s="500" t="str">
        <f t="shared" si="777"/>
        <v/>
      </c>
      <c r="RF80" s="501" t="str">
        <f>IF(A80=FALSE,"",Cotations!$DK$4*Y80)</f>
        <v/>
      </c>
      <c r="RG80" s="502" t="str">
        <f t="shared" si="778"/>
        <v/>
      </c>
      <c r="RH80" s="520" t="str">
        <f>IF(A80=FALSE,"",IF(Cotations!$DH$4="monthly",RG80/12*L80,RG80/365*M80))</f>
        <v/>
      </c>
      <c r="RI80" s="503" t="str">
        <f>IF(A80=FALSE,"",Cotations!$DL$4)</f>
        <v/>
      </c>
      <c r="RJ80" s="502" t="str">
        <f t="shared" si="779"/>
        <v/>
      </c>
      <c r="RK80" s="502" t="str">
        <f t="shared" si="780"/>
        <v/>
      </c>
      <c r="RL80" s="504" t="str">
        <f t="shared" si="781"/>
        <v/>
      </c>
      <c r="RM80" s="505" t="str">
        <f>IF(A80=FALSE,"",Cotations!$DM$4)</f>
        <v/>
      </c>
      <c r="RN80" s="520" t="str">
        <f>IF(A80=FALSE,"",Cotations!$DN$4)</f>
        <v/>
      </c>
      <c r="RO80" s="503" t="str">
        <f>IF(A80=FALSE,"",Cotations!$DO$4)</f>
        <v/>
      </c>
      <c r="RP80" s="505" t="str">
        <f>IF(A80=FALSE,"",IF(RM80="N/A",0,IF(INDEX(LISTES!$F$105:$F$109,MATCH(RM80,LISTES!$C$105:$C$109,0))="FIX",IF(INDEX(LISTES!$E$105:$E$109,MATCH(RM80,LISTES!$C$105:$C$109,0))=12,RN80/12*L80,RN80/365*M80),RO80*RL80)))</f>
        <v/>
      </c>
      <c r="RQ80" s="504" t="str">
        <f t="shared" si="782"/>
        <v/>
      </c>
      <c r="RR80" s="505" t="str">
        <f>IF(A80=FALSE,"",RQ80*Cotations!$DP$4)</f>
        <v/>
      </c>
      <c r="RS80" s="505" t="str">
        <f>IF(A80=FALSE,"",RQ80*Cotations!$DQ$4)</f>
        <v/>
      </c>
      <c r="RT80" s="506" t="str">
        <f t="shared" si="783"/>
        <v/>
      </c>
      <c r="RU80" s="919" t="str">
        <f>IF(A80=FALSE,"",((RG80*TAXE)-(RG80*TAXE*RI80))+IF(RM80="N/A",0,IF(INDEX(LISTES!$F$105:$F$109,MATCH(RM80,LISTES!$C$105:$C$109,0))="FIX",RN80,RO80*RL80)))</f>
        <v/>
      </c>
      <c r="SA80" s="492" t="str">
        <f t="shared" si="784"/>
        <v/>
      </c>
      <c r="SB80" s="491" t="str">
        <f>IF(A80=FALSE,"",IF(LISTES!$A$17=1,Cotations!DF80,Cotations!DG80))</f>
        <v/>
      </c>
      <c r="SC80" s="285" t="str">
        <f t="shared" si="785"/>
        <v/>
      </c>
      <c r="SD80" s="300"/>
      <c r="SE80" s="461" t="str">
        <f t="shared" si="786"/>
        <v/>
      </c>
      <c r="SF80" s="490" t="str">
        <f>IF(A80=FALSE,"",Cotations!DK80*AA80)</f>
        <v/>
      </c>
      <c r="SG80" s="300" t="str">
        <f t="shared" si="787"/>
        <v/>
      </c>
      <c r="SH80" s="522" t="str">
        <f>IF(A80=FALSE,"",IF(Cotations!DH80="monthly",SG80/12*L80,SG80/365*M80))</f>
        <v/>
      </c>
      <c r="SI80" s="489" t="str">
        <f>IF(A80=FALSE,"",IF(Cotations!DL80="","",Cotations!DL80))</f>
        <v/>
      </c>
      <c r="SJ80" s="300" t="str">
        <f t="shared" si="788"/>
        <v/>
      </c>
      <c r="SK80" s="300" t="str">
        <f t="shared" si="789"/>
        <v/>
      </c>
      <c r="SL80" s="919" t="str">
        <f t="shared" si="790"/>
        <v/>
      </c>
      <c r="SM80" s="285" t="str">
        <f>IF(A80=FALSE,"",Cotations!DM80)</f>
        <v/>
      </c>
      <c r="SN80" s="515" t="str">
        <f>IF(A80=FALSE,"",Cotations!DN80)</f>
        <v/>
      </c>
      <c r="SO80" s="493" t="str">
        <f>IF(A80=FALSE,"",Cotations!DO80)</f>
        <v/>
      </c>
      <c r="SP80" s="517" t="str">
        <f>IF(A80=FALSE,"",IF(SM80="N/A",0,IF(INDEX(LISTES!$F$105:$F$109,MATCH(SM80,LISTES!$C$105:$C$109,0))="FIX",IF(INDEX(LISTES!$E$105:$E$109,MATCH(SM80,LISTES!$C$105:$C$109,0))=12,SN80/12*L80,SN80/365*M80),SO80*SL80)))</f>
        <v/>
      </c>
      <c r="SQ80" s="294" t="str">
        <f t="shared" si="791"/>
        <v/>
      </c>
      <c r="SR80" s="494" t="str">
        <f>IF(A80=FALSE,"",SQ80*Cotations!DP80)</f>
        <v/>
      </c>
      <c r="SS80" s="494" t="str">
        <f>IF(A80=FALSE,"",SQ80*Cotations!DQ80)</f>
        <v/>
      </c>
      <c r="ST80" s="338" t="str">
        <f t="shared" si="792"/>
        <v/>
      </c>
      <c r="SU80" s="919" t="str">
        <f>IF(A80=FALSE,"",((SG80*TAXE)-(SG80*TAXE*SI80))+IF(SM80="N/A",0,IF(INDEX(LISTES!$F$105:$F$109,MATCH(SM80,LISTES!$C$105:$C$109,0))="FIX",SN80,SO80*SL80)))</f>
        <v/>
      </c>
      <c r="TA80" s="492" t="str">
        <f>IF(A80=FALSE,"",Cotations!D80)</f>
        <v/>
      </c>
      <c r="TB80" s="491" t="str">
        <f>IF(A80=FALSE,"",IF(LISTES!$A$17=1,Cotations!DR80,Cotations!DS80))</f>
        <v/>
      </c>
      <c r="TC80" s="285" t="str">
        <f t="shared" si="793"/>
        <v/>
      </c>
      <c r="TD80" s="300" t="str">
        <f>IF(A80=FALSE,"",Detail!CQ80)</f>
        <v/>
      </c>
      <c r="TE80" s="461" t="str">
        <f t="shared" si="794"/>
        <v/>
      </c>
      <c r="TF80" s="490" t="str">
        <f>IF(A80=FALSE,"",IF(TA80="FIXE",Cotations!DU80,Cotations!DV80*Y80))</f>
        <v/>
      </c>
      <c r="TG80" s="300" t="str">
        <f t="shared" si="795"/>
        <v/>
      </c>
      <c r="TH80" s="522" t="str">
        <f>IF(A80=FALSE,"",IF(Cotations!DT80="monthly",TG80/12*L80,TG80/365*M80))</f>
        <v/>
      </c>
      <c r="TI80" s="489" t="str">
        <f>IF(A80=FALSE,"",IF(Cotations!DW80="","",Cotations!DW80))</f>
        <v/>
      </c>
      <c r="TJ80" s="300" t="str">
        <f t="shared" si="796"/>
        <v/>
      </c>
      <c r="TK80" s="300" t="str">
        <f t="shared" si="797"/>
        <v/>
      </c>
      <c r="TL80" s="919" t="str">
        <f t="shared" si="798"/>
        <v/>
      </c>
      <c r="TM80" s="517" t="str">
        <f>IF(A80=FALSE,"",Cotations!DX80)</f>
        <v/>
      </c>
      <c r="TN80" s="517" t="str">
        <f>IF(A80=FALSE,"",Cotations!DY80)</f>
        <v/>
      </c>
      <c r="TO80" s="493" t="str">
        <f>IF(A80=FALSE,"",Cotations!DZ80)</f>
        <v/>
      </c>
      <c r="TP80" s="517" t="str">
        <f>IF(A80=FALSE,"",IF(TM80="N/A",0,IF(INDEX(LISTES!$F$105:$F$109,MATCH(TM80,LISTES!$C$105:$C$109,0))="FIX",IF(INDEX(LISTES!$E$105:$E$109,MATCH(TM80,LISTES!$C$105:$C$109,0))=12,TN80/12*L80,TN80/365*M80),TO80*TL80)))</f>
        <v/>
      </c>
      <c r="TQ80" s="294" t="str">
        <f t="shared" si="799"/>
        <v/>
      </c>
      <c r="TR80" s="494" t="str">
        <f>IF(A80=FALSE,"",TQ80*Cotations!EA80)</f>
        <v/>
      </c>
      <c r="TS80" s="494" t="str">
        <f>IF(A80=FALSE,"",TQ80*Cotations!EB80)</f>
        <v/>
      </c>
      <c r="TT80" s="338" t="str">
        <f t="shared" si="800"/>
        <v/>
      </c>
      <c r="TU80" s="919" t="str">
        <f>IF(A80=FALSE,"",((TG80*(1+TAXE)-(TG80*(1+TAXE)*TI80))+IF(TM80="N/A",0,IF(INDEX(LISTES!$F$105:$F$109,MATCH(TM80,LISTES!$C$105:$C$109,0))="FIX",TN80,TO80*TL80))))</f>
        <v/>
      </c>
      <c r="UA80" s="492" t="str">
        <f>IF(A80=FALSE,"",Cotations!D80)</f>
        <v/>
      </c>
      <c r="UB80" s="491" t="str">
        <f>IF(A80=FALSE,"",IF(LISTES!$A$17=1,Cotations!EC80,Cotations!ED80))</f>
        <v/>
      </c>
      <c r="UC80" s="285" t="str">
        <f t="shared" si="801"/>
        <v/>
      </c>
      <c r="UD80" s="300" t="str">
        <f>IF(A80=FALSE,"",Detail!CY80)</f>
        <v/>
      </c>
      <c r="UE80" s="461" t="str">
        <f t="shared" si="802"/>
        <v/>
      </c>
      <c r="UF80" s="490" t="str">
        <f>IF(A80=FALSE,"",IF(UA80="FIXE",Cotations!EF80,Cotations!EG80*Y80))</f>
        <v/>
      </c>
      <c r="UG80" s="300" t="str">
        <f t="shared" si="803"/>
        <v/>
      </c>
      <c r="UH80" s="522" t="str">
        <f>IF(A80=FALSE,"",IF(Cotations!EE80="monthly",UG80/12*L80,UG80/365*M80))</f>
        <v/>
      </c>
      <c r="UI80" s="489" t="str">
        <f>IF(A80=FALSE,"",IF(Cotations!EH80="","",Cotations!EH80))</f>
        <v/>
      </c>
      <c r="UJ80" s="300" t="str">
        <f t="shared" si="804"/>
        <v/>
      </c>
      <c r="UK80" s="300" t="str">
        <f t="shared" si="805"/>
        <v/>
      </c>
      <c r="UL80" s="919" t="str">
        <f t="shared" si="806"/>
        <v/>
      </c>
      <c r="UM80" s="517" t="str">
        <f>IF(A80=FALSE,"",Cotations!EI80)</f>
        <v/>
      </c>
      <c r="UN80" s="517" t="str">
        <f>IF(A80=FALSE,"",Cotations!EJ80)</f>
        <v/>
      </c>
      <c r="UO80" s="493" t="str">
        <f>IF(A80=FALSE,"",Cotations!EK80)</f>
        <v/>
      </c>
      <c r="UP80" s="517" t="str">
        <f>IF(A80=FALSE,"",IF(UM80="N/A",0,IF(INDEX(LISTES!$F$105:$F$109,MATCH(UM80,LISTES!$C$105:$C$109,0))="FIX",IF(INDEX(LISTES!$E$105:$E$109,MATCH(UM80,LISTES!$C$105:$C$109,0))=12,UN80/12*L80,UN80/365*M80),UO80*UL80)))</f>
        <v/>
      </c>
      <c r="UQ80" s="294" t="str">
        <f t="shared" si="807"/>
        <v/>
      </c>
      <c r="UR80" s="494" t="str">
        <f>IF(A80=FALSE,"",UQ80*Cotations!EL80)</f>
        <v/>
      </c>
      <c r="US80" s="494" t="str">
        <f>IF(A80=FALSE,"",UQ80*Cotations!EM80)</f>
        <v/>
      </c>
      <c r="UT80" s="338" t="str">
        <f t="shared" si="808"/>
        <v/>
      </c>
      <c r="UU80" s="919" t="str">
        <f>IF(A80=FALSE,"",((UG80*(1+TAXE)-(UG80*(1+TAXE)*UI80))+IF(UM80="N/A",0,IF(INDEX(LISTES!$F$105:$F$109,MATCH(UM80,LISTES!$C$105:$C$109,0))="FIX",UN80,UO80*UL80))))</f>
        <v/>
      </c>
      <c r="VA80" s="492" t="str">
        <f>IF(A80=FALSE,"",Cotations!D80)</f>
        <v/>
      </c>
      <c r="VB80" s="519" t="str">
        <f>IF(A80=FALSE,"",IF(LISTES!$A$17=1,Cotations!EN80,Cotations!EO80))</f>
        <v/>
      </c>
      <c r="VC80" s="291" t="str">
        <f t="shared" si="809"/>
        <v/>
      </c>
      <c r="VD80" s="291" t="str">
        <f t="shared" si="810"/>
        <v/>
      </c>
      <c r="VE80" s="291"/>
      <c r="VF80" s="463"/>
      <c r="VG80" s="463" t="str">
        <f t="shared" si="811"/>
        <v/>
      </c>
      <c r="VH80" s="522" t="str">
        <f>IF(A80=FALSE,"",IF(Cotations!$AQ$4="monthly",VG80/12*L80,VG80/365*M80))</f>
        <v/>
      </c>
      <c r="VI80" s="489" t="str">
        <f>IF(A80=FALSE,"",Cotations!$AR$4)</f>
        <v/>
      </c>
      <c r="VJ80" s="300" t="str">
        <f t="shared" si="812"/>
        <v/>
      </c>
      <c r="VK80" s="300" t="str">
        <f t="shared" si="813"/>
        <v/>
      </c>
      <c r="VL80" s="294" t="str">
        <f t="shared" si="814"/>
        <v/>
      </c>
      <c r="VM80" s="494" t="str">
        <f>IF(A80=FALSE,"",Cotations!$AS$4)</f>
        <v/>
      </c>
      <c r="VN80" s="494" t="str">
        <f>IF(A80=FALSE,"",Cotations!$AT$4)</f>
        <v/>
      </c>
      <c r="VO80" s="489" t="str">
        <f>IF(A80=FALSE,"",Cotations!$AU$4)</f>
        <v/>
      </c>
      <c r="VP80" s="494" t="str">
        <f>IF(A80=FALSE,"",IF(VM80="N/A",0,IF(INDEX(LISTES!$F$105:$F$109,MATCH(VM80,LISTES!$C$105:$C$109,0))="FIX",IF(INDEX(LISTES!$E$105:$E$109,MATCH(VM80,LISTES!$C$105:$C$109,0))=12,VN80/12*L80,VN80/365*M80),VO80*VL80)))</f>
        <v/>
      </c>
      <c r="VQ80" s="294" t="str">
        <f t="shared" si="815"/>
        <v/>
      </c>
      <c r="VR80" s="494" t="str">
        <f>IF(A80=FALSE,"",VQ80*Cotations!$AV$4)</f>
        <v/>
      </c>
      <c r="VS80" s="494" t="str">
        <f>IF(A80=FALSE,"",VQ80*Cotations!$AW$4)</f>
        <v/>
      </c>
      <c r="VT80" s="465" t="str">
        <f t="shared" si="816"/>
        <v/>
      </c>
      <c r="VU80" s="919" t="str">
        <f>IF(A80=FALSE,"",((VG80*TAXE)-(VG80*TAXE*VI80))+IF(VM80="N/A",0,IF(INDEX(LISTES!$F$105:$F$109,MATCH(VM80,LISTES!$C$105:$C$109,0))="FIX",VN80,VO80*VL80)))</f>
        <v/>
      </c>
      <c r="WA80" s="492" t="str">
        <f>IF(A80=FALSE,"",Cotations!D80)</f>
        <v/>
      </c>
      <c r="WB80" s="519" t="str">
        <f>IF(A80=FALSE,"",IF(LISTES!$A$17=1,Cotations!EW80,Cotations!EX80))</f>
        <v/>
      </c>
      <c r="WC80" s="291" t="str">
        <f t="shared" si="817"/>
        <v/>
      </c>
      <c r="WD80" s="291" t="str">
        <f t="shared" si="818"/>
        <v/>
      </c>
      <c r="WE80" s="291"/>
      <c r="WF80" s="463"/>
      <c r="WG80" s="463" t="str">
        <f t="shared" si="819"/>
        <v/>
      </c>
      <c r="WH80" s="522" t="str">
        <f>IF(A80=FALSE,"",IF(Cotations!$AQ$4="monthly",WG80/12*L80,WG80/365*M80))</f>
        <v/>
      </c>
      <c r="WI80" s="489" t="str">
        <f>IF(A80=FALSE,"",Cotations!$AR$4)</f>
        <v/>
      </c>
      <c r="WJ80" s="300" t="str">
        <f t="shared" si="820"/>
        <v/>
      </c>
      <c r="WK80" s="300" t="str">
        <f t="shared" si="821"/>
        <v/>
      </c>
      <c r="WL80" s="294" t="str">
        <f t="shared" si="822"/>
        <v/>
      </c>
      <c r="WM80" s="494" t="str">
        <f>IF(A80=FALSE,"",Cotations!$AS$4)</f>
        <v/>
      </c>
      <c r="WN80" s="494" t="str">
        <f>IF(A80=FALSE,"",Cotations!$AT$4)</f>
        <v/>
      </c>
      <c r="WO80" s="489" t="str">
        <f>IF(A80=FALSE,"",Cotations!$AU$4)</f>
        <v/>
      </c>
      <c r="WP80" s="494" t="str">
        <f>IF(A80=FALSE,"",IF(WM80="N/A",0,IF(INDEX(LISTES!$F$105:$F$109,MATCH(WM80,LISTES!$C$105:$C$109,0))="FIX",IF(INDEX(LISTES!$E$105:$E$109,MATCH(WM80,LISTES!$C$105:$C$109,0))=12,WN80/12*L80,WN80/365*M80),WO80*WL80)))</f>
        <v/>
      </c>
      <c r="WQ80" s="294" t="str">
        <f t="shared" si="823"/>
        <v/>
      </c>
      <c r="WR80" s="494" t="str">
        <f>IF(A80=FALSE,"",WQ80*Cotations!$AV$4)</f>
        <v/>
      </c>
      <c r="WS80" s="494" t="str">
        <f>IF(A80=FALSE,"",WQ80*Cotations!$AW$4)</f>
        <v/>
      </c>
      <c r="WT80" s="465" t="str">
        <f t="shared" si="824"/>
        <v/>
      </c>
      <c r="WU80" s="919" t="str">
        <f>IF(A80=FALSE,"",((WG80*TAXE)-(WG80*TAXE*WI80))+IF(WM80="N/A",0,IF(INDEX(LISTES!$F$105:$F$109,MATCH(WM80,LISTES!$C$105:$C$109,0))="FIX",WN80,WO80*WL80)))</f>
        <v/>
      </c>
    </row>
    <row r="81" spans="1:619">
      <c r="A81" s="942" t="b">
        <f t="shared" si="629"/>
        <v>0</v>
      </c>
      <c r="B81" s="942" t="b">
        <f>IF(NAMES!$B$9=TRUE,TRUE,FALSE)</f>
        <v>1</v>
      </c>
      <c r="C81" s="942" t="b">
        <f t="shared" si="825"/>
        <v>0</v>
      </c>
      <c r="D81" s="942" t="b">
        <f t="shared" si="826"/>
        <v>0</v>
      </c>
      <c r="E81" s="274" t="b">
        <f>IF(Cotations!C81="","",Cotations!C81)</f>
        <v>0</v>
      </c>
      <c r="F81" s="274" t="str">
        <f>IF(Cotations!D81="","",Cotations!D81)</f>
        <v>PROP</v>
      </c>
      <c r="G81" s="274" t="str">
        <f>IF(Cotations!E81="","",Cotations!E81)</f>
        <v>2016-2017!</v>
      </c>
      <c r="H81" s="274" t="str">
        <f>IF(Cotations!F81="","",Cotations!F81)</f>
        <v>SINGLE</v>
      </c>
      <c r="I81" s="274" t="str">
        <f>IF(Cotations!G81="","",Cotations!G81)</f>
        <v/>
      </c>
      <c r="J81" s="274" t="str">
        <f>IF(Cotations!H81="","",Cotations!H81)</f>
        <v/>
      </c>
      <c r="K81" s="274" t="str">
        <f>IF(Cotations!I81="","",Cotations!I81)</f>
        <v/>
      </c>
      <c r="L81" s="274" t="str">
        <f>IF(A81=FALSE,"",IF(Cotations!N81="","",Cotations!N81))</f>
        <v/>
      </c>
      <c r="M81" s="274" t="str">
        <f>IF(Cotations!P81="","",Cotations!P81)</f>
        <v/>
      </c>
      <c r="N81" s="724" t="str">
        <f>IF(NAMES!$B$10=TRUE,Cotations!J81,Cotations!L81)</f>
        <v/>
      </c>
      <c r="O81" s="724" t="str">
        <f>IF(NAMES!$B$10=TRUE,Cotations!K81,Cotations!M81)</f>
        <v/>
      </c>
      <c r="P81" s="943" t="str">
        <f t="shared" si="827"/>
        <v/>
      </c>
      <c r="Q81" s="724" t="str">
        <f>IF(A81=FALSE,"",IF(Crewlist!Y81="","",Crewlist!Y81))</f>
        <v/>
      </c>
      <c r="R81" s="78" t="str">
        <f>IF(Cotations!U81="","",Cotations!U81)</f>
        <v/>
      </c>
      <c r="S81" s="943" t="str">
        <f t="shared" si="828"/>
        <v/>
      </c>
      <c r="T81" s="919" t="str">
        <f>IF(A81=FALSE,"",VLOOKUP($U$15:$U$120,Currency!$A$2:$D$10,4,0)*Crewlist!N81)</f>
        <v/>
      </c>
      <c r="U81" s="1355" t="str">
        <f>IF(A81=FALSE,"",IF(IT81=0,Crewlist!M81&amp;"/"&amp;EX81,Crewlist!M81&amp;"/"&amp;IT81))</f>
        <v/>
      </c>
      <c r="V81" s="919" t="str">
        <f>IF(A81=FALSE,"",VLOOKUP($U$15:$U$120,Currency!$A$2:$D$10,4,0)*Detail!Q81)</f>
        <v/>
      </c>
      <c r="W81" s="1355" t="str">
        <f>IF(A81=FALSE,"",IF(IT81=0,Detail!R81&amp;"/"&amp;EX81,Detail!R81&amp;"/"&amp;IT81))</f>
        <v/>
      </c>
      <c r="X81" s="919" t="str">
        <f>IF(A81=FALSE,"",IF(LISTES!$C$17="Crewlist",Calcul!T81,Calcul!V81))</f>
        <v/>
      </c>
      <c r="Y81" s="758" t="str">
        <f t="shared" si="829"/>
        <v/>
      </c>
      <c r="Z81" s="758" t="str">
        <f>IF(A81=FALSE,"",IF(X81=0,0,IF((Cotations!BC81*12*X81)&lt;50000,50000,(12*X81))))</f>
        <v/>
      </c>
      <c r="AA81" s="758" t="str">
        <f t="shared" si="830"/>
        <v/>
      </c>
      <c r="AB81" s="758" t="str">
        <f>IF(A81=FALSE,"",IF(Crewlist!O81=0,"",Crewlist!O81))</f>
        <v/>
      </c>
      <c r="AC81" s="758" t="str">
        <f>IF(I81="","",VLOOKUP($AB$15:$AB$120,Currency!$A$15:$B$34,2,0))</f>
        <v/>
      </c>
      <c r="AD81" s="758" t="str">
        <f t="shared" si="831"/>
        <v/>
      </c>
      <c r="AE81" s="758" t="str">
        <f t="shared" si="832"/>
        <v/>
      </c>
      <c r="AF81" s="758" t="str">
        <f t="shared" si="833"/>
        <v/>
      </c>
      <c r="AG81" s="758" t="str">
        <f t="shared" si="834"/>
        <v/>
      </c>
      <c r="AH81" s="1355" t="str">
        <f t="shared" si="630"/>
        <v/>
      </c>
      <c r="AI81" s="919" t="str">
        <f t="shared" si="835"/>
        <v/>
      </c>
      <c r="AJ81" s="1382" t="str">
        <f t="shared" si="836"/>
        <v/>
      </c>
      <c r="AK81" s="1382" t="str">
        <f t="shared" si="837"/>
        <v/>
      </c>
      <c r="AL81" s="238" t="str">
        <f t="shared" si="631"/>
        <v/>
      </c>
      <c r="AM81" s="238" t="str">
        <f t="shared" si="632"/>
        <v/>
      </c>
      <c r="AN81" s="1374" t="str">
        <f t="shared" si="633"/>
        <v/>
      </c>
      <c r="AO81" s="238" t="str">
        <f t="shared" si="634"/>
        <v/>
      </c>
      <c r="AP81" s="342" t="str">
        <f>IF(A81=FALSE,"",INDEX(Rates!$Z$5:$Z$367,MATCH(EB81,colchoice,0)))</f>
        <v/>
      </c>
      <c r="AQ81" s="238" t="str">
        <f t="shared" si="635"/>
        <v/>
      </c>
      <c r="AR81" s="238" t="str">
        <f t="shared" si="636"/>
        <v/>
      </c>
      <c r="AS81" s="238" t="str">
        <f t="shared" si="637"/>
        <v/>
      </c>
      <c r="AT81" s="238" t="str">
        <f t="shared" si="638"/>
        <v/>
      </c>
      <c r="AU81" s="238" t="str">
        <f t="shared" si="639"/>
        <v/>
      </c>
      <c r="AV81" s="238" t="str">
        <f t="shared" si="838"/>
        <v/>
      </c>
      <c r="AW81" s="238" t="str">
        <f t="shared" si="640"/>
        <v/>
      </c>
      <c r="AX81" s="238" t="str">
        <f t="shared" si="641"/>
        <v/>
      </c>
      <c r="AY81" s="238" t="str">
        <f t="shared" si="642"/>
        <v/>
      </c>
      <c r="AZ81" s="238" t="str">
        <f t="shared" si="643"/>
        <v/>
      </c>
      <c r="BA81" s="238" t="str">
        <f t="shared" si="644"/>
        <v/>
      </c>
      <c r="BB81" s="552" t="str">
        <f t="shared" si="645"/>
        <v/>
      </c>
      <c r="BC81" s="347" t="str">
        <f t="shared" si="646"/>
        <v/>
      </c>
      <c r="BD81" s="239" t="str">
        <f t="shared" si="839"/>
        <v/>
      </c>
      <c r="BE81" s="239" t="str">
        <f>IF(A81=FALSE,"",IF(ALLTHESAME=TRUE,IF(DF81&lt;&gt;$BC$7,0,INDEX(DD81:DZ81,1,MATCH(Structure!$D$12,$DD$14:$DZ$14,0))),IF(EC81&lt;&gt;$BC$7,0,INDEX(EA81:EZ81,1,MATCH(Structure!$D$12,$EA$14:$EZ$14,0)))))</f>
        <v/>
      </c>
      <c r="BF81" s="239" t="str">
        <f>IF(A81=FALSE,"",IF(ALLTHESAME=TRUE,IF(FC81&lt;&gt;$BC$7,0,INDEX(FA81:FZ81,1,MATCH(Structure!$D$12,$FA$14:$FZ$14,0))),IF(GC81&lt;&gt;$BC$7,0,INDEX(GA81:GZ81,1,MATCH(Structure!$D$12,$GA$14:$GZ$14,0)))))</f>
        <v/>
      </c>
      <c r="BG81" s="239" t="str">
        <f>IF(A81=FALSE,"",IF(ALLTHESAME=TRUE,IF(VC81&lt;&gt;$BC$7,0,INDEX(VA81:VZ81,1,MATCH(Structure!$D$12,$VA$14:$VZ$14,0))),IF(VC81&lt;&gt;$BC$7,0,INDEX(VA81:VZ81,1,MATCH(Structure!$D$12,$VA$14:$VZ$14,0)))))</f>
        <v/>
      </c>
      <c r="BH81" s="239" t="str">
        <f>IF(A81=FALSE,"",IF(ALLTHESAME=TRUE,IF(WC81&lt;&gt;$BC$7,0,INDEX(WA81:WY81,1,MATCH(Structure!$D$12,$WA$14:$WZ$14,0))),IF(WC81&lt;&gt;$BC$7,0,INDEX(WA81:WZ81,1,MATCH(Structure!$D$12,$WA$14:$WZ$14,0)))))</f>
        <v/>
      </c>
      <c r="BI81" s="763" t="str">
        <f>IF(A81=FALSE,"",IF(ALLTHESAME=TRUE,IF(HC81&lt;&gt;$BC$7,0,INDEX(HA81:HZ81,1,MATCH(Structure!$D$12,$HA$14:$HZ$14,0)))+TK81,IF(IC81&lt;&gt;$BC$7,0,INDEX(IA81:IZ81,1,MATCH(Structure!$D$12,$IA$14:$IZ$14,0)))+TK81))</f>
        <v/>
      </c>
      <c r="BJ81" s="239" t="str">
        <f>IF(A81=FALSE,"",IF(ALLTHESAME=TRUE,IF(JC81&lt;&gt;$BC$7,0,INDEX(JA81:JZ81,1,MATCH(Structure!$D$12,$JA$14:$JZ$14,0))),IF(KC81&lt;&gt;$BC$7,0,INDEX(KA81:KZ81,1,MATCH(Structure!$D$12,$KA$14:$KZ$14,0)))))</f>
        <v/>
      </c>
      <c r="BK81" s="763" t="str">
        <f>IF(A81=FALSE,"",IF(ALLTHESAME=TRUE,IF(LC81&lt;&gt;$BC$7,0,INDEX(LA81:LZ81,1,MATCH(Structure!$D$12,$LA$14:$LZ$14,0)))+UK81,IF(MC81&lt;&gt;$BC$7,0,INDEX(MA81:MZ81,1,MATCH(Structure!$D$12,$MA$14:$MZ$14,0)))+UK81))</f>
        <v/>
      </c>
      <c r="BL81" s="239" t="str">
        <f>IF(A81=FALSE,"",IF(ALLTHESAME=TRUE,IF(NC81&lt;&gt;$BC$7,0,INDEX(NA81:NZ81,1,MATCH(Structure!$D$12,$NA$14:$NZ$14,0))),IF(OC81&lt;&gt;$BC$7,0,INDEX(OA81:OZ81,1,MATCH(Structure!$D$12,$OA$14:$OZ$14,0)))))</f>
        <v/>
      </c>
      <c r="BM81" s="239" t="str">
        <f>IF(A81=FALSE,"",IF(ALLTHESAME=TRUE,IF(PC81&lt;&gt;$BC$7,0,INDEX(PA81:PZ81,1,MATCH(Structure!$D$12,$PA$14:$PZ$14,0))),IF(QC81&lt;&gt;$BC$7,0,INDEX(QA81:QZ81,1,MATCH(Structure!$D$12,$QA$14:$QZ$14,0)))))</f>
        <v/>
      </c>
      <c r="BN81" s="341" t="str">
        <f>IF(A81=FALSE,"",IF(ALLTHESAME=TRUE,IF(RC81&lt;&gt;$BC$7,0,INDEX(RA81:RZ81,1,MATCH(Structure!$D$12,$RA$14:$RZ$14,0))),IF(SC81&lt;&gt;$BC$7,0,INDEX(SA81:TA81,1,MATCH(Structure!$D$12,$SA$14:$TA$14,0)))))</f>
        <v/>
      </c>
      <c r="BO81" s="507" t="str">
        <f t="shared" si="647"/>
        <v/>
      </c>
      <c r="BP81" s="239" t="str">
        <f t="shared" si="648"/>
        <v/>
      </c>
      <c r="BQ81" s="239" t="str">
        <f>IF(A81=FALSE,"",IF(ALLTHESAME=TRUE,IF(DF81&lt;&gt;$BO$7,0,INDEX(DD81:DZ81,1,MATCH(Structure!$D$12,$DD$14:$DZ$14,0))),IF(EC81&lt;&gt;$BO$7,0,INDEX(EA81:EZ81,1,MATCH(Structure!$D$12,$EA$14:$EZ$14,0)))))</f>
        <v/>
      </c>
      <c r="BR81" s="239" t="str">
        <f>IF(A81=FALSE,"",IF(ALLTHESAME=TRUE,IF(FC81&lt;&gt;$BO$7,0,INDEX(FA81:FZ81,1,MATCH(Structure!$D$12,$FA$14:$FZ$14,0))),IF(GC81&lt;&gt;$BO$7,0,INDEX(GA81:GZ81,1,MATCH(Structure!$D$12,$GA$14:$GZ$14,0)))))</f>
        <v/>
      </c>
      <c r="BS81" s="239" t="str">
        <f>IF(A81=FALSE,"",IF(ALLTHESAME=TRUE,IF(HC81&lt;&gt;$BO$7,0,INDEX(HA81:HZ81,1,MATCH(Structure!$D$12,$HA$14:$HZ$14,0))),IF(IC81&lt;&gt;$BO$7,0,INDEX(IA81:IZ81,1,MATCH(Structure!$D$12,$IA$14:$IZ$14,0)))))</f>
        <v/>
      </c>
      <c r="BT81" s="239" t="str">
        <f>IF(A81=FALSE,"",IF(ALLTHESAME=TRUE,IF(JC81&lt;&gt;$BO$7,0,INDEX(JA81:JZ81,1,MATCH(Structure!$D$12,$JA$14:$JZ$14,0))),IF(KC81&lt;&gt;$BO$7,0,INDEX(KA81:KZ81,1,MATCH(Structure!$D$12,$KA$14:$KZ$14,0)))))</f>
        <v/>
      </c>
      <c r="BU81" s="239" t="str">
        <f>IF(A81=FALSE,"",IF(ALLTHESAME=TRUE,IF(LC81&lt;&gt;$BO$7,0,INDEX(LA81:LZ81,1,MATCH(Structure!$D$12,$LA$14:$LZ$14,0))),IF(MC81&lt;&gt;$BO$7,0,INDEX(MA81:MZ81,1,MATCH(Structure!$D$12,$MA$14:$MZ$14,0)))))</f>
        <v/>
      </c>
      <c r="BV81" s="239" t="str">
        <f>IF(A81=FALSE,"",IF(ALLTHESAME=TRUE,IF(NC81&lt;&gt;$BO$7,0,INDEX(NA81:NZ81,1,MATCH(Structure!$D$12,$NA$14:$NZ$14,0))),IF(OC81&lt;&gt;$BO$7,0,INDEX(OA81:OZ81,1,MATCH(Structure!$D$12,$OA$14:$OZ$14,0)))))</f>
        <v/>
      </c>
      <c r="BW81" s="239" t="str">
        <f>IF(A81=FALSE,"",IF(ALLTHESAME=TRUE,IF(PC81&lt;&gt;$BO$7,0,INDEX(PA81:PZ81,1,MATCH(Structure!$D$12,$PA$14:$PZ$14,0))),IF(QC81&lt;&gt;$BO$7,0,INDEX(QA81:QZ81,1,MATCH(Structure!$D$12,$QA$14:$QZ$14,0)))))</f>
        <v/>
      </c>
      <c r="BX81" s="341" t="str">
        <f>IF(A81=FALSE,"",IF(ALLTHESAME=TRUE,IF(RC81&lt;&gt;$BO$7,0,INDEX(RA81:RZ81,1,MATCH(Structure!$D$12,$RA$14:$RZ$14,0))),IF(SC81&lt;&gt;$BO$7,0,INDEX(SA81:TA81,1,MATCH(Structure!$D$12,$SA$14:$TA$14,0)))))</f>
        <v/>
      </c>
      <c r="BY81" s="347" t="str">
        <f t="shared" si="649"/>
        <v/>
      </c>
      <c r="BZ81" s="507" t="str">
        <f t="shared" si="650"/>
        <v/>
      </c>
      <c r="CA81" s="239" t="str">
        <f t="shared" si="651"/>
        <v/>
      </c>
      <c r="CB81" s="239" t="str">
        <f>IF(A81=FALSE,"",IF(ALLTHESAME=TRUE,INDEX(DD81:DZ81,MATCH(DF81,DF81:DF186,0),MATCH(Structure!$D$17,$DD$14:$DZ$14,0)),INDEX(EA81:EZ81,MATCH(EC81,EC81:EC186,0),MATCH(Structure!$D$17,$EA$14:$EZ$14,0))))</f>
        <v/>
      </c>
      <c r="CC81" s="239" t="str">
        <f>IF(A81=FALSE,"",IF(ALLTHESAME=TRUE,INDEX(FA81:FZ81,MATCH(FC81,FC81:FC186,0),MATCH(Structure!$D$17,$FA$14:$FZ$14,0)),INDEX(GA81:GZ81,MATCH(GC81,GC81:GC186,0),MATCH(Structure!$D$17,$GA$14:$GZ$14,0))))</f>
        <v/>
      </c>
      <c r="CD81" s="239" t="str">
        <f>IF(A81=FALSE,"",IF(ALLTHESAME=TRUE,INDEX(HA81:HZ81,MATCH(HC81,HC81:HC186,0),MATCH(Structure!$D$17,$HA$14:$HZ$14,0)),INDEX(IA81:IZ81,MATCH(IC81,IC81:IC186,0),MATCH(Structure!$D$17,$IA$14:$IZ$14,0))))</f>
        <v/>
      </c>
      <c r="CE81" s="239" t="str">
        <f>IF(A81=FALSE,"",IF(ALLTHESAME=TRUE,INDEX(JA81:JZ81,MATCH(JC81,JC81:JC186,0),MATCH(Structure!$D$17,$JA$14:$JZ$14,0)),INDEX(KA81:KZ81,MATCH(KC81,KC81:KC186,0),MATCH(Structure!$D$17,$KA$14:$KZ$14,0))))</f>
        <v/>
      </c>
      <c r="CF81" s="239" t="str">
        <f>IF(A81=FALSE,"",IF(ALLTHESAME=TRUE,INDEX(LA81:LZ81,MATCH(LC81,LC81:LC186,0),MATCH(Structure!$D$17,$LA$14:$LZ$14,0)),INDEX(MA81:MZ81,MATCH(MC81,MC81:MC186,0),MATCH(Structure!$D$17,$MA$14:$MZ$14,0))))</f>
        <v/>
      </c>
      <c r="CG81" s="239" t="str">
        <f>IF(A81=FALSE,"",IF(ALLTHESAME=TRUE,INDEX(NA81:NZ81,MATCH(NC81,NC81:NC186,0),MATCH(Structure!$D$17,$NA$14:$NZ$14,0)),INDEX(OA81:OZ81,MATCH(OC81,OC81:OC186,0),MATCH(Structure!$D$17,$OA$14:$OZ$14,0))))</f>
        <v/>
      </c>
      <c r="CH81" s="239" t="str">
        <f>IF(A81=FALSE,"",IF(ALLTHESAME=TRUE,INDEX(PA81:PZ81,MATCH(PC81,PC81:PC186,0),MATCH(Structure!$D$17,$PA$14:$PZ$14,0)),INDEX(QA81:QZ81,MATCH(QC81,QC81:QC186,0),MATCH(Structure!$D$17,$QA$14:$QZ$14,0))))</f>
        <v/>
      </c>
      <c r="CI81" s="341" t="str">
        <f>IF(A81=FALSE,"",IF(ALLTHESAME=TRUE,INDEX(RA81:RZ81,MATCH(RC81,RC81:RC186,0),MATCH(Structure!$D$17,$RA$14:$RZ$14,0)),INDEX(SA81:TC81,MATCH(SC81,SC81:SC186,0),MATCH(Structure!$D$17,$SA$14:$TC$14,0))))</f>
        <v/>
      </c>
      <c r="CJ81" s="347"/>
      <c r="CK81" s="239" t="str">
        <f t="shared" si="652"/>
        <v/>
      </c>
      <c r="CL81" s="239" t="str">
        <f>IF(A81=FALSE,"",IF(ALLTHESAME=TRUE,INDEX(DD81:DZ81,MATCH(DF81,DF81:DF186,0),MATCH(Structure!$D$22,$DD$14:$DZ$14,0)),INDEX(EA81:EZ81,MATCH(EC81,EC81:EC186,0),MATCH(Structure!$D$22,$EA$14:$EZ$14,0))))</f>
        <v/>
      </c>
      <c r="CM81" s="239" t="str">
        <f>IF(A81=FALSE,"",IF(ALLTHESAME=TRUE,INDEX(FA81:FZ81,MATCH(FC81,FC81:FC186,0),MATCH(Structure!$D$22,$FA$14:$FZ$14,0)),INDEX(GA81:GZ81,MATCH(GC81,GC81:GC186,0),MATCH(Structure!$D$22,$GA$14:$GZ$14,0))))</f>
        <v/>
      </c>
      <c r="CN81" s="239" t="str">
        <f>IF(A81=FALSE,"",IF(ALLTHESAME=TRUE,INDEX(HA81:HZ81,MATCH(HC81,HC81:HC186,0),MATCH(Structure!$D$22,$HA$14:$HZ$14,0)),INDEX(IA81:IZ81,MATCH(IC81,IC81:IC186,0),MATCH(Structure!$D$22,$IA$14:$IZ$14,0))))</f>
        <v/>
      </c>
      <c r="CO81" s="239" t="str">
        <f>IF(A81=FALSE,"",IF(ALLTHESAME=TRUE,INDEX(JA81:JZ81,MATCH(JC81,JC81:JC186,0),MATCH(Structure!$D$22,$JA$14:$JZ$14,0)),INDEX(KA81:KZ81,MATCH(KC81,KC81:KC186,0),MATCH(Structure!$D$22,$KA$14:$KZ$14,0))))</f>
        <v/>
      </c>
      <c r="CP81" s="239" t="str">
        <f>IF(A81=FALSE,"",IF(ALLTHESAME=TRUE,INDEX(LA81:LZ81,MATCH(LC81,LC81:LC186,0),MATCH(Structure!$D$22,$LA$14:$LZ$14,0)),INDEX(MA81:MZ81,MATCH(MC81,MC81:MC186,0),MATCH(Structure!$D$22,$MA$14:$MZ$14,0))))</f>
        <v/>
      </c>
      <c r="CQ81" s="239" t="str">
        <f>IF(A81=FALSE,"",IF(ALLTHESAME=TRUE,INDEX(NA81:NZ81,MATCH(NC81,NC81:NC186,0),MATCH(Structure!$D$22,$NA$14:$NZ$14,0)),INDEX(OA81:OZ81,MATCH(OC81,OC81:OC186,0),MATCH(Structure!$D$22,$OA$14:$OZ$14,0))))</f>
        <v/>
      </c>
      <c r="CR81" s="239" t="str">
        <f>IF(A81=FALSE,"",IF(ALLTHESAME=TRUE,INDEX(PA81:PZ81,MATCH(PC81,PC81:PC186,0),MATCH(Structure!$D$22,$PA$14:$PZ$14,0)),INDEX(QA81:QZ81,MATCH(QC81,QC81:QC186,0),MATCH(Structure!$D$22,$QA$14:$QZ$14,0))))</f>
        <v/>
      </c>
      <c r="CS81" s="341" t="str">
        <f>IF(A81=FALSE,"",IF(ALLTHESAME=TRUE,INDEX(RA81:RZ81,MATCH(RC81,RC81:RC186,0),MATCH(Structure!$D$22,$RA$14:$RZ$14,0)),INDEX(SA81:TC81,MATCH(SC81,SC81:SC186,0),MATCH(Structure!$D$22,$SA$14:$TC$14,0))))</f>
        <v/>
      </c>
      <c r="CT81" s="347"/>
      <c r="CU81" s="239" t="str">
        <f t="shared" si="653"/>
        <v/>
      </c>
      <c r="CV81" s="239" t="str">
        <f>IF(A81=FALSE,"",IF(ALLTHESAME=TRUE,INDEX(DD81:DZ81,MATCH(DF81,DF81:DF186,0),MATCH(Structure!$D$8,$DD$14:$DZ$14,0)),INDEX(EA81:EZ81,MATCH(EC81,EC81:EC186,0),MATCH(Structure!$D$8,$EA$14:$EZ$14,0))))</f>
        <v/>
      </c>
      <c r="CW81" s="239" t="str">
        <f>IF(A81=FALSE,"",IF(ALLTHESAME=TRUE,INDEX(FA81:FZ81,MATCH(FC81,FC81:FC186,0),MATCH(Structure!$D$8,$FA$14:$FZ$14,0)),INDEX(GA81:GZ81,MATCH(GC81,GC81:GC186,0),MATCH(Structure!$D$8,$GA$14:$GZ$14,0))))</f>
        <v/>
      </c>
      <c r="CX81" s="239" t="str">
        <f>IF(A81=FALSE,"",IF(ALLTHESAME=TRUE,INDEX(HA81:HZ81,MATCH(HC81,HC81:HC186,0),MATCH(Structure!$D$8,$HA$14:$HZ$14,0)),INDEX(IA81:IZ81,MATCH(IC81,IC81:IC186,0),MATCH(Structure!$D$8,$IA$14:$IZ$14,0))))</f>
        <v/>
      </c>
      <c r="CY81" s="239" t="str">
        <f>IF(A81=FALSE,"",IF(ALLTHESAME=TRUE,INDEX(JA81:JZ81,MATCH(JC81,JC81:JC186,0),MATCH(Structure!$D$8,$JA$14:$JZ$14,0)),INDEX(KA81:KZ81,MATCH(KC81,KC81:KC186,0),MATCH(Structure!$D$8,$KA$14:$KZ$14,0))))</f>
        <v/>
      </c>
      <c r="CZ81" s="239" t="str">
        <f>IF(A81=FALSE,"",IF(ALLTHESAME=TRUE,INDEX(LA81:LZ81,MATCH(LC81,LC81:LC186,0),MATCH(Structure!$D$8,$LA$14:$LZ$14,0)),INDEX(MA81:MZ81,MATCH(MC81,MC81:MC186,0),MATCH(Structure!$D$8,$MA$14:$MZ$14,0))))</f>
        <v/>
      </c>
      <c r="DA81" s="239" t="str">
        <f>IF(A81=FALSE,"",IF(ALLTHESAME=TRUE,INDEX(NA81:NZ81,MATCH(NC81,NC81:NC186,0),MATCH(Structure!$D$8,$NA$14:$NZ$14,0)),INDEX(OA81:OZ81,MATCH(OC81,OC81:OC186,0),MATCH(Structure!$D$8,$OA$14:$OZ$14,0))))</f>
        <v/>
      </c>
      <c r="DB81" s="239" t="str">
        <f>IF(A81=FALSE,"",IF(ALLTHESAME=TRUE,INDEX(PA81:PZ81,MATCH(PC81,PC81:PC186,0),MATCH(Structure!$D$8,$PA$14:$PZ$14,0)),INDEX(QA81:QZ81,MATCH(QC81,QC81:QC186,0),MATCH(Structure!$D$8,$QA$14:$QZ$14,0))))</f>
        <v/>
      </c>
      <c r="DC81" s="341" t="str">
        <f>IF(A81=FALSE,"",IF(ALLTHESAME=TRUE,INDEX(RA81:RZ81,MATCH(RC81,RC81:RC186,0),MATCH(Structure!$D$8,$RA$14:$RZ$14,0)),INDEX(SA81:TC81,MATCH(SC81,SC81:SC186,0),MATCH(Structure!$D$8,$SA$14:$TC$14,0))))</f>
        <v/>
      </c>
      <c r="DD81" s="492" t="str">
        <f>IF(A81=FALSE,"",Cotations!D81)</f>
        <v/>
      </c>
      <c r="DE81" s="492" t="str">
        <f>IF(A81=FALSE,"",IF(LISTES!$A$17=1,Cotations!AF81,Cotations!$AG$4))</f>
        <v/>
      </c>
      <c r="DF81" s="291" t="str">
        <f t="shared" si="654"/>
        <v/>
      </c>
      <c r="DG81" s="291" t="str">
        <f t="shared" si="655"/>
        <v/>
      </c>
      <c r="DH81" s="291"/>
      <c r="DI81" s="463"/>
      <c r="DJ81" s="463" t="str">
        <f t="shared" si="656"/>
        <v/>
      </c>
      <c r="DK81" s="522" t="str">
        <f>IF(A81=FALSE,"",IF(Cotations!$AH$4="monthly",DJ81/12*L81,DJ81/365*M81))</f>
        <v/>
      </c>
      <c r="DL81" s="489" t="str">
        <f>IF(A81=FALSE,"",Cotations!$AI$4)</f>
        <v/>
      </c>
      <c r="DM81" s="300" t="str">
        <f t="shared" si="657"/>
        <v/>
      </c>
      <c r="DN81" s="300" t="str">
        <f t="shared" si="658"/>
        <v/>
      </c>
      <c r="DO81" s="294" t="str">
        <f t="shared" si="659"/>
        <v/>
      </c>
      <c r="DP81" s="494" t="str">
        <f>IF(A81=FALSE,"",Cotations!$AJ$4)</f>
        <v/>
      </c>
      <c r="DQ81" s="494" t="str">
        <f>IF(A81=FALSE,"",Cotations!$AK$4)</f>
        <v/>
      </c>
      <c r="DR81" s="489" t="str">
        <f>IF(A81=FALSE,"",Cotations!$AL$4)</f>
        <v/>
      </c>
      <c r="DS81" s="494" t="str">
        <f>IF(A81=FALSE,"",IF(DP81="N/A",0,IF(INDEX(LISTES!$F$105:$F$109,MATCH(DP81,LISTES!$C$105:$C$109,0))="FIX",IF(INDEX(LISTES!$E$105:$E$109,MATCH(DP81,LISTES!$C$105:$C$109,0))=12,DQ81/12*L81,DQ81/365*M81),DR81*DO81)))</f>
        <v/>
      </c>
      <c r="DT81" s="294" t="str">
        <f t="shared" si="660"/>
        <v/>
      </c>
      <c r="DU81" s="294" t="str">
        <f>IF(A81=FALSE,"",DT81*Cotations!$AM$4)</f>
        <v/>
      </c>
      <c r="DV81" s="294" t="str">
        <f>IF(A81=FALSE,"",DT81*Cotations!$AN$4)</f>
        <v/>
      </c>
      <c r="DW81" s="465" t="str">
        <f t="shared" si="661"/>
        <v/>
      </c>
      <c r="DX81" s="919" t="str">
        <f>IF(A81=FALSE,"",((DJ81*TAXE)-(DJ81*TAXE*DL81))+IF(DP81="N/A",0,IF(INDEX(LISTES!$F$105:$F$109,MATCH(DP81,LISTES!$C$105:$C$109,0))="FIX",DQ81,DR81*DO81)))</f>
        <v/>
      </c>
      <c r="DY81" s="466"/>
      <c r="DZ81" s="466"/>
      <c r="EA81" s="492" t="str">
        <f>IF(A81=FALSE,"",Cotations!D81)</f>
        <v/>
      </c>
      <c r="EB81" s="494" t="str">
        <f>IF(A81=FALSE,"",IF(LISTES!$A$17=1,Cotations!AF81,Cotations!AG81))</f>
        <v/>
      </c>
      <c r="EC81" s="284" t="str">
        <f t="shared" si="662"/>
        <v/>
      </c>
      <c r="ED81" s="284" t="str">
        <f t="shared" si="663"/>
        <v/>
      </c>
      <c r="EE81" s="284"/>
      <c r="EF81" s="284"/>
      <c r="EG81" s="284" t="str">
        <f t="shared" si="664"/>
        <v/>
      </c>
      <c r="EH81" s="1365" t="str">
        <f t="shared" si="665"/>
        <v/>
      </c>
      <c r="EI81" s="1365" t="str">
        <f t="shared" si="666"/>
        <v/>
      </c>
      <c r="EJ81" s="515" t="str">
        <f>IF(A81=FALSE,"",IF(Cotations!AH81="monthly",EG81/12*L81,EG81/365*M81))</f>
        <v/>
      </c>
      <c r="EK81" s="1364" t="str">
        <f>IF(A81=FALSE,"",IF(Cotations!AH81="monthly",EI81/12*L81,EI81/365*M81))</f>
        <v/>
      </c>
      <c r="EL81" s="493" t="str">
        <f>IF(A81=FALSE,"",IF(Cotations!AI81="","",Cotations!AI81))</f>
        <v/>
      </c>
      <c r="EM81" s="284" t="str">
        <f t="shared" si="667"/>
        <v/>
      </c>
      <c r="EN81" s="284" t="str">
        <f t="shared" si="668"/>
        <v/>
      </c>
      <c r="EO81" s="1365" t="str">
        <f t="shared" si="840"/>
        <v/>
      </c>
      <c r="EP81" s="284" t="str">
        <f t="shared" si="669"/>
        <v/>
      </c>
      <c r="EQ81" s="515" t="str">
        <f>IF(A81=FALSE,"",Cotations!AJ81)</f>
        <v/>
      </c>
      <c r="ER81" s="515" t="str">
        <f>IF(A81=FALSE,"",IF(Cotations!AK81="","",Cotations!AK81))</f>
        <v/>
      </c>
      <c r="ES81" s="493" t="str">
        <f>IF(A81=FALSE,"",Cotations!AL81)</f>
        <v/>
      </c>
      <c r="ET81" s="515" t="str">
        <f>IF(A81=FALSE,"",IF(EQ81="N/A",0,IF(INDEX(LISTES!$F$105:$F$109,MATCH(EQ81,LISTES!$C$105:$C$109,0))="FIX",IF(INDEX(LISTES!$E$105:$E$109,MATCH(EQ81,LISTES!$C$105:$C$109,0))=12,ER81/12*L81,ER81/365*M81),ES81*EP81)))</f>
        <v/>
      </c>
      <c r="EU81" s="294" t="str">
        <f t="shared" si="670"/>
        <v/>
      </c>
      <c r="EV81" s="494" t="str">
        <f>IF(A81=FALSE,"",EU81*Cotations!AM81)</f>
        <v/>
      </c>
      <c r="EW81" s="494" t="str">
        <f>IF(A81=FALSE,"",EU81*Cotations!AN81)</f>
        <v/>
      </c>
      <c r="EX81" s="334" t="str">
        <f t="shared" si="671"/>
        <v/>
      </c>
      <c r="EY81" s="919" t="str">
        <f>IF(A81=FALSE,"",((EG81*TAXE)-(EG81*TAXE*EL81)+EH81)+IF(EQ81="N/A",0,IF(INDEX(LISTES!$F$105:$F$109,MATCH(EQ81,LISTES!$C$105:$C$109,0))="FIX",ER81,ES81*EP81)))</f>
        <v/>
      </c>
      <c r="FA81" s="492" t="str">
        <f>IF(A81=FALSE,"",Cotations!D81)</f>
        <v/>
      </c>
      <c r="FB81" s="519" t="str">
        <f>IF(A81=FALSE,"",IF(LISTES!$A$17=1,Cotations!AO81,Cotations!$AP$4))</f>
        <v/>
      </c>
      <c r="FC81" s="291" t="str">
        <f t="shared" si="672"/>
        <v/>
      </c>
      <c r="FD81" s="291" t="str">
        <f t="shared" si="673"/>
        <v/>
      </c>
      <c r="FE81" s="291"/>
      <c r="FF81" s="463"/>
      <c r="FG81" s="463" t="str">
        <f t="shared" si="674"/>
        <v/>
      </c>
      <c r="FH81" s="522" t="str">
        <f>IF(A81=FALSE,"",IF(Cotations!$AQ$4="monthly",FG81/12*L81,FG81/365*M81))</f>
        <v/>
      </c>
      <c r="FI81" s="453" t="str">
        <f>IF(A81=FALSE,"",Cotations!$AR$4)</f>
        <v/>
      </c>
      <c r="FJ81" s="300" t="str">
        <f t="shared" si="675"/>
        <v/>
      </c>
      <c r="FK81" s="300" t="str">
        <f t="shared" si="676"/>
        <v/>
      </c>
      <c r="FL81" s="294" t="str">
        <f t="shared" si="677"/>
        <v/>
      </c>
      <c r="FM81" s="494" t="str">
        <f>IF(A81=FALSE,"",Cotations!$AS$4)</f>
        <v/>
      </c>
      <c r="FN81" s="494" t="str">
        <f>IF(A81=FALSE,"",Cotations!$AT$4)</f>
        <v/>
      </c>
      <c r="FO81" s="489" t="str">
        <f>IF(A81=FALSE,"",Cotations!$AU$4)</f>
        <v/>
      </c>
      <c r="FP81" s="494" t="str">
        <f>IF(A81=FALSE,"",IF(FM81="N/A",0,IF(INDEX(LISTES!$F$105:$F$109,MATCH(FM81,LISTES!$C$105:$C$109,0))="FIX",IF(INDEX(LISTES!$E$105:$E$109,MATCH(FM81,LISTES!$C$105:$C$109,0))=12,FN81/12*L81,FN81/365*M81),FO81*FL81)))</f>
        <v/>
      </c>
      <c r="FQ81" s="294" t="str">
        <f t="shared" si="678"/>
        <v/>
      </c>
      <c r="FR81" s="494" t="str">
        <f>IF(A81=FALSE,"",FQ81*Cotations!$AV$4)</f>
        <v/>
      </c>
      <c r="FS81" s="494" t="str">
        <f>IF(A81=FALSE,"",FQ81*Cotations!$AW$4)</f>
        <v/>
      </c>
      <c r="FT81" s="465" t="str">
        <f t="shared" si="679"/>
        <v/>
      </c>
      <c r="FU81" s="919" t="str">
        <f>IF(A81=FALSE,"",((FG81*TAXE)-(FG81*TAXE*FI81))+IF(FM81="N/A",0,IF(INDEX(LISTES!$F$105:$F$109,MATCH(FM81,LISTES!$C$105:$C$109,0))="FIX",FN81,FO81*FL81)))</f>
        <v/>
      </c>
      <c r="FV81" s="478"/>
      <c r="FW81" s="478"/>
      <c r="FX81" s="478"/>
      <c r="FY81" s="478"/>
      <c r="FZ81" s="478"/>
      <c r="GA81" s="492" t="str">
        <f>IF(A81=FALSE,"",Cotations!D81)</f>
        <v/>
      </c>
      <c r="GB81" s="494" t="str">
        <f>IF(A81=FALSE,"",IF(LISTES!$A$17=1,Cotations!AO81,Cotations!AP81))</f>
        <v/>
      </c>
      <c r="GC81" s="284" t="str">
        <f t="shared" si="680"/>
        <v/>
      </c>
      <c r="GD81" s="515" t="str">
        <f>IF(A81=FALSE,"",IF(Detail!AM81="","",Detail!AM81))</f>
        <v/>
      </c>
      <c r="GE81" s="284"/>
      <c r="GF81" s="284"/>
      <c r="GG81" s="284" t="str">
        <f t="shared" si="681"/>
        <v/>
      </c>
      <c r="GH81" s="515" t="str">
        <f>IF(A81=FALSE,"",IF(Cotations!AQ81="monthly",GG81/12*L81,GG81/365*M81))</f>
        <v/>
      </c>
      <c r="GI81" s="493" t="str">
        <f>IF(A81=FALSE,"",IF(Cotations!AR81="","",Cotations!AR81))</f>
        <v/>
      </c>
      <c r="GJ81" s="284" t="str">
        <f t="shared" si="682"/>
        <v/>
      </c>
      <c r="GK81" s="284" t="str">
        <f t="shared" si="683"/>
        <v/>
      </c>
      <c r="GL81" s="284" t="str">
        <f t="shared" si="684"/>
        <v/>
      </c>
      <c r="GM81" s="515" t="str">
        <f>IF(A81=FALSE,"",Cotations!AS81)</f>
        <v/>
      </c>
      <c r="GN81" s="515" t="str">
        <f>IF(A81=FALSE,"",Cotations!AT81)</f>
        <v/>
      </c>
      <c r="GO81" s="493" t="str">
        <f>IF(A81=FALSE,"",Cotations!AU81)</f>
        <v/>
      </c>
      <c r="GP81" s="515" t="str">
        <f>IF(A81=FALSE,"",IF(GM81="N/A",0,IF(INDEX(LISTES!$F$105:$F$109,MATCH(GM81,LISTES!$C$105:$C$109,0))="FIX",IF(INDEX(LISTES!$E$105:$E$109,MATCH(GM81,LISTES!$C$105:$C$109,0))=12,GN81/12*L81,GN81/365*M81),GO81*GL81)))</f>
        <v/>
      </c>
      <c r="GQ81" s="294" t="str">
        <f t="shared" si="685"/>
        <v/>
      </c>
      <c r="GR81" s="494" t="str">
        <f>IF(A81=FALSE,"",GQ81*Cotations!AV81)</f>
        <v/>
      </c>
      <c r="GS81" s="494" t="str">
        <f>IF(A81=FALSE,"",GQ81*Cotations!AW81)</f>
        <v/>
      </c>
      <c r="GT81" s="334" t="str">
        <f t="shared" si="686"/>
        <v/>
      </c>
      <c r="GU81" s="919" t="str">
        <f>IF(A81=FALSE,"",((GG81*TAXE)-(GG81*TAXE*GI81))+IF(GM81="N/A",0,IF(INDEX(LISTES!$F$105:$F$109,MATCH(GM81,LISTES!$C$105:$C$109,0))="FIX",GN81,GO81*GL81)))</f>
        <v/>
      </c>
      <c r="GV81" s="478"/>
      <c r="GW81" s="466"/>
      <c r="GX81" s="466"/>
      <c r="GY81" s="466"/>
      <c r="GZ81" s="466"/>
      <c r="HA81" s="492" t="str">
        <f>IF(A81=FALSE,"",Cotations!D81)</f>
        <v/>
      </c>
      <c r="HB81" s="495" t="str">
        <f>IF(A81=FALSE,"",IF(LISTES!$A$17=1,Cotations!AX81,Cotations!$AY$4))</f>
        <v/>
      </c>
      <c r="HC81" s="291" t="str">
        <f t="shared" si="687"/>
        <v/>
      </c>
      <c r="HD81" s="291" t="str">
        <f t="shared" si="688"/>
        <v/>
      </c>
      <c r="HE81" s="456" t="str">
        <f t="shared" si="689"/>
        <v/>
      </c>
      <c r="HF81" s="496" t="str">
        <f>IF(A81=FALSE,"",IF(HA81="POEA",Cotations!BA81,IF(HA81="FIXE",Cotations!$BA$4,Cotations!$BC$4*Y81)))</f>
        <v/>
      </c>
      <c r="HG81" s="300" t="str">
        <f t="shared" si="690"/>
        <v/>
      </c>
      <c r="HH81" s="522" t="str">
        <f>IF(A81=FALSE,"",IF(Cotations!$AZ$4="monthly",HG81/12*L81,HG81/365*M81))</f>
        <v/>
      </c>
      <c r="HI81" s="489" t="str">
        <f>IF(A81=FALSE,"",Cotations!$BD$4)</f>
        <v/>
      </c>
      <c r="HJ81" s="300" t="str">
        <f t="shared" si="691"/>
        <v/>
      </c>
      <c r="HK81" s="300" t="str">
        <f t="shared" si="692"/>
        <v/>
      </c>
      <c r="HL81" s="294" t="str">
        <f t="shared" si="693"/>
        <v/>
      </c>
      <c r="HM81" s="494" t="str">
        <f>IF(A81=FALSE,"",Cotations!$BE$4)</f>
        <v/>
      </c>
      <c r="HN81" s="522" t="str">
        <f>IF(A81=FALSE,"",Cotations!$BF$4)</f>
        <v/>
      </c>
      <c r="HO81" s="489" t="str">
        <f>IF(A81=FALSE,"",Cotations!$BG$4)</f>
        <v/>
      </c>
      <c r="HP81" s="494" t="str">
        <f>IF(A81=FALSE,"",IF(HM81="N/A",0,IF(INDEX(LISTES!$F$105:$F$109,MATCH(HM81,LISTES!$C$105:$C$109,0))="FIX",IF(INDEX(LISTES!$E$105:$E$109,MATCH(HM81,LISTES!$C$105:$C$109,0))=12,HN81/12*L81,HN81/365*M81),HO81*HL81)))</f>
        <v/>
      </c>
      <c r="HQ81" s="294" t="str">
        <f t="shared" si="694"/>
        <v/>
      </c>
      <c r="HR81" s="494" t="str">
        <f>IF(A81=FALSE,"",HQ81*Cotations!$BH$4)</f>
        <v/>
      </c>
      <c r="HS81" s="494" t="str">
        <f>IF(A81=FALSE,"",HQ81*Cotations!$BI$4)</f>
        <v/>
      </c>
      <c r="HT81" s="294" t="str">
        <f t="shared" si="695"/>
        <v/>
      </c>
      <c r="HU81" s="919" t="str">
        <f>IF(A81=FALSE,"",((HG81*TAXE)-(HG81*TAXE*HI81))+IF(HM81="N/A",0,IF(INDEX(LISTES!$F$105:$F$109,MATCH(HM81,LISTES!$C$105:$C$109,0))="FIX",HN81,HO81*HL81)))</f>
        <v/>
      </c>
      <c r="IA81" s="492" t="str">
        <f>IF(A81=FALSE,"",Cotations!D81)</f>
        <v/>
      </c>
      <c r="IB81" s="491" t="str">
        <f>IF(A81=FALSE,"",IF(LISTES!$A$17=1,Cotations!AX81,Cotations!AY81))</f>
        <v/>
      </c>
      <c r="IC81" s="285" t="str">
        <f t="shared" si="696"/>
        <v/>
      </c>
      <c r="ID81" s="300" t="str">
        <f>IF(A81=FALSE,"",IF(LISTES!$A$17=3,Detail!AU81,lig1_Formula_PREVOY))</f>
        <v/>
      </c>
      <c r="IE81" s="461" t="str">
        <f t="shared" si="697"/>
        <v/>
      </c>
      <c r="IF81" s="490" t="str">
        <f>IF(A81=FALSE,"",IF(IA81="POEA",Cotations!BA81,IF(HA81="FIXE",Cotations!BB81,IF(Cotations!BC81*Y81&lt;50000,Z81,Cotations!BC81*Y81))))</f>
        <v/>
      </c>
      <c r="IG81" s="300" t="str">
        <f t="shared" si="698"/>
        <v/>
      </c>
      <c r="IH81" s="522" t="str">
        <f>IF(A81=FALSE,"",IF(Cotations!AZ81="monthly",IG81/12*L81,IG81/365*M81))</f>
        <v/>
      </c>
      <c r="II81" s="489" t="str">
        <f>IF(A81=FALSE,"",IF(Cotations!BD81="","",Cotations!BD81))</f>
        <v/>
      </c>
      <c r="IJ81" s="300" t="str">
        <f t="shared" si="699"/>
        <v/>
      </c>
      <c r="IK81" s="300" t="str">
        <f t="shared" si="700"/>
        <v/>
      </c>
      <c r="IL81" s="919" t="str">
        <f t="shared" si="701"/>
        <v/>
      </c>
      <c r="IM81" s="517" t="str">
        <f>IF(A81=FALSE,"",Cotations!BE81)</f>
        <v/>
      </c>
      <c r="IN81" s="517" t="str">
        <f>IF(A81=FALSE,"",Cotations!BF81)</f>
        <v/>
      </c>
      <c r="IO81" s="493" t="str">
        <f>IF(A81=FALSE,"",Cotations!BG81)</f>
        <v/>
      </c>
      <c r="IP81" s="517" t="str">
        <f>IF(A81=FALSE,"",IF(IM81="N/A",0,IF(INDEX(LISTES!$F$105:$F$109,MATCH(IM81,LISTES!$C$105:$C$109,0))="FIX",IF(INDEX(LISTES!$E$105:$E$109,MATCH(IM81,LISTES!$C$105:$C$109,0))=12,IN81/12*L81,IN81/365*M81),IO81*IL81)))</f>
        <v/>
      </c>
      <c r="IQ81" s="294" t="str">
        <f t="shared" si="702"/>
        <v/>
      </c>
      <c r="IR81" s="494" t="str">
        <f>IF(A81=FALSE,"",IQ81*Cotations!BH81)</f>
        <v/>
      </c>
      <c r="IS81" s="494" t="str">
        <f>IF(A81=FALSE,"",IQ81*Cotations!BI81)</f>
        <v/>
      </c>
      <c r="IT81" s="338" t="str">
        <f t="shared" si="703"/>
        <v/>
      </c>
      <c r="IU81" s="919" t="str">
        <f>IF(A81=FALSE,"",((IG81*TAXE)-(IG81*TAXE*II81))+IF(IM81="N/A",0,IF(INDEX(LISTES!$F$105:$F$109,MATCH(IM81,LISTES!$C$105:$C$109,0))="FIX",IN81,IO81*IL81)))</f>
        <v/>
      </c>
      <c r="JA81" s="492" t="str">
        <f>IF(A81=FALSE,"",Cotations!D81)</f>
        <v/>
      </c>
      <c r="JB81" s="495" t="str">
        <f>IF(A81=FALSE,"",IF(LISTES!$A$17=1,Cotations!BJ81,Cotations!$BK$4))</f>
        <v/>
      </c>
      <c r="JC81" s="291" t="str">
        <f t="shared" si="704"/>
        <v/>
      </c>
      <c r="JD81" s="291" t="str">
        <f t="shared" si="705"/>
        <v/>
      </c>
      <c r="JE81" s="456" t="str">
        <f t="shared" si="706"/>
        <v/>
      </c>
      <c r="JF81" s="496" t="str">
        <f>IF(A81=FALSE,"",IF(JA81="POEA",Cotations!BM81,IF(JA81="FIXE",Cotations!$BM$4,Cotations!$BO$4*Y81)))</f>
        <v/>
      </c>
      <c r="JG81" s="300" t="str">
        <f t="shared" si="707"/>
        <v/>
      </c>
      <c r="JH81" s="522" t="str">
        <f>IF(A81=FALSE,"",IF(Cotations!$BL$4="monthly",JG81/12*L81,JG81/365*M81))</f>
        <v/>
      </c>
      <c r="JI81" s="489" t="str">
        <f>IF(A81=FALSE,"",Cotations!$BP$4)</f>
        <v/>
      </c>
      <c r="JJ81" s="300" t="str">
        <f t="shared" si="708"/>
        <v/>
      </c>
      <c r="JK81" s="300" t="str">
        <f t="shared" si="709"/>
        <v/>
      </c>
      <c r="JL81" s="294" t="str">
        <f t="shared" si="710"/>
        <v/>
      </c>
      <c r="JM81" s="494" t="str">
        <f>IF(A81=FALSE,"",Cotations!$BQ$4)</f>
        <v/>
      </c>
      <c r="JN81" s="522" t="str">
        <f>IF(A81=FALSE,"",Cotations!$BR$4)</f>
        <v/>
      </c>
      <c r="JO81" s="489" t="str">
        <f>IF(A81=FALSE,"",Cotations!$BS$4)</f>
        <v/>
      </c>
      <c r="JP81" s="494" t="str">
        <f>IF(A81=FALSE,"",IF(JM81="N/A",0,IF(INDEX(LISTES!$F$105:$F$109,MATCH(JM81,LISTES!$C$105:$C$109,0))="FIX",IF(INDEX(LISTES!$E$105:$E$109,MATCH(JM81,LISTES!$C$105:$C$109,0))=12,JN81/12*L81,JN81/365*M81),JO81*JL81)))</f>
        <v/>
      </c>
      <c r="JQ81" s="294" t="str">
        <f t="shared" si="711"/>
        <v/>
      </c>
      <c r="JR81" s="494" t="str">
        <f>IF(A81=FALSE,"",JQ81*Cotations!$BT$4)</f>
        <v/>
      </c>
      <c r="JS81" s="494" t="str">
        <f>IF(A81=FALSE,"",JQ81*Cotations!$BU$4)</f>
        <v/>
      </c>
      <c r="JT81" s="294" t="str">
        <f t="shared" si="712"/>
        <v/>
      </c>
      <c r="JU81" s="919" t="str">
        <f>IF(A81=FALSE,"",((JG81*TAXE)-(JG81*TAXE*JI81))+IF(JM81="N/A",0,IF(INDEX(LISTES!$F$105:$F$109,MATCH(JM81,LISTES!$C$105:$C$109,0))="FIX",JN81,JO81*JL81)))</f>
        <v/>
      </c>
      <c r="KA81" s="492" t="str">
        <f>IF(A81=FALSE,"",Cotations!D81)</f>
        <v/>
      </c>
      <c r="KB81" s="491" t="str">
        <f>IF(A81=FALSE,"",IF(LISTES!$A$17=1,Cotations!BJ81,Cotations!BK81))</f>
        <v/>
      </c>
      <c r="KC81" s="285" t="str">
        <f t="shared" si="713"/>
        <v/>
      </c>
      <c r="KD81" s="300"/>
      <c r="KE81" s="461" t="str">
        <f t="shared" si="714"/>
        <v/>
      </c>
      <c r="KF81" s="490" t="str">
        <f>IF(A81=FALSE,"",IF(KA81="POEA",Cotations!BM81,IF(KA81="FIXE",Cotations!BN81,IF(Cotations!BO81*Y81&lt;50000,Z81,Cotations!BO81*Y81))))</f>
        <v/>
      </c>
      <c r="KG81" s="300" t="str">
        <f t="shared" si="715"/>
        <v/>
      </c>
      <c r="KH81" s="522" t="str">
        <f>IF(A81=FALSE,"",IF(Cotations!BL81="monthly",KG81/12*L81,KG81/365*M81))</f>
        <v/>
      </c>
      <c r="KI81" s="489" t="str">
        <f>IF(A81=FALSE,"",IF(Cotations!BP81="","",Cotations!BP81))</f>
        <v/>
      </c>
      <c r="KJ81" s="300" t="str">
        <f t="shared" si="716"/>
        <v/>
      </c>
      <c r="KK81" s="300" t="str">
        <f t="shared" si="717"/>
        <v/>
      </c>
      <c r="KL81" s="919" t="str">
        <f t="shared" si="718"/>
        <v/>
      </c>
      <c r="KM81" s="517" t="str">
        <f>IF(A81=FALSE,"",Cotations!BQ81)</f>
        <v/>
      </c>
      <c r="KN81" s="515" t="str">
        <f>IF(A81=FALSE,"",Cotations!BR81)</f>
        <v/>
      </c>
      <c r="KO81" s="493" t="str">
        <f>IF(A81=FALSE,"",Cotations!BS81)</f>
        <v/>
      </c>
      <c r="KP81" s="517" t="str">
        <f>IF(A81=FALSE,"",IF(KM81="N/A",0,IF(INDEX(LISTES!$F$105:$F$109,MATCH(KM81,LISTES!$C$105:$C$109,0))="FIX",IF(INDEX(LISTES!$E$105:$E$109,MATCH(KM81,LISTES!$C$105:$C$109,0))=12,KN81/12*L81,KN81/365*M81),KO81*KL81)))</f>
        <v/>
      </c>
      <c r="KQ81" s="294" t="str">
        <f t="shared" si="719"/>
        <v/>
      </c>
      <c r="KR81" s="494" t="str">
        <f>IF(A81=FALSE,"",KQ81*Cotations!BT81)</f>
        <v/>
      </c>
      <c r="KS81" s="494" t="str">
        <f>IF(A81=FALSE,"",KQ81*Cotations!BU81)</f>
        <v/>
      </c>
      <c r="KT81" s="338" t="str">
        <f t="shared" si="720"/>
        <v/>
      </c>
      <c r="KU81" s="919" t="str">
        <f>IF(A81=FALSE,"",((KG81*TAXE)-(KG81*TAXE*KI81))+IF(KM81="N/A",0,IF(INDEX(LISTES!$F$105:$F$109,MATCH(KM81,LISTES!$C$105:$C$109,0))="FIX",KN81,KO81*KL81)))</f>
        <v/>
      </c>
      <c r="LA81" s="497" t="str">
        <f>IF(A81=FALSE,"",Cotations!D81)</f>
        <v/>
      </c>
      <c r="LB81" s="498" t="str">
        <f>IF(A81=FALSE,"",IF(LISTES!$A$17=1,Cotations!BV81,Cotations!$BW$4))</f>
        <v/>
      </c>
      <c r="LC81" s="499" t="str">
        <f t="shared" si="721"/>
        <v/>
      </c>
      <c r="LD81" s="499" t="str">
        <f t="shared" si="722"/>
        <v/>
      </c>
      <c r="LE81" s="500" t="str">
        <f t="shared" si="723"/>
        <v/>
      </c>
      <c r="LF81" s="501" t="str">
        <f>IF(A81=FALSE,"",IF(LA81="POEA",Cotations!EJ81,IF(LA81="FIXE",Cotations!$BY$4,Cotations!$CA$4*Y81)))</f>
        <v/>
      </c>
      <c r="LG81" s="502" t="str">
        <f t="shared" si="724"/>
        <v/>
      </c>
      <c r="LH81" s="520" t="str">
        <f>IF(A81=FALSE,"",IF(Cotations!$BX$4="monthly",LG81/12*L81,LG81/365*M81))</f>
        <v/>
      </c>
      <c r="LI81" s="503" t="str">
        <f>IF(A81=FALSE,"",Cotations!$CB$4)</f>
        <v/>
      </c>
      <c r="LJ81" s="502" t="str">
        <f t="shared" si="725"/>
        <v/>
      </c>
      <c r="LK81" s="502" t="str">
        <f t="shared" si="726"/>
        <v/>
      </c>
      <c r="LL81" s="504" t="str">
        <f t="shared" si="727"/>
        <v/>
      </c>
      <c r="LM81" s="505" t="str">
        <f>IF(A81=FALSE,"",Cotations!$CC$4)</f>
        <v/>
      </c>
      <c r="LN81" s="503" t="str">
        <f>IF(A81=FALSE,"",Cotations!$CD$4)</f>
        <v/>
      </c>
      <c r="LO81" s="503" t="str">
        <f>IF(A81=FALSE,"",Cotations!$CE$4)</f>
        <v/>
      </c>
      <c r="LP81" s="505" t="str">
        <f>IF(A81=FALSE,"",IF(LM81="N/A",0,IF(INDEX(LISTES!$F$105:$F$109,MATCH(LM81,LISTES!$C$105:$C$109,0))="FIX",IF(INDEX(LISTES!$E$105:$E$109,MATCH(LM81,LISTES!$C$105:$C$109,0))=12,LN81/12*L81,LN81/365*M81),LO81*LL81)))</f>
        <v/>
      </c>
      <c r="LQ81" s="504" t="str">
        <f t="shared" si="728"/>
        <v/>
      </c>
      <c r="LR81" s="505" t="str">
        <f>IF(A81=FALSE,"",LQ81*Cotations!$CF$4)</f>
        <v/>
      </c>
      <c r="LS81" s="505" t="str">
        <f>IF(A81=FALSE,"",LQ81*Cotations!$CG$4)</f>
        <v/>
      </c>
      <c r="LT81" s="506" t="str">
        <f t="shared" si="729"/>
        <v/>
      </c>
      <c r="LU81" s="919" t="str">
        <f>IF(A81=FALSE,"",((LG81*TAXE)-(LG81*TAXE*LI81))+IF(LM81="N/A",0,IF(INDEX(LISTES!$F$105:$F$109,MATCH(LM81,LISTES!$C$105:$C$109,0))="FIX",LN81,LO81*LL81)))</f>
        <v/>
      </c>
      <c r="MA81" s="492" t="str">
        <f>IF(A81=FALSE,"",Cotations!D81)</f>
        <v/>
      </c>
      <c r="MB81" s="491" t="str">
        <f>IF(A81=FALSE,"",IF(LISTES!$A$17=1,Cotations!BV81,Cotations!BW81))</f>
        <v/>
      </c>
      <c r="MC81" s="285" t="str">
        <f t="shared" si="730"/>
        <v/>
      </c>
      <c r="MD81" s="300"/>
      <c r="ME81" s="461" t="str">
        <f t="shared" si="731"/>
        <v/>
      </c>
      <c r="MF81" s="490" t="str">
        <f>IF(A81=FALSE,"",IF(MA81="POEA",Cotations!BY81,IF(MA81="FIXE",Cotations!BZ81,IF(Cotations!CA81*Y81&lt;50000,Z81,Cotations!CA81*Y81))))</f>
        <v/>
      </c>
      <c r="MG81" s="300" t="str">
        <f t="shared" si="732"/>
        <v/>
      </c>
      <c r="MH81" s="522" t="str">
        <f>IF(A81=FALSE,"",IF(Cotations!BX81="monthly",MG81/12*L81,MG81/365*M81))</f>
        <v/>
      </c>
      <c r="MI81" s="489" t="str">
        <f>IF(A81=FALSE,"",IF(Cotations!CB81="","",Cotations!CB81))</f>
        <v/>
      </c>
      <c r="MJ81" s="300" t="str">
        <f t="shared" si="733"/>
        <v/>
      </c>
      <c r="MK81" s="300" t="str">
        <f t="shared" si="734"/>
        <v/>
      </c>
      <c r="ML81" s="919" t="str">
        <f t="shared" si="735"/>
        <v/>
      </c>
      <c r="MM81" s="517" t="str">
        <f>IF(A81=FALSE,"",Cotations!CC81)</f>
        <v/>
      </c>
      <c r="MN81" s="515" t="str">
        <f>IF(A81=FALSE,"",Cotations!CD81)</f>
        <v/>
      </c>
      <c r="MO81" s="493" t="str">
        <f>IF(A81=FALSE,"",Cotations!CE81)</f>
        <v/>
      </c>
      <c r="MP81" s="517" t="str">
        <f>IF(A81=FALSE,"",IF(MM81="N/A",0,IF(INDEX(LISTES!$F$105:$F$109,MATCH(MM81,LISTES!$C$105:$C$109,0))="FIX",IF(INDEX(LISTES!$E$105:$E$109,MATCH(MM81,LISTES!$C$105:$C$109,0))=12,MN81/12*L81,MN81/365*M81),MO81*ML81)))</f>
        <v/>
      </c>
      <c r="MQ81" s="294" t="str">
        <f t="shared" si="736"/>
        <v/>
      </c>
      <c r="MR81" s="494" t="str">
        <f>IF(A81=FALSE,"",MQ81*Cotations!CF81)</f>
        <v/>
      </c>
      <c r="MS81" s="494" t="str">
        <f>IF(A81=FALSE,"",MQ81*Cotations!CG81)</f>
        <v/>
      </c>
      <c r="MT81" s="338" t="str">
        <f t="shared" si="737"/>
        <v/>
      </c>
      <c r="MU81" s="919" t="str">
        <f>IF(A81=FALSE,"",((MG81*TAXE)-(MG81*TAXE*MI81))+IF(MM81="N/A",0,IF(INDEX(LISTES!$F$105:$F$109,MATCH(MM81,LISTES!$C$105:$C$109,0))="FIX",MN81,MO81*ML81)))</f>
        <v/>
      </c>
      <c r="NA81" s="497" t="str">
        <f>IF(A81=FALSE,"",Cotations!D81)</f>
        <v/>
      </c>
      <c r="NB81" s="498" t="str">
        <f>IF(A81=FALSE,"",IF(LISTES!$A$17=1,Cotations!CH81,Cotations!$CI$4))</f>
        <v/>
      </c>
      <c r="NC81" s="499" t="str">
        <f t="shared" si="738"/>
        <v/>
      </c>
      <c r="ND81" s="499" t="str">
        <f t="shared" si="739"/>
        <v/>
      </c>
      <c r="NE81" s="500" t="str">
        <f t="shared" si="740"/>
        <v/>
      </c>
      <c r="NF81" s="501" t="str">
        <f>IF(A81=FALSE,"",IF(NA81="POEA",Cotations!CK81,IF(NA81="FIXE",Cotations!$CK$4,Cotations!$CM$4*Y81)))</f>
        <v/>
      </c>
      <c r="NG81" s="502" t="str">
        <f t="shared" si="741"/>
        <v/>
      </c>
      <c r="NH81" s="520" t="str">
        <f>IF(A81=FALSE,"",IF(Cotations!$CJ$4="monthly",NG81/12*L81,NG81/365*M81))</f>
        <v/>
      </c>
      <c r="NI81" s="503" t="str">
        <f>IF(A81=FALSE,"",Cotations!$CN$4)</f>
        <v/>
      </c>
      <c r="NJ81" s="502" t="str">
        <f t="shared" si="742"/>
        <v/>
      </c>
      <c r="NK81" s="502" t="str">
        <f t="shared" si="743"/>
        <v/>
      </c>
      <c r="NL81" s="504" t="str">
        <f t="shared" si="744"/>
        <v/>
      </c>
      <c r="NM81" s="505" t="str">
        <f>IF(A81=FALSE,"",Cotations!$CO$4)</f>
        <v/>
      </c>
      <c r="NN81" s="520" t="str">
        <f>IF(A81=FALSE,"",Cotations!$CP$4)</f>
        <v/>
      </c>
      <c r="NO81" s="503" t="str">
        <f>IF(A81=FALSE,"",Cotations!$CQ$4)</f>
        <v/>
      </c>
      <c r="NP81" s="505" t="str">
        <f>IF(A81=FALSE,"",IF(NM81="N/A",0,IF(INDEX(LISTES!$F$105:$F$109,MATCH(NM81,LISTES!$C$105:$C$109,0))="FIX",IF(INDEX(LISTES!$E$105:$E$109,MATCH(NM81,LISTES!$C$105:$C$109,0))=12,NN81/12*L81,NN81/365*M81),NO81*NL81)))</f>
        <v/>
      </c>
      <c r="NQ81" s="504" t="str">
        <f t="shared" si="745"/>
        <v/>
      </c>
      <c r="NR81" s="505" t="str">
        <f>IF(A81=FALSE,"",NQ81*Cotations!$CR$4)</f>
        <v/>
      </c>
      <c r="NS81" s="505" t="str">
        <f>IF(A81=FALSE,"",NQ81*Cotations!$CS$4)</f>
        <v/>
      </c>
      <c r="NT81" s="506" t="str">
        <f t="shared" si="746"/>
        <v/>
      </c>
      <c r="NU81" s="919" t="str">
        <f>IF(A81=FALSE,"",((NG81*TAXE)-(NG81*TAXE*NI81))+IF(NM81="N/A",0,IF(INDEX(LISTES!$F$105:$F$109,MATCH(NM81,LISTES!$C$105:$C$109,0))="FIX",NN81,NO81*NL81)))</f>
        <v/>
      </c>
      <c r="OA81" s="492" t="str">
        <f>IF(A81=FALSE,"",Cotations!D81)</f>
        <v/>
      </c>
      <c r="OB81" s="491" t="str">
        <f>IF(A81=FALSE,"",IF(LISTES!$A$17=1,Cotations!CH81,Cotations!CI81))</f>
        <v/>
      </c>
      <c r="OC81" s="285" t="str">
        <f t="shared" si="747"/>
        <v/>
      </c>
      <c r="OD81" s="300"/>
      <c r="OE81" s="461" t="str">
        <f t="shared" si="748"/>
        <v/>
      </c>
      <c r="OF81" s="490" t="str">
        <f>IF(A81=FALSE,"",IF(OA81="POEA",Cotations!CK81,IF(OA81="FIXE",Cotations!CL81,IF(Cotations!CM81*Y81&lt;50000,Z81,Cotations!CM81*Y81))))</f>
        <v/>
      </c>
      <c r="OG81" s="300" t="str">
        <f t="shared" si="749"/>
        <v/>
      </c>
      <c r="OH81" s="522" t="str">
        <f>IF(A81=FALSE,"",IF(Cotations!CJ81="monthly",OG81/12*L81,OG81/365*M81))</f>
        <v/>
      </c>
      <c r="OI81" s="489" t="str">
        <f>IF(A81=FALSE,"",IF(Cotations!CN81="","",Cotations!CN81))</f>
        <v/>
      </c>
      <c r="OJ81" s="300" t="str">
        <f t="shared" si="750"/>
        <v/>
      </c>
      <c r="OK81" s="300" t="str">
        <f t="shared" si="751"/>
        <v/>
      </c>
      <c r="OL81" s="919" t="str">
        <f t="shared" si="752"/>
        <v/>
      </c>
      <c r="OM81" s="517" t="str">
        <f>IF(A81=FALSE,"",Cotations!CO81)</f>
        <v/>
      </c>
      <c r="ON81" s="515" t="str">
        <f>IF(A81=FALSE,"",Cotations!CP81)</f>
        <v/>
      </c>
      <c r="OO81" s="493" t="str">
        <f>IF(A81=FALSE,"",Cotations!CQ81)</f>
        <v/>
      </c>
      <c r="OP81" s="517" t="str">
        <f>IF(A81=FALSE,"",IF(OM81="N/A",0,IF(INDEX(LISTES!$F$105:$F$109,MATCH(OM81,LISTES!$C$105:$C$109,0))="FIX",IF(INDEX(LISTES!$E$105:$E$109,MATCH(OM81,LISTES!$C$105:$C$109,0))=12,ON81/12*L81,ON81/365*M81),OO81*OL81)))</f>
        <v/>
      </c>
      <c r="OQ81" s="294" t="str">
        <f t="shared" si="753"/>
        <v/>
      </c>
      <c r="OR81" s="494" t="str">
        <f>IF(A81=FALSE,"",OQ81*Cotations!CR81)</f>
        <v/>
      </c>
      <c r="OS81" s="494" t="str">
        <f>IF(A81=FALSE,"",OQ81*Cotations!CS81)</f>
        <v/>
      </c>
      <c r="OT81" s="338" t="str">
        <f t="shared" si="754"/>
        <v/>
      </c>
      <c r="OU81" s="919" t="str">
        <f>IF(A81=FALSE,"",((OG81*TAXE)-(OG81*TAXE*OI81))+IF(OM81="N/A",0,IF(INDEX(LISTES!$F$105:$F$109,MATCH(OM81,LISTES!$C$105:$C$109,0))="FIX",ON81,OO81*OL81)))</f>
        <v/>
      </c>
      <c r="PA81" s="497" t="str">
        <f t="shared" si="755"/>
        <v/>
      </c>
      <c r="PB81" s="498" t="str">
        <f>IF(A81=FALSE,"",IF(LISTES!$A$17=1,Cotations!CT81,Cotations!$CU$4))</f>
        <v/>
      </c>
      <c r="PC81" s="499" t="str">
        <f t="shared" si="756"/>
        <v/>
      </c>
      <c r="PD81" s="499" t="str">
        <f t="shared" si="757"/>
        <v/>
      </c>
      <c r="PE81" s="500" t="str">
        <f t="shared" si="758"/>
        <v/>
      </c>
      <c r="PF81" s="501" t="str">
        <f>IF(A81=FALSE,"",Cotations!$CY$4*Y81)</f>
        <v/>
      </c>
      <c r="PG81" s="502" t="str">
        <f t="shared" si="759"/>
        <v/>
      </c>
      <c r="PH81" s="520" t="str">
        <f>IF(A81=FALSE,"",IF(Cotations!$CV$4="monthly",PG81/12*L81,PG81/365*M81))</f>
        <v/>
      </c>
      <c r="PI81" s="503" t="str">
        <f>IF(A81=FALSE,"",Cotations!$CZ$4)</f>
        <v/>
      </c>
      <c r="PJ81" s="502" t="str">
        <f t="shared" si="760"/>
        <v/>
      </c>
      <c r="PK81" s="502" t="str">
        <f t="shared" si="761"/>
        <v/>
      </c>
      <c r="PL81" s="504" t="str">
        <f t="shared" si="762"/>
        <v/>
      </c>
      <c r="PM81" s="505" t="str">
        <f>IF(A81=FALSE,"",Cotations!$DA$4)</f>
        <v/>
      </c>
      <c r="PN81" s="520" t="str">
        <f>IF(A81=FALSE,"",Cotations!$DB$4)</f>
        <v/>
      </c>
      <c r="PO81" s="503" t="str">
        <f>IF(A81=FALSE,"",Cotations!$DC$4)</f>
        <v/>
      </c>
      <c r="PP81" s="505" t="str">
        <f>IF(A81=FALSE,"",IF(PM81="N/A",0,IF(INDEX(LISTES!$F$105:$F$109,MATCH(PM81,LISTES!$C$105:$C$109,0))="FIX",IF(INDEX(LISTES!$E$105:$E$109,MATCH(PM81,LISTES!$C$105:$C$109,0))=12,PN81/12*L81,PN81/365*M81),PO81*PL81)))</f>
        <v/>
      </c>
      <c r="PQ81" s="504" t="str">
        <f t="shared" si="763"/>
        <v/>
      </c>
      <c r="PR81" s="505" t="str">
        <f>IF(A81=FALSE,"",PQ81*Cotations!$DD$4)</f>
        <v/>
      </c>
      <c r="PS81" s="505" t="str">
        <f>IF(A81=FALSE,"",PQ81*Cotations!$DE$4)</f>
        <v/>
      </c>
      <c r="PT81" s="506" t="str">
        <f t="shared" si="764"/>
        <v/>
      </c>
      <c r="PU81" s="919" t="str">
        <f>IF(A81=FALSE,"",((PG81*TAXE)-(PG81*TAXE*PI81))+IF(PM81="N/A",0,IF(INDEX(LISTES!$F$105:$F$109,MATCH(PM81,LISTES!$C$105:$C$109,0))="FIX",PN81,PO81*PL81)))</f>
        <v/>
      </c>
      <c r="QA81" s="492" t="str">
        <f t="shared" si="765"/>
        <v/>
      </c>
      <c r="QB81" s="491" t="str">
        <f>IF(A81=FALSE,"",IF(LISTES!$A$17=1,Cotations!CT81,Cotations!CU81))</f>
        <v/>
      </c>
      <c r="QC81" s="285" t="str">
        <f t="shared" si="766"/>
        <v/>
      </c>
      <c r="QD81" s="300"/>
      <c r="QE81" s="461" t="str">
        <f t="shared" si="767"/>
        <v/>
      </c>
      <c r="QF81" s="490" t="str">
        <f>IF(A81=FALSE,"",Cotations!CY81*AA81)</f>
        <v/>
      </c>
      <c r="QG81" s="300" t="str">
        <f t="shared" si="768"/>
        <v/>
      </c>
      <c r="QH81" s="522" t="str">
        <f>IF(A81=FALSE,"",IF(Cotations!CV81="monthly",QG81/12*L81,QG81/365*M81))</f>
        <v/>
      </c>
      <c r="QI81" s="489" t="str">
        <f>IF(A81=FALSE,"",IF(Cotations!CZ81="","",Cotations!CZ81))</f>
        <v/>
      </c>
      <c r="QJ81" s="300" t="str">
        <f t="shared" si="769"/>
        <v/>
      </c>
      <c r="QK81" s="300" t="str">
        <f t="shared" si="770"/>
        <v/>
      </c>
      <c r="QL81" s="919" t="str">
        <f t="shared" si="771"/>
        <v/>
      </c>
      <c r="QM81" s="517" t="str">
        <f>IF(A81=FALSE,"",Cotations!DA81)</f>
        <v/>
      </c>
      <c r="QN81" s="515" t="str">
        <f>IF(A81=FALSE,"",Cotations!DB81)</f>
        <v/>
      </c>
      <c r="QO81" s="493" t="str">
        <f>IF(A81=FALSE,"",Cotations!DC81)</f>
        <v/>
      </c>
      <c r="QP81" s="517" t="str">
        <f>IF(A81=FALSE,"",IF(QM81="N/A",0,IF(INDEX(LISTES!$F$105:$F$109,MATCH(QM81,LISTES!$C$105:$C$109,0))="FIX",IF(INDEX(LISTES!$E$105:$E$109,MATCH(QM81,LISTES!$C$105:$C$109,0))=12,QN81/12*L81,QN81/365*M81),QO81*QL81)))</f>
        <v/>
      </c>
      <c r="QQ81" s="294" t="str">
        <f t="shared" si="772"/>
        <v/>
      </c>
      <c r="QR81" s="494" t="str">
        <f>IF(A81=FALSE,"",QQ81*Cotations!DD81)</f>
        <v/>
      </c>
      <c r="QS81" s="494" t="str">
        <f>IF(A81=FALSE,"",QQ81*Cotations!DE81)</f>
        <v/>
      </c>
      <c r="QT81" s="338" t="str">
        <f t="shared" si="773"/>
        <v/>
      </c>
      <c r="QU81" s="919" t="str">
        <f>IF(A81=FALSE,"",((QG81*TAXE)-(QG81*TAXE*QI81))+IF(QM81="N/A",0,IF(INDEX(LISTES!$F$105:$F$109,MATCH(QM81,LISTES!$C$105:$C$109,0))="FIX",QN81,QO81*QL81)))</f>
        <v/>
      </c>
      <c r="RA81" s="497" t="str">
        <f t="shared" si="774"/>
        <v/>
      </c>
      <c r="RB81" s="498" t="str">
        <f>IF(A81=FALSE,"",IF(LISTES!$A$17=1,Cotations!DF81,Cotations!$DG$4))</f>
        <v/>
      </c>
      <c r="RC81" s="499" t="str">
        <f t="shared" si="775"/>
        <v/>
      </c>
      <c r="RD81" s="499" t="str">
        <f t="shared" si="776"/>
        <v/>
      </c>
      <c r="RE81" s="500" t="str">
        <f t="shared" si="777"/>
        <v/>
      </c>
      <c r="RF81" s="501" t="str">
        <f>IF(A81=FALSE,"",Cotations!$DK$4*Y81)</f>
        <v/>
      </c>
      <c r="RG81" s="502" t="str">
        <f t="shared" si="778"/>
        <v/>
      </c>
      <c r="RH81" s="520" t="str">
        <f>IF(A81=FALSE,"",IF(Cotations!$DH$4="monthly",RG81/12*L81,RG81/365*M81))</f>
        <v/>
      </c>
      <c r="RI81" s="503" t="str">
        <f>IF(A81=FALSE,"",Cotations!$DL$4)</f>
        <v/>
      </c>
      <c r="RJ81" s="502" t="str">
        <f t="shared" si="779"/>
        <v/>
      </c>
      <c r="RK81" s="502" t="str">
        <f t="shared" si="780"/>
        <v/>
      </c>
      <c r="RL81" s="504" t="str">
        <f t="shared" si="781"/>
        <v/>
      </c>
      <c r="RM81" s="505" t="str">
        <f>IF(A81=FALSE,"",Cotations!$DM$4)</f>
        <v/>
      </c>
      <c r="RN81" s="520" t="str">
        <f>IF(A81=FALSE,"",Cotations!$DN$4)</f>
        <v/>
      </c>
      <c r="RO81" s="503" t="str">
        <f>IF(A81=FALSE,"",Cotations!$DO$4)</f>
        <v/>
      </c>
      <c r="RP81" s="505" t="str">
        <f>IF(A81=FALSE,"",IF(RM81="N/A",0,IF(INDEX(LISTES!$F$105:$F$109,MATCH(RM81,LISTES!$C$105:$C$109,0))="FIX",IF(INDEX(LISTES!$E$105:$E$109,MATCH(RM81,LISTES!$C$105:$C$109,0))=12,RN81/12*L81,RN81/365*M81),RO81*RL81)))</f>
        <v/>
      </c>
      <c r="RQ81" s="504" t="str">
        <f t="shared" si="782"/>
        <v/>
      </c>
      <c r="RR81" s="505" t="str">
        <f>IF(A81=FALSE,"",RQ81*Cotations!$DP$4)</f>
        <v/>
      </c>
      <c r="RS81" s="505" t="str">
        <f>IF(A81=FALSE,"",RQ81*Cotations!$DQ$4)</f>
        <v/>
      </c>
      <c r="RT81" s="506" t="str">
        <f t="shared" si="783"/>
        <v/>
      </c>
      <c r="RU81" s="919" t="str">
        <f>IF(A81=FALSE,"",((RG81*TAXE)-(RG81*TAXE*RI81))+IF(RM81="N/A",0,IF(INDEX(LISTES!$F$105:$F$109,MATCH(RM81,LISTES!$C$105:$C$109,0))="FIX",RN81,RO81*RL81)))</f>
        <v/>
      </c>
      <c r="SA81" s="492" t="str">
        <f t="shared" si="784"/>
        <v/>
      </c>
      <c r="SB81" s="491" t="str">
        <f>IF(A81=FALSE,"",IF(LISTES!$A$17=1,Cotations!DF81,Cotations!DG81))</f>
        <v/>
      </c>
      <c r="SC81" s="285" t="str">
        <f t="shared" si="785"/>
        <v/>
      </c>
      <c r="SD81" s="300"/>
      <c r="SE81" s="461" t="str">
        <f t="shared" si="786"/>
        <v/>
      </c>
      <c r="SF81" s="490" t="str">
        <f>IF(A81=FALSE,"",Cotations!DK81*AA81)</f>
        <v/>
      </c>
      <c r="SG81" s="300" t="str">
        <f t="shared" si="787"/>
        <v/>
      </c>
      <c r="SH81" s="522" t="str">
        <f>IF(A81=FALSE,"",IF(Cotations!DH81="monthly",SG81/12*L81,SG81/365*M81))</f>
        <v/>
      </c>
      <c r="SI81" s="489" t="str">
        <f>IF(A81=FALSE,"",IF(Cotations!DL81="","",Cotations!DL81))</f>
        <v/>
      </c>
      <c r="SJ81" s="300" t="str">
        <f t="shared" si="788"/>
        <v/>
      </c>
      <c r="SK81" s="300" t="str">
        <f t="shared" si="789"/>
        <v/>
      </c>
      <c r="SL81" s="919" t="str">
        <f t="shared" si="790"/>
        <v/>
      </c>
      <c r="SM81" s="285" t="str">
        <f>IF(A81=FALSE,"",Cotations!DM81)</f>
        <v/>
      </c>
      <c r="SN81" s="515" t="str">
        <f>IF(A81=FALSE,"",Cotations!DN81)</f>
        <v/>
      </c>
      <c r="SO81" s="493" t="str">
        <f>IF(A81=FALSE,"",Cotations!DO81)</f>
        <v/>
      </c>
      <c r="SP81" s="517" t="str">
        <f>IF(A81=FALSE,"",IF(SM81="N/A",0,IF(INDEX(LISTES!$F$105:$F$109,MATCH(SM81,LISTES!$C$105:$C$109,0))="FIX",IF(INDEX(LISTES!$E$105:$E$109,MATCH(SM81,LISTES!$C$105:$C$109,0))=12,SN81/12*L81,SN81/365*M81),SO81*SL81)))</f>
        <v/>
      </c>
      <c r="SQ81" s="294" t="str">
        <f t="shared" si="791"/>
        <v/>
      </c>
      <c r="SR81" s="494" t="str">
        <f>IF(A81=FALSE,"",SQ81*Cotations!DP81)</f>
        <v/>
      </c>
      <c r="SS81" s="494" t="str">
        <f>IF(A81=FALSE,"",SQ81*Cotations!DQ81)</f>
        <v/>
      </c>
      <c r="ST81" s="338" t="str">
        <f t="shared" si="792"/>
        <v/>
      </c>
      <c r="SU81" s="919" t="str">
        <f>IF(A81=FALSE,"",((SG81*TAXE)-(SG81*TAXE*SI81))+IF(SM81="N/A",0,IF(INDEX(LISTES!$F$105:$F$109,MATCH(SM81,LISTES!$C$105:$C$109,0))="FIX",SN81,SO81*SL81)))</f>
        <v/>
      </c>
      <c r="TA81" s="492" t="str">
        <f>IF(A81=FALSE,"",Cotations!D81)</f>
        <v/>
      </c>
      <c r="TB81" s="491" t="str">
        <f>IF(A81=FALSE,"",IF(LISTES!$A$17=1,Cotations!DR81,Cotations!DS81))</f>
        <v/>
      </c>
      <c r="TC81" s="285" t="str">
        <f t="shared" si="793"/>
        <v/>
      </c>
      <c r="TD81" s="300" t="str">
        <f>IF(A81=FALSE,"",Detail!CQ81)</f>
        <v/>
      </c>
      <c r="TE81" s="461" t="str">
        <f t="shared" si="794"/>
        <v/>
      </c>
      <c r="TF81" s="490" t="str">
        <f>IF(A81=FALSE,"",IF(TA81="FIXE",Cotations!DU81,Cotations!DV81*Y81))</f>
        <v/>
      </c>
      <c r="TG81" s="300" t="str">
        <f t="shared" si="795"/>
        <v/>
      </c>
      <c r="TH81" s="522" t="str">
        <f>IF(A81=FALSE,"",IF(Cotations!DT81="monthly",TG81/12*L81,TG81/365*M81))</f>
        <v/>
      </c>
      <c r="TI81" s="489" t="str">
        <f>IF(A81=FALSE,"",IF(Cotations!DW81="","",Cotations!DW81))</f>
        <v/>
      </c>
      <c r="TJ81" s="300" t="str">
        <f t="shared" si="796"/>
        <v/>
      </c>
      <c r="TK81" s="300" t="str">
        <f t="shared" si="797"/>
        <v/>
      </c>
      <c r="TL81" s="919" t="str">
        <f t="shared" si="798"/>
        <v/>
      </c>
      <c r="TM81" s="517" t="str">
        <f>IF(A81=FALSE,"",Cotations!DX81)</f>
        <v/>
      </c>
      <c r="TN81" s="517" t="str">
        <f>IF(A81=FALSE,"",Cotations!DY81)</f>
        <v/>
      </c>
      <c r="TO81" s="493" t="str">
        <f>IF(A81=FALSE,"",Cotations!DZ81)</f>
        <v/>
      </c>
      <c r="TP81" s="517" t="str">
        <f>IF(A81=FALSE,"",IF(TM81="N/A",0,IF(INDEX(LISTES!$F$105:$F$109,MATCH(TM81,LISTES!$C$105:$C$109,0))="FIX",IF(INDEX(LISTES!$E$105:$E$109,MATCH(TM81,LISTES!$C$105:$C$109,0))=12,TN81/12*L81,TN81/365*M81),TO81*TL81)))</f>
        <v/>
      </c>
      <c r="TQ81" s="294" t="str">
        <f t="shared" si="799"/>
        <v/>
      </c>
      <c r="TR81" s="494" t="str">
        <f>IF(A81=FALSE,"",TQ81*Cotations!EA81)</f>
        <v/>
      </c>
      <c r="TS81" s="494" t="str">
        <f>IF(A81=FALSE,"",TQ81*Cotations!EB81)</f>
        <v/>
      </c>
      <c r="TT81" s="338" t="str">
        <f t="shared" si="800"/>
        <v/>
      </c>
      <c r="TU81" s="919" t="str">
        <f>IF(A81=FALSE,"",((TG81*(1+TAXE)-(TG81*(1+TAXE)*TI81))+IF(TM81="N/A",0,IF(INDEX(LISTES!$F$105:$F$109,MATCH(TM81,LISTES!$C$105:$C$109,0))="FIX",TN81,TO81*TL81))))</f>
        <v/>
      </c>
      <c r="UA81" s="492" t="str">
        <f>IF(A81=FALSE,"",Cotations!D81)</f>
        <v/>
      </c>
      <c r="UB81" s="491" t="str">
        <f>IF(A81=FALSE,"",IF(LISTES!$A$17=1,Cotations!EC81,Cotations!ED81))</f>
        <v/>
      </c>
      <c r="UC81" s="285" t="str">
        <f t="shared" si="801"/>
        <v/>
      </c>
      <c r="UD81" s="300" t="str">
        <f>IF(A81=FALSE,"",Detail!CY81)</f>
        <v/>
      </c>
      <c r="UE81" s="461" t="str">
        <f t="shared" si="802"/>
        <v/>
      </c>
      <c r="UF81" s="490" t="str">
        <f>IF(A81=FALSE,"",IF(UA81="FIXE",Cotations!EF81,Cotations!EG81*Y81))</f>
        <v/>
      </c>
      <c r="UG81" s="300" t="str">
        <f t="shared" si="803"/>
        <v/>
      </c>
      <c r="UH81" s="522" t="str">
        <f>IF(A81=FALSE,"",IF(Cotations!EE81="monthly",UG81/12*L81,UG81/365*M81))</f>
        <v/>
      </c>
      <c r="UI81" s="489" t="str">
        <f>IF(A81=FALSE,"",IF(Cotations!EH81="","",Cotations!EH81))</f>
        <v/>
      </c>
      <c r="UJ81" s="300" t="str">
        <f t="shared" si="804"/>
        <v/>
      </c>
      <c r="UK81" s="300" t="str">
        <f t="shared" si="805"/>
        <v/>
      </c>
      <c r="UL81" s="919" t="str">
        <f t="shared" si="806"/>
        <v/>
      </c>
      <c r="UM81" s="517" t="str">
        <f>IF(A81=FALSE,"",Cotations!EI81)</f>
        <v/>
      </c>
      <c r="UN81" s="517" t="str">
        <f>IF(A81=FALSE,"",Cotations!EJ81)</f>
        <v/>
      </c>
      <c r="UO81" s="493" t="str">
        <f>IF(A81=FALSE,"",Cotations!EK81)</f>
        <v/>
      </c>
      <c r="UP81" s="517" t="str">
        <f>IF(A81=FALSE,"",IF(UM81="N/A",0,IF(INDEX(LISTES!$F$105:$F$109,MATCH(UM81,LISTES!$C$105:$C$109,0))="FIX",IF(INDEX(LISTES!$E$105:$E$109,MATCH(UM81,LISTES!$C$105:$C$109,0))=12,UN81/12*L81,UN81/365*M81),UO81*UL81)))</f>
        <v/>
      </c>
      <c r="UQ81" s="294" t="str">
        <f t="shared" si="807"/>
        <v/>
      </c>
      <c r="UR81" s="494" t="str">
        <f>IF(A81=FALSE,"",UQ81*Cotations!EL81)</f>
        <v/>
      </c>
      <c r="US81" s="494" t="str">
        <f>IF(A81=FALSE,"",UQ81*Cotations!EM81)</f>
        <v/>
      </c>
      <c r="UT81" s="338" t="str">
        <f t="shared" si="808"/>
        <v/>
      </c>
      <c r="UU81" s="919" t="str">
        <f>IF(A81=FALSE,"",((UG81*(1+TAXE)-(UG81*(1+TAXE)*UI81))+IF(UM81="N/A",0,IF(INDEX(LISTES!$F$105:$F$109,MATCH(UM81,LISTES!$C$105:$C$109,0))="FIX",UN81,UO81*UL81))))</f>
        <v/>
      </c>
      <c r="VA81" s="492" t="str">
        <f>IF(A81=FALSE,"",Cotations!D81)</f>
        <v/>
      </c>
      <c r="VB81" s="519" t="str">
        <f>IF(A81=FALSE,"",IF(LISTES!$A$17=1,Cotations!EN81,Cotations!EO81))</f>
        <v/>
      </c>
      <c r="VC81" s="291" t="str">
        <f t="shared" si="809"/>
        <v/>
      </c>
      <c r="VD81" s="291" t="str">
        <f t="shared" si="810"/>
        <v/>
      </c>
      <c r="VE81" s="291"/>
      <c r="VF81" s="463"/>
      <c r="VG81" s="463" t="str">
        <f t="shared" si="811"/>
        <v/>
      </c>
      <c r="VH81" s="522" t="str">
        <f>IF(A81=FALSE,"",IF(Cotations!$AQ$4="monthly",VG81/12*L81,VG81/365*M81))</f>
        <v/>
      </c>
      <c r="VI81" s="489" t="str">
        <f>IF(A81=FALSE,"",Cotations!$AR$4)</f>
        <v/>
      </c>
      <c r="VJ81" s="300" t="str">
        <f t="shared" si="812"/>
        <v/>
      </c>
      <c r="VK81" s="300" t="str">
        <f t="shared" si="813"/>
        <v/>
      </c>
      <c r="VL81" s="294" t="str">
        <f t="shared" si="814"/>
        <v/>
      </c>
      <c r="VM81" s="494" t="str">
        <f>IF(A81=FALSE,"",Cotations!$AS$4)</f>
        <v/>
      </c>
      <c r="VN81" s="494" t="str">
        <f>IF(A81=FALSE,"",Cotations!$AT$4)</f>
        <v/>
      </c>
      <c r="VO81" s="489" t="str">
        <f>IF(A81=FALSE,"",Cotations!$AU$4)</f>
        <v/>
      </c>
      <c r="VP81" s="494" t="str">
        <f>IF(A81=FALSE,"",IF(VM81="N/A",0,IF(INDEX(LISTES!$F$105:$F$109,MATCH(VM81,LISTES!$C$105:$C$109,0))="FIX",IF(INDEX(LISTES!$E$105:$E$109,MATCH(VM81,LISTES!$C$105:$C$109,0))=12,VN81/12*L81,VN81/365*M81),VO81*VL81)))</f>
        <v/>
      </c>
      <c r="VQ81" s="294" t="str">
        <f t="shared" si="815"/>
        <v/>
      </c>
      <c r="VR81" s="494" t="str">
        <f>IF(A81=FALSE,"",VQ81*Cotations!$AV$4)</f>
        <v/>
      </c>
      <c r="VS81" s="494" t="str">
        <f>IF(A81=FALSE,"",VQ81*Cotations!$AW$4)</f>
        <v/>
      </c>
      <c r="VT81" s="465" t="str">
        <f t="shared" si="816"/>
        <v/>
      </c>
      <c r="VU81" s="919" t="str">
        <f>IF(A81=FALSE,"",((VG81*TAXE)-(VG81*TAXE*VI81))+IF(VM81="N/A",0,IF(INDEX(LISTES!$F$105:$F$109,MATCH(VM81,LISTES!$C$105:$C$109,0))="FIX",VN81,VO81*VL81)))</f>
        <v/>
      </c>
      <c r="WA81" s="492" t="str">
        <f>IF(A81=FALSE,"",Cotations!D81)</f>
        <v/>
      </c>
      <c r="WB81" s="519" t="str">
        <f>IF(A81=FALSE,"",IF(LISTES!$A$17=1,Cotations!EW81,Cotations!EX81))</f>
        <v/>
      </c>
      <c r="WC81" s="291" t="str">
        <f t="shared" si="817"/>
        <v/>
      </c>
      <c r="WD81" s="291" t="str">
        <f t="shared" si="818"/>
        <v/>
      </c>
      <c r="WE81" s="291"/>
      <c r="WF81" s="463"/>
      <c r="WG81" s="463" t="str">
        <f t="shared" si="819"/>
        <v/>
      </c>
      <c r="WH81" s="522" t="str">
        <f>IF(A81=FALSE,"",IF(Cotations!$AQ$4="monthly",WG81/12*L81,WG81/365*M81))</f>
        <v/>
      </c>
      <c r="WI81" s="489" t="str">
        <f>IF(A81=FALSE,"",Cotations!$AR$4)</f>
        <v/>
      </c>
      <c r="WJ81" s="300" t="str">
        <f t="shared" si="820"/>
        <v/>
      </c>
      <c r="WK81" s="300" t="str">
        <f t="shared" si="821"/>
        <v/>
      </c>
      <c r="WL81" s="294" t="str">
        <f t="shared" si="822"/>
        <v/>
      </c>
      <c r="WM81" s="494" t="str">
        <f>IF(A81=FALSE,"",Cotations!$AS$4)</f>
        <v/>
      </c>
      <c r="WN81" s="494" t="str">
        <f>IF(A81=FALSE,"",Cotations!$AT$4)</f>
        <v/>
      </c>
      <c r="WO81" s="489" t="str">
        <f>IF(A81=FALSE,"",Cotations!$AU$4)</f>
        <v/>
      </c>
      <c r="WP81" s="494" t="str">
        <f>IF(A81=FALSE,"",IF(WM81="N/A",0,IF(INDEX(LISTES!$F$105:$F$109,MATCH(WM81,LISTES!$C$105:$C$109,0))="FIX",IF(INDEX(LISTES!$E$105:$E$109,MATCH(WM81,LISTES!$C$105:$C$109,0))=12,WN81/12*L81,WN81/365*M81),WO81*WL81)))</f>
        <v/>
      </c>
      <c r="WQ81" s="294" t="str">
        <f t="shared" si="823"/>
        <v/>
      </c>
      <c r="WR81" s="494" t="str">
        <f>IF(A81=FALSE,"",WQ81*Cotations!$AV$4)</f>
        <v/>
      </c>
      <c r="WS81" s="494" t="str">
        <f>IF(A81=FALSE,"",WQ81*Cotations!$AW$4)</f>
        <v/>
      </c>
      <c r="WT81" s="465" t="str">
        <f t="shared" si="824"/>
        <v/>
      </c>
      <c r="WU81" s="919" t="str">
        <f>IF(A81=FALSE,"",((WG81*TAXE)-(WG81*TAXE*WI81))+IF(WM81="N/A",0,IF(INDEX(LISTES!$F$105:$F$109,MATCH(WM81,LISTES!$C$105:$C$109,0))="FIX",WN81,WO81*WL81)))</f>
        <v/>
      </c>
    </row>
    <row r="82" spans="1:619">
      <c r="A82" s="942" t="b">
        <f t="shared" si="629"/>
        <v>0</v>
      </c>
      <c r="B82" s="942" t="b">
        <f>IF(NAMES!$B$9=TRUE,TRUE,FALSE)</f>
        <v>1</v>
      </c>
      <c r="C82" s="942" t="b">
        <f t="shared" si="825"/>
        <v>0</v>
      </c>
      <c r="D82" s="942" t="b">
        <f t="shared" si="826"/>
        <v>0</v>
      </c>
      <c r="E82" s="274" t="b">
        <f>IF(Cotations!C82="","",Cotations!C82)</f>
        <v>0</v>
      </c>
      <c r="F82" s="274" t="str">
        <f>IF(Cotations!D82="","",Cotations!D82)</f>
        <v>PROP</v>
      </c>
      <c r="G82" s="274" t="str">
        <f>IF(Cotations!E82="","",Cotations!E82)</f>
        <v>2016-2017!</v>
      </c>
      <c r="H82" s="274" t="str">
        <f>IF(Cotations!F82="","",Cotations!F82)</f>
        <v>SINGLE</v>
      </c>
      <c r="I82" s="274" t="str">
        <f>IF(Cotations!G82="","",Cotations!G82)</f>
        <v/>
      </c>
      <c r="J82" s="274" t="str">
        <f>IF(Cotations!H82="","",Cotations!H82)</f>
        <v/>
      </c>
      <c r="K82" s="274" t="str">
        <f>IF(Cotations!I82="","",Cotations!I82)</f>
        <v/>
      </c>
      <c r="L82" s="274" t="str">
        <f>IF(A82=FALSE,"",IF(Cotations!N82="","",Cotations!N82))</f>
        <v/>
      </c>
      <c r="M82" s="274" t="str">
        <f>IF(Cotations!P82="","",Cotations!P82)</f>
        <v/>
      </c>
      <c r="N82" s="724" t="str">
        <f>IF(NAMES!$B$10=TRUE,Cotations!J82,Cotations!L82)</f>
        <v/>
      </c>
      <c r="O82" s="724" t="str">
        <f>IF(NAMES!$B$10=TRUE,Cotations!K82,Cotations!M82)</f>
        <v/>
      </c>
      <c r="P82" s="943" t="str">
        <f t="shared" si="827"/>
        <v/>
      </c>
      <c r="Q82" s="724" t="str">
        <f>IF(A82=FALSE,"",IF(Crewlist!Y82="","",Crewlist!Y82))</f>
        <v/>
      </c>
      <c r="R82" s="78" t="str">
        <f>IF(Cotations!U82="","",Cotations!U82)</f>
        <v/>
      </c>
      <c r="S82" s="943" t="str">
        <f t="shared" si="828"/>
        <v/>
      </c>
      <c r="T82" s="919" t="str">
        <f>IF(A82=FALSE,"",VLOOKUP($U$15:$U$120,Currency!$A$2:$D$10,4,0)*Crewlist!N82)</f>
        <v/>
      </c>
      <c r="U82" s="1355" t="str">
        <f>IF(A82=FALSE,"",IF(IT82=0,Crewlist!M82&amp;"/"&amp;EX82,Crewlist!M82&amp;"/"&amp;IT82))</f>
        <v/>
      </c>
      <c r="V82" s="919" t="str">
        <f>IF(A82=FALSE,"",VLOOKUP($U$15:$U$120,Currency!$A$2:$D$10,4,0)*Detail!Q82)</f>
        <v/>
      </c>
      <c r="W82" s="1355" t="str">
        <f>IF(A82=FALSE,"",IF(IT82=0,Detail!R82&amp;"/"&amp;EX82,Detail!R82&amp;"/"&amp;IT82))</f>
        <v/>
      </c>
      <c r="X82" s="919" t="str">
        <f>IF(A82=FALSE,"",IF(LISTES!$C$17="Crewlist",Calcul!T82,Calcul!V82))</f>
        <v/>
      </c>
      <c r="Y82" s="758" t="str">
        <f t="shared" si="829"/>
        <v/>
      </c>
      <c r="Z82" s="758" t="str">
        <f>IF(A82=FALSE,"",IF(X82=0,0,IF((Cotations!BC82*12*X82)&lt;50000,50000,(12*X82))))</f>
        <v/>
      </c>
      <c r="AA82" s="758" t="str">
        <f t="shared" si="830"/>
        <v/>
      </c>
      <c r="AB82" s="758" t="str">
        <f>IF(A82=FALSE,"",IF(Crewlist!O82=0,"",Crewlist!O82))</f>
        <v/>
      </c>
      <c r="AC82" s="758" t="str">
        <f>IF(I82="","",VLOOKUP($AB$15:$AB$120,Currency!$A$15:$B$34,2,0))</f>
        <v/>
      </c>
      <c r="AD82" s="758" t="str">
        <f t="shared" si="831"/>
        <v/>
      </c>
      <c r="AE82" s="758" t="str">
        <f t="shared" si="832"/>
        <v/>
      </c>
      <c r="AF82" s="758" t="str">
        <f t="shared" si="833"/>
        <v/>
      </c>
      <c r="AG82" s="758" t="str">
        <f t="shared" si="834"/>
        <v/>
      </c>
      <c r="AH82" s="1355" t="str">
        <f t="shared" si="630"/>
        <v/>
      </c>
      <c r="AI82" s="919" t="str">
        <f t="shared" si="835"/>
        <v/>
      </c>
      <c r="AJ82" s="1382" t="str">
        <f t="shared" si="836"/>
        <v/>
      </c>
      <c r="AK82" s="1382" t="str">
        <f t="shared" si="837"/>
        <v/>
      </c>
      <c r="AL82" s="238" t="str">
        <f t="shared" si="631"/>
        <v/>
      </c>
      <c r="AM82" s="238" t="str">
        <f t="shared" si="632"/>
        <v/>
      </c>
      <c r="AN82" s="1374" t="str">
        <f t="shared" si="633"/>
        <v/>
      </c>
      <c r="AO82" s="238" t="str">
        <f t="shared" si="634"/>
        <v/>
      </c>
      <c r="AP82" s="342" t="str">
        <f>IF(A82=FALSE,"",INDEX(Rates!$Z$5:$Z$367,MATCH(EB82,colchoice,0)))</f>
        <v/>
      </c>
      <c r="AQ82" s="238" t="str">
        <f t="shared" si="635"/>
        <v/>
      </c>
      <c r="AR82" s="238" t="str">
        <f t="shared" si="636"/>
        <v/>
      </c>
      <c r="AS82" s="238" t="str">
        <f t="shared" si="637"/>
        <v/>
      </c>
      <c r="AT82" s="238" t="str">
        <f t="shared" si="638"/>
        <v/>
      </c>
      <c r="AU82" s="238" t="str">
        <f t="shared" si="639"/>
        <v/>
      </c>
      <c r="AV82" s="238" t="str">
        <f t="shared" si="838"/>
        <v/>
      </c>
      <c r="AW82" s="238" t="str">
        <f t="shared" si="640"/>
        <v/>
      </c>
      <c r="AX82" s="238" t="str">
        <f t="shared" si="641"/>
        <v/>
      </c>
      <c r="AY82" s="238" t="str">
        <f t="shared" si="642"/>
        <v/>
      </c>
      <c r="AZ82" s="238" t="str">
        <f t="shared" si="643"/>
        <v/>
      </c>
      <c r="BA82" s="238" t="str">
        <f t="shared" si="644"/>
        <v/>
      </c>
      <c r="BB82" s="552" t="str">
        <f t="shared" si="645"/>
        <v/>
      </c>
      <c r="BC82" s="347" t="str">
        <f t="shared" si="646"/>
        <v/>
      </c>
      <c r="BD82" s="239" t="str">
        <f t="shared" si="839"/>
        <v/>
      </c>
      <c r="BE82" s="239" t="str">
        <f>IF(A82=FALSE,"",IF(ALLTHESAME=TRUE,IF(DF82&lt;&gt;$BC$7,0,INDEX(DD82:DZ82,1,MATCH(Structure!$D$12,$DD$14:$DZ$14,0))),IF(EC82&lt;&gt;$BC$7,0,INDEX(EA82:EZ82,1,MATCH(Structure!$D$12,$EA$14:$EZ$14,0)))))</f>
        <v/>
      </c>
      <c r="BF82" s="239" t="str">
        <f>IF(A82=FALSE,"",IF(ALLTHESAME=TRUE,IF(FC82&lt;&gt;$BC$7,0,INDEX(FA82:FZ82,1,MATCH(Structure!$D$12,$FA$14:$FZ$14,0))),IF(GC82&lt;&gt;$BC$7,0,INDEX(GA82:GZ82,1,MATCH(Structure!$D$12,$GA$14:$GZ$14,0)))))</f>
        <v/>
      </c>
      <c r="BG82" s="239" t="str">
        <f>IF(A82=FALSE,"",IF(ALLTHESAME=TRUE,IF(VC82&lt;&gt;$BC$7,0,INDEX(VA82:VZ82,1,MATCH(Structure!$D$12,$VA$14:$VZ$14,0))),IF(VC82&lt;&gt;$BC$7,0,INDEX(VA82:VZ82,1,MATCH(Structure!$D$12,$VA$14:$VZ$14,0)))))</f>
        <v/>
      </c>
      <c r="BH82" s="239" t="str">
        <f>IF(A82=FALSE,"",IF(ALLTHESAME=TRUE,IF(WC82&lt;&gt;$BC$7,0,INDEX(WA82:WY82,1,MATCH(Structure!$D$12,$WA$14:$WZ$14,0))),IF(WC82&lt;&gt;$BC$7,0,INDEX(WA82:WZ82,1,MATCH(Structure!$D$12,$WA$14:$WZ$14,0)))))</f>
        <v/>
      </c>
      <c r="BI82" s="763" t="str">
        <f>IF(A82=FALSE,"",IF(ALLTHESAME=TRUE,IF(HC82&lt;&gt;$BC$7,0,INDEX(HA82:HZ82,1,MATCH(Structure!$D$12,$HA$14:$HZ$14,0)))+TK82,IF(IC82&lt;&gt;$BC$7,0,INDEX(IA82:IZ82,1,MATCH(Structure!$D$12,$IA$14:$IZ$14,0)))+TK82))</f>
        <v/>
      </c>
      <c r="BJ82" s="239" t="str">
        <f>IF(A82=FALSE,"",IF(ALLTHESAME=TRUE,IF(JC82&lt;&gt;$BC$7,0,INDEX(JA82:JZ82,1,MATCH(Structure!$D$12,$JA$14:$JZ$14,0))),IF(KC82&lt;&gt;$BC$7,0,INDEX(KA82:KZ82,1,MATCH(Structure!$D$12,$KA$14:$KZ$14,0)))))</f>
        <v/>
      </c>
      <c r="BK82" s="763" t="str">
        <f>IF(A82=FALSE,"",IF(ALLTHESAME=TRUE,IF(LC82&lt;&gt;$BC$7,0,INDEX(LA82:LZ82,1,MATCH(Structure!$D$12,$LA$14:$LZ$14,0)))+UK82,IF(MC82&lt;&gt;$BC$7,0,INDEX(MA82:MZ82,1,MATCH(Structure!$D$12,$MA$14:$MZ$14,0)))+UK82))</f>
        <v/>
      </c>
      <c r="BL82" s="239" t="str">
        <f>IF(A82=FALSE,"",IF(ALLTHESAME=TRUE,IF(NC82&lt;&gt;$BC$7,0,INDEX(NA82:NZ82,1,MATCH(Structure!$D$12,$NA$14:$NZ$14,0))),IF(OC82&lt;&gt;$BC$7,0,INDEX(OA82:OZ82,1,MATCH(Structure!$D$12,$OA$14:$OZ$14,0)))))</f>
        <v/>
      </c>
      <c r="BM82" s="239" t="str">
        <f>IF(A82=FALSE,"",IF(ALLTHESAME=TRUE,IF(PC82&lt;&gt;$BC$7,0,INDEX(PA82:PZ82,1,MATCH(Structure!$D$12,$PA$14:$PZ$14,0))),IF(QC82&lt;&gt;$BC$7,0,INDEX(QA82:QZ82,1,MATCH(Structure!$D$12,$QA$14:$QZ$14,0)))))</f>
        <v/>
      </c>
      <c r="BN82" s="341" t="str">
        <f>IF(A82=FALSE,"",IF(ALLTHESAME=TRUE,IF(RC82&lt;&gt;$BC$7,0,INDEX(RA82:RZ82,1,MATCH(Structure!$D$12,$RA$14:$RZ$14,0))),IF(SC82&lt;&gt;$BC$7,0,INDEX(SA82:TA82,1,MATCH(Structure!$D$12,$SA$14:$TA$14,0)))))</f>
        <v/>
      </c>
      <c r="BO82" s="507" t="str">
        <f t="shared" si="647"/>
        <v/>
      </c>
      <c r="BP82" s="239" t="str">
        <f t="shared" si="648"/>
        <v/>
      </c>
      <c r="BQ82" s="239" t="str">
        <f>IF(A82=FALSE,"",IF(ALLTHESAME=TRUE,IF(DF82&lt;&gt;$BO$7,0,INDEX(DD82:DZ82,1,MATCH(Structure!$D$12,$DD$14:$DZ$14,0))),IF(EC82&lt;&gt;$BO$7,0,INDEX(EA82:EZ82,1,MATCH(Structure!$D$12,$EA$14:$EZ$14,0)))))</f>
        <v/>
      </c>
      <c r="BR82" s="239" t="str">
        <f>IF(A82=FALSE,"",IF(ALLTHESAME=TRUE,IF(FC82&lt;&gt;$BO$7,0,INDEX(FA82:FZ82,1,MATCH(Structure!$D$12,$FA$14:$FZ$14,0))),IF(GC82&lt;&gt;$BO$7,0,INDEX(GA82:GZ82,1,MATCH(Structure!$D$12,$GA$14:$GZ$14,0)))))</f>
        <v/>
      </c>
      <c r="BS82" s="239" t="str">
        <f>IF(A82=FALSE,"",IF(ALLTHESAME=TRUE,IF(HC82&lt;&gt;$BO$7,0,INDEX(HA82:HZ82,1,MATCH(Structure!$D$12,$HA$14:$HZ$14,0))),IF(IC82&lt;&gt;$BO$7,0,INDEX(IA82:IZ82,1,MATCH(Structure!$D$12,$IA$14:$IZ$14,0)))))</f>
        <v/>
      </c>
      <c r="BT82" s="239" t="str">
        <f>IF(A82=FALSE,"",IF(ALLTHESAME=TRUE,IF(JC82&lt;&gt;$BO$7,0,INDEX(JA82:JZ82,1,MATCH(Structure!$D$12,$JA$14:$JZ$14,0))),IF(KC82&lt;&gt;$BO$7,0,INDEX(KA82:KZ82,1,MATCH(Structure!$D$12,$KA$14:$KZ$14,0)))))</f>
        <v/>
      </c>
      <c r="BU82" s="239" t="str">
        <f>IF(A82=FALSE,"",IF(ALLTHESAME=TRUE,IF(LC82&lt;&gt;$BO$7,0,INDEX(LA82:LZ82,1,MATCH(Structure!$D$12,$LA$14:$LZ$14,0))),IF(MC82&lt;&gt;$BO$7,0,INDEX(MA82:MZ82,1,MATCH(Structure!$D$12,$MA$14:$MZ$14,0)))))</f>
        <v/>
      </c>
      <c r="BV82" s="239" t="str">
        <f>IF(A82=FALSE,"",IF(ALLTHESAME=TRUE,IF(NC82&lt;&gt;$BO$7,0,INDEX(NA82:NZ82,1,MATCH(Structure!$D$12,$NA$14:$NZ$14,0))),IF(OC82&lt;&gt;$BO$7,0,INDEX(OA82:OZ82,1,MATCH(Structure!$D$12,$OA$14:$OZ$14,0)))))</f>
        <v/>
      </c>
      <c r="BW82" s="239" t="str">
        <f>IF(A82=FALSE,"",IF(ALLTHESAME=TRUE,IF(PC82&lt;&gt;$BO$7,0,INDEX(PA82:PZ82,1,MATCH(Structure!$D$12,$PA$14:$PZ$14,0))),IF(QC82&lt;&gt;$BO$7,0,INDEX(QA82:QZ82,1,MATCH(Structure!$D$12,$QA$14:$QZ$14,0)))))</f>
        <v/>
      </c>
      <c r="BX82" s="341" t="str">
        <f>IF(A82=FALSE,"",IF(ALLTHESAME=TRUE,IF(RC82&lt;&gt;$BO$7,0,INDEX(RA82:RZ82,1,MATCH(Structure!$D$12,$RA$14:$RZ$14,0))),IF(SC82&lt;&gt;$BO$7,0,INDEX(SA82:TA82,1,MATCH(Structure!$D$12,$SA$14:$TA$14,0)))))</f>
        <v/>
      </c>
      <c r="BY82" s="347" t="str">
        <f t="shared" si="649"/>
        <v/>
      </c>
      <c r="BZ82" s="507" t="str">
        <f t="shared" si="650"/>
        <v/>
      </c>
      <c r="CA82" s="239" t="str">
        <f t="shared" si="651"/>
        <v/>
      </c>
      <c r="CB82" s="239" t="str">
        <f>IF(A82=FALSE,"",IF(ALLTHESAME=TRUE,INDEX(DD82:DZ82,MATCH(DF82,DF82:DF187,0),MATCH(Structure!$D$17,$DD$14:$DZ$14,0)),INDEX(EA82:EZ82,MATCH(EC82,EC82:EC187,0),MATCH(Structure!$D$17,$EA$14:$EZ$14,0))))</f>
        <v/>
      </c>
      <c r="CC82" s="239" t="str">
        <f>IF(A82=FALSE,"",IF(ALLTHESAME=TRUE,INDEX(FA82:FZ82,MATCH(FC82,FC82:FC187,0),MATCH(Structure!$D$17,$FA$14:$FZ$14,0)),INDEX(GA82:GZ82,MATCH(GC82,GC82:GC187,0),MATCH(Structure!$D$17,$GA$14:$GZ$14,0))))</f>
        <v/>
      </c>
      <c r="CD82" s="239" t="str">
        <f>IF(A82=FALSE,"",IF(ALLTHESAME=TRUE,INDEX(HA82:HZ82,MATCH(HC82,HC82:HC187,0),MATCH(Structure!$D$17,$HA$14:$HZ$14,0)),INDEX(IA82:IZ82,MATCH(IC82,IC82:IC187,0),MATCH(Structure!$D$17,$IA$14:$IZ$14,0))))</f>
        <v/>
      </c>
      <c r="CE82" s="239" t="str">
        <f>IF(A82=FALSE,"",IF(ALLTHESAME=TRUE,INDEX(JA82:JZ82,MATCH(JC82,JC82:JC187,0),MATCH(Structure!$D$17,$JA$14:$JZ$14,0)),INDEX(KA82:KZ82,MATCH(KC82,KC82:KC187,0),MATCH(Structure!$D$17,$KA$14:$KZ$14,0))))</f>
        <v/>
      </c>
      <c r="CF82" s="239" t="str">
        <f>IF(A82=FALSE,"",IF(ALLTHESAME=TRUE,INDEX(LA82:LZ82,MATCH(LC82,LC82:LC187,0),MATCH(Structure!$D$17,$LA$14:$LZ$14,0)),INDEX(MA82:MZ82,MATCH(MC82,MC82:MC187,0),MATCH(Structure!$D$17,$MA$14:$MZ$14,0))))</f>
        <v/>
      </c>
      <c r="CG82" s="239" t="str">
        <f>IF(A82=FALSE,"",IF(ALLTHESAME=TRUE,INDEX(NA82:NZ82,MATCH(NC82,NC82:NC187,0),MATCH(Structure!$D$17,$NA$14:$NZ$14,0)),INDEX(OA82:OZ82,MATCH(OC82,OC82:OC187,0),MATCH(Structure!$D$17,$OA$14:$OZ$14,0))))</f>
        <v/>
      </c>
      <c r="CH82" s="239" t="str">
        <f>IF(A82=FALSE,"",IF(ALLTHESAME=TRUE,INDEX(PA82:PZ82,MATCH(PC82,PC82:PC187,0),MATCH(Structure!$D$17,$PA$14:$PZ$14,0)),INDEX(QA82:QZ82,MATCH(QC82,QC82:QC187,0),MATCH(Structure!$D$17,$QA$14:$QZ$14,0))))</f>
        <v/>
      </c>
      <c r="CI82" s="341" t="str">
        <f>IF(A82=FALSE,"",IF(ALLTHESAME=TRUE,INDEX(RA82:RZ82,MATCH(RC82,RC82:RC187,0),MATCH(Structure!$D$17,$RA$14:$RZ$14,0)),INDEX(SA82:TC82,MATCH(SC82,SC82:SC187,0),MATCH(Structure!$D$17,$SA$14:$TC$14,0))))</f>
        <v/>
      </c>
      <c r="CJ82" s="347"/>
      <c r="CK82" s="239" t="str">
        <f t="shared" si="652"/>
        <v/>
      </c>
      <c r="CL82" s="239" t="str">
        <f>IF(A82=FALSE,"",IF(ALLTHESAME=TRUE,INDEX(DD82:DZ82,MATCH(DF82,DF82:DF187,0),MATCH(Structure!$D$22,$DD$14:$DZ$14,0)),INDEX(EA82:EZ82,MATCH(EC82,EC82:EC187,0),MATCH(Structure!$D$22,$EA$14:$EZ$14,0))))</f>
        <v/>
      </c>
      <c r="CM82" s="239" t="str">
        <f>IF(A82=FALSE,"",IF(ALLTHESAME=TRUE,INDEX(FA82:FZ82,MATCH(FC82,FC82:FC187,0),MATCH(Structure!$D$22,$FA$14:$FZ$14,0)),INDEX(GA82:GZ82,MATCH(GC82,GC82:GC187,0),MATCH(Structure!$D$22,$GA$14:$GZ$14,0))))</f>
        <v/>
      </c>
      <c r="CN82" s="239" t="str">
        <f>IF(A82=FALSE,"",IF(ALLTHESAME=TRUE,INDEX(HA82:HZ82,MATCH(HC82,HC82:HC187,0),MATCH(Structure!$D$22,$HA$14:$HZ$14,0)),INDEX(IA82:IZ82,MATCH(IC82,IC82:IC187,0),MATCH(Structure!$D$22,$IA$14:$IZ$14,0))))</f>
        <v/>
      </c>
      <c r="CO82" s="239" t="str">
        <f>IF(A82=FALSE,"",IF(ALLTHESAME=TRUE,INDEX(JA82:JZ82,MATCH(JC82,JC82:JC187,0),MATCH(Structure!$D$22,$JA$14:$JZ$14,0)),INDEX(KA82:KZ82,MATCH(KC82,KC82:KC187,0),MATCH(Structure!$D$22,$KA$14:$KZ$14,0))))</f>
        <v/>
      </c>
      <c r="CP82" s="239" t="str">
        <f>IF(A82=FALSE,"",IF(ALLTHESAME=TRUE,INDEX(LA82:LZ82,MATCH(LC82,LC82:LC187,0),MATCH(Structure!$D$22,$LA$14:$LZ$14,0)),INDEX(MA82:MZ82,MATCH(MC82,MC82:MC187,0),MATCH(Structure!$D$22,$MA$14:$MZ$14,0))))</f>
        <v/>
      </c>
      <c r="CQ82" s="239" t="str">
        <f>IF(A82=FALSE,"",IF(ALLTHESAME=TRUE,INDEX(NA82:NZ82,MATCH(NC82,NC82:NC187,0),MATCH(Structure!$D$22,$NA$14:$NZ$14,0)),INDEX(OA82:OZ82,MATCH(OC82,OC82:OC187,0),MATCH(Structure!$D$22,$OA$14:$OZ$14,0))))</f>
        <v/>
      </c>
      <c r="CR82" s="239" t="str">
        <f>IF(A82=FALSE,"",IF(ALLTHESAME=TRUE,INDEX(PA82:PZ82,MATCH(PC82,PC82:PC187,0),MATCH(Structure!$D$22,$PA$14:$PZ$14,0)),INDEX(QA82:QZ82,MATCH(QC82,QC82:QC187,0),MATCH(Structure!$D$22,$QA$14:$QZ$14,0))))</f>
        <v/>
      </c>
      <c r="CS82" s="341" t="str">
        <f>IF(A82=FALSE,"",IF(ALLTHESAME=TRUE,INDEX(RA82:RZ82,MATCH(RC82,RC82:RC187,0),MATCH(Structure!$D$22,$RA$14:$RZ$14,0)),INDEX(SA82:TC82,MATCH(SC82,SC82:SC187,0),MATCH(Structure!$D$22,$SA$14:$TC$14,0))))</f>
        <v/>
      </c>
      <c r="CT82" s="347"/>
      <c r="CU82" s="239" t="str">
        <f t="shared" si="653"/>
        <v/>
      </c>
      <c r="CV82" s="239" t="str">
        <f>IF(A82=FALSE,"",IF(ALLTHESAME=TRUE,INDEX(DD82:DZ82,MATCH(DF82,DF82:DF187,0),MATCH(Structure!$D$8,$DD$14:$DZ$14,0)),INDEX(EA82:EZ82,MATCH(EC82,EC82:EC187,0),MATCH(Structure!$D$8,$EA$14:$EZ$14,0))))</f>
        <v/>
      </c>
      <c r="CW82" s="239" t="str">
        <f>IF(A82=FALSE,"",IF(ALLTHESAME=TRUE,INDEX(FA82:FZ82,MATCH(FC82,FC82:FC187,0),MATCH(Structure!$D$8,$FA$14:$FZ$14,0)),INDEX(GA82:GZ82,MATCH(GC82,GC82:GC187,0),MATCH(Structure!$D$8,$GA$14:$GZ$14,0))))</f>
        <v/>
      </c>
      <c r="CX82" s="239" t="str">
        <f>IF(A82=FALSE,"",IF(ALLTHESAME=TRUE,INDEX(HA82:HZ82,MATCH(HC82,HC82:HC187,0),MATCH(Structure!$D$8,$HA$14:$HZ$14,0)),INDEX(IA82:IZ82,MATCH(IC82,IC82:IC187,0),MATCH(Structure!$D$8,$IA$14:$IZ$14,0))))</f>
        <v/>
      </c>
      <c r="CY82" s="239" t="str">
        <f>IF(A82=FALSE,"",IF(ALLTHESAME=TRUE,INDEX(JA82:JZ82,MATCH(JC82,JC82:JC187,0),MATCH(Structure!$D$8,$JA$14:$JZ$14,0)),INDEX(KA82:KZ82,MATCH(KC82,KC82:KC187,0),MATCH(Structure!$D$8,$KA$14:$KZ$14,0))))</f>
        <v/>
      </c>
      <c r="CZ82" s="239" t="str">
        <f>IF(A82=FALSE,"",IF(ALLTHESAME=TRUE,INDEX(LA82:LZ82,MATCH(LC82,LC82:LC187,0),MATCH(Structure!$D$8,$LA$14:$LZ$14,0)),INDEX(MA82:MZ82,MATCH(MC82,MC82:MC187,0),MATCH(Structure!$D$8,$MA$14:$MZ$14,0))))</f>
        <v/>
      </c>
      <c r="DA82" s="239" t="str">
        <f>IF(A82=FALSE,"",IF(ALLTHESAME=TRUE,INDEX(NA82:NZ82,MATCH(NC82,NC82:NC187,0),MATCH(Structure!$D$8,$NA$14:$NZ$14,0)),INDEX(OA82:OZ82,MATCH(OC82,OC82:OC187,0),MATCH(Structure!$D$8,$OA$14:$OZ$14,0))))</f>
        <v/>
      </c>
      <c r="DB82" s="239" t="str">
        <f>IF(A82=FALSE,"",IF(ALLTHESAME=TRUE,INDEX(PA82:PZ82,MATCH(PC82,PC82:PC187,0),MATCH(Structure!$D$8,$PA$14:$PZ$14,0)),INDEX(QA82:QZ82,MATCH(QC82,QC82:QC187,0),MATCH(Structure!$D$8,$QA$14:$QZ$14,0))))</f>
        <v/>
      </c>
      <c r="DC82" s="341" t="str">
        <f>IF(A82=FALSE,"",IF(ALLTHESAME=TRUE,INDEX(RA82:RZ82,MATCH(RC82,RC82:RC187,0),MATCH(Structure!$D$8,$RA$14:$RZ$14,0)),INDEX(SA82:TC82,MATCH(SC82,SC82:SC187,0),MATCH(Structure!$D$8,$SA$14:$TC$14,0))))</f>
        <v/>
      </c>
      <c r="DD82" s="492" t="str">
        <f>IF(A82=FALSE,"",Cotations!D82)</f>
        <v/>
      </c>
      <c r="DE82" s="492" t="str">
        <f>IF(A82=FALSE,"",IF(LISTES!$A$17=1,Cotations!AF82,Cotations!$AG$4))</f>
        <v/>
      </c>
      <c r="DF82" s="291" t="str">
        <f t="shared" si="654"/>
        <v/>
      </c>
      <c r="DG82" s="291" t="str">
        <f t="shared" si="655"/>
        <v/>
      </c>
      <c r="DH82" s="291"/>
      <c r="DI82" s="463"/>
      <c r="DJ82" s="463" t="str">
        <f t="shared" si="656"/>
        <v/>
      </c>
      <c r="DK82" s="522" t="str">
        <f>IF(A82=FALSE,"",IF(Cotations!$AH$4="monthly",DJ82/12*L82,DJ82/365*M82))</f>
        <v/>
      </c>
      <c r="DL82" s="489" t="str">
        <f>IF(A82=FALSE,"",Cotations!$AI$4)</f>
        <v/>
      </c>
      <c r="DM82" s="300" t="str">
        <f t="shared" si="657"/>
        <v/>
      </c>
      <c r="DN82" s="300" t="str">
        <f t="shared" si="658"/>
        <v/>
      </c>
      <c r="DO82" s="294" t="str">
        <f t="shared" si="659"/>
        <v/>
      </c>
      <c r="DP82" s="494" t="str">
        <f>IF(A82=FALSE,"",Cotations!$AJ$4)</f>
        <v/>
      </c>
      <c r="DQ82" s="494" t="str">
        <f>IF(A82=FALSE,"",Cotations!$AK$4)</f>
        <v/>
      </c>
      <c r="DR82" s="489" t="str">
        <f>IF(A82=FALSE,"",Cotations!$AL$4)</f>
        <v/>
      </c>
      <c r="DS82" s="494" t="str">
        <f>IF(A82=FALSE,"",IF(DP82="N/A",0,IF(INDEX(LISTES!$F$105:$F$109,MATCH(DP82,LISTES!$C$105:$C$109,0))="FIX",IF(INDEX(LISTES!$E$105:$E$109,MATCH(DP82,LISTES!$C$105:$C$109,0))=12,DQ82/12*L82,DQ82/365*M82),DR82*DO82)))</f>
        <v/>
      </c>
      <c r="DT82" s="294" t="str">
        <f t="shared" si="660"/>
        <v/>
      </c>
      <c r="DU82" s="294" t="str">
        <f>IF(A82=FALSE,"",DT82*Cotations!$AM$4)</f>
        <v/>
      </c>
      <c r="DV82" s="294" t="str">
        <f>IF(A82=FALSE,"",DT82*Cotations!$AN$4)</f>
        <v/>
      </c>
      <c r="DW82" s="465" t="str">
        <f t="shared" si="661"/>
        <v/>
      </c>
      <c r="DX82" s="919" t="str">
        <f>IF(A82=FALSE,"",((DJ82*TAXE)-(DJ82*TAXE*DL82))+IF(DP82="N/A",0,IF(INDEX(LISTES!$F$105:$F$109,MATCH(DP82,LISTES!$C$105:$C$109,0))="FIX",DQ82,DR82*DO82)))</f>
        <v/>
      </c>
      <c r="DY82" s="466"/>
      <c r="DZ82" s="466"/>
      <c r="EA82" s="492" t="str">
        <f>IF(A82=FALSE,"",Cotations!D82)</f>
        <v/>
      </c>
      <c r="EB82" s="494" t="str">
        <f>IF(A82=FALSE,"",IF(LISTES!$A$17=1,Cotations!AF82,Cotations!AG82))</f>
        <v/>
      </c>
      <c r="EC82" s="284" t="str">
        <f t="shared" si="662"/>
        <v/>
      </c>
      <c r="ED82" s="284" t="str">
        <f t="shared" si="663"/>
        <v/>
      </c>
      <c r="EE82" s="284"/>
      <c r="EF82" s="284"/>
      <c r="EG82" s="284" t="str">
        <f t="shared" si="664"/>
        <v/>
      </c>
      <c r="EH82" s="1365" t="str">
        <f t="shared" si="665"/>
        <v/>
      </c>
      <c r="EI82" s="1365" t="str">
        <f t="shared" si="666"/>
        <v/>
      </c>
      <c r="EJ82" s="515" t="str">
        <f>IF(A82=FALSE,"",IF(Cotations!AH82="monthly",EG82/12*L82,EG82/365*M82))</f>
        <v/>
      </c>
      <c r="EK82" s="1364" t="str">
        <f>IF(A82=FALSE,"",IF(Cotations!AH82="monthly",EI82/12*L82,EI82/365*M82))</f>
        <v/>
      </c>
      <c r="EL82" s="493" t="str">
        <f>IF(A82=FALSE,"",IF(Cotations!AI82="","",Cotations!AI82))</f>
        <v/>
      </c>
      <c r="EM82" s="284" t="str">
        <f t="shared" si="667"/>
        <v/>
      </c>
      <c r="EN82" s="284" t="str">
        <f t="shared" si="668"/>
        <v/>
      </c>
      <c r="EO82" s="1365" t="str">
        <f t="shared" si="840"/>
        <v/>
      </c>
      <c r="EP82" s="284" t="str">
        <f t="shared" si="669"/>
        <v/>
      </c>
      <c r="EQ82" s="515" t="str">
        <f>IF(A82=FALSE,"",Cotations!AJ82)</f>
        <v/>
      </c>
      <c r="ER82" s="515" t="str">
        <f>IF(A82=FALSE,"",IF(Cotations!AK82="","",Cotations!AK82))</f>
        <v/>
      </c>
      <c r="ES82" s="493" t="str">
        <f>IF(A82=FALSE,"",Cotations!AL82)</f>
        <v/>
      </c>
      <c r="ET82" s="515" t="str">
        <f>IF(A82=FALSE,"",IF(EQ82="N/A",0,IF(INDEX(LISTES!$F$105:$F$109,MATCH(EQ82,LISTES!$C$105:$C$109,0))="FIX",IF(INDEX(LISTES!$E$105:$E$109,MATCH(EQ82,LISTES!$C$105:$C$109,0))=12,ER82/12*L82,ER82/365*M82),ES82*EP82)))</f>
        <v/>
      </c>
      <c r="EU82" s="294" t="str">
        <f t="shared" si="670"/>
        <v/>
      </c>
      <c r="EV82" s="494" t="str">
        <f>IF(A82=FALSE,"",EU82*Cotations!AM82)</f>
        <v/>
      </c>
      <c r="EW82" s="494" t="str">
        <f>IF(A82=FALSE,"",EU82*Cotations!AN82)</f>
        <v/>
      </c>
      <c r="EX82" s="334" t="str">
        <f t="shared" si="671"/>
        <v/>
      </c>
      <c r="EY82" s="919" t="str">
        <f>IF(A82=FALSE,"",((EG82*TAXE)-(EG82*TAXE*EL82)+EH82)+IF(EQ82="N/A",0,IF(INDEX(LISTES!$F$105:$F$109,MATCH(EQ82,LISTES!$C$105:$C$109,0))="FIX",ER82,ES82*EP82)))</f>
        <v/>
      </c>
      <c r="FA82" s="492" t="str">
        <f>IF(A82=FALSE,"",Cotations!D82)</f>
        <v/>
      </c>
      <c r="FB82" s="519" t="str">
        <f>IF(A82=FALSE,"",IF(LISTES!$A$17=1,Cotations!AO82,Cotations!$AP$4))</f>
        <v/>
      </c>
      <c r="FC82" s="291" t="str">
        <f t="shared" si="672"/>
        <v/>
      </c>
      <c r="FD82" s="291" t="str">
        <f t="shared" si="673"/>
        <v/>
      </c>
      <c r="FE82" s="291"/>
      <c r="FF82" s="463"/>
      <c r="FG82" s="463" t="str">
        <f t="shared" si="674"/>
        <v/>
      </c>
      <c r="FH82" s="522" t="str">
        <f>IF(A82=FALSE,"",IF(Cotations!$AQ$4="monthly",FG82/12*L82,FG82/365*M82))</f>
        <v/>
      </c>
      <c r="FI82" s="453" t="str">
        <f>IF(A82=FALSE,"",Cotations!$AR$4)</f>
        <v/>
      </c>
      <c r="FJ82" s="300" t="str">
        <f t="shared" si="675"/>
        <v/>
      </c>
      <c r="FK82" s="300" t="str">
        <f t="shared" si="676"/>
        <v/>
      </c>
      <c r="FL82" s="294" t="str">
        <f t="shared" si="677"/>
        <v/>
      </c>
      <c r="FM82" s="494" t="str">
        <f>IF(A82=FALSE,"",Cotations!$AS$4)</f>
        <v/>
      </c>
      <c r="FN82" s="494" t="str">
        <f>IF(A82=FALSE,"",Cotations!$AT$4)</f>
        <v/>
      </c>
      <c r="FO82" s="489" t="str">
        <f>IF(A82=FALSE,"",Cotations!$AU$4)</f>
        <v/>
      </c>
      <c r="FP82" s="494" t="str">
        <f>IF(A82=FALSE,"",IF(FM82="N/A",0,IF(INDEX(LISTES!$F$105:$F$109,MATCH(FM82,LISTES!$C$105:$C$109,0))="FIX",IF(INDEX(LISTES!$E$105:$E$109,MATCH(FM82,LISTES!$C$105:$C$109,0))=12,FN82/12*L82,FN82/365*M82),FO82*FL82)))</f>
        <v/>
      </c>
      <c r="FQ82" s="294" t="str">
        <f t="shared" si="678"/>
        <v/>
      </c>
      <c r="FR82" s="494" t="str">
        <f>IF(A82=FALSE,"",FQ82*Cotations!$AV$4)</f>
        <v/>
      </c>
      <c r="FS82" s="494" t="str">
        <f>IF(A82=FALSE,"",FQ82*Cotations!$AW$4)</f>
        <v/>
      </c>
      <c r="FT82" s="465" t="str">
        <f t="shared" si="679"/>
        <v/>
      </c>
      <c r="FU82" s="919" t="str">
        <f>IF(A82=FALSE,"",((FG82*TAXE)-(FG82*TAXE*FI82))+IF(FM82="N/A",0,IF(INDEX(LISTES!$F$105:$F$109,MATCH(FM82,LISTES!$C$105:$C$109,0))="FIX",FN82,FO82*FL82)))</f>
        <v/>
      </c>
      <c r="FV82" s="478"/>
      <c r="FW82" s="478"/>
      <c r="FX82" s="478"/>
      <c r="FY82" s="478"/>
      <c r="FZ82" s="478"/>
      <c r="GA82" s="492" t="str">
        <f>IF(A82=FALSE,"",Cotations!D82)</f>
        <v/>
      </c>
      <c r="GB82" s="494" t="str">
        <f>IF(A82=FALSE,"",IF(LISTES!$A$17=1,Cotations!AO82,Cotations!AP82))</f>
        <v/>
      </c>
      <c r="GC82" s="284" t="str">
        <f t="shared" si="680"/>
        <v/>
      </c>
      <c r="GD82" s="515" t="str">
        <f>IF(A82=FALSE,"",IF(Detail!AM82="","",Detail!AM82))</f>
        <v/>
      </c>
      <c r="GE82" s="284"/>
      <c r="GF82" s="284"/>
      <c r="GG82" s="284" t="str">
        <f t="shared" si="681"/>
        <v/>
      </c>
      <c r="GH82" s="515" t="str">
        <f>IF(A82=FALSE,"",IF(Cotations!AQ82="monthly",GG82/12*L82,GG82/365*M82))</f>
        <v/>
      </c>
      <c r="GI82" s="493" t="str">
        <f>IF(A82=FALSE,"",IF(Cotations!AR82="","",Cotations!AR82))</f>
        <v/>
      </c>
      <c r="GJ82" s="284" t="str">
        <f t="shared" si="682"/>
        <v/>
      </c>
      <c r="GK82" s="284" t="str">
        <f t="shared" si="683"/>
        <v/>
      </c>
      <c r="GL82" s="284" t="str">
        <f t="shared" si="684"/>
        <v/>
      </c>
      <c r="GM82" s="515" t="str">
        <f>IF(A82=FALSE,"",Cotations!AS82)</f>
        <v/>
      </c>
      <c r="GN82" s="515" t="str">
        <f>IF(A82=FALSE,"",Cotations!AT82)</f>
        <v/>
      </c>
      <c r="GO82" s="493" t="str">
        <f>IF(A82=FALSE,"",Cotations!AU82)</f>
        <v/>
      </c>
      <c r="GP82" s="515" t="str">
        <f>IF(A82=FALSE,"",IF(GM82="N/A",0,IF(INDEX(LISTES!$F$105:$F$109,MATCH(GM82,LISTES!$C$105:$C$109,0))="FIX",IF(INDEX(LISTES!$E$105:$E$109,MATCH(GM82,LISTES!$C$105:$C$109,0))=12,GN82/12*L82,GN82/365*M82),GO82*GL82)))</f>
        <v/>
      </c>
      <c r="GQ82" s="294" t="str">
        <f t="shared" si="685"/>
        <v/>
      </c>
      <c r="GR82" s="494" t="str">
        <f>IF(A82=FALSE,"",GQ82*Cotations!AV82)</f>
        <v/>
      </c>
      <c r="GS82" s="494" t="str">
        <f>IF(A82=FALSE,"",GQ82*Cotations!AW82)</f>
        <v/>
      </c>
      <c r="GT82" s="334" t="str">
        <f t="shared" si="686"/>
        <v/>
      </c>
      <c r="GU82" s="919" t="str">
        <f>IF(A82=FALSE,"",((GG82*TAXE)-(GG82*TAXE*GI82))+IF(GM82="N/A",0,IF(INDEX(LISTES!$F$105:$F$109,MATCH(GM82,LISTES!$C$105:$C$109,0))="FIX",GN82,GO82*GL82)))</f>
        <v/>
      </c>
      <c r="GV82" s="478"/>
      <c r="GW82" s="466"/>
      <c r="GX82" s="466"/>
      <c r="GY82" s="466"/>
      <c r="GZ82" s="466"/>
      <c r="HA82" s="492" t="str">
        <f>IF(A82=FALSE,"",Cotations!D82)</f>
        <v/>
      </c>
      <c r="HB82" s="495" t="str">
        <f>IF(A82=FALSE,"",IF(LISTES!$A$17=1,Cotations!AX82,Cotations!$AY$4))</f>
        <v/>
      </c>
      <c r="HC82" s="291" t="str">
        <f t="shared" si="687"/>
        <v/>
      </c>
      <c r="HD82" s="291" t="str">
        <f t="shared" si="688"/>
        <v/>
      </c>
      <c r="HE82" s="456" t="str">
        <f t="shared" si="689"/>
        <v/>
      </c>
      <c r="HF82" s="496" t="str">
        <f>IF(A82=FALSE,"",IF(HA82="POEA",Cotations!BA82,IF(HA82="FIXE",Cotations!$BA$4,Cotations!$BC$4*Y82)))</f>
        <v/>
      </c>
      <c r="HG82" s="300" t="str">
        <f t="shared" si="690"/>
        <v/>
      </c>
      <c r="HH82" s="522" t="str">
        <f>IF(A82=FALSE,"",IF(Cotations!$AZ$4="monthly",HG82/12*L82,HG82/365*M82))</f>
        <v/>
      </c>
      <c r="HI82" s="489" t="str">
        <f>IF(A82=FALSE,"",Cotations!$BD$4)</f>
        <v/>
      </c>
      <c r="HJ82" s="300" t="str">
        <f t="shared" si="691"/>
        <v/>
      </c>
      <c r="HK82" s="300" t="str">
        <f t="shared" si="692"/>
        <v/>
      </c>
      <c r="HL82" s="294" t="str">
        <f t="shared" si="693"/>
        <v/>
      </c>
      <c r="HM82" s="494" t="str">
        <f>IF(A82=FALSE,"",Cotations!$BE$4)</f>
        <v/>
      </c>
      <c r="HN82" s="522" t="str">
        <f>IF(A82=FALSE,"",Cotations!$BF$4)</f>
        <v/>
      </c>
      <c r="HO82" s="489" t="str">
        <f>IF(A82=FALSE,"",Cotations!$BG$4)</f>
        <v/>
      </c>
      <c r="HP82" s="494" t="str">
        <f>IF(A82=FALSE,"",IF(HM82="N/A",0,IF(INDEX(LISTES!$F$105:$F$109,MATCH(HM82,LISTES!$C$105:$C$109,0))="FIX",IF(INDEX(LISTES!$E$105:$E$109,MATCH(HM82,LISTES!$C$105:$C$109,0))=12,HN82/12*L82,HN82/365*M82),HO82*HL82)))</f>
        <v/>
      </c>
      <c r="HQ82" s="294" t="str">
        <f t="shared" si="694"/>
        <v/>
      </c>
      <c r="HR82" s="494" t="str">
        <f>IF(A82=FALSE,"",HQ82*Cotations!$BH$4)</f>
        <v/>
      </c>
      <c r="HS82" s="494" t="str">
        <f>IF(A82=FALSE,"",HQ82*Cotations!$BI$4)</f>
        <v/>
      </c>
      <c r="HT82" s="294" t="str">
        <f t="shared" si="695"/>
        <v/>
      </c>
      <c r="HU82" s="919" t="str">
        <f>IF(A82=FALSE,"",((HG82*TAXE)-(HG82*TAXE*HI82))+IF(HM82="N/A",0,IF(INDEX(LISTES!$F$105:$F$109,MATCH(HM82,LISTES!$C$105:$C$109,0))="FIX",HN82,HO82*HL82)))</f>
        <v/>
      </c>
      <c r="IA82" s="492" t="str">
        <f>IF(A82=FALSE,"",Cotations!D82)</f>
        <v/>
      </c>
      <c r="IB82" s="491" t="str">
        <f>IF(A82=FALSE,"",IF(LISTES!$A$17=1,Cotations!AX82,Cotations!AY82))</f>
        <v/>
      </c>
      <c r="IC82" s="285" t="str">
        <f t="shared" si="696"/>
        <v/>
      </c>
      <c r="ID82" s="300" t="str">
        <f>IF(A82=FALSE,"",IF(LISTES!$A$17=3,Detail!AU82,lig1_Formula_PREVOY))</f>
        <v/>
      </c>
      <c r="IE82" s="461" t="str">
        <f t="shared" si="697"/>
        <v/>
      </c>
      <c r="IF82" s="490" t="str">
        <f>IF(A82=FALSE,"",IF(IA82="POEA",Cotations!BA82,IF(HA82="FIXE",Cotations!BB82,IF(Cotations!BC82*Y82&lt;50000,Z82,Cotations!BC82*Y82))))</f>
        <v/>
      </c>
      <c r="IG82" s="300" t="str">
        <f t="shared" si="698"/>
        <v/>
      </c>
      <c r="IH82" s="522" t="str">
        <f>IF(A82=FALSE,"",IF(Cotations!AZ82="monthly",IG82/12*L82,IG82/365*M82))</f>
        <v/>
      </c>
      <c r="II82" s="489" t="str">
        <f>IF(A82=FALSE,"",IF(Cotations!BD82="","",Cotations!BD82))</f>
        <v/>
      </c>
      <c r="IJ82" s="300" t="str">
        <f t="shared" si="699"/>
        <v/>
      </c>
      <c r="IK82" s="300" t="str">
        <f t="shared" si="700"/>
        <v/>
      </c>
      <c r="IL82" s="919" t="str">
        <f t="shared" si="701"/>
        <v/>
      </c>
      <c r="IM82" s="517" t="str">
        <f>IF(A82=FALSE,"",Cotations!BE82)</f>
        <v/>
      </c>
      <c r="IN82" s="517" t="str">
        <f>IF(A82=FALSE,"",Cotations!BF82)</f>
        <v/>
      </c>
      <c r="IO82" s="493" t="str">
        <f>IF(A82=FALSE,"",Cotations!BG82)</f>
        <v/>
      </c>
      <c r="IP82" s="517" t="str">
        <f>IF(A82=FALSE,"",IF(IM82="N/A",0,IF(INDEX(LISTES!$F$105:$F$109,MATCH(IM82,LISTES!$C$105:$C$109,0))="FIX",IF(INDEX(LISTES!$E$105:$E$109,MATCH(IM82,LISTES!$C$105:$C$109,0))=12,IN82/12*L82,IN82/365*M82),IO82*IL82)))</f>
        <v/>
      </c>
      <c r="IQ82" s="294" t="str">
        <f t="shared" si="702"/>
        <v/>
      </c>
      <c r="IR82" s="494" t="str">
        <f>IF(A82=FALSE,"",IQ82*Cotations!BH82)</f>
        <v/>
      </c>
      <c r="IS82" s="494" t="str">
        <f>IF(A82=FALSE,"",IQ82*Cotations!BI82)</f>
        <v/>
      </c>
      <c r="IT82" s="338" t="str">
        <f t="shared" si="703"/>
        <v/>
      </c>
      <c r="IU82" s="919" t="str">
        <f>IF(A82=FALSE,"",((IG82*TAXE)-(IG82*TAXE*II82))+IF(IM82="N/A",0,IF(INDEX(LISTES!$F$105:$F$109,MATCH(IM82,LISTES!$C$105:$C$109,0))="FIX",IN82,IO82*IL82)))</f>
        <v/>
      </c>
      <c r="JA82" s="492" t="str">
        <f>IF(A82=FALSE,"",Cotations!D82)</f>
        <v/>
      </c>
      <c r="JB82" s="495" t="str">
        <f>IF(A82=FALSE,"",IF(LISTES!$A$17=1,Cotations!BJ82,Cotations!$BK$4))</f>
        <v/>
      </c>
      <c r="JC82" s="291" t="str">
        <f t="shared" si="704"/>
        <v/>
      </c>
      <c r="JD82" s="291" t="str">
        <f t="shared" si="705"/>
        <v/>
      </c>
      <c r="JE82" s="456" t="str">
        <f t="shared" si="706"/>
        <v/>
      </c>
      <c r="JF82" s="496" t="str">
        <f>IF(A82=FALSE,"",IF(JA82="POEA",Cotations!BM82,IF(JA82="FIXE",Cotations!$BM$4,Cotations!$BO$4*Y82)))</f>
        <v/>
      </c>
      <c r="JG82" s="300" t="str">
        <f t="shared" si="707"/>
        <v/>
      </c>
      <c r="JH82" s="522" t="str">
        <f>IF(A82=FALSE,"",IF(Cotations!$BL$4="monthly",JG82/12*L82,JG82/365*M82))</f>
        <v/>
      </c>
      <c r="JI82" s="489" t="str">
        <f>IF(A82=FALSE,"",Cotations!$BP$4)</f>
        <v/>
      </c>
      <c r="JJ82" s="300" t="str">
        <f t="shared" si="708"/>
        <v/>
      </c>
      <c r="JK82" s="300" t="str">
        <f t="shared" si="709"/>
        <v/>
      </c>
      <c r="JL82" s="294" t="str">
        <f t="shared" si="710"/>
        <v/>
      </c>
      <c r="JM82" s="494" t="str">
        <f>IF(A82=FALSE,"",Cotations!$BQ$4)</f>
        <v/>
      </c>
      <c r="JN82" s="522" t="str">
        <f>IF(A82=FALSE,"",Cotations!$BR$4)</f>
        <v/>
      </c>
      <c r="JO82" s="489" t="str">
        <f>IF(A82=FALSE,"",Cotations!$BS$4)</f>
        <v/>
      </c>
      <c r="JP82" s="494" t="str">
        <f>IF(A82=FALSE,"",IF(JM82="N/A",0,IF(INDEX(LISTES!$F$105:$F$109,MATCH(JM82,LISTES!$C$105:$C$109,0))="FIX",IF(INDEX(LISTES!$E$105:$E$109,MATCH(JM82,LISTES!$C$105:$C$109,0))=12,JN82/12*L82,JN82/365*M82),JO82*JL82)))</f>
        <v/>
      </c>
      <c r="JQ82" s="294" t="str">
        <f t="shared" si="711"/>
        <v/>
      </c>
      <c r="JR82" s="494" t="str">
        <f>IF(A82=FALSE,"",JQ82*Cotations!$BT$4)</f>
        <v/>
      </c>
      <c r="JS82" s="494" t="str">
        <f>IF(A82=FALSE,"",JQ82*Cotations!$BU$4)</f>
        <v/>
      </c>
      <c r="JT82" s="294" t="str">
        <f t="shared" si="712"/>
        <v/>
      </c>
      <c r="JU82" s="919" t="str">
        <f>IF(A82=FALSE,"",((JG82*TAXE)-(JG82*TAXE*JI82))+IF(JM82="N/A",0,IF(INDEX(LISTES!$F$105:$F$109,MATCH(JM82,LISTES!$C$105:$C$109,0))="FIX",JN82,JO82*JL82)))</f>
        <v/>
      </c>
      <c r="KA82" s="492" t="str">
        <f>IF(A82=FALSE,"",Cotations!D82)</f>
        <v/>
      </c>
      <c r="KB82" s="491" t="str">
        <f>IF(A82=FALSE,"",IF(LISTES!$A$17=1,Cotations!BJ82,Cotations!BK82))</f>
        <v/>
      </c>
      <c r="KC82" s="285" t="str">
        <f t="shared" si="713"/>
        <v/>
      </c>
      <c r="KD82" s="300"/>
      <c r="KE82" s="461" t="str">
        <f t="shared" si="714"/>
        <v/>
      </c>
      <c r="KF82" s="490" t="str">
        <f>IF(A82=FALSE,"",IF(KA82="POEA",Cotations!BM82,IF(KA82="FIXE",Cotations!BN82,IF(Cotations!BO82*Y82&lt;50000,Z82,Cotations!BO82*Y82))))</f>
        <v/>
      </c>
      <c r="KG82" s="300" t="str">
        <f t="shared" si="715"/>
        <v/>
      </c>
      <c r="KH82" s="522" t="str">
        <f>IF(A82=FALSE,"",IF(Cotations!BL82="monthly",KG82/12*L82,KG82/365*M82))</f>
        <v/>
      </c>
      <c r="KI82" s="489" t="str">
        <f>IF(A82=FALSE,"",IF(Cotations!BP82="","",Cotations!BP82))</f>
        <v/>
      </c>
      <c r="KJ82" s="300" t="str">
        <f t="shared" si="716"/>
        <v/>
      </c>
      <c r="KK82" s="300" t="str">
        <f t="shared" si="717"/>
        <v/>
      </c>
      <c r="KL82" s="919" t="str">
        <f t="shared" si="718"/>
        <v/>
      </c>
      <c r="KM82" s="517" t="str">
        <f>IF(A82=FALSE,"",Cotations!BQ82)</f>
        <v/>
      </c>
      <c r="KN82" s="515" t="str">
        <f>IF(A82=FALSE,"",Cotations!BR82)</f>
        <v/>
      </c>
      <c r="KO82" s="493" t="str">
        <f>IF(A82=FALSE,"",Cotations!BS82)</f>
        <v/>
      </c>
      <c r="KP82" s="517" t="str">
        <f>IF(A82=FALSE,"",IF(KM82="N/A",0,IF(INDEX(LISTES!$F$105:$F$109,MATCH(KM82,LISTES!$C$105:$C$109,0))="FIX",IF(INDEX(LISTES!$E$105:$E$109,MATCH(KM82,LISTES!$C$105:$C$109,0))=12,KN82/12*L82,KN82/365*M82),KO82*KL82)))</f>
        <v/>
      </c>
      <c r="KQ82" s="294" t="str">
        <f t="shared" si="719"/>
        <v/>
      </c>
      <c r="KR82" s="494" t="str">
        <f>IF(A82=FALSE,"",KQ82*Cotations!BT82)</f>
        <v/>
      </c>
      <c r="KS82" s="494" t="str">
        <f>IF(A82=FALSE,"",KQ82*Cotations!BU82)</f>
        <v/>
      </c>
      <c r="KT82" s="338" t="str">
        <f t="shared" si="720"/>
        <v/>
      </c>
      <c r="KU82" s="919" t="str">
        <f>IF(A82=FALSE,"",((KG82*TAXE)-(KG82*TAXE*KI82))+IF(KM82="N/A",0,IF(INDEX(LISTES!$F$105:$F$109,MATCH(KM82,LISTES!$C$105:$C$109,0))="FIX",KN82,KO82*KL82)))</f>
        <v/>
      </c>
      <c r="LA82" s="497" t="str">
        <f>IF(A82=FALSE,"",Cotations!D82)</f>
        <v/>
      </c>
      <c r="LB82" s="498" t="str">
        <f>IF(A82=FALSE,"",IF(LISTES!$A$17=1,Cotations!BV82,Cotations!$BW$4))</f>
        <v/>
      </c>
      <c r="LC82" s="499" t="str">
        <f t="shared" si="721"/>
        <v/>
      </c>
      <c r="LD82" s="499" t="str">
        <f t="shared" si="722"/>
        <v/>
      </c>
      <c r="LE82" s="500" t="str">
        <f t="shared" si="723"/>
        <v/>
      </c>
      <c r="LF82" s="501" t="str">
        <f>IF(A82=FALSE,"",IF(LA82="POEA",Cotations!EJ82,IF(LA82="FIXE",Cotations!$BY$4,Cotations!$CA$4*Y82)))</f>
        <v/>
      </c>
      <c r="LG82" s="502" t="str">
        <f t="shared" si="724"/>
        <v/>
      </c>
      <c r="LH82" s="520" t="str">
        <f>IF(A82=FALSE,"",IF(Cotations!$BX$4="monthly",LG82/12*L82,LG82/365*M82))</f>
        <v/>
      </c>
      <c r="LI82" s="503" t="str">
        <f>IF(A82=FALSE,"",Cotations!$CB$4)</f>
        <v/>
      </c>
      <c r="LJ82" s="502" t="str">
        <f t="shared" si="725"/>
        <v/>
      </c>
      <c r="LK82" s="502" t="str">
        <f t="shared" si="726"/>
        <v/>
      </c>
      <c r="LL82" s="504" t="str">
        <f t="shared" si="727"/>
        <v/>
      </c>
      <c r="LM82" s="505" t="str">
        <f>IF(A82=FALSE,"",Cotations!$CC$4)</f>
        <v/>
      </c>
      <c r="LN82" s="503" t="str">
        <f>IF(A82=FALSE,"",Cotations!$CD$4)</f>
        <v/>
      </c>
      <c r="LO82" s="503" t="str">
        <f>IF(A82=FALSE,"",Cotations!$CE$4)</f>
        <v/>
      </c>
      <c r="LP82" s="505" t="str">
        <f>IF(A82=FALSE,"",IF(LM82="N/A",0,IF(INDEX(LISTES!$F$105:$F$109,MATCH(LM82,LISTES!$C$105:$C$109,0))="FIX",IF(INDEX(LISTES!$E$105:$E$109,MATCH(LM82,LISTES!$C$105:$C$109,0))=12,LN82/12*L82,LN82/365*M82),LO82*LL82)))</f>
        <v/>
      </c>
      <c r="LQ82" s="504" t="str">
        <f t="shared" si="728"/>
        <v/>
      </c>
      <c r="LR82" s="505" t="str">
        <f>IF(A82=FALSE,"",LQ82*Cotations!$CF$4)</f>
        <v/>
      </c>
      <c r="LS82" s="505" t="str">
        <f>IF(A82=FALSE,"",LQ82*Cotations!$CG$4)</f>
        <v/>
      </c>
      <c r="LT82" s="506" t="str">
        <f t="shared" si="729"/>
        <v/>
      </c>
      <c r="LU82" s="919" t="str">
        <f>IF(A82=FALSE,"",((LG82*TAXE)-(LG82*TAXE*LI82))+IF(LM82="N/A",0,IF(INDEX(LISTES!$F$105:$F$109,MATCH(LM82,LISTES!$C$105:$C$109,0))="FIX",LN82,LO82*LL82)))</f>
        <v/>
      </c>
      <c r="MA82" s="492" t="str">
        <f>IF(A82=FALSE,"",Cotations!D82)</f>
        <v/>
      </c>
      <c r="MB82" s="491" t="str">
        <f>IF(A82=FALSE,"",IF(LISTES!$A$17=1,Cotations!BV82,Cotations!BW82))</f>
        <v/>
      </c>
      <c r="MC82" s="285" t="str">
        <f t="shared" si="730"/>
        <v/>
      </c>
      <c r="MD82" s="300"/>
      <c r="ME82" s="461" t="str">
        <f t="shared" si="731"/>
        <v/>
      </c>
      <c r="MF82" s="490" t="str">
        <f>IF(A82=FALSE,"",IF(MA82="POEA",Cotations!BY82,IF(MA82="FIXE",Cotations!BZ82,IF(Cotations!CA82*Y82&lt;50000,Z82,Cotations!CA82*Y82))))</f>
        <v/>
      </c>
      <c r="MG82" s="300" t="str">
        <f t="shared" si="732"/>
        <v/>
      </c>
      <c r="MH82" s="522" t="str">
        <f>IF(A82=FALSE,"",IF(Cotations!BX82="monthly",MG82/12*L82,MG82/365*M82))</f>
        <v/>
      </c>
      <c r="MI82" s="489" t="str">
        <f>IF(A82=FALSE,"",IF(Cotations!CB82="","",Cotations!CB82))</f>
        <v/>
      </c>
      <c r="MJ82" s="300" t="str">
        <f t="shared" si="733"/>
        <v/>
      </c>
      <c r="MK82" s="300" t="str">
        <f t="shared" si="734"/>
        <v/>
      </c>
      <c r="ML82" s="919" t="str">
        <f t="shared" si="735"/>
        <v/>
      </c>
      <c r="MM82" s="517" t="str">
        <f>IF(A82=FALSE,"",Cotations!CC82)</f>
        <v/>
      </c>
      <c r="MN82" s="515" t="str">
        <f>IF(A82=FALSE,"",Cotations!CD82)</f>
        <v/>
      </c>
      <c r="MO82" s="493" t="str">
        <f>IF(A82=FALSE,"",Cotations!CE82)</f>
        <v/>
      </c>
      <c r="MP82" s="517" t="str">
        <f>IF(A82=FALSE,"",IF(MM82="N/A",0,IF(INDEX(LISTES!$F$105:$F$109,MATCH(MM82,LISTES!$C$105:$C$109,0))="FIX",IF(INDEX(LISTES!$E$105:$E$109,MATCH(MM82,LISTES!$C$105:$C$109,0))=12,MN82/12*L82,MN82/365*M82),MO82*ML82)))</f>
        <v/>
      </c>
      <c r="MQ82" s="294" t="str">
        <f t="shared" si="736"/>
        <v/>
      </c>
      <c r="MR82" s="494" t="str">
        <f>IF(A82=FALSE,"",MQ82*Cotations!CF82)</f>
        <v/>
      </c>
      <c r="MS82" s="494" t="str">
        <f>IF(A82=FALSE,"",MQ82*Cotations!CG82)</f>
        <v/>
      </c>
      <c r="MT82" s="338" t="str">
        <f t="shared" si="737"/>
        <v/>
      </c>
      <c r="MU82" s="919" t="str">
        <f>IF(A82=FALSE,"",((MG82*TAXE)-(MG82*TAXE*MI82))+IF(MM82="N/A",0,IF(INDEX(LISTES!$F$105:$F$109,MATCH(MM82,LISTES!$C$105:$C$109,0))="FIX",MN82,MO82*ML82)))</f>
        <v/>
      </c>
      <c r="NA82" s="497" t="str">
        <f>IF(A82=FALSE,"",Cotations!D82)</f>
        <v/>
      </c>
      <c r="NB82" s="498" t="str">
        <f>IF(A82=FALSE,"",IF(LISTES!$A$17=1,Cotations!CH82,Cotations!$CI$4))</f>
        <v/>
      </c>
      <c r="NC82" s="499" t="str">
        <f t="shared" si="738"/>
        <v/>
      </c>
      <c r="ND82" s="499" t="str">
        <f t="shared" si="739"/>
        <v/>
      </c>
      <c r="NE82" s="500" t="str">
        <f t="shared" si="740"/>
        <v/>
      </c>
      <c r="NF82" s="501" t="str">
        <f>IF(A82=FALSE,"",IF(NA82="POEA",Cotations!CK82,IF(NA82="FIXE",Cotations!$CK$4,Cotations!$CM$4*Y82)))</f>
        <v/>
      </c>
      <c r="NG82" s="502" t="str">
        <f t="shared" si="741"/>
        <v/>
      </c>
      <c r="NH82" s="520" t="str">
        <f>IF(A82=FALSE,"",IF(Cotations!$CJ$4="monthly",NG82/12*L82,NG82/365*M82))</f>
        <v/>
      </c>
      <c r="NI82" s="503" t="str">
        <f>IF(A82=FALSE,"",Cotations!$CN$4)</f>
        <v/>
      </c>
      <c r="NJ82" s="502" t="str">
        <f t="shared" si="742"/>
        <v/>
      </c>
      <c r="NK82" s="502" t="str">
        <f t="shared" si="743"/>
        <v/>
      </c>
      <c r="NL82" s="504" t="str">
        <f t="shared" si="744"/>
        <v/>
      </c>
      <c r="NM82" s="505" t="str">
        <f>IF(A82=FALSE,"",Cotations!$CO$4)</f>
        <v/>
      </c>
      <c r="NN82" s="520" t="str">
        <f>IF(A82=FALSE,"",Cotations!$CP$4)</f>
        <v/>
      </c>
      <c r="NO82" s="503" t="str">
        <f>IF(A82=FALSE,"",Cotations!$CQ$4)</f>
        <v/>
      </c>
      <c r="NP82" s="505" t="str">
        <f>IF(A82=FALSE,"",IF(NM82="N/A",0,IF(INDEX(LISTES!$F$105:$F$109,MATCH(NM82,LISTES!$C$105:$C$109,0))="FIX",IF(INDEX(LISTES!$E$105:$E$109,MATCH(NM82,LISTES!$C$105:$C$109,0))=12,NN82/12*L82,NN82/365*M82),NO82*NL82)))</f>
        <v/>
      </c>
      <c r="NQ82" s="504" t="str">
        <f t="shared" si="745"/>
        <v/>
      </c>
      <c r="NR82" s="505" t="str">
        <f>IF(A82=FALSE,"",NQ82*Cotations!$CR$4)</f>
        <v/>
      </c>
      <c r="NS82" s="505" t="str">
        <f>IF(A82=FALSE,"",NQ82*Cotations!$CS$4)</f>
        <v/>
      </c>
      <c r="NT82" s="506" t="str">
        <f t="shared" si="746"/>
        <v/>
      </c>
      <c r="NU82" s="919" t="str">
        <f>IF(A82=FALSE,"",((NG82*TAXE)-(NG82*TAXE*NI82))+IF(NM82="N/A",0,IF(INDEX(LISTES!$F$105:$F$109,MATCH(NM82,LISTES!$C$105:$C$109,0))="FIX",NN82,NO82*NL82)))</f>
        <v/>
      </c>
      <c r="OA82" s="492" t="str">
        <f>IF(A82=FALSE,"",Cotations!D82)</f>
        <v/>
      </c>
      <c r="OB82" s="491" t="str">
        <f>IF(A82=FALSE,"",IF(LISTES!$A$17=1,Cotations!CH82,Cotations!CI82))</f>
        <v/>
      </c>
      <c r="OC82" s="285" t="str">
        <f t="shared" si="747"/>
        <v/>
      </c>
      <c r="OD82" s="300"/>
      <c r="OE82" s="461" t="str">
        <f t="shared" si="748"/>
        <v/>
      </c>
      <c r="OF82" s="490" t="str">
        <f>IF(A82=FALSE,"",IF(OA82="POEA",Cotations!CK82,IF(OA82="FIXE",Cotations!CL82,IF(Cotations!CM82*Y82&lt;50000,Z82,Cotations!CM82*Y82))))</f>
        <v/>
      </c>
      <c r="OG82" s="300" t="str">
        <f t="shared" si="749"/>
        <v/>
      </c>
      <c r="OH82" s="522" t="str">
        <f>IF(A82=FALSE,"",IF(Cotations!CJ82="monthly",OG82/12*L82,OG82/365*M82))</f>
        <v/>
      </c>
      <c r="OI82" s="489" t="str">
        <f>IF(A82=FALSE,"",IF(Cotations!CN82="","",Cotations!CN82))</f>
        <v/>
      </c>
      <c r="OJ82" s="300" t="str">
        <f t="shared" si="750"/>
        <v/>
      </c>
      <c r="OK82" s="300" t="str">
        <f t="shared" si="751"/>
        <v/>
      </c>
      <c r="OL82" s="919" t="str">
        <f t="shared" si="752"/>
        <v/>
      </c>
      <c r="OM82" s="517" t="str">
        <f>IF(A82=FALSE,"",Cotations!CO82)</f>
        <v/>
      </c>
      <c r="ON82" s="515" t="str">
        <f>IF(A82=FALSE,"",Cotations!CP82)</f>
        <v/>
      </c>
      <c r="OO82" s="493" t="str">
        <f>IF(A82=FALSE,"",Cotations!CQ82)</f>
        <v/>
      </c>
      <c r="OP82" s="517" t="str">
        <f>IF(A82=FALSE,"",IF(OM82="N/A",0,IF(INDEX(LISTES!$F$105:$F$109,MATCH(OM82,LISTES!$C$105:$C$109,0))="FIX",IF(INDEX(LISTES!$E$105:$E$109,MATCH(OM82,LISTES!$C$105:$C$109,0))=12,ON82/12*L82,ON82/365*M82),OO82*OL82)))</f>
        <v/>
      </c>
      <c r="OQ82" s="294" t="str">
        <f t="shared" si="753"/>
        <v/>
      </c>
      <c r="OR82" s="494" t="str">
        <f>IF(A82=FALSE,"",OQ82*Cotations!CR82)</f>
        <v/>
      </c>
      <c r="OS82" s="494" t="str">
        <f>IF(A82=FALSE,"",OQ82*Cotations!CS82)</f>
        <v/>
      </c>
      <c r="OT82" s="338" t="str">
        <f t="shared" si="754"/>
        <v/>
      </c>
      <c r="OU82" s="919" t="str">
        <f>IF(A82=FALSE,"",((OG82*TAXE)-(OG82*TAXE*OI82))+IF(OM82="N/A",0,IF(INDEX(LISTES!$F$105:$F$109,MATCH(OM82,LISTES!$C$105:$C$109,0))="FIX",ON82,OO82*OL82)))</f>
        <v/>
      </c>
      <c r="PA82" s="497" t="str">
        <f t="shared" si="755"/>
        <v/>
      </c>
      <c r="PB82" s="498" t="str">
        <f>IF(A82=FALSE,"",IF(LISTES!$A$17=1,Cotations!CT82,Cotations!$CU$4))</f>
        <v/>
      </c>
      <c r="PC82" s="499" t="str">
        <f t="shared" si="756"/>
        <v/>
      </c>
      <c r="PD82" s="499" t="str">
        <f t="shared" si="757"/>
        <v/>
      </c>
      <c r="PE82" s="500" t="str">
        <f t="shared" si="758"/>
        <v/>
      </c>
      <c r="PF82" s="501" t="str">
        <f>IF(A82=FALSE,"",Cotations!$CY$4*Y82)</f>
        <v/>
      </c>
      <c r="PG82" s="502" t="str">
        <f t="shared" si="759"/>
        <v/>
      </c>
      <c r="PH82" s="520" t="str">
        <f>IF(A82=FALSE,"",IF(Cotations!$CV$4="monthly",PG82/12*L82,PG82/365*M82))</f>
        <v/>
      </c>
      <c r="PI82" s="503" t="str">
        <f>IF(A82=FALSE,"",Cotations!$CZ$4)</f>
        <v/>
      </c>
      <c r="PJ82" s="502" t="str">
        <f t="shared" si="760"/>
        <v/>
      </c>
      <c r="PK82" s="502" t="str">
        <f t="shared" si="761"/>
        <v/>
      </c>
      <c r="PL82" s="504" t="str">
        <f t="shared" si="762"/>
        <v/>
      </c>
      <c r="PM82" s="505" t="str">
        <f>IF(A82=FALSE,"",Cotations!$DA$4)</f>
        <v/>
      </c>
      <c r="PN82" s="520" t="str">
        <f>IF(A82=FALSE,"",Cotations!$DB$4)</f>
        <v/>
      </c>
      <c r="PO82" s="503" t="str">
        <f>IF(A82=FALSE,"",Cotations!$DC$4)</f>
        <v/>
      </c>
      <c r="PP82" s="505" t="str">
        <f>IF(A82=FALSE,"",IF(PM82="N/A",0,IF(INDEX(LISTES!$F$105:$F$109,MATCH(PM82,LISTES!$C$105:$C$109,0))="FIX",IF(INDEX(LISTES!$E$105:$E$109,MATCH(PM82,LISTES!$C$105:$C$109,0))=12,PN82/12*L82,PN82/365*M82),PO82*PL82)))</f>
        <v/>
      </c>
      <c r="PQ82" s="504" t="str">
        <f t="shared" si="763"/>
        <v/>
      </c>
      <c r="PR82" s="505" t="str">
        <f>IF(A82=FALSE,"",PQ82*Cotations!$DD$4)</f>
        <v/>
      </c>
      <c r="PS82" s="505" t="str">
        <f>IF(A82=FALSE,"",PQ82*Cotations!$DE$4)</f>
        <v/>
      </c>
      <c r="PT82" s="506" t="str">
        <f t="shared" si="764"/>
        <v/>
      </c>
      <c r="PU82" s="919" t="str">
        <f>IF(A82=FALSE,"",((PG82*TAXE)-(PG82*TAXE*PI82))+IF(PM82="N/A",0,IF(INDEX(LISTES!$F$105:$F$109,MATCH(PM82,LISTES!$C$105:$C$109,0))="FIX",PN82,PO82*PL82)))</f>
        <v/>
      </c>
      <c r="QA82" s="492" t="str">
        <f t="shared" si="765"/>
        <v/>
      </c>
      <c r="QB82" s="491" t="str">
        <f>IF(A82=FALSE,"",IF(LISTES!$A$17=1,Cotations!CT82,Cotations!CU82))</f>
        <v/>
      </c>
      <c r="QC82" s="285" t="str">
        <f t="shared" si="766"/>
        <v/>
      </c>
      <c r="QD82" s="300"/>
      <c r="QE82" s="461" t="str">
        <f t="shared" si="767"/>
        <v/>
      </c>
      <c r="QF82" s="490" t="str">
        <f>IF(A82=FALSE,"",Cotations!CY82*AA82)</f>
        <v/>
      </c>
      <c r="QG82" s="300" t="str">
        <f t="shared" si="768"/>
        <v/>
      </c>
      <c r="QH82" s="522" t="str">
        <f>IF(A82=FALSE,"",IF(Cotations!CV82="monthly",QG82/12*L82,QG82/365*M82))</f>
        <v/>
      </c>
      <c r="QI82" s="489" t="str">
        <f>IF(A82=FALSE,"",IF(Cotations!CZ82="","",Cotations!CZ82))</f>
        <v/>
      </c>
      <c r="QJ82" s="300" t="str">
        <f t="shared" si="769"/>
        <v/>
      </c>
      <c r="QK82" s="300" t="str">
        <f t="shared" si="770"/>
        <v/>
      </c>
      <c r="QL82" s="919" t="str">
        <f t="shared" si="771"/>
        <v/>
      </c>
      <c r="QM82" s="517" t="str">
        <f>IF(A82=FALSE,"",Cotations!DA82)</f>
        <v/>
      </c>
      <c r="QN82" s="515" t="str">
        <f>IF(A82=FALSE,"",Cotations!DB82)</f>
        <v/>
      </c>
      <c r="QO82" s="493" t="str">
        <f>IF(A82=FALSE,"",Cotations!DC82)</f>
        <v/>
      </c>
      <c r="QP82" s="517" t="str">
        <f>IF(A82=FALSE,"",IF(QM82="N/A",0,IF(INDEX(LISTES!$F$105:$F$109,MATCH(QM82,LISTES!$C$105:$C$109,0))="FIX",IF(INDEX(LISTES!$E$105:$E$109,MATCH(QM82,LISTES!$C$105:$C$109,0))=12,QN82/12*L82,QN82/365*M82),QO82*QL82)))</f>
        <v/>
      </c>
      <c r="QQ82" s="294" t="str">
        <f t="shared" si="772"/>
        <v/>
      </c>
      <c r="QR82" s="494" t="str">
        <f>IF(A82=FALSE,"",QQ82*Cotations!DD82)</f>
        <v/>
      </c>
      <c r="QS82" s="494" t="str">
        <f>IF(A82=FALSE,"",QQ82*Cotations!DE82)</f>
        <v/>
      </c>
      <c r="QT82" s="338" t="str">
        <f t="shared" si="773"/>
        <v/>
      </c>
      <c r="QU82" s="919" t="str">
        <f>IF(A82=FALSE,"",((QG82*TAXE)-(QG82*TAXE*QI82))+IF(QM82="N/A",0,IF(INDEX(LISTES!$F$105:$F$109,MATCH(QM82,LISTES!$C$105:$C$109,0))="FIX",QN82,QO82*QL82)))</f>
        <v/>
      </c>
      <c r="RA82" s="497" t="str">
        <f t="shared" si="774"/>
        <v/>
      </c>
      <c r="RB82" s="498" t="str">
        <f>IF(A82=FALSE,"",IF(LISTES!$A$17=1,Cotations!DF82,Cotations!$DG$4))</f>
        <v/>
      </c>
      <c r="RC82" s="499" t="str">
        <f t="shared" si="775"/>
        <v/>
      </c>
      <c r="RD82" s="499" t="str">
        <f t="shared" si="776"/>
        <v/>
      </c>
      <c r="RE82" s="500" t="str">
        <f t="shared" si="777"/>
        <v/>
      </c>
      <c r="RF82" s="501" t="str">
        <f>IF(A82=FALSE,"",Cotations!$DK$4*Y82)</f>
        <v/>
      </c>
      <c r="RG82" s="502" t="str">
        <f t="shared" si="778"/>
        <v/>
      </c>
      <c r="RH82" s="520" t="str">
        <f>IF(A82=FALSE,"",IF(Cotations!$DH$4="monthly",RG82/12*L82,RG82/365*M82))</f>
        <v/>
      </c>
      <c r="RI82" s="503" t="str">
        <f>IF(A82=FALSE,"",Cotations!$DL$4)</f>
        <v/>
      </c>
      <c r="RJ82" s="502" t="str">
        <f t="shared" si="779"/>
        <v/>
      </c>
      <c r="RK82" s="502" t="str">
        <f t="shared" si="780"/>
        <v/>
      </c>
      <c r="RL82" s="504" t="str">
        <f t="shared" si="781"/>
        <v/>
      </c>
      <c r="RM82" s="505" t="str">
        <f>IF(A82=FALSE,"",Cotations!$DM$4)</f>
        <v/>
      </c>
      <c r="RN82" s="520" t="str">
        <f>IF(A82=FALSE,"",Cotations!$DN$4)</f>
        <v/>
      </c>
      <c r="RO82" s="503" t="str">
        <f>IF(A82=FALSE,"",Cotations!$DO$4)</f>
        <v/>
      </c>
      <c r="RP82" s="505" t="str">
        <f>IF(A82=FALSE,"",IF(RM82="N/A",0,IF(INDEX(LISTES!$F$105:$F$109,MATCH(RM82,LISTES!$C$105:$C$109,0))="FIX",IF(INDEX(LISTES!$E$105:$E$109,MATCH(RM82,LISTES!$C$105:$C$109,0))=12,RN82/12*L82,RN82/365*M82),RO82*RL82)))</f>
        <v/>
      </c>
      <c r="RQ82" s="504" t="str">
        <f t="shared" si="782"/>
        <v/>
      </c>
      <c r="RR82" s="505" t="str">
        <f>IF(A82=FALSE,"",RQ82*Cotations!$DP$4)</f>
        <v/>
      </c>
      <c r="RS82" s="505" t="str">
        <f>IF(A82=FALSE,"",RQ82*Cotations!$DQ$4)</f>
        <v/>
      </c>
      <c r="RT82" s="506" t="str">
        <f t="shared" si="783"/>
        <v/>
      </c>
      <c r="RU82" s="919" t="str">
        <f>IF(A82=FALSE,"",((RG82*TAXE)-(RG82*TAXE*RI82))+IF(RM82="N/A",0,IF(INDEX(LISTES!$F$105:$F$109,MATCH(RM82,LISTES!$C$105:$C$109,0))="FIX",RN82,RO82*RL82)))</f>
        <v/>
      </c>
      <c r="SA82" s="492" t="str">
        <f t="shared" si="784"/>
        <v/>
      </c>
      <c r="SB82" s="491" t="str">
        <f>IF(A82=FALSE,"",IF(LISTES!$A$17=1,Cotations!DF82,Cotations!DG82))</f>
        <v/>
      </c>
      <c r="SC82" s="285" t="str">
        <f t="shared" si="785"/>
        <v/>
      </c>
      <c r="SD82" s="300"/>
      <c r="SE82" s="461" t="str">
        <f t="shared" si="786"/>
        <v/>
      </c>
      <c r="SF82" s="490" t="str">
        <f>IF(A82=FALSE,"",Cotations!DK82*AA82)</f>
        <v/>
      </c>
      <c r="SG82" s="300" t="str">
        <f t="shared" si="787"/>
        <v/>
      </c>
      <c r="SH82" s="522" t="str">
        <f>IF(A82=FALSE,"",IF(Cotations!DH82="monthly",SG82/12*L82,SG82/365*M82))</f>
        <v/>
      </c>
      <c r="SI82" s="489" t="str">
        <f>IF(A82=FALSE,"",IF(Cotations!DL82="","",Cotations!DL82))</f>
        <v/>
      </c>
      <c r="SJ82" s="300" t="str">
        <f t="shared" si="788"/>
        <v/>
      </c>
      <c r="SK82" s="300" t="str">
        <f t="shared" si="789"/>
        <v/>
      </c>
      <c r="SL82" s="919" t="str">
        <f t="shared" si="790"/>
        <v/>
      </c>
      <c r="SM82" s="285" t="str">
        <f>IF(A82=FALSE,"",Cotations!DM82)</f>
        <v/>
      </c>
      <c r="SN82" s="515" t="str">
        <f>IF(A82=FALSE,"",Cotations!DN82)</f>
        <v/>
      </c>
      <c r="SO82" s="493" t="str">
        <f>IF(A82=FALSE,"",Cotations!DO82)</f>
        <v/>
      </c>
      <c r="SP82" s="517" t="str">
        <f>IF(A82=FALSE,"",IF(SM82="N/A",0,IF(INDEX(LISTES!$F$105:$F$109,MATCH(SM82,LISTES!$C$105:$C$109,0))="FIX",IF(INDEX(LISTES!$E$105:$E$109,MATCH(SM82,LISTES!$C$105:$C$109,0))=12,SN82/12*L82,SN82/365*M82),SO82*SL82)))</f>
        <v/>
      </c>
      <c r="SQ82" s="294" t="str">
        <f t="shared" si="791"/>
        <v/>
      </c>
      <c r="SR82" s="494" t="str">
        <f>IF(A82=FALSE,"",SQ82*Cotations!DP82)</f>
        <v/>
      </c>
      <c r="SS82" s="494" t="str">
        <f>IF(A82=FALSE,"",SQ82*Cotations!DQ82)</f>
        <v/>
      </c>
      <c r="ST82" s="338" t="str">
        <f t="shared" si="792"/>
        <v/>
      </c>
      <c r="SU82" s="919" t="str">
        <f>IF(A82=FALSE,"",((SG82*TAXE)-(SG82*TAXE*SI82))+IF(SM82="N/A",0,IF(INDEX(LISTES!$F$105:$F$109,MATCH(SM82,LISTES!$C$105:$C$109,0))="FIX",SN82,SO82*SL82)))</f>
        <v/>
      </c>
      <c r="TA82" s="492" t="str">
        <f>IF(A82=FALSE,"",Cotations!D82)</f>
        <v/>
      </c>
      <c r="TB82" s="491" t="str">
        <f>IF(A82=FALSE,"",IF(LISTES!$A$17=1,Cotations!DR82,Cotations!DS82))</f>
        <v/>
      </c>
      <c r="TC82" s="285" t="str">
        <f t="shared" si="793"/>
        <v/>
      </c>
      <c r="TD82" s="300" t="str">
        <f>IF(A82=FALSE,"",Detail!CQ82)</f>
        <v/>
      </c>
      <c r="TE82" s="461" t="str">
        <f t="shared" si="794"/>
        <v/>
      </c>
      <c r="TF82" s="490" t="str">
        <f>IF(A82=FALSE,"",IF(TA82="FIXE",Cotations!DU82,Cotations!DV82*Y82))</f>
        <v/>
      </c>
      <c r="TG82" s="300" t="str">
        <f t="shared" si="795"/>
        <v/>
      </c>
      <c r="TH82" s="522" t="str">
        <f>IF(A82=FALSE,"",IF(Cotations!DT82="monthly",TG82/12*L82,TG82/365*M82))</f>
        <v/>
      </c>
      <c r="TI82" s="489" t="str">
        <f>IF(A82=FALSE,"",IF(Cotations!DW82="","",Cotations!DW82))</f>
        <v/>
      </c>
      <c r="TJ82" s="300" t="str">
        <f t="shared" si="796"/>
        <v/>
      </c>
      <c r="TK82" s="300" t="str">
        <f t="shared" si="797"/>
        <v/>
      </c>
      <c r="TL82" s="919" t="str">
        <f t="shared" si="798"/>
        <v/>
      </c>
      <c r="TM82" s="517" t="str">
        <f>IF(A82=FALSE,"",Cotations!DX82)</f>
        <v/>
      </c>
      <c r="TN82" s="517" t="str">
        <f>IF(A82=FALSE,"",Cotations!DY82)</f>
        <v/>
      </c>
      <c r="TO82" s="493" t="str">
        <f>IF(A82=FALSE,"",Cotations!DZ82)</f>
        <v/>
      </c>
      <c r="TP82" s="517" t="str">
        <f>IF(A82=FALSE,"",IF(TM82="N/A",0,IF(INDEX(LISTES!$F$105:$F$109,MATCH(TM82,LISTES!$C$105:$C$109,0))="FIX",IF(INDEX(LISTES!$E$105:$E$109,MATCH(TM82,LISTES!$C$105:$C$109,0))=12,TN82/12*L82,TN82/365*M82),TO82*TL82)))</f>
        <v/>
      </c>
      <c r="TQ82" s="294" t="str">
        <f t="shared" si="799"/>
        <v/>
      </c>
      <c r="TR82" s="494" t="str">
        <f>IF(A82=FALSE,"",TQ82*Cotations!EA82)</f>
        <v/>
      </c>
      <c r="TS82" s="494" t="str">
        <f>IF(A82=FALSE,"",TQ82*Cotations!EB82)</f>
        <v/>
      </c>
      <c r="TT82" s="338" t="str">
        <f t="shared" si="800"/>
        <v/>
      </c>
      <c r="TU82" s="919" t="str">
        <f>IF(A82=FALSE,"",((TG82*(1+TAXE)-(TG82*(1+TAXE)*TI82))+IF(TM82="N/A",0,IF(INDEX(LISTES!$F$105:$F$109,MATCH(TM82,LISTES!$C$105:$C$109,0))="FIX",TN82,TO82*TL82))))</f>
        <v/>
      </c>
      <c r="UA82" s="492" t="str">
        <f>IF(A82=FALSE,"",Cotations!D82)</f>
        <v/>
      </c>
      <c r="UB82" s="491" t="str">
        <f>IF(A82=FALSE,"",IF(LISTES!$A$17=1,Cotations!EC82,Cotations!ED82))</f>
        <v/>
      </c>
      <c r="UC82" s="285" t="str">
        <f t="shared" si="801"/>
        <v/>
      </c>
      <c r="UD82" s="300" t="str">
        <f>IF(A82=FALSE,"",Detail!CY82)</f>
        <v/>
      </c>
      <c r="UE82" s="461" t="str">
        <f t="shared" si="802"/>
        <v/>
      </c>
      <c r="UF82" s="490" t="str">
        <f>IF(A82=FALSE,"",IF(UA82="FIXE",Cotations!EF82,Cotations!EG82*Y82))</f>
        <v/>
      </c>
      <c r="UG82" s="300" t="str">
        <f t="shared" si="803"/>
        <v/>
      </c>
      <c r="UH82" s="522" t="str">
        <f>IF(A82=FALSE,"",IF(Cotations!EE82="monthly",UG82/12*L82,UG82/365*M82))</f>
        <v/>
      </c>
      <c r="UI82" s="489" t="str">
        <f>IF(A82=FALSE,"",IF(Cotations!EH82="","",Cotations!EH82))</f>
        <v/>
      </c>
      <c r="UJ82" s="300" t="str">
        <f t="shared" si="804"/>
        <v/>
      </c>
      <c r="UK82" s="300" t="str">
        <f t="shared" si="805"/>
        <v/>
      </c>
      <c r="UL82" s="919" t="str">
        <f t="shared" si="806"/>
        <v/>
      </c>
      <c r="UM82" s="517" t="str">
        <f>IF(A82=FALSE,"",Cotations!EI82)</f>
        <v/>
      </c>
      <c r="UN82" s="517" t="str">
        <f>IF(A82=FALSE,"",Cotations!EJ82)</f>
        <v/>
      </c>
      <c r="UO82" s="493" t="str">
        <f>IF(A82=FALSE,"",Cotations!EK82)</f>
        <v/>
      </c>
      <c r="UP82" s="517" t="str">
        <f>IF(A82=FALSE,"",IF(UM82="N/A",0,IF(INDEX(LISTES!$F$105:$F$109,MATCH(UM82,LISTES!$C$105:$C$109,0))="FIX",IF(INDEX(LISTES!$E$105:$E$109,MATCH(UM82,LISTES!$C$105:$C$109,0))=12,UN82/12*L82,UN82/365*M82),UO82*UL82)))</f>
        <v/>
      </c>
      <c r="UQ82" s="294" t="str">
        <f t="shared" si="807"/>
        <v/>
      </c>
      <c r="UR82" s="494" t="str">
        <f>IF(A82=FALSE,"",UQ82*Cotations!EL82)</f>
        <v/>
      </c>
      <c r="US82" s="494" t="str">
        <f>IF(A82=FALSE,"",UQ82*Cotations!EM82)</f>
        <v/>
      </c>
      <c r="UT82" s="338" t="str">
        <f t="shared" si="808"/>
        <v/>
      </c>
      <c r="UU82" s="919" t="str">
        <f>IF(A82=FALSE,"",((UG82*(1+TAXE)-(UG82*(1+TAXE)*UI82))+IF(UM82="N/A",0,IF(INDEX(LISTES!$F$105:$F$109,MATCH(UM82,LISTES!$C$105:$C$109,0))="FIX",UN82,UO82*UL82))))</f>
        <v/>
      </c>
      <c r="VA82" s="492" t="str">
        <f>IF(A82=FALSE,"",Cotations!D82)</f>
        <v/>
      </c>
      <c r="VB82" s="519" t="str">
        <f>IF(A82=FALSE,"",IF(LISTES!$A$17=1,Cotations!EN82,Cotations!EO82))</f>
        <v/>
      </c>
      <c r="VC82" s="291" t="str">
        <f t="shared" si="809"/>
        <v/>
      </c>
      <c r="VD82" s="291" t="str">
        <f t="shared" si="810"/>
        <v/>
      </c>
      <c r="VE82" s="291"/>
      <c r="VF82" s="463"/>
      <c r="VG82" s="463" t="str">
        <f t="shared" si="811"/>
        <v/>
      </c>
      <c r="VH82" s="522" t="str">
        <f>IF(A82=FALSE,"",IF(Cotations!$AQ$4="monthly",VG82/12*L82,VG82/365*M82))</f>
        <v/>
      </c>
      <c r="VI82" s="489" t="str">
        <f>IF(A82=FALSE,"",Cotations!$AR$4)</f>
        <v/>
      </c>
      <c r="VJ82" s="300" t="str">
        <f t="shared" si="812"/>
        <v/>
      </c>
      <c r="VK82" s="300" t="str">
        <f t="shared" si="813"/>
        <v/>
      </c>
      <c r="VL82" s="294" t="str">
        <f t="shared" si="814"/>
        <v/>
      </c>
      <c r="VM82" s="494" t="str">
        <f>IF(A82=FALSE,"",Cotations!$AS$4)</f>
        <v/>
      </c>
      <c r="VN82" s="494" t="str">
        <f>IF(A82=FALSE,"",Cotations!$AT$4)</f>
        <v/>
      </c>
      <c r="VO82" s="489" t="str">
        <f>IF(A82=FALSE,"",Cotations!$AU$4)</f>
        <v/>
      </c>
      <c r="VP82" s="494" t="str">
        <f>IF(A82=FALSE,"",IF(VM82="N/A",0,IF(INDEX(LISTES!$F$105:$F$109,MATCH(VM82,LISTES!$C$105:$C$109,0))="FIX",IF(INDEX(LISTES!$E$105:$E$109,MATCH(VM82,LISTES!$C$105:$C$109,0))=12,VN82/12*L82,VN82/365*M82),VO82*VL82)))</f>
        <v/>
      </c>
      <c r="VQ82" s="294" t="str">
        <f t="shared" si="815"/>
        <v/>
      </c>
      <c r="VR82" s="494" t="str">
        <f>IF(A82=FALSE,"",VQ82*Cotations!$AV$4)</f>
        <v/>
      </c>
      <c r="VS82" s="494" t="str">
        <f>IF(A82=FALSE,"",VQ82*Cotations!$AW$4)</f>
        <v/>
      </c>
      <c r="VT82" s="465" t="str">
        <f t="shared" si="816"/>
        <v/>
      </c>
      <c r="VU82" s="919" t="str">
        <f>IF(A82=FALSE,"",((VG82*TAXE)-(VG82*TAXE*VI82))+IF(VM82="N/A",0,IF(INDEX(LISTES!$F$105:$F$109,MATCH(VM82,LISTES!$C$105:$C$109,0))="FIX",VN82,VO82*VL82)))</f>
        <v/>
      </c>
      <c r="WA82" s="492" t="str">
        <f>IF(A82=FALSE,"",Cotations!D82)</f>
        <v/>
      </c>
      <c r="WB82" s="519" t="str">
        <f>IF(A82=FALSE,"",IF(LISTES!$A$17=1,Cotations!EW82,Cotations!EX82))</f>
        <v/>
      </c>
      <c r="WC82" s="291" t="str">
        <f t="shared" si="817"/>
        <v/>
      </c>
      <c r="WD82" s="291" t="str">
        <f t="shared" si="818"/>
        <v/>
      </c>
      <c r="WE82" s="291"/>
      <c r="WF82" s="463"/>
      <c r="WG82" s="463" t="str">
        <f t="shared" si="819"/>
        <v/>
      </c>
      <c r="WH82" s="522" t="str">
        <f>IF(A82=FALSE,"",IF(Cotations!$AQ$4="monthly",WG82/12*L82,WG82/365*M82))</f>
        <v/>
      </c>
      <c r="WI82" s="489" t="str">
        <f>IF(A82=FALSE,"",Cotations!$AR$4)</f>
        <v/>
      </c>
      <c r="WJ82" s="300" t="str">
        <f t="shared" si="820"/>
        <v/>
      </c>
      <c r="WK82" s="300" t="str">
        <f t="shared" si="821"/>
        <v/>
      </c>
      <c r="WL82" s="294" t="str">
        <f t="shared" si="822"/>
        <v/>
      </c>
      <c r="WM82" s="494" t="str">
        <f>IF(A82=FALSE,"",Cotations!$AS$4)</f>
        <v/>
      </c>
      <c r="WN82" s="494" t="str">
        <f>IF(A82=FALSE,"",Cotations!$AT$4)</f>
        <v/>
      </c>
      <c r="WO82" s="489" t="str">
        <f>IF(A82=FALSE,"",Cotations!$AU$4)</f>
        <v/>
      </c>
      <c r="WP82" s="494" t="str">
        <f>IF(A82=FALSE,"",IF(WM82="N/A",0,IF(INDEX(LISTES!$F$105:$F$109,MATCH(WM82,LISTES!$C$105:$C$109,0))="FIX",IF(INDEX(LISTES!$E$105:$E$109,MATCH(WM82,LISTES!$C$105:$C$109,0))=12,WN82/12*L82,WN82/365*M82),WO82*WL82)))</f>
        <v/>
      </c>
      <c r="WQ82" s="294" t="str">
        <f t="shared" si="823"/>
        <v/>
      </c>
      <c r="WR82" s="494" t="str">
        <f>IF(A82=FALSE,"",WQ82*Cotations!$AV$4)</f>
        <v/>
      </c>
      <c r="WS82" s="494" t="str">
        <f>IF(A82=FALSE,"",WQ82*Cotations!$AW$4)</f>
        <v/>
      </c>
      <c r="WT82" s="465" t="str">
        <f t="shared" si="824"/>
        <v/>
      </c>
      <c r="WU82" s="919" t="str">
        <f>IF(A82=FALSE,"",((WG82*TAXE)-(WG82*TAXE*WI82))+IF(WM82="N/A",0,IF(INDEX(LISTES!$F$105:$F$109,MATCH(WM82,LISTES!$C$105:$C$109,0))="FIX",WN82,WO82*WL82)))</f>
        <v/>
      </c>
    </row>
    <row r="83" spans="1:619">
      <c r="A83" s="942" t="b">
        <f t="shared" si="629"/>
        <v>0</v>
      </c>
      <c r="B83" s="942" t="b">
        <f>IF(NAMES!$B$9=TRUE,TRUE,FALSE)</f>
        <v>1</v>
      </c>
      <c r="C83" s="942" t="b">
        <f t="shared" si="825"/>
        <v>0</v>
      </c>
      <c r="D83" s="942" t="b">
        <f t="shared" si="826"/>
        <v>0</v>
      </c>
      <c r="E83" s="274" t="b">
        <f>IF(Cotations!C83="","",Cotations!C83)</f>
        <v>0</v>
      </c>
      <c r="F83" s="274" t="str">
        <f>IF(Cotations!D83="","",Cotations!D83)</f>
        <v>PROP</v>
      </c>
      <c r="G83" s="274" t="str">
        <f>IF(Cotations!E83="","",Cotations!E83)</f>
        <v>2016-2017!</v>
      </c>
      <c r="H83" s="274" t="str">
        <f>IF(Cotations!F83="","",Cotations!F83)</f>
        <v>SINGLE</v>
      </c>
      <c r="I83" s="274" t="str">
        <f>IF(Cotations!G83="","",Cotations!G83)</f>
        <v/>
      </c>
      <c r="J83" s="274" t="str">
        <f>IF(Cotations!H83="","",Cotations!H83)</f>
        <v/>
      </c>
      <c r="K83" s="274" t="str">
        <f>IF(Cotations!I83="","",Cotations!I83)</f>
        <v/>
      </c>
      <c r="L83" s="274" t="str">
        <f>IF(A83=FALSE,"",IF(Cotations!N83="","",Cotations!N83))</f>
        <v/>
      </c>
      <c r="M83" s="274" t="str">
        <f>IF(Cotations!P83="","",Cotations!P83)</f>
        <v/>
      </c>
      <c r="N83" s="724" t="str">
        <f>IF(NAMES!$B$10=TRUE,Cotations!J83,Cotations!L83)</f>
        <v/>
      </c>
      <c r="O83" s="724" t="str">
        <f>IF(NAMES!$B$10=TRUE,Cotations!K83,Cotations!M83)</f>
        <v/>
      </c>
      <c r="P83" s="943" t="str">
        <f t="shared" si="827"/>
        <v/>
      </c>
      <c r="Q83" s="724" t="str">
        <f>IF(A83=FALSE,"",IF(Crewlist!Y83="","",Crewlist!Y83))</f>
        <v/>
      </c>
      <c r="R83" s="78" t="str">
        <f>IF(Cotations!U83="","",Cotations!U83)</f>
        <v/>
      </c>
      <c r="S83" s="943" t="str">
        <f t="shared" si="828"/>
        <v/>
      </c>
      <c r="T83" s="919" t="str">
        <f>IF(A83=FALSE,"",VLOOKUP($U$15:$U$120,Currency!$A$2:$D$10,4,0)*Crewlist!N83)</f>
        <v/>
      </c>
      <c r="U83" s="1355" t="str">
        <f>IF(A83=FALSE,"",IF(IT83=0,Crewlist!M83&amp;"/"&amp;EX83,Crewlist!M83&amp;"/"&amp;IT83))</f>
        <v/>
      </c>
      <c r="V83" s="919" t="str">
        <f>IF(A83=FALSE,"",VLOOKUP($U$15:$U$120,Currency!$A$2:$D$10,4,0)*Detail!Q83)</f>
        <v/>
      </c>
      <c r="W83" s="1355" t="str">
        <f>IF(A83=FALSE,"",IF(IT83=0,Detail!R83&amp;"/"&amp;EX83,Detail!R83&amp;"/"&amp;IT83))</f>
        <v/>
      </c>
      <c r="X83" s="919" t="str">
        <f>IF(A83=FALSE,"",IF(LISTES!$C$17="Crewlist",Calcul!T83,Calcul!V83))</f>
        <v/>
      </c>
      <c r="Y83" s="758" t="str">
        <f t="shared" si="829"/>
        <v/>
      </c>
      <c r="Z83" s="758" t="str">
        <f>IF(A83=FALSE,"",IF(X83=0,0,IF((Cotations!BC83*12*X83)&lt;50000,50000,(12*X83))))</f>
        <v/>
      </c>
      <c r="AA83" s="758" t="str">
        <f t="shared" si="830"/>
        <v/>
      </c>
      <c r="AB83" s="758" t="str">
        <f>IF(A83=FALSE,"",IF(Crewlist!O83=0,"",Crewlist!O83))</f>
        <v/>
      </c>
      <c r="AC83" s="758" t="str">
        <f>IF(I83="","",VLOOKUP($AB$15:$AB$120,Currency!$A$15:$B$34,2,0))</f>
        <v/>
      </c>
      <c r="AD83" s="758" t="str">
        <f t="shared" si="831"/>
        <v/>
      </c>
      <c r="AE83" s="758" t="str">
        <f t="shared" si="832"/>
        <v/>
      </c>
      <c r="AF83" s="758" t="str">
        <f t="shared" si="833"/>
        <v/>
      </c>
      <c r="AG83" s="758" t="str">
        <f t="shared" si="834"/>
        <v/>
      </c>
      <c r="AH83" s="1355" t="str">
        <f t="shared" si="630"/>
        <v/>
      </c>
      <c r="AI83" s="919" t="str">
        <f t="shared" si="835"/>
        <v/>
      </c>
      <c r="AJ83" s="1382" t="str">
        <f t="shared" si="836"/>
        <v/>
      </c>
      <c r="AK83" s="1382" t="str">
        <f t="shared" si="837"/>
        <v/>
      </c>
      <c r="AL83" s="238" t="str">
        <f t="shared" si="631"/>
        <v/>
      </c>
      <c r="AM83" s="238" t="str">
        <f t="shared" si="632"/>
        <v/>
      </c>
      <c r="AN83" s="1374" t="str">
        <f t="shared" si="633"/>
        <v/>
      </c>
      <c r="AO83" s="238" t="str">
        <f t="shared" si="634"/>
        <v/>
      </c>
      <c r="AP83" s="342" t="str">
        <f>IF(A83=FALSE,"",INDEX(Rates!$Z$5:$Z$367,MATCH(EB83,colchoice,0)))</f>
        <v/>
      </c>
      <c r="AQ83" s="238" t="str">
        <f t="shared" si="635"/>
        <v/>
      </c>
      <c r="AR83" s="238" t="str">
        <f t="shared" si="636"/>
        <v/>
      </c>
      <c r="AS83" s="238" t="str">
        <f t="shared" si="637"/>
        <v/>
      </c>
      <c r="AT83" s="238" t="str">
        <f t="shared" si="638"/>
        <v/>
      </c>
      <c r="AU83" s="238" t="str">
        <f t="shared" si="639"/>
        <v/>
      </c>
      <c r="AV83" s="238" t="str">
        <f t="shared" si="838"/>
        <v/>
      </c>
      <c r="AW83" s="238" t="str">
        <f t="shared" si="640"/>
        <v/>
      </c>
      <c r="AX83" s="238" t="str">
        <f t="shared" si="641"/>
        <v/>
      </c>
      <c r="AY83" s="238" t="str">
        <f t="shared" si="642"/>
        <v/>
      </c>
      <c r="AZ83" s="238" t="str">
        <f t="shared" si="643"/>
        <v/>
      </c>
      <c r="BA83" s="238" t="str">
        <f t="shared" si="644"/>
        <v/>
      </c>
      <c r="BB83" s="552" t="str">
        <f t="shared" si="645"/>
        <v/>
      </c>
      <c r="BC83" s="347" t="str">
        <f t="shared" si="646"/>
        <v/>
      </c>
      <c r="BD83" s="239" t="str">
        <f t="shared" si="839"/>
        <v/>
      </c>
      <c r="BE83" s="239" t="str">
        <f>IF(A83=FALSE,"",IF(ALLTHESAME=TRUE,IF(DF83&lt;&gt;$BC$7,0,INDEX(DD83:DZ83,1,MATCH(Structure!$D$12,$DD$14:$DZ$14,0))),IF(EC83&lt;&gt;$BC$7,0,INDEX(EA83:EZ83,1,MATCH(Structure!$D$12,$EA$14:$EZ$14,0)))))</f>
        <v/>
      </c>
      <c r="BF83" s="239" t="str">
        <f>IF(A83=FALSE,"",IF(ALLTHESAME=TRUE,IF(FC83&lt;&gt;$BC$7,0,INDEX(FA83:FZ83,1,MATCH(Structure!$D$12,$FA$14:$FZ$14,0))),IF(GC83&lt;&gt;$BC$7,0,INDEX(GA83:GZ83,1,MATCH(Structure!$D$12,$GA$14:$GZ$14,0)))))</f>
        <v/>
      </c>
      <c r="BG83" s="239" t="str">
        <f>IF(A83=FALSE,"",IF(ALLTHESAME=TRUE,IF(VC83&lt;&gt;$BC$7,0,INDEX(VA83:VZ83,1,MATCH(Structure!$D$12,$VA$14:$VZ$14,0))),IF(VC83&lt;&gt;$BC$7,0,INDEX(VA83:VZ83,1,MATCH(Structure!$D$12,$VA$14:$VZ$14,0)))))</f>
        <v/>
      </c>
      <c r="BH83" s="239" t="str">
        <f>IF(A83=FALSE,"",IF(ALLTHESAME=TRUE,IF(WC83&lt;&gt;$BC$7,0,INDEX(WA83:WY83,1,MATCH(Structure!$D$12,$WA$14:$WZ$14,0))),IF(WC83&lt;&gt;$BC$7,0,INDEX(WA83:WZ83,1,MATCH(Structure!$D$12,$WA$14:$WZ$14,0)))))</f>
        <v/>
      </c>
      <c r="BI83" s="763" t="str">
        <f>IF(A83=FALSE,"",IF(ALLTHESAME=TRUE,IF(HC83&lt;&gt;$BC$7,0,INDEX(HA83:HZ83,1,MATCH(Structure!$D$12,$HA$14:$HZ$14,0)))+TK83,IF(IC83&lt;&gt;$BC$7,0,INDEX(IA83:IZ83,1,MATCH(Structure!$D$12,$IA$14:$IZ$14,0)))+TK83))</f>
        <v/>
      </c>
      <c r="BJ83" s="239" t="str">
        <f>IF(A83=FALSE,"",IF(ALLTHESAME=TRUE,IF(JC83&lt;&gt;$BC$7,0,INDEX(JA83:JZ83,1,MATCH(Structure!$D$12,$JA$14:$JZ$14,0))),IF(KC83&lt;&gt;$BC$7,0,INDEX(KA83:KZ83,1,MATCH(Structure!$D$12,$KA$14:$KZ$14,0)))))</f>
        <v/>
      </c>
      <c r="BK83" s="763" t="str">
        <f>IF(A83=FALSE,"",IF(ALLTHESAME=TRUE,IF(LC83&lt;&gt;$BC$7,0,INDEX(LA83:LZ83,1,MATCH(Structure!$D$12,$LA$14:$LZ$14,0)))+UK83,IF(MC83&lt;&gt;$BC$7,0,INDEX(MA83:MZ83,1,MATCH(Structure!$D$12,$MA$14:$MZ$14,0)))+UK83))</f>
        <v/>
      </c>
      <c r="BL83" s="239" t="str">
        <f>IF(A83=FALSE,"",IF(ALLTHESAME=TRUE,IF(NC83&lt;&gt;$BC$7,0,INDEX(NA83:NZ83,1,MATCH(Structure!$D$12,$NA$14:$NZ$14,0))),IF(OC83&lt;&gt;$BC$7,0,INDEX(OA83:OZ83,1,MATCH(Structure!$D$12,$OA$14:$OZ$14,0)))))</f>
        <v/>
      </c>
      <c r="BM83" s="239" t="str">
        <f>IF(A83=FALSE,"",IF(ALLTHESAME=TRUE,IF(PC83&lt;&gt;$BC$7,0,INDEX(PA83:PZ83,1,MATCH(Structure!$D$12,$PA$14:$PZ$14,0))),IF(QC83&lt;&gt;$BC$7,0,INDEX(QA83:QZ83,1,MATCH(Structure!$D$12,$QA$14:$QZ$14,0)))))</f>
        <v/>
      </c>
      <c r="BN83" s="341" t="str">
        <f>IF(A83=FALSE,"",IF(ALLTHESAME=TRUE,IF(RC83&lt;&gt;$BC$7,0,INDEX(RA83:RZ83,1,MATCH(Structure!$D$12,$RA$14:$RZ$14,0))),IF(SC83&lt;&gt;$BC$7,0,INDEX(SA83:TA83,1,MATCH(Structure!$D$12,$SA$14:$TA$14,0)))))</f>
        <v/>
      </c>
      <c r="BO83" s="507" t="str">
        <f t="shared" si="647"/>
        <v/>
      </c>
      <c r="BP83" s="239" t="str">
        <f t="shared" si="648"/>
        <v/>
      </c>
      <c r="BQ83" s="239" t="str">
        <f>IF(A83=FALSE,"",IF(ALLTHESAME=TRUE,IF(DF83&lt;&gt;$BO$7,0,INDEX(DD83:DZ83,1,MATCH(Structure!$D$12,$DD$14:$DZ$14,0))),IF(EC83&lt;&gt;$BO$7,0,INDEX(EA83:EZ83,1,MATCH(Structure!$D$12,$EA$14:$EZ$14,0)))))</f>
        <v/>
      </c>
      <c r="BR83" s="239" t="str">
        <f>IF(A83=FALSE,"",IF(ALLTHESAME=TRUE,IF(FC83&lt;&gt;$BO$7,0,INDEX(FA83:FZ83,1,MATCH(Structure!$D$12,$FA$14:$FZ$14,0))),IF(GC83&lt;&gt;$BO$7,0,INDEX(GA83:GZ83,1,MATCH(Structure!$D$12,$GA$14:$GZ$14,0)))))</f>
        <v/>
      </c>
      <c r="BS83" s="239" t="str">
        <f>IF(A83=FALSE,"",IF(ALLTHESAME=TRUE,IF(HC83&lt;&gt;$BO$7,0,INDEX(HA83:HZ83,1,MATCH(Structure!$D$12,$HA$14:$HZ$14,0))),IF(IC83&lt;&gt;$BO$7,0,INDEX(IA83:IZ83,1,MATCH(Structure!$D$12,$IA$14:$IZ$14,0)))))</f>
        <v/>
      </c>
      <c r="BT83" s="239" t="str">
        <f>IF(A83=FALSE,"",IF(ALLTHESAME=TRUE,IF(JC83&lt;&gt;$BO$7,0,INDEX(JA83:JZ83,1,MATCH(Structure!$D$12,$JA$14:$JZ$14,0))),IF(KC83&lt;&gt;$BO$7,0,INDEX(KA83:KZ83,1,MATCH(Structure!$D$12,$KA$14:$KZ$14,0)))))</f>
        <v/>
      </c>
      <c r="BU83" s="239" t="str">
        <f>IF(A83=FALSE,"",IF(ALLTHESAME=TRUE,IF(LC83&lt;&gt;$BO$7,0,INDEX(LA83:LZ83,1,MATCH(Structure!$D$12,$LA$14:$LZ$14,0))),IF(MC83&lt;&gt;$BO$7,0,INDEX(MA83:MZ83,1,MATCH(Structure!$D$12,$MA$14:$MZ$14,0)))))</f>
        <v/>
      </c>
      <c r="BV83" s="239" t="str">
        <f>IF(A83=FALSE,"",IF(ALLTHESAME=TRUE,IF(NC83&lt;&gt;$BO$7,0,INDEX(NA83:NZ83,1,MATCH(Structure!$D$12,$NA$14:$NZ$14,0))),IF(OC83&lt;&gt;$BO$7,0,INDEX(OA83:OZ83,1,MATCH(Structure!$D$12,$OA$14:$OZ$14,0)))))</f>
        <v/>
      </c>
      <c r="BW83" s="239" t="str">
        <f>IF(A83=FALSE,"",IF(ALLTHESAME=TRUE,IF(PC83&lt;&gt;$BO$7,0,INDEX(PA83:PZ83,1,MATCH(Structure!$D$12,$PA$14:$PZ$14,0))),IF(QC83&lt;&gt;$BO$7,0,INDEX(QA83:QZ83,1,MATCH(Structure!$D$12,$QA$14:$QZ$14,0)))))</f>
        <v/>
      </c>
      <c r="BX83" s="341" t="str">
        <f>IF(A83=FALSE,"",IF(ALLTHESAME=TRUE,IF(RC83&lt;&gt;$BO$7,0,INDEX(RA83:RZ83,1,MATCH(Structure!$D$12,$RA$14:$RZ$14,0))),IF(SC83&lt;&gt;$BO$7,0,INDEX(SA83:TA83,1,MATCH(Structure!$D$12,$SA$14:$TA$14,0)))))</f>
        <v/>
      </c>
      <c r="BY83" s="347" t="str">
        <f t="shared" si="649"/>
        <v/>
      </c>
      <c r="BZ83" s="507" t="str">
        <f t="shared" si="650"/>
        <v/>
      </c>
      <c r="CA83" s="239" t="str">
        <f t="shared" si="651"/>
        <v/>
      </c>
      <c r="CB83" s="239" t="str">
        <f>IF(A83=FALSE,"",IF(ALLTHESAME=TRUE,INDEX(DD83:DZ83,MATCH(DF83,DF83:DF188,0),MATCH(Structure!$D$17,$DD$14:$DZ$14,0)),INDEX(EA83:EZ83,MATCH(EC83,EC83:EC188,0),MATCH(Structure!$D$17,$EA$14:$EZ$14,0))))</f>
        <v/>
      </c>
      <c r="CC83" s="239" t="str">
        <f>IF(A83=FALSE,"",IF(ALLTHESAME=TRUE,INDEX(FA83:FZ83,MATCH(FC83,FC83:FC188,0),MATCH(Structure!$D$17,$FA$14:$FZ$14,0)),INDEX(GA83:GZ83,MATCH(GC83,GC83:GC188,0),MATCH(Structure!$D$17,$GA$14:$GZ$14,0))))</f>
        <v/>
      </c>
      <c r="CD83" s="239" t="str">
        <f>IF(A83=FALSE,"",IF(ALLTHESAME=TRUE,INDEX(HA83:HZ83,MATCH(HC83,HC83:HC188,0),MATCH(Structure!$D$17,$HA$14:$HZ$14,0)),INDEX(IA83:IZ83,MATCH(IC83,IC83:IC188,0),MATCH(Structure!$D$17,$IA$14:$IZ$14,0))))</f>
        <v/>
      </c>
      <c r="CE83" s="239" t="str">
        <f>IF(A83=FALSE,"",IF(ALLTHESAME=TRUE,INDEX(JA83:JZ83,MATCH(JC83,JC83:JC188,0),MATCH(Structure!$D$17,$JA$14:$JZ$14,0)),INDEX(KA83:KZ83,MATCH(KC83,KC83:KC188,0),MATCH(Structure!$D$17,$KA$14:$KZ$14,0))))</f>
        <v/>
      </c>
      <c r="CF83" s="239" t="str">
        <f>IF(A83=FALSE,"",IF(ALLTHESAME=TRUE,INDEX(LA83:LZ83,MATCH(LC83,LC83:LC188,0),MATCH(Structure!$D$17,$LA$14:$LZ$14,0)),INDEX(MA83:MZ83,MATCH(MC83,MC83:MC188,0),MATCH(Structure!$D$17,$MA$14:$MZ$14,0))))</f>
        <v/>
      </c>
      <c r="CG83" s="239" t="str">
        <f>IF(A83=FALSE,"",IF(ALLTHESAME=TRUE,INDEX(NA83:NZ83,MATCH(NC83,NC83:NC188,0),MATCH(Structure!$D$17,$NA$14:$NZ$14,0)),INDEX(OA83:OZ83,MATCH(OC83,OC83:OC188,0),MATCH(Structure!$D$17,$OA$14:$OZ$14,0))))</f>
        <v/>
      </c>
      <c r="CH83" s="239" t="str">
        <f>IF(A83=FALSE,"",IF(ALLTHESAME=TRUE,INDEX(PA83:PZ83,MATCH(PC83,PC83:PC188,0),MATCH(Structure!$D$17,$PA$14:$PZ$14,0)),INDEX(QA83:QZ83,MATCH(QC83,QC83:QC188,0),MATCH(Structure!$D$17,$QA$14:$QZ$14,0))))</f>
        <v/>
      </c>
      <c r="CI83" s="341" t="str">
        <f>IF(A83=FALSE,"",IF(ALLTHESAME=TRUE,INDEX(RA83:RZ83,MATCH(RC83,RC83:RC188,0),MATCH(Structure!$D$17,$RA$14:$RZ$14,0)),INDEX(SA83:TC83,MATCH(SC83,SC83:SC188,0),MATCH(Structure!$D$17,$SA$14:$TC$14,0))))</f>
        <v/>
      </c>
      <c r="CJ83" s="347"/>
      <c r="CK83" s="239" t="str">
        <f t="shared" si="652"/>
        <v/>
      </c>
      <c r="CL83" s="239" t="str">
        <f>IF(A83=FALSE,"",IF(ALLTHESAME=TRUE,INDEX(DD83:DZ83,MATCH(DF83,DF83:DF188,0),MATCH(Structure!$D$22,$DD$14:$DZ$14,0)),INDEX(EA83:EZ83,MATCH(EC83,EC83:EC188,0),MATCH(Structure!$D$22,$EA$14:$EZ$14,0))))</f>
        <v/>
      </c>
      <c r="CM83" s="239" t="str">
        <f>IF(A83=FALSE,"",IF(ALLTHESAME=TRUE,INDEX(FA83:FZ83,MATCH(FC83,FC83:FC188,0),MATCH(Structure!$D$22,$FA$14:$FZ$14,0)),INDEX(GA83:GZ83,MATCH(GC83,GC83:GC188,0),MATCH(Structure!$D$22,$GA$14:$GZ$14,0))))</f>
        <v/>
      </c>
      <c r="CN83" s="239" t="str">
        <f>IF(A83=FALSE,"",IF(ALLTHESAME=TRUE,INDEX(HA83:HZ83,MATCH(HC83,HC83:HC188,0),MATCH(Structure!$D$22,$HA$14:$HZ$14,0)),INDEX(IA83:IZ83,MATCH(IC83,IC83:IC188,0),MATCH(Structure!$D$22,$IA$14:$IZ$14,0))))</f>
        <v/>
      </c>
      <c r="CO83" s="239" t="str">
        <f>IF(A83=FALSE,"",IF(ALLTHESAME=TRUE,INDEX(JA83:JZ83,MATCH(JC83,JC83:JC188,0),MATCH(Structure!$D$22,$JA$14:$JZ$14,0)),INDEX(KA83:KZ83,MATCH(KC83,KC83:KC188,0),MATCH(Structure!$D$22,$KA$14:$KZ$14,0))))</f>
        <v/>
      </c>
      <c r="CP83" s="239" t="str">
        <f>IF(A83=FALSE,"",IF(ALLTHESAME=TRUE,INDEX(LA83:LZ83,MATCH(LC83,LC83:LC188,0),MATCH(Structure!$D$22,$LA$14:$LZ$14,0)),INDEX(MA83:MZ83,MATCH(MC83,MC83:MC188,0),MATCH(Structure!$D$22,$MA$14:$MZ$14,0))))</f>
        <v/>
      </c>
      <c r="CQ83" s="239" t="str">
        <f>IF(A83=FALSE,"",IF(ALLTHESAME=TRUE,INDEX(NA83:NZ83,MATCH(NC83,NC83:NC188,0),MATCH(Structure!$D$22,$NA$14:$NZ$14,0)),INDEX(OA83:OZ83,MATCH(OC83,OC83:OC188,0),MATCH(Structure!$D$22,$OA$14:$OZ$14,0))))</f>
        <v/>
      </c>
      <c r="CR83" s="239" t="str">
        <f>IF(A83=FALSE,"",IF(ALLTHESAME=TRUE,INDEX(PA83:PZ83,MATCH(PC83,PC83:PC188,0),MATCH(Structure!$D$22,$PA$14:$PZ$14,0)),INDEX(QA83:QZ83,MATCH(QC83,QC83:QC188,0),MATCH(Structure!$D$22,$QA$14:$QZ$14,0))))</f>
        <v/>
      </c>
      <c r="CS83" s="341" t="str">
        <f>IF(A83=FALSE,"",IF(ALLTHESAME=TRUE,INDEX(RA83:RZ83,MATCH(RC83,RC83:RC188,0),MATCH(Structure!$D$22,$RA$14:$RZ$14,0)),INDEX(SA83:TC83,MATCH(SC83,SC83:SC188,0),MATCH(Structure!$D$22,$SA$14:$TC$14,0))))</f>
        <v/>
      </c>
      <c r="CT83" s="347"/>
      <c r="CU83" s="239" t="str">
        <f t="shared" si="653"/>
        <v/>
      </c>
      <c r="CV83" s="239" t="str">
        <f>IF(A83=FALSE,"",IF(ALLTHESAME=TRUE,INDEX(DD83:DZ83,MATCH(DF83,DF83:DF188,0),MATCH(Structure!$D$8,$DD$14:$DZ$14,0)),INDEX(EA83:EZ83,MATCH(EC83,EC83:EC188,0),MATCH(Structure!$D$8,$EA$14:$EZ$14,0))))</f>
        <v/>
      </c>
      <c r="CW83" s="239" t="str">
        <f>IF(A83=FALSE,"",IF(ALLTHESAME=TRUE,INDEX(FA83:FZ83,MATCH(FC83,FC83:FC188,0),MATCH(Structure!$D$8,$FA$14:$FZ$14,0)),INDEX(GA83:GZ83,MATCH(GC83,GC83:GC188,0),MATCH(Structure!$D$8,$GA$14:$GZ$14,0))))</f>
        <v/>
      </c>
      <c r="CX83" s="239" t="str">
        <f>IF(A83=FALSE,"",IF(ALLTHESAME=TRUE,INDEX(HA83:HZ83,MATCH(HC83,HC83:HC188,0),MATCH(Structure!$D$8,$HA$14:$HZ$14,0)),INDEX(IA83:IZ83,MATCH(IC83,IC83:IC188,0),MATCH(Structure!$D$8,$IA$14:$IZ$14,0))))</f>
        <v/>
      </c>
      <c r="CY83" s="239" t="str">
        <f>IF(A83=FALSE,"",IF(ALLTHESAME=TRUE,INDEX(JA83:JZ83,MATCH(JC83,JC83:JC188,0),MATCH(Structure!$D$8,$JA$14:$JZ$14,0)),INDEX(KA83:KZ83,MATCH(KC83,KC83:KC188,0),MATCH(Structure!$D$8,$KA$14:$KZ$14,0))))</f>
        <v/>
      </c>
      <c r="CZ83" s="239" t="str">
        <f>IF(A83=FALSE,"",IF(ALLTHESAME=TRUE,INDEX(LA83:LZ83,MATCH(LC83,LC83:LC188,0),MATCH(Structure!$D$8,$LA$14:$LZ$14,0)),INDEX(MA83:MZ83,MATCH(MC83,MC83:MC188,0),MATCH(Structure!$D$8,$MA$14:$MZ$14,0))))</f>
        <v/>
      </c>
      <c r="DA83" s="239" t="str">
        <f>IF(A83=FALSE,"",IF(ALLTHESAME=TRUE,INDEX(NA83:NZ83,MATCH(NC83,NC83:NC188,0),MATCH(Structure!$D$8,$NA$14:$NZ$14,0)),INDEX(OA83:OZ83,MATCH(OC83,OC83:OC188,0),MATCH(Structure!$D$8,$OA$14:$OZ$14,0))))</f>
        <v/>
      </c>
      <c r="DB83" s="239" t="str">
        <f>IF(A83=FALSE,"",IF(ALLTHESAME=TRUE,INDEX(PA83:PZ83,MATCH(PC83,PC83:PC188,0),MATCH(Structure!$D$8,$PA$14:$PZ$14,0)),INDEX(QA83:QZ83,MATCH(QC83,QC83:QC188,0),MATCH(Structure!$D$8,$QA$14:$QZ$14,0))))</f>
        <v/>
      </c>
      <c r="DC83" s="341" t="str">
        <f>IF(A83=FALSE,"",IF(ALLTHESAME=TRUE,INDEX(RA83:RZ83,MATCH(RC83,RC83:RC188,0),MATCH(Structure!$D$8,$RA$14:$RZ$14,0)),INDEX(SA83:TC83,MATCH(SC83,SC83:SC188,0),MATCH(Structure!$D$8,$SA$14:$TC$14,0))))</f>
        <v/>
      </c>
      <c r="DD83" s="492" t="str">
        <f>IF(A83=FALSE,"",Cotations!D83)</f>
        <v/>
      </c>
      <c r="DE83" s="492" t="str">
        <f>IF(A83=FALSE,"",IF(LISTES!$A$17=1,Cotations!AF83,Cotations!$AG$4))</f>
        <v/>
      </c>
      <c r="DF83" s="291" t="str">
        <f t="shared" si="654"/>
        <v/>
      </c>
      <c r="DG83" s="291" t="str">
        <f t="shared" si="655"/>
        <v/>
      </c>
      <c r="DH83" s="291"/>
      <c r="DI83" s="463"/>
      <c r="DJ83" s="463" t="str">
        <f t="shared" si="656"/>
        <v/>
      </c>
      <c r="DK83" s="522" t="str">
        <f>IF(A83=FALSE,"",IF(Cotations!$AH$4="monthly",DJ83/12*L83,DJ83/365*M83))</f>
        <v/>
      </c>
      <c r="DL83" s="489" t="str">
        <f>IF(A83=FALSE,"",Cotations!$AI$4)</f>
        <v/>
      </c>
      <c r="DM83" s="300" t="str">
        <f t="shared" si="657"/>
        <v/>
      </c>
      <c r="DN83" s="300" t="str">
        <f t="shared" si="658"/>
        <v/>
      </c>
      <c r="DO83" s="294" t="str">
        <f t="shared" si="659"/>
        <v/>
      </c>
      <c r="DP83" s="494" t="str">
        <f>IF(A83=FALSE,"",Cotations!$AJ$4)</f>
        <v/>
      </c>
      <c r="DQ83" s="494" t="str">
        <f>IF(A83=FALSE,"",Cotations!$AK$4)</f>
        <v/>
      </c>
      <c r="DR83" s="489" t="str">
        <f>IF(A83=FALSE,"",Cotations!$AL$4)</f>
        <v/>
      </c>
      <c r="DS83" s="494" t="str">
        <f>IF(A83=FALSE,"",IF(DP83="N/A",0,IF(INDEX(LISTES!$F$105:$F$109,MATCH(DP83,LISTES!$C$105:$C$109,0))="FIX",IF(INDEX(LISTES!$E$105:$E$109,MATCH(DP83,LISTES!$C$105:$C$109,0))=12,DQ83/12*L83,DQ83/365*M83),DR83*DO83)))</f>
        <v/>
      </c>
      <c r="DT83" s="294" t="str">
        <f t="shared" si="660"/>
        <v/>
      </c>
      <c r="DU83" s="294" t="str">
        <f>IF(A83=FALSE,"",DT83*Cotations!$AM$4)</f>
        <v/>
      </c>
      <c r="DV83" s="294" t="str">
        <f>IF(A83=FALSE,"",DT83*Cotations!$AN$4)</f>
        <v/>
      </c>
      <c r="DW83" s="465" t="str">
        <f t="shared" si="661"/>
        <v/>
      </c>
      <c r="DX83" s="919" t="str">
        <f>IF(A83=FALSE,"",((DJ83*TAXE)-(DJ83*TAXE*DL83))+IF(DP83="N/A",0,IF(INDEX(LISTES!$F$105:$F$109,MATCH(DP83,LISTES!$C$105:$C$109,0))="FIX",DQ83,DR83*DO83)))</f>
        <v/>
      </c>
      <c r="DY83" s="466"/>
      <c r="DZ83" s="466"/>
      <c r="EA83" s="492" t="str">
        <f>IF(A83=FALSE,"",Cotations!D83)</f>
        <v/>
      </c>
      <c r="EB83" s="494" t="str">
        <f>IF(A83=FALSE,"",IF(LISTES!$A$17=1,Cotations!AF83,Cotations!AG83))</f>
        <v/>
      </c>
      <c r="EC83" s="284" t="str">
        <f t="shared" si="662"/>
        <v/>
      </c>
      <c r="ED83" s="284" t="str">
        <f t="shared" si="663"/>
        <v/>
      </c>
      <c r="EE83" s="284"/>
      <c r="EF83" s="284"/>
      <c r="EG83" s="284" t="str">
        <f t="shared" si="664"/>
        <v/>
      </c>
      <c r="EH83" s="1365" t="str">
        <f t="shared" si="665"/>
        <v/>
      </c>
      <c r="EI83" s="1365" t="str">
        <f t="shared" si="666"/>
        <v/>
      </c>
      <c r="EJ83" s="515" t="str">
        <f>IF(A83=FALSE,"",IF(Cotations!AH83="monthly",EG83/12*L83,EG83/365*M83))</f>
        <v/>
      </c>
      <c r="EK83" s="1364" t="str">
        <f>IF(A83=FALSE,"",IF(Cotations!AH83="monthly",EI83/12*L83,EI83/365*M83))</f>
        <v/>
      </c>
      <c r="EL83" s="493" t="str">
        <f>IF(A83=FALSE,"",IF(Cotations!AI83="","",Cotations!AI83))</f>
        <v/>
      </c>
      <c r="EM83" s="284" t="str">
        <f t="shared" si="667"/>
        <v/>
      </c>
      <c r="EN83" s="284" t="str">
        <f t="shared" si="668"/>
        <v/>
      </c>
      <c r="EO83" s="1365" t="str">
        <f t="shared" si="840"/>
        <v/>
      </c>
      <c r="EP83" s="284" t="str">
        <f t="shared" si="669"/>
        <v/>
      </c>
      <c r="EQ83" s="515" t="str">
        <f>IF(A83=FALSE,"",Cotations!AJ83)</f>
        <v/>
      </c>
      <c r="ER83" s="515" t="str">
        <f>IF(A83=FALSE,"",IF(Cotations!AK83="","",Cotations!AK83))</f>
        <v/>
      </c>
      <c r="ES83" s="493" t="str">
        <f>IF(A83=FALSE,"",Cotations!AL83)</f>
        <v/>
      </c>
      <c r="ET83" s="515" t="str">
        <f>IF(A83=FALSE,"",IF(EQ83="N/A",0,IF(INDEX(LISTES!$F$105:$F$109,MATCH(EQ83,LISTES!$C$105:$C$109,0))="FIX",IF(INDEX(LISTES!$E$105:$E$109,MATCH(EQ83,LISTES!$C$105:$C$109,0))=12,ER83/12*L83,ER83/365*M83),ES83*EP83)))</f>
        <v/>
      </c>
      <c r="EU83" s="294" t="str">
        <f t="shared" si="670"/>
        <v/>
      </c>
      <c r="EV83" s="494" t="str">
        <f>IF(A83=FALSE,"",EU83*Cotations!AM83)</f>
        <v/>
      </c>
      <c r="EW83" s="494" t="str">
        <f>IF(A83=FALSE,"",EU83*Cotations!AN83)</f>
        <v/>
      </c>
      <c r="EX83" s="334" t="str">
        <f t="shared" si="671"/>
        <v/>
      </c>
      <c r="EY83" s="919" t="str">
        <f>IF(A83=FALSE,"",((EG83*TAXE)-(EG83*TAXE*EL83)+EH83)+IF(EQ83="N/A",0,IF(INDEX(LISTES!$F$105:$F$109,MATCH(EQ83,LISTES!$C$105:$C$109,0))="FIX",ER83,ES83*EP83)))</f>
        <v/>
      </c>
      <c r="FA83" s="492" t="str">
        <f>IF(A83=FALSE,"",Cotations!D83)</f>
        <v/>
      </c>
      <c r="FB83" s="519" t="str">
        <f>IF(A83=FALSE,"",IF(LISTES!$A$17=1,Cotations!AO83,Cotations!$AP$4))</f>
        <v/>
      </c>
      <c r="FC83" s="291" t="str">
        <f t="shared" si="672"/>
        <v/>
      </c>
      <c r="FD83" s="291" t="str">
        <f t="shared" si="673"/>
        <v/>
      </c>
      <c r="FE83" s="291"/>
      <c r="FF83" s="463"/>
      <c r="FG83" s="463" t="str">
        <f t="shared" si="674"/>
        <v/>
      </c>
      <c r="FH83" s="522" t="str">
        <f>IF(A83=FALSE,"",IF(Cotations!$AQ$4="monthly",FG83/12*L83,FG83/365*M83))</f>
        <v/>
      </c>
      <c r="FI83" s="453" t="str">
        <f>IF(A83=FALSE,"",Cotations!$AR$4)</f>
        <v/>
      </c>
      <c r="FJ83" s="300" t="str">
        <f t="shared" si="675"/>
        <v/>
      </c>
      <c r="FK83" s="300" t="str">
        <f t="shared" si="676"/>
        <v/>
      </c>
      <c r="FL83" s="294" t="str">
        <f t="shared" si="677"/>
        <v/>
      </c>
      <c r="FM83" s="494" t="str">
        <f>IF(A83=FALSE,"",Cotations!$AS$4)</f>
        <v/>
      </c>
      <c r="FN83" s="494" t="str">
        <f>IF(A83=FALSE,"",Cotations!$AT$4)</f>
        <v/>
      </c>
      <c r="FO83" s="489" t="str">
        <f>IF(A83=FALSE,"",Cotations!$AU$4)</f>
        <v/>
      </c>
      <c r="FP83" s="494" t="str">
        <f>IF(A83=FALSE,"",IF(FM83="N/A",0,IF(INDEX(LISTES!$F$105:$F$109,MATCH(FM83,LISTES!$C$105:$C$109,0))="FIX",IF(INDEX(LISTES!$E$105:$E$109,MATCH(FM83,LISTES!$C$105:$C$109,0))=12,FN83/12*L83,FN83/365*M83),FO83*FL83)))</f>
        <v/>
      </c>
      <c r="FQ83" s="294" t="str">
        <f t="shared" si="678"/>
        <v/>
      </c>
      <c r="FR83" s="494" t="str">
        <f>IF(A83=FALSE,"",FQ83*Cotations!$AV$4)</f>
        <v/>
      </c>
      <c r="FS83" s="494" t="str">
        <f>IF(A83=FALSE,"",FQ83*Cotations!$AW$4)</f>
        <v/>
      </c>
      <c r="FT83" s="465" t="str">
        <f t="shared" si="679"/>
        <v/>
      </c>
      <c r="FU83" s="919" t="str">
        <f>IF(A83=FALSE,"",((FG83*TAXE)-(FG83*TAXE*FI83))+IF(FM83="N/A",0,IF(INDEX(LISTES!$F$105:$F$109,MATCH(FM83,LISTES!$C$105:$C$109,0))="FIX",FN83,FO83*FL83)))</f>
        <v/>
      </c>
      <c r="FV83" s="478"/>
      <c r="FW83" s="478"/>
      <c r="FX83" s="478"/>
      <c r="FY83" s="478"/>
      <c r="FZ83" s="478"/>
      <c r="GA83" s="492" t="str">
        <f>IF(A83=FALSE,"",Cotations!D83)</f>
        <v/>
      </c>
      <c r="GB83" s="494" t="str">
        <f>IF(A83=FALSE,"",IF(LISTES!$A$17=1,Cotations!AO83,Cotations!AP83))</f>
        <v/>
      </c>
      <c r="GC83" s="284" t="str">
        <f t="shared" si="680"/>
        <v/>
      </c>
      <c r="GD83" s="515" t="str">
        <f>IF(A83=FALSE,"",IF(Detail!AM83="","",Detail!AM83))</f>
        <v/>
      </c>
      <c r="GE83" s="284"/>
      <c r="GF83" s="284"/>
      <c r="GG83" s="284" t="str">
        <f t="shared" si="681"/>
        <v/>
      </c>
      <c r="GH83" s="515" t="str">
        <f>IF(A83=FALSE,"",IF(Cotations!AQ83="monthly",GG83/12*L83,GG83/365*M83))</f>
        <v/>
      </c>
      <c r="GI83" s="493" t="str">
        <f>IF(A83=FALSE,"",IF(Cotations!AR83="","",Cotations!AR83))</f>
        <v/>
      </c>
      <c r="GJ83" s="284" t="str">
        <f t="shared" si="682"/>
        <v/>
      </c>
      <c r="GK83" s="284" t="str">
        <f t="shared" si="683"/>
        <v/>
      </c>
      <c r="GL83" s="284" t="str">
        <f t="shared" si="684"/>
        <v/>
      </c>
      <c r="GM83" s="515" t="str">
        <f>IF(A83=FALSE,"",Cotations!AS83)</f>
        <v/>
      </c>
      <c r="GN83" s="515" t="str">
        <f>IF(A83=FALSE,"",Cotations!AT83)</f>
        <v/>
      </c>
      <c r="GO83" s="493" t="str">
        <f>IF(A83=FALSE,"",Cotations!AU83)</f>
        <v/>
      </c>
      <c r="GP83" s="515" t="str">
        <f>IF(A83=FALSE,"",IF(GM83="N/A",0,IF(INDEX(LISTES!$F$105:$F$109,MATCH(GM83,LISTES!$C$105:$C$109,0))="FIX",IF(INDEX(LISTES!$E$105:$E$109,MATCH(GM83,LISTES!$C$105:$C$109,0))=12,GN83/12*L83,GN83/365*M83),GO83*GL83)))</f>
        <v/>
      </c>
      <c r="GQ83" s="294" t="str">
        <f t="shared" si="685"/>
        <v/>
      </c>
      <c r="GR83" s="494" t="str">
        <f>IF(A83=FALSE,"",GQ83*Cotations!AV83)</f>
        <v/>
      </c>
      <c r="GS83" s="494" t="str">
        <f>IF(A83=FALSE,"",GQ83*Cotations!AW83)</f>
        <v/>
      </c>
      <c r="GT83" s="334" t="str">
        <f t="shared" si="686"/>
        <v/>
      </c>
      <c r="GU83" s="919" t="str">
        <f>IF(A83=FALSE,"",((GG83*TAXE)-(GG83*TAXE*GI83))+IF(GM83="N/A",0,IF(INDEX(LISTES!$F$105:$F$109,MATCH(GM83,LISTES!$C$105:$C$109,0))="FIX",GN83,GO83*GL83)))</f>
        <v/>
      </c>
      <c r="GV83" s="478"/>
      <c r="GW83" s="466"/>
      <c r="GX83" s="466"/>
      <c r="GY83" s="466"/>
      <c r="GZ83" s="466"/>
      <c r="HA83" s="492" t="str">
        <f>IF(A83=FALSE,"",Cotations!D83)</f>
        <v/>
      </c>
      <c r="HB83" s="495" t="str">
        <f>IF(A83=FALSE,"",IF(LISTES!$A$17=1,Cotations!AX83,Cotations!$AY$4))</f>
        <v/>
      </c>
      <c r="HC83" s="291" t="str">
        <f t="shared" si="687"/>
        <v/>
      </c>
      <c r="HD83" s="291" t="str">
        <f t="shared" si="688"/>
        <v/>
      </c>
      <c r="HE83" s="456" t="str">
        <f t="shared" si="689"/>
        <v/>
      </c>
      <c r="HF83" s="496" t="str">
        <f>IF(A83=FALSE,"",IF(HA83="POEA",Cotations!BA83,IF(HA83="FIXE",Cotations!$BA$4,Cotations!$BC$4*Y83)))</f>
        <v/>
      </c>
      <c r="HG83" s="300" t="str">
        <f t="shared" si="690"/>
        <v/>
      </c>
      <c r="HH83" s="522" t="str">
        <f>IF(A83=FALSE,"",IF(Cotations!$AZ$4="monthly",HG83/12*L83,HG83/365*M83))</f>
        <v/>
      </c>
      <c r="HI83" s="489" t="str">
        <f>IF(A83=FALSE,"",Cotations!$BD$4)</f>
        <v/>
      </c>
      <c r="HJ83" s="300" t="str">
        <f t="shared" si="691"/>
        <v/>
      </c>
      <c r="HK83" s="300" t="str">
        <f t="shared" si="692"/>
        <v/>
      </c>
      <c r="HL83" s="294" t="str">
        <f t="shared" si="693"/>
        <v/>
      </c>
      <c r="HM83" s="494" t="str">
        <f>IF(A83=FALSE,"",Cotations!$BE$4)</f>
        <v/>
      </c>
      <c r="HN83" s="522" t="str">
        <f>IF(A83=FALSE,"",Cotations!$BF$4)</f>
        <v/>
      </c>
      <c r="HO83" s="489" t="str">
        <f>IF(A83=FALSE,"",Cotations!$BG$4)</f>
        <v/>
      </c>
      <c r="HP83" s="494" t="str">
        <f>IF(A83=FALSE,"",IF(HM83="N/A",0,IF(INDEX(LISTES!$F$105:$F$109,MATCH(HM83,LISTES!$C$105:$C$109,0))="FIX",IF(INDEX(LISTES!$E$105:$E$109,MATCH(HM83,LISTES!$C$105:$C$109,0))=12,HN83/12*L83,HN83/365*M83),HO83*HL83)))</f>
        <v/>
      </c>
      <c r="HQ83" s="294" t="str">
        <f t="shared" si="694"/>
        <v/>
      </c>
      <c r="HR83" s="494" t="str">
        <f>IF(A83=FALSE,"",HQ83*Cotations!$BH$4)</f>
        <v/>
      </c>
      <c r="HS83" s="494" t="str">
        <f>IF(A83=FALSE,"",HQ83*Cotations!$BI$4)</f>
        <v/>
      </c>
      <c r="HT83" s="294" t="str">
        <f t="shared" si="695"/>
        <v/>
      </c>
      <c r="HU83" s="919" t="str">
        <f>IF(A83=FALSE,"",((HG83*TAXE)-(HG83*TAXE*HI83))+IF(HM83="N/A",0,IF(INDEX(LISTES!$F$105:$F$109,MATCH(HM83,LISTES!$C$105:$C$109,0))="FIX",HN83,HO83*HL83)))</f>
        <v/>
      </c>
      <c r="IA83" s="492" t="str">
        <f>IF(A83=FALSE,"",Cotations!D83)</f>
        <v/>
      </c>
      <c r="IB83" s="491" t="str">
        <f>IF(A83=FALSE,"",IF(LISTES!$A$17=1,Cotations!AX83,Cotations!AY83))</f>
        <v/>
      </c>
      <c r="IC83" s="285" t="str">
        <f t="shared" si="696"/>
        <v/>
      </c>
      <c r="ID83" s="300" t="str">
        <f>IF(A83=FALSE,"",IF(LISTES!$A$17=3,Detail!AU83,lig1_Formula_PREVOY))</f>
        <v/>
      </c>
      <c r="IE83" s="461" t="str">
        <f t="shared" si="697"/>
        <v/>
      </c>
      <c r="IF83" s="490" t="str">
        <f>IF(A83=FALSE,"",IF(IA83="POEA",Cotations!BA83,IF(HA83="FIXE",Cotations!BB83,IF(Cotations!BC83*Y83&lt;50000,Z83,Cotations!BC83*Y83))))</f>
        <v/>
      </c>
      <c r="IG83" s="300" t="str">
        <f t="shared" si="698"/>
        <v/>
      </c>
      <c r="IH83" s="522" t="str">
        <f>IF(A83=FALSE,"",IF(Cotations!AZ83="monthly",IG83/12*L83,IG83/365*M83))</f>
        <v/>
      </c>
      <c r="II83" s="489" t="str">
        <f>IF(A83=FALSE,"",IF(Cotations!BD83="","",Cotations!BD83))</f>
        <v/>
      </c>
      <c r="IJ83" s="300" t="str">
        <f t="shared" si="699"/>
        <v/>
      </c>
      <c r="IK83" s="300" t="str">
        <f t="shared" si="700"/>
        <v/>
      </c>
      <c r="IL83" s="919" t="str">
        <f t="shared" si="701"/>
        <v/>
      </c>
      <c r="IM83" s="517" t="str">
        <f>IF(A83=FALSE,"",Cotations!BE83)</f>
        <v/>
      </c>
      <c r="IN83" s="517" t="str">
        <f>IF(A83=FALSE,"",Cotations!BF83)</f>
        <v/>
      </c>
      <c r="IO83" s="493" t="str">
        <f>IF(A83=FALSE,"",Cotations!BG83)</f>
        <v/>
      </c>
      <c r="IP83" s="517" t="str">
        <f>IF(A83=FALSE,"",IF(IM83="N/A",0,IF(INDEX(LISTES!$F$105:$F$109,MATCH(IM83,LISTES!$C$105:$C$109,0))="FIX",IF(INDEX(LISTES!$E$105:$E$109,MATCH(IM83,LISTES!$C$105:$C$109,0))=12,IN83/12*L83,IN83/365*M83),IO83*IL83)))</f>
        <v/>
      </c>
      <c r="IQ83" s="294" t="str">
        <f t="shared" si="702"/>
        <v/>
      </c>
      <c r="IR83" s="494" t="str">
        <f>IF(A83=FALSE,"",IQ83*Cotations!BH83)</f>
        <v/>
      </c>
      <c r="IS83" s="494" t="str">
        <f>IF(A83=FALSE,"",IQ83*Cotations!BI83)</f>
        <v/>
      </c>
      <c r="IT83" s="338" t="str">
        <f t="shared" si="703"/>
        <v/>
      </c>
      <c r="IU83" s="919" t="str">
        <f>IF(A83=FALSE,"",((IG83*TAXE)-(IG83*TAXE*II83))+IF(IM83="N/A",0,IF(INDEX(LISTES!$F$105:$F$109,MATCH(IM83,LISTES!$C$105:$C$109,0))="FIX",IN83,IO83*IL83)))</f>
        <v/>
      </c>
      <c r="JA83" s="492" t="str">
        <f>IF(A83=FALSE,"",Cotations!D83)</f>
        <v/>
      </c>
      <c r="JB83" s="495" t="str">
        <f>IF(A83=FALSE,"",IF(LISTES!$A$17=1,Cotations!BJ83,Cotations!$BK$4))</f>
        <v/>
      </c>
      <c r="JC83" s="291" t="str">
        <f t="shared" si="704"/>
        <v/>
      </c>
      <c r="JD83" s="291" t="str">
        <f t="shared" si="705"/>
        <v/>
      </c>
      <c r="JE83" s="456" t="str">
        <f t="shared" si="706"/>
        <v/>
      </c>
      <c r="JF83" s="496" t="str">
        <f>IF(A83=FALSE,"",IF(JA83="POEA",Cotations!BM83,IF(JA83="FIXE",Cotations!$BM$4,Cotations!$BO$4*Y83)))</f>
        <v/>
      </c>
      <c r="JG83" s="300" t="str">
        <f t="shared" si="707"/>
        <v/>
      </c>
      <c r="JH83" s="522" t="str">
        <f>IF(A83=FALSE,"",IF(Cotations!$BL$4="monthly",JG83/12*L83,JG83/365*M83))</f>
        <v/>
      </c>
      <c r="JI83" s="489" t="str">
        <f>IF(A83=FALSE,"",Cotations!$BP$4)</f>
        <v/>
      </c>
      <c r="JJ83" s="300" t="str">
        <f t="shared" si="708"/>
        <v/>
      </c>
      <c r="JK83" s="300" t="str">
        <f t="shared" si="709"/>
        <v/>
      </c>
      <c r="JL83" s="294" t="str">
        <f t="shared" si="710"/>
        <v/>
      </c>
      <c r="JM83" s="494" t="str">
        <f>IF(A83=FALSE,"",Cotations!$BQ$4)</f>
        <v/>
      </c>
      <c r="JN83" s="522" t="str">
        <f>IF(A83=FALSE,"",Cotations!$BR$4)</f>
        <v/>
      </c>
      <c r="JO83" s="489" t="str">
        <f>IF(A83=FALSE,"",Cotations!$BS$4)</f>
        <v/>
      </c>
      <c r="JP83" s="494" t="str">
        <f>IF(A83=FALSE,"",IF(JM83="N/A",0,IF(INDEX(LISTES!$F$105:$F$109,MATCH(JM83,LISTES!$C$105:$C$109,0))="FIX",IF(INDEX(LISTES!$E$105:$E$109,MATCH(JM83,LISTES!$C$105:$C$109,0))=12,JN83/12*L83,JN83/365*M83),JO83*JL83)))</f>
        <v/>
      </c>
      <c r="JQ83" s="294" t="str">
        <f t="shared" si="711"/>
        <v/>
      </c>
      <c r="JR83" s="494" t="str">
        <f>IF(A83=FALSE,"",JQ83*Cotations!$BT$4)</f>
        <v/>
      </c>
      <c r="JS83" s="494" t="str">
        <f>IF(A83=FALSE,"",JQ83*Cotations!$BU$4)</f>
        <v/>
      </c>
      <c r="JT83" s="294" t="str">
        <f t="shared" si="712"/>
        <v/>
      </c>
      <c r="JU83" s="919" t="str">
        <f>IF(A83=FALSE,"",((JG83*TAXE)-(JG83*TAXE*JI83))+IF(JM83="N/A",0,IF(INDEX(LISTES!$F$105:$F$109,MATCH(JM83,LISTES!$C$105:$C$109,0))="FIX",JN83,JO83*JL83)))</f>
        <v/>
      </c>
      <c r="KA83" s="492" t="str">
        <f>IF(A83=FALSE,"",Cotations!D83)</f>
        <v/>
      </c>
      <c r="KB83" s="491" t="str">
        <f>IF(A83=FALSE,"",IF(LISTES!$A$17=1,Cotations!BJ83,Cotations!BK83))</f>
        <v/>
      </c>
      <c r="KC83" s="285" t="str">
        <f t="shared" si="713"/>
        <v/>
      </c>
      <c r="KD83" s="300"/>
      <c r="KE83" s="461" t="str">
        <f t="shared" si="714"/>
        <v/>
      </c>
      <c r="KF83" s="490" t="str">
        <f>IF(A83=FALSE,"",IF(KA83="POEA",Cotations!BM83,IF(KA83="FIXE",Cotations!BN83,IF(Cotations!BO83*Y83&lt;50000,Z83,Cotations!BO83*Y83))))</f>
        <v/>
      </c>
      <c r="KG83" s="300" t="str">
        <f t="shared" si="715"/>
        <v/>
      </c>
      <c r="KH83" s="522" t="str">
        <f>IF(A83=FALSE,"",IF(Cotations!BL83="monthly",KG83/12*L83,KG83/365*M83))</f>
        <v/>
      </c>
      <c r="KI83" s="489" t="str">
        <f>IF(A83=FALSE,"",IF(Cotations!BP83="","",Cotations!BP83))</f>
        <v/>
      </c>
      <c r="KJ83" s="300" t="str">
        <f t="shared" si="716"/>
        <v/>
      </c>
      <c r="KK83" s="300" t="str">
        <f t="shared" si="717"/>
        <v/>
      </c>
      <c r="KL83" s="919" t="str">
        <f t="shared" si="718"/>
        <v/>
      </c>
      <c r="KM83" s="517" t="str">
        <f>IF(A83=FALSE,"",Cotations!BQ83)</f>
        <v/>
      </c>
      <c r="KN83" s="515" t="str">
        <f>IF(A83=FALSE,"",Cotations!BR83)</f>
        <v/>
      </c>
      <c r="KO83" s="493" t="str">
        <f>IF(A83=FALSE,"",Cotations!BS83)</f>
        <v/>
      </c>
      <c r="KP83" s="517" t="str">
        <f>IF(A83=FALSE,"",IF(KM83="N/A",0,IF(INDEX(LISTES!$F$105:$F$109,MATCH(KM83,LISTES!$C$105:$C$109,0))="FIX",IF(INDEX(LISTES!$E$105:$E$109,MATCH(KM83,LISTES!$C$105:$C$109,0))=12,KN83/12*L83,KN83/365*M83),KO83*KL83)))</f>
        <v/>
      </c>
      <c r="KQ83" s="294" t="str">
        <f t="shared" si="719"/>
        <v/>
      </c>
      <c r="KR83" s="494" t="str">
        <f>IF(A83=FALSE,"",KQ83*Cotations!BT83)</f>
        <v/>
      </c>
      <c r="KS83" s="494" t="str">
        <f>IF(A83=FALSE,"",KQ83*Cotations!BU83)</f>
        <v/>
      </c>
      <c r="KT83" s="338" t="str">
        <f t="shared" si="720"/>
        <v/>
      </c>
      <c r="KU83" s="919" t="str">
        <f>IF(A83=FALSE,"",((KG83*TAXE)-(KG83*TAXE*KI83))+IF(KM83="N/A",0,IF(INDEX(LISTES!$F$105:$F$109,MATCH(KM83,LISTES!$C$105:$C$109,0))="FIX",KN83,KO83*KL83)))</f>
        <v/>
      </c>
      <c r="LA83" s="497" t="str">
        <f>IF(A83=FALSE,"",Cotations!D83)</f>
        <v/>
      </c>
      <c r="LB83" s="498" t="str">
        <f>IF(A83=FALSE,"",IF(LISTES!$A$17=1,Cotations!BV83,Cotations!$BW$4))</f>
        <v/>
      </c>
      <c r="LC83" s="499" t="str">
        <f t="shared" si="721"/>
        <v/>
      </c>
      <c r="LD83" s="499" t="str">
        <f t="shared" si="722"/>
        <v/>
      </c>
      <c r="LE83" s="500" t="str">
        <f t="shared" si="723"/>
        <v/>
      </c>
      <c r="LF83" s="501" t="str">
        <f>IF(A83=FALSE,"",IF(LA83="POEA",Cotations!EJ83,IF(LA83="FIXE",Cotations!$BY$4,Cotations!$CA$4*Y83)))</f>
        <v/>
      </c>
      <c r="LG83" s="502" t="str">
        <f t="shared" si="724"/>
        <v/>
      </c>
      <c r="LH83" s="520" t="str">
        <f>IF(A83=FALSE,"",IF(Cotations!$BX$4="monthly",LG83/12*L83,LG83/365*M83))</f>
        <v/>
      </c>
      <c r="LI83" s="503" t="str">
        <f>IF(A83=FALSE,"",Cotations!$CB$4)</f>
        <v/>
      </c>
      <c r="LJ83" s="502" t="str">
        <f t="shared" si="725"/>
        <v/>
      </c>
      <c r="LK83" s="502" t="str">
        <f t="shared" si="726"/>
        <v/>
      </c>
      <c r="LL83" s="504" t="str">
        <f t="shared" si="727"/>
        <v/>
      </c>
      <c r="LM83" s="505" t="str">
        <f>IF(A83=FALSE,"",Cotations!$CC$4)</f>
        <v/>
      </c>
      <c r="LN83" s="503" t="str">
        <f>IF(A83=FALSE,"",Cotations!$CD$4)</f>
        <v/>
      </c>
      <c r="LO83" s="503" t="str">
        <f>IF(A83=FALSE,"",Cotations!$CE$4)</f>
        <v/>
      </c>
      <c r="LP83" s="505" t="str">
        <f>IF(A83=FALSE,"",IF(LM83="N/A",0,IF(INDEX(LISTES!$F$105:$F$109,MATCH(LM83,LISTES!$C$105:$C$109,0))="FIX",IF(INDEX(LISTES!$E$105:$E$109,MATCH(LM83,LISTES!$C$105:$C$109,0))=12,LN83/12*L83,LN83/365*M83),LO83*LL83)))</f>
        <v/>
      </c>
      <c r="LQ83" s="504" t="str">
        <f t="shared" si="728"/>
        <v/>
      </c>
      <c r="LR83" s="505" t="str">
        <f>IF(A83=FALSE,"",LQ83*Cotations!$CF$4)</f>
        <v/>
      </c>
      <c r="LS83" s="505" t="str">
        <f>IF(A83=FALSE,"",LQ83*Cotations!$CG$4)</f>
        <v/>
      </c>
      <c r="LT83" s="506" t="str">
        <f t="shared" si="729"/>
        <v/>
      </c>
      <c r="LU83" s="919" t="str">
        <f>IF(A83=FALSE,"",((LG83*TAXE)-(LG83*TAXE*LI83))+IF(LM83="N/A",0,IF(INDEX(LISTES!$F$105:$F$109,MATCH(LM83,LISTES!$C$105:$C$109,0))="FIX",LN83,LO83*LL83)))</f>
        <v/>
      </c>
      <c r="MA83" s="492" t="str">
        <f>IF(A83=FALSE,"",Cotations!D83)</f>
        <v/>
      </c>
      <c r="MB83" s="491" t="str">
        <f>IF(A83=FALSE,"",IF(LISTES!$A$17=1,Cotations!BV83,Cotations!BW83))</f>
        <v/>
      </c>
      <c r="MC83" s="285" t="str">
        <f t="shared" si="730"/>
        <v/>
      </c>
      <c r="MD83" s="300"/>
      <c r="ME83" s="461" t="str">
        <f t="shared" si="731"/>
        <v/>
      </c>
      <c r="MF83" s="490" t="str">
        <f>IF(A83=FALSE,"",IF(MA83="POEA",Cotations!BY83,IF(MA83="FIXE",Cotations!BZ83,IF(Cotations!CA83*Y83&lt;50000,Z83,Cotations!CA83*Y83))))</f>
        <v/>
      </c>
      <c r="MG83" s="300" t="str">
        <f t="shared" si="732"/>
        <v/>
      </c>
      <c r="MH83" s="522" t="str">
        <f>IF(A83=FALSE,"",IF(Cotations!BX83="monthly",MG83/12*L83,MG83/365*M83))</f>
        <v/>
      </c>
      <c r="MI83" s="489" t="str">
        <f>IF(A83=FALSE,"",IF(Cotations!CB83="","",Cotations!CB83))</f>
        <v/>
      </c>
      <c r="MJ83" s="300" t="str">
        <f t="shared" si="733"/>
        <v/>
      </c>
      <c r="MK83" s="300" t="str">
        <f t="shared" si="734"/>
        <v/>
      </c>
      <c r="ML83" s="919" t="str">
        <f t="shared" si="735"/>
        <v/>
      </c>
      <c r="MM83" s="517" t="str">
        <f>IF(A83=FALSE,"",Cotations!CC83)</f>
        <v/>
      </c>
      <c r="MN83" s="515" t="str">
        <f>IF(A83=FALSE,"",Cotations!CD83)</f>
        <v/>
      </c>
      <c r="MO83" s="493" t="str">
        <f>IF(A83=FALSE,"",Cotations!CE83)</f>
        <v/>
      </c>
      <c r="MP83" s="517" t="str">
        <f>IF(A83=FALSE,"",IF(MM83="N/A",0,IF(INDEX(LISTES!$F$105:$F$109,MATCH(MM83,LISTES!$C$105:$C$109,0))="FIX",IF(INDEX(LISTES!$E$105:$E$109,MATCH(MM83,LISTES!$C$105:$C$109,0))=12,MN83/12*L83,MN83/365*M83),MO83*ML83)))</f>
        <v/>
      </c>
      <c r="MQ83" s="294" t="str">
        <f t="shared" si="736"/>
        <v/>
      </c>
      <c r="MR83" s="494" t="str">
        <f>IF(A83=FALSE,"",MQ83*Cotations!CF83)</f>
        <v/>
      </c>
      <c r="MS83" s="494" t="str">
        <f>IF(A83=FALSE,"",MQ83*Cotations!CG83)</f>
        <v/>
      </c>
      <c r="MT83" s="338" t="str">
        <f t="shared" si="737"/>
        <v/>
      </c>
      <c r="MU83" s="919" t="str">
        <f>IF(A83=FALSE,"",((MG83*TAXE)-(MG83*TAXE*MI83))+IF(MM83="N/A",0,IF(INDEX(LISTES!$F$105:$F$109,MATCH(MM83,LISTES!$C$105:$C$109,0))="FIX",MN83,MO83*ML83)))</f>
        <v/>
      </c>
      <c r="NA83" s="497" t="str">
        <f>IF(A83=FALSE,"",Cotations!D83)</f>
        <v/>
      </c>
      <c r="NB83" s="498" t="str">
        <f>IF(A83=FALSE,"",IF(LISTES!$A$17=1,Cotations!CH83,Cotations!$CI$4))</f>
        <v/>
      </c>
      <c r="NC83" s="499" t="str">
        <f t="shared" si="738"/>
        <v/>
      </c>
      <c r="ND83" s="499" t="str">
        <f t="shared" si="739"/>
        <v/>
      </c>
      <c r="NE83" s="500" t="str">
        <f t="shared" si="740"/>
        <v/>
      </c>
      <c r="NF83" s="501" t="str">
        <f>IF(A83=FALSE,"",IF(NA83="POEA",Cotations!CK83,IF(NA83="FIXE",Cotations!$CK$4,Cotations!$CM$4*Y83)))</f>
        <v/>
      </c>
      <c r="NG83" s="502" t="str">
        <f t="shared" si="741"/>
        <v/>
      </c>
      <c r="NH83" s="520" t="str">
        <f>IF(A83=FALSE,"",IF(Cotations!$CJ$4="monthly",NG83/12*L83,NG83/365*M83))</f>
        <v/>
      </c>
      <c r="NI83" s="503" t="str">
        <f>IF(A83=FALSE,"",Cotations!$CN$4)</f>
        <v/>
      </c>
      <c r="NJ83" s="502" t="str">
        <f t="shared" si="742"/>
        <v/>
      </c>
      <c r="NK83" s="502" t="str">
        <f t="shared" si="743"/>
        <v/>
      </c>
      <c r="NL83" s="504" t="str">
        <f t="shared" si="744"/>
        <v/>
      </c>
      <c r="NM83" s="505" t="str">
        <f>IF(A83=FALSE,"",Cotations!$CO$4)</f>
        <v/>
      </c>
      <c r="NN83" s="520" t="str">
        <f>IF(A83=FALSE,"",Cotations!$CP$4)</f>
        <v/>
      </c>
      <c r="NO83" s="503" t="str">
        <f>IF(A83=FALSE,"",Cotations!$CQ$4)</f>
        <v/>
      </c>
      <c r="NP83" s="505" t="str">
        <f>IF(A83=FALSE,"",IF(NM83="N/A",0,IF(INDEX(LISTES!$F$105:$F$109,MATCH(NM83,LISTES!$C$105:$C$109,0))="FIX",IF(INDEX(LISTES!$E$105:$E$109,MATCH(NM83,LISTES!$C$105:$C$109,0))=12,NN83/12*L83,NN83/365*M83),NO83*NL83)))</f>
        <v/>
      </c>
      <c r="NQ83" s="504" t="str">
        <f t="shared" si="745"/>
        <v/>
      </c>
      <c r="NR83" s="505" t="str">
        <f>IF(A83=FALSE,"",NQ83*Cotations!$CR$4)</f>
        <v/>
      </c>
      <c r="NS83" s="505" t="str">
        <f>IF(A83=FALSE,"",NQ83*Cotations!$CS$4)</f>
        <v/>
      </c>
      <c r="NT83" s="506" t="str">
        <f t="shared" si="746"/>
        <v/>
      </c>
      <c r="NU83" s="919" t="str">
        <f>IF(A83=FALSE,"",((NG83*TAXE)-(NG83*TAXE*NI83))+IF(NM83="N/A",0,IF(INDEX(LISTES!$F$105:$F$109,MATCH(NM83,LISTES!$C$105:$C$109,0))="FIX",NN83,NO83*NL83)))</f>
        <v/>
      </c>
      <c r="OA83" s="492" t="str">
        <f>IF(A83=FALSE,"",Cotations!D83)</f>
        <v/>
      </c>
      <c r="OB83" s="491" t="str">
        <f>IF(A83=FALSE,"",IF(LISTES!$A$17=1,Cotations!CH83,Cotations!CI83))</f>
        <v/>
      </c>
      <c r="OC83" s="285" t="str">
        <f t="shared" si="747"/>
        <v/>
      </c>
      <c r="OD83" s="300"/>
      <c r="OE83" s="461" t="str">
        <f t="shared" si="748"/>
        <v/>
      </c>
      <c r="OF83" s="490" t="str">
        <f>IF(A83=FALSE,"",IF(OA83="POEA",Cotations!CK83,IF(OA83="FIXE",Cotations!CL83,IF(Cotations!CM83*Y83&lt;50000,Z83,Cotations!CM83*Y83))))</f>
        <v/>
      </c>
      <c r="OG83" s="300" t="str">
        <f t="shared" si="749"/>
        <v/>
      </c>
      <c r="OH83" s="522" t="str">
        <f>IF(A83=FALSE,"",IF(Cotations!CJ83="monthly",OG83/12*L83,OG83/365*M83))</f>
        <v/>
      </c>
      <c r="OI83" s="489" t="str">
        <f>IF(A83=FALSE,"",IF(Cotations!CN83="","",Cotations!CN83))</f>
        <v/>
      </c>
      <c r="OJ83" s="300" t="str">
        <f t="shared" si="750"/>
        <v/>
      </c>
      <c r="OK83" s="300" t="str">
        <f t="shared" si="751"/>
        <v/>
      </c>
      <c r="OL83" s="919" t="str">
        <f t="shared" si="752"/>
        <v/>
      </c>
      <c r="OM83" s="517" t="str">
        <f>IF(A83=FALSE,"",Cotations!CO83)</f>
        <v/>
      </c>
      <c r="ON83" s="515" t="str">
        <f>IF(A83=FALSE,"",Cotations!CP83)</f>
        <v/>
      </c>
      <c r="OO83" s="493" t="str">
        <f>IF(A83=FALSE,"",Cotations!CQ83)</f>
        <v/>
      </c>
      <c r="OP83" s="517" t="str">
        <f>IF(A83=FALSE,"",IF(OM83="N/A",0,IF(INDEX(LISTES!$F$105:$F$109,MATCH(OM83,LISTES!$C$105:$C$109,0))="FIX",IF(INDEX(LISTES!$E$105:$E$109,MATCH(OM83,LISTES!$C$105:$C$109,0))=12,ON83/12*L83,ON83/365*M83),OO83*OL83)))</f>
        <v/>
      </c>
      <c r="OQ83" s="294" t="str">
        <f t="shared" si="753"/>
        <v/>
      </c>
      <c r="OR83" s="494" t="str">
        <f>IF(A83=FALSE,"",OQ83*Cotations!CR83)</f>
        <v/>
      </c>
      <c r="OS83" s="494" t="str">
        <f>IF(A83=FALSE,"",OQ83*Cotations!CS83)</f>
        <v/>
      </c>
      <c r="OT83" s="338" t="str">
        <f t="shared" si="754"/>
        <v/>
      </c>
      <c r="OU83" s="919" t="str">
        <f>IF(A83=FALSE,"",((OG83*TAXE)-(OG83*TAXE*OI83))+IF(OM83="N/A",0,IF(INDEX(LISTES!$F$105:$F$109,MATCH(OM83,LISTES!$C$105:$C$109,0))="FIX",ON83,OO83*OL83)))</f>
        <v/>
      </c>
      <c r="PA83" s="497" t="str">
        <f t="shared" si="755"/>
        <v/>
      </c>
      <c r="PB83" s="498" t="str">
        <f>IF(A83=FALSE,"",IF(LISTES!$A$17=1,Cotations!CT83,Cotations!$CU$4))</f>
        <v/>
      </c>
      <c r="PC83" s="499" t="str">
        <f t="shared" si="756"/>
        <v/>
      </c>
      <c r="PD83" s="499" t="str">
        <f t="shared" si="757"/>
        <v/>
      </c>
      <c r="PE83" s="500" t="str">
        <f t="shared" si="758"/>
        <v/>
      </c>
      <c r="PF83" s="501" t="str">
        <f>IF(A83=FALSE,"",Cotations!$CY$4*Y83)</f>
        <v/>
      </c>
      <c r="PG83" s="502" t="str">
        <f t="shared" si="759"/>
        <v/>
      </c>
      <c r="PH83" s="520" t="str">
        <f>IF(A83=FALSE,"",IF(Cotations!$CV$4="monthly",PG83/12*L83,PG83/365*M83))</f>
        <v/>
      </c>
      <c r="PI83" s="503" t="str">
        <f>IF(A83=FALSE,"",Cotations!$CZ$4)</f>
        <v/>
      </c>
      <c r="PJ83" s="502" t="str">
        <f t="shared" si="760"/>
        <v/>
      </c>
      <c r="PK83" s="502" t="str">
        <f t="shared" si="761"/>
        <v/>
      </c>
      <c r="PL83" s="504" t="str">
        <f t="shared" si="762"/>
        <v/>
      </c>
      <c r="PM83" s="505" t="str">
        <f>IF(A83=FALSE,"",Cotations!$DA$4)</f>
        <v/>
      </c>
      <c r="PN83" s="520" t="str">
        <f>IF(A83=FALSE,"",Cotations!$DB$4)</f>
        <v/>
      </c>
      <c r="PO83" s="503" t="str">
        <f>IF(A83=FALSE,"",Cotations!$DC$4)</f>
        <v/>
      </c>
      <c r="PP83" s="505" t="str">
        <f>IF(A83=FALSE,"",IF(PM83="N/A",0,IF(INDEX(LISTES!$F$105:$F$109,MATCH(PM83,LISTES!$C$105:$C$109,0))="FIX",IF(INDEX(LISTES!$E$105:$E$109,MATCH(PM83,LISTES!$C$105:$C$109,0))=12,PN83/12*L83,PN83/365*M83),PO83*PL83)))</f>
        <v/>
      </c>
      <c r="PQ83" s="504" t="str">
        <f t="shared" si="763"/>
        <v/>
      </c>
      <c r="PR83" s="505" t="str">
        <f>IF(A83=FALSE,"",PQ83*Cotations!$DD$4)</f>
        <v/>
      </c>
      <c r="PS83" s="505" t="str">
        <f>IF(A83=FALSE,"",PQ83*Cotations!$DE$4)</f>
        <v/>
      </c>
      <c r="PT83" s="506" t="str">
        <f t="shared" si="764"/>
        <v/>
      </c>
      <c r="PU83" s="919" t="str">
        <f>IF(A83=FALSE,"",((PG83*TAXE)-(PG83*TAXE*PI83))+IF(PM83="N/A",0,IF(INDEX(LISTES!$F$105:$F$109,MATCH(PM83,LISTES!$C$105:$C$109,0))="FIX",PN83,PO83*PL83)))</f>
        <v/>
      </c>
      <c r="QA83" s="492" t="str">
        <f t="shared" si="765"/>
        <v/>
      </c>
      <c r="QB83" s="491" t="str">
        <f>IF(A83=FALSE,"",IF(LISTES!$A$17=1,Cotations!CT83,Cotations!CU83))</f>
        <v/>
      </c>
      <c r="QC83" s="285" t="str">
        <f t="shared" si="766"/>
        <v/>
      </c>
      <c r="QD83" s="300"/>
      <c r="QE83" s="461" t="str">
        <f t="shared" si="767"/>
        <v/>
      </c>
      <c r="QF83" s="490" t="str">
        <f>IF(A83=FALSE,"",Cotations!CY83*AA83)</f>
        <v/>
      </c>
      <c r="QG83" s="300" t="str">
        <f t="shared" si="768"/>
        <v/>
      </c>
      <c r="QH83" s="522" t="str">
        <f>IF(A83=FALSE,"",IF(Cotations!CV83="monthly",QG83/12*L83,QG83/365*M83))</f>
        <v/>
      </c>
      <c r="QI83" s="489" t="str">
        <f>IF(A83=FALSE,"",IF(Cotations!CZ83="","",Cotations!CZ83))</f>
        <v/>
      </c>
      <c r="QJ83" s="300" t="str">
        <f t="shared" si="769"/>
        <v/>
      </c>
      <c r="QK83" s="300" t="str">
        <f t="shared" si="770"/>
        <v/>
      </c>
      <c r="QL83" s="919" t="str">
        <f t="shared" si="771"/>
        <v/>
      </c>
      <c r="QM83" s="517" t="str">
        <f>IF(A83=FALSE,"",Cotations!DA83)</f>
        <v/>
      </c>
      <c r="QN83" s="515" t="str">
        <f>IF(A83=FALSE,"",Cotations!DB83)</f>
        <v/>
      </c>
      <c r="QO83" s="493" t="str">
        <f>IF(A83=FALSE,"",Cotations!DC83)</f>
        <v/>
      </c>
      <c r="QP83" s="517" t="str">
        <f>IF(A83=FALSE,"",IF(QM83="N/A",0,IF(INDEX(LISTES!$F$105:$F$109,MATCH(QM83,LISTES!$C$105:$C$109,0))="FIX",IF(INDEX(LISTES!$E$105:$E$109,MATCH(QM83,LISTES!$C$105:$C$109,0))=12,QN83/12*L83,QN83/365*M83),QO83*QL83)))</f>
        <v/>
      </c>
      <c r="QQ83" s="294" t="str">
        <f t="shared" si="772"/>
        <v/>
      </c>
      <c r="QR83" s="494" t="str">
        <f>IF(A83=FALSE,"",QQ83*Cotations!DD83)</f>
        <v/>
      </c>
      <c r="QS83" s="494" t="str">
        <f>IF(A83=FALSE,"",QQ83*Cotations!DE83)</f>
        <v/>
      </c>
      <c r="QT83" s="338" t="str">
        <f t="shared" si="773"/>
        <v/>
      </c>
      <c r="QU83" s="919" t="str">
        <f>IF(A83=FALSE,"",((QG83*TAXE)-(QG83*TAXE*QI83))+IF(QM83="N/A",0,IF(INDEX(LISTES!$F$105:$F$109,MATCH(QM83,LISTES!$C$105:$C$109,0))="FIX",QN83,QO83*QL83)))</f>
        <v/>
      </c>
      <c r="RA83" s="497" t="str">
        <f t="shared" si="774"/>
        <v/>
      </c>
      <c r="RB83" s="498" t="str">
        <f>IF(A83=FALSE,"",IF(LISTES!$A$17=1,Cotations!DF83,Cotations!$DG$4))</f>
        <v/>
      </c>
      <c r="RC83" s="499" t="str">
        <f t="shared" si="775"/>
        <v/>
      </c>
      <c r="RD83" s="499" t="str">
        <f t="shared" si="776"/>
        <v/>
      </c>
      <c r="RE83" s="500" t="str">
        <f t="shared" si="777"/>
        <v/>
      </c>
      <c r="RF83" s="501" t="str">
        <f>IF(A83=FALSE,"",Cotations!$DK$4*Y83)</f>
        <v/>
      </c>
      <c r="RG83" s="502" t="str">
        <f t="shared" si="778"/>
        <v/>
      </c>
      <c r="RH83" s="520" t="str">
        <f>IF(A83=FALSE,"",IF(Cotations!$DH$4="monthly",RG83/12*L83,RG83/365*M83))</f>
        <v/>
      </c>
      <c r="RI83" s="503" t="str">
        <f>IF(A83=FALSE,"",Cotations!$DL$4)</f>
        <v/>
      </c>
      <c r="RJ83" s="502" t="str">
        <f t="shared" si="779"/>
        <v/>
      </c>
      <c r="RK83" s="502" t="str">
        <f t="shared" si="780"/>
        <v/>
      </c>
      <c r="RL83" s="504" t="str">
        <f t="shared" si="781"/>
        <v/>
      </c>
      <c r="RM83" s="505" t="str">
        <f>IF(A83=FALSE,"",Cotations!$DM$4)</f>
        <v/>
      </c>
      <c r="RN83" s="520" t="str">
        <f>IF(A83=FALSE,"",Cotations!$DN$4)</f>
        <v/>
      </c>
      <c r="RO83" s="503" t="str">
        <f>IF(A83=FALSE,"",Cotations!$DO$4)</f>
        <v/>
      </c>
      <c r="RP83" s="505" t="str">
        <f>IF(A83=FALSE,"",IF(RM83="N/A",0,IF(INDEX(LISTES!$F$105:$F$109,MATCH(RM83,LISTES!$C$105:$C$109,0))="FIX",IF(INDEX(LISTES!$E$105:$E$109,MATCH(RM83,LISTES!$C$105:$C$109,0))=12,RN83/12*L83,RN83/365*M83),RO83*RL83)))</f>
        <v/>
      </c>
      <c r="RQ83" s="504" t="str">
        <f t="shared" si="782"/>
        <v/>
      </c>
      <c r="RR83" s="505" t="str">
        <f>IF(A83=FALSE,"",RQ83*Cotations!$DP$4)</f>
        <v/>
      </c>
      <c r="RS83" s="505" t="str">
        <f>IF(A83=FALSE,"",RQ83*Cotations!$DQ$4)</f>
        <v/>
      </c>
      <c r="RT83" s="506" t="str">
        <f t="shared" si="783"/>
        <v/>
      </c>
      <c r="RU83" s="919" t="str">
        <f>IF(A83=FALSE,"",((RG83*TAXE)-(RG83*TAXE*RI83))+IF(RM83="N/A",0,IF(INDEX(LISTES!$F$105:$F$109,MATCH(RM83,LISTES!$C$105:$C$109,0))="FIX",RN83,RO83*RL83)))</f>
        <v/>
      </c>
      <c r="SA83" s="492" t="str">
        <f t="shared" si="784"/>
        <v/>
      </c>
      <c r="SB83" s="491" t="str">
        <f>IF(A83=FALSE,"",IF(LISTES!$A$17=1,Cotations!DF83,Cotations!DG83))</f>
        <v/>
      </c>
      <c r="SC83" s="285" t="str">
        <f t="shared" si="785"/>
        <v/>
      </c>
      <c r="SD83" s="300"/>
      <c r="SE83" s="461" t="str">
        <f t="shared" si="786"/>
        <v/>
      </c>
      <c r="SF83" s="490" t="str">
        <f>IF(A83=FALSE,"",Cotations!DK83*AA83)</f>
        <v/>
      </c>
      <c r="SG83" s="300" t="str">
        <f t="shared" si="787"/>
        <v/>
      </c>
      <c r="SH83" s="522" t="str">
        <f>IF(A83=FALSE,"",IF(Cotations!DH83="monthly",SG83/12*L83,SG83/365*M83))</f>
        <v/>
      </c>
      <c r="SI83" s="489" t="str">
        <f>IF(A83=FALSE,"",IF(Cotations!DL83="","",Cotations!DL83))</f>
        <v/>
      </c>
      <c r="SJ83" s="300" t="str">
        <f t="shared" si="788"/>
        <v/>
      </c>
      <c r="SK83" s="300" t="str">
        <f t="shared" si="789"/>
        <v/>
      </c>
      <c r="SL83" s="919" t="str">
        <f t="shared" si="790"/>
        <v/>
      </c>
      <c r="SM83" s="285" t="str">
        <f>IF(A83=FALSE,"",Cotations!DM83)</f>
        <v/>
      </c>
      <c r="SN83" s="515" t="str">
        <f>IF(A83=FALSE,"",Cotations!DN83)</f>
        <v/>
      </c>
      <c r="SO83" s="493" t="str">
        <f>IF(A83=FALSE,"",Cotations!DO83)</f>
        <v/>
      </c>
      <c r="SP83" s="517" t="str">
        <f>IF(A83=FALSE,"",IF(SM83="N/A",0,IF(INDEX(LISTES!$F$105:$F$109,MATCH(SM83,LISTES!$C$105:$C$109,0))="FIX",IF(INDEX(LISTES!$E$105:$E$109,MATCH(SM83,LISTES!$C$105:$C$109,0))=12,SN83/12*L83,SN83/365*M83),SO83*SL83)))</f>
        <v/>
      </c>
      <c r="SQ83" s="294" t="str">
        <f t="shared" si="791"/>
        <v/>
      </c>
      <c r="SR83" s="494" t="str">
        <f>IF(A83=FALSE,"",SQ83*Cotations!DP83)</f>
        <v/>
      </c>
      <c r="SS83" s="494" t="str">
        <f>IF(A83=FALSE,"",SQ83*Cotations!DQ83)</f>
        <v/>
      </c>
      <c r="ST83" s="338" t="str">
        <f t="shared" si="792"/>
        <v/>
      </c>
      <c r="SU83" s="919" t="str">
        <f>IF(A83=FALSE,"",((SG83*TAXE)-(SG83*TAXE*SI83))+IF(SM83="N/A",0,IF(INDEX(LISTES!$F$105:$F$109,MATCH(SM83,LISTES!$C$105:$C$109,0))="FIX",SN83,SO83*SL83)))</f>
        <v/>
      </c>
      <c r="TA83" s="492" t="str">
        <f>IF(A83=FALSE,"",Cotations!D83)</f>
        <v/>
      </c>
      <c r="TB83" s="491" t="str">
        <f>IF(A83=FALSE,"",IF(LISTES!$A$17=1,Cotations!DR83,Cotations!DS83))</f>
        <v/>
      </c>
      <c r="TC83" s="285" t="str">
        <f t="shared" si="793"/>
        <v/>
      </c>
      <c r="TD83" s="300" t="str">
        <f>IF(A83=FALSE,"",Detail!CQ83)</f>
        <v/>
      </c>
      <c r="TE83" s="461" t="str">
        <f t="shared" si="794"/>
        <v/>
      </c>
      <c r="TF83" s="490" t="str">
        <f>IF(A83=FALSE,"",IF(TA83="FIXE",Cotations!DU83,Cotations!DV83*Y83))</f>
        <v/>
      </c>
      <c r="TG83" s="300" t="str">
        <f t="shared" si="795"/>
        <v/>
      </c>
      <c r="TH83" s="522" t="str">
        <f>IF(A83=FALSE,"",IF(Cotations!DT83="monthly",TG83/12*L83,TG83/365*M83))</f>
        <v/>
      </c>
      <c r="TI83" s="489" t="str">
        <f>IF(A83=FALSE,"",IF(Cotations!DW83="","",Cotations!DW83))</f>
        <v/>
      </c>
      <c r="TJ83" s="300" t="str">
        <f t="shared" si="796"/>
        <v/>
      </c>
      <c r="TK83" s="300" t="str">
        <f t="shared" si="797"/>
        <v/>
      </c>
      <c r="TL83" s="919" t="str">
        <f t="shared" si="798"/>
        <v/>
      </c>
      <c r="TM83" s="517" t="str">
        <f>IF(A83=FALSE,"",Cotations!DX83)</f>
        <v/>
      </c>
      <c r="TN83" s="517" t="str">
        <f>IF(A83=FALSE,"",Cotations!DY83)</f>
        <v/>
      </c>
      <c r="TO83" s="493" t="str">
        <f>IF(A83=FALSE,"",Cotations!DZ83)</f>
        <v/>
      </c>
      <c r="TP83" s="517" t="str">
        <f>IF(A83=FALSE,"",IF(TM83="N/A",0,IF(INDEX(LISTES!$F$105:$F$109,MATCH(TM83,LISTES!$C$105:$C$109,0))="FIX",IF(INDEX(LISTES!$E$105:$E$109,MATCH(TM83,LISTES!$C$105:$C$109,0))=12,TN83/12*L83,TN83/365*M83),TO83*TL83)))</f>
        <v/>
      </c>
      <c r="TQ83" s="294" t="str">
        <f t="shared" si="799"/>
        <v/>
      </c>
      <c r="TR83" s="494" t="str">
        <f>IF(A83=FALSE,"",TQ83*Cotations!EA83)</f>
        <v/>
      </c>
      <c r="TS83" s="494" t="str">
        <f>IF(A83=FALSE,"",TQ83*Cotations!EB83)</f>
        <v/>
      </c>
      <c r="TT83" s="338" t="str">
        <f t="shared" si="800"/>
        <v/>
      </c>
      <c r="TU83" s="919" t="str">
        <f>IF(A83=FALSE,"",((TG83*(1+TAXE)-(TG83*(1+TAXE)*TI83))+IF(TM83="N/A",0,IF(INDEX(LISTES!$F$105:$F$109,MATCH(TM83,LISTES!$C$105:$C$109,0))="FIX",TN83,TO83*TL83))))</f>
        <v/>
      </c>
      <c r="UA83" s="492" t="str">
        <f>IF(A83=FALSE,"",Cotations!D83)</f>
        <v/>
      </c>
      <c r="UB83" s="491" t="str">
        <f>IF(A83=FALSE,"",IF(LISTES!$A$17=1,Cotations!EC83,Cotations!ED83))</f>
        <v/>
      </c>
      <c r="UC83" s="285" t="str">
        <f t="shared" si="801"/>
        <v/>
      </c>
      <c r="UD83" s="300" t="str">
        <f>IF(A83=FALSE,"",Detail!CY83)</f>
        <v/>
      </c>
      <c r="UE83" s="461" t="str">
        <f t="shared" si="802"/>
        <v/>
      </c>
      <c r="UF83" s="490" t="str">
        <f>IF(A83=FALSE,"",IF(UA83="FIXE",Cotations!EF83,Cotations!EG83*Y83))</f>
        <v/>
      </c>
      <c r="UG83" s="300" t="str">
        <f t="shared" si="803"/>
        <v/>
      </c>
      <c r="UH83" s="522" t="str">
        <f>IF(A83=FALSE,"",IF(Cotations!EE83="monthly",UG83/12*L83,UG83/365*M83))</f>
        <v/>
      </c>
      <c r="UI83" s="489" t="str">
        <f>IF(A83=FALSE,"",IF(Cotations!EH83="","",Cotations!EH83))</f>
        <v/>
      </c>
      <c r="UJ83" s="300" t="str">
        <f t="shared" si="804"/>
        <v/>
      </c>
      <c r="UK83" s="300" t="str">
        <f t="shared" si="805"/>
        <v/>
      </c>
      <c r="UL83" s="919" t="str">
        <f t="shared" si="806"/>
        <v/>
      </c>
      <c r="UM83" s="517" t="str">
        <f>IF(A83=FALSE,"",Cotations!EI83)</f>
        <v/>
      </c>
      <c r="UN83" s="517" t="str">
        <f>IF(A83=FALSE,"",Cotations!EJ83)</f>
        <v/>
      </c>
      <c r="UO83" s="493" t="str">
        <f>IF(A83=FALSE,"",Cotations!EK83)</f>
        <v/>
      </c>
      <c r="UP83" s="517" t="str">
        <f>IF(A83=FALSE,"",IF(UM83="N/A",0,IF(INDEX(LISTES!$F$105:$F$109,MATCH(UM83,LISTES!$C$105:$C$109,0))="FIX",IF(INDEX(LISTES!$E$105:$E$109,MATCH(UM83,LISTES!$C$105:$C$109,0))=12,UN83/12*L83,UN83/365*M83),UO83*UL83)))</f>
        <v/>
      </c>
      <c r="UQ83" s="294" t="str">
        <f t="shared" si="807"/>
        <v/>
      </c>
      <c r="UR83" s="494" t="str">
        <f>IF(A83=FALSE,"",UQ83*Cotations!EL83)</f>
        <v/>
      </c>
      <c r="US83" s="494" t="str">
        <f>IF(A83=FALSE,"",UQ83*Cotations!EM83)</f>
        <v/>
      </c>
      <c r="UT83" s="338" t="str">
        <f t="shared" si="808"/>
        <v/>
      </c>
      <c r="UU83" s="919" t="str">
        <f>IF(A83=FALSE,"",((UG83*(1+TAXE)-(UG83*(1+TAXE)*UI83))+IF(UM83="N/A",0,IF(INDEX(LISTES!$F$105:$F$109,MATCH(UM83,LISTES!$C$105:$C$109,0))="FIX",UN83,UO83*UL83))))</f>
        <v/>
      </c>
      <c r="VA83" s="492" t="str">
        <f>IF(A83=FALSE,"",Cotations!D83)</f>
        <v/>
      </c>
      <c r="VB83" s="519" t="str">
        <f>IF(A83=FALSE,"",IF(LISTES!$A$17=1,Cotations!EN83,Cotations!EO83))</f>
        <v/>
      </c>
      <c r="VC83" s="291" t="str">
        <f t="shared" si="809"/>
        <v/>
      </c>
      <c r="VD83" s="291" t="str">
        <f t="shared" si="810"/>
        <v/>
      </c>
      <c r="VE83" s="291"/>
      <c r="VF83" s="463"/>
      <c r="VG83" s="463" t="str">
        <f t="shared" si="811"/>
        <v/>
      </c>
      <c r="VH83" s="522" t="str">
        <f>IF(A83=FALSE,"",IF(Cotations!$AQ$4="monthly",VG83/12*L83,VG83/365*M83))</f>
        <v/>
      </c>
      <c r="VI83" s="489" t="str">
        <f>IF(A83=FALSE,"",Cotations!$AR$4)</f>
        <v/>
      </c>
      <c r="VJ83" s="300" t="str">
        <f t="shared" si="812"/>
        <v/>
      </c>
      <c r="VK83" s="300" t="str">
        <f t="shared" si="813"/>
        <v/>
      </c>
      <c r="VL83" s="294" t="str">
        <f t="shared" si="814"/>
        <v/>
      </c>
      <c r="VM83" s="494" t="str">
        <f>IF(A83=FALSE,"",Cotations!$AS$4)</f>
        <v/>
      </c>
      <c r="VN83" s="494" t="str">
        <f>IF(A83=FALSE,"",Cotations!$AT$4)</f>
        <v/>
      </c>
      <c r="VO83" s="489" t="str">
        <f>IF(A83=FALSE,"",Cotations!$AU$4)</f>
        <v/>
      </c>
      <c r="VP83" s="494" t="str">
        <f>IF(A83=FALSE,"",IF(VM83="N/A",0,IF(INDEX(LISTES!$F$105:$F$109,MATCH(VM83,LISTES!$C$105:$C$109,0))="FIX",IF(INDEX(LISTES!$E$105:$E$109,MATCH(VM83,LISTES!$C$105:$C$109,0))=12,VN83/12*L83,VN83/365*M83),VO83*VL83)))</f>
        <v/>
      </c>
      <c r="VQ83" s="294" t="str">
        <f t="shared" si="815"/>
        <v/>
      </c>
      <c r="VR83" s="494" t="str">
        <f>IF(A83=FALSE,"",VQ83*Cotations!$AV$4)</f>
        <v/>
      </c>
      <c r="VS83" s="494" t="str">
        <f>IF(A83=FALSE,"",VQ83*Cotations!$AW$4)</f>
        <v/>
      </c>
      <c r="VT83" s="465" t="str">
        <f t="shared" si="816"/>
        <v/>
      </c>
      <c r="VU83" s="919" t="str">
        <f>IF(A83=FALSE,"",((VG83*TAXE)-(VG83*TAXE*VI83))+IF(VM83="N/A",0,IF(INDEX(LISTES!$F$105:$F$109,MATCH(VM83,LISTES!$C$105:$C$109,0))="FIX",VN83,VO83*VL83)))</f>
        <v/>
      </c>
      <c r="WA83" s="492" t="str">
        <f>IF(A83=FALSE,"",Cotations!D83)</f>
        <v/>
      </c>
      <c r="WB83" s="519" t="str">
        <f>IF(A83=FALSE,"",IF(LISTES!$A$17=1,Cotations!EW83,Cotations!EX83))</f>
        <v/>
      </c>
      <c r="WC83" s="291" t="str">
        <f t="shared" si="817"/>
        <v/>
      </c>
      <c r="WD83" s="291" t="str">
        <f t="shared" si="818"/>
        <v/>
      </c>
      <c r="WE83" s="291"/>
      <c r="WF83" s="463"/>
      <c r="WG83" s="463" t="str">
        <f t="shared" si="819"/>
        <v/>
      </c>
      <c r="WH83" s="522" t="str">
        <f>IF(A83=FALSE,"",IF(Cotations!$AQ$4="monthly",WG83/12*L83,WG83/365*M83))</f>
        <v/>
      </c>
      <c r="WI83" s="489" t="str">
        <f>IF(A83=FALSE,"",Cotations!$AR$4)</f>
        <v/>
      </c>
      <c r="WJ83" s="300" t="str">
        <f t="shared" si="820"/>
        <v/>
      </c>
      <c r="WK83" s="300" t="str">
        <f t="shared" si="821"/>
        <v/>
      </c>
      <c r="WL83" s="294" t="str">
        <f t="shared" si="822"/>
        <v/>
      </c>
      <c r="WM83" s="494" t="str">
        <f>IF(A83=FALSE,"",Cotations!$AS$4)</f>
        <v/>
      </c>
      <c r="WN83" s="494" t="str">
        <f>IF(A83=FALSE,"",Cotations!$AT$4)</f>
        <v/>
      </c>
      <c r="WO83" s="489" t="str">
        <f>IF(A83=FALSE,"",Cotations!$AU$4)</f>
        <v/>
      </c>
      <c r="WP83" s="494" t="str">
        <f>IF(A83=FALSE,"",IF(WM83="N/A",0,IF(INDEX(LISTES!$F$105:$F$109,MATCH(WM83,LISTES!$C$105:$C$109,0))="FIX",IF(INDEX(LISTES!$E$105:$E$109,MATCH(WM83,LISTES!$C$105:$C$109,0))=12,WN83/12*L83,WN83/365*M83),WO83*WL83)))</f>
        <v/>
      </c>
      <c r="WQ83" s="294" t="str">
        <f t="shared" si="823"/>
        <v/>
      </c>
      <c r="WR83" s="494" t="str">
        <f>IF(A83=FALSE,"",WQ83*Cotations!$AV$4)</f>
        <v/>
      </c>
      <c r="WS83" s="494" t="str">
        <f>IF(A83=FALSE,"",WQ83*Cotations!$AW$4)</f>
        <v/>
      </c>
      <c r="WT83" s="465" t="str">
        <f t="shared" si="824"/>
        <v/>
      </c>
      <c r="WU83" s="919" t="str">
        <f>IF(A83=FALSE,"",((WG83*TAXE)-(WG83*TAXE*WI83))+IF(WM83="N/A",0,IF(INDEX(LISTES!$F$105:$F$109,MATCH(WM83,LISTES!$C$105:$C$109,0))="FIX",WN83,WO83*WL83)))</f>
        <v/>
      </c>
    </row>
    <row r="84" spans="1:619">
      <c r="A84" s="942" t="b">
        <f t="shared" si="629"/>
        <v>0</v>
      </c>
      <c r="B84" s="942" t="b">
        <f>IF(NAMES!$B$9=TRUE,TRUE,FALSE)</f>
        <v>1</v>
      </c>
      <c r="C84" s="942" t="b">
        <f t="shared" si="825"/>
        <v>0</v>
      </c>
      <c r="D84" s="942" t="b">
        <f t="shared" si="826"/>
        <v>0</v>
      </c>
      <c r="E84" s="274" t="b">
        <f>IF(Cotations!C84="","",Cotations!C84)</f>
        <v>0</v>
      </c>
      <c r="F84" s="274" t="str">
        <f>IF(Cotations!D84="","",Cotations!D84)</f>
        <v>PROP</v>
      </c>
      <c r="G84" s="274" t="str">
        <f>IF(Cotations!E84="","",Cotations!E84)</f>
        <v>2016-2017!</v>
      </c>
      <c r="H84" s="274" t="str">
        <f>IF(Cotations!F84="","",Cotations!F84)</f>
        <v>SINGLE</v>
      </c>
      <c r="I84" s="274" t="str">
        <f>IF(Cotations!G84="","",Cotations!G84)</f>
        <v/>
      </c>
      <c r="J84" s="274" t="str">
        <f>IF(Cotations!H84="","",Cotations!H84)</f>
        <v/>
      </c>
      <c r="K84" s="274" t="str">
        <f>IF(Cotations!I84="","",Cotations!I84)</f>
        <v/>
      </c>
      <c r="L84" s="274" t="str">
        <f>IF(A84=FALSE,"",IF(Cotations!N84="","",Cotations!N84))</f>
        <v/>
      </c>
      <c r="M84" s="274" t="str">
        <f>IF(Cotations!P84="","",Cotations!P84)</f>
        <v/>
      </c>
      <c r="N84" s="724" t="str">
        <f>IF(NAMES!$B$10=TRUE,Cotations!J84,Cotations!L84)</f>
        <v/>
      </c>
      <c r="O84" s="724" t="str">
        <f>IF(NAMES!$B$10=TRUE,Cotations!K84,Cotations!M84)</f>
        <v/>
      </c>
      <c r="P84" s="943" t="str">
        <f t="shared" si="827"/>
        <v/>
      </c>
      <c r="Q84" s="724" t="str">
        <f>IF(A84=FALSE,"",IF(Crewlist!Y84="","",Crewlist!Y84))</f>
        <v/>
      </c>
      <c r="R84" s="78" t="str">
        <f>IF(Cotations!U84="","",Cotations!U84)</f>
        <v/>
      </c>
      <c r="S84" s="943" t="str">
        <f t="shared" si="828"/>
        <v/>
      </c>
      <c r="T84" s="919" t="str">
        <f>IF(A84=FALSE,"",VLOOKUP($U$15:$U$120,Currency!$A$2:$D$10,4,0)*Crewlist!N84)</f>
        <v/>
      </c>
      <c r="U84" s="1355" t="str">
        <f>IF(A84=FALSE,"",IF(IT84=0,Crewlist!M84&amp;"/"&amp;EX84,Crewlist!M84&amp;"/"&amp;IT84))</f>
        <v/>
      </c>
      <c r="V84" s="919" t="str">
        <f>IF(A84=FALSE,"",VLOOKUP($U$15:$U$120,Currency!$A$2:$D$10,4,0)*Detail!Q84)</f>
        <v/>
      </c>
      <c r="W84" s="1355" t="str">
        <f>IF(A84=FALSE,"",IF(IT84=0,Detail!R84&amp;"/"&amp;EX84,Detail!R84&amp;"/"&amp;IT84))</f>
        <v/>
      </c>
      <c r="X84" s="919" t="str">
        <f>IF(A84=FALSE,"",IF(LISTES!$C$17="Crewlist",Calcul!T84,Calcul!V84))</f>
        <v/>
      </c>
      <c r="Y84" s="758" t="str">
        <f t="shared" si="829"/>
        <v/>
      </c>
      <c r="Z84" s="758" t="str">
        <f>IF(A84=FALSE,"",IF(X84=0,0,IF((Cotations!BC84*12*X84)&lt;50000,50000,(12*X84))))</f>
        <v/>
      </c>
      <c r="AA84" s="758" t="str">
        <f t="shared" si="830"/>
        <v/>
      </c>
      <c r="AB84" s="758" t="str">
        <f>IF(A84=FALSE,"",IF(Crewlist!O84=0,"",Crewlist!O84))</f>
        <v/>
      </c>
      <c r="AC84" s="758" t="str">
        <f>IF(I84="","",VLOOKUP($AB$15:$AB$120,Currency!$A$15:$B$34,2,0))</f>
        <v/>
      </c>
      <c r="AD84" s="758" t="str">
        <f t="shared" si="831"/>
        <v/>
      </c>
      <c r="AE84" s="758" t="str">
        <f t="shared" si="832"/>
        <v/>
      </c>
      <c r="AF84" s="758" t="str">
        <f t="shared" si="833"/>
        <v/>
      </c>
      <c r="AG84" s="758" t="str">
        <f t="shared" si="834"/>
        <v/>
      </c>
      <c r="AH84" s="1355" t="str">
        <f t="shared" si="630"/>
        <v/>
      </c>
      <c r="AI84" s="919" t="str">
        <f t="shared" si="835"/>
        <v/>
      </c>
      <c r="AJ84" s="1382" t="str">
        <f t="shared" si="836"/>
        <v/>
      </c>
      <c r="AK84" s="1382" t="str">
        <f t="shared" si="837"/>
        <v/>
      </c>
      <c r="AL84" s="238" t="str">
        <f t="shared" si="631"/>
        <v/>
      </c>
      <c r="AM84" s="238" t="str">
        <f t="shared" si="632"/>
        <v/>
      </c>
      <c r="AN84" s="1374" t="str">
        <f t="shared" si="633"/>
        <v/>
      </c>
      <c r="AO84" s="238" t="str">
        <f t="shared" si="634"/>
        <v/>
      </c>
      <c r="AP84" s="342" t="str">
        <f>IF(A84=FALSE,"",INDEX(Rates!$Z$5:$Z$367,MATCH(EB84,colchoice,0)))</f>
        <v/>
      </c>
      <c r="AQ84" s="238" t="str">
        <f t="shared" si="635"/>
        <v/>
      </c>
      <c r="AR84" s="238" t="str">
        <f t="shared" si="636"/>
        <v/>
      </c>
      <c r="AS84" s="238" t="str">
        <f t="shared" si="637"/>
        <v/>
      </c>
      <c r="AT84" s="238" t="str">
        <f t="shared" si="638"/>
        <v/>
      </c>
      <c r="AU84" s="238" t="str">
        <f t="shared" si="639"/>
        <v/>
      </c>
      <c r="AV84" s="238" t="str">
        <f t="shared" si="838"/>
        <v/>
      </c>
      <c r="AW84" s="238" t="str">
        <f t="shared" si="640"/>
        <v/>
      </c>
      <c r="AX84" s="238" t="str">
        <f t="shared" si="641"/>
        <v/>
      </c>
      <c r="AY84" s="238" t="str">
        <f t="shared" si="642"/>
        <v/>
      </c>
      <c r="AZ84" s="238" t="str">
        <f t="shared" si="643"/>
        <v/>
      </c>
      <c r="BA84" s="238" t="str">
        <f t="shared" si="644"/>
        <v/>
      </c>
      <c r="BB84" s="552" t="str">
        <f t="shared" si="645"/>
        <v/>
      </c>
      <c r="BC84" s="347" t="str">
        <f t="shared" si="646"/>
        <v/>
      </c>
      <c r="BD84" s="239" t="str">
        <f t="shared" si="839"/>
        <v/>
      </c>
      <c r="BE84" s="239" t="str">
        <f>IF(A84=FALSE,"",IF(ALLTHESAME=TRUE,IF(DF84&lt;&gt;$BC$7,0,INDEX(DD84:DZ84,1,MATCH(Structure!$D$12,$DD$14:$DZ$14,0))),IF(EC84&lt;&gt;$BC$7,0,INDEX(EA84:EZ84,1,MATCH(Structure!$D$12,$EA$14:$EZ$14,0)))))</f>
        <v/>
      </c>
      <c r="BF84" s="239" t="str">
        <f>IF(A84=FALSE,"",IF(ALLTHESAME=TRUE,IF(FC84&lt;&gt;$BC$7,0,INDEX(FA84:FZ84,1,MATCH(Structure!$D$12,$FA$14:$FZ$14,0))),IF(GC84&lt;&gt;$BC$7,0,INDEX(GA84:GZ84,1,MATCH(Structure!$D$12,$GA$14:$GZ$14,0)))))</f>
        <v/>
      </c>
      <c r="BG84" s="239" t="str">
        <f>IF(A84=FALSE,"",IF(ALLTHESAME=TRUE,IF(VC84&lt;&gt;$BC$7,0,INDEX(VA84:VZ84,1,MATCH(Structure!$D$12,$VA$14:$VZ$14,0))),IF(VC84&lt;&gt;$BC$7,0,INDEX(VA84:VZ84,1,MATCH(Structure!$D$12,$VA$14:$VZ$14,0)))))</f>
        <v/>
      </c>
      <c r="BH84" s="239" t="str">
        <f>IF(A84=FALSE,"",IF(ALLTHESAME=TRUE,IF(WC84&lt;&gt;$BC$7,0,INDEX(WA84:WY84,1,MATCH(Structure!$D$12,$WA$14:$WZ$14,0))),IF(WC84&lt;&gt;$BC$7,0,INDEX(WA84:WZ84,1,MATCH(Structure!$D$12,$WA$14:$WZ$14,0)))))</f>
        <v/>
      </c>
      <c r="BI84" s="763" t="str">
        <f>IF(A84=FALSE,"",IF(ALLTHESAME=TRUE,IF(HC84&lt;&gt;$BC$7,0,INDEX(HA84:HZ84,1,MATCH(Structure!$D$12,$HA$14:$HZ$14,0)))+TK84,IF(IC84&lt;&gt;$BC$7,0,INDEX(IA84:IZ84,1,MATCH(Structure!$D$12,$IA$14:$IZ$14,0)))+TK84))</f>
        <v/>
      </c>
      <c r="BJ84" s="239" t="str">
        <f>IF(A84=FALSE,"",IF(ALLTHESAME=TRUE,IF(JC84&lt;&gt;$BC$7,0,INDEX(JA84:JZ84,1,MATCH(Structure!$D$12,$JA$14:$JZ$14,0))),IF(KC84&lt;&gt;$BC$7,0,INDEX(KA84:KZ84,1,MATCH(Structure!$D$12,$KA$14:$KZ$14,0)))))</f>
        <v/>
      </c>
      <c r="BK84" s="763" t="str">
        <f>IF(A84=FALSE,"",IF(ALLTHESAME=TRUE,IF(LC84&lt;&gt;$BC$7,0,INDEX(LA84:LZ84,1,MATCH(Structure!$D$12,$LA$14:$LZ$14,0)))+UK84,IF(MC84&lt;&gt;$BC$7,0,INDEX(MA84:MZ84,1,MATCH(Structure!$D$12,$MA$14:$MZ$14,0)))+UK84))</f>
        <v/>
      </c>
      <c r="BL84" s="239" t="str">
        <f>IF(A84=FALSE,"",IF(ALLTHESAME=TRUE,IF(NC84&lt;&gt;$BC$7,0,INDEX(NA84:NZ84,1,MATCH(Structure!$D$12,$NA$14:$NZ$14,0))),IF(OC84&lt;&gt;$BC$7,0,INDEX(OA84:OZ84,1,MATCH(Structure!$D$12,$OA$14:$OZ$14,0)))))</f>
        <v/>
      </c>
      <c r="BM84" s="239" t="str">
        <f>IF(A84=FALSE,"",IF(ALLTHESAME=TRUE,IF(PC84&lt;&gt;$BC$7,0,INDEX(PA84:PZ84,1,MATCH(Structure!$D$12,$PA$14:$PZ$14,0))),IF(QC84&lt;&gt;$BC$7,0,INDEX(QA84:QZ84,1,MATCH(Structure!$D$12,$QA$14:$QZ$14,0)))))</f>
        <v/>
      </c>
      <c r="BN84" s="341" t="str">
        <f>IF(A84=FALSE,"",IF(ALLTHESAME=TRUE,IF(RC84&lt;&gt;$BC$7,0,INDEX(RA84:RZ84,1,MATCH(Structure!$D$12,$RA$14:$RZ$14,0))),IF(SC84&lt;&gt;$BC$7,0,INDEX(SA84:TA84,1,MATCH(Structure!$D$12,$SA$14:$TA$14,0)))))</f>
        <v/>
      </c>
      <c r="BO84" s="507" t="str">
        <f t="shared" si="647"/>
        <v/>
      </c>
      <c r="BP84" s="239" t="str">
        <f t="shared" si="648"/>
        <v/>
      </c>
      <c r="BQ84" s="239" t="str">
        <f>IF(A84=FALSE,"",IF(ALLTHESAME=TRUE,IF(DF84&lt;&gt;$BO$7,0,INDEX(DD84:DZ84,1,MATCH(Structure!$D$12,$DD$14:$DZ$14,0))),IF(EC84&lt;&gt;$BO$7,0,INDEX(EA84:EZ84,1,MATCH(Structure!$D$12,$EA$14:$EZ$14,0)))))</f>
        <v/>
      </c>
      <c r="BR84" s="239" t="str">
        <f>IF(A84=FALSE,"",IF(ALLTHESAME=TRUE,IF(FC84&lt;&gt;$BO$7,0,INDEX(FA84:FZ84,1,MATCH(Structure!$D$12,$FA$14:$FZ$14,0))),IF(GC84&lt;&gt;$BO$7,0,INDEX(GA84:GZ84,1,MATCH(Structure!$D$12,$GA$14:$GZ$14,0)))))</f>
        <v/>
      </c>
      <c r="BS84" s="239" t="str">
        <f>IF(A84=FALSE,"",IF(ALLTHESAME=TRUE,IF(HC84&lt;&gt;$BO$7,0,INDEX(HA84:HZ84,1,MATCH(Structure!$D$12,$HA$14:$HZ$14,0))),IF(IC84&lt;&gt;$BO$7,0,INDEX(IA84:IZ84,1,MATCH(Structure!$D$12,$IA$14:$IZ$14,0)))))</f>
        <v/>
      </c>
      <c r="BT84" s="239" t="str">
        <f>IF(A84=FALSE,"",IF(ALLTHESAME=TRUE,IF(JC84&lt;&gt;$BO$7,0,INDEX(JA84:JZ84,1,MATCH(Structure!$D$12,$JA$14:$JZ$14,0))),IF(KC84&lt;&gt;$BO$7,0,INDEX(KA84:KZ84,1,MATCH(Structure!$D$12,$KA$14:$KZ$14,0)))))</f>
        <v/>
      </c>
      <c r="BU84" s="239" t="str">
        <f>IF(A84=FALSE,"",IF(ALLTHESAME=TRUE,IF(LC84&lt;&gt;$BO$7,0,INDEX(LA84:LZ84,1,MATCH(Structure!$D$12,$LA$14:$LZ$14,0))),IF(MC84&lt;&gt;$BO$7,0,INDEX(MA84:MZ84,1,MATCH(Structure!$D$12,$MA$14:$MZ$14,0)))))</f>
        <v/>
      </c>
      <c r="BV84" s="239" t="str">
        <f>IF(A84=FALSE,"",IF(ALLTHESAME=TRUE,IF(NC84&lt;&gt;$BO$7,0,INDEX(NA84:NZ84,1,MATCH(Structure!$D$12,$NA$14:$NZ$14,0))),IF(OC84&lt;&gt;$BO$7,0,INDEX(OA84:OZ84,1,MATCH(Structure!$D$12,$OA$14:$OZ$14,0)))))</f>
        <v/>
      </c>
      <c r="BW84" s="239" t="str">
        <f>IF(A84=FALSE,"",IF(ALLTHESAME=TRUE,IF(PC84&lt;&gt;$BO$7,0,INDEX(PA84:PZ84,1,MATCH(Structure!$D$12,$PA$14:$PZ$14,0))),IF(QC84&lt;&gt;$BO$7,0,INDEX(QA84:QZ84,1,MATCH(Structure!$D$12,$QA$14:$QZ$14,0)))))</f>
        <v/>
      </c>
      <c r="BX84" s="341" t="str">
        <f>IF(A84=FALSE,"",IF(ALLTHESAME=TRUE,IF(RC84&lt;&gt;$BO$7,0,INDEX(RA84:RZ84,1,MATCH(Structure!$D$12,$RA$14:$RZ$14,0))),IF(SC84&lt;&gt;$BO$7,0,INDEX(SA84:TA84,1,MATCH(Structure!$D$12,$SA$14:$TA$14,0)))))</f>
        <v/>
      </c>
      <c r="BY84" s="347" t="str">
        <f t="shared" si="649"/>
        <v/>
      </c>
      <c r="BZ84" s="507" t="str">
        <f t="shared" si="650"/>
        <v/>
      </c>
      <c r="CA84" s="239" t="str">
        <f t="shared" si="651"/>
        <v/>
      </c>
      <c r="CB84" s="239" t="str">
        <f>IF(A84=FALSE,"",IF(ALLTHESAME=TRUE,INDEX(DD84:DZ84,MATCH(DF84,DF84:DF189,0),MATCH(Structure!$D$17,$DD$14:$DZ$14,0)),INDEX(EA84:EZ84,MATCH(EC84,EC84:EC189,0),MATCH(Structure!$D$17,$EA$14:$EZ$14,0))))</f>
        <v/>
      </c>
      <c r="CC84" s="239" t="str">
        <f>IF(A84=FALSE,"",IF(ALLTHESAME=TRUE,INDEX(FA84:FZ84,MATCH(FC84,FC84:FC189,0),MATCH(Structure!$D$17,$FA$14:$FZ$14,0)),INDEX(GA84:GZ84,MATCH(GC84,GC84:GC189,0),MATCH(Structure!$D$17,$GA$14:$GZ$14,0))))</f>
        <v/>
      </c>
      <c r="CD84" s="239" t="str">
        <f>IF(A84=FALSE,"",IF(ALLTHESAME=TRUE,INDEX(HA84:HZ84,MATCH(HC84,HC84:HC189,0),MATCH(Structure!$D$17,$HA$14:$HZ$14,0)),INDEX(IA84:IZ84,MATCH(IC84,IC84:IC189,0),MATCH(Structure!$D$17,$IA$14:$IZ$14,0))))</f>
        <v/>
      </c>
      <c r="CE84" s="239" t="str">
        <f>IF(A84=FALSE,"",IF(ALLTHESAME=TRUE,INDEX(JA84:JZ84,MATCH(JC84,JC84:JC189,0),MATCH(Structure!$D$17,$JA$14:$JZ$14,0)),INDEX(KA84:KZ84,MATCH(KC84,KC84:KC189,0),MATCH(Structure!$D$17,$KA$14:$KZ$14,0))))</f>
        <v/>
      </c>
      <c r="CF84" s="239" t="str">
        <f>IF(A84=FALSE,"",IF(ALLTHESAME=TRUE,INDEX(LA84:LZ84,MATCH(LC84,LC84:LC189,0),MATCH(Structure!$D$17,$LA$14:$LZ$14,0)),INDEX(MA84:MZ84,MATCH(MC84,MC84:MC189,0),MATCH(Structure!$D$17,$MA$14:$MZ$14,0))))</f>
        <v/>
      </c>
      <c r="CG84" s="239" t="str">
        <f>IF(A84=FALSE,"",IF(ALLTHESAME=TRUE,INDEX(NA84:NZ84,MATCH(NC84,NC84:NC189,0),MATCH(Structure!$D$17,$NA$14:$NZ$14,0)),INDEX(OA84:OZ84,MATCH(OC84,OC84:OC189,0),MATCH(Structure!$D$17,$OA$14:$OZ$14,0))))</f>
        <v/>
      </c>
      <c r="CH84" s="239" t="str">
        <f>IF(A84=FALSE,"",IF(ALLTHESAME=TRUE,INDEX(PA84:PZ84,MATCH(PC84,PC84:PC189,0),MATCH(Structure!$D$17,$PA$14:$PZ$14,0)),INDEX(QA84:QZ84,MATCH(QC84,QC84:QC189,0),MATCH(Structure!$D$17,$QA$14:$QZ$14,0))))</f>
        <v/>
      </c>
      <c r="CI84" s="341" t="str">
        <f>IF(A84=FALSE,"",IF(ALLTHESAME=TRUE,INDEX(RA84:RZ84,MATCH(RC84,RC84:RC189,0),MATCH(Structure!$D$17,$RA$14:$RZ$14,0)),INDEX(SA84:TC84,MATCH(SC84,SC84:SC189,0),MATCH(Structure!$D$17,$SA$14:$TC$14,0))))</f>
        <v/>
      </c>
      <c r="CJ84" s="347"/>
      <c r="CK84" s="239" t="str">
        <f t="shared" si="652"/>
        <v/>
      </c>
      <c r="CL84" s="239" t="str">
        <f>IF(A84=FALSE,"",IF(ALLTHESAME=TRUE,INDEX(DD84:DZ84,MATCH(DF84,DF84:DF189,0),MATCH(Structure!$D$22,$DD$14:$DZ$14,0)),INDEX(EA84:EZ84,MATCH(EC84,EC84:EC189,0),MATCH(Structure!$D$22,$EA$14:$EZ$14,0))))</f>
        <v/>
      </c>
      <c r="CM84" s="239" t="str">
        <f>IF(A84=FALSE,"",IF(ALLTHESAME=TRUE,INDEX(FA84:FZ84,MATCH(FC84,FC84:FC189,0),MATCH(Structure!$D$22,$FA$14:$FZ$14,0)),INDEX(GA84:GZ84,MATCH(GC84,GC84:GC189,0),MATCH(Structure!$D$22,$GA$14:$GZ$14,0))))</f>
        <v/>
      </c>
      <c r="CN84" s="239" t="str">
        <f>IF(A84=FALSE,"",IF(ALLTHESAME=TRUE,INDEX(HA84:HZ84,MATCH(HC84,HC84:HC189,0),MATCH(Structure!$D$22,$HA$14:$HZ$14,0)),INDEX(IA84:IZ84,MATCH(IC84,IC84:IC189,0),MATCH(Structure!$D$22,$IA$14:$IZ$14,0))))</f>
        <v/>
      </c>
      <c r="CO84" s="239" t="str">
        <f>IF(A84=FALSE,"",IF(ALLTHESAME=TRUE,INDEX(JA84:JZ84,MATCH(JC84,JC84:JC189,0),MATCH(Structure!$D$22,$JA$14:$JZ$14,0)),INDEX(KA84:KZ84,MATCH(KC84,KC84:KC189,0),MATCH(Structure!$D$22,$KA$14:$KZ$14,0))))</f>
        <v/>
      </c>
      <c r="CP84" s="239" t="str">
        <f>IF(A84=FALSE,"",IF(ALLTHESAME=TRUE,INDEX(LA84:LZ84,MATCH(LC84,LC84:LC189,0),MATCH(Structure!$D$22,$LA$14:$LZ$14,0)),INDEX(MA84:MZ84,MATCH(MC84,MC84:MC189,0),MATCH(Structure!$D$22,$MA$14:$MZ$14,0))))</f>
        <v/>
      </c>
      <c r="CQ84" s="239" t="str">
        <f>IF(A84=FALSE,"",IF(ALLTHESAME=TRUE,INDEX(NA84:NZ84,MATCH(NC84,NC84:NC189,0),MATCH(Structure!$D$22,$NA$14:$NZ$14,0)),INDEX(OA84:OZ84,MATCH(OC84,OC84:OC189,0),MATCH(Structure!$D$22,$OA$14:$OZ$14,0))))</f>
        <v/>
      </c>
      <c r="CR84" s="239" t="str">
        <f>IF(A84=FALSE,"",IF(ALLTHESAME=TRUE,INDEX(PA84:PZ84,MATCH(PC84,PC84:PC189,0),MATCH(Structure!$D$22,$PA$14:$PZ$14,0)),INDEX(QA84:QZ84,MATCH(QC84,QC84:QC189,0),MATCH(Structure!$D$22,$QA$14:$QZ$14,0))))</f>
        <v/>
      </c>
      <c r="CS84" s="341" t="str">
        <f>IF(A84=FALSE,"",IF(ALLTHESAME=TRUE,INDEX(RA84:RZ84,MATCH(RC84,RC84:RC189,0),MATCH(Structure!$D$22,$RA$14:$RZ$14,0)),INDEX(SA84:TC84,MATCH(SC84,SC84:SC189,0),MATCH(Structure!$D$22,$SA$14:$TC$14,0))))</f>
        <v/>
      </c>
      <c r="CT84" s="347"/>
      <c r="CU84" s="239" t="str">
        <f t="shared" si="653"/>
        <v/>
      </c>
      <c r="CV84" s="239" t="str">
        <f>IF(A84=FALSE,"",IF(ALLTHESAME=TRUE,INDEX(DD84:DZ84,MATCH(DF84,DF84:DF189,0),MATCH(Structure!$D$8,$DD$14:$DZ$14,0)),INDEX(EA84:EZ84,MATCH(EC84,EC84:EC189,0),MATCH(Structure!$D$8,$EA$14:$EZ$14,0))))</f>
        <v/>
      </c>
      <c r="CW84" s="239" t="str">
        <f>IF(A84=FALSE,"",IF(ALLTHESAME=TRUE,INDEX(FA84:FZ84,MATCH(FC84,FC84:FC189,0),MATCH(Structure!$D$8,$FA$14:$FZ$14,0)),INDEX(GA84:GZ84,MATCH(GC84,GC84:GC189,0),MATCH(Structure!$D$8,$GA$14:$GZ$14,0))))</f>
        <v/>
      </c>
      <c r="CX84" s="239" t="str">
        <f>IF(A84=FALSE,"",IF(ALLTHESAME=TRUE,INDEX(HA84:HZ84,MATCH(HC84,HC84:HC189,0),MATCH(Structure!$D$8,$HA$14:$HZ$14,0)),INDEX(IA84:IZ84,MATCH(IC84,IC84:IC189,0),MATCH(Structure!$D$8,$IA$14:$IZ$14,0))))</f>
        <v/>
      </c>
      <c r="CY84" s="239" t="str">
        <f>IF(A84=FALSE,"",IF(ALLTHESAME=TRUE,INDEX(JA84:JZ84,MATCH(JC84,JC84:JC189,0),MATCH(Structure!$D$8,$JA$14:$JZ$14,0)),INDEX(KA84:KZ84,MATCH(KC84,KC84:KC189,0),MATCH(Structure!$D$8,$KA$14:$KZ$14,0))))</f>
        <v/>
      </c>
      <c r="CZ84" s="239" t="str">
        <f>IF(A84=FALSE,"",IF(ALLTHESAME=TRUE,INDEX(LA84:LZ84,MATCH(LC84,LC84:LC189,0),MATCH(Structure!$D$8,$LA$14:$LZ$14,0)),INDEX(MA84:MZ84,MATCH(MC84,MC84:MC189,0),MATCH(Structure!$D$8,$MA$14:$MZ$14,0))))</f>
        <v/>
      </c>
      <c r="DA84" s="239" t="str">
        <f>IF(A84=FALSE,"",IF(ALLTHESAME=TRUE,INDEX(NA84:NZ84,MATCH(NC84,NC84:NC189,0),MATCH(Structure!$D$8,$NA$14:$NZ$14,0)),INDEX(OA84:OZ84,MATCH(OC84,OC84:OC189,0),MATCH(Structure!$D$8,$OA$14:$OZ$14,0))))</f>
        <v/>
      </c>
      <c r="DB84" s="239" t="str">
        <f>IF(A84=FALSE,"",IF(ALLTHESAME=TRUE,INDEX(PA84:PZ84,MATCH(PC84,PC84:PC189,0),MATCH(Structure!$D$8,$PA$14:$PZ$14,0)),INDEX(QA84:QZ84,MATCH(QC84,QC84:QC189,0),MATCH(Structure!$D$8,$QA$14:$QZ$14,0))))</f>
        <v/>
      </c>
      <c r="DC84" s="341" t="str">
        <f>IF(A84=FALSE,"",IF(ALLTHESAME=TRUE,INDEX(RA84:RZ84,MATCH(RC84,RC84:RC189,0),MATCH(Structure!$D$8,$RA$14:$RZ$14,0)),INDEX(SA84:TC84,MATCH(SC84,SC84:SC189,0),MATCH(Structure!$D$8,$SA$14:$TC$14,0))))</f>
        <v/>
      </c>
      <c r="DD84" s="492" t="str">
        <f>IF(A84=FALSE,"",Cotations!D84)</f>
        <v/>
      </c>
      <c r="DE84" s="492" t="str">
        <f>IF(A84=FALSE,"",IF(LISTES!$A$17=1,Cotations!AF84,Cotations!$AG$4))</f>
        <v/>
      </c>
      <c r="DF84" s="291" t="str">
        <f t="shared" si="654"/>
        <v/>
      </c>
      <c r="DG84" s="291" t="str">
        <f t="shared" si="655"/>
        <v/>
      </c>
      <c r="DH84" s="291"/>
      <c r="DI84" s="463"/>
      <c r="DJ84" s="463" t="str">
        <f t="shared" si="656"/>
        <v/>
      </c>
      <c r="DK84" s="522" t="str">
        <f>IF(A84=FALSE,"",IF(Cotations!$AH$4="monthly",DJ84/12*L84,DJ84/365*M84))</f>
        <v/>
      </c>
      <c r="DL84" s="489" t="str">
        <f>IF(A84=FALSE,"",Cotations!$AI$4)</f>
        <v/>
      </c>
      <c r="DM84" s="300" t="str">
        <f t="shared" si="657"/>
        <v/>
      </c>
      <c r="DN84" s="300" t="str">
        <f t="shared" si="658"/>
        <v/>
      </c>
      <c r="DO84" s="294" t="str">
        <f t="shared" si="659"/>
        <v/>
      </c>
      <c r="DP84" s="494" t="str">
        <f>IF(A84=FALSE,"",Cotations!$AJ$4)</f>
        <v/>
      </c>
      <c r="DQ84" s="494" t="str">
        <f>IF(A84=FALSE,"",Cotations!$AK$4)</f>
        <v/>
      </c>
      <c r="DR84" s="489" t="str">
        <f>IF(A84=FALSE,"",Cotations!$AL$4)</f>
        <v/>
      </c>
      <c r="DS84" s="494" t="str">
        <f>IF(A84=FALSE,"",IF(DP84="N/A",0,IF(INDEX(LISTES!$F$105:$F$109,MATCH(DP84,LISTES!$C$105:$C$109,0))="FIX",IF(INDEX(LISTES!$E$105:$E$109,MATCH(DP84,LISTES!$C$105:$C$109,0))=12,DQ84/12*L84,DQ84/365*M84),DR84*DO84)))</f>
        <v/>
      </c>
      <c r="DT84" s="294" t="str">
        <f t="shared" si="660"/>
        <v/>
      </c>
      <c r="DU84" s="294" t="str">
        <f>IF(A84=FALSE,"",DT84*Cotations!$AM$4)</f>
        <v/>
      </c>
      <c r="DV84" s="294" t="str">
        <f>IF(A84=FALSE,"",DT84*Cotations!$AN$4)</f>
        <v/>
      </c>
      <c r="DW84" s="465" t="str">
        <f t="shared" si="661"/>
        <v/>
      </c>
      <c r="DX84" s="919" t="str">
        <f>IF(A84=FALSE,"",((DJ84*TAXE)-(DJ84*TAXE*DL84))+IF(DP84="N/A",0,IF(INDEX(LISTES!$F$105:$F$109,MATCH(DP84,LISTES!$C$105:$C$109,0))="FIX",DQ84,DR84*DO84)))</f>
        <v/>
      </c>
      <c r="DY84" s="466"/>
      <c r="DZ84" s="466"/>
      <c r="EA84" s="492" t="str">
        <f>IF(A84=FALSE,"",Cotations!D84)</f>
        <v/>
      </c>
      <c r="EB84" s="494" t="str">
        <f>IF(A84=FALSE,"",IF(LISTES!$A$17=1,Cotations!AF84,Cotations!AG84))</f>
        <v/>
      </c>
      <c r="EC84" s="284" t="str">
        <f t="shared" si="662"/>
        <v/>
      </c>
      <c r="ED84" s="284" t="str">
        <f t="shared" si="663"/>
        <v/>
      </c>
      <c r="EE84" s="284"/>
      <c r="EF84" s="284"/>
      <c r="EG84" s="284" t="str">
        <f t="shared" si="664"/>
        <v/>
      </c>
      <c r="EH84" s="1365" t="str">
        <f t="shared" si="665"/>
        <v/>
      </c>
      <c r="EI84" s="1365" t="str">
        <f t="shared" si="666"/>
        <v/>
      </c>
      <c r="EJ84" s="515" t="str">
        <f>IF(A84=FALSE,"",IF(Cotations!AH84="monthly",EG84/12*L84,EG84/365*M84))</f>
        <v/>
      </c>
      <c r="EK84" s="1364" t="str">
        <f>IF(A84=FALSE,"",IF(Cotations!AH84="monthly",EI84/12*L84,EI84/365*M84))</f>
        <v/>
      </c>
      <c r="EL84" s="493" t="str">
        <f>IF(A84=FALSE,"",IF(Cotations!AI84="","",Cotations!AI84))</f>
        <v/>
      </c>
      <c r="EM84" s="284" t="str">
        <f t="shared" si="667"/>
        <v/>
      </c>
      <c r="EN84" s="284" t="str">
        <f t="shared" si="668"/>
        <v/>
      </c>
      <c r="EO84" s="1365" t="str">
        <f t="shared" si="840"/>
        <v/>
      </c>
      <c r="EP84" s="284" t="str">
        <f t="shared" si="669"/>
        <v/>
      </c>
      <c r="EQ84" s="515" t="str">
        <f>IF(A84=FALSE,"",Cotations!AJ84)</f>
        <v/>
      </c>
      <c r="ER84" s="515" t="str">
        <f>IF(A84=FALSE,"",IF(Cotations!AK84="","",Cotations!AK84))</f>
        <v/>
      </c>
      <c r="ES84" s="493" t="str">
        <f>IF(A84=FALSE,"",Cotations!AL84)</f>
        <v/>
      </c>
      <c r="ET84" s="515" t="str">
        <f>IF(A84=FALSE,"",IF(EQ84="N/A",0,IF(INDEX(LISTES!$F$105:$F$109,MATCH(EQ84,LISTES!$C$105:$C$109,0))="FIX",IF(INDEX(LISTES!$E$105:$E$109,MATCH(EQ84,LISTES!$C$105:$C$109,0))=12,ER84/12*L84,ER84/365*M84),ES84*EP84)))</f>
        <v/>
      </c>
      <c r="EU84" s="294" t="str">
        <f t="shared" si="670"/>
        <v/>
      </c>
      <c r="EV84" s="494" t="str">
        <f>IF(A84=FALSE,"",EU84*Cotations!AM84)</f>
        <v/>
      </c>
      <c r="EW84" s="494" t="str">
        <f>IF(A84=FALSE,"",EU84*Cotations!AN84)</f>
        <v/>
      </c>
      <c r="EX84" s="334" t="str">
        <f t="shared" si="671"/>
        <v/>
      </c>
      <c r="EY84" s="919" t="str">
        <f>IF(A84=FALSE,"",((EG84*TAXE)-(EG84*TAXE*EL84)+EH84)+IF(EQ84="N/A",0,IF(INDEX(LISTES!$F$105:$F$109,MATCH(EQ84,LISTES!$C$105:$C$109,0))="FIX",ER84,ES84*EP84)))</f>
        <v/>
      </c>
      <c r="FA84" s="492" t="str">
        <f>IF(A84=FALSE,"",Cotations!D84)</f>
        <v/>
      </c>
      <c r="FB84" s="519" t="str">
        <f>IF(A84=FALSE,"",IF(LISTES!$A$17=1,Cotations!AO84,Cotations!$AP$4))</f>
        <v/>
      </c>
      <c r="FC84" s="291" t="str">
        <f t="shared" si="672"/>
        <v/>
      </c>
      <c r="FD84" s="291" t="str">
        <f t="shared" si="673"/>
        <v/>
      </c>
      <c r="FE84" s="291"/>
      <c r="FF84" s="463"/>
      <c r="FG84" s="463" t="str">
        <f t="shared" si="674"/>
        <v/>
      </c>
      <c r="FH84" s="522" t="str">
        <f>IF(A84=FALSE,"",IF(Cotations!$AQ$4="monthly",FG84/12*L84,FG84/365*M84))</f>
        <v/>
      </c>
      <c r="FI84" s="453" t="str">
        <f>IF(A84=FALSE,"",Cotations!$AR$4)</f>
        <v/>
      </c>
      <c r="FJ84" s="300" t="str">
        <f t="shared" si="675"/>
        <v/>
      </c>
      <c r="FK84" s="300" t="str">
        <f t="shared" si="676"/>
        <v/>
      </c>
      <c r="FL84" s="294" t="str">
        <f t="shared" si="677"/>
        <v/>
      </c>
      <c r="FM84" s="494" t="str">
        <f>IF(A84=FALSE,"",Cotations!$AS$4)</f>
        <v/>
      </c>
      <c r="FN84" s="494" t="str">
        <f>IF(A84=FALSE,"",Cotations!$AT$4)</f>
        <v/>
      </c>
      <c r="FO84" s="489" t="str">
        <f>IF(A84=FALSE,"",Cotations!$AU$4)</f>
        <v/>
      </c>
      <c r="FP84" s="494" t="str">
        <f>IF(A84=FALSE,"",IF(FM84="N/A",0,IF(INDEX(LISTES!$F$105:$F$109,MATCH(FM84,LISTES!$C$105:$C$109,0))="FIX",IF(INDEX(LISTES!$E$105:$E$109,MATCH(FM84,LISTES!$C$105:$C$109,0))=12,FN84/12*L84,FN84/365*M84),FO84*FL84)))</f>
        <v/>
      </c>
      <c r="FQ84" s="294" t="str">
        <f t="shared" si="678"/>
        <v/>
      </c>
      <c r="FR84" s="494" t="str">
        <f>IF(A84=FALSE,"",FQ84*Cotations!$AV$4)</f>
        <v/>
      </c>
      <c r="FS84" s="494" t="str">
        <f>IF(A84=FALSE,"",FQ84*Cotations!$AW$4)</f>
        <v/>
      </c>
      <c r="FT84" s="465" t="str">
        <f t="shared" si="679"/>
        <v/>
      </c>
      <c r="FU84" s="919" t="str">
        <f>IF(A84=FALSE,"",((FG84*TAXE)-(FG84*TAXE*FI84))+IF(FM84="N/A",0,IF(INDEX(LISTES!$F$105:$F$109,MATCH(FM84,LISTES!$C$105:$C$109,0))="FIX",FN84,FO84*FL84)))</f>
        <v/>
      </c>
      <c r="FV84" s="478"/>
      <c r="FW84" s="478"/>
      <c r="FX84" s="478"/>
      <c r="FY84" s="478"/>
      <c r="FZ84" s="478"/>
      <c r="GA84" s="492" t="str">
        <f>IF(A84=FALSE,"",Cotations!D84)</f>
        <v/>
      </c>
      <c r="GB84" s="494" t="str">
        <f>IF(A84=FALSE,"",IF(LISTES!$A$17=1,Cotations!AO84,Cotations!AP84))</f>
        <v/>
      </c>
      <c r="GC84" s="284" t="str">
        <f t="shared" si="680"/>
        <v/>
      </c>
      <c r="GD84" s="515" t="str">
        <f>IF(A84=FALSE,"",IF(Detail!AM84="","",Detail!AM84))</f>
        <v/>
      </c>
      <c r="GE84" s="284"/>
      <c r="GF84" s="284"/>
      <c r="GG84" s="284" t="str">
        <f t="shared" si="681"/>
        <v/>
      </c>
      <c r="GH84" s="515" t="str">
        <f>IF(A84=FALSE,"",IF(Cotations!AQ84="monthly",GG84/12*L84,GG84/365*M84))</f>
        <v/>
      </c>
      <c r="GI84" s="493" t="str">
        <f>IF(A84=FALSE,"",IF(Cotations!AR84="","",Cotations!AR84))</f>
        <v/>
      </c>
      <c r="GJ84" s="284" t="str">
        <f t="shared" si="682"/>
        <v/>
      </c>
      <c r="GK84" s="284" t="str">
        <f t="shared" si="683"/>
        <v/>
      </c>
      <c r="GL84" s="284" t="str">
        <f t="shared" si="684"/>
        <v/>
      </c>
      <c r="GM84" s="515" t="str">
        <f>IF(A84=FALSE,"",Cotations!AS84)</f>
        <v/>
      </c>
      <c r="GN84" s="515" t="str">
        <f>IF(A84=FALSE,"",Cotations!AT84)</f>
        <v/>
      </c>
      <c r="GO84" s="493" t="str">
        <f>IF(A84=FALSE,"",Cotations!AU84)</f>
        <v/>
      </c>
      <c r="GP84" s="515" t="str">
        <f>IF(A84=FALSE,"",IF(GM84="N/A",0,IF(INDEX(LISTES!$F$105:$F$109,MATCH(GM84,LISTES!$C$105:$C$109,0))="FIX",IF(INDEX(LISTES!$E$105:$E$109,MATCH(GM84,LISTES!$C$105:$C$109,0))=12,GN84/12*L84,GN84/365*M84),GO84*GL84)))</f>
        <v/>
      </c>
      <c r="GQ84" s="294" t="str">
        <f t="shared" si="685"/>
        <v/>
      </c>
      <c r="GR84" s="494" t="str">
        <f>IF(A84=FALSE,"",GQ84*Cotations!AV84)</f>
        <v/>
      </c>
      <c r="GS84" s="494" t="str">
        <f>IF(A84=FALSE,"",GQ84*Cotations!AW84)</f>
        <v/>
      </c>
      <c r="GT84" s="334" t="str">
        <f t="shared" si="686"/>
        <v/>
      </c>
      <c r="GU84" s="919" t="str">
        <f>IF(A84=FALSE,"",((GG84*TAXE)-(GG84*TAXE*GI84))+IF(GM84="N/A",0,IF(INDEX(LISTES!$F$105:$F$109,MATCH(GM84,LISTES!$C$105:$C$109,0))="FIX",GN84,GO84*GL84)))</f>
        <v/>
      </c>
      <c r="GV84" s="478"/>
      <c r="GW84" s="466"/>
      <c r="GX84" s="466"/>
      <c r="GY84" s="466"/>
      <c r="GZ84" s="466"/>
      <c r="HA84" s="492" t="str">
        <f>IF(A84=FALSE,"",Cotations!D84)</f>
        <v/>
      </c>
      <c r="HB84" s="495" t="str">
        <f>IF(A84=FALSE,"",IF(LISTES!$A$17=1,Cotations!AX84,Cotations!$AY$4))</f>
        <v/>
      </c>
      <c r="HC84" s="291" t="str">
        <f t="shared" si="687"/>
        <v/>
      </c>
      <c r="HD84" s="291" t="str">
        <f t="shared" si="688"/>
        <v/>
      </c>
      <c r="HE84" s="456" t="str">
        <f t="shared" si="689"/>
        <v/>
      </c>
      <c r="HF84" s="496" t="str">
        <f>IF(A84=FALSE,"",IF(HA84="POEA",Cotations!BA84,IF(HA84="FIXE",Cotations!$BA$4,Cotations!$BC$4*Y84)))</f>
        <v/>
      </c>
      <c r="HG84" s="300" t="str">
        <f t="shared" si="690"/>
        <v/>
      </c>
      <c r="HH84" s="522" t="str">
        <f>IF(A84=FALSE,"",IF(Cotations!$AZ$4="monthly",HG84/12*L84,HG84/365*M84))</f>
        <v/>
      </c>
      <c r="HI84" s="489" t="str">
        <f>IF(A84=FALSE,"",Cotations!$BD$4)</f>
        <v/>
      </c>
      <c r="HJ84" s="300" t="str">
        <f t="shared" si="691"/>
        <v/>
      </c>
      <c r="HK84" s="300" t="str">
        <f t="shared" si="692"/>
        <v/>
      </c>
      <c r="HL84" s="294" t="str">
        <f t="shared" si="693"/>
        <v/>
      </c>
      <c r="HM84" s="494" t="str">
        <f>IF(A84=FALSE,"",Cotations!$BE$4)</f>
        <v/>
      </c>
      <c r="HN84" s="522" t="str">
        <f>IF(A84=FALSE,"",Cotations!$BF$4)</f>
        <v/>
      </c>
      <c r="HO84" s="489" t="str">
        <f>IF(A84=FALSE,"",Cotations!$BG$4)</f>
        <v/>
      </c>
      <c r="HP84" s="494" t="str">
        <f>IF(A84=FALSE,"",IF(HM84="N/A",0,IF(INDEX(LISTES!$F$105:$F$109,MATCH(HM84,LISTES!$C$105:$C$109,0))="FIX",IF(INDEX(LISTES!$E$105:$E$109,MATCH(HM84,LISTES!$C$105:$C$109,0))=12,HN84/12*L84,HN84/365*M84),HO84*HL84)))</f>
        <v/>
      </c>
      <c r="HQ84" s="294" t="str">
        <f t="shared" si="694"/>
        <v/>
      </c>
      <c r="HR84" s="494" t="str">
        <f>IF(A84=FALSE,"",HQ84*Cotations!$BH$4)</f>
        <v/>
      </c>
      <c r="HS84" s="494" t="str">
        <f>IF(A84=FALSE,"",HQ84*Cotations!$BI$4)</f>
        <v/>
      </c>
      <c r="HT84" s="294" t="str">
        <f t="shared" si="695"/>
        <v/>
      </c>
      <c r="HU84" s="919" t="str">
        <f>IF(A84=FALSE,"",((HG84*TAXE)-(HG84*TAXE*HI84))+IF(HM84="N/A",0,IF(INDEX(LISTES!$F$105:$F$109,MATCH(HM84,LISTES!$C$105:$C$109,0))="FIX",HN84,HO84*HL84)))</f>
        <v/>
      </c>
      <c r="IA84" s="492" t="str">
        <f>IF(A84=FALSE,"",Cotations!D84)</f>
        <v/>
      </c>
      <c r="IB84" s="491" t="str">
        <f>IF(A84=FALSE,"",IF(LISTES!$A$17=1,Cotations!AX84,Cotations!AY84))</f>
        <v/>
      </c>
      <c r="IC84" s="285" t="str">
        <f t="shared" si="696"/>
        <v/>
      </c>
      <c r="ID84" s="300" t="str">
        <f>IF(A84=FALSE,"",IF(LISTES!$A$17=3,Detail!AU84,lig1_Formula_PREVOY))</f>
        <v/>
      </c>
      <c r="IE84" s="461" t="str">
        <f t="shared" si="697"/>
        <v/>
      </c>
      <c r="IF84" s="490" t="str">
        <f>IF(A84=FALSE,"",IF(IA84="POEA",Cotations!BA84,IF(HA84="FIXE",Cotations!BB84,IF(Cotations!BC84*Y84&lt;50000,Z84,Cotations!BC84*Y84))))</f>
        <v/>
      </c>
      <c r="IG84" s="300" t="str">
        <f t="shared" si="698"/>
        <v/>
      </c>
      <c r="IH84" s="522" t="str">
        <f>IF(A84=FALSE,"",IF(Cotations!AZ84="monthly",IG84/12*L84,IG84/365*M84))</f>
        <v/>
      </c>
      <c r="II84" s="489" t="str">
        <f>IF(A84=FALSE,"",IF(Cotations!BD84="","",Cotations!BD84))</f>
        <v/>
      </c>
      <c r="IJ84" s="300" t="str">
        <f t="shared" si="699"/>
        <v/>
      </c>
      <c r="IK84" s="300" t="str">
        <f t="shared" si="700"/>
        <v/>
      </c>
      <c r="IL84" s="919" t="str">
        <f t="shared" si="701"/>
        <v/>
      </c>
      <c r="IM84" s="517" t="str">
        <f>IF(A84=FALSE,"",Cotations!BE84)</f>
        <v/>
      </c>
      <c r="IN84" s="517" t="str">
        <f>IF(A84=FALSE,"",Cotations!BF84)</f>
        <v/>
      </c>
      <c r="IO84" s="493" t="str">
        <f>IF(A84=FALSE,"",Cotations!BG84)</f>
        <v/>
      </c>
      <c r="IP84" s="517" t="str">
        <f>IF(A84=FALSE,"",IF(IM84="N/A",0,IF(INDEX(LISTES!$F$105:$F$109,MATCH(IM84,LISTES!$C$105:$C$109,0))="FIX",IF(INDEX(LISTES!$E$105:$E$109,MATCH(IM84,LISTES!$C$105:$C$109,0))=12,IN84/12*L84,IN84/365*M84),IO84*IL84)))</f>
        <v/>
      </c>
      <c r="IQ84" s="294" t="str">
        <f t="shared" si="702"/>
        <v/>
      </c>
      <c r="IR84" s="494" t="str">
        <f>IF(A84=FALSE,"",IQ84*Cotations!BH84)</f>
        <v/>
      </c>
      <c r="IS84" s="494" t="str">
        <f>IF(A84=FALSE,"",IQ84*Cotations!BI84)</f>
        <v/>
      </c>
      <c r="IT84" s="338" t="str">
        <f t="shared" si="703"/>
        <v/>
      </c>
      <c r="IU84" s="919" t="str">
        <f>IF(A84=FALSE,"",((IG84*TAXE)-(IG84*TAXE*II84))+IF(IM84="N/A",0,IF(INDEX(LISTES!$F$105:$F$109,MATCH(IM84,LISTES!$C$105:$C$109,0))="FIX",IN84,IO84*IL84)))</f>
        <v/>
      </c>
      <c r="JA84" s="492" t="str">
        <f>IF(A84=FALSE,"",Cotations!D84)</f>
        <v/>
      </c>
      <c r="JB84" s="495" t="str">
        <f>IF(A84=FALSE,"",IF(LISTES!$A$17=1,Cotations!BJ84,Cotations!$BK$4))</f>
        <v/>
      </c>
      <c r="JC84" s="291" t="str">
        <f t="shared" si="704"/>
        <v/>
      </c>
      <c r="JD84" s="291" t="str">
        <f t="shared" si="705"/>
        <v/>
      </c>
      <c r="JE84" s="456" t="str">
        <f t="shared" si="706"/>
        <v/>
      </c>
      <c r="JF84" s="496" t="str">
        <f>IF(A84=FALSE,"",IF(JA84="POEA",Cotations!BM84,IF(JA84="FIXE",Cotations!$BM$4,Cotations!$BO$4*Y84)))</f>
        <v/>
      </c>
      <c r="JG84" s="300" t="str">
        <f t="shared" si="707"/>
        <v/>
      </c>
      <c r="JH84" s="522" t="str">
        <f>IF(A84=FALSE,"",IF(Cotations!$BL$4="monthly",JG84/12*L84,JG84/365*M84))</f>
        <v/>
      </c>
      <c r="JI84" s="489" t="str">
        <f>IF(A84=FALSE,"",Cotations!$BP$4)</f>
        <v/>
      </c>
      <c r="JJ84" s="300" t="str">
        <f t="shared" si="708"/>
        <v/>
      </c>
      <c r="JK84" s="300" t="str">
        <f t="shared" si="709"/>
        <v/>
      </c>
      <c r="JL84" s="294" t="str">
        <f t="shared" si="710"/>
        <v/>
      </c>
      <c r="JM84" s="494" t="str">
        <f>IF(A84=FALSE,"",Cotations!$BQ$4)</f>
        <v/>
      </c>
      <c r="JN84" s="522" t="str">
        <f>IF(A84=FALSE,"",Cotations!$BR$4)</f>
        <v/>
      </c>
      <c r="JO84" s="489" t="str">
        <f>IF(A84=FALSE,"",Cotations!$BS$4)</f>
        <v/>
      </c>
      <c r="JP84" s="494" t="str">
        <f>IF(A84=FALSE,"",IF(JM84="N/A",0,IF(INDEX(LISTES!$F$105:$F$109,MATCH(JM84,LISTES!$C$105:$C$109,0))="FIX",IF(INDEX(LISTES!$E$105:$E$109,MATCH(JM84,LISTES!$C$105:$C$109,0))=12,JN84/12*L84,JN84/365*M84),JO84*JL84)))</f>
        <v/>
      </c>
      <c r="JQ84" s="294" t="str">
        <f t="shared" si="711"/>
        <v/>
      </c>
      <c r="JR84" s="494" t="str">
        <f>IF(A84=FALSE,"",JQ84*Cotations!$BT$4)</f>
        <v/>
      </c>
      <c r="JS84" s="494" t="str">
        <f>IF(A84=FALSE,"",JQ84*Cotations!$BU$4)</f>
        <v/>
      </c>
      <c r="JT84" s="294" t="str">
        <f t="shared" si="712"/>
        <v/>
      </c>
      <c r="JU84" s="919" t="str">
        <f>IF(A84=FALSE,"",((JG84*TAXE)-(JG84*TAXE*JI84))+IF(JM84="N/A",0,IF(INDEX(LISTES!$F$105:$F$109,MATCH(JM84,LISTES!$C$105:$C$109,0))="FIX",JN84,JO84*JL84)))</f>
        <v/>
      </c>
      <c r="KA84" s="492" t="str">
        <f>IF(A84=FALSE,"",Cotations!D84)</f>
        <v/>
      </c>
      <c r="KB84" s="491" t="str">
        <f>IF(A84=FALSE,"",IF(LISTES!$A$17=1,Cotations!BJ84,Cotations!BK84))</f>
        <v/>
      </c>
      <c r="KC84" s="285" t="str">
        <f t="shared" si="713"/>
        <v/>
      </c>
      <c r="KD84" s="300"/>
      <c r="KE84" s="461" t="str">
        <f t="shared" si="714"/>
        <v/>
      </c>
      <c r="KF84" s="490" t="str">
        <f>IF(A84=FALSE,"",IF(KA84="POEA",Cotations!BM84,IF(KA84="FIXE",Cotations!BN84,IF(Cotations!BO84*Y84&lt;50000,Z84,Cotations!BO84*Y84))))</f>
        <v/>
      </c>
      <c r="KG84" s="300" t="str">
        <f t="shared" si="715"/>
        <v/>
      </c>
      <c r="KH84" s="522" t="str">
        <f>IF(A84=FALSE,"",IF(Cotations!BL84="monthly",KG84/12*L84,KG84/365*M84))</f>
        <v/>
      </c>
      <c r="KI84" s="489" t="str">
        <f>IF(A84=FALSE,"",IF(Cotations!BP84="","",Cotations!BP84))</f>
        <v/>
      </c>
      <c r="KJ84" s="300" t="str">
        <f t="shared" si="716"/>
        <v/>
      </c>
      <c r="KK84" s="300" t="str">
        <f t="shared" si="717"/>
        <v/>
      </c>
      <c r="KL84" s="919" t="str">
        <f t="shared" si="718"/>
        <v/>
      </c>
      <c r="KM84" s="517" t="str">
        <f>IF(A84=FALSE,"",Cotations!BQ84)</f>
        <v/>
      </c>
      <c r="KN84" s="515" t="str">
        <f>IF(A84=FALSE,"",Cotations!BR84)</f>
        <v/>
      </c>
      <c r="KO84" s="493" t="str">
        <f>IF(A84=FALSE,"",Cotations!BS84)</f>
        <v/>
      </c>
      <c r="KP84" s="517" t="str">
        <f>IF(A84=FALSE,"",IF(KM84="N/A",0,IF(INDEX(LISTES!$F$105:$F$109,MATCH(KM84,LISTES!$C$105:$C$109,0))="FIX",IF(INDEX(LISTES!$E$105:$E$109,MATCH(KM84,LISTES!$C$105:$C$109,0))=12,KN84/12*L84,KN84/365*M84),KO84*KL84)))</f>
        <v/>
      </c>
      <c r="KQ84" s="294" t="str">
        <f t="shared" si="719"/>
        <v/>
      </c>
      <c r="KR84" s="494" t="str">
        <f>IF(A84=FALSE,"",KQ84*Cotations!BT84)</f>
        <v/>
      </c>
      <c r="KS84" s="494" t="str">
        <f>IF(A84=FALSE,"",KQ84*Cotations!BU84)</f>
        <v/>
      </c>
      <c r="KT84" s="338" t="str">
        <f t="shared" si="720"/>
        <v/>
      </c>
      <c r="KU84" s="919" t="str">
        <f>IF(A84=FALSE,"",((KG84*TAXE)-(KG84*TAXE*KI84))+IF(KM84="N/A",0,IF(INDEX(LISTES!$F$105:$F$109,MATCH(KM84,LISTES!$C$105:$C$109,0))="FIX",KN84,KO84*KL84)))</f>
        <v/>
      </c>
      <c r="LA84" s="497" t="str">
        <f>IF(A84=FALSE,"",Cotations!D84)</f>
        <v/>
      </c>
      <c r="LB84" s="498" t="str">
        <f>IF(A84=FALSE,"",IF(LISTES!$A$17=1,Cotations!BV84,Cotations!$BW$4))</f>
        <v/>
      </c>
      <c r="LC84" s="499" t="str">
        <f t="shared" si="721"/>
        <v/>
      </c>
      <c r="LD84" s="499" t="str">
        <f t="shared" si="722"/>
        <v/>
      </c>
      <c r="LE84" s="500" t="str">
        <f t="shared" si="723"/>
        <v/>
      </c>
      <c r="LF84" s="501" t="str">
        <f>IF(A84=FALSE,"",IF(LA84="POEA",Cotations!EJ84,IF(LA84="FIXE",Cotations!$BY$4,Cotations!$CA$4*Y84)))</f>
        <v/>
      </c>
      <c r="LG84" s="502" t="str">
        <f t="shared" si="724"/>
        <v/>
      </c>
      <c r="LH84" s="520" t="str">
        <f>IF(A84=FALSE,"",IF(Cotations!$BX$4="monthly",LG84/12*L84,LG84/365*M84))</f>
        <v/>
      </c>
      <c r="LI84" s="503" t="str">
        <f>IF(A84=FALSE,"",Cotations!$CB$4)</f>
        <v/>
      </c>
      <c r="LJ84" s="502" t="str">
        <f t="shared" si="725"/>
        <v/>
      </c>
      <c r="LK84" s="502" t="str">
        <f t="shared" si="726"/>
        <v/>
      </c>
      <c r="LL84" s="504" t="str">
        <f t="shared" si="727"/>
        <v/>
      </c>
      <c r="LM84" s="505" t="str">
        <f>IF(A84=FALSE,"",Cotations!$CC$4)</f>
        <v/>
      </c>
      <c r="LN84" s="503" t="str">
        <f>IF(A84=FALSE,"",Cotations!$CD$4)</f>
        <v/>
      </c>
      <c r="LO84" s="503" t="str">
        <f>IF(A84=FALSE,"",Cotations!$CE$4)</f>
        <v/>
      </c>
      <c r="LP84" s="505" t="str">
        <f>IF(A84=FALSE,"",IF(LM84="N/A",0,IF(INDEX(LISTES!$F$105:$F$109,MATCH(LM84,LISTES!$C$105:$C$109,0))="FIX",IF(INDEX(LISTES!$E$105:$E$109,MATCH(LM84,LISTES!$C$105:$C$109,0))=12,LN84/12*L84,LN84/365*M84),LO84*LL84)))</f>
        <v/>
      </c>
      <c r="LQ84" s="504" t="str">
        <f t="shared" si="728"/>
        <v/>
      </c>
      <c r="LR84" s="505" t="str">
        <f>IF(A84=FALSE,"",LQ84*Cotations!$CF$4)</f>
        <v/>
      </c>
      <c r="LS84" s="505" t="str">
        <f>IF(A84=FALSE,"",LQ84*Cotations!$CG$4)</f>
        <v/>
      </c>
      <c r="LT84" s="506" t="str">
        <f t="shared" si="729"/>
        <v/>
      </c>
      <c r="LU84" s="919" t="str">
        <f>IF(A84=FALSE,"",((LG84*TAXE)-(LG84*TAXE*LI84))+IF(LM84="N/A",0,IF(INDEX(LISTES!$F$105:$F$109,MATCH(LM84,LISTES!$C$105:$C$109,0))="FIX",LN84,LO84*LL84)))</f>
        <v/>
      </c>
      <c r="MA84" s="492" t="str">
        <f>IF(A84=FALSE,"",Cotations!D84)</f>
        <v/>
      </c>
      <c r="MB84" s="491" t="str">
        <f>IF(A84=FALSE,"",IF(LISTES!$A$17=1,Cotations!BV84,Cotations!BW84))</f>
        <v/>
      </c>
      <c r="MC84" s="285" t="str">
        <f t="shared" si="730"/>
        <v/>
      </c>
      <c r="MD84" s="300"/>
      <c r="ME84" s="461" t="str">
        <f t="shared" si="731"/>
        <v/>
      </c>
      <c r="MF84" s="490" t="str">
        <f>IF(A84=FALSE,"",IF(MA84="POEA",Cotations!BY84,IF(MA84="FIXE",Cotations!BZ84,IF(Cotations!CA84*Y84&lt;50000,Z84,Cotations!CA84*Y84))))</f>
        <v/>
      </c>
      <c r="MG84" s="300" t="str">
        <f t="shared" si="732"/>
        <v/>
      </c>
      <c r="MH84" s="522" t="str">
        <f>IF(A84=FALSE,"",IF(Cotations!BX84="monthly",MG84/12*L84,MG84/365*M84))</f>
        <v/>
      </c>
      <c r="MI84" s="489" t="str">
        <f>IF(A84=FALSE,"",IF(Cotations!CB84="","",Cotations!CB84))</f>
        <v/>
      </c>
      <c r="MJ84" s="300" t="str">
        <f t="shared" si="733"/>
        <v/>
      </c>
      <c r="MK84" s="300" t="str">
        <f t="shared" si="734"/>
        <v/>
      </c>
      <c r="ML84" s="919" t="str">
        <f t="shared" si="735"/>
        <v/>
      </c>
      <c r="MM84" s="517" t="str">
        <f>IF(A84=FALSE,"",Cotations!CC84)</f>
        <v/>
      </c>
      <c r="MN84" s="515" t="str">
        <f>IF(A84=FALSE,"",Cotations!CD84)</f>
        <v/>
      </c>
      <c r="MO84" s="493" t="str">
        <f>IF(A84=FALSE,"",Cotations!CE84)</f>
        <v/>
      </c>
      <c r="MP84" s="517" t="str">
        <f>IF(A84=FALSE,"",IF(MM84="N/A",0,IF(INDEX(LISTES!$F$105:$F$109,MATCH(MM84,LISTES!$C$105:$C$109,0))="FIX",IF(INDEX(LISTES!$E$105:$E$109,MATCH(MM84,LISTES!$C$105:$C$109,0))=12,MN84/12*L84,MN84/365*M84),MO84*ML84)))</f>
        <v/>
      </c>
      <c r="MQ84" s="294" t="str">
        <f t="shared" si="736"/>
        <v/>
      </c>
      <c r="MR84" s="494" t="str">
        <f>IF(A84=FALSE,"",MQ84*Cotations!CF84)</f>
        <v/>
      </c>
      <c r="MS84" s="494" t="str">
        <f>IF(A84=FALSE,"",MQ84*Cotations!CG84)</f>
        <v/>
      </c>
      <c r="MT84" s="338" t="str">
        <f t="shared" si="737"/>
        <v/>
      </c>
      <c r="MU84" s="919" t="str">
        <f>IF(A84=FALSE,"",((MG84*TAXE)-(MG84*TAXE*MI84))+IF(MM84="N/A",0,IF(INDEX(LISTES!$F$105:$F$109,MATCH(MM84,LISTES!$C$105:$C$109,0))="FIX",MN84,MO84*ML84)))</f>
        <v/>
      </c>
      <c r="NA84" s="497" t="str">
        <f>IF(A84=FALSE,"",Cotations!D84)</f>
        <v/>
      </c>
      <c r="NB84" s="498" t="str">
        <f>IF(A84=FALSE,"",IF(LISTES!$A$17=1,Cotations!CH84,Cotations!$CI$4))</f>
        <v/>
      </c>
      <c r="NC84" s="499" t="str">
        <f t="shared" si="738"/>
        <v/>
      </c>
      <c r="ND84" s="499" t="str">
        <f t="shared" si="739"/>
        <v/>
      </c>
      <c r="NE84" s="500" t="str">
        <f t="shared" si="740"/>
        <v/>
      </c>
      <c r="NF84" s="501" t="str">
        <f>IF(A84=FALSE,"",IF(NA84="POEA",Cotations!CK84,IF(NA84="FIXE",Cotations!$CK$4,Cotations!$CM$4*Y84)))</f>
        <v/>
      </c>
      <c r="NG84" s="502" t="str">
        <f t="shared" si="741"/>
        <v/>
      </c>
      <c r="NH84" s="520" t="str">
        <f>IF(A84=FALSE,"",IF(Cotations!$CJ$4="monthly",NG84/12*L84,NG84/365*M84))</f>
        <v/>
      </c>
      <c r="NI84" s="503" t="str">
        <f>IF(A84=FALSE,"",Cotations!$CN$4)</f>
        <v/>
      </c>
      <c r="NJ84" s="502" t="str">
        <f t="shared" si="742"/>
        <v/>
      </c>
      <c r="NK84" s="502" t="str">
        <f t="shared" si="743"/>
        <v/>
      </c>
      <c r="NL84" s="504" t="str">
        <f t="shared" si="744"/>
        <v/>
      </c>
      <c r="NM84" s="505" t="str">
        <f>IF(A84=FALSE,"",Cotations!$CO$4)</f>
        <v/>
      </c>
      <c r="NN84" s="520" t="str">
        <f>IF(A84=FALSE,"",Cotations!$CP$4)</f>
        <v/>
      </c>
      <c r="NO84" s="503" t="str">
        <f>IF(A84=FALSE,"",Cotations!$CQ$4)</f>
        <v/>
      </c>
      <c r="NP84" s="505" t="str">
        <f>IF(A84=FALSE,"",IF(NM84="N/A",0,IF(INDEX(LISTES!$F$105:$F$109,MATCH(NM84,LISTES!$C$105:$C$109,0))="FIX",IF(INDEX(LISTES!$E$105:$E$109,MATCH(NM84,LISTES!$C$105:$C$109,0))=12,NN84/12*L84,NN84/365*M84),NO84*NL84)))</f>
        <v/>
      </c>
      <c r="NQ84" s="504" t="str">
        <f t="shared" si="745"/>
        <v/>
      </c>
      <c r="NR84" s="505" t="str">
        <f>IF(A84=FALSE,"",NQ84*Cotations!$CR$4)</f>
        <v/>
      </c>
      <c r="NS84" s="505" t="str">
        <f>IF(A84=FALSE,"",NQ84*Cotations!$CS$4)</f>
        <v/>
      </c>
      <c r="NT84" s="506" t="str">
        <f t="shared" si="746"/>
        <v/>
      </c>
      <c r="NU84" s="919" t="str">
        <f>IF(A84=FALSE,"",((NG84*TAXE)-(NG84*TAXE*NI84))+IF(NM84="N/A",0,IF(INDEX(LISTES!$F$105:$F$109,MATCH(NM84,LISTES!$C$105:$C$109,0))="FIX",NN84,NO84*NL84)))</f>
        <v/>
      </c>
      <c r="OA84" s="492" t="str">
        <f>IF(A84=FALSE,"",Cotations!D84)</f>
        <v/>
      </c>
      <c r="OB84" s="491" t="str">
        <f>IF(A84=FALSE,"",IF(LISTES!$A$17=1,Cotations!CH84,Cotations!CI84))</f>
        <v/>
      </c>
      <c r="OC84" s="285" t="str">
        <f t="shared" si="747"/>
        <v/>
      </c>
      <c r="OD84" s="300"/>
      <c r="OE84" s="461" t="str">
        <f t="shared" si="748"/>
        <v/>
      </c>
      <c r="OF84" s="490" t="str">
        <f>IF(A84=FALSE,"",IF(OA84="POEA",Cotations!CK84,IF(OA84="FIXE",Cotations!CL84,IF(Cotations!CM84*Y84&lt;50000,Z84,Cotations!CM84*Y84))))</f>
        <v/>
      </c>
      <c r="OG84" s="300" t="str">
        <f t="shared" si="749"/>
        <v/>
      </c>
      <c r="OH84" s="522" t="str">
        <f>IF(A84=FALSE,"",IF(Cotations!CJ84="monthly",OG84/12*L84,OG84/365*M84))</f>
        <v/>
      </c>
      <c r="OI84" s="489" t="str">
        <f>IF(A84=FALSE,"",IF(Cotations!CN84="","",Cotations!CN84))</f>
        <v/>
      </c>
      <c r="OJ84" s="300" t="str">
        <f t="shared" si="750"/>
        <v/>
      </c>
      <c r="OK84" s="300" t="str">
        <f t="shared" si="751"/>
        <v/>
      </c>
      <c r="OL84" s="919" t="str">
        <f t="shared" si="752"/>
        <v/>
      </c>
      <c r="OM84" s="517" t="str">
        <f>IF(A84=FALSE,"",Cotations!CO84)</f>
        <v/>
      </c>
      <c r="ON84" s="515" t="str">
        <f>IF(A84=FALSE,"",Cotations!CP84)</f>
        <v/>
      </c>
      <c r="OO84" s="493" t="str">
        <f>IF(A84=FALSE,"",Cotations!CQ84)</f>
        <v/>
      </c>
      <c r="OP84" s="517" t="str">
        <f>IF(A84=FALSE,"",IF(OM84="N/A",0,IF(INDEX(LISTES!$F$105:$F$109,MATCH(OM84,LISTES!$C$105:$C$109,0))="FIX",IF(INDEX(LISTES!$E$105:$E$109,MATCH(OM84,LISTES!$C$105:$C$109,0))=12,ON84/12*L84,ON84/365*M84),OO84*OL84)))</f>
        <v/>
      </c>
      <c r="OQ84" s="294" t="str">
        <f t="shared" si="753"/>
        <v/>
      </c>
      <c r="OR84" s="494" t="str">
        <f>IF(A84=FALSE,"",OQ84*Cotations!CR84)</f>
        <v/>
      </c>
      <c r="OS84" s="494" t="str">
        <f>IF(A84=FALSE,"",OQ84*Cotations!CS84)</f>
        <v/>
      </c>
      <c r="OT84" s="338" t="str">
        <f t="shared" si="754"/>
        <v/>
      </c>
      <c r="OU84" s="919" t="str">
        <f>IF(A84=FALSE,"",((OG84*TAXE)-(OG84*TAXE*OI84))+IF(OM84="N/A",0,IF(INDEX(LISTES!$F$105:$F$109,MATCH(OM84,LISTES!$C$105:$C$109,0))="FIX",ON84,OO84*OL84)))</f>
        <v/>
      </c>
      <c r="PA84" s="497" t="str">
        <f t="shared" si="755"/>
        <v/>
      </c>
      <c r="PB84" s="498" t="str">
        <f>IF(A84=FALSE,"",IF(LISTES!$A$17=1,Cotations!CT84,Cotations!$CU$4))</f>
        <v/>
      </c>
      <c r="PC84" s="499" t="str">
        <f t="shared" si="756"/>
        <v/>
      </c>
      <c r="PD84" s="499" t="str">
        <f t="shared" si="757"/>
        <v/>
      </c>
      <c r="PE84" s="500" t="str">
        <f t="shared" si="758"/>
        <v/>
      </c>
      <c r="PF84" s="501" t="str">
        <f>IF(A84=FALSE,"",Cotations!$CY$4*Y84)</f>
        <v/>
      </c>
      <c r="PG84" s="502" t="str">
        <f t="shared" si="759"/>
        <v/>
      </c>
      <c r="PH84" s="520" t="str">
        <f>IF(A84=FALSE,"",IF(Cotations!$CV$4="monthly",PG84/12*L84,PG84/365*M84))</f>
        <v/>
      </c>
      <c r="PI84" s="503" t="str">
        <f>IF(A84=FALSE,"",Cotations!$CZ$4)</f>
        <v/>
      </c>
      <c r="PJ84" s="502" t="str">
        <f t="shared" si="760"/>
        <v/>
      </c>
      <c r="PK84" s="502" t="str">
        <f t="shared" si="761"/>
        <v/>
      </c>
      <c r="PL84" s="504" t="str">
        <f t="shared" si="762"/>
        <v/>
      </c>
      <c r="PM84" s="505" t="str">
        <f>IF(A84=FALSE,"",Cotations!$DA$4)</f>
        <v/>
      </c>
      <c r="PN84" s="520" t="str">
        <f>IF(A84=FALSE,"",Cotations!$DB$4)</f>
        <v/>
      </c>
      <c r="PO84" s="503" t="str">
        <f>IF(A84=FALSE,"",Cotations!$DC$4)</f>
        <v/>
      </c>
      <c r="PP84" s="505" t="str">
        <f>IF(A84=FALSE,"",IF(PM84="N/A",0,IF(INDEX(LISTES!$F$105:$F$109,MATCH(PM84,LISTES!$C$105:$C$109,0))="FIX",IF(INDEX(LISTES!$E$105:$E$109,MATCH(PM84,LISTES!$C$105:$C$109,0))=12,PN84/12*L84,PN84/365*M84),PO84*PL84)))</f>
        <v/>
      </c>
      <c r="PQ84" s="504" t="str">
        <f t="shared" si="763"/>
        <v/>
      </c>
      <c r="PR84" s="505" t="str">
        <f>IF(A84=FALSE,"",PQ84*Cotations!$DD$4)</f>
        <v/>
      </c>
      <c r="PS84" s="505" t="str">
        <f>IF(A84=FALSE,"",PQ84*Cotations!$DE$4)</f>
        <v/>
      </c>
      <c r="PT84" s="506" t="str">
        <f t="shared" si="764"/>
        <v/>
      </c>
      <c r="PU84" s="919" t="str">
        <f>IF(A84=FALSE,"",((PG84*TAXE)-(PG84*TAXE*PI84))+IF(PM84="N/A",0,IF(INDEX(LISTES!$F$105:$F$109,MATCH(PM84,LISTES!$C$105:$C$109,0))="FIX",PN84,PO84*PL84)))</f>
        <v/>
      </c>
      <c r="QA84" s="492" t="str">
        <f t="shared" si="765"/>
        <v/>
      </c>
      <c r="QB84" s="491" t="str">
        <f>IF(A84=FALSE,"",IF(LISTES!$A$17=1,Cotations!CT84,Cotations!CU84))</f>
        <v/>
      </c>
      <c r="QC84" s="285" t="str">
        <f t="shared" si="766"/>
        <v/>
      </c>
      <c r="QD84" s="300"/>
      <c r="QE84" s="461" t="str">
        <f t="shared" si="767"/>
        <v/>
      </c>
      <c r="QF84" s="490" t="str">
        <f>IF(A84=FALSE,"",Cotations!CY84*AA84)</f>
        <v/>
      </c>
      <c r="QG84" s="300" t="str">
        <f t="shared" si="768"/>
        <v/>
      </c>
      <c r="QH84" s="522" t="str">
        <f>IF(A84=FALSE,"",IF(Cotations!CV84="monthly",QG84/12*L84,QG84/365*M84))</f>
        <v/>
      </c>
      <c r="QI84" s="489" t="str">
        <f>IF(A84=FALSE,"",IF(Cotations!CZ84="","",Cotations!CZ84))</f>
        <v/>
      </c>
      <c r="QJ84" s="300" t="str">
        <f t="shared" si="769"/>
        <v/>
      </c>
      <c r="QK84" s="300" t="str">
        <f t="shared" si="770"/>
        <v/>
      </c>
      <c r="QL84" s="919" t="str">
        <f t="shared" si="771"/>
        <v/>
      </c>
      <c r="QM84" s="517" t="str">
        <f>IF(A84=FALSE,"",Cotations!DA84)</f>
        <v/>
      </c>
      <c r="QN84" s="515" t="str">
        <f>IF(A84=FALSE,"",Cotations!DB84)</f>
        <v/>
      </c>
      <c r="QO84" s="493" t="str">
        <f>IF(A84=FALSE,"",Cotations!DC84)</f>
        <v/>
      </c>
      <c r="QP84" s="517" t="str">
        <f>IF(A84=FALSE,"",IF(QM84="N/A",0,IF(INDEX(LISTES!$F$105:$F$109,MATCH(QM84,LISTES!$C$105:$C$109,0))="FIX",IF(INDEX(LISTES!$E$105:$E$109,MATCH(QM84,LISTES!$C$105:$C$109,0))=12,QN84/12*L84,QN84/365*M84),QO84*QL84)))</f>
        <v/>
      </c>
      <c r="QQ84" s="294" t="str">
        <f t="shared" si="772"/>
        <v/>
      </c>
      <c r="QR84" s="494" t="str">
        <f>IF(A84=FALSE,"",QQ84*Cotations!DD84)</f>
        <v/>
      </c>
      <c r="QS84" s="494" t="str">
        <f>IF(A84=FALSE,"",QQ84*Cotations!DE84)</f>
        <v/>
      </c>
      <c r="QT84" s="338" t="str">
        <f t="shared" si="773"/>
        <v/>
      </c>
      <c r="QU84" s="919" t="str">
        <f>IF(A84=FALSE,"",((QG84*TAXE)-(QG84*TAXE*QI84))+IF(QM84="N/A",0,IF(INDEX(LISTES!$F$105:$F$109,MATCH(QM84,LISTES!$C$105:$C$109,0))="FIX",QN84,QO84*QL84)))</f>
        <v/>
      </c>
      <c r="RA84" s="497" t="str">
        <f t="shared" si="774"/>
        <v/>
      </c>
      <c r="RB84" s="498" t="str">
        <f>IF(A84=FALSE,"",IF(LISTES!$A$17=1,Cotations!DF84,Cotations!$DG$4))</f>
        <v/>
      </c>
      <c r="RC84" s="499" t="str">
        <f t="shared" si="775"/>
        <v/>
      </c>
      <c r="RD84" s="499" t="str">
        <f t="shared" si="776"/>
        <v/>
      </c>
      <c r="RE84" s="500" t="str">
        <f t="shared" si="777"/>
        <v/>
      </c>
      <c r="RF84" s="501" t="str">
        <f>IF(A84=FALSE,"",Cotations!$DK$4*Y84)</f>
        <v/>
      </c>
      <c r="RG84" s="502" t="str">
        <f t="shared" si="778"/>
        <v/>
      </c>
      <c r="RH84" s="520" t="str">
        <f>IF(A84=FALSE,"",IF(Cotations!$DH$4="monthly",RG84/12*L84,RG84/365*M84))</f>
        <v/>
      </c>
      <c r="RI84" s="503" t="str">
        <f>IF(A84=FALSE,"",Cotations!$DL$4)</f>
        <v/>
      </c>
      <c r="RJ84" s="502" t="str">
        <f t="shared" si="779"/>
        <v/>
      </c>
      <c r="RK84" s="502" t="str">
        <f t="shared" si="780"/>
        <v/>
      </c>
      <c r="RL84" s="504" t="str">
        <f t="shared" si="781"/>
        <v/>
      </c>
      <c r="RM84" s="505" t="str">
        <f>IF(A84=FALSE,"",Cotations!$DM$4)</f>
        <v/>
      </c>
      <c r="RN84" s="520" t="str">
        <f>IF(A84=FALSE,"",Cotations!$DN$4)</f>
        <v/>
      </c>
      <c r="RO84" s="503" t="str">
        <f>IF(A84=FALSE,"",Cotations!$DO$4)</f>
        <v/>
      </c>
      <c r="RP84" s="505" t="str">
        <f>IF(A84=FALSE,"",IF(RM84="N/A",0,IF(INDEX(LISTES!$F$105:$F$109,MATCH(RM84,LISTES!$C$105:$C$109,0))="FIX",IF(INDEX(LISTES!$E$105:$E$109,MATCH(RM84,LISTES!$C$105:$C$109,0))=12,RN84/12*L84,RN84/365*M84),RO84*RL84)))</f>
        <v/>
      </c>
      <c r="RQ84" s="504" t="str">
        <f t="shared" si="782"/>
        <v/>
      </c>
      <c r="RR84" s="505" t="str">
        <f>IF(A84=FALSE,"",RQ84*Cotations!$DP$4)</f>
        <v/>
      </c>
      <c r="RS84" s="505" t="str">
        <f>IF(A84=FALSE,"",RQ84*Cotations!$DQ$4)</f>
        <v/>
      </c>
      <c r="RT84" s="506" t="str">
        <f t="shared" si="783"/>
        <v/>
      </c>
      <c r="RU84" s="919" t="str">
        <f>IF(A84=FALSE,"",((RG84*TAXE)-(RG84*TAXE*RI84))+IF(RM84="N/A",0,IF(INDEX(LISTES!$F$105:$F$109,MATCH(RM84,LISTES!$C$105:$C$109,0))="FIX",RN84,RO84*RL84)))</f>
        <v/>
      </c>
      <c r="SA84" s="492" t="str">
        <f t="shared" si="784"/>
        <v/>
      </c>
      <c r="SB84" s="491" t="str">
        <f>IF(A84=FALSE,"",IF(LISTES!$A$17=1,Cotations!DF84,Cotations!DG84))</f>
        <v/>
      </c>
      <c r="SC84" s="285" t="str">
        <f t="shared" si="785"/>
        <v/>
      </c>
      <c r="SD84" s="300"/>
      <c r="SE84" s="461" t="str">
        <f t="shared" si="786"/>
        <v/>
      </c>
      <c r="SF84" s="490" t="str">
        <f>IF(A84=FALSE,"",Cotations!DK84*AA84)</f>
        <v/>
      </c>
      <c r="SG84" s="300" t="str">
        <f t="shared" si="787"/>
        <v/>
      </c>
      <c r="SH84" s="522" t="str">
        <f>IF(A84=FALSE,"",IF(Cotations!DH84="monthly",SG84/12*L84,SG84/365*M84))</f>
        <v/>
      </c>
      <c r="SI84" s="489" t="str">
        <f>IF(A84=FALSE,"",IF(Cotations!DL84="","",Cotations!DL84))</f>
        <v/>
      </c>
      <c r="SJ84" s="300" t="str">
        <f t="shared" si="788"/>
        <v/>
      </c>
      <c r="SK84" s="300" t="str">
        <f t="shared" si="789"/>
        <v/>
      </c>
      <c r="SL84" s="919" t="str">
        <f t="shared" si="790"/>
        <v/>
      </c>
      <c r="SM84" s="285" t="str">
        <f>IF(A84=FALSE,"",Cotations!DM84)</f>
        <v/>
      </c>
      <c r="SN84" s="515" t="str">
        <f>IF(A84=FALSE,"",Cotations!DN84)</f>
        <v/>
      </c>
      <c r="SO84" s="493" t="str">
        <f>IF(A84=FALSE,"",Cotations!DO84)</f>
        <v/>
      </c>
      <c r="SP84" s="517" t="str">
        <f>IF(A84=FALSE,"",IF(SM84="N/A",0,IF(INDEX(LISTES!$F$105:$F$109,MATCH(SM84,LISTES!$C$105:$C$109,0))="FIX",IF(INDEX(LISTES!$E$105:$E$109,MATCH(SM84,LISTES!$C$105:$C$109,0))=12,SN84/12*L84,SN84/365*M84),SO84*SL84)))</f>
        <v/>
      </c>
      <c r="SQ84" s="294" t="str">
        <f t="shared" si="791"/>
        <v/>
      </c>
      <c r="SR84" s="494" t="str">
        <f>IF(A84=FALSE,"",SQ84*Cotations!DP84)</f>
        <v/>
      </c>
      <c r="SS84" s="494" t="str">
        <f>IF(A84=FALSE,"",SQ84*Cotations!DQ84)</f>
        <v/>
      </c>
      <c r="ST84" s="338" t="str">
        <f t="shared" si="792"/>
        <v/>
      </c>
      <c r="SU84" s="919" t="str">
        <f>IF(A84=FALSE,"",((SG84*TAXE)-(SG84*TAXE*SI84))+IF(SM84="N/A",0,IF(INDEX(LISTES!$F$105:$F$109,MATCH(SM84,LISTES!$C$105:$C$109,0))="FIX",SN84,SO84*SL84)))</f>
        <v/>
      </c>
      <c r="TA84" s="492" t="str">
        <f>IF(A84=FALSE,"",Cotations!D84)</f>
        <v/>
      </c>
      <c r="TB84" s="491" t="str">
        <f>IF(A84=FALSE,"",IF(LISTES!$A$17=1,Cotations!DR84,Cotations!DS84))</f>
        <v/>
      </c>
      <c r="TC84" s="285" t="str">
        <f t="shared" si="793"/>
        <v/>
      </c>
      <c r="TD84" s="300" t="str">
        <f>IF(A84=FALSE,"",Detail!CQ84)</f>
        <v/>
      </c>
      <c r="TE84" s="461" t="str">
        <f t="shared" si="794"/>
        <v/>
      </c>
      <c r="TF84" s="490" t="str">
        <f>IF(A84=FALSE,"",IF(TA84="FIXE",Cotations!DU84,Cotations!DV84*Y84))</f>
        <v/>
      </c>
      <c r="TG84" s="300" t="str">
        <f t="shared" si="795"/>
        <v/>
      </c>
      <c r="TH84" s="522" t="str">
        <f>IF(A84=FALSE,"",IF(Cotations!DT84="monthly",TG84/12*L84,TG84/365*M84))</f>
        <v/>
      </c>
      <c r="TI84" s="489" t="str">
        <f>IF(A84=FALSE,"",IF(Cotations!DW84="","",Cotations!DW84))</f>
        <v/>
      </c>
      <c r="TJ84" s="300" t="str">
        <f t="shared" si="796"/>
        <v/>
      </c>
      <c r="TK84" s="300" t="str">
        <f t="shared" si="797"/>
        <v/>
      </c>
      <c r="TL84" s="919" t="str">
        <f t="shared" si="798"/>
        <v/>
      </c>
      <c r="TM84" s="517" t="str">
        <f>IF(A84=FALSE,"",Cotations!DX84)</f>
        <v/>
      </c>
      <c r="TN84" s="517" t="str">
        <f>IF(A84=FALSE,"",Cotations!DY84)</f>
        <v/>
      </c>
      <c r="TO84" s="493" t="str">
        <f>IF(A84=FALSE,"",Cotations!DZ84)</f>
        <v/>
      </c>
      <c r="TP84" s="517" t="str">
        <f>IF(A84=FALSE,"",IF(TM84="N/A",0,IF(INDEX(LISTES!$F$105:$F$109,MATCH(TM84,LISTES!$C$105:$C$109,0))="FIX",IF(INDEX(LISTES!$E$105:$E$109,MATCH(TM84,LISTES!$C$105:$C$109,0))=12,TN84/12*L84,TN84/365*M84),TO84*TL84)))</f>
        <v/>
      </c>
      <c r="TQ84" s="294" t="str">
        <f t="shared" si="799"/>
        <v/>
      </c>
      <c r="TR84" s="494" t="str">
        <f>IF(A84=FALSE,"",TQ84*Cotations!EA84)</f>
        <v/>
      </c>
      <c r="TS84" s="494" t="str">
        <f>IF(A84=FALSE,"",TQ84*Cotations!EB84)</f>
        <v/>
      </c>
      <c r="TT84" s="338" t="str">
        <f t="shared" si="800"/>
        <v/>
      </c>
      <c r="TU84" s="919" t="str">
        <f>IF(A84=FALSE,"",((TG84*(1+TAXE)-(TG84*(1+TAXE)*TI84))+IF(TM84="N/A",0,IF(INDEX(LISTES!$F$105:$F$109,MATCH(TM84,LISTES!$C$105:$C$109,0))="FIX",TN84,TO84*TL84))))</f>
        <v/>
      </c>
      <c r="UA84" s="492" t="str">
        <f>IF(A84=FALSE,"",Cotations!D84)</f>
        <v/>
      </c>
      <c r="UB84" s="491" t="str">
        <f>IF(A84=FALSE,"",IF(LISTES!$A$17=1,Cotations!EC84,Cotations!ED84))</f>
        <v/>
      </c>
      <c r="UC84" s="285" t="str">
        <f t="shared" si="801"/>
        <v/>
      </c>
      <c r="UD84" s="300" t="str">
        <f>IF(A84=FALSE,"",Detail!CY84)</f>
        <v/>
      </c>
      <c r="UE84" s="461" t="str">
        <f t="shared" si="802"/>
        <v/>
      </c>
      <c r="UF84" s="490" t="str">
        <f>IF(A84=FALSE,"",IF(UA84="FIXE",Cotations!EF84,Cotations!EG84*Y84))</f>
        <v/>
      </c>
      <c r="UG84" s="300" t="str">
        <f t="shared" si="803"/>
        <v/>
      </c>
      <c r="UH84" s="522" t="str">
        <f>IF(A84=FALSE,"",IF(Cotations!EE84="monthly",UG84/12*L84,UG84/365*M84))</f>
        <v/>
      </c>
      <c r="UI84" s="489" t="str">
        <f>IF(A84=FALSE,"",IF(Cotations!EH84="","",Cotations!EH84))</f>
        <v/>
      </c>
      <c r="UJ84" s="300" t="str">
        <f t="shared" si="804"/>
        <v/>
      </c>
      <c r="UK84" s="300" t="str">
        <f t="shared" si="805"/>
        <v/>
      </c>
      <c r="UL84" s="919" t="str">
        <f t="shared" si="806"/>
        <v/>
      </c>
      <c r="UM84" s="517" t="str">
        <f>IF(A84=FALSE,"",Cotations!EI84)</f>
        <v/>
      </c>
      <c r="UN84" s="517" t="str">
        <f>IF(A84=FALSE,"",Cotations!EJ84)</f>
        <v/>
      </c>
      <c r="UO84" s="493" t="str">
        <f>IF(A84=FALSE,"",Cotations!EK84)</f>
        <v/>
      </c>
      <c r="UP84" s="517" t="str">
        <f>IF(A84=FALSE,"",IF(UM84="N/A",0,IF(INDEX(LISTES!$F$105:$F$109,MATCH(UM84,LISTES!$C$105:$C$109,0))="FIX",IF(INDEX(LISTES!$E$105:$E$109,MATCH(UM84,LISTES!$C$105:$C$109,0))=12,UN84/12*L84,UN84/365*M84),UO84*UL84)))</f>
        <v/>
      </c>
      <c r="UQ84" s="294" t="str">
        <f t="shared" si="807"/>
        <v/>
      </c>
      <c r="UR84" s="494" t="str">
        <f>IF(A84=FALSE,"",UQ84*Cotations!EL84)</f>
        <v/>
      </c>
      <c r="US84" s="494" t="str">
        <f>IF(A84=FALSE,"",UQ84*Cotations!EM84)</f>
        <v/>
      </c>
      <c r="UT84" s="338" t="str">
        <f t="shared" si="808"/>
        <v/>
      </c>
      <c r="UU84" s="919" t="str">
        <f>IF(A84=FALSE,"",((UG84*(1+TAXE)-(UG84*(1+TAXE)*UI84))+IF(UM84="N/A",0,IF(INDEX(LISTES!$F$105:$F$109,MATCH(UM84,LISTES!$C$105:$C$109,0))="FIX",UN84,UO84*UL84))))</f>
        <v/>
      </c>
      <c r="VA84" s="492" t="str">
        <f>IF(A84=FALSE,"",Cotations!D84)</f>
        <v/>
      </c>
      <c r="VB84" s="519" t="str">
        <f>IF(A84=FALSE,"",IF(LISTES!$A$17=1,Cotations!EN84,Cotations!EO84))</f>
        <v/>
      </c>
      <c r="VC84" s="291" t="str">
        <f t="shared" si="809"/>
        <v/>
      </c>
      <c r="VD84" s="291" t="str">
        <f t="shared" si="810"/>
        <v/>
      </c>
      <c r="VE84" s="291"/>
      <c r="VF84" s="463"/>
      <c r="VG84" s="463" t="str">
        <f t="shared" si="811"/>
        <v/>
      </c>
      <c r="VH84" s="522" t="str">
        <f>IF(A84=FALSE,"",IF(Cotations!$AQ$4="monthly",VG84/12*L84,VG84/365*M84))</f>
        <v/>
      </c>
      <c r="VI84" s="489" t="str">
        <f>IF(A84=FALSE,"",Cotations!$AR$4)</f>
        <v/>
      </c>
      <c r="VJ84" s="300" t="str">
        <f t="shared" si="812"/>
        <v/>
      </c>
      <c r="VK84" s="300" t="str">
        <f t="shared" si="813"/>
        <v/>
      </c>
      <c r="VL84" s="294" t="str">
        <f t="shared" si="814"/>
        <v/>
      </c>
      <c r="VM84" s="494" t="str">
        <f>IF(A84=FALSE,"",Cotations!$AS$4)</f>
        <v/>
      </c>
      <c r="VN84" s="494" t="str">
        <f>IF(A84=FALSE,"",Cotations!$AT$4)</f>
        <v/>
      </c>
      <c r="VO84" s="489" t="str">
        <f>IF(A84=FALSE,"",Cotations!$AU$4)</f>
        <v/>
      </c>
      <c r="VP84" s="494" t="str">
        <f>IF(A84=FALSE,"",IF(VM84="N/A",0,IF(INDEX(LISTES!$F$105:$F$109,MATCH(VM84,LISTES!$C$105:$C$109,0))="FIX",IF(INDEX(LISTES!$E$105:$E$109,MATCH(VM84,LISTES!$C$105:$C$109,0))=12,VN84/12*L84,VN84/365*M84),VO84*VL84)))</f>
        <v/>
      </c>
      <c r="VQ84" s="294" t="str">
        <f t="shared" si="815"/>
        <v/>
      </c>
      <c r="VR84" s="494" t="str">
        <f>IF(A84=FALSE,"",VQ84*Cotations!$AV$4)</f>
        <v/>
      </c>
      <c r="VS84" s="494" t="str">
        <f>IF(A84=FALSE,"",VQ84*Cotations!$AW$4)</f>
        <v/>
      </c>
      <c r="VT84" s="465" t="str">
        <f t="shared" si="816"/>
        <v/>
      </c>
      <c r="VU84" s="919" t="str">
        <f>IF(A84=FALSE,"",((VG84*TAXE)-(VG84*TAXE*VI84))+IF(VM84="N/A",0,IF(INDEX(LISTES!$F$105:$F$109,MATCH(VM84,LISTES!$C$105:$C$109,0))="FIX",VN84,VO84*VL84)))</f>
        <v/>
      </c>
      <c r="WA84" s="492" t="str">
        <f>IF(A84=FALSE,"",Cotations!D84)</f>
        <v/>
      </c>
      <c r="WB84" s="519" t="str">
        <f>IF(A84=FALSE,"",IF(LISTES!$A$17=1,Cotations!EW84,Cotations!EX84))</f>
        <v/>
      </c>
      <c r="WC84" s="291" t="str">
        <f t="shared" si="817"/>
        <v/>
      </c>
      <c r="WD84" s="291" t="str">
        <f t="shared" si="818"/>
        <v/>
      </c>
      <c r="WE84" s="291"/>
      <c r="WF84" s="463"/>
      <c r="WG84" s="463" t="str">
        <f t="shared" si="819"/>
        <v/>
      </c>
      <c r="WH84" s="522" t="str">
        <f>IF(A84=FALSE,"",IF(Cotations!$AQ$4="monthly",WG84/12*L84,WG84/365*M84))</f>
        <v/>
      </c>
      <c r="WI84" s="489" t="str">
        <f>IF(A84=FALSE,"",Cotations!$AR$4)</f>
        <v/>
      </c>
      <c r="WJ84" s="300" t="str">
        <f t="shared" si="820"/>
        <v/>
      </c>
      <c r="WK84" s="300" t="str">
        <f t="shared" si="821"/>
        <v/>
      </c>
      <c r="WL84" s="294" t="str">
        <f t="shared" si="822"/>
        <v/>
      </c>
      <c r="WM84" s="494" t="str">
        <f>IF(A84=FALSE,"",Cotations!$AS$4)</f>
        <v/>
      </c>
      <c r="WN84" s="494" t="str">
        <f>IF(A84=FALSE,"",Cotations!$AT$4)</f>
        <v/>
      </c>
      <c r="WO84" s="489" t="str">
        <f>IF(A84=FALSE,"",Cotations!$AU$4)</f>
        <v/>
      </c>
      <c r="WP84" s="494" t="str">
        <f>IF(A84=FALSE,"",IF(WM84="N/A",0,IF(INDEX(LISTES!$F$105:$F$109,MATCH(WM84,LISTES!$C$105:$C$109,0))="FIX",IF(INDEX(LISTES!$E$105:$E$109,MATCH(WM84,LISTES!$C$105:$C$109,0))=12,WN84/12*L84,WN84/365*M84),WO84*WL84)))</f>
        <v/>
      </c>
      <c r="WQ84" s="294" t="str">
        <f t="shared" si="823"/>
        <v/>
      </c>
      <c r="WR84" s="494" t="str">
        <f>IF(A84=FALSE,"",WQ84*Cotations!$AV$4)</f>
        <v/>
      </c>
      <c r="WS84" s="494" t="str">
        <f>IF(A84=FALSE,"",WQ84*Cotations!$AW$4)</f>
        <v/>
      </c>
      <c r="WT84" s="465" t="str">
        <f t="shared" si="824"/>
        <v/>
      </c>
      <c r="WU84" s="919" t="str">
        <f>IF(A84=FALSE,"",((WG84*TAXE)-(WG84*TAXE*WI84))+IF(WM84="N/A",0,IF(INDEX(LISTES!$F$105:$F$109,MATCH(WM84,LISTES!$C$105:$C$109,0))="FIX",WN84,WO84*WL84)))</f>
        <v/>
      </c>
    </row>
    <row r="85" spans="1:619">
      <c r="A85" s="942" t="b">
        <f t="shared" si="629"/>
        <v>0</v>
      </c>
      <c r="B85" s="942" t="b">
        <f>IF(NAMES!$B$9=TRUE,TRUE,FALSE)</f>
        <v>1</v>
      </c>
      <c r="C85" s="942" t="b">
        <f t="shared" si="825"/>
        <v>0</v>
      </c>
      <c r="D85" s="942" t="b">
        <f t="shared" si="826"/>
        <v>0</v>
      </c>
      <c r="E85" s="274" t="b">
        <f>IF(Cotations!C85="","",Cotations!C85)</f>
        <v>0</v>
      </c>
      <c r="F85" s="274" t="str">
        <f>IF(Cotations!D85="","",Cotations!D85)</f>
        <v>PROP</v>
      </c>
      <c r="G85" s="274" t="str">
        <f>IF(Cotations!E85="","",Cotations!E85)</f>
        <v>2016-2017!</v>
      </c>
      <c r="H85" s="274" t="str">
        <f>IF(Cotations!F85="","",Cotations!F85)</f>
        <v>SINGLE</v>
      </c>
      <c r="I85" s="274" t="str">
        <f>IF(Cotations!G85="","",Cotations!G85)</f>
        <v/>
      </c>
      <c r="J85" s="274" t="str">
        <f>IF(Cotations!H85="","",Cotations!H85)</f>
        <v/>
      </c>
      <c r="K85" s="274" t="str">
        <f>IF(Cotations!I85="","",Cotations!I85)</f>
        <v/>
      </c>
      <c r="L85" s="274" t="str">
        <f>IF(A85=FALSE,"",IF(Cotations!N85="","",Cotations!N85))</f>
        <v/>
      </c>
      <c r="M85" s="274" t="str">
        <f>IF(Cotations!P85="","",Cotations!P85)</f>
        <v/>
      </c>
      <c r="N85" s="724" t="str">
        <f>IF(NAMES!$B$10=TRUE,Cotations!J85,Cotations!L85)</f>
        <v/>
      </c>
      <c r="O85" s="724" t="str">
        <f>IF(NAMES!$B$10=TRUE,Cotations!K85,Cotations!M85)</f>
        <v/>
      </c>
      <c r="P85" s="943" t="str">
        <f t="shared" si="827"/>
        <v/>
      </c>
      <c r="Q85" s="724" t="str">
        <f>IF(A85=FALSE,"",IF(Crewlist!Y85="","",Crewlist!Y85))</f>
        <v/>
      </c>
      <c r="R85" s="78" t="str">
        <f>IF(Cotations!U85="","",Cotations!U85)</f>
        <v/>
      </c>
      <c r="S85" s="943" t="str">
        <f t="shared" si="828"/>
        <v/>
      </c>
      <c r="T85" s="919" t="str">
        <f>IF(A85=FALSE,"",VLOOKUP($U$15:$U$120,Currency!$A$2:$D$10,4,0)*Crewlist!N85)</f>
        <v/>
      </c>
      <c r="U85" s="1355" t="str">
        <f>IF(A85=FALSE,"",IF(IT85=0,Crewlist!M85&amp;"/"&amp;EX85,Crewlist!M85&amp;"/"&amp;IT85))</f>
        <v/>
      </c>
      <c r="V85" s="919" t="str">
        <f>IF(A85=FALSE,"",VLOOKUP($U$15:$U$120,Currency!$A$2:$D$10,4,0)*Detail!Q85)</f>
        <v/>
      </c>
      <c r="W85" s="1355" t="str">
        <f>IF(A85=FALSE,"",IF(IT85=0,Detail!R85&amp;"/"&amp;EX85,Detail!R85&amp;"/"&amp;IT85))</f>
        <v/>
      </c>
      <c r="X85" s="919" t="str">
        <f>IF(A85=FALSE,"",IF(LISTES!$C$17="Crewlist",Calcul!T85,Calcul!V85))</f>
        <v/>
      </c>
      <c r="Y85" s="758" t="str">
        <f t="shared" si="829"/>
        <v/>
      </c>
      <c r="Z85" s="758" t="str">
        <f>IF(A85=FALSE,"",IF(X85=0,0,IF((Cotations!BC85*12*X85)&lt;50000,50000,(12*X85))))</f>
        <v/>
      </c>
      <c r="AA85" s="758" t="str">
        <f t="shared" si="830"/>
        <v/>
      </c>
      <c r="AB85" s="758" t="str">
        <f>IF(A85=FALSE,"",IF(Crewlist!O85=0,"",Crewlist!O85))</f>
        <v/>
      </c>
      <c r="AC85" s="758" t="str">
        <f>IF(I85="","",VLOOKUP($AB$15:$AB$120,Currency!$A$15:$B$34,2,0))</f>
        <v/>
      </c>
      <c r="AD85" s="758" t="str">
        <f t="shared" si="831"/>
        <v/>
      </c>
      <c r="AE85" s="758" t="str">
        <f t="shared" si="832"/>
        <v/>
      </c>
      <c r="AF85" s="758" t="str">
        <f t="shared" si="833"/>
        <v/>
      </c>
      <c r="AG85" s="758" t="str">
        <f t="shared" si="834"/>
        <v/>
      </c>
      <c r="AH85" s="1355" t="str">
        <f t="shared" si="630"/>
        <v/>
      </c>
      <c r="AI85" s="919" t="str">
        <f t="shared" si="835"/>
        <v/>
      </c>
      <c r="AJ85" s="1382" t="str">
        <f t="shared" si="836"/>
        <v/>
      </c>
      <c r="AK85" s="1382" t="str">
        <f t="shared" si="837"/>
        <v/>
      </c>
      <c r="AL85" s="238" t="str">
        <f t="shared" si="631"/>
        <v/>
      </c>
      <c r="AM85" s="238" t="str">
        <f t="shared" si="632"/>
        <v/>
      </c>
      <c r="AN85" s="1374" t="str">
        <f t="shared" si="633"/>
        <v/>
      </c>
      <c r="AO85" s="238" t="str">
        <f t="shared" si="634"/>
        <v/>
      </c>
      <c r="AP85" s="342" t="str">
        <f>IF(A85=FALSE,"",INDEX(Rates!$Z$5:$Z$367,MATCH(EB85,colchoice,0)))</f>
        <v/>
      </c>
      <c r="AQ85" s="238" t="str">
        <f t="shared" si="635"/>
        <v/>
      </c>
      <c r="AR85" s="238" t="str">
        <f t="shared" si="636"/>
        <v/>
      </c>
      <c r="AS85" s="238" t="str">
        <f t="shared" si="637"/>
        <v/>
      </c>
      <c r="AT85" s="238" t="str">
        <f t="shared" si="638"/>
        <v/>
      </c>
      <c r="AU85" s="238" t="str">
        <f t="shared" si="639"/>
        <v/>
      </c>
      <c r="AV85" s="238" t="str">
        <f t="shared" si="838"/>
        <v/>
      </c>
      <c r="AW85" s="238" t="str">
        <f t="shared" si="640"/>
        <v/>
      </c>
      <c r="AX85" s="238" t="str">
        <f t="shared" si="641"/>
        <v/>
      </c>
      <c r="AY85" s="238" t="str">
        <f t="shared" si="642"/>
        <v/>
      </c>
      <c r="AZ85" s="238" t="str">
        <f t="shared" si="643"/>
        <v/>
      </c>
      <c r="BA85" s="238" t="str">
        <f t="shared" si="644"/>
        <v/>
      </c>
      <c r="BB85" s="552" t="str">
        <f t="shared" si="645"/>
        <v/>
      </c>
      <c r="BC85" s="347" t="str">
        <f t="shared" si="646"/>
        <v/>
      </c>
      <c r="BD85" s="239" t="str">
        <f t="shared" si="839"/>
        <v/>
      </c>
      <c r="BE85" s="239" t="str">
        <f>IF(A85=FALSE,"",IF(ALLTHESAME=TRUE,IF(DF85&lt;&gt;$BC$7,0,INDEX(DD85:DZ85,1,MATCH(Structure!$D$12,$DD$14:$DZ$14,0))),IF(EC85&lt;&gt;$BC$7,0,INDEX(EA85:EZ85,1,MATCH(Structure!$D$12,$EA$14:$EZ$14,0)))))</f>
        <v/>
      </c>
      <c r="BF85" s="239" t="str">
        <f>IF(A85=FALSE,"",IF(ALLTHESAME=TRUE,IF(FC85&lt;&gt;$BC$7,0,INDEX(FA85:FZ85,1,MATCH(Structure!$D$12,$FA$14:$FZ$14,0))),IF(GC85&lt;&gt;$BC$7,0,INDEX(GA85:GZ85,1,MATCH(Structure!$D$12,$GA$14:$GZ$14,0)))))</f>
        <v/>
      </c>
      <c r="BG85" s="239" t="str">
        <f>IF(A85=FALSE,"",IF(ALLTHESAME=TRUE,IF(VC85&lt;&gt;$BC$7,0,INDEX(VA85:VZ85,1,MATCH(Structure!$D$12,$VA$14:$VZ$14,0))),IF(VC85&lt;&gt;$BC$7,0,INDEX(VA85:VZ85,1,MATCH(Structure!$D$12,$VA$14:$VZ$14,0)))))</f>
        <v/>
      </c>
      <c r="BH85" s="239" t="str">
        <f>IF(A85=FALSE,"",IF(ALLTHESAME=TRUE,IF(WC85&lt;&gt;$BC$7,0,INDEX(WA85:WY85,1,MATCH(Structure!$D$12,$WA$14:$WZ$14,0))),IF(WC85&lt;&gt;$BC$7,0,INDEX(WA85:WZ85,1,MATCH(Structure!$D$12,$WA$14:$WZ$14,0)))))</f>
        <v/>
      </c>
      <c r="BI85" s="763" t="str">
        <f>IF(A85=FALSE,"",IF(ALLTHESAME=TRUE,IF(HC85&lt;&gt;$BC$7,0,INDEX(HA85:HZ85,1,MATCH(Structure!$D$12,$HA$14:$HZ$14,0)))+TK85,IF(IC85&lt;&gt;$BC$7,0,INDEX(IA85:IZ85,1,MATCH(Structure!$D$12,$IA$14:$IZ$14,0)))+TK85))</f>
        <v/>
      </c>
      <c r="BJ85" s="239" t="str">
        <f>IF(A85=FALSE,"",IF(ALLTHESAME=TRUE,IF(JC85&lt;&gt;$BC$7,0,INDEX(JA85:JZ85,1,MATCH(Structure!$D$12,$JA$14:$JZ$14,0))),IF(KC85&lt;&gt;$BC$7,0,INDEX(KA85:KZ85,1,MATCH(Structure!$D$12,$KA$14:$KZ$14,0)))))</f>
        <v/>
      </c>
      <c r="BK85" s="763" t="str">
        <f>IF(A85=FALSE,"",IF(ALLTHESAME=TRUE,IF(LC85&lt;&gt;$BC$7,0,INDEX(LA85:LZ85,1,MATCH(Structure!$D$12,$LA$14:$LZ$14,0)))+UK85,IF(MC85&lt;&gt;$BC$7,0,INDEX(MA85:MZ85,1,MATCH(Structure!$D$12,$MA$14:$MZ$14,0)))+UK85))</f>
        <v/>
      </c>
      <c r="BL85" s="239" t="str">
        <f>IF(A85=FALSE,"",IF(ALLTHESAME=TRUE,IF(NC85&lt;&gt;$BC$7,0,INDEX(NA85:NZ85,1,MATCH(Structure!$D$12,$NA$14:$NZ$14,0))),IF(OC85&lt;&gt;$BC$7,0,INDEX(OA85:OZ85,1,MATCH(Structure!$D$12,$OA$14:$OZ$14,0)))))</f>
        <v/>
      </c>
      <c r="BM85" s="239" t="str">
        <f>IF(A85=FALSE,"",IF(ALLTHESAME=TRUE,IF(PC85&lt;&gt;$BC$7,0,INDEX(PA85:PZ85,1,MATCH(Structure!$D$12,$PA$14:$PZ$14,0))),IF(QC85&lt;&gt;$BC$7,0,INDEX(QA85:QZ85,1,MATCH(Structure!$D$12,$QA$14:$QZ$14,0)))))</f>
        <v/>
      </c>
      <c r="BN85" s="341" t="str">
        <f>IF(A85=FALSE,"",IF(ALLTHESAME=TRUE,IF(RC85&lt;&gt;$BC$7,0,INDEX(RA85:RZ85,1,MATCH(Structure!$D$12,$RA$14:$RZ$14,0))),IF(SC85&lt;&gt;$BC$7,0,INDEX(SA85:TA85,1,MATCH(Structure!$D$12,$SA$14:$TA$14,0)))))</f>
        <v/>
      </c>
      <c r="BO85" s="507" t="str">
        <f t="shared" si="647"/>
        <v/>
      </c>
      <c r="BP85" s="239" t="str">
        <f t="shared" si="648"/>
        <v/>
      </c>
      <c r="BQ85" s="239" t="str">
        <f>IF(A85=FALSE,"",IF(ALLTHESAME=TRUE,IF(DF85&lt;&gt;$BO$7,0,INDEX(DD85:DZ85,1,MATCH(Structure!$D$12,$DD$14:$DZ$14,0))),IF(EC85&lt;&gt;$BO$7,0,INDEX(EA85:EZ85,1,MATCH(Structure!$D$12,$EA$14:$EZ$14,0)))))</f>
        <v/>
      </c>
      <c r="BR85" s="239" t="str">
        <f>IF(A85=FALSE,"",IF(ALLTHESAME=TRUE,IF(FC85&lt;&gt;$BO$7,0,INDEX(FA85:FZ85,1,MATCH(Structure!$D$12,$FA$14:$FZ$14,0))),IF(GC85&lt;&gt;$BO$7,0,INDEX(GA85:GZ85,1,MATCH(Structure!$D$12,$GA$14:$GZ$14,0)))))</f>
        <v/>
      </c>
      <c r="BS85" s="239" t="str">
        <f>IF(A85=FALSE,"",IF(ALLTHESAME=TRUE,IF(HC85&lt;&gt;$BO$7,0,INDEX(HA85:HZ85,1,MATCH(Structure!$D$12,$HA$14:$HZ$14,0))),IF(IC85&lt;&gt;$BO$7,0,INDEX(IA85:IZ85,1,MATCH(Structure!$D$12,$IA$14:$IZ$14,0)))))</f>
        <v/>
      </c>
      <c r="BT85" s="239" t="str">
        <f>IF(A85=FALSE,"",IF(ALLTHESAME=TRUE,IF(JC85&lt;&gt;$BO$7,0,INDEX(JA85:JZ85,1,MATCH(Structure!$D$12,$JA$14:$JZ$14,0))),IF(KC85&lt;&gt;$BO$7,0,INDEX(KA85:KZ85,1,MATCH(Structure!$D$12,$KA$14:$KZ$14,0)))))</f>
        <v/>
      </c>
      <c r="BU85" s="239" t="str">
        <f>IF(A85=FALSE,"",IF(ALLTHESAME=TRUE,IF(LC85&lt;&gt;$BO$7,0,INDEX(LA85:LZ85,1,MATCH(Structure!$D$12,$LA$14:$LZ$14,0))),IF(MC85&lt;&gt;$BO$7,0,INDEX(MA85:MZ85,1,MATCH(Structure!$D$12,$MA$14:$MZ$14,0)))))</f>
        <v/>
      </c>
      <c r="BV85" s="239" t="str">
        <f>IF(A85=FALSE,"",IF(ALLTHESAME=TRUE,IF(NC85&lt;&gt;$BO$7,0,INDEX(NA85:NZ85,1,MATCH(Structure!$D$12,$NA$14:$NZ$14,0))),IF(OC85&lt;&gt;$BO$7,0,INDEX(OA85:OZ85,1,MATCH(Structure!$D$12,$OA$14:$OZ$14,0)))))</f>
        <v/>
      </c>
      <c r="BW85" s="239" t="str">
        <f>IF(A85=FALSE,"",IF(ALLTHESAME=TRUE,IF(PC85&lt;&gt;$BO$7,0,INDEX(PA85:PZ85,1,MATCH(Structure!$D$12,$PA$14:$PZ$14,0))),IF(QC85&lt;&gt;$BO$7,0,INDEX(QA85:QZ85,1,MATCH(Structure!$D$12,$QA$14:$QZ$14,0)))))</f>
        <v/>
      </c>
      <c r="BX85" s="341" t="str">
        <f>IF(A85=FALSE,"",IF(ALLTHESAME=TRUE,IF(RC85&lt;&gt;$BO$7,0,INDEX(RA85:RZ85,1,MATCH(Structure!$D$12,$RA$14:$RZ$14,0))),IF(SC85&lt;&gt;$BO$7,0,INDEX(SA85:TA85,1,MATCH(Structure!$D$12,$SA$14:$TA$14,0)))))</f>
        <v/>
      </c>
      <c r="BY85" s="347" t="str">
        <f t="shared" si="649"/>
        <v/>
      </c>
      <c r="BZ85" s="507" t="str">
        <f t="shared" si="650"/>
        <v/>
      </c>
      <c r="CA85" s="239" t="str">
        <f t="shared" si="651"/>
        <v/>
      </c>
      <c r="CB85" s="239" t="str">
        <f>IF(A85=FALSE,"",IF(ALLTHESAME=TRUE,INDEX(DD85:DZ85,MATCH(DF85,DF85:DF190,0),MATCH(Structure!$D$17,$DD$14:$DZ$14,0)),INDEX(EA85:EZ85,MATCH(EC85,EC85:EC190,0),MATCH(Structure!$D$17,$EA$14:$EZ$14,0))))</f>
        <v/>
      </c>
      <c r="CC85" s="239" t="str">
        <f>IF(A85=FALSE,"",IF(ALLTHESAME=TRUE,INDEX(FA85:FZ85,MATCH(FC85,FC85:FC190,0),MATCH(Structure!$D$17,$FA$14:$FZ$14,0)),INDEX(GA85:GZ85,MATCH(GC85,GC85:GC190,0),MATCH(Structure!$D$17,$GA$14:$GZ$14,0))))</f>
        <v/>
      </c>
      <c r="CD85" s="239" t="str">
        <f>IF(A85=FALSE,"",IF(ALLTHESAME=TRUE,INDEX(HA85:HZ85,MATCH(HC85,HC85:HC190,0),MATCH(Structure!$D$17,$HA$14:$HZ$14,0)),INDEX(IA85:IZ85,MATCH(IC85,IC85:IC190,0),MATCH(Structure!$D$17,$IA$14:$IZ$14,0))))</f>
        <v/>
      </c>
      <c r="CE85" s="239" t="str">
        <f>IF(A85=FALSE,"",IF(ALLTHESAME=TRUE,INDEX(JA85:JZ85,MATCH(JC85,JC85:JC190,0),MATCH(Structure!$D$17,$JA$14:$JZ$14,0)),INDEX(KA85:KZ85,MATCH(KC85,KC85:KC190,0),MATCH(Structure!$D$17,$KA$14:$KZ$14,0))))</f>
        <v/>
      </c>
      <c r="CF85" s="239" t="str">
        <f>IF(A85=FALSE,"",IF(ALLTHESAME=TRUE,INDEX(LA85:LZ85,MATCH(LC85,LC85:LC190,0),MATCH(Structure!$D$17,$LA$14:$LZ$14,0)),INDEX(MA85:MZ85,MATCH(MC85,MC85:MC190,0),MATCH(Structure!$D$17,$MA$14:$MZ$14,0))))</f>
        <v/>
      </c>
      <c r="CG85" s="239" t="str">
        <f>IF(A85=FALSE,"",IF(ALLTHESAME=TRUE,INDEX(NA85:NZ85,MATCH(NC85,NC85:NC190,0),MATCH(Structure!$D$17,$NA$14:$NZ$14,0)),INDEX(OA85:OZ85,MATCH(OC85,OC85:OC190,0),MATCH(Structure!$D$17,$OA$14:$OZ$14,0))))</f>
        <v/>
      </c>
      <c r="CH85" s="239" t="str">
        <f>IF(A85=FALSE,"",IF(ALLTHESAME=TRUE,INDEX(PA85:PZ85,MATCH(PC85,PC85:PC190,0),MATCH(Structure!$D$17,$PA$14:$PZ$14,0)),INDEX(QA85:QZ85,MATCH(QC85,QC85:QC190,0),MATCH(Structure!$D$17,$QA$14:$QZ$14,0))))</f>
        <v/>
      </c>
      <c r="CI85" s="341" t="str">
        <f>IF(A85=FALSE,"",IF(ALLTHESAME=TRUE,INDEX(RA85:RZ85,MATCH(RC85,RC85:RC190,0),MATCH(Structure!$D$17,$RA$14:$RZ$14,0)),INDEX(SA85:TC85,MATCH(SC85,SC85:SC190,0),MATCH(Structure!$D$17,$SA$14:$TC$14,0))))</f>
        <v/>
      </c>
      <c r="CJ85" s="347"/>
      <c r="CK85" s="239" t="str">
        <f t="shared" si="652"/>
        <v/>
      </c>
      <c r="CL85" s="239" t="str">
        <f>IF(A85=FALSE,"",IF(ALLTHESAME=TRUE,INDEX(DD85:DZ85,MATCH(DF85,DF85:DF190,0),MATCH(Structure!$D$22,$DD$14:$DZ$14,0)),INDEX(EA85:EZ85,MATCH(EC85,EC85:EC190,0),MATCH(Structure!$D$22,$EA$14:$EZ$14,0))))</f>
        <v/>
      </c>
      <c r="CM85" s="239" t="str">
        <f>IF(A85=FALSE,"",IF(ALLTHESAME=TRUE,INDEX(FA85:FZ85,MATCH(FC85,FC85:FC190,0),MATCH(Structure!$D$22,$FA$14:$FZ$14,0)),INDEX(GA85:GZ85,MATCH(GC85,GC85:GC190,0),MATCH(Structure!$D$22,$GA$14:$GZ$14,0))))</f>
        <v/>
      </c>
      <c r="CN85" s="239" t="str">
        <f>IF(A85=FALSE,"",IF(ALLTHESAME=TRUE,INDEX(HA85:HZ85,MATCH(HC85,HC85:HC190,0),MATCH(Structure!$D$22,$HA$14:$HZ$14,0)),INDEX(IA85:IZ85,MATCH(IC85,IC85:IC190,0),MATCH(Structure!$D$22,$IA$14:$IZ$14,0))))</f>
        <v/>
      </c>
      <c r="CO85" s="239" t="str">
        <f>IF(A85=FALSE,"",IF(ALLTHESAME=TRUE,INDEX(JA85:JZ85,MATCH(JC85,JC85:JC190,0),MATCH(Structure!$D$22,$JA$14:$JZ$14,0)),INDEX(KA85:KZ85,MATCH(KC85,KC85:KC190,0),MATCH(Structure!$D$22,$KA$14:$KZ$14,0))))</f>
        <v/>
      </c>
      <c r="CP85" s="239" t="str">
        <f>IF(A85=FALSE,"",IF(ALLTHESAME=TRUE,INDEX(LA85:LZ85,MATCH(LC85,LC85:LC190,0),MATCH(Structure!$D$22,$LA$14:$LZ$14,0)),INDEX(MA85:MZ85,MATCH(MC85,MC85:MC190,0),MATCH(Structure!$D$22,$MA$14:$MZ$14,0))))</f>
        <v/>
      </c>
      <c r="CQ85" s="239" t="str">
        <f>IF(A85=FALSE,"",IF(ALLTHESAME=TRUE,INDEX(NA85:NZ85,MATCH(NC85,NC85:NC190,0),MATCH(Structure!$D$22,$NA$14:$NZ$14,0)),INDEX(OA85:OZ85,MATCH(OC85,OC85:OC190,0),MATCH(Structure!$D$22,$OA$14:$OZ$14,0))))</f>
        <v/>
      </c>
      <c r="CR85" s="239" t="str">
        <f>IF(A85=FALSE,"",IF(ALLTHESAME=TRUE,INDEX(PA85:PZ85,MATCH(PC85,PC85:PC190,0),MATCH(Structure!$D$22,$PA$14:$PZ$14,0)),INDEX(QA85:QZ85,MATCH(QC85,QC85:QC190,0),MATCH(Structure!$D$22,$QA$14:$QZ$14,0))))</f>
        <v/>
      </c>
      <c r="CS85" s="341" t="str">
        <f>IF(A85=FALSE,"",IF(ALLTHESAME=TRUE,INDEX(RA85:RZ85,MATCH(RC85,RC85:RC190,0),MATCH(Structure!$D$22,$RA$14:$RZ$14,0)),INDEX(SA85:TC85,MATCH(SC85,SC85:SC190,0),MATCH(Structure!$D$22,$SA$14:$TC$14,0))))</f>
        <v/>
      </c>
      <c r="CT85" s="347"/>
      <c r="CU85" s="239" t="str">
        <f t="shared" si="653"/>
        <v/>
      </c>
      <c r="CV85" s="239" t="str">
        <f>IF(A85=FALSE,"",IF(ALLTHESAME=TRUE,INDEX(DD85:DZ85,MATCH(DF85,DF85:DF190,0),MATCH(Structure!$D$8,$DD$14:$DZ$14,0)),INDEX(EA85:EZ85,MATCH(EC85,EC85:EC190,0),MATCH(Structure!$D$8,$EA$14:$EZ$14,0))))</f>
        <v/>
      </c>
      <c r="CW85" s="239" t="str">
        <f>IF(A85=FALSE,"",IF(ALLTHESAME=TRUE,INDEX(FA85:FZ85,MATCH(FC85,FC85:FC190,0),MATCH(Structure!$D$8,$FA$14:$FZ$14,0)),INDEX(GA85:GZ85,MATCH(GC85,GC85:GC190,0),MATCH(Structure!$D$8,$GA$14:$GZ$14,0))))</f>
        <v/>
      </c>
      <c r="CX85" s="239" t="str">
        <f>IF(A85=FALSE,"",IF(ALLTHESAME=TRUE,INDEX(HA85:HZ85,MATCH(HC85,HC85:HC190,0),MATCH(Structure!$D$8,$HA$14:$HZ$14,0)),INDEX(IA85:IZ85,MATCH(IC85,IC85:IC190,0),MATCH(Structure!$D$8,$IA$14:$IZ$14,0))))</f>
        <v/>
      </c>
      <c r="CY85" s="239" t="str">
        <f>IF(A85=FALSE,"",IF(ALLTHESAME=TRUE,INDEX(JA85:JZ85,MATCH(JC85,JC85:JC190,0),MATCH(Structure!$D$8,$JA$14:$JZ$14,0)),INDEX(KA85:KZ85,MATCH(KC85,KC85:KC190,0),MATCH(Structure!$D$8,$KA$14:$KZ$14,0))))</f>
        <v/>
      </c>
      <c r="CZ85" s="239" t="str">
        <f>IF(A85=FALSE,"",IF(ALLTHESAME=TRUE,INDEX(LA85:LZ85,MATCH(LC85,LC85:LC190,0),MATCH(Structure!$D$8,$LA$14:$LZ$14,0)),INDEX(MA85:MZ85,MATCH(MC85,MC85:MC190,0),MATCH(Structure!$D$8,$MA$14:$MZ$14,0))))</f>
        <v/>
      </c>
      <c r="DA85" s="239" t="str">
        <f>IF(A85=FALSE,"",IF(ALLTHESAME=TRUE,INDEX(NA85:NZ85,MATCH(NC85,NC85:NC190,0),MATCH(Structure!$D$8,$NA$14:$NZ$14,0)),INDEX(OA85:OZ85,MATCH(OC85,OC85:OC190,0),MATCH(Structure!$D$8,$OA$14:$OZ$14,0))))</f>
        <v/>
      </c>
      <c r="DB85" s="239" t="str">
        <f>IF(A85=FALSE,"",IF(ALLTHESAME=TRUE,INDEX(PA85:PZ85,MATCH(PC85,PC85:PC190,0),MATCH(Structure!$D$8,$PA$14:$PZ$14,0)),INDEX(QA85:QZ85,MATCH(QC85,QC85:QC190,0),MATCH(Structure!$D$8,$QA$14:$QZ$14,0))))</f>
        <v/>
      </c>
      <c r="DC85" s="341" t="str">
        <f>IF(A85=FALSE,"",IF(ALLTHESAME=TRUE,INDEX(RA85:RZ85,MATCH(RC85,RC85:RC190,0),MATCH(Structure!$D$8,$RA$14:$RZ$14,0)),INDEX(SA85:TC85,MATCH(SC85,SC85:SC190,0),MATCH(Structure!$D$8,$SA$14:$TC$14,0))))</f>
        <v/>
      </c>
      <c r="DD85" s="492" t="str">
        <f>IF(A85=FALSE,"",Cotations!D85)</f>
        <v/>
      </c>
      <c r="DE85" s="492" t="str">
        <f>IF(A85=FALSE,"",IF(LISTES!$A$17=1,Cotations!AF85,Cotations!$AG$4))</f>
        <v/>
      </c>
      <c r="DF85" s="291" t="str">
        <f t="shared" si="654"/>
        <v/>
      </c>
      <c r="DG85" s="291" t="str">
        <f t="shared" si="655"/>
        <v/>
      </c>
      <c r="DH85" s="291"/>
      <c r="DI85" s="463"/>
      <c r="DJ85" s="463" t="str">
        <f t="shared" si="656"/>
        <v/>
      </c>
      <c r="DK85" s="522" t="str">
        <f>IF(A85=FALSE,"",IF(Cotations!$AH$4="monthly",DJ85/12*L85,DJ85/365*M85))</f>
        <v/>
      </c>
      <c r="DL85" s="489" t="str">
        <f>IF(A85=FALSE,"",Cotations!$AI$4)</f>
        <v/>
      </c>
      <c r="DM85" s="300" t="str">
        <f t="shared" si="657"/>
        <v/>
      </c>
      <c r="DN85" s="300" t="str">
        <f t="shared" si="658"/>
        <v/>
      </c>
      <c r="DO85" s="294" t="str">
        <f t="shared" si="659"/>
        <v/>
      </c>
      <c r="DP85" s="494" t="str">
        <f>IF(A85=FALSE,"",Cotations!$AJ$4)</f>
        <v/>
      </c>
      <c r="DQ85" s="494" t="str">
        <f>IF(A85=FALSE,"",Cotations!$AK$4)</f>
        <v/>
      </c>
      <c r="DR85" s="489" t="str">
        <f>IF(A85=FALSE,"",Cotations!$AL$4)</f>
        <v/>
      </c>
      <c r="DS85" s="494" t="str">
        <f>IF(A85=FALSE,"",IF(DP85="N/A",0,IF(INDEX(LISTES!$F$105:$F$109,MATCH(DP85,LISTES!$C$105:$C$109,0))="FIX",IF(INDEX(LISTES!$E$105:$E$109,MATCH(DP85,LISTES!$C$105:$C$109,0))=12,DQ85/12*L85,DQ85/365*M85),DR85*DO85)))</f>
        <v/>
      </c>
      <c r="DT85" s="294" t="str">
        <f t="shared" si="660"/>
        <v/>
      </c>
      <c r="DU85" s="294" t="str">
        <f>IF(A85=FALSE,"",DT85*Cotations!$AM$4)</f>
        <v/>
      </c>
      <c r="DV85" s="294" t="str">
        <f>IF(A85=FALSE,"",DT85*Cotations!$AN$4)</f>
        <v/>
      </c>
      <c r="DW85" s="465" t="str">
        <f t="shared" si="661"/>
        <v/>
      </c>
      <c r="DX85" s="919" t="str">
        <f>IF(A85=FALSE,"",((DJ85*TAXE)-(DJ85*TAXE*DL85))+IF(DP85="N/A",0,IF(INDEX(LISTES!$F$105:$F$109,MATCH(DP85,LISTES!$C$105:$C$109,0))="FIX",DQ85,DR85*DO85)))</f>
        <v/>
      </c>
      <c r="DY85" s="466"/>
      <c r="DZ85" s="466"/>
      <c r="EA85" s="492" t="str">
        <f>IF(A85=FALSE,"",Cotations!D85)</f>
        <v/>
      </c>
      <c r="EB85" s="494" t="str">
        <f>IF(A85=FALSE,"",IF(LISTES!$A$17=1,Cotations!AF85,Cotations!AG85))</f>
        <v/>
      </c>
      <c r="EC85" s="284" t="str">
        <f t="shared" si="662"/>
        <v/>
      </c>
      <c r="ED85" s="284" t="str">
        <f t="shared" si="663"/>
        <v/>
      </c>
      <c r="EE85" s="284"/>
      <c r="EF85" s="284"/>
      <c r="EG85" s="284" t="str">
        <f t="shared" si="664"/>
        <v/>
      </c>
      <c r="EH85" s="1365" t="str">
        <f t="shared" si="665"/>
        <v/>
      </c>
      <c r="EI85" s="1365" t="str">
        <f t="shared" si="666"/>
        <v/>
      </c>
      <c r="EJ85" s="515" t="str">
        <f>IF(A85=FALSE,"",IF(Cotations!AH85="monthly",EG85/12*L85,EG85/365*M85))</f>
        <v/>
      </c>
      <c r="EK85" s="1364" t="str">
        <f>IF(A85=FALSE,"",IF(Cotations!AH85="monthly",EI85/12*L85,EI85/365*M85))</f>
        <v/>
      </c>
      <c r="EL85" s="493" t="str">
        <f>IF(A85=FALSE,"",IF(Cotations!AI85="","",Cotations!AI85))</f>
        <v/>
      </c>
      <c r="EM85" s="284" t="str">
        <f t="shared" si="667"/>
        <v/>
      </c>
      <c r="EN85" s="284" t="str">
        <f t="shared" si="668"/>
        <v/>
      </c>
      <c r="EO85" s="1365" t="str">
        <f t="shared" si="840"/>
        <v/>
      </c>
      <c r="EP85" s="284" t="str">
        <f t="shared" si="669"/>
        <v/>
      </c>
      <c r="EQ85" s="515" t="str">
        <f>IF(A85=FALSE,"",Cotations!AJ85)</f>
        <v/>
      </c>
      <c r="ER85" s="515" t="str">
        <f>IF(A85=FALSE,"",IF(Cotations!AK85="","",Cotations!AK85))</f>
        <v/>
      </c>
      <c r="ES85" s="493" t="str">
        <f>IF(A85=FALSE,"",Cotations!AL85)</f>
        <v/>
      </c>
      <c r="ET85" s="515" t="str">
        <f>IF(A85=FALSE,"",IF(EQ85="N/A",0,IF(INDEX(LISTES!$F$105:$F$109,MATCH(EQ85,LISTES!$C$105:$C$109,0))="FIX",IF(INDEX(LISTES!$E$105:$E$109,MATCH(EQ85,LISTES!$C$105:$C$109,0))=12,ER85/12*L85,ER85/365*M85),ES85*EP85)))</f>
        <v/>
      </c>
      <c r="EU85" s="294" t="str">
        <f t="shared" si="670"/>
        <v/>
      </c>
      <c r="EV85" s="494" t="str">
        <f>IF(A85=FALSE,"",EU85*Cotations!AM85)</f>
        <v/>
      </c>
      <c r="EW85" s="494" t="str">
        <f>IF(A85=FALSE,"",EU85*Cotations!AN85)</f>
        <v/>
      </c>
      <c r="EX85" s="334" t="str">
        <f t="shared" si="671"/>
        <v/>
      </c>
      <c r="EY85" s="919" t="str">
        <f>IF(A85=FALSE,"",((EG85*TAXE)-(EG85*TAXE*EL85)+EH85)+IF(EQ85="N/A",0,IF(INDEX(LISTES!$F$105:$F$109,MATCH(EQ85,LISTES!$C$105:$C$109,0))="FIX",ER85,ES85*EP85)))</f>
        <v/>
      </c>
      <c r="FA85" s="492" t="str">
        <f>IF(A85=FALSE,"",Cotations!D85)</f>
        <v/>
      </c>
      <c r="FB85" s="519" t="str">
        <f>IF(A85=FALSE,"",IF(LISTES!$A$17=1,Cotations!AO85,Cotations!$AP$4))</f>
        <v/>
      </c>
      <c r="FC85" s="291" t="str">
        <f t="shared" si="672"/>
        <v/>
      </c>
      <c r="FD85" s="291" t="str">
        <f t="shared" si="673"/>
        <v/>
      </c>
      <c r="FE85" s="291"/>
      <c r="FF85" s="463"/>
      <c r="FG85" s="463" t="str">
        <f t="shared" si="674"/>
        <v/>
      </c>
      <c r="FH85" s="522" t="str">
        <f>IF(A85=FALSE,"",IF(Cotations!$AQ$4="monthly",FG85/12*L85,FG85/365*M85))</f>
        <v/>
      </c>
      <c r="FI85" s="453" t="str">
        <f>IF(A85=FALSE,"",Cotations!$AR$4)</f>
        <v/>
      </c>
      <c r="FJ85" s="300" t="str">
        <f t="shared" si="675"/>
        <v/>
      </c>
      <c r="FK85" s="300" t="str">
        <f t="shared" si="676"/>
        <v/>
      </c>
      <c r="FL85" s="294" t="str">
        <f t="shared" si="677"/>
        <v/>
      </c>
      <c r="FM85" s="494" t="str">
        <f>IF(A85=FALSE,"",Cotations!$AS$4)</f>
        <v/>
      </c>
      <c r="FN85" s="494" t="str">
        <f>IF(A85=FALSE,"",Cotations!$AT$4)</f>
        <v/>
      </c>
      <c r="FO85" s="489" t="str">
        <f>IF(A85=FALSE,"",Cotations!$AU$4)</f>
        <v/>
      </c>
      <c r="FP85" s="494" t="str">
        <f>IF(A85=FALSE,"",IF(FM85="N/A",0,IF(INDEX(LISTES!$F$105:$F$109,MATCH(FM85,LISTES!$C$105:$C$109,0))="FIX",IF(INDEX(LISTES!$E$105:$E$109,MATCH(FM85,LISTES!$C$105:$C$109,0))=12,FN85/12*L85,FN85/365*M85),FO85*FL85)))</f>
        <v/>
      </c>
      <c r="FQ85" s="294" t="str">
        <f t="shared" si="678"/>
        <v/>
      </c>
      <c r="FR85" s="494" t="str">
        <f>IF(A85=FALSE,"",FQ85*Cotations!$AV$4)</f>
        <v/>
      </c>
      <c r="FS85" s="494" t="str">
        <f>IF(A85=FALSE,"",FQ85*Cotations!$AW$4)</f>
        <v/>
      </c>
      <c r="FT85" s="465" t="str">
        <f t="shared" si="679"/>
        <v/>
      </c>
      <c r="FU85" s="919" t="str">
        <f>IF(A85=FALSE,"",((FG85*TAXE)-(FG85*TAXE*FI85))+IF(FM85="N/A",0,IF(INDEX(LISTES!$F$105:$F$109,MATCH(FM85,LISTES!$C$105:$C$109,0))="FIX",FN85,FO85*FL85)))</f>
        <v/>
      </c>
      <c r="FV85" s="478"/>
      <c r="FW85" s="478"/>
      <c r="FX85" s="478"/>
      <c r="FY85" s="478"/>
      <c r="FZ85" s="478"/>
      <c r="GA85" s="492" t="str">
        <f>IF(A85=FALSE,"",Cotations!D85)</f>
        <v/>
      </c>
      <c r="GB85" s="494" t="str">
        <f>IF(A85=FALSE,"",IF(LISTES!$A$17=1,Cotations!AO85,Cotations!AP85))</f>
        <v/>
      </c>
      <c r="GC85" s="284" t="str">
        <f t="shared" si="680"/>
        <v/>
      </c>
      <c r="GD85" s="515" t="str">
        <f>IF(A85=FALSE,"",IF(Detail!AM85="","",Detail!AM85))</f>
        <v/>
      </c>
      <c r="GE85" s="284"/>
      <c r="GF85" s="284"/>
      <c r="GG85" s="284" t="str">
        <f t="shared" si="681"/>
        <v/>
      </c>
      <c r="GH85" s="515" t="str">
        <f>IF(A85=FALSE,"",IF(Cotations!AQ85="monthly",GG85/12*L85,GG85/365*M85))</f>
        <v/>
      </c>
      <c r="GI85" s="493" t="str">
        <f>IF(A85=FALSE,"",IF(Cotations!AR85="","",Cotations!AR85))</f>
        <v/>
      </c>
      <c r="GJ85" s="284" t="str">
        <f t="shared" si="682"/>
        <v/>
      </c>
      <c r="GK85" s="284" t="str">
        <f t="shared" si="683"/>
        <v/>
      </c>
      <c r="GL85" s="284" t="str">
        <f t="shared" si="684"/>
        <v/>
      </c>
      <c r="GM85" s="515" t="str">
        <f>IF(A85=FALSE,"",Cotations!AS85)</f>
        <v/>
      </c>
      <c r="GN85" s="515" t="str">
        <f>IF(A85=FALSE,"",Cotations!AT85)</f>
        <v/>
      </c>
      <c r="GO85" s="493" t="str">
        <f>IF(A85=FALSE,"",Cotations!AU85)</f>
        <v/>
      </c>
      <c r="GP85" s="515" t="str">
        <f>IF(A85=FALSE,"",IF(GM85="N/A",0,IF(INDEX(LISTES!$F$105:$F$109,MATCH(GM85,LISTES!$C$105:$C$109,0))="FIX",IF(INDEX(LISTES!$E$105:$E$109,MATCH(GM85,LISTES!$C$105:$C$109,0))=12,GN85/12*L85,GN85/365*M85),GO85*GL85)))</f>
        <v/>
      </c>
      <c r="GQ85" s="294" t="str">
        <f t="shared" si="685"/>
        <v/>
      </c>
      <c r="GR85" s="494" t="str">
        <f>IF(A85=FALSE,"",GQ85*Cotations!AV85)</f>
        <v/>
      </c>
      <c r="GS85" s="494" t="str">
        <f>IF(A85=FALSE,"",GQ85*Cotations!AW85)</f>
        <v/>
      </c>
      <c r="GT85" s="334" t="str">
        <f t="shared" si="686"/>
        <v/>
      </c>
      <c r="GU85" s="919" t="str">
        <f>IF(A85=FALSE,"",((GG85*TAXE)-(GG85*TAXE*GI85))+IF(GM85="N/A",0,IF(INDEX(LISTES!$F$105:$F$109,MATCH(GM85,LISTES!$C$105:$C$109,0))="FIX",GN85,GO85*GL85)))</f>
        <v/>
      </c>
      <c r="GV85" s="478"/>
      <c r="GW85" s="466"/>
      <c r="GX85" s="466"/>
      <c r="GY85" s="466"/>
      <c r="GZ85" s="466"/>
      <c r="HA85" s="492" t="str">
        <f>IF(A85=FALSE,"",Cotations!D85)</f>
        <v/>
      </c>
      <c r="HB85" s="495" t="str">
        <f>IF(A85=FALSE,"",IF(LISTES!$A$17=1,Cotations!AX85,Cotations!$AY$4))</f>
        <v/>
      </c>
      <c r="HC85" s="291" t="str">
        <f t="shared" si="687"/>
        <v/>
      </c>
      <c r="HD85" s="291" t="str">
        <f t="shared" si="688"/>
        <v/>
      </c>
      <c r="HE85" s="456" t="str">
        <f t="shared" si="689"/>
        <v/>
      </c>
      <c r="HF85" s="496" t="str">
        <f>IF(A85=FALSE,"",IF(HA85="POEA",Cotations!BA85,IF(HA85="FIXE",Cotations!$BA$4,Cotations!$BC$4*Y85)))</f>
        <v/>
      </c>
      <c r="HG85" s="300" t="str">
        <f t="shared" si="690"/>
        <v/>
      </c>
      <c r="HH85" s="522" t="str">
        <f>IF(A85=FALSE,"",IF(Cotations!$AZ$4="monthly",HG85/12*L85,HG85/365*M85))</f>
        <v/>
      </c>
      <c r="HI85" s="489" t="str">
        <f>IF(A85=FALSE,"",Cotations!$BD$4)</f>
        <v/>
      </c>
      <c r="HJ85" s="300" t="str">
        <f t="shared" si="691"/>
        <v/>
      </c>
      <c r="HK85" s="300" t="str">
        <f t="shared" si="692"/>
        <v/>
      </c>
      <c r="HL85" s="294" t="str">
        <f t="shared" si="693"/>
        <v/>
      </c>
      <c r="HM85" s="494" t="str">
        <f>IF(A85=FALSE,"",Cotations!$BE$4)</f>
        <v/>
      </c>
      <c r="HN85" s="522" t="str">
        <f>IF(A85=FALSE,"",Cotations!$BF$4)</f>
        <v/>
      </c>
      <c r="HO85" s="489" t="str">
        <f>IF(A85=FALSE,"",Cotations!$BG$4)</f>
        <v/>
      </c>
      <c r="HP85" s="494" t="str">
        <f>IF(A85=FALSE,"",IF(HM85="N/A",0,IF(INDEX(LISTES!$F$105:$F$109,MATCH(HM85,LISTES!$C$105:$C$109,0))="FIX",IF(INDEX(LISTES!$E$105:$E$109,MATCH(HM85,LISTES!$C$105:$C$109,0))=12,HN85/12*L85,HN85/365*M85),HO85*HL85)))</f>
        <v/>
      </c>
      <c r="HQ85" s="294" t="str">
        <f t="shared" si="694"/>
        <v/>
      </c>
      <c r="HR85" s="494" t="str">
        <f>IF(A85=FALSE,"",HQ85*Cotations!$BH$4)</f>
        <v/>
      </c>
      <c r="HS85" s="494" t="str">
        <f>IF(A85=FALSE,"",HQ85*Cotations!$BI$4)</f>
        <v/>
      </c>
      <c r="HT85" s="294" t="str">
        <f t="shared" si="695"/>
        <v/>
      </c>
      <c r="HU85" s="919" t="str">
        <f>IF(A85=FALSE,"",((HG85*TAXE)-(HG85*TAXE*HI85))+IF(HM85="N/A",0,IF(INDEX(LISTES!$F$105:$F$109,MATCH(HM85,LISTES!$C$105:$C$109,0))="FIX",HN85,HO85*HL85)))</f>
        <v/>
      </c>
      <c r="IA85" s="492" t="str">
        <f>IF(A85=FALSE,"",Cotations!D85)</f>
        <v/>
      </c>
      <c r="IB85" s="491" t="str">
        <f>IF(A85=FALSE,"",IF(LISTES!$A$17=1,Cotations!AX85,Cotations!AY85))</f>
        <v/>
      </c>
      <c r="IC85" s="285" t="str">
        <f t="shared" si="696"/>
        <v/>
      </c>
      <c r="ID85" s="300" t="str">
        <f>IF(A85=FALSE,"",IF(LISTES!$A$17=3,Detail!AU85,lig1_Formula_PREVOY))</f>
        <v/>
      </c>
      <c r="IE85" s="461" t="str">
        <f t="shared" si="697"/>
        <v/>
      </c>
      <c r="IF85" s="490" t="str">
        <f>IF(A85=FALSE,"",IF(IA85="POEA",Cotations!BA85,IF(HA85="FIXE",Cotations!BB85,IF(Cotations!BC85*Y85&lt;50000,Z85,Cotations!BC85*Y85))))</f>
        <v/>
      </c>
      <c r="IG85" s="300" t="str">
        <f t="shared" si="698"/>
        <v/>
      </c>
      <c r="IH85" s="522" t="str">
        <f>IF(A85=FALSE,"",IF(Cotations!AZ85="monthly",IG85/12*L85,IG85/365*M85))</f>
        <v/>
      </c>
      <c r="II85" s="489" t="str">
        <f>IF(A85=FALSE,"",IF(Cotations!BD85="","",Cotations!BD85))</f>
        <v/>
      </c>
      <c r="IJ85" s="300" t="str">
        <f t="shared" si="699"/>
        <v/>
      </c>
      <c r="IK85" s="300" t="str">
        <f t="shared" si="700"/>
        <v/>
      </c>
      <c r="IL85" s="919" t="str">
        <f t="shared" si="701"/>
        <v/>
      </c>
      <c r="IM85" s="517" t="str">
        <f>IF(A85=FALSE,"",Cotations!BE85)</f>
        <v/>
      </c>
      <c r="IN85" s="517" t="str">
        <f>IF(A85=FALSE,"",Cotations!BF85)</f>
        <v/>
      </c>
      <c r="IO85" s="493" t="str">
        <f>IF(A85=FALSE,"",Cotations!BG85)</f>
        <v/>
      </c>
      <c r="IP85" s="517" t="str">
        <f>IF(A85=FALSE,"",IF(IM85="N/A",0,IF(INDEX(LISTES!$F$105:$F$109,MATCH(IM85,LISTES!$C$105:$C$109,0))="FIX",IF(INDEX(LISTES!$E$105:$E$109,MATCH(IM85,LISTES!$C$105:$C$109,0))=12,IN85/12*L85,IN85/365*M85),IO85*IL85)))</f>
        <v/>
      </c>
      <c r="IQ85" s="294" t="str">
        <f t="shared" si="702"/>
        <v/>
      </c>
      <c r="IR85" s="494" t="str">
        <f>IF(A85=FALSE,"",IQ85*Cotations!BH85)</f>
        <v/>
      </c>
      <c r="IS85" s="494" t="str">
        <f>IF(A85=FALSE,"",IQ85*Cotations!BI85)</f>
        <v/>
      </c>
      <c r="IT85" s="338" t="str">
        <f t="shared" si="703"/>
        <v/>
      </c>
      <c r="IU85" s="919" t="str">
        <f>IF(A85=FALSE,"",((IG85*TAXE)-(IG85*TAXE*II85))+IF(IM85="N/A",0,IF(INDEX(LISTES!$F$105:$F$109,MATCH(IM85,LISTES!$C$105:$C$109,0))="FIX",IN85,IO85*IL85)))</f>
        <v/>
      </c>
      <c r="JA85" s="492" t="str">
        <f>IF(A85=FALSE,"",Cotations!D85)</f>
        <v/>
      </c>
      <c r="JB85" s="495" t="str">
        <f>IF(A85=FALSE,"",IF(LISTES!$A$17=1,Cotations!BJ85,Cotations!$BK$4))</f>
        <v/>
      </c>
      <c r="JC85" s="291" t="str">
        <f t="shared" si="704"/>
        <v/>
      </c>
      <c r="JD85" s="291" t="str">
        <f t="shared" si="705"/>
        <v/>
      </c>
      <c r="JE85" s="456" t="str">
        <f t="shared" si="706"/>
        <v/>
      </c>
      <c r="JF85" s="496" t="str">
        <f>IF(A85=FALSE,"",IF(JA85="POEA",Cotations!BM85,IF(JA85="FIXE",Cotations!$BM$4,Cotations!$BO$4*Y85)))</f>
        <v/>
      </c>
      <c r="JG85" s="300" t="str">
        <f t="shared" si="707"/>
        <v/>
      </c>
      <c r="JH85" s="522" t="str">
        <f>IF(A85=FALSE,"",IF(Cotations!$BL$4="monthly",JG85/12*L85,JG85/365*M85))</f>
        <v/>
      </c>
      <c r="JI85" s="489" t="str">
        <f>IF(A85=FALSE,"",Cotations!$BP$4)</f>
        <v/>
      </c>
      <c r="JJ85" s="300" t="str">
        <f t="shared" si="708"/>
        <v/>
      </c>
      <c r="JK85" s="300" t="str">
        <f t="shared" si="709"/>
        <v/>
      </c>
      <c r="JL85" s="294" t="str">
        <f t="shared" si="710"/>
        <v/>
      </c>
      <c r="JM85" s="494" t="str">
        <f>IF(A85=FALSE,"",Cotations!$BQ$4)</f>
        <v/>
      </c>
      <c r="JN85" s="522" t="str">
        <f>IF(A85=FALSE,"",Cotations!$BR$4)</f>
        <v/>
      </c>
      <c r="JO85" s="489" t="str">
        <f>IF(A85=FALSE,"",Cotations!$BS$4)</f>
        <v/>
      </c>
      <c r="JP85" s="494" t="str">
        <f>IF(A85=FALSE,"",IF(JM85="N/A",0,IF(INDEX(LISTES!$F$105:$F$109,MATCH(JM85,LISTES!$C$105:$C$109,0))="FIX",IF(INDEX(LISTES!$E$105:$E$109,MATCH(JM85,LISTES!$C$105:$C$109,0))=12,JN85/12*L85,JN85/365*M85),JO85*JL85)))</f>
        <v/>
      </c>
      <c r="JQ85" s="294" t="str">
        <f t="shared" si="711"/>
        <v/>
      </c>
      <c r="JR85" s="494" t="str">
        <f>IF(A85=FALSE,"",JQ85*Cotations!$BT$4)</f>
        <v/>
      </c>
      <c r="JS85" s="494" t="str">
        <f>IF(A85=FALSE,"",JQ85*Cotations!$BU$4)</f>
        <v/>
      </c>
      <c r="JT85" s="294" t="str">
        <f t="shared" si="712"/>
        <v/>
      </c>
      <c r="JU85" s="919" t="str">
        <f>IF(A85=FALSE,"",((JG85*TAXE)-(JG85*TAXE*JI85))+IF(JM85="N/A",0,IF(INDEX(LISTES!$F$105:$F$109,MATCH(JM85,LISTES!$C$105:$C$109,0))="FIX",JN85,JO85*JL85)))</f>
        <v/>
      </c>
      <c r="KA85" s="492" t="str">
        <f>IF(A85=FALSE,"",Cotations!D85)</f>
        <v/>
      </c>
      <c r="KB85" s="491" t="str">
        <f>IF(A85=FALSE,"",IF(LISTES!$A$17=1,Cotations!BJ85,Cotations!BK85))</f>
        <v/>
      </c>
      <c r="KC85" s="285" t="str">
        <f t="shared" si="713"/>
        <v/>
      </c>
      <c r="KD85" s="300"/>
      <c r="KE85" s="461" t="str">
        <f t="shared" si="714"/>
        <v/>
      </c>
      <c r="KF85" s="490" t="str">
        <f>IF(A85=FALSE,"",IF(KA85="POEA",Cotations!BM85,IF(KA85="FIXE",Cotations!BN85,IF(Cotations!BO85*Y85&lt;50000,Z85,Cotations!BO85*Y85))))</f>
        <v/>
      </c>
      <c r="KG85" s="300" t="str">
        <f t="shared" si="715"/>
        <v/>
      </c>
      <c r="KH85" s="522" t="str">
        <f>IF(A85=FALSE,"",IF(Cotations!BL85="monthly",KG85/12*L85,KG85/365*M85))</f>
        <v/>
      </c>
      <c r="KI85" s="489" t="str">
        <f>IF(A85=FALSE,"",IF(Cotations!BP85="","",Cotations!BP85))</f>
        <v/>
      </c>
      <c r="KJ85" s="300" t="str">
        <f t="shared" si="716"/>
        <v/>
      </c>
      <c r="KK85" s="300" t="str">
        <f t="shared" si="717"/>
        <v/>
      </c>
      <c r="KL85" s="919" t="str">
        <f t="shared" si="718"/>
        <v/>
      </c>
      <c r="KM85" s="517" t="str">
        <f>IF(A85=FALSE,"",Cotations!BQ85)</f>
        <v/>
      </c>
      <c r="KN85" s="515" t="str">
        <f>IF(A85=FALSE,"",Cotations!BR85)</f>
        <v/>
      </c>
      <c r="KO85" s="493" t="str">
        <f>IF(A85=FALSE,"",Cotations!BS85)</f>
        <v/>
      </c>
      <c r="KP85" s="517" t="str">
        <f>IF(A85=FALSE,"",IF(KM85="N/A",0,IF(INDEX(LISTES!$F$105:$F$109,MATCH(KM85,LISTES!$C$105:$C$109,0))="FIX",IF(INDEX(LISTES!$E$105:$E$109,MATCH(KM85,LISTES!$C$105:$C$109,0))=12,KN85/12*L85,KN85/365*M85),KO85*KL85)))</f>
        <v/>
      </c>
      <c r="KQ85" s="294" t="str">
        <f t="shared" si="719"/>
        <v/>
      </c>
      <c r="KR85" s="494" t="str">
        <f>IF(A85=FALSE,"",KQ85*Cotations!BT85)</f>
        <v/>
      </c>
      <c r="KS85" s="494" t="str">
        <f>IF(A85=FALSE,"",KQ85*Cotations!BU85)</f>
        <v/>
      </c>
      <c r="KT85" s="338" t="str">
        <f t="shared" si="720"/>
        <v/>
      </c>
      <c r="KU85" s="919" t="str">
        <f>IF(A85=FALSE,"",((KG85*TAXE)-(KG85*TAXE*KI85))+IF(KM85="N/A",0,IF(INDEX(LISTES!$F$105:$F$109,MATCH(KM85,LISTES!$C$105:$C$109,0))="FIX",KN85,KO85*KL85)))</f>
        <v/>
      </c>
      <c r="LA85" s="497" t="str">
        <f>IF(A85=FALSE,"",Cotations!D85)</f>
        <v/>
      </c>
      <c r="LB85" s="498" t="str">
        <f>IF(A85=FALSE,"",IF(LISTES!$A$17=1,Cotations!BV85,Cotations!$BW$4))</f>
        <v/>
      </c>
      <c r="LC85" s="499" t="str">
        <f t="shared" si="721"/>
        <v/>
      </c>
      <c r="LD85" s="499" t="str">
        <f t="shared" si="722"/>
        <v/>
      </c>
      <c r="LE85" s="500" t="str">
        <f t="shared" si="723"/>
        <v/>
      </c>
      <c r="LF85" s="501" t="str">
        <f>IF(A85=FALSE,"",IF(LA85="POEA",Cotations!EJ85,IF(LA85="FIXE",Cotations!$BY$4,Cotations!$CA$4*Y85)))</f>
        <v/>
      </c>
      <c r="LG85" s="502" t="str">
        <f t="shared" si="724"/>
        <v/>
      </c>
      <c r="LH85" s="520" t="str">
        <f>IF(A85=FALSE,"",IF(Cotations!$BX$4="monthly",LG85/12*L85,LG85/365*M85))</f>
        <v/>
      </c>
      <c r="LI85" s="503" t="str">
        <f>IF(A85=FALSE,"",Cotations!$CB$4)</f>
        <v/>
      </c>
      <c r="LJ85" s="502" t="str">
        <f t="shared" si="725"/>
        <v/>
      </c>
      <c r="LK85" s="502" t="str">
        <f t="shared" si="726"/>
        <v/>
      </c>
      <c r="LL85" s="504" t="str">
        <f t="shared" si="727"/>
        <v/>
      </c>
      <c r="LM85" s="505" t="str">
        <f>IF(A85=FALSE,"",Cotations!$CC$4)</f>
        <v/>
      </c>
      <c r="LN85" s="503" t="str">
        <f>IF(A85=FALSE,"",Cotations!$CD$4)</f>
        <v/>
      </c>
      <c r="LO85" s="503" t="str">
        <f>IF(A85=FALSE,"",Cotations!$CE$4)</f>
        <v/>
      </c>
      <c r="LP85" s="505" t="str">
        <f>IF(A85=FALSE,"",IF(LM85="N/A",0,IF(INDEX(LISTES!$F$105:$F$109,MATCH(LM85,LISTES!$C$105:$C$109,0))="FIX",IF(INDEX(LISTES!$E$105:$E$109,MATCH(LM85,LISTES!$C$105:$C$109,0))=12,LN85/12*L85,LN85/365*M85),LO85*LL85)))</f>
        <v/>
      </c>
      <c r="LQ85" s="504" t="str">
        <f t="shared" si="728"/>
        <v/>
      </c>
      <c r="LR85" s="505" t="str">
        <f>IF(A85=FALSE,"",LQ85*Cotations!$CF$4)</f>
        <v/>
      </c>
      <c r="LS85" s="505" t="str">
        <f>IF(A85=FALSE,"",LQ85*Cotations!$CG$4)</f>
        <v/>
      </c>
      <c r="LT85" s="506" t="str">
        <f t="shared" si="729"/>
        <v/>
      </c>
      <c r="LU85" s="919" t="str">
        <f>IF(A85=FALSE,"",((LG85*TAXE)-(LG85*TAXE*LI85))+IF(LM85="N/A",0,IF(INDEX(LISTES!$F$105:$F$109,MATCH(LM85,LISTES!$C$105:$C$109,0))="FIX",LN85,LO85*LL85)))</f>
        <v/>
      </c>
      <c r="MA85" s="492" t="str">
        <f>IF(A85=FALSE,"",Cotations!D85)</f>
        <v/>
      </c>
      <c r="MB85" s="491" t="str">
        <f>IF(A85=FALSE,"",IF(LISTES!$A$17=1,Cotations!BV85,Cotations!BW85))</f>
        <v/>
      </c>
      <c r="MC85" s="285" t="str">
        <f t="shared" si="730"/>
        <v/>
      </c>
      <c r="MD85" s="300"/>
      <c r="ME85" s="461" t="str">
        <f t="shared" si="731"/>
        <v/>
      </c>
      <c r="MF85" s="490" t="str">
        <f>IF(A85=FALSE,"",IF(MA85="POEA",Cotations!BY85,IF(MA85="FIXE",Cotations!BZ85,IF(Cotations!CA85*Y85&lt;50000,Z85,Cotations!CA85*Y85))))</f>
        <v/>
      </c>
      <c r="MG85" s="300" t="str">
        <f t="shared" si="732"/>
        <v/>
      </c>
      <c r="MH85" s="522" t="str">
        <f>IF(A85=FALSE,"",IF(Cotations!BX85="monthly",MG85/12*L85,MG85/365*M85))</f>
        <v/>
      </c>
      <c r="MI85" s="489" t="str">
        <f>IF(A85=FALSE,"",IF(Cotations!CB85="","",Cotations!CB85))</f>
        <v/>
      </c>
      <c r="MJ85" s="300" t="str">
        <f t="shared" si="733"/>
        <v/>
      </c>
      <c r="MK85" s="300" t="str">
        <f t="shared" si="734"/>
        <v/>
      </c>
      <c r="ML85" s="919" t="str">
        <f t="shared" si="735"/>
        <v/>
      </c>
      <c r="MM85" s="517" t="str">
        <f>IF(A85=FALSE,"",Cotations!CC85)</f>
        <v/>
      </c>
      <c r="MN85" s="515" t="str">
        <f>IF(A85=FALSE,"",Cotations!CD85)</f>
        <v/>
      </c>
      <c r="MO85" s="493" t="str">
        <f>IF(A85=FALSE,"",Cotations!CE85)</f>
        <v/>
      </c>
      <c r="MP85" s="517" t="str">
        <f>IF(A85=FALSE,"",IF(MM85="N/A",0,IF(INDEX(LISTES!$F$105:$F$109,MATCH(MM85,LISTES!$C$105:$C$109,0))="FIX",IF(INDEX(LISTES!$E$105:$E$109,MATCH(MM85,LISTES!$C$105:$C$109,0))=12,MN85/12*L85,MN85/365*M85),MO85*ML85)))</f>
        <v/>
      </c>
      <c r="MQ85" s="294" t="str">
        <f t="shared" si="736"/>
        <v/>
      </c>
      <c r="MR85" s="494" t="str">
        <f>IF(A85=FALSE,"",MQ85*Cotations!CF85)</f>
        <v/>
      </c>
      <c r="MS85" s="494" t="str">
        <f>IF(A85=FALSE,"",MQ85*Cotations!CG85)</f>
        <v/>
      </c>
      <c r="MT85" s="338" t="str">
        <f t="shared" si="737"/>
        <v/>
      </c>
      <c r="MU85" s="919" t="str">
        <f>IF(A85=FALSE,"",((MG85*TAXE)-(MG85*TAXE*MI85))+IF(MM85="N/A",0,IF(INDEX(LISTES!$F$105:$F$109,MATCH(MM85,LISTES!$C$105:$C$109,0))="FIX",MN85,MO85*ML85)))</f>
        <v/>
      </c>
      <c r="NA85" s="497" t="str">
        <f>IF(A85=FALSE,"",Cotations!D85)</f>
        <v/>
      </c>
      <c r="NB85" s="498" t="str">
        <f>IF(A85=FALSE,"",IF(LISTES!$A$17=1,Cotations!CH85,Cotations!$CI$4))</f>
        <v/>
      </c>
      <c r="NC85" s="499" t="str">
        <f t="shared" si="738"/>
        <v/>
      </c>
      <c r="ND85" s="499" t="str">
        <f t="shared" si="739"/>
        <v/>
      </c>
      <c r="NE85" s="500" t="str">
        <f t="shared" si="740"/>
        <v/>
      </c>
      <c r="NF85" s="501" t="str">
        <f>IF(A85=FALSE,"",IF(NA85="POEA",Cotations!CK85,IF(NA85="FIXE",Cotations!$CK$4,Cotations!$CM$4*Y85)))</f>
        <v/>
      </c>
      <c r="NG85" s="502" t="str">
        <f t="shared" si="741"/>
        <v/>
      </c>
      <c r="NH85" s="520" t="str">
        <f>IF(A85=FALSE,"",IF(Cotations!$CJ$4="monthly",NG85/12*L85,NG85/365*M85))</f>
        <v/>
      </c>
      <c r="NI85" s="503" t="str">
        <f>IF(A85=FALSE,"",Cotations!$CN$4)</f>
        <v/>
      </c>
      <c r="NJ85" s="502" t="str">
        <f t="shared" si="742"/>
        <v/>
      </c>
      <c r="NK85" s="502" t="str">
        <f t="shared" si="743"/>
        <v/>
      </c>
      <c r="NL85" s="504" t="str">
        <f t="shared" si="744"/>
        <v/>
      </c>
      <c r="NM85" s="505" t="str">
        <f>IF(A85=FALSE,"",Cotations!$CO$4)</f>
        <v/>
      </c>
      <c r="NN85" s="520" t="str">
        <f>IF(A85=FALSE,"",Cotations!$CP$4)</f>
        <v/>
      </c>
      <c r="NO85" s="503" t="str">
        <f>IF(A85=FALSE,"",Cotations!$CQ$4)</f>
        <v/>
      </c>
      <c r="NP85" s="505" t="str">
        <f>IF(A85=FALSE,"",IF(NM85="N/A",0,IF(INDEX(LISTES!$F$105:$F$109,MATCH(NM85,LISTES!$C$105:$C$109,0))="FIX",IF(INDEX(LISTES!$E$105:$E$109,MATCH(NM85,LISTES!$C$105:$C$109,0))=12,NN85/12*L85,NN85/365*M85),NO85*NL85)))</f>
        <v/>
      </c>
      <c r="NQ85" s="504" t="str">
        <f t="shared" si="745"/>
        <v/>
      </c>
      <c r="NR85" s="505" t="str">
        <f>IF(A85=FALSE,"",NQ85*Cotations!$CR$4)</f>
        <v/>
      </c>
      <c r="NS85" s="505" t="str">
        <f>IF(A85=FALSE,"",NQ85*Cotations!$CS$4)</f>
        <v/>
      </c>
      <c r="NT85" s="506" t="str">
        <f t="shared" si="746"/>
        <v/>
      </c>
      <c r="NU85" s="919" t="str">
        <f>IF(A85=FALSE,"",((NG85*TAXE)-(NG85*TAXE*NI85))+IF(NM85="N/A",0,IF(INDEX(LISTES!$F$105:$F$109,MATCH(NM85,LISTES!$C$105:$C$109,0))="FIX",NN85,NO85*NL85)))</f>
        <v/>
      </c>
      <c r="OA85" s="492" t="str">
        <f>IF(A85=FALSE,"",Cotations!D85)</f>
        <v/>
      </c>
      <c r="OB85" s="491" t="str">
        <f>IF(A85=FALSE,"",IF(LISTES!$A$17=1,Cotations!CH85,Cotations!CI85))</f>
        <v/>
      </c>
      <c r="OC85" s="285" t="str">
        <f t="shared" si="747"/>
        <v/>
      </c>
      <c r="OD85" s="300"/>
      <c r="OE85" s="461" t="str">
        <f t="shared" si="748"/>
        <v/>
      </c>
      <c r="OF85" s="490" t="str">
        <f>IF(A85=FALSE,"",IF(OA85="POEA",Cotations!CK85,IF(OA85="FIXE",Cotations!CL85,IF(Cotations!CM85*Y85&lt;50000,Z85,Cotations!CM85*Y85))))</f>
        <v/>
      </c>
      <c r="OG85" s="300" t="str">
        <f t="shared" si="749"/>
        <v/>
      </c>
      <c r="OH85" s="522" t="str">
        <f>IF(A85=FALSE,"",IF(Cotations!CJ85="monthly",OG85/12*L85,OG85/365*M85))</f>
        <v/>
      </c>
      <c r="OI85" s="489" t="str">
        <f>IF(A85=FALSE,"",IF(Cotations!CN85="","",Cotations!CN85))</f>
        <v/>
      </c>
      <c r="OJ85" s="300" t="str">
        <f t="shared" si="750"/>
        <v/>
      </c>
      <c r="OK85" s="300" t="str">
        <f t="shared" si="751"/>
        <v/>
      </c>
      <c r="OL85" s="919" t="str">
        <f t="shared" si="752"/>
        <v/>
      </c>
      <c r="OM85" s="517" t="str">
        <f>IF(A85=FALSE,"",Cotations!CO85)</f>
        <v/>
      </c>
      <c r="ON85" s="515" t="str">
        <f>IF(A85=FALSE,"",Cotations!CP85)</f>
        <v/>
      </c>
      <c r="OO85" s="493" t="str">
        <f>IF(A85=FALSE,"",Cotations!CQ85)</f>
        <v/>
      </c>
      <c r="OP85" s="517" t="str">
        <f>IF(A85=FALSE,"",IF(OM85="N/A",0,IF(INDEX(LISTES!$F$105:$F$109,MATCH(OM85,LISTES!$C$105:$C$109,0))="FIX",IF(INDEX(LISTES!$E$105:$E$109,MATCH(OM85,LISTES!$C$105:$C$109,0))=12,ON85/12*L85,ON85/365*M85),OO85*OL85)))</f>
        <v/>
      </c>
      <c r="OQ85" s="294" t="str">
        <f t="shared" si="753"/>
        <v/>
      </c>
      <c r="OR85" s="494" t="str">
        <f>IF(A85=FALSE,"",OQ85*Cotations!CR85)</f>
        <v/>
      </c>
      <c r="OS85" s="494" t="str">
        <f>IF(A85=FALSE,"",OQ85*Cotations!CS85)</f>
        <v/>
      </c>
      <c r="OT85" s="338" t="str">
        <f t="shared" si="754"/>
        <v/>
      </c>
      <c r="OU85" s="919" t="str">
        <f>IF(A85=FALSE,"",((OG85*TAXE)-(OG85*TAXE*OI85))+IF(OM85="N/A",0,IF(INDEX(LISTES!$F$105:$F$109,MATCH(OM85,LISTES!$C$105:$C$109,0))="FIX",ON85,OO85*OL85)))</f>
        <v/>
      </c>
      <c r="PA85" s="497" t="str">
        <f t="shared" si="755"/>
        <v/>
      </c>
      <c r="PB85" s="498" t="str">
        <f>IF(A85=FALSE,"",IF(LISTES!$A$17=1,Cotations!CT85,Cotations!$CU$4))</f>
        <v/>
      </c>
      <c r="PC85" s="499" t="str">
        <f t="shared" si="756"/>
        <v/>
      </c>
      <c r="PD85" s="499" t="str">
        <f t="shared" si="757"/>
        <v/>
      </c>
      <c r="PE85" s="500" t="str">
        <f t="shared" si="758"/>
        <v/>
      </c>
      <c r="PF85" s="501" t="str">
        <f>IF(A85=FALSE,"",Cotations!$CY$4*Y85)</f>
        <v/>
      </c>
      <c r="PG85" s="502" t="str">
        <f t="shared" si="759"/>
        <v/>
      </c>
      <c r="PH85" s="520" t="str">
        <f>IF(A85=FALSE,"",IF(Cotations!$CV$4="monthly",PG85/12*L85,PG85/365*M85))</f>
        <v/>
      </c>
      <c r="PI85" s="503" t="str">
        <f>IF(A85=FALSE,"",Cotations!$CZ$4)</f>
        <v/>
      </c>
      <c r="PJ85" s="502" t="str">
        <f t="shared" si="760"/>
        <v/>
      </c>
      <c r="PK85" s="502" t="str">
        <f t="shared" si="761"/>
        <v/>
      </c>
      <c r="PL85" s="504" t="str">
        <f t="shared" si="762"/>
        <v/>
      </c>
      <c r="PM85" s="505" t="str">
        <f>IF(A85=FALSE,"",Cotations!$DA$4)</f>
        <v/>
      </c>
      <c r="PN85" s="520" t="str">
        <f>IF(A85=FALSE,"",Cotations!$DB$4)</f>
        <v/>
      </c>
      <c r="PO85" s="503" t="str">
        <f>IF(A85=FALSE,"",Cotations!$DC$4)</f>
        <v/>
      </c>
      <c r="PP85" s="505" t="str">
        <f>IF(A85=FALSE,"",IF(PM85="N/A",0,IF(INDEX(LISTES!$F$105:$F$109,MATCH(PM85,LISTES!$C$105:$C$109,0))="FIX",IF(INDEX(LISTES!$E$105:$E$109,MATCH(PM85,LISTES!$C$105:$C$109,0))=12,PN85/12*L85,PN85/365*M85),PO85*PL85)))</f>
        <v/>
      </c>
      <c r="PQ85" s="504" t="str">
        <f t="shared" si="763"/>
        <v/>
      </c>
      <c r="PR85" s="505" t="str">
        <f>IF(A85=FALSE,"",PQ85*Cotations!$DD$4)</f>
        <v/>
      </c>
      <c r="PS85" s="505" t="str">
        <f>IF(A85=FALSE,"",PQ85*Cotations!$DE$4)</f>
        <v/>
      </c>
      <c r="PT85" s="506" t="str">
        <f t="shared" si="764"/>
        <v/>
      </c>
      <c r="PU85" s="919" t="str">
        <f>IF(A85=FALSE,"",((PG85*TAXE)-(PG85*TAXE*PI85))+IF(PM85="N/A",0,IF(INDEX(LISTES!$F$105:$F$109,MATCH(PM85,LISTES!$C$105:$C$109,0))="FIX",PN85,PO85*PL85)))</f>
        <v/>
      </c>
      <c r="QA85" s="492" t="str">
        <f t="shared" si="765"/>
        <v/>
      </c>
      <c r="QB85" s="491" t="str">
        <f>IF(A85=FALSE,"",IF(LISTES!$A$17=1,Cotations!CT85,Cotations!CU85))</f>
        <v/>
      </c>
      <c r="QC85" s="285" t="str">
        <f t="shared" si="766"/>
        <v/>
      </c>
      <c r="QD85" s="300"/>
      <c r="QE85" s="461" t="str">
        <f t="shared" si="767"/>
        <v/>
      </c>
      <c r="QF85" s="490" t="str">
        <f>IF(A85=FALSE,"",Cotations!CY85*AA85)</f>
        <v/>
      </c>
      <c r="QG85" s="300" t="str">
        <f t="shared" si="768"/>
        <v/>
      </c>
      <c r="QH85" s="522" t="str">
        <f>IF(A85=FALSE,"",IF(Cotations!CV85="monthly",QG85/12*L85,QG85/365*M85))</f>
        <v/>
      </c>
      <c r="QI85" s="489" t="str">
        <f>IF(A85=FALSE,"",IF(Cotations!CZ85="","",Cotations!CZ85))</f>
        <v/>
      </c>
      <c r="QJ85" s="300" t="str">
        <f t="shared" si="769"/>
        <v/>
      </c>
      <c r="QK85" s="300" t="str">
        <f t="shared" si="770"/>
        <v/>
      </c>
      <c r="QL85" s="919" t="str">
        <f t="shared" si="771"/>
        <v/>
      </c>
      <c r="QM85" s="517" t="str">
        <f>IF(A85=FALSE,"",Cotations!DA85)</f>
        <v/>
      </c>
      <c r="QN85" s="515" t="str">
        <f>IF(A85=FALSE,"",Cotations!DB85)</f>
        <v/>
      </c>
      <c r="QO85" s="493" t="str">
        <f>IF(A85=FALSE,"",Cotations!DC85)</f>
        <v/>
      </c>
      <c r="QP85" s="517" t="str">
        <f>IF(A85=FALSE,"",IF(QM85="N/A",0,IF(INDEX(LISTES!$F$105:$F$109,MATCH(QM85,LISTES!$C$105:$C$109,0))="FIX",IF(INDEX(LISTES!$E$105:$E$109,MATCH(QM85,LISTES!$C$105:$C$109,0))=12,QN85/12*L85,QN85/365*M85),QO85*QL85)))</f>
        <v/>
      </c>
      <c r="QQ85" s="294" t="str">
        <f t="shared" si="772"/>
        <v/>
      </c>
      <c r="QR85" s="494" t="str">
        <f>IF(A85=FALSE,"",QQ85*Cotations!DD85)</f>
        <v/>
      </c>
      <c r="QS85" s="494" t="str">
        <f>IF(A85=FALSE,"",QQ85*Cotations!DE85)</f>
        <v/>
      </c>
      <c r="QT85" s="338" t="str">
        <f t="shared" si="773"/>
        <v/>
      </c>
      <c r="QU85" s="919" t="str">
        <f>IF(A85=FALSE,"",((QG85*TAXE)-(QG85*TAXE*QI85))+IF(QM85="N/A",0,IF(INDEX(LISTES!$F$105:$F$109,MATCH(QM85,LISTES!$C$105:$C$109,0))="FIX",QN85,QO85*QL85)))</f>
        <v/>
      </c>
      <c r="RA85" s="497" t="str">
        <f t="shared" si="774"/>
        <v/>
      </c>
      <c r="RB85" s="498" t="str">
        <f>IF(A85=FALSE,"",IF(LISTES!$A$17=1,Cotations!DF85,Cotations!$DG$4))</f>
        <v/>
      </c>
      <c r="RC85" s="499" t="str">
        <f t="shared" si="775"/>
        <v/>
      </c>
      <c r="RD85" s="499" t="str">
        <f t="shared" si="776"/>
        <v/>
      </c>
      <c r="RE85" s="500" t="str">
        <f t="shared" si="777"/>
        <v/>
      </c>
      <c r="RF85" s="501" t="str">
        <f>IF(A85=FALSE,"",Cotations!$DK$4*Y85)</f>
        <v/>
      </c>
      <c r="RG85" s="502" t="str">
        <f t="shared" si="778"/>
        <v/>
      </c>
      <c r="RH85" s="520" t="str">
        <f>IF(A85=FALSE,"",IF(Cotations!$DH$4="monthly",RG85/12*L85,RG85/365*M85))</f>
        <v/>
      </c>
      <c r="RI85" s="503" t="str">
        <f>IF(A85=FALSE,"",Cotations!$DL$4)</f>
        <v/>
      </c>
      <c r="RJ85" s="502" t="str">
        <f t="shared" si="779"/>
        <v/>
      </c>
      <c r="RK85" s="502" t="str">
        <f t="shared" si="780"/>
        <v/>
      </c>
      <c r="RL85" s="504" t="str">
        <f t="shared" si="781"/>
        <v/>
      </c>
      <c r="RM85" s="505" t="str">
        <f>IF(A85=FALSE,"",Cotations!$DM$4)</f>
        <v/>
      </c>
      <c r="RN85" s="520" t="str">
        <f>IF(A85=FALSE,"",Cotations!$DN$4)</f>
        <v/>
      </c>
      <c r="RO85" s="503" t="str">
        <f>IF(A85=FALSE,"",Cotations!$DO$4)</f>
        <v/>
      </c>
      <c r="RP85" s="505" t="str">
        <f>IF(A85=FALSE,"",IF(RM85="N/A",0,IF(INDEX(LISTES!$F$105:$F$109,MATCH(RM85,LISTES!$C$105:$C$109,0))="FIX",IF(INDEX(LISTES!$E$105:$E$109,MATCH(RM85,LISTES!$C$105:$C$109,0))=12,RN85/12*L85,RN85/365*M85),RO85*RL85)))</f>
        <v/>
      </c>
      <c r="RQ85" s="504" t="str">
        <f t="shared" si="782"/>
        <v/>
      </c>
      <c r="RR85" s="505" t="str">
        <f>IF(A85=FALSE,"",RQ85*Cotations!$DP$4)</f>
        <v/>
      </c>
      <c r="RS85" s="505" t="str">
        <f>IF(A85=FALSE,"",RQ85*Cotations!$DQ$4)</f>
        <v/>
      </c>
      <c r="RT85" s="506" t="str">
        <f t="shared" si="783"/>
        <v/>
      </c>
      <c r="RU85" s="919" t="str">
        <f>IF(A85=FALSE,"",((RG85*TAXE)-(RG85*TAXE*RI85))+IF(RM85="N/A",0,IF(INDEX(LISTES!$F$105:$F$109,MATCH(RM85,LISTES!$C$105:$C$109,0))="FIX",RN85,RO85*RL85)))</f>
        <v/>
      </c>
      <c r="SA85" s="492" t="str">
        <f t="shared" si="784"/>
        <v/>
      </c>
      <c r="SB85" s="491" t="str">
        <f>IF(A85=FALSE,"",IF(LISTES!$A$17=1,Cotations!DF85,Cotations!DG85))</f>
        <v/>
      </c>
      <c r="SC85" s="285" t="str">
        <f t="shared" si="785"/>
        <v/>
      </c>
      <c r="SD85" s="300"/>
      <c r="SE85" s="461" t="str">
        <f t="shared" si="786"/>
        <v/>
      </c>
      <c r="SF85" s="490" t="str">
        <f>IF(A85=FALSE,"",Cotations!DK85*AA85)</f>
        <v/>
      </c>
      <c r="SG85" s="300" t="str">
        <f t="shared" si="787"/>
        <v/>
      </c>
      <c r="SH85" s="522" t="str">
        <f>IF(A85=FALSE,"",IF(Cotations!DH85="monthly",SG85/12*L85,SG85/365*M85))</f>
        <v/>
      </c>
      <c r="SI85" s="489" t="str">
        <f>IF(A85=FALSE,"",IF(Cotations!DL85="","",Cotations!DL85))</f>
        <v/>
      </c>
      <c r="SJ85" s="300" t="str">
        <f t="shared" si="788"/>
        <v/>
      </c>
      <c r="SK85" s="300" t="str">
        <f t="shared" si="789"/>
        <v/>
      </c>
      <c r="SL85" s="919" t="str">
        <f t="shared" si="790"/>
        <v/>
      </c>
      <c r="SM85" s="285" t="str">
        <f>IF(A85=FALSE,"",Cotations!DM85)</f>
        <v/>
      </c>
      <c r="SN85" s="515" t="str">
        <f>IF(A85=FALSE,"",Cotations!DN85)</f>
        <v/>
      </c>
      <c r="SO85" s="493" t="str">
        <f>IF(A85=FALSE,"",Cotations!DO85)</f>
        <v/>
      </c>
      <c r="SP85" s="517" t="str">
        <f>IF(A85=FALSE,"",IF(SM85="N/A",0,IF(INDEX(LISTES!$F$105:$F$109,MATCH(SM85,LISTES!$C$105:$C$109,0))="FIX",IF(INDEX(LISTES!$E$105:$E$109,MATCH(SM85,LISTES!$C$105:$C$109,0))=12,SN85/12*L85,SN85/365*M85),SO85*SL85)))</f>
        <v/>
      </c>
      <c r="SQ85" s="294" t="str">
        <f t="shared" si="791"/>
        <v/>
      </c>
      <c r="SR85" s="494" t="str">
        <f>IF(A85=FALSE,"",SQ85*Cotations!DP85)</f>
        <v/>
      </c>
      <c r="SS85" s="494" t="str">
        <f>IF(A85=FALSE,"",SQ85*Cotations!DQ85)</f>
        <v/>
      </c>
      <c r="ST85" s="338" t="str">
        <f t="shared" si="792"/>
        <v/>
      </c>
      <c r="SU85" s="919" t="str">
        <f>IF(A85=FALSE,"",((SG85*TAXE)-(SG85*TAXE*SI85))+IF(SM85="N/A",0,IF(INDEX(LISTES!$F$105:$F$109,MATCH(SM85,LISTES!$C$105:$C$109,0))="FIX",SN85,SO85*SL85)))</f>
        <v/>
      </c>
      <c r="TA85" s="492" t="str">
        <f>IF(A85=FALSE,"",Cotations!D85)</f>
        <v/>
      </c>
      <c r="TB85" s="491" t="str">
        <f>IF(A85=FALSE,"",IF(LISTES!$A$17=1,Cotations!DR85,Cotations!DS85))</f>
        <v/>
      </c>
      <c r="TC85" s="285" t="str">
        <f t="shared" si="793"/>
        <v/>
      </c>
      <c r="TD85" s="300" t="str">
        <f>IF(A85=FALSE,"",Detail!CQ85)</f>
        <v/>
      </c>
      <c r="TE85" s="461" t="str">
        <f t="shared" si="794"/>
        <v/>
      </c>
      <c r="TF85" s="490" t="str">
        <f>IF(A85=FALSE,"",IF(TA85="FIXE",Cotations!DU85,Cotations!DV85*Y85))</f>
        <v/>
      </c>
      <c r="TG85" s="300" t="str">
        <f t="shared" si="795"/>
        <v/>
      </c>
      <c r="TH85" s="522" t="str">
        <f>IF(A85=FALSE,"",IF(Cotations!DT85="monthly",TG85/12*L85,TG85/365*M85))</f>
        <v/>
      </c>
      <c r="TI85" s="489" t="str">
        <f>IF(A85=FALSE,"",IF(Cotations!DW85="","",Cotations!DW85))</f>
        <v/>
      </c>
      <c r="TJ85" s="300" t="str">
        <f t="shared" si="796"/>
        <v/>
      </c>
      <c r="TK85" s="300" t="str">
        <f t="shared" si="797"/>
        <v/>
      </c>
      <c r="TL85" s="919" t="str">
        <f t="shared" si="798"/>
        <v/>
      </c>
      <c r="TM85" s="517" t="str">
        <f>IF(A85=FALSE,"",Cotations!DX85)</f>
        <v/>
      </c>
      <c r="TN85" s="517" t="str">
        <f>IF(A85=FALSE,"",Cotations!DY85)</f>
        <v/>
      </c>
      <c r="TO85" s="493" t="str">
        <f>IF(A85=FALSE,"",Cotations!DZ85)</f>
        <v/>
      </c>
      <c r="TP85" s="517" t="str">
        <f>IF(A85=FALSE,"",IF(TM85="N/A",0,IF(INDEX(LISTES!$F$105:$F$109,MATCH(TM85,LISTES!$C$105:$C$109,0))="FIX",IF(INDEX(LISTES!$E$105:$E$109,MATCH(TM85,LISTES!$C$105:$C$109,0))=12,TN85/12*L85,TN85/365*M85),TO85*TL85)))</f>
        <v/>
      </c>
      <c r="TQ85" s="294" t="str">
        <f t="shared" si="799"/>
        <v/>
      </c>
      <c r="TR85" s="494" t="str">
        <f>IF(A85=FALSE,"",TQ85*Cotations!EA85)</f>
        <v/>
      </c>
      <c r="TS85" s="494" t="str">
        <f>IF(A85=FALSE,"",TQ85*Cotations!EB85)</f>
        <v/>
      </c>
      <c r="TT85" s="338" t="str">
        <f t="shared" si="800"/>
        <v/>
      </c>
      <c r="TU85" s="919" t="str">
        <f>IF(A85=FALSE,"",((TG85*(1+TAXE)-(TG85*(1+TAXE)*TI85))+IF(TM85="N/A",0,IF(INDEX(LISTES!$F$105:$F$109,MATCH(TM85,LISTES!$C$105:$C$109,0))="FIX",TN85,TO85*TL85))))</f>
        <v/>
      </c>
      <c r="UA85" s="492" t="str">
        <f>IF(A85=FALSE,"",Cotations!D85)</f>
        <v/>
      </c>
      <c r="UB85" s="491" t="str">
        <f>IF(A85=FALSE,"",IF(LISTES!$A$17=1,Cotations!EC85,Cotations!ED85))</f>
        <v/>
      </c>
      <c r="UC85" s="285" t="str">
        <f t="shared" si="801"/>
        <v/>
      </c>
      <c r="UD85" s="300" t="str">
        <f>IF(A85=FALSE,"",Detail!CY85)</f>
        <v/>
      </c>
      <c r="UE85" s="461" t="str">
        <f t="shared" si="802"/>
        <v/>
      </c>
      <c r="UF85" s="490" t="str">
        <f>IF(A85=FALSE,"",IF(UA85="FIXE",Cotations!EF85,Cotations!EG85*Y85))</f>
        <v/>
      </c>
      <c r="UG85" s="300" t="str">
        <f t="shared" si="803"/>
        <v/>
      </c>
      <c r="UH85" s="522" t="str">
        <f>IF(A85=FALSE,"",IF(Cotations!EE85="monthly",UG85/12*L85,UG85/365*M85))</f>
        <v/>
      </c>
      <c r="UI85" s="489" t="str">
        <f>IF(A85=FALSE,"",IF(Cotations!EH85="","",Cotations!EH85))</f>
        <v/>
      </c>
      <c r="UJ85" s="300" t="str">
        <f t="shared" si="804"/>
        <v/>
      </c>
      <c r="UK85" s="300" t="str">
        <f t="shared" si="805"/>
        <v/>
      </c>
      <c r="UL85" s="919" t="str">
        <f t="shared" si="806"/>
        <v/>
      </c>
      <c r="UM85" s="517" t="str">
        <f>IF(A85=FALSE,"",Cotations!EI85)</f>
        <v/>
      </c>
      <c r="UN85" s="517" t="str">
        <f>IF(A85=FALSE,"",Cotations!EJ85)</f>
        <v/>
      </c>
      <c r="UO85" s="493" t="str">
        <f>IF(A85=FALSE,"",Cotations!EK85)</f>
        <v/>
      </c>
      <c r="UP85" s="517" t="str">
        <f>IF(A85=FALSE,"",IF(UM85="N/A",0,IF(INDEX(LISTES!$F$105:$F$109,MATCH(UM85,LISTES!$C$105:$C$109,0))="FIX",IF(INDEX(LISTES!$E$105:$E$109,MATCH(UM85,LISTES!$C$105:$C$109,0))=12,UN85/12*L85,UN85/365*M85),UO85*UL85)))</f>
        <v/>
      </c>
      <c r="UQ85" s="294" t="str">
        <f t="shared" si="807"/>
        <v/>
      </c>
      <c r="UR85" s="494" t="str">
        <f>IF(A85=FALSE,"",UQ85*Cotations!EL85)</f>
        <v/>
      </c>
      <c r="US85" s="494" t="str">
        <f>IF(A85=FALSE,"",UQ85*Cotations!EM85)</f>
        <v/>
      </c>
      <c r="UT85" s="338" t="str">
        <f t="shared" si="808"/>
        <v/>
      </c>
      <c r="UU85" s="919" t="str">
        <f>IF(A85=FALSE,"",((UG85*(1+TAXE)-(UG85*(1+TAXE)*UI85))+IF(UM85="N/A",0,IF(INDEX(LISTES!$F$105:$F$109,MATCH(UM85,LISTES!$C$105:$C$109,0))="FIX",UN85,UO85*UL85))))</f>
        <v/>
      </c>
      <c r="VA85" s="492" t="str">
        <f>IF(A85=FALSE,"",Cotations!D85)</f>
        <v/>
      </c>
      <c r="VB85" s="519" t="str">
        <f>IF(A85=FALSE,"",IF(LISTES!$A$17=1,Cotations!EN85,Cotations!EO85))</f>
        <v/>
      </c>
      <c r="VC85" s="291" t="str">
        <f t="shared" si="809"/>
        <v/>
      </c>
      <c r="VD85" s="291" t="str">
        <f t="shared" si="810"/>
        <v/>
      </c>
      <c r="VE85" s="291"/>
      <c r="VF85" s="463"/>
      <c r="VG85" s="463" t="str">
        <f t="shared" si="811"/>
        <v/>
      </c>
      <c r="VH85" s="522" t="str">
        <f>IF(A85=FALSE,"",IF(Cotations!$AQ$4="monthly",VG85/12*L85,VG85/365*M85))</f>
        <v/>
      </c>
      <c r="VI85" s="489" t="str">
        <f>IF(A85=FALSE,"",Cotations!$AR$4)</f>
        <v/>
      </c>
      <c r="VJ85" s="300" t="str">
        <f t="shared" si="812"/>
        <v/>
      </c>
      <c r="VK85" s="300" t="str">
        <f t="shared" si="813"/>
        <v/>
      </c>
      <c r="VL85" s="294" t="str">
        <f t="shared" si="814"/>
        <v/>
      </c>
      <c r="VM85" s="494" t="str">
        <f>IF(A85=FALSE,"",Cotations!$AS$4)</f>
        <v/>
      </c>
      <c r="VN85" s="494" t="str">
        <f>IF(A85=FALSE,"",Cotations!$AT$4)</f>
        <v/>
      </c>
      <c r="VO85" s="489" t="str">
        <f>IF(A85=FALSE,"",Cotations!$AU$4)</f>
        <v/>
      </c>
      <c r="VP85" s="494" t="str">
        <f>IF(A85=FALSE,"",IF(VM85="N/A",0,IF(INDEX(LISTES!$F$105:$F$109,MATCH(VM85,LISTES!$C$105:$C$109,0))="FIX",IF(INDEX(LISTES!$E$105:$E$109,MATCH(VM85,LISTES!$C$105:$C$109,0))=12,VN85/12*L85,VN85/365*M85),VO85*VL85)))</f>
        <v/>
      </c>
      <c r="VQ85" s="294" t="str">
        <f t="shared" si="815"/>
        <v/>
      </c>
      <c r="VR85" s="494" t="str">
        <f>IF(A85=FALSE,"",VQ85*Cotations!$AV$4)</f>
        <v/>
      </c>
      <c r="VS85" s="494" t="str">
        <f>IF(A85=FALSE,"",VQ85*Cotations!$AW$4)</f>
        <v/>
      </c>
      <c r="VT85" s="465" t="str">
        <f t="shared" si="816"/>
        <v/>
      </c>
      <c r="VU85" s="919" t="str">
        <f>IF(A85=FALSE,"",((VG85*TAXE)-(VG85*TAXE*VI85))+IF(VM85="N/A",0,IF(INDEX(LISTES!$F$105:$F$109,MATCH(VM85,LISTES!$C$105:$C$109,0))="FIX",VN85,VO85*VL85)))</f>
        <v/>
      </c>
      <c r="WA85" s="492" t="str">
        <f>IF(A85=FALSE,"",Cotations!D85)</f>
        <v/>
      </c>
      <c r="WB85" s="519" t="str">
        <f>IF(A85=FALSE,"",IF(LISTES!$A$17=1,Cotations!EW85,Cotations!EX85))</f>
        <v/>
      </c>
      <c r="WC85" s="291" t="str">
        <f t="shared" si="817"/>
        <v/>
      </c>
      <c r="WD85" s="291" t="str">
        <f t="shared" si="818"/>
        <v/>
      </c>
      <c r="WE85" s="291"/>
      <c r="WF85" s="463"/>
      <c r="WG85" s="463" t="str">
        <f t="shared" si="819"/>
        <v/>
      </c>
      <c r="WH85" s="522" t="str">
        <f>IF(A85=FALSE,"",IF(Cotations!$AQ$4="monthly",WG85/12*L85,WG85/365*M85))</f>
        <v/>
      </c>
      <c r="WI85" s="489" t="str">
        <f>IF(A85=FALSE,"",Cotations!$AR$4)</f>
        <v/>
      </c>
      <c r="WJ85" s="300" t="str">
        <f t="shared" si="820"/>
        <v/>
      </c>
      <c r="WK85" s="300" t="str">
        <f t="shared" si="821"/>
        <v/>
      </c>
      <c r="WL85" s="294" t="str">
        <f t="shared" si="822"/>
        <v/>
      </c>
      <c r="WM85" s="494" t="str">
        <f>IF(A85=FALSE,"",Cotations!$AS$4)</f>
        <v/>
      </c>
      <c r="WN85" s="494" t="str">
        <f>IF(A85=FALSE,"",Cotations!$AT$4)</f>
        <v/>
      </c>
      <c r="WO85" s="489" t="str">
        <f>IF(A85=FALSE,"",Cotations!$AU$4)</f>
        <v/>
      </c>
      <c r="WP85" s="494" t="str">
        <f>IF(A85=FALSE,"",IF(WM85="N/A",0,IF(INDEX(LISTES!$F$105:$F$109,MATCH(WM85,LISTES!$C$105:$C$109,0))="FIX",IF(INDEX(LISTES!$E$105:$E$109,MATCH(WM85,LISTES!$C$105:$C$109,0))=12,WN85/12*L85,WN85/365*M85),WO85*WL85)))</f>
        <v/>
      </c>
      <c r="WQ85" s="294" t="str">
        <f t="shared" si="823"/>
        <v/>
      </c>
      <c r="WR85" s="494" t="str">
        <f>IF(A85=FALSE,"",WQ85*Cotations!$AV$4)</f>
        <v/>
      </c>
      <c r="WS85" s="494" t="str">
        <f>IF(A85=FALSE,"",WQ85*Cotations!$AW$4)</f>
        <v/>
      </c>
      <c r="WT85" s="465" t="str">
        <f t="shared" si="824"/>
        <v/>
      </c>
      <c r="WU85" s="919" t="str">
        <f>IF(A85=FALSE,"",((WG85*TAXE)-(WG85*TAXE*WI85))+IF(WM85="N/A",0,IF(INDEX(LISTES!$F$105:$F$109,MATCH(WM85,LISTES!$C$105:$C$109,0))="FIX",WN85,WO85*WL85)))</f>
        <v/>
      </c>
    </row>
    <row r="86" spans="1:619">
      <c r="A86" s="942" t="b">
        <f t="shared" si="629"/>
        <v>0</v>
      </c>
      <c r="B86" s="942" t="b">
        <f>IF(NAMES!$B$9=TRUE,TRUE,FALSE)</f>
        <v>1</v>
      </c>
      <c r="C86" s="942" t="b">
        <f t="shared" si="825"/>
        <v>0</v>
      </c>
      <c r="D86" s="942" t="b">
        <f t="shared" si="826"/>
        <v>0</v>
      </c>
      <c r="E86" s="274" t="b">
        <f>IF(Cotations!C86="","",Cotations!C86)</f>
        <v>0</v>
      </c>
      <c r="F86" s="274" t="str">
        <f>IF(Cotations!D86="","",Cotations!D86)</f>
        <v>PROP</v>
      </c>
      <c r="G86" s="274" t="str">
        <f>IF(Cotations!E86="","",Cotations!E86)</f>
        <v>2016-2017!</v>
      </c>
      <c r="H86" s="274" t="str">
        <f>IF(Cotations!F86="","",Cotations!F86)</f>
        <v>SINGLE</v>
      </c>
      <c r="I86" s="274" t="str">
        <f>IF(Cotations!G86="","",Cotations!G86)</f>
        <v/>
      </c>
      <c r="J86" s="274" t="str">
        <f>IF(Cotations!H86="","",Cotations!H86)</f>
        <v/>
      </c>
      <c r="K86" s="274" t="str">
        <f>IF(Cotations!I86="","",Cotations!I86)</f>
        <v/>
      </c>
      <c r="L86" s="274" t="str">
        <f>IF(A86=FALSE,"",IF(Cotations!N86="","",Cotations!N86))</f>
        <v/>
      </c>
      <c r="M86" s="274" t="str">
        <f>IF(Cotations!P86="","",Cotations!P86)</f>
        <v/>
      </c>
      <c r="N86" s="724" t="str">
        <f>IF(NAMES!$B$10=TRUE,Cotations!J86,Cotations!L86)</f>
        <v/>
      </c>
      <c r="O86" s="724" t="str">
        <f>IF(NAMES!$B$10=TRUE,Cotations!K86,Cotations!M86)</f>
        <v/>
      </c>
      <c r="P86" s="943" t="str">
        <f t="shared" si="827"/>
        <v/>
      </c>
      <c r="Q86" s="724" t="str">
        <f>IF(A86=FALSE,"",IF(Crewlist!Y86="","",Crewlist!Y86))</f>
        <v/>
      </c>
      <c r="R86" s="78" t="str">
        <f>IF(Cotations!U86="","",Cotations!U86)</f>
        <v/>
      </c>
      <c r="S86" s="943" t="str">
        <f t="shared" si="828"/>
        <v/>
      </c>
      <c r="T86" s="919" t="str">
        <f>IF(A86=FALSE,"",VLOOKUP($U$15:$U$120,Currency!$A$2:$D$10,4,0)*Crewlist!N86)</f>
        <v/>
      </c>
      <c r="U86" s="1355" t="str">
        <f>IF(A86=FALSE,"",IF(IT86=0,Crewlist!M86&amp;"/"&amp;EX86,Crewlist!M86&amp;"/"&amp;IT86))</f>
        <v/>
      </c>
      <c r="V86" s="919" t="str">
        <f>IF(A86=FALSE,"",VLOOKUP($U$15:$U$120,Currency!$A$2:$D$10,4,0)*Detail!Q86)</f>
        <v/>
      </c>
      <c r="W86" s="1355" t="str">
        <f>IF(A86=FALSE,"",IF(IT86=0,Detail!R86&amp;"/"&amp;EX86,Detail!R86&amp;"/"&amp;IT86))</f>
        <v/>
      </c>
      <c r="X86" s="919" t="str">
        <f>IF(A86=FALSE,"",IF(LISTES!$C$17="Crewlist",Calcul!T86,Calcul!V86))</f>
        <v/>
      </c>
      <c r="Y86" s="758" t="str">
        <f t="shared" si="829"/>
        <v/>
      </c>
      <c r="Z86" s="758" t="str">
        <f>IF(A86=FALSE,"",IF(X86=0,0,IF((Cotations!BC86*12*X86)&lt;50000,50000,(12*X86))))</f>
        <v/>
      </c>
      <c r="AA86" s="758" t="str">
        <f t="shared" si="830"/>
        <v/>
      </c>
      <c r="AB86" s="758" t="str">
        <f>IF(A86=FALSE,"",IF(Crewlist!O86=0,"",Crewlist!O86))</f>
        <v/>
      </c>
      <c r="AC86" s="758" t="str">
        <f>IF(I86="","",VLOOKUP($AB$15:$AB$120,Currency!$A$15:$B$34,2,0))</f>
        <v/>
      </c>
      <c r="AD86" s="758" t="str">
        <f t="shared" si="831"/>
        <v/>
      </c>
      <c r="AE86" s="758" t="str">
        <f t="shared" si="832"/>
        <v/>
      </c>
      <c r="AF86" s="758" t="str">
        <f t="shared" si="833"/>
        <v/>
      </c>
      <c r="AG86" s="758" t="str">
        <f t="shared" si="834"/>
        <v/>
      </c>
      <c r="AH86" s="1355" t="str">
        <f t="shared" si="630"/>
        <v/>
      </c>
      <c r="AI86" s="919" t="str">
        <f t="shared" si="835"/>
        <v/>
      </c>
      <c r="AJ86" s="1382" t="str">
        <f t="shared" si="836"/>
        <v/>
      </c>
      <c r="AK86" s="1382" t="str">
        <f t="shared" si="837"/>
        <v/>
      </c>
      <c r="AL86" s="238" t="str">
        <f t="shared" si="631"/>
        <v/>
      </c>
      <c r="AM86" s="238" t="str">
        <f t="shared" si="632"/>
        <v/>
      </c>
      <c r="AN86" s="1374" t="str">
        <f t="shared" si="633"/>
        <v/>
      </c>
      <c r="AO86" s="238" t="str">
        <f t="shared" si="634"/>
        <v/>
      </c>
      <c r="AP86" s="342" t="str">
        <f>IF(A86=FALSE,"",INDEX(Rates!$Z$5:$Z$367,MATCH(EB86,colchoice,0)))</f>
        <v/>
      </c>
      <c r="AQ86" s="238" t="str">
        <f t="shared" si="635"/>
        <v/>
      </c>
      <c r="AR86" s="238" t="str">
        <f t="shared" si="636"/>
        <v/>
      </c>
      <c r="AS86" s="238" t="str">
        <f t="shared" si="637"/>
        <v/>
      </c>
      <c r="AT86" s="238" t="str">
        <f t="shared" si="638"/>
        <v/>
      </c>
      <c r="AU86" s="238" t="str">
        <f t="shared" si="639"/>
        <v/>
      </c>
      <c r="AV86" s="238" t="str">
        <f t="shared" si="838"/>
        <v/>
      </c>
      <c r="AW86" s="238" t="str">
        <f t="shared" si="640"/>
        <v/>
      </c>
      <c r="AX86" s="238" t="str">
        <f t="shared" si="641"/>
        <v/>
      </c>
      <c r="AY86" s="238" t="str">
        <f t="shared" si="642"/>
        <v/>
      </c>
      <c r="AZ86" s="238" t="str">
        <f t="shared" si="643"/>
        <v/>
      </c>
      <c r="BA86" s="238" t="str">
        <f t="shared" si="644"/>
        <v/>
      </c>
      <c r="BB86" s="552" t="str">
        <f t="shared" si="645"/>
        <v/>
      </c>
      <c r="BC86" s="347" t="str">
        <f t="shared" si="646"/>
        <v/>
      </c>
      <c r="BD86" s="239" t="str">
        <f t="shared" si="839"/>
        <v/>
      </c>
      <c r="BE86" s="239" t="str">
        <f>IF(A86=FALSE,"",IF(ALLTHESAME=TRUE,IF(DF86&lt;&gt;$BC$7,0,INDEX(DD86:DZ86,1,MATCH(Structure!$D$12,$DD$14:$DZ$14,0))),IF(EC86&lt;&gt;$BC$7,0,INDEX(EA86:EZ86,1,MATCH(Structure!$D$12,$EA$14:$EZ$14,0)))))</f>
        <v/>
      </c>
      <c r="BF86" s="239" t="str">
        <f>IF(A86=FALSE,"",IF(ALLTHESAME=TRUE,IF(FC86&lt;&gt;$BC$7,0,INDEX(FA86:FZ86,1,MATCH(Structure!$D$12,$FA$14:$FZ$14,0))),IF(GC86&lt;&gt;$BC$7,0,INDEX(GA86:GZ86,1,MATCH(Structure!$D$12,$GA$14:$GZ$14,0)))))</f>
        <v/>
      </c>
      <c r="BG86" s="239" t="str">
        <f>IF(A86=FALSE,"",IF(ALLTHESAME=TRUE,IF(VC86&lt;&gt;$BC$7,0,INDEX(VA86:VZ86,1,MATCH(Structure!$D$12,$VA$14:$VZ$14,0))),IF(VC86&lt;&gt;$BC$7,0,INDEX(VA86:VZ86,1,MATCH(Structure!$D$12,$VA$14:$VZ$14,0)))))</f>
        <v/>
      </c>
      <c r="BH86" s="239" t="str">
        <f>IF(A86=FALSE,"",IF(ALLTHESAME=TRUE,IF(WC86&lt;&gt;$BC$7,0,INDEX(WA86:WY86,1,MATCH(Structure!$D$12,$WA$14:$WZ$14,0))),IF(WC86&lt;&gt;$BC$7,0,INDEX(WA86:WZ86,1,MATCH(Structure!$D$12,$WA$14:$WZ$14,0)))))</f>
        <v/>
      </c>
      <c r="BI86" s="763" t="str">
        <f>IF(A86=FALSE,"",IF(ALLTHESAME=TRUE,IF(HC86&lt;&gt;$BC$7,0,INDEX(HA86:HZ86,1,MATCH(Structure!$D$12,$HA$14:$HZ$14,0)))+TK86,IF(IC86&lt;&gt;$BC$7,0,INDEX(IA86:IZ86,1,MATCH(Structure!$D$12,$IA$14:$IZ$14,0)))+TK86))</f>
        <v/>
      </c>
      <c r="BJ86" s="239" t="str">
        <f>IF(A86=FALSE,"",IF(ALLTHESAME=TRUE,IF(JC86&lt;&gt;$BC$7,0,INDEX(JA86:JZ86,1,MATCH(Structure!$D$12,$JA$14:$JZ$14,0))),IF(KC86&lt;&gt;$BC$7,0,INDEX(KA86:KZ86,1,MATCH(Structure!$D$12,$KA$14:$KZ$14,0)))))</f>
        <v/>
      </c>
      <c r="BK86" s="763" t="str">
        <f>IF(A86=FALSE,"",IF(ALLTHESAME=TRUE,IF(LC86&lt;&gt;$BC$7,0,INDEX(LA86:LZ86,1,MATCH(Structure!$D$12,$LA$14:$LZ$14,0)))+UK86,IF(MC86&lt;&gt;$BC$7,0,INDEX(MA86:MZ86,1,MATCH(Structure!$D$12,$MA$14:$MZ$14,0)))+UK86))</f>
        <v/>
      </c>
      <c r="BL86" s="239" t="str">
        <f>IF(A86=FALSE,"",IF(ALLTHESAME=TRUE,IF(NC86&lt;&gt;$BC$7,0,INDEX(NA86:NZ86,1,MATCH(Structure!$D$12,$NA$14:$NZ$14,0))),IF(OC86&lt;&gt;$BC$7,0,INDEX(OA86:OZ86,1,MATCH(Structure!$D$12,$OA$14:$OZ$14,0)))))</f>
        <v/>
      </c>
      <c r="BM86" s="239" t="str">
        <f>IF(A86=FALSE,"",IF(ALLTHESAME=TRUE,IF(PC86&lt;&gt;$BC$7,0,INDEX(PA86:PZ86,1,MATCH(Structure!$D$12,$PA$14:$PZ$14,0))),IF(QC86&lt;&gt;$BC$7,0,INDEX(QA86:QZ86,1,MATCH(Structure!$D$12,$QA$14:$QZ$14,0)))))</f>
        <v/>
      </c>
      <c r="BN86" s="341" t="str">
        <f>IF(A86=FALSE,"",IF(ALLTHESAME=TRUE,IF(RC86&lt;&gt;$BC$7,0,INDEX(RA86:RZ86,1,MATCH(Structure!$D$12,$RA$14:$RZ$14,0))),IF(SC86&lt;&gt;$BC$7,0,INDEX(SA86:TA86,1,MATCH(Structure!$D$12,$SA$14:$TA$14,0)))))</f>
        <v/>
      </c>
      <c r="BO86" s="507" t="str">
        <f t="shared" si="647"/>
        <v/>
      </c>
      <c r="BP86" s="239" t="str">
        <f t="shared" si="648"/>
        <v/>
      </c>
      <c r="BQ86" s="239" t="str">
        <f>IF(A86=FALSE,"",IF(ALLTHESAME=TRUE,IF(DF86&lt;&gt;$BO$7,0,INDEX(DD86:DZ86,1,MATCH(Structure!$D$12,$DD$14:$DZ$14,0))),IF(EC86&lt;&gt;$BO$7,0,INDEX(EA86:EZ86,1,MATCH(Structure!$D$12,$EA$14:$EZ$14,0)))))</f>
        <v/>
      </c>
      <c r="BR86" s="239" t="str">
        <f>IF(A86=FALSE,"",IF(ALLTHESAME=TRUE,IF(FC86&lt;&gt;$BO$7,0,INDEX(FA86:FZ86,1,MATCH(Structure!$D$12,$FA$14:$FZ$14,0))),IF(GC86&lt;&gt;$BO$7,0,INDEX(GA86:GZ86,1,MATCH(Structure!$D$12,$GA$14:$GZ$14,0)))))</f>
        <v/>
      </c>
      <c r="BS86" s="239" t="str">
        <f>IF(A86=FALSE,"",IF(ALLTHESAME=TRUE,IF(HC86&lt;&gt;$BO$7,0,INDEX(HA86:HZ86,1,MATCH(Structure!$D$12,$HA$14:$HZ$14,0))),IF(IC86&lt;&gt;$BO$7,0,INDEX(IA86:IZ86,1,MATCH(Structure!$D$12,$IA$14:$IZ$14,0)))))</f>
        <v/>
      </c>
      <c r="BT86" s="239" t="str">
        <f>IF(A86=FALSE,"",IF(ALLTHESAME=TRUE,IF(JC86&lt;&gt;$BO$7,0,INDEX(JA86:JZ86,1,MATCH(Structure!$D$12,$JA$14:$JZ$14,0))),IF(KC86&lt;&gt;$BO$7,0,INDEX(KA86:KZ86,1,MATCH(Structure!$D$12,$KA$14:$KZ$14,0)))))</f>
        <v/>
      </c>
      <c r="BU86" s="239" t="str">
        <f>IF(A86=FALSE,"",IF(ALLTHESAME=TRUE,IF(LC86&lt;&gt;$BO$7,0,INDEX(LA86:LZ86,1,MATCH(Structure!$D$12,$LA$14:$LZ$14,0))),IF(MC86&lt;&gt;$BO$7,0,INDEX(MA86:MZ86,1,MATCH(Structure!$D$12,$MA$14:$MZ$14,0)))))</f>
        <v/>
      </c>
      <c r="BV86" s="239" t="str">
        <f>IF(A86=FALSE,"",IF(ALLTHESAME=TRUE,IF(NC86&lt;&gt;$BO$7,0,INDEX(NA86:NZ86,1,MATCH(Structure!$D$12,$NA$14:$NZ$14,0))),IF(OC86&lt;&gt;$BO$7,0,INDEX(OA86:OZ86,1,MATCH(Structure!$D$12,$OA$14:$OZ$14,0)))))</f>
        <v/>
      </c>
      <c r="BW86" s="239" t="str">
        <f>IF(A86=FALSE,"",IF(ALLTHESAME=TRUE,IF(PC86&lt;&gt;$BO$7,0,INDEX(PA86:PZ86,1,MATCH(Structure!$D$12,$PA$14:$PZ$14,0))),IF(QC86&lt;&gt;$BO$7,0,INDEX(QA86:QZ86,1,MATCH(Structure!$D$12,$QA$14:$QZ$14,0)))))</f>
        <v/>
      </c>
      <c r="BX86" s="341" t="str">
        <f>IF(A86=FALSE,"",IF(ALLTHESAME=TRUE,IF(RC86&lt;&gt;$BO$7,0,INDEX(RA86:RZ86,1,MATCH(Structure!$D$12,$RA$14:$RZ$14,0))),IF(SC86&lt;&gt;$BO$7,0,INDEX(SA86:TA86,1,MATCH(Structure!$D$12,$SA$14:$TA$14,0)))))</f>
        <v/>
      </c>
      <c r="BY86" s="347" t="str">
        <f t="shared" si="649"/>
        <v/>
      </c>
      <c r="BZ86" s="507" t="str">
        <f t="shared" si="650"/>
        <v/>
      </c>
      <c r="CA86" s="239" t="str">
        <f t="shared" si="651"/>
        <v/>
      </c>
      <c r="CB86" s="239" t="str">
        <f>IF(A86=FALSE,"",IF(ALLTHESAME=TRUE,INDEX(DD86:DZ86,MATCH(DF86,DF86:DF191,0),MATCH(Structure!$D$17,$DD$14:$DZ$14,0)),INDEX(EA86:EZ86,MATCH(EC86,EC86:EC191,0),MATCH(Structure!$D$17,$EA$14:$EZ$14,0))))</f>
        <v/>
      </c>
      <c r="CC86" s="239" t="str">
        <f>IF(A86=FALSE,"",IF(ALLTHESAME=TRUE,INDEX(FA86:FZ86,MATCH(FC86,FC86:FC191,0),MATCH(Structure!$D$17,$FA$14:$FZ$14,0)),INDEX(GA86:GZ86,MATCH(GC86,GC86:GC191,0),MATCH(Structure!$D$17,$GA$14:$GZ$14,0))))</f>
        <v/>
      </c>
      <c r="CD86" s="239" t="str">
        <f>IF(A86=FALSE,"",IF(ALLTHESAME=TRUE,INDEX(HA86:HZ86,MATCH(HC86,HC86:HC191,0),MATCH(Structure!$D$17,$HA$14:$HZ$14,0)),INDEX(IA86:IZ86,MATCH(IC86,IC86:IC191,0),MATCH(Structure!$D$17,$IA$14:$IZ$14,0))))</f>
        <v/>
      </c>
      <c r="CE86" s="239" t="str">
        <f>IF(A86=FALSE,"",IF(ALLTHESAME=TRUE,INDEX(JA86:JZ86,MATCH(JC86,JC86:JC191,0),MATCH(Structure!$D$17,$JA$14:$JZ$14,0)),INDEX(KA86:KZ86,MATCH(KC86,KC86:KC191,0),MATCH(Structure!$D$17,$KA$14:$KZ$14,0))))</f>
        <v/>
      </c>
      <c r="CF86" s="239" t="str">
        <f>IF(A86=FALSE,"",IF(ALLTHESAME=TRUE,INDEX(LA86:LZ86,MATCH(LC86,LC86:LC191,0),MATCH(Structure!$D$17,$LA$14:$LZ$14,0)),INDEX(MA86:MZ86,MATCH(MC86,MC86:MC191,0),MATCH(Structure!$D$17,$MA$14:$MZ$14,0))))</f>
        <v/>
      </c>
      <c r="CG86" s="239" t="str">
        <f>IF(A86=FALSE,"",IF(ALLTHESAME=TRUE,INDEX(NA86:NZ86,MATCH(NC86,NC86:NC191,0),MATCH(Structure!$D$17,$NA$14:$NZ$14,0)),INDEX(OA86:OZ86,MATCH(OC86,OC86:OC191,0),MATCH(Structure!$D$17,$OA$14:$OZ$14,0))))</f>
        <v/>
      </c>
      <c r="CH86" s="239" t="str">
        <f>IF(A86=FALSE,"",IF(ALLTHESAME=TRUE,INDEX(PA86:PZ86,MATCH(PC86,PC86:PC191,0),MATCH(Structure!$D$17,$PA$14:$PZ$14,0)),INDEX(QA86:QZ86,MATCH(QC86,QC86:QC191,0),MATCH(Structure!$D$17,$QA$14:$QZ$14,0))))</f>
        <v/>
      </c>
      <c r="CI86" s="341" t="str">
        <f>IF(A86=FALSE,"",IF(ALLTHESAME=TRUE,INDEX(RA86:RZ86,MATCH(RC86,RC86:RC191,0),MATCH(Structure!$D$17,$RA$14:$RZ$14,0)),INDEX(SA86:TC86,MATCH(SC86,SC86:SC191,0),MATCH(Structure!$D$17,$SA$14:$TC$14,0))))</f>
        <v/>
      </c>
      <c r="CJ86" s="347"/>
      <c r="CK86" s="239" t="str">
        <f t="shared" si="652"/>
        <v/>
      </c>
      <c r="CL86" s="239" t="str">
        <f>IF(A86=FALSE,"",IF(ALLTHESAME=TRUE,INDEX(DD86:DZ86,MATCH(DF86,DF86:DF191,0),MATCH(Structure!$D$22,$DD$14:$DZ$14,0)),INDEX(EA86:EZ86,MATCH(EC86,EC86:EC191,0),MATCH(Structure!$D$22,$EA$14:$EZ$14,0))))</f>
        <v/>
      </c>
      <c r="CM86" s="239" t="str">
        <f>IF(A86=FALSE,"",IF(ALLTHESAME=TRUE,INDEX(FA86:FZ86,MATCH(FC86,FC86:FC191,0),MATCH(Structure!$D$22,$FA$14:$FZ$14,0)),INDEX(GA86:GZ86,MATCH(GC86,GC86:GC191,0),MATCH(Structure!$D$22,$GA$14:$GZ$14,0))))</f>
        <v/>
      </c>
      <c r="CN86" s="239" t="str">
        <f>IF(A86=FALSE,"",IF(ALLTHESAME=TRUE,INDEX(HA86:HZ86,MATCH(HC86,HC86:HC191,0),MATCH(Structure!$D$22,$HA$14:$HZ$14,0)),INDEX(IA86:IZ86,MATCH(IC86,IC86:IC191,0),MATCH(Structure!$D$22,$IA$14:$IZ$14,0))))</f>
        <v/>
      </c>
      <c r="CO86" s="239" t="str">
        <f>IF(A86=FALSE,"",IF(ALLTHESAME=TRUE,INDEX(JA86:JZ86,MATCH(JC86,JC86:JC191,0),MATCH(Structure!$D$22,$JA$14:$JZ$14,0)),INDEX(KA86:KZ86,MATCH(KC86,KC86:KC191,0),MATCH(Structure!$D$22,$KA$14:$KZ$14,0))))</f>
        <v/>
      </c>
      <c r="CP86" s="239" t="str">
        <f>IF(A86=FALSE,"",IF(ALLTHESAME=TRUE,INDEX(LA86:LZ86,MATCH(LC86,LC86:LC191,0),MATCH(Structure!$D$22,$LA$14:$LZ$14,0)),INDEX(MA86:MZ86,MATCH(MC86,MC86:MC191,0),MATCH(Structure!$D$22,$MA$14:$MZ$14,0))))</f>
        <v/>
      </c>
      <c r="CQ86" s="239" t="str">
        <f>IF(A86=FALSE,"",IF(ALLTHESAME=TRUE,INDEX(NA86:NZ86,MATCH(NC86,NC86:NC191,0),MATCH(Structure!$D$22,$NA$14:$NZ$14,0)),INDEX(OA86:OZ86,MATCH(OC86,OC86:OC191,0),MATCH(Structure!$D$22,$OA$14:$OZ$14,0))))</f>
        <v/>
      </c>
      <c r="CR86" s="239" t="str">
        <f>IF(A86=FALSE,"",IF(ALLTHESAME=TRUE,INDEX(PA86:PZ86,MATCH(PC86,PC86:PC191,0),MATCH(Structure!$D$22,$PA$14:$PZ$14,0)),INDEX(QA86:QZ86,MATCH(QC86,QC86:QC191,0),MATCH(Structure!$D$22,$QA$14:$QZ$14,0))))</f>
        <v/>
      </c>
      <c r="CS86" s="341" t="str">
        <f>IF(A86=FALSE,"",IF(ALLTHESAME=TRUE,INDEX(RA86:RZ86,MATCH(RC86,RC86:RC191,0),MATCH(Structure!$D$22,$RA$14:$RZ$14,0)),INDEX(SA86:TC86,MATCH(SC86,SC86:SC191,0),MATCH(Structure!$D$22,$SA$14:$TC$14,0))))</f>
        <v/>
      </c>
      <c r="CT86" s="347"/>
      <c r="CU86" s="239" t="str">
        <f t="shared" si="653"/>
        <v/>
      </c>
      <c r="CV86" s="239" t="str">
        <f>IF(A86=FALSE,"",IF(ALLTHESAME=TRUE,INDEX(DD86:DZ86,MATCH(DF86,DF86:DF191,0),MATCH(Structure!$D$8,$DD$14:$DZ$14,0)),INDEX(EA86:EZ86,MATCH(EC86,EC86:EC191,0),MATCH(Structure!$D$8,$EA$14:$EZ$14,0))))</f>
        <v/>
      </c>
      <c r="CW86" s="239" t="str">
        <f>IF(A86=FALSE,"",IF(ALLTHESAME=TRUE,INDEX(FA86:FZ86,MATCH(FC86,FC86:FC191,0),MATCH(Structure!$D$8,$FA$14:$FZ$14,0)),INDEX(GA86:GZ86,MATCH(GC86,GC86:GC191,0),MATCH(Structure!$D$8,$GA$14:$GZ$14,0))))</f>
        <v/>
      </c>
      <c r="CX86" s="239" t="str">
        <f>IF(A86=FALSE,"",IF(ALLTHESAME=TRUE,INDEX(HA86:HZ86,MATCH(HC86,HC86:HC191,0),MATCH(Structure!$D$8,$HA$14:$HZ$14,0)),INDEX(IA86:IZ86,MATCH(IC86,IC86:IC191,0),MATCH(Structure!$D$8,$IA$14:$IZ$14,0))))</f>
        <v/>
      </c>
      <c r="CY86" s="239" t="str">
        <f>IF(A86=FALSE,"",IF(ALLTHESAME=TRUE,INDEX(JA86:JZ86,MATCH(JC86,JC86:JC191,0),MATCH(Structure!$D$8,$JA$14:$JZ$14,0)),INDEX(KA86:KZ86,MATCH(KC86,KC86:KC191,0),MATCH(Structure!$D$8,$KA$14:$KZ$14,0))))</f>
        <v/>
      </c>
      <c r="CZ86" s="239" t="str">
        <f>IF(A86=FALSE,"",IF(ALLTHESAME=TRUE,INDEX(LA86:LZ86,MATCH(LC86,LC86:LC191,0),MATCH(Structure!$D$8,$LA$14:$LZ$14,0)),INDEX(MA86:MZ86,MATCH(MC86,MC86:MC191,0),MATCH(Structure!$D$8,$MA$14:$MZ$14,0))))</f>
        <v/>
      </c>
      <c r="DA86" s="239" t="str">
        <f>IF(A86=FALSE,"",IF(ALLTHESAME=TRUE,INDEX(NA86:NZ86,MATCH(NC86,NC86:NC191,0),MATCH(Structure!$D$8,$NA$14:$NZ$14,0)),INDEX(OA86:OZ86,MATCH(OC86,OC86:OC191,0),MATCH(Structure!$D$8,$OA$14:$OZ$14,0))))</f>
        <v/>
      </c>
      <c r="DB86" s="239" t="str">
        <f>IF(A86=FALSE,"",IF(ALLTHESAME=TRUE,INDEX(PA86:PZ86,MATCH(PC86,PC86:PC191,0),MATCH(Structure!$D$8,$PA$14:$PZ$14,0)),INDEX(QA86:QZ86,MATCH(QC86,QC86:QC191,0),MATCH(Structure!$D$8,$QA$14:$QZ$14,0))))</f>
        <v/>
      </c>
      <c r="DC86" s="341" t="str">
        <f>IF(A86=FALSE,"",IF(ALLTHESAME=TRUE,INDEX(RA86:RZ86,MATCH(RC86,RC86:RC191,0),MATCH(Structure!$D$8,$RA$14:$RZ$14,0)),INDEX(SA86:TC86,MATCH(SC86,SC86:SC191,0),MATCH(Structure!$D$8,$SA$14:$TC$14,0))))</f>
        <v/>
      </c>
      <c r="DD86" s="492" t="str">
        <f>IF(A86=FALSE,"",Cotations!D86)</f>
        <v/>
      </c>
      <c r="DE86" s="492" t="str">
        <f>IF(A86=FALSE,"",IF(LISTES!$A$17=1,Cotations!AF86,Cotations!$AG$4))</f>
        <v/>
      </c>
      <c r="DF86" s="291" t="str">
        <f t="shared" si="654"/>
        <v/>
      </c>
      <c r="DG86" s="291" t="str">
        <f t="shared" si="655"/>
        <v/>
      </c>
      <c r="DH86" s="291"/>
      <c r="DI86" s="463"/>
      <c r="DJ86" s="463" t="str">
        <f t="shared" si="656"/>
        <v/>
      </c>
      <c r="DK86" s="522" t="str">
        <f>IF(A86=FALSE,"",IF(Cotations!$AH$4="monthly",DJ86/12*L86,DJ86/365*M86))</f>
        <v/>
      </c>
      <c r="DL86" s="489" t="str">
        <f>IF(A86=FALSE,"",Cotations!$AI$4)</f>
        <v/>
      </c>
      <c r="DM86" s="300" t="str">
        <f t="shared" si="657"/>
        <v/>
      </c>
      <c r="DN86" s="300" t="str">
        <f t="shared" si="658"/>
        <v/>
      </c>
      <c r="DO86" s="294" t="str">
        <f t="shared" si="659"/>
        <v/>
      </c>
      <c r="DP86" s="494" t="str">
        <f>IF(A86=FALSE,"",Cotations!$AJ$4)</f>
        <v/>
      </c>
      <c r="DQ86" s="494" t="str">
        <f>IF(A86=FALSE,"",Cotations!$AK$4)</f>
        <v/>
      </c>
      <c r="DR86" s="489" t="str">
        <f>IF(A86=FALSE,"",Cotations!$AL$4)</f>
        <v/>
      </c>
      <c r="DS86" s="494" t="str">
        <f>IF(A86=FALSE,"",IF(DP86="N/A",0,IF(INDEX(LISTES!$F$105:$F$109,MATCH(DP86,LISTES!$C$105:$C$109,0))="FIX",IF(INDEX(LISTES!$E$105:$E$109,MATCH(DP86,LISTES!$C$105:$C$109,0))=12,DQ86/12*L86,DQ86/365*M86),DR86*DO86)))</f>
        <v/>
      </c>
      <c r="DT86" s="294" t="str">
        <f t="shared" si="660"/>
        <v/>
      </c>
      <c r="DU86" s="294" t="str">
        <f>IF(A86=FALSE,"",DT86*Cotations!$AM$4)</f>
        <v/>
      </c>
      <c r="DV86" s="294" t="str">
        <f>IF(A86=FALSE,"",DT86*Cotations!$AN$4)</f>
        <v/>
      </c>
      <c r="DW86" s="465" t="str">
        <f t="shared" si="661"/>
        <v/>
      </c>
      <c r="DX86" s="919" t="str">
        <f>IF(A86=FALSE,"",((DJ86*TAXE)-(DJ86*TAXE*DL86))+IF(DP86="N/A",0,IF(INDEX(LISTES!$F$105:$F$109,MATCH(DP86,LISTES!$C$105:$C$109,0))="FIX",DQ86,DR86*DO86)))</f>
        <v/>
      </c>
      <c r="DY86" s="466"/>
      <c r="DZ86" s="466"/>
      <c r="EA86" s="492" t="str">
        <f>IF(A86=FALSE,"",Cotations!D86)</f>
        <v/>
      </c>
      <c r="EB86" s="494" t="str">
        <f>IF(A86=FALSE,"",IF(LISTES!$A$17=1,Cotations!AF86,Cotations!AG86))</f>
        <v/>
      </c>
      <c r="EC86" s="284" t="str">
        <f t="shared" si="662"/>
        <v/>
      </c>
      <c r="ED86" s="284" t="str">
        <f t="shared" si="663"/>
        <v/>
      </c>
      <c r="EE86" s="284"/>
      <c r="EF86" s="284"/>
      <c r="EG86" s="284" t="str">
        <f t="shared" si="664"/>
        <v/>
      </c>
      <c r="EH86" s="1365" t="str">
        <f t="shared" si="665"/>
        <v/>
      </c>
      <c r="EI86" s="1365" t="str">
        <f t="shared" si="666"/>
        <v/>
      </c>
      <c r="EJ86" s="515" t="str">
        <f>IF(A86=FALSE,"",IF(Cotations!AH86="monthly",EG86/12*L86,EG86/365*M86))</f>
        <v/>
      </c>
      <c r="EK86" s="1364" t="str">
        <f>IF(A86=FALSE,"",IF(Cotations!AH86="monthly",EI86/12*L86,EI86/365*M86))</f>
        <v/>
      </c>
      <c r="EL86" s="493" t="str">
        <f>IF(A86=FALSE,"",IF(Cotations!AI86="","",Cotations!AI86))</f>
        <v/>
      </c>
      <c r="EM86" s="284" t="str">
        <f t="shared" si="667"/>
        <v/>
      </c>
      <c r="EN86" s="284" t="str">
        <f t="shared" si="668"/>
        <v/>
      </c>
      <c r="EO86" s="1365" t="str">
        <f t="shared" si="840"/>
        <v/>
      </c>
      <c r="EP86" s="284" t="str">
        <f t="shared" si="669"/>
        <v/>
      </c>
      <c r="EQ86" s="515" t="str">
        <f>IF(A86=FALSE,"",Cotations!AJ86)</f>
        <v/>
      </c>
      <c r="ER86" s="515" t="str">
        <f>IF(A86=FALSE,"",IF(Cotations!AK86="","",Cotations!AK86))</f>
        <v/>
      </c>
      <c r="ES86" s="493" t="str">
        <f>IF(A86=FALSE,"",Cotations!AL86)</f>
        <v/>
      </c>
      <c r="ET86" s="515" t="str">
        <f>IF(A86=FALSE,"",IF(EQ86="N/A",0,IF(INDEX(LISTES!$F$105:$F$109,MATCH(EQ86,LISTES!$C$105:$C$109,0))="FIX",IF(INDEX(LISTES!$E$105:$E$109,MATCH(EQ86,LISTES!$C$105:$C$109,0))=12,ER86/12*L86,ER86/365*M86),ES86*EP86)))</f>
        <v/>
      </c>
      <c r="EU86" s="294" t="str">
        <f t="shared" si="670"/>
        <v/>
      </c>
      <c r="EV86" s="494" t="str">
        <f>IF(A86=FALSE,"",EU86*Cotations!AM86)</f>
        <v/>
      </c>
      <c r="EW86" s="494" t="str">
        <f>IF(A86=FALSE,"",EU86*Cotations!AN86)</f>
        <v/>
      </c>
      <c r="EX86" s="334" t="str">
        <f t="shared" si="671"/>
        <v/>
      </c>
      <c r="EY86" s="919" t="str">
        <f>IF(A86=FALSE,"",((EG86*TAXE)-(EG86*TAXE*EL86)+EH86)+IF(EQ86="N/A",0,IF(INDEX(LISTES!$F$105:$F$109,MATCH(EQ86,LISTES!$C$105:$C$109,0))="FIX",ER86,ES86*EP86)))</f>
        <v/>
      </c>
      <c r="FA86" s="492" t="str">
        <f>IF(A86=FALSE,"",Cotations!D86)</f>
        <v/>
      </c>
      <c r="FB86" s="519" t="str">
        <f>IF(A86=FALSE,"",IF(LISTES!$A$17=1,Cotations!AO86,Cotations!$AP$4))</f>
        <v/>
      </c>
      <c r="FC86" s="291" t="str">
        <f t="shared" si="672"/>
        <v/>
      </c>
      <c r="FD86" s="291" t="str">
        <f t="shared" si="673"/>
        <v/>
      </c>
      <c r="FE86" s="291"/>
      <c r="FF86" s="463"/>
      <c r="FG86" s="463" t="str">
        <f t="shared" si="674"/>
        <v/>
      </c>
      <c r="FH86" s="522" t="str">
        <f>IF(A86=FALSE,"",IF(Cotations!$AQ$4="monthly",FG86/12*L86,FG86/365*M86))</f>
        <v/>
      </c>
      <c r="FI86" s="453" t="str">
        <f>IF(A86=FALSE,"",Cotations!$AR$4)</f>
        <v/>
      </c>
      <c r="FJ86" s="300" t="str">
        <f t="shared" si="675"/>
        <v/>
      </c>
      <c r="FK86" s="300" t="str">
        <f t="shared" si="676"/>
        <v/>
      </c>
      <c r="FL86" s="294" t="str">
        <f t="shared" si="677"/>
        <v/>
      </c>
      <c r="FM86" s="494" t="str">
        <f>IF(A86=FALSE,"",Cotations!$AS$4)</f>
        <v/>
      </c>
      <c r="FN86" s="494" t="str">
        <f>IF(A86=FALSE,"",Cotations!$AT$4)</f>
        <v/>
      </c>
      <c r="FO86" s="489" t="str">
        <f>IF(A86=FALSE,"",Cotations!$AU$4)</f>
        <v/>
      </c>
      <c r="FP86" s="494" t="str">
        <f>IF(A86=FALSE,"",IF(FM86="N/A",0,IF(INDEX(LISTES!$F$105:$F$109,MATCH(FM86,LISTES!$C$105:$C$109,0))="FIX",IF(INDEX(LISTES!$E$105:$E$109,MATCH(FM86,LISTES!$C$105:$C$109,0))=12,FN86/12*L86,FN86/365*M86),FO86*FL86)))</f>
        <v/>
      </c>
      <c r="FQ86" s="294" t="str">
        <f t="shared" si="678"/>
        <v/>
      </c>
      <c r="FR86" s="494" t="str">
        <f>IF(A86=FALSE,"",FQ86*Cotations!$AV$4)</f>
        <v/>
      </c>
      <c r="FS86" s="494" t="str">
        <f>IF(A86=FALSE,"",FQ86*Cotations!$AW$4)</f>
        <v/>
      </c>
      <c r="FT86" s="465" t="str">
        <f t="shared" si="679"/>
        <v/>
      </c>
      <c r="FU86" s="919" t="str">
        <f>IF(A86=FALSE,"",((FG86*TAXE)-(FG86*TAXE*FI86))+IF(FM86="N/A",0,IF(INDEX(LISTES!$F$105:$F$109,MATCH(FM86,LISTES!$C$105:$C$109,0))="FIX",FN86,FO86*FL86)))</f>
        <v/>
      </c>
      <c r="FV86" s="478"/>
      <c r="FW86" s="478"/>
      <c r="FX86" s="478"/>
      <c r="FY86" s="478"/>
      <c r="FZ86" s="478"/>
      <c r="GA86" s="492" t="str">
        <f>IF(A86=FALSE,"",Cotations!D86)</f>
        <v/>
      </c>
      <c r="GB86" s="494" t="str">
        <f>IF(A86=FALSE,"",IF(LISTES!$A$17=1,Cotations!AO86,Cotations!AP86))</f>
        <v/>
      </c>
      <c r="GC86" s="284" t="str">
        <f t="shared" si="680"/>
        <v/>
      </c>
      <c r="GD86" s="515" t="str">
        <f>IF(A86=FALSE,"",IF(Detail!AM86="","",Detail!AM86))</f>
        <v/>
      </c>
      <c r="GE86" s="284"/>
      <c r="GF86" s="284"/>
      <c r="GG86" s="284" t="str">
        <f t="shared" si="681"/>
        <v/>
      </c>
      <c r="GH86" s="515" t="str">
        <f>IF(A86=FALSE,"",IF(Cotations!AQ86="monthly",GG86/12*L86,GG86/365*M86))</f>
        <v/>
      </c>
      <c r="GI86" s="493" t="str">
        <f>IF(A86=FALSE,"",IF(Cotations!AR86="","",Cotations!AR86))</f>
        <v/>
      </c>
      <c r="GJ86" s="284" t="str">
        <f t="shared" si="682"/>
        <v/>
      </c>
      <c r="GK86" s="284" t="str">
        <f t="shared" si="683"/>
        <v/>
      </c>
      <c r="GL86" s="284" t="str">
        <f t="shared" si="684"/>
        <v/>
      </c>
      <c r="GM86" s="515" t="str">
        <f>IF(A86=FALSE,"",Cotations!AS86)</f>
        <v/>
      </c>
      <c r="GN86" s="515" t="str">
        <f>IF(A86=FALSE,"",Cotations!AT86)</f>
        <v/>
      </c>
      <c r="GO86" s="493" t="str">
        <f>IF(A86=FALSE,"",Cotations!AU86)</f>
        <v/>
      </c>
      <c r="GP86" s="515" t="str">
        <f>IF(A86=FALSE,"",IF(GM86="N/A",0,IF(INDEX(LISTES!$F$105:$F$109,MATCH(GM86,LISTES!$C$105:$C$109,0))="FIX",IF(INDEX(LISTES!$E$105:$E$109,MATCH(GM86,LISTES!$C$105:$C$109,0))=12,GN86/12*L86,GN86/365*M86),GO86*GL86)))</f>
        <v/>
      </c>
      <c r="GQ86" s="294" t="str">
        <f t="shared" si="685"/>
        <v/>
      </c>
      <c r="GR86" s="494" t="str">
        <f>IF(A86=FALSE,"",GQ86*Cotations!AV86)</f>
        <v/>
      </c>
      <c r="GS86" s="494" t="str">
        <f>IF(A86=FALSE,"",GQ86*Cotations!AW86)</f>
        <v/>
      </c>
      <c r="GT86" s="334" t="str">
        <f t="shared" si="686"/>
        <v/>
      </c>
      <c r="GU86" s="919" t="str">
        <f>IF(A86=FALSE,"",((GG86*TAXE)-(GG86*TAXE*GI86))+IF(GM86="N/A",0,IF(INDEX(LISTES!$F$105:$F$109,MATCH(GM86,LISTES!$C$105:$C$109,0))="FIX",GN86,GO86*GL86)))</f>
        <v/>
      </c>
      <c r="GV86" s="478"/>
      <c r="GW86" s="466"/>
      <c r="GX86" s="466"/>
      <c r="GY86" s="466"/>
      <c r="GZ86" s="466"/>
      <c r="HA86" s="492" t="str">
        <f>IF(A86=FALSE,"",Cotations!D86)</f>
        <v/>
      </c>
      <c r="HB86" s="495" t="str">
        <f>IF(A86=FALSE,"",IF(LISTES!$A$17=1,Cotations!AX86,Cotations!$AY$4))</f>
        <v/>
      </c>
      <c r="HC86" s="291" t="str">
        <f t="shared" si="687"/>
        <v/>
      </c>
      <c r="HD86" s="291" t="str">
        <f t="shared" si="688"/>
        <v/>
      </c>
      <c r="HE86" s="456" t="str">
        <f t="shared" si="689"/>
        <v/>
      </c>
      <c r="HF86" s="496" t="str">
        <f>IF(A86=FALSE,"",IF(HA86="POEA",Cotations!BA86,IF(HA86="FIXE",Cotations!$BA$4,Cotations!$BC$4*Y86)))</f>
        <v/>
      </c>
      <c r="HG86" s="300" t="str">
        <f t="shared" si="690"/>
        <v/>
      </c>
      <c r="HH86" s="522" t="str">
        <f>IF(A86=FALSE,"",IF(Cotations!$AZ$4="monthly",HG86/12*L86,HG86/365*M86))</f>
        <v/>
      </c>
      <c r="HI86" s="489" t="str">
        <f>IF(A86=FALSE,"",Cotations!$BD$4)</f>
        <v/>
      </c>
      <c r="HJ86" s="300" t="str">
        <f t="shared" si="691"/>
        <v/>
      </c>
      <c r="HK86" s="300" t="str">
        <f t="shared" si="692"/>
        <v/>
      </c>
      <c r="HL86" s="294" t="str">
        <f t="shared" si="693"/>
        <v/>
      </c>
      <c r="HM86" s="494" t="str">
        <f>IF(A86=FALSE,"",Cotations!$BE$4)</f>
        <v/>
      </c>
      <c r="HN86" s="522" t="str">
        <f>IF(A86=FALSE,"",Cotations!$BF$4)</f>
        <v/>
      </c>
      <c r="HO86" s="489" t="str">
        <f>IF(A86=FALSE,"",Cotations!$BG$4)</f>
        <v/>
      </c>
      <c r="HP86" s="494" t="str">
        <f>IF(A86=FALSE,"",IF(HM86="N/A",0,IF(INDEX(LISTES!$F$105:$F$109,MATCH(HM86,LISTES!$C$105:$C$109,0))="FIX",IF(INDEX(LISTES!$E$105:$E$109,MATCH(HM86,LISTES!$C$105:$C$109,0))=12,HN86/12*L86,HN86/365*M86),HO86*HL86)))</f>
        <v/>
      </c>
      <c r="HQ86" s="294" t="str">
        <f t="shared" si="694"/>
        <v/>
      </c>
      <c r="HR86" s="494" t="str">
        <f>IF(A86=FALSE,"",HQ86*Cotations!$BH$4)</f>
        <v/>
      </c>
      <c r="HS86" s="494" t="str">
        <f>IF(A86=FALSE,"",HQ86*Cotations!$BI$4)</f>
        <v/>
      </c>
      <c r="HT86" s="294" t="str">
        <f t="shared" si="695"/>
        <v/>
      </c>
      <c r="HU86" s="919" t="str">
        <f>IF(A86=FALSE,"",((HG86*TAXE)-(HG86*TAXE*HI86))+IF(HM86="N/A",0,IF(INDEX(LISTES!$F$105:$F$109,MATCH(HM86,LISTES!$C$105:$C$109,0))="FIX",HN86,HO86*HL86)))</f>
        <v/>
      </c>
      <c r="IA86" s="492" t="str">
        <f>IF(A86=FALSE,"",Cotations!D86)</f>
        <v/>
      </c>
      <c r="IB86" s="491" t="str">
        <f>IF(A86=FALSE,"",IF(LISTES!$A$17=1,Cotations!AX86,Cotations!AY86))</f>
        <v/>
      </c>
      <c r="IC86" s="285" t="str">
        <f t="shared" si="696"/>
        <v/>
      </c>
      <c r="ID86" s="300" t="str">
        <f>IF(A86=FALSE,"",IF(LISTES!$A$17=3,Detail!AU86,lig1_Formula_PREVOY))</f>
        <v/>
      </c>
      <c r="IE86" s="461" t="str">
        <f t="shared" si="697"/>
        <v/>
      </c>
      <c r="IF86" s="490" t="str">
        <f>IF(A86=FALSE,"",IF(IA86="POEA",Cotations!BA86,IF(HA86="FIXE",Cotations!BB86,IF(Cotations!BC86*Y86&lt;50000,Z86,Cotations!BC86*Y86))))</f>
        <v/>
      </c>
      <c r="IG86" s="300" t="str">
        <f t="shared" si="698"/>
        <v/>
      </c>
      <c r="IH86" s="522" t="str">
        <f>IF(A86=FALSE,"",IF(Cotations!AZ86="monthly",IG86/12*L86,IG86/365*M86))</f>
        <v/>
      </c>
      <c r="II86" s="489" t="str">
        <f>IF(A86=FALSE,"",IF(Cotations!BD86="","",Cotations!BD86))</f>
        <v/>
      </c>
      <c r="IJ86" s="300" t="str">
        <f t="shared" si="699"/>
        <v/>
      </c>
      <c r="IK86" s="300" t="str">
        <f t="shared" si="700"/>
        <v/>
      </c>
      <c r="IL86" s="919" t="str">
        <f t="shared" si="701"/>
        <v/>
      </c>
      <c r="IM86" s="517" t="str">
        <f>IF(A86=FALSE,"",Cotations!BE86)</f>
        <v/>
      </c>
      <c r="IN86" s="517" t="str">
        <f>IF(A86=FALSE,"",Cotations!BF86)</f>
        <v/>
      </c>
      <c r="IO86" s="493" t="str">
        <f>IF(A86=FALSE,"",Cotations!BG86)</f>
        <v/>
      </c>
      <c r="IP86" s="517" t="str">
        <f>IF(A86=FALSE,"",IF(IM86="N/A",0,IF(INDEX(LISTES!$F$105:$F$109,MATCH(IM86,LISTES!$C$105:$C$109,0))="FIX",IF(INDEX(LISTES!$E$105:$E$109,MATCH(IM86,LISTES!$C$105:$C$109,0))=12,IN86/12*L86,IN86/365*M86),IO86*IL86)))</f>
        <v/>
      </c>
      <c r="IQ86" s="294" t="str">
        <f t="shared" si="702"/>
        <v/>
      </c>
      <c r="IR86" s="494" t="str">
        <f>IF(A86=FALSE,"",IQ86*Cotations!BH86)</f>
        <v/>
      </c>
      <c r="IS86" s="494" t="str">
        <f>IF(A86=FALSE,"",IQ86*Cotations!BI86)</f>
        <v/>
      </c>
      <c r="IT86" s="338" t="str">
        <f t="shared" si="703"/>
        <v/>
      </c>
      <c r="IU86" s="919" t="str">
        <f>IF(A86=FALSE,"",((IG86*TAXE)-(IG86*TAXE*II86))+IF(IM86="N/A",0,IF(INDEX(LISTES!$F$105:$F$109,MATCH(IM86,LISTES!$C$105:$C$109,0))="FIX",IN86,IO86*IL86)))</f>
        <v/>
      </c>
      <c r="JA86" s="492" t="str">
        <f>IF(A86=FALSE,"",Cotations!D86)</f>
        <v/>
      </c>
      <c r="JB86" s="495" t="str">
        <f>IF(A86=FALSE,"",IF(LISTES!$A$17=1,Cotations!BJ86,Cotations!$BK$4))</f>
        <v/>
      </c>
      <c r="JC86" s="291" t="str">
        <f t="shared" si="704"/>
        <v/>
      </c>
      <c r="JD86" s="291" t="str">
        <f t="shared" si="705"/>
        <v/>
      </c>
      <c r="JE86" s="456" t="str">
        <f t="shared" si="706"/>
        <v/>
      </c>
      <c r="JF86" s="496" t="str">
        <f>IF(A86=FALSE,"",IF(JA86="POEA",Cotations!BM86,IF(JA86="FIXE",Cotations!$BM$4,Cotations!$BO$4*Y86)))</f>
        <v/>
      </c>
      <c r="JG86" s="300" t="str">
        <f t="shared" si="707"/>
        <v/>
      </c>
      <c r="JH86" s="522" t="str">
        <f>IF(A86=FALSE,"",IF(Cotations!$BL$4="monthly",JG86/12*L86,JG86/365*M86))</f>
        <v/>
      </c>
      <c r="JI86" s="489" t="str">
        <f>IF(A86=FALSE,"",Cotations!$BP$4)</f>
        <v/>
      </c>
      <c r="JJ86" s="300" t="str">
        <f t="shared" si="708"/>
        <v/>
      </c>
      <c r="JK86" s="300" t="str">
        <f t="shared" si="709"/>
        <v/>
      </c>
      <c r="JL86" s="294" t="str">
        <f t="shared" si="710"/>
        <v/>
      </c>
      <c r="JM86" s="494" t="str">
        <f>IF(A86=FALSE,"",Cotations!$BQ$4)</f>
        <v/>
      </c>
      <c r="JN86" s="522" t="str">
        <f>IF(A86=FALSE,"",Cotations!$BR$4)</f>
        <v/>
      </c>
      <c r="JO86" s="489" t="str">
        <f>IF(A86=FALSE,"",Cotations!$BS$4)</f>
        <v/>
      </c>
      <c r="JP86" s="494" t="str">
        <f>IF(A86=FALSE,"",IF(JM86="N/A",0,IF(INDEX(LISTES!$F$105:$F$109,MATCH(JM86,LISTES!$C$105:$C$109,0))="FIX",IF(INDEX(LISTES!$E$105:$E$109,MATCH(JM86,LISTES!$C$105:$C$109,0))=12,JN86/12*L86,JN86/365*M86),JO86*JL86)))</f>
        <v/>
      </c>
      <c r="JQ86" s="294" t="str">
        <f t="shared" si="711"/>
        <v/>
      </c>
      <c r="JR86" s="494" t="str">
        <f>IF(A86=FALSE,"",JQ86*Cotations!$BT$4)</f>
        <v/>
      </c>
      <c r="JS86" s="494" t="str">
        <f>IF(A86=FALSE,"",JQ86*Cotations!$BU$4)</f>
        <v/>
      </c>
      <c r="JT86" s="294" t="str">
        <f t="shared" si="712"/>
        <v/>
      </c>
      <c r="JU86" s="919" t="str">
        <f>IF(A86=FALSE,"",((JG86*TAXE)-(JG86*TAXE*JI86))+IF(JM86="N/A",0,IF(INDEX(LISTES!$F$105:$F$109,MATCH(JM86,LISTES!$C$105:$C$109,0))="FIX",JN86,JO86*JL86)))</f>
        <v/>
      </c>
      <c r="KA86" s="492" t="str">
        <f>IF(A86=FALSE,"",Cotations!D86)</f>
        <v/>
      </c>
      <c r="KB86" s="491" t="str">
        <f>IF(A86=FALSE,"",IF(LISTES!$A$17=1,Cotations!BJ86,Cotations!BK86))</f>
        <v/>
      </c>
      <c r="KC86" s="285" t="str">
        <f t="shared" si="713"/>
        <v/>
      </c>
      <c r="KD86" s="300"/>
      <c r="KE86" s="461" t="str">
        <f t="shared" si="714"/>
        <v/>
      </c>
      <c r="KF86" s="490" t="str">
        <f>IF(A86=FALSE,"",IF(KA86="POEA",Cotations!BM86,IF(KA86="FIXE",Cotations!BN86,IF(Cotations!BO86*Y86&lt;50000,Z86,Cotations!BO86*Y86))))</f>
        <v/>
      </c>
      <c r="KG86" s="300" t="str">
        <f t="shared" si="715"/>
        <v/>
      </c>
      <c r="KH86" s="522" t="str">
        <f>IF(A86=FALSE,"",IF(Cotations!BL86="monthly",KG86/12*L86,KG86/365*M86))</f>
        <v/>
      </c>
      <c r="KI86" s="489" t="str">
        <f>IF(A86=FALSE,"",IF(Cotations!BP86="","",Cotations!BP86))</f>
        <v/>
      </c>
      <c r="KJ86" s="300" t="str">
        <f t="shared" si="716"/>
        <v/>
      </c>
      <c r="KK86" s="300" t="str">
        <f t="shared" si="717"/>
        <v/>
      </c>
      <c r="KL86" s="919" t="str">
        <f t="shared" si="718"/>
        <v/>
      </c>
      <c r="KM86" s="517" t="str">
        <f>IF(A86=FALSE,"",Cotations!BQ86)</f>
        <v/>
      </c>
      <c r="KN86" s="515" t="str">
        <f>IF(A86=FALSE,"",Cotations!BR86)</f>
        <v/>
      </c>
      <c r="KO86" s="493" t="str">
        <f>IF(A86=FALSE,"",Cotations!BS86)</f>
        <v/>
      </c>
      <c r="KP86" s="517" t="str">
        <f>IF(A86=FALSE,"",IF(KM86="N/A",0,IF(INDEX(LISTES!$F$105:$F$109,MATCH(KM86,LISTES!$C$105:$C$109,0))="FIX",IF(INDEX(LISTES!$E$105:$E$109,MATCH(KM86,LISTES!$C$105:$C$109,0))=12,KN86/12*L86,KN86/365*M86),KO86*KL86)))</f>
        <v/>
      </c>
      <c r="KQ86" s="294" t="str">
        <f t="shared" si="719"/>
        <v/>
      </c>
      <c r="KR86" s="494" t="str">
        <f>IF(A86=FALSE,"",KQ86*Cotations!BT86)</f>
        <v/>
      </c>
      <c r="KS86" s="494" t="str">
        <f>IF(A86=FALSE,"",KQ86*Cotations!BU86)</f>
        <v/>
      </c>
      <c r="KT86" s="338" t="str">
        <f t="shared" si="720"/>
        <v/>
      </c>
      <c r="KU86" s="919" t="str">
        <f>IF(A86=FALSE,"",((KG86*TAXE)-(KG86*TAXE*KI86))+IF(KM86="N/A",0,IF(INDEX(LISTES!$F$105:$F$109,MATCH(KM86,LISTES!$C$105:$C$109,0))="FIX",KN86,KO86*KL86)))</f>
        <v/>
      </c>
      <c r="LA86" s="497" t="str">
        <f>IF(A86=FALSE,"",Cotations!D86)</f>
        <v/>
      </c>
      <c r="LB86" s="498" t="str">
        <f>IF(A86=FALSE,"",IF(LISTES!$A$17=1,Cotations!BV86,Cotations!$BW$4))</f>
        <v/>
      </c>
      <c r="LC86" s="499" t="str">
        <f t="shared" si="721"/>
        <v/>
      </c>
      <c r="LD86" s="499" t="str">
        <f t="shared" si="722"/>
        <v/>
      </c>
      <c r="LE86" s="500" t="str">
        <f t="shared" si="723"/>
        <v/>
      </c>
      <c r="LF86" s="501" t="str">
        <f>IF(A86=FALSE,"",IF(LA86="POEA",Cotations!EJ86,IF(LA86="FIXE",Cotations!$BY$4,Cotations!$CA$4*Y86)))</f>
        <v/>
      </c>
      <c r="LG86" s="502" t="str">
        <f t="shared" si="724"/>
        <v/>
      </c>
      <c r="LH86" s="520" t="str">
        <f>IF(A86=FALSE,"",IF(Cotations!$BX$4="monthly",LG86/12*L86,LG86/365*M86))</f>
        <v/>
      </c>
      <c r="LI86" s="503" t="str">
        <f>IF(A86=FALSE,"",Cotations!$CB$4)</f>
        <v/>
      </c>
      <c r="LJ86" s="502" t="str">
        <f t="shared" si="725"/>
        <v/>
      </c>
      <c r="LK86" s="502" t="str">
        <f t="shared" si="726"/>
        <v/>
      </c>
      <c r="LL86" s="504" t="str">
        <f t="shared" si="727"/>
        <v/>
      </c>
      <c r="LM86" s="505" t="str">
        <f>IF(A86=FALSE,"",Cotations!$CC$4)</f>
        <v/>
      </c>
      <c r="LN86" s="503" t="str">
        <f>IF(A86=FALSE,"",Cotations!$CD$4)</f>
        <v/>
      </c>
      <c r="LO86" s="503" t="str">
        <f>IF(A86=FALSE,"",Cotations!$CE$4)</f>
        <v/>
      </c>
      <c r="LP86" s="505" t="str">
        <f>IF(A86=FALSE,"",IF(LM86="N/A",0,IF(INDEX(LISTES!$F$105:$F$109,MATCH(LM86,LISTES!$C$105:$C$109,0))="FIX",IF(INDEX(LISTES!$E$105:$E$109,MATCH(LM86,LISTES!$C$105:$C$109,0))=12,LN86/12*L86,LN86/365*M86),LO86*LL86)))</f>
        <v/>
      </c>
      <c r="LQ86" s="504" t="str">
        <f t="shared" si="728"/>
        <v/>
      </c>
      <c r="LR86" s="505" t="str">
        <f>IF(A86=FALSE,"",LQ86*Cotations!$CF$4)</f>
        <v/>
      </c>
      <c r="LS86" s="505" t="str">
        <f>IF(A86=FALSE,"",LQ86*Cotations!$CG$4)</f>
        <v/>
      </c>
      <c r="LT86" s="506" t="str">
        <f t="shared" si="729"/>
        <v/>
      </c>
      <c r="LU86" s="919" t="str">
        <f>IF(A86=FALSE,"",((LG86*TAXE)-(LG86*TAXE*LI86))+IF(LM86="N/A",0,IF(INDEX(LISTES!$F$105:$F$109,MATCH(LM86,LISTES!$C$105:$C$109,0))="FIX",LN86,LO86*LL86)))</f>
        <v/>
      </c>
      <c r="MA86" s="492" t="str">
        <f>IF(A86=FALSE,"",Cotations!D86)</f>
        <v/>
      </c>
      <c r="MB86" s="491" t="str">
        <f>IF(A86=FALSE,"",IF(LISTES!$A$17=1,Cotations!BV86,Cotations!BW86))</f>
        <v/>
      </c>
      <c r="MC86" s="285" t="str">
        <f t="shared" si="730"/>
        <v/>
      </c>
      <c r="MD86" s="300"/>
      <c r="ME86" s="461" t="str">
        <f t="shared" si="731"/>
        <v/>
      </c>
      <c r="MF86" s="490" t="str">
        <f>IF(A86=FALSE,"",IF(MA86="POEA",Cotations!BY86,IF(MA86="FIXE",Cotations!BZ86,IF(Cotations!CA86*Y86&lt;50000,Z86,Cotations!CA86*Y86))))</f>
        <v/>
      </c>
      <c r="MG86" s="300" t="str">
        <f t="shared" si="732"/>
        <v/>
      </c>
      <c r="MH86" s="522" t="str">
        <f>IF(A86=FALSE,"",IF(Cotations!BX86="monthly",MG86/12*L86,MG86/365*M86))</f>
        <v/>
      </c>
      <c r="MI86" s="489" t="str">
        <f>IF(A86=FALSE,"",IF(Cotations!CB86="","",Cotations!CB86))</f>
        <v/>
      </c>
      <c r="MJ86" s="300" t="str">
        <f t="shared" si="733"/>
        <v/>
      </c>
      <c r="MK86" s="300" t="str">
        <f t="shared" si="734"/>
        <v/>
      </c>
      <c r="ML86" s="919" t="str">
        <f t="shared" si="735"/>
        <v/>
      </c>
      <c r="MM86" s="517" t="str">
        <f>IF(A86=FALSE,"",Cotations!CC86)</f>
        <v/>
      </c>
      <c r="MN86" s="515" t="str">
        <f>IF(A86=FALSE,"",Cotations!CD86)</f>
        <v/>
      </c>
      <c r="MO86" s="493" t="str">
        <f>IF(A86=FALSE,"",Cotations!CE86)</f>
        <v/>
      </c>
      <c r="MP86" s="517" t="str">
        <f>IF(A86=FALSE,"",IF(MM86="N/A",0,IF(INDEX(LISTES!$F$105:$F$109,MATCH(MM86,LISTES!$C$105:$C$109,0))="FIX",IF(INDEX(LISTES!$E$105:$E$109,MATCH(MM86,LISTES!$C$105:$C$109,0))=12,MN86/12*L86,MN86/365*M86),MO86*ML86)))</f>
        <v/>
      </c>
      <c r="MQ86" s="294" t="str">
        <f t="shared" si="736"/>
        <v/>
      </c>
      <c r="MR86" s="494" t="str">
        <f>IF(A86=FALSE,"",MQ86*Cotations!CF86)</f>
        <v/>
      </c>
      <c r="MS86" s="494" t="str">
        <f>IF(A86=FALSE,"",MQ86*Cotations!CG86)</f>
        <v/>
      </c>
      <c r="MT86" s="338" t="str">
        <f t="shared" si="737"/>
        <v/>
      </c>
      <c r="MU86" s="919" t="str">
        <f>IF(A86=FALSE,"",((MG86*TAXE)-(MG86*TAXE*MI86))+IF(MM86="N/A",0,IF(INDEX(LISTES!$F$105:$F$109,MATCH(MM86,LISTES!$C$105:$C$109,0))="FIX",MN86,MO86*ML86)))</f>
        <v/>
      </c>
      <c r="NA86" s="497" t="str">
        <f>IF(A86=FALSE,"",Cotations!D86)</f>
        <v/>
      </c>
      <c r="NB86" s="498" t="str">
        <f>IF(A86=FALSE,"",IF(LISTES!$A$17=1,Cotations!CH86,Cotations!$CI$4))</f>
        <v/>
      </c>
      <c r="NC86" s="499" t="str">
        <f t="shared" si="738"/>
        <v/>
      </c>
      <c r="ND86" s="499" t="str">
        <f t="shared" si="739"/>
        <v/>
      </c>
      <c r="NE86" s="500" t="str">
        <f t="shared" si="740"/>
        <v/>
      </c>
      <c r="NF86" s="501" t="str">
        <f>IF(A86=FALSE,"",IF(NA86="POEA",Cotations!CK86,IF(NA86="FIXE",Cotations!$CK$4,Cotations!$CM$4*Y86)))</f>
        <v/>
      </c>
      <c r="NG86" s="502" t="str">
        <f t="shared" si="741"/>
        <v/>
      </c>
      <c r="NH86" s="520" t="str">
        <f>IF(A86=FALSE,"",IF(Cotations!$CJ$4="monthly",NG86/12*L86,NG86/365*M86))</f>
        <v/>
      </c>
      <c r="NI86" s="503" t="str">
        <f>IF(A86=FALSE,"",Cotations!$CN$4)</f>
        <v/>
      </c>
      <c r="NJ86" s="502" t="str">
        <f t="shared" si="742"/>
        <v/>
      </c>
      <c r="NK86" s="502" t="str">
        <f t="shared" si="743"/>
        <v/>
      </c>
      <c r="NL86" s="504" t="str">
        <f t="shared" si="744"/>
        <v/>
      </c>
      <c r="NM86" s="505" t="str">
        <f>IF(A86=FALSE,"",Cotations!$CO$4)</f>
        <v/>
      </c>
      <c r="NN86" s="520" t="str">
        <f>IF(A86=FALSE,"",Cotations!$CP$4)</f>
        <v/>
      </c>
      <c r="NO86" s="503" t="str">
        <f>IF(A86=FALSE,"",Cotations!$CQ$4)</f>
        <v/>
      </c>
      <c r="NP86" s="505" t="str">
        <f>IF(A86=FALSE,"",IF(NM86="N/A",0,IF(INDEX(LISTES!$F$105:$F$109,MATCH(NM86,LISTES!$C$105:$C$109,0))="FIX",IF(INDEX(LISTES!$E$105:$E$109,MATCH(NM86,LISTES!$C$105:$C$109,0))=12,NN86/12*L86,NN86/365*M86),NO86*NL86)))</f>
        <v/>
      </c>
      <c r="NQ86" s="504" t="str">
        <f t="shared" si="745"/>
        <v/>
      </c>
      <c r="NR86" s="505" t="str">
        <f>IF(A86=FALSE,"",NQ86*Cotations!$CR$4)</f>
        <v/>
      </c>
      <c r="NS86" s="505" t="str">
        <f>IF(A86=FALSE,"",NQ86*Cotations!$CS$4)</f>
        <v/>
      </c>
      <c r="NT86" s="506" t="str">
        <f t="shared" si="746"/>
        <v/>
      </c>
      <c r="NU86" s="919" t="str">
        <f>IF(A86=FALSE,"",((NG86*TAXE)-(NG86*TAXE*NI86))+IF(NM86="N/A",0,IF(INDEX(LISTES!$F$105:$F$109,MATCH(NM86,LISTES!$C$105:$C$109,0))="FIX",NN86,NO86*NL86)))</f>
        <v/>
      </c>
      <c r="OA86" s="492" t="str">
        <f>IF(A86=FALSE,"",Cotations!D86)</f>
        <v/>
      </c>
      <c r="OB86" s="491" t="str">
        <f>IF(A86=FALSE,"",IF(LISTES!$A$17=1,Cotations!CH86,Cotations!CI86))</f>
        <v/>
      </c>
      <c r="OC86" s="285" t="str">
        <f t="shared" si="747"/>
        <v/>
      </c>
      <c r="OD86" s="300"/>
      <c r="OE86" s="461" t="str">
        <f t="shared" si="748"/>
        <v/>
      </c>
      <c r="OF86" s="490" t="str">
        <f>IF(A86=FALSE,"",IF(OA86="POEA",Cotations!CK86,IF(OA86="FIXE",Cotations!CL86,IF(Cotations!CM86*Y86&lt;50000,Z86,Cotations!CM86*Y86))))</f>
        <v/>
      </c>
      <c r="OG86" s="300" t="str">
        <f t="shared" si="749"/>
        <v/>
      </c>
      <c r="OH86" s="522" t="str">
        <f>IF(A86=FALSE,"",IF(Cotations!CJ86="monthly",OG86/12*L86,OG86/365*M86))</f>
        <v/>
      </c>
      <c r="OI86" s="489" t="str">
        <f>IF(A86=FALSE,"",IF(Cotations!CN86="","",Cotations!CN86))</f>
        <v/>
      </c>
      <c r="OJ86" s="300" t="str">
        <f t="shared" si="750"/>
        <v/>
      </c>
      <c r="OK86" s="300" t="str">
        <f t="shared" si="751"/>
        <v/>
      </c>
      <c r="OL86" s="919" t="str">
        <f t="shared" si="752"/>
        <v/>
      </c>
      <c r="OM86" s="517" t="str">
        <f>IF(A86=FALSE,"",Cotations!CO86)</f>
        <v/>
      </c>
      <c r="ON86" s="515" t="str">
        <f>IF(A86=FALSE,"",Cotations!CP86)</f>
        <v/>
      </c>
      <c r="OO86" s="493" t="str">
        <f>IF(A86=FALSE,"",Cotations!CQ86)</f>
        <v/>
      </c>
      <c r="OP86" s="517" t="str">
        <f>IF(A86=FALSE,"",IF(OM86="N/A",0,IF(INDEX(LISTES!$F$105:$F$109,MATCH(OM86,LISTES!$C$105:$C$109,0))="FIX",IF(INDEX(LISTES!$E$105:$E$109,MATCH(OM86,LISTES!$C$105:$C$109,0))=12,ON86/12*L86,ON86/365*M86),OO86*OL86)))</f>
        <v/>
      </c>
      <c r="OQ86" s="294" t="str">
        <f t="shared" si="753"/>
        <v/>
      </c>
      <c r="OR86" s="494" t="str">
        <f>IF(A86=FALSE,"",OQ86*Cotations!CR86)</f>
        <v/>
      </c>
      <c r="OS86" s="494" t="str">
        <f>IF(A86=FALSE,"",OQ86*Cotations!CS86)</f>
        <v/>
      </c>
      <c r="OT86" s="338" t="str">
        <f t="shared" si="754"/>
        <v/>
      </c>
      <c r="OU86" s="919" t="str">
        <f>IF(A86=FALSE,"",((OG86*TAXE)-(OG86*TAXE*OI86))+IF(OM86="N/A",0,IF(INDEX(LISTES!$F$105:$F$109,MATCH(OM86,LISTES!$C$105:$C$109,0))="FIX",ON86,OO86*OL86)))</f>
        <v/>
      </c>
      <c r="PA86" s="497" t="str">
        <f t="shared" si="755"/>
        <v/>
      </c>
      <c r="PB86" s="498" t="str">
        <f>IF(A86=FALSE,"",IF(LISTES!$A$17=1,Cotations!CT86,Cotations!$CU$4))</f>
        <v/>
      </c>
      <c r="PC86" s="499" t="str">
        <f t="shared" si="756"/>
        <v/>
      </c>
      <c r="PD86" s="499" t="str">
        <f t="shared" si="757"/>
        <v/>
      </c>
      <c r="PE86" s="500" t="str">
        <f t="shared" si="758"/>
        <v/>
      </c>
      <c r="PF86" s="501" t="str">
        <f>IF(A86=FALSE,"",Cotations!$CY$4*Y86)</f>
        <v/>
      </c>
      <c r="PG86" s="502" t="str">
        <f t="shared" si="759"/>
        <v/>
      </c>
      <c r="PH86" s="520" t="str">
        <f>IF(A86=FALSE,"",IF(Cotations!$CV$4="monthly",PG86/12*L86,PG86/365*M86))</f>
        <v/>
      </c>
      <c r="PI86" s="503" t="str">
        <f>IF(A86=FALSE,"",Cotations!$CZ$4)</f>
        <v/>
      </c>
      <c r="PJ86" s="502" t="str">
        <f t="shared" si="760"/>
        <v/>
      </c>
      <c r="PK86" s="502" t="str">
        <f t="shared" si="761"/>
        <v/>
      </c>
      <c r="PL86" s="504" t="str">
        <f t="shared" si="762"/>
        <v/>
      </c>
      <c r="PM86" s="505" t="str">
        <f>IF(A86=FALSE,"",Cotations!$DA$4)</f>
        <v/>
      </c>
      <c r="PN86" s="520" t="str">
        <f>IF(A86=FALSE,"",Cotations!$DB$4)</f>
        <v/>
      </c>
      <c r="PO86" s="503" t="str">
        <f>IF(A86=FALSE,"",Cotations!$DC$4)</f>
        <v/>
      </c>
      <c r="PP86" s="505" t="str">
        <f>IF(A86=FALSE,"",IF(PM86="N/A",0,IF(INDEX(LISTES!$F$105:$F$109,MATCH(PM86,LISTES!$C$105:$C$109,0))="FIX",IF(INDEX(LISTES!$E$105:$E$109,MATCH(PM86,LISTES!$C$105:$C$109,0))=12,PN86/12*L86,PN86/365*M86),PO86*PL86)))</f>
        <v/>
      </c>
      <c r="PQ86" s="504" t="str">
        <f t="shared" si="763"/>
        <v/>
      </c>
      <c r="PR86" s="505" t="str">
        <f>IF(A86=FALSE,"",PQ86*Cotations!$DD$4)</f>
        <v/>
      </c>
      <c r="PS86" s="505" t="str">
        <f>IF(A86=FALSE,"",PQ86*Cotations!$DE$4)</f>
        <v/>
      </c>
      <c r="PT86" s="506" t="str">
        <f t="shared" si="764"/>
        <v/>
      </c>
      <c r="PU86" s="919" t="str">
        <f>IF(A86=FALSE,"",((PG86*TAXE)-(PG86*TAXE*PI86))+IF(PM86="N/A",0,IF(INDEX(LISTES!$F$105:$F$109,MATCH(PM86,LISTES!$C$105:$C$109,0))="FIX",PN86,PO86*PL86)))</f>
        <v/>
      </c>
      <c r="QA86" s="492" t="str">
        <f t="shared" si="765"/>
        <v/>
      </c>
      <c r="QB86" s="491" t="str">
        <f>IF(A86=FALSE,"",IF(LISTES!$A$17=1,Cotations!CT86,Cotations!CU86))</f>
        <v/>
      </c>
      <c r="QC86" s="285" t="str">
        <f t="shared" si="766"/>
        <v/>
      </c>
      <c r="QD86" s="300"/>
      <c r="QE86" s="461" t="str">
        <f t="shared" si="767"/>
        <v/>
      </c>
      <c r="QF86" s="490" t="str">
        <f>IF(A86=FALSE,"",Cotations!CY86*AA86)</f>
        <v/>
      </c>
      <c r="QG86" s="300" t="str">
        <f t="shared" si="768"/>
        <v/>
      </c>
      <c r="QH86" s="522" t="str">
        <f>IF(A86=FALSE,"",IF(Cotations!CV86="monthly",QG86/12*L86,QG86/365*M86))</f>
        <v/>
      </c>
      <c r="QI86" s="489" t="str">
        <f>IF(A86=FALSE,"",IF(Cotations!CZ86="","",Cotations!CZ86))</f>
        <v/>
      </c>
      <c r="QJ86" s="300" t="str">
        <f t="shared" si="769"/>
        <v/>
      </c>
      <c r="QK86" s="300" t="str">
        <f t="shared" si="770"/>
        <v/>
      </c>
      <c r="QL86" s="919" t="str">
        <f t="shared" si="771"/>
        <v/>
      </c>
      <c r="QM86" s="517" t="str">
        <f>IF(A86=FALSE,"",Cotations!DA86)</f>
        <v/>
      </c>
      <c r="QN86" s="515" t="str">
        <f>IF(A86=FALSE,"",Cotations!DB86)</f>
        <v/>
      </c>
      <c r="QO86" s="493" t="str">
        <f>IF(A86=FALSE,"",Cotations!DC86)</f>
        <v/>
      </c>
      <c r="QP86" s="517" t="str">
        <f>IF(A86=FALSE,"",IF(QM86="N/A",0,IF(INDEX(LISTES!$F$105:$F$109,MATCH(QM86,LISTES!$C$105:$C$109,0))="FIX",IF(INDEX(LISTES!$E$105:$E$109,MATCH(QM86,LISTES!$C$105:$C$109,0))=12,QN86/12*L86,QN86/365*M86),QO86*QL86)))</f>
        <v/>
      </c>
      <c r="QQ86" s="294" t="str">
        <f t="shared" si="772"/>
        <v/>
      </c>
      <c r="QR86" s="494" t="str">
        <f>IF(A86=FALSE,"",QQ86*Cotations!DD86)</f>
        <v/>
      </c>
      <c r="QS86" s="494" t="str">
        <f>IF(A86=FALSE,"",QQ86*Cotations!DE86)</f>
        <v/>
      </c>
      <c r="QT86" s="338" t="str">
        <f t="shared" si="773"/>
        <v/>
      </c>
      <c r="QU86" s="919" t="str">
        <f>IF(A86=FALSE,"",((QG86*TAXE)-(QG86*TAXE*QI86))+IF(QM86="N/A",0,IF(INDEX(LISTES!$F$105:$F$109,MATCH(QM86,LISTES!$C$105:$C$109,0))="FIX",QN86,QO86*QL86)))</f>
        <v/>
      </c>
      <c r="RA86" s="497" t="str">
        <f t="shared" si="774"/>
        <v/>
      </c>
      <c r="RB86" s="498" t="str">
        <f>IF(A86=FALSE,"",IF(LISTES!$A$17=1,Cotations!DF86,Cotations!$DG$4))</f>
        <v/>
      </c>
      <c r="RC86" s="499" t="str">
        <f t="shared" si="775"/>
        <v/>
      </c>
      <c r="RD86" s="499" t="str">
        <f t="shared" si="776"/>
        <v/>
      </c>
      <c r="RE86" s="500" t="str">
        <f t="shared" si="777"/>
        <v/>
      </c>
      <c r="RF86" s="501" t="str">
        <f>IF(A86=FALSE,"",Cotations!$DK$4*Y86)</f>
        <v/>
      </c>
      <c r="RG86" s="502" t="str">
        <f t="shared" si="778"/>
        <v/>
      </c>
      <c r="RH86" s="520" t="str">
        <f>IF(A86=FALSE,"",IF(Cotations!$DH$4="monthly",RG86/12*L86,RG86/365*M86))</f>
        <v/>
      </c>
      <c r="RI86" s="503" t="str">
        <f>IF(A86=FALSE,"",Cotations!$DL$4)</f>
        <v/>
      </c>
      <c r="RJ86" s="502" t="str">
        <f t="shared" si="779"/>
        <v/>
      </c>
      <c r="RK86" s="502" t="str">
        <f t="shared" si="780"/>
        <v/>
      </c>
      <c r="RL86" s="504" t="str">
        <f t="shared" si="781"/>
        <v/>
      </c>
      <c r="RM86" s="505" t="str">
        <f>IF(A86=FALSE,"",Cotations!$DM$4)</f>
        <v/>
      </c>
      <c r="RN86" s="520" t="str">
        <f>IF(A86=FALSE,"",Cotations!$DN$4)</f>
        <v/>
      </c>
      <c r="RO86" s="503" t="str">
        <f>IF(A86=FALSE,"",Cotations!$DO$4)</f>
        <v/>
      </c>
      <c r="RP86" s="505" t="str">
        <f>IF(A86=FALSE,"",IF(RM86="N/A",0,IF(INDEX(LISTES!$F$105:$F$109,MATCH(RM86,LISTES!$C$105:$C$109,0))="FIX",IF(INDEX(LISTES!$E$105:$E$109,MATCH(RM86,LISTES!$C$105:$C$109,0))=12,RN86/12*L86,RN86/365*M86),RO86*RL86)))</f>
        <v/>
      </c>
      <c r="RQ86" s="504" t="str">
        <f t="shared" si="782"/>
        <v/>
      </c>
      <c r="RR86" s="505" t="str">
        <f>IF(A86=FALSE,"",RQ86*Cotations!$DP$4)</f>
        <v/>
      </c>
      <c r="RS86" s="505" t="str">
        <f>IF(A86=FALSE,"",RQ86*Cotations!$DQ$4)</f>
        <v/>
      </c>
      <c r="RT86" s="506" t="str">
        <f t="shared" si="783"/>
        <v/>
      </c>
      <c r="RU86" s="919" t="str">
        <f>IF(A86=FALSE,"",((RG86*TAXE)-(RG86*TAXE*RI86))+IF(RM86="N/A",0,IF(INDEX(LISTES!$F$105:$F$109,MATCH(RM86,LISTES!$C$105:$C$109,0))="FIX",RN86,RO86*RL86)))</f>
        <v/>
      </c>
      <c r="SA86" s="492" t="str">
        <f t="shared" si="784"/>
        <v/>
      </c>
      <c r="SB86" s="491" t="str">
        <f>IF(A86=FALSE,"",IF(LISTES!$A$17=1,Cotations!DF86,Cotations!DG86))</f>
        <v/>
      </c>
      <c r="SC86" s="285" t="str">
        <f t="shared" si="785"/>
        <v/>
      </c>
      <c r="SD86" s="300"/>
      <c r="SE86" s="461" t="str">
        <f t="shared" si="786"/>
        <v/>
      </c>
      <c r="SF86" s="490" t="str">
        <f>IF(A86=FALSE,"",Cotations!DK86*AA86)</f>
        <v/>
      </c>
      <c r="SG86" s="300" t="str">
        <f t="shared" si="787"/>
        <v/>
      </c>
      <c r="SH86" s="522" t="str">
        <f>IF(A86=FALSE,"",IF(Cotations!DH86="monthly",SG86/12*L86,SG86/365*M86))</f>
        <v/>
      </c>
      <c r="SI86" s="489" t="str">
        <f>IF(A86=FALSE,"",IF(Cotations!DL86="","",Cotations!DL86))</f>
        <v/>
      </c>
      <c r="SJ86" s="300" t="str">
        <f t="shared" si="788"/>
        <v/>
      </c>
      <c r="SK86" s="300" t="str">
        <f t="shared" si="789"/>
        <v/>
      </c>
      <c r="SL86" s="919" t="str">
        <f t="shared" si="790"/>
        <v/>
      </c>
      <c r="SM86" s="285" t="str">
        <f>IF(A86=FALSE,"",Cotations!DM86)</f>
        <v/>
      </c>
      <c r="SN86" s="515" t="str">
        <f>IF(A86=FALSE,"",Cotations!DN86)</f>
        <v/>
      </c>
      <c r="SO86" s="493" t="str">
        <f>IF(A86=FALSE,"",Cotations!DO86)</f>
        <v/>
      </c>
      <c r="SP86" s="517" t="str">
        <f>IF(A86=FALSE,"",IF(SM86="N/A",0,IF(INDEX(LISTES!$F$105:$F$109,MATCH(SM86,LISTES!$C$105:$C$109,0))="FIX",IF(INDEX(LISTES!$E$105:$E$109,MATCH(SM86,LISTES!$C$105:$C$109,0))=12,SN86/12*L86,SN86/365*M86),SO86*SL86)))</f>
        <v/>
      </c>
      <c r="SQ86" s="294" t="str">
        <f t="shared" si="791"/>
        <v/>
      </c>
      <c r="SR86" s="494" t="str">
        <f>IF(A86=FALSE,"",SQ86*Cotations!DP86)</f>
        <v/>
      </c>
      <c r="SS86" s="494" t="str">
        <f>IF(A86=FALSE,"",SQ86*Cotations!DQ86)</f>
        <v/>
      </c>
      <c r="ST86" s="338" t="str">
        <f t="shared" si="792"/>
        <v/>
      </c>
      <c r="SU86" s="919" t="str">
        <f>IF(A86=FALSE,"",((SG86*TAXE)-(SG86*TAXE*SI86))+IF(SM86="N/A",0,IF(INDEX(LISTES!$F$105:$F$109,MATCH(SM86,LISTES!$C$105:$C$109,0))="FIX",SN86,SO86*SL86)))</f>
        <v/>
      </c>
      <c r="TA86" s="492" t="str">
        <f>IF(A86=FALSE,"",Cotations!D86)</f>
        <v/>
      </c>
      <c r="TB86" s="491" t="str">
        <f>IF(A86=FALSE,"",IF(LISTES!$A$17=1,Cotations!DR86,Cotations!DS86))</f>
        <v/>
      </c>
      <c r="TC86" s="285" t="str">
        <f t="shared" si="793"/>
        <v/>
      </c>
      <c r="TD86" s="300" t="str">
        <f>IF(A86=FALSE,"",Detail!CQ86)</f>
        <v/>
      </c>
      <c r="TE86" s="461" t="str">
        <f t="shared" si="794"/>
        <v/>
      </c>
      <c r="TF86" s="490" t="str">
        <f>IF(A86=FALSE,"",IF(TA86="FIXE",Cotations!DU86,Cotations!DV86*Y86))</f>
        <v/>
      </c>
      <c r="TG86" s="300" t="str">
        <f t="shared" si="795"/>
        <v/>
      </c>
      <c r="TH86" s="522" t="str">
        <f>IF(A86=FALSE,"",IF(Cotations!DT86="monthly",TG86/12*L86,TG86/365*M86))</f>
        <v/>
      </c>
      <c r="TI86" s="489" t="str">
        <f>IF(A86=FALSE,"",IF(Cotations!DW86="","",Cotations!DW86))</f>
        <v/>
      </c>
      <c r="TJ86" s="300" t="str">
        <f t="shared" si="796"/>
        <v/>
      </c>
      <c r="TK86" s="300" t="str">
        <f t="shared" si="797"/>
        <v/>
      </c>
      <c r="TL86" s="919" t="str">
        <f t="shared" si="798"/>
        <v/>
      </c>
      <c r="TM86" s="517" t="str">
        <f>IF(A86=FALSE,"",Cotations!DX86)</f>
        <v/>
      </c>
      <c r="TN86" s="517" t="str">
        <f>IF(A86=FALSE,"",Cotations!DY86)</f>
        <v/>
      </c>
      <c r="TO86" s="493" t="str">
        <f>IF(A86=FALSE,"",Cotations!DZ86)</f>
        <v/>
      </c>
      <c r="TP86" s="517" t="str">
        <f>IF(A86=FALSE,"",IF(TM86="N/A",0,IF(INDEX(LISTES!$F$105:$F$109,MATCH(TM86,LISTES!$C$105:$C$109,0))="FIX",IF(INDEX(LISTES!$E$105:$E$109,MATCH(TM86,LISTES!$C$105:$C$109,0))=12,TN86/12*L86,TN86/365*M86),TO86*TL86)))</f>
        <v/>
      </c>
      <c r="TQ86" s="294" t="str">
        <f t="shared" si="799"/>
        <v/>
      </c>
      <c r="TR86" s="494" t="str">
        <f>IF(A86=FALSE,"",TQ86*Cotations!EA86)</f>
        <v/>
      </c>
      <c r="TS86" s="494" t="str">
        <f>IF(A86=FALSE,"",TQ86*Cotations!EB86)</f>
        <v/>
      </c>
      <c r="TT86" s="338" t="str">
        <f t="shared" si="800"/>
        <v/>
      </c>
      <c r="TU86" s="919" t="str">
        <f>IF(A86=FALSE,"",((TG86*(1+TAXE)-(TG86*(1+TAXE)*TI86))+IF(TM86="N/A",0,IF(INDEX(LISTES!$F$105:$F$109,MATCH(TM86,LISTES!$C$105:$C$109,0))="FIX",TN86,TO86*TL86))))</f>
        <v/>
      </c>
      <c r="UA86" s="492" t="str">
        <f>IF(A86=FALSE,"",Cotations!D86)</f>
        <v/>
      </c>
      <c r="UB86" s="491" t="str">
        <f>IF(A86=FALSE,"",IF(LISTES!$A$17=1,Cotations!EC86,Cotations!ED86))</f>
        <v/>
      </c>
      <c r="UC86" s="285" t="str">
        <f t="shared" si="801"/>
        <v/>
      </c>
      <c r="UD86" s="300" t="str">
        <f>IF(A86=FALSE,"",Detail!CY86)</f>
        <v/>
      </c>
      <c r="UE86" s="461" t="str">
        <f t="shared" si="802"/>
        <v/>
      </c>
      <c r="UF86" s="490" t="str">
        <f>IF(A86=FALSE,"",IF(UA86="FIXE",Cotations!EF86,Cotations!EG86*Y86))</f>
        <v/>
      </c>
      <c r="UG86" s="300" t="str">
        <f t="shared" si="803"/>
        <v/>
      </c>
      <c r="UH86" s="522" t="str">
        <f>IF(A86=FALSE,"",IF(Cotations!EE86="monthly",UG86/12*L86,UG86/365*M86))</f>
        <v/>
      </c>
      <c r="UI86" s="489" t="str">
        <f>IF(A86=FALSE,"",IF(Cotations!EH86="","",Cotations!EH86))</f>
        <v/>
      </c>
      <c r="UJ86" s="300" t="str">
        <f t="shared" si="804"/>
        <v/>
      </c>
      <c r="UK86" s="300" t="str">
        <f t="shared" si="805"/>
        <v/>
      </c>
      <c r="UL86" s="919" t="str">
        <f t="shared" si="806"/>
        <v/>
      </c>
      <c r="UM86" s="517" t="str">
        <f>IF(A86=FALSE,"",Cotations!EI86)</f>
        <v/>
      </c>
      <c r="UN86" s="517" t="str">
        <f>IF(A86=FALSE,"",Cotations!EJ86)</f>
        <v/>
      </c>
      <c r="UO86" s="493" t="str">
        <f>IF(A86=FALSE,"",Cotations!EK86)</f>
        <v/>
      </c>
      <c r="UP86" s="517" t="str">
        <f>IF(A86=FALSE,"",IF(UM86="N/A",0,IF(INDEX(LISTES!$F$105:$F$109,MATCH(UM86,LISTES!$C$105:$C$109,0))="FIX",IF(INDEX(LISTES!$E$105:$E$109,MATCH(UM86,LISTES!$C$105:$C$109,0))=12,UN86/12*L86,UN86/365*M86),UO86*UL86)))</f>
        <v/>
      </c>
      <c r="UQ86" s="294" t="str">
        <f t="shared" si="807"/>
        <v/>
      </c>
      <c r="UR86" s="494" t="str">
        <f>IF(A86=FALSE,"",UQ86*Cotations!EL86)</f>
        <v/>
      </c>
      <c r="US86" s="494" t="str">
        <f>IF(A86=FALSE,"",UQ86*Cotations!EM86)</f>
        <v/>
      </c>
      <c r="UT86" s="338" t="str">
        <f t="shared" si="808"/>
        <v/>
      </c>
      <c r="UU86" s="919" t="str">
        <f>IF(A86=FALSE,"",((UG86*(1+TAXE)-(UG86*(1+TAXE)*UI86))+IF(UM86="N/A",0,IF(INDEX(LISTES!$F$105:$F$109,MATCH(UM86,LISTES!$C$105:$C$109,0))="FIX",UN86,UO86*UL86))))</f>
        <v/>
      </c>
      <c r="VA86" s="492" t="str">
        <f>IF(A86=FALSE,"",Cotations!D86)</f>
        <v/>
      </c>
      <c r="VB86" s="519" t="str">
        <f>IF(A86=FALSE,"",IF(LISTES!$A$17=1,Cotations!EN86,Cotations!EO86))</f>
        <v/>
      </c>
      <c r="VC86" s="291" t="str">
        <f t="shared" si="809"/>
        <v/>
      </c>
      <c r="VD86" s="291" t="str">
        <f t="shared" si="810"/>
        <v/>
      </c>
      <c r="VE86" s="291"/>
      <c r="VF86" s="463"/>
      <c r="VG86" s="463" t="str">
        <f t="shared" si="811"/>
        <v/>
      </c>
      <c r="VH86" s="522" t="str">
        <f>IF(A86=FALSE,"",IF(Cotations!$AQ$4="monthly",VG86/12*L86,VG86/365*M86))</f>
        <v/>
      </c>
      <c r="VI86" s="489" t="str">
        <f>IF(A86=FALSE,"",Cotations!$AR$4)</f>
        <v/>
      </c>
      <c r="VJ86" s="300" t="str">
        <f t="shared" si="812"/>
        <v/>
      </c>
      <c r="VK86" s="300" t="str">
        <f t="shared" si="813"/>
        <v/>
      </c>
      <c r="VL86" s="294" t="str">
        <f t="shared" si="814"/>
        <v/>
      </c>
      <c r="VM86" s="494" t="str">
        <f>IF(A86=FALSE,"",Cotations!$AS$4)</f>
        <v/>
      </c>
      <c r="VN86" s="494" t="str">
        <f>IF(A86=FALSE,"",Cotations!$AT$4)</f>
        <v/>
      </c>
      <c r="VO86" s="489" t="str">
        <f>IF(A86=FALSE,"",Cotations!$AU$4)</f>
        <v/>
      </c>
      <c r="VP86" s="494" t="str">
        <f>IF(A86=FALSE,"",IF(VM86="N/A",0,IF(INDEX(LISTES!$F$105:$F$109,MATCH(VM86,LISTES!$C$105:$C$109,0))="FIX",IF(INDEX(LISTES!$E$105:$E$109,MATCH(VM86,LISTES!$C$105:$C$109,0))=12,VN86/12*L86,VN86/365*M86),VO86*VL86)))</f>
        <v/>
      </c>
      <c r="VQ86" s="294" t="str">
        <f t="shared" si="815"/>
        <v/>
      </c>
      <c r="VR86" s="494" t="str">
        <f>IF(A86=FALSE,"",VQ86*Cotations!$AV$4)</f>
        <v/>
      </c>
      <c r="VS86" s="494" t="str">
        <f>IF(A86=FALSE,"",VQ86*Cotations!$AW$4)</f>
        <v/>
      </c>
      <c r="VT86" s="465" t="str">
        <f t="shared" si="816"/>
        <v/>
      </c>
      <c r="VU86" s="919" t="str">
        <f>IF(A86=FALSE,"",((VG86*TAXE)-(VG86*TAXE*VI86))+IF(VM86="N/A",0,IF(INDEX(LISTES!$F$105:$F$109,MATCH(VM86,LISTES!$C$105:$C$109,0))="FIX",VN86,VO86*VL86)))</f>
        <v/>
      </c>
      <c r="WA86" s="492" t="str">
        <f>IF(A86=FALSE,"",Cotations!D86)</f>
        <v/>
      </c>
      <c r="WB86" s="519" t="str">
        <f>IF(A86=FALSE,"",IF(LISTES!$A$17=1,Cotations!EW86,Cotations!EX86))</f>
        <v/>
      </c>
      <c r="WC86" s="291" t="str">
        <f t="shared" si="817"/>
        <v/>
      </c>
      <c r="WD86" s="291" t="str">
        <f t="shared" si="818"/>
        <v/>
      </c>
      <c r="WE86" s="291"/>
      <c r="WF86" s="463"/>
      <c r="WG86" s="463" t="str">
        <f t="shared" si="819"/>
        <v/>
      </c>
      <c r="WH86" s="522" t="str">
        <f>IF(A86=FALSE,"",IF(Cotations!$AQ$4="monthly",WG86/12*L86,WG86/365*M86))</f>
        <v/>
      </c>
      <c r="WI86" s="489" t="str">
        <f>IF(A86=FALSE,"",Cotations!$AR$4)</f>
        <v/>
      </c>
      <c r="WJ86" s="300" t="str">
        <f t="shared" si="820"/>
        <v/>
      </c>
      <c r="WK86" s="300" t="str">
        <f t="shared" si="821"/>
        <v/>
      </c>
      <c r="WL86" s="294" t="str">
        <f t="shared" si="822"/>
        <v/>
      </c>
      <c r="WM86" s="494" t="str">
        <f>IF(A86=FALSE,"",Cotations!$AS$4)</f>
        <v/>
      </c>
      <c r="WN86" s="494" t="str">
        <f>IF(A86=FALSE,"",Cotations!$AT$4)</f>
        <v/>
      </c>
      <c r="WO86" s="489" t="str">
        <f>IF(A86=FALSE,"",Cotations!$AU$4)</f>
        <v/>
      </c>
      <c r="WP86" s="494" t="str">
        <f>IF(A86=FALSE,"",IF(WM86="N/A",0,IF(INDEX(LISTES!$F$105:$F$109,MATCH(WM86,LISTES!$C$105:$C$109,0))="FIX",IF(INDEX(LISTES!$E$105:$E$109,MATCH(WM86,LISTES!$C$105:$C$109,0))=12,WN86/12*L86,WN86/365*M86),WO86*WL86)))</f>
        <v/>
      </c>
      <c r="WQ86" s="294" t="str">
        <f t="shared" si="823"/>
        <v/>
      </c>
      <c r="WR86" s="494" t="str">
        <f>IF(A86=FALSE,"",WQ86*Cotations!$AV$4)</f>
        <v/>
      </c>
      <c r="WS86" s="494" t="str">
        <f>IF(A86=FALSE,"",WQ86*Cotations!$AW$4)</f>
        <v/>
      </c>
      <c r="WT86" s="465" t="str">
        <f t="shared" si="824"/>
        <v/>
      </c>
      <c r="WU86" s="919" t="str">
        <f>IF(A86=FALSE,"",((WG86*TAXE)-(WG86*TAXE*WI86))+IF(WM86="N/A",0,IF(INDEX(LISTES!$F$105:$F$109,MATCH(WM86,LISTES!$C$105:$C$109,0))="FIX",WN86,WO86*WL86)))</f>
        <v/>
      </c>
    </row>
    <row r="87" spans="1:619">
      <c r="A87" s="942" t="b">
        <f t="shared" si="629"/>
        <v>0</v>
      </c>
      <c r="B87" s="942" t="b">
        <f>IF(NAMES!$B$9=TRUE,TRUE,FALSE)</f>
        <v>1</v>
      </c>
      <c r="C87" s="942" t="b">
        <f t="shared" si="825"/>
        <v>0</v>
      </c>
      <c r="D87" s="942" t="b">
        <f t="shared" si="826"/>
        <v>0</v>
      </c>
      <c r="E87" s="274" t="b">
        <f>IF(Cotations!C87="","",Cotations!C87)</f>
        <v>0</v>
      </c>
      <c r="F87" s="274" t="str">
        <f>IF(Cotations!D87="","",Cotations!D87)</f>
        <v>PROP</v>
      </c>
      <c r="G87" s="274" t="str">
        <f>IF(Cotations!E87="","",Cotations!E87)</f>
        <v>2016-2017!</v>
      </c>
      <c r="H87" s="274" t="str">
        <f>IF(Cotations!F87="","",Cotations!F87)</f>
        <v>SINGLE</v>
      </c>
      <c r="I87" s="274" t="str">
        <f>IF(Cotations!G87="","",Cotations!G87)</f>
        <v/>
      </c>
      <c r="J87" s="274" t="str">
        <f>IF(Cotations!H87="","",Cotations!H87)</f>
        <v/>
      </c>
      <c r="K87" s="274" t="str">
        <f>IF(Cotations!I87="","",Cotations!I87)</f>
        <v/>
      </c>
      <c r="L87" s="274" t="str">
        <f>IF(A87=FALSE,"",IF(Cotations!N87="","",Cotations!N87))</f>
        <v/>
      </c>
      <c r="M87" s="274" t="str">
        <f>IF(Cotations!P87="","",Cotations!P87)</f>
        <v/>
      </c>
      <c r="N87" s="724" t="str">
        <f>IF(NAMES!$B$10=TRUE,Cotations!J87,Cotations!L87)</f>
        <v/>
      </c>
      <c r="O87" s="724" t="str">
        <f>IF(NAMES!$B$10=TRUE,Cotations!K87,Cotations!M87)</f>
        <v/>
      </c>
      <c r="P87" s="943" t="str">
        <f t="shared" si="827"/>
        <v/>
      </c>
      <c r="Q87" s="724" t="str">
        <f>IF(A87=FALSE,"",IF(Crewlist!Y87="","",Crewlist!Y87))</f>
        <v/>
      </c>
      <c r="R87" s="78" t="str">
        <f>IF(Cotations!U87="","",Cotations!U87)</f>
        <v/>
      </c>
      <c r="S87" s="943" t="str">
        <f t="shared" si="828"/>
        <v/>
      </c>
      <c r="T87" s="919" t="str">
        <f>IF(A87=FALSE,"",VLOOKUP($U$15:$U$120,Currency!$A$2:$D$10,4,0)*Crewlist!N87)</f>
        <v/>
      </c>
      <c r="U87" s="1355" t="str">
        <f>IF(A87=FALSE,"",IF(IT87=0,Crewlist!M87&amp;"/"&amp;EX87,Crewlist!M87&amp;"/"&amp;IT87))</f>
        <v/>
      </c>
      <c r="V87" s="919" t="str">
        <f>IF(A87=FALSE,"",VLOOKUP($U$15:$U$120,Currency!$A$2:$D$10,4,0)*Detail!Q87)</f>
        <v/>
      </c>
      <c r="W87" s="1355" t="str">
        <f>IF(A87=FALSE,"",IF(IT87=0,Detail!R87&amp;"/"&amp;EX87,Detail!R87&amp;"/"&amp;IT87))</f>
        <v/>
      </c>
      <c r="X87" s="919" t="str">
        <f>IF(A87=FALSE,"",IF(LISTES!$C$17="Crewlist",Calcul!T87,Calcul!V87))</f>
        <v/>
      </c>
      <c r="Y87" s="758" t="str">
        <f t="shared" si="829"/>
        <v/>
      </c>
      <c r="Z87" s="758" t="str">
        <f>IF(A87=FALSE,"",IF(X87=0,0,IF((Cotations!BC87*12*X87)&lt;50000,50000,(12*X87))))</f>
        <v/>
      </c>
      <c r="AA87" s="758" t="str">
        <f t="shared" si="830"/>
        <v/>
      </c>
      <c r="AB87" s="758" t="str">
        <f>IF(A87=FALSE,"",IF(Crewlist!O87=0,"",Crewlist!O87))</f>
        <v/>
      </c>
      <c r="AC87" s="758" t="str">
        <f>IF(I87="","",VLOOKUP($AB$15:$AB$120,Currency!$A$15:$B$34,2,0))</f>
        <v/>
      </c>
      <c r="AD87" s="758" t="str">
        <f t="shared" si="831"/>
        <v/>
      </c>
      <c r="AE87" s="758" t="str">
        <f t="shared" si="832"/>
        <v/>
      </c>
      <c r="AF87" s="758" t="str">
        <f t="shared" si="833"/>
        <v/>
      </c>
      <c r="AG87" s="758" t="str">
        <f t="shared" si="834"/>
        <v/>
      </c>
      <c r="AH87" s="1355" t="str">
        <f t="shared" si="630"/>
        <v/>
      </c>
      <c r="AI87" s="919" t="str">
        <f t="shared" si="835"/>
        <v/>
      </c>
      <c r="AJ87" s="1382" t="str">
        <f t="shared" si="836"/>
        <v/>
      </c>
      <c r="AK87" s="1382" t="str">
        <f t="shared" si="837"/>
        <v/>
      </c>
      <c r="AL87" s="238" t="str">
        <f t="shared" si="631"/>
        <v/>
      </c>
      <c r="AM87" s="238" t="str">
        <f t="shared" si="632"/>
        <v/>
      </c>
      <c r="AN87" s="1374" t="str">
        <f t="shared" si="633"/>
        <v/>
      </c>
      <c r="AO87" s="238" t="str">
        <f t="shared" si="634"/>
        <v/>
      </c>
      <c r="AP87" s="342" t="str">
        <f>IF(A87=FALSE,"",INDEX(Rates!$Z$5:$Z$367,MATCH(EB87,colchoice,0)))</f>
        <v/>
      </c>
      <c r="AQ87" s="238" t="str">
        <f t="shared" si="635"/>
        <v/>
      </c>
      <c r="AR87" s="238" t="str">
        <f t="shared" si="636"/>
        <v/>
      </c>
      <c r="AS87" s="238" t="str">
        <f t="shared" si="637"/>
        <v/>
      </c>
      <c r="AT87" s="238" t="str">
        <f t="shared" si="638"/>
        <v/>
      </c>
      <c r="AU87" s="238" t="str">
        <f t="shared" si="639"/>
        <v/>
      </c>
      <c r="AV87" s="238" t="str">
        <f t="shared" si="838"/>
        <v/>
      </c>
      <c r="AW87" s="238" t="str">
        <f t="shared" si="640"/>
        <v/>
      </c>
      <c r="AX87" s="238" t="str">
        <f t="shared" si="641"/>
        <v/>
      </c>
      <c r="AY87" s="238" t="str">
        <f t="shared" si="642"/>
        <v/>
      </c>
      <c r="AZ87" s="238" t="str">
        <f t="shared" si="643"/>
        <v/>
      </c>
      <c r="BA87" s="238" t="str">
        <f t="shared" si="644"/>
        <v/>
      </c>
      <c r="BB87" s="552" t="str">
        <f t="shared" si="645"/>
        <v/>
      </c>
      <c r="BC87" s="347" t="str">
        <f t="shared" si="646"/>
        <v/>
      </c>
      <c r="BD87" s="239" t="str">
        <f t="shared" si="839"/>
        <v/>
      </c>
      <c r="BE87" s="239" t="str">
        <f>IF(A87=FALSE,"",IF(ALLTHESAME=TRUE,IF(DF87&lt;&gt;$BC$7,0,INDEX(DD87:DZ87,1,MATCH(Structure!$D$12,$DD$14:$DZ$14,0))),IF(EC87&lt;&gt;$BC$7,0,INDEX(EA87:EZ87,1,MATCH(Structure!$D$12,$EA$14:$EZ$14,0)))))</f>
        <v/>
      </c>
      <c r="BF87" s="239" t="str">
        <f>IF(A87=FALSE,"",IF(ALLTHESAME=TRUE,IF(FC87&lt;&gt;$BC$7,0,INDEX(FA87:FZ87,1,MATCH(Structure!$D$12,$FA$14:$FZ$14,0))),IF(GC87&lt;&gt;$BC$7,0,INDEX(GA87:GZ87,1,MATCH(Structure!$D$12,$GA$14:$GZ$14,0)))))</f>
        <v/>
      </c>
      <c r="BG87" s="239" t="str">
        <f>IF(A87=FALSE,"",IF(ALLTHESAME=TRUE,IF(VC87&lt;&gt;$BC$7,0,INDEX(VA87:VZ87,1,MATCH(Structure!$D$12,$VA$14:$VZ$14,0))),IF(VC87&lt;&gt;$BC$7,0,INDEX(VA87:VZ87,1,MATCH(Structure!$D$12,$VA$14:$VZ$14,0)))))</f>
        <v/>
      </c>
      <c r="BH87" s="239" t="str">
        <f>IF(A87=FALSE,"",IF(ALLTHESAME=TRUE,IF(WC87&lt;&gt;$BC$7,0,INDEX(WA87:WY87,1,MATCH(Structure!$D$12,$WA$14:$WZ$14,0))),IF(WC87&lt;&gt;$BC$7,0,INDEX(WA87:WZ87,1,MATCH(Structure!$D$12,$WA$14:$WZ$14,0)))))</f>
        <v/>
      </c>
      <c r="BI87" s="763" t="str">
        <f>IF(A87=FALSE,"",IF(ALLTHESAME=TRUE,IF(HC87&lt;&gt;$BC$7,0,INDEX(HA87:HZ87,1,MATCH(Structure!$D$12,$HA$14:$HZ$14,0)))+TK87,IF(IC87&lt;&gt;$BC$7,0,INDEX(IA87:IZ87,1,MATCH(Structure!$D$12,$IA$14:$IZ$14,0)))+TK87))</f>
        <v/>
      </c>
      <c r="BJ87" s="239" t="str">
        <f>IF(A87=FALSE,"",IF(ALLTHESAME=TRUE,IF(JC87&lt;&gt;$BC$7,0,INDEX(JA87:JZ87,1,MATCH(Structure!$D$12,$JA$14:$JZ$14,0))),IF(KC87&lt;&gt;$BC$7,0,INDEX(KA87:KZ87,1,MATCH(Structure!$D$12,$KA$14:$KZ$14,0)))))</f>
        <v/>
      </c>
      <c r="BK87" s="763" t="str">
        <f>IF(A87=FALSE,"",IF(ALLTHESAME=TRUE,IF(LC87&lt;&gt;$BC$7,0,INDEX(LA87:LZ87,1,MATCH(Structure!$D$12,$LA$14:$LZ$14,0)))+UK87,IF(MC87&lt;&gt;$BC$7,0,INDEX(MA87:MZ87,1,MATCH(Structure!$D$12,$MA$14:$MZ$14,0)))+UK87))</f>
        <v/>
      </c>
      <c r="BL87" s="239" t="str">
        <f>IF(A87=FALSE,"",IF(ALLTHESAME=TRUE,IF(NC87&lt;&gt;$BC$7,0,INDEX(NA87:NZ87,1,MATCH(Structure!$D$12,$NA$14:$NZ$14,0))),IF(OC87&lt;&gt;$BC$7,0,INDEX(OA87:OZ87,1,MATCH(Structure!$D$12,$OA$14:$OZ$14,0)))))</f>
        <v/>
      </c>
      <c r="BM87" s="239" t="str">
        <f>IF(A87=FALSE,"",IF(ALLTHESAME=TRUE,IF(PC87&lt;&gt;$BC$7,0,INDEX(PA87:PZ87,1,MATCH(Structure!$D$12,$PA$14:$PZ$14,0))),IF(QC87&lt;&gt;$BC$7,0,INDEX(QA87:QZ87,1,MATCH(Structure!$D$12,$QA$14:$QZ$14,0)))))</f>
        <v/>
      </c>
      <c r="BN87" s="341" t="str">
        <f>IF(A87=FALSE,"",IF(ALLTHESAME=TRUE,IF(RC87&lt;&gt;$BC$7,0,INDEX(RA87:RZ87,1,MATCH(Structure!$D$12,$RA$14:$RZ$14,0))),IF(SC87&lt;&gt;$BC$7,0,INDEX(SA87:TA87,1,MATCH(Structure!$D$12,$SA$14:$TA$14,0)))))</f>
        <v/>
      </c>
      <c r="BO87" s="507" t="str">
        <f t="shared" si="647"/>
        <v/>
      </c>
      <c r="BP87" s="239" t="str">
        <f t="shared" si="648"/>
        <v/>
      </c>
      <c r="BQ87" s="239" t="str">
        <f>IF(A87=FALSE,"",IF(ALLTHESAME=TRUE,IF(DF87&lt;&gt;$BO$7,0,INDEX(DD87:DZ87,1,MATCH(Structure!$D$12,$DD$14:$DZ$14,0))),IF(EC87&lt;&gt;$BO$7,0,INDEX(EA87:EZ87,1,MATCH(Structure!$D$12,$EA$14:$EZ$14,0)))))</f>
        <v/>
      </c>
      <c r="BR87" s="239" t="str">
        <f>IF(A87=FALSE,"",IF(ALLTHESAME=TRUE,IF(FC87&lt;&gt;$BO$7,0,INDEX(FA87:FZ87,1,MATCH(Structure!$D$12,$FA$14:$FZ$14,0))),IF(GC87&lt;&gt;$BO$7,0,INDEX(GA87:GZ87,1,MATCH(Structure!$D$12,$GA$14:$GZ$14,0)))))</f>
        <v/>
      </c>
      <c r="BS87" s="239" t="str">
        <f>IF(A87=FALSE,"",IF(ALLTHESAME=TRUE,IF(HC87&lt;&gt;$BO$7,0,INDEX(HA87:HZ87,1,MATCH(Structure!$D$12,$HA$14:$HZ$14,0))),IF(IC87&lt;&gt;$BO$7,0,INDEX(IA87:IZ87,1,MATCH(Structure!$D$12,$IA$14:$IZ$14,0)))))</f>
        <v/>
      </c>
      <c r="BT87" s="239" t="str">
        <f>IF(A87=FALSE,"",IF(ALLTHESAME=TRUE,IF(JC87&lt;&gt;$BO$7,0,INDEX(JA87:JZ87,1,MATCH(Structure!$D$12,$JA$14:$JZ$14,0))),IF(KC87&lt;&gt;$BO$7,0,INDEX(KA87:KZ87,1,MATCH(Structure!$D$12,$KA$14:$KZ$14,0)))))</f>
        <v/>
      </c>
      <c r="BU87" s="239" t="str">
        <f>IF(A87=FALSE,"",IF(ALLTHESAME=TRUE,IF(LC87&lt;&gt;$BO$7,0,INDEX(LA87:LZ87,1,MATCH(Structure!$D$12,$LA$14:$LZ$14,0))),IF(MC87&lt;&gt;$BO$7,0,INDEX(MA87:MZ87,1,MATCH(Structure!$D$12,$MA$14:$MZ$14,0)))))</f>
        <v/>
      </c>
      <c r="BV87" s="239" t="str">
        <f>IF(A87=FALSE,"",IF(ALLTHESAME=TRUE,IF(NC87&lt;&gt;$BO$7,0,INDEX(NA87:NZ87,1,MATCH(Structure!$D$12,$NA$14:$NZ$14,0))),IF(OC87&lt;&gt;$BO$7,0,INDEX(OA87:OZ87,1,MATCH(Structure!$D$12,$OA$14:$OZ$14,0)))))</f>
        <v/>
      </c>
      <c r="BW87" s="239" t="str">
        <f>IF(A87=FALSE,"",IF(ALLTHESAME=TRUE,IF(PC87&lt;&gt;$BO$7,0,INDEX(PA87:PZ87,1,MATCH(Structure!$D$12,$PA$14:$PZ$14,0))),IF(QC87&lt;&gt;$BO$7,0,INDEX(QA87:QZ87,1,MATCH(Structure!$D$12,$QA$14:$QZ$14,0)))))</f>
        <v/>
      </c>
      <c r="BX87" s="341" t="str">
        <f>IF(A87=FALSE,"",IF(ALLTHESAME=TRUE,IF(RC87&lt;&gt;$BO$7,0,INDEX(RA87:RZ87,1,MATCH(Structure!$D$12,$RA$14:$RZ$14,0))),IF(SC87&lt;&gt;$BO$7,0,INDEX(SA87:TA87,1,MATCH(Structure!$D$12,$SA$14:$TA$14,0)))))</f>
        <v/>
      </c>
      <c r="BY87" s="347" t="str">
        <f t="shared" si="649"/>
        <v/>
      </c>
      <c r="BZ87" s="507" t="str">
        <f t="shared" si="650"/>
        <v/>
      </c>
      <c r="CA87" s="239" t="str">
        <f t="shared" si="651"/>
        <v/>
      </c>
      <c r="CB87" s="239" t="str">
        <f>IF(A87=FALSE,"",IF(ALLTHESAME=TRUE,INDEX(DD87:DZ87,MATCH(DF87,DF87:DF192,0),MATCH(Structure!$D$17,$DD$14:$DZ$14,0)),INDEX(EA87:EZ87,MATCH(EC87,EC87:EC192,0),MATCH(Structure!$D$17,$EA$14:$EZ$14,0))))</f>
        <v/>
      </c>
      <c r="CC87" s="239" t="str">
        <f>IF(A87=FALSE,"",IF(ALLTHESAME=TRUE,INDEX(FA87:FZ87,MATCH(FC87,FC87:FC192,0),MATCH(Structure!$D$17,$FA$14:$FZ$14,0)),INDEX(GA87:GZ87,MATCH(GC87,GC87:GC192,0),MATCH(Structure!$D$17,$GA$14:$GZ$14,0))))</f>
        <v/>
      </c>
      <c r="CD87" s="239" t="str">
        <f>IF(A87=FALSE,"",IF(ALLTHESAME=TRUE,INDEX(HA87:HZ87,MATCH(HC87,HC87:HC192,0),MATCH(Structure!$D$17,$HA$14:$HZ$14,0)),INDEX(IA87:IZ87,MATCH(IC87,IC87:IC192,0),MATCH(Structure!$D$17,$IA$14:$IZ$14,0))))</f>
        <v/>
      </c>
      <c r="CE87" s="239" t="str">
        <f>IF(A87=FALSE,"",IF(ALLTHESAME=TRUE,INDEX(JA87:JZ87,MATCH(JC87,JC87:JC192,0),MATCH(Structure!$D$17,$JA$14:$JZ$14,0)),INDEX(KA87:KZ87,MATCH(KC87,KC87:KC192,0),MATCH(Structure!$D$17,$KA$14:$KZ$14,0))))</f>
        <v/>
      </c>
      <c r="CF87" s="239" t="str">
        <f>IF(A87=FALSE,"",IF(ALLTHESAME=TRUE,INDEX(LA87:LZ87,MATCH(LC87,LC87:LC192,0),MATCH(Structure!$D$17,$LA$14:$LZ$14,0)),INDEX(MA87:MZ87,MATCH(MC87,MC87:MC192,0),MATCH(Structure!$D$17,$MA$14:$MZ$14,0))))</f>
        <v/>
      </c>
      <c r="CG87" s="239" t="str">
        <f>IF(A87=FALSE,"",IF(ALLTHESAME=TRUE,INDEX(NA87:NZ87,MATCH(NC87,NC87:NC192,0),MATCH(Structure!$D$17,$NA$14:$NZ$14,0)),INDEX(OA87:OZ87,MATCH(OC87,OC87:OC192,0),MATCH(Structure!$D$17,$OA$14:$OZ$14,0))))</f>
        <v/>
      </c>
      <c r="CH87" s="239" t="str">
        <f>IF(A87=FALSE,"",IF(ALLTHESAME=TRUE,INDEX(PA87:PZ87,MATCH(PC87,PC87:PC192,0),MATCH(Structure!$D$17,$PA$14:$PZ$14,0)),INDEX(QA87:QZ87,MATCH(QC87,QC87:QC192,0),MATCH(Structure!$D$17,$QA$14:$QZ$14,0))))</f>
        <v/>
      </c>
      <c r="CI87" s="341" t="str">
        <f>IF(A87=FALSE,"",IF(ALLTHESAME=TRUE,INDEX(RA87:RZ87,MATCH(RC87,RC87:RC192,0),MATCH(Structure!$D$17,$RA$14:$RZ$14,0)),INDEX(SA87:TC87,MATCH(SC87,SC87:SC192,0),MATCH(Structure!$D$17,$SA$14:$TC$14,0))))</f>
        <v/>
      </c>
      <c r="CJ87" s="347"/>
      <c r="CK87" s="239" t="str">
        <f t="shared" si="652"/>
        <v/>
      </c>
      <c r="CL87" s="239" t="str">
        <f>IF(A87=FALSE,"",IF(ALLTHESAME=TRUE,INDEX(DD87:DZ87,MATCH(DF87,DF87:DF192,0),MATCH(Structure!$D$22,$DD$14:$DZ$14,0)),INDEX(EA87:EZ87,MATCH(EC87,EC87:EC192,0),MATCH(Structure!$D$22,$EA$14:$EZ$14,0))))</f>
        <v/>
      </c>
      <c r="CM87" s="239" t="str">
        <f>IF(A87=FALSE,"",IF(ALLTHESAME=TRUE,INDEX(FA87:FZ87,MATCH(FC87,FC87:FC192,0),MATCH(Structure!$D$22,$FA$14:$FZ$14,0)),INDEX(GA87:GZ87,MATCH(GC87,GC87:GC192,0),MATCH(Structure!$D$22,$GA$14:$GZ$14,0))))</f>
        <v/>
      </c>
      <c r="CN87" s="239" t="str">
        <f>IF(A87=FALSE,"",IF(ALLTHESAME=TRUE,INDEX(HA87:HZ87,MATCH(HC87,HC87:HC192,0),MATCH(Structure!$D$22,$HA$14:$HZ$14,0)),INDEX(IA87:IZ87,MATCH(IC87,IC87:IC192,0),MATCH(Structure!$D$22,$IA$14:$IZ$14,0))))</f>
        <v/>
      </c>
      <c r="CO87" s="239" t="str">
        <f>IF(A87=FALSE,"",IF(ALLTHESAME=TRUE,INDEX(JA87:JZ87,MATCH(JC87,JC87:JC192,0),MATCH(Structure!$D$22,$JA$14:$JZ$14,0)),INDEX(KA87:KZ87,MATCH(KC87,KC87:KC192,0),MATCH(Structure!$D$22,$KA$14:$KZ$14,0))))</f>
        <v/>
      </c>
      <c r="CP87" s="239" t="str">
        <f>IF(A87=FALSE,"",IF(ALLTHESAME=TRUE,INDEX(LA87:LZ87,MATCH(LC87,LC87:LC192,0),MATCH(Structure!$D$22,$LA$14:$LZ$14,0)),INDEX(MA87:MZ87,MATCH(MC87,MC87:MC192,0),MATCH(Structure!$D$22,$MA$14:$MZ$14,0))))</f>
        <v/>
      </c>
      <c r="CQ87" s="239" t="str">
        <f>IF(A87=FALSE,"",IF(ALLTHESAME=TRUE,INDEX(NA87:NZ87,MATCH(NC87,NC87:NC192,0),MATCH(Structure!$D$22,$NA$14:$NZ$14,0)),INDEX(OA87:OZ87,MATCH(OC87,OC87:OC192,0),MATCH(Structure!$D$22,$OA$14:$OZ$14,0))))</f>
        <v/>
      </c>
      <c r="CR87" s="239" t="str">
        <f>IF(A87=FALSE,"",IF(ALLTHESAME=TRUE,INDEX(PA87:PZ87,MATCH(PC87,PC87:PC192,0),MATCH(Structure!$D$22,$PA$14:$PZ$14,0)),INDEX(QA87:QZ87,MATCH(QC87,QC87:QC192,0),MATCH(Structure!$D$22,$QA$14:$QZ$14,0))))</f>
        <v/>
      </c>
      <c r="CS87" s="341" t="str">
        <f>IF(A87=FALSE,"",IF(ALLTHESAME=TRUE,INDEX(RA87:RZ87,MATCH(RC87,RC87:RC192,0),MATCH(Structure!$D$22,$RA$14:$RZ$14,0)),INDEX(SA87:TC87,MATCH(SC87,SC87:SC192,0),MATCH(Structure!$D$22,$SA$14:$TC$14,0))))</f>
        <v/>
      </c>
      <c r="CT87" s="347"/>
      <c r="CU87" s="239" t="str">
        <f t="shared" si="653"/>
        <v/>
      </c>
      <c r="CV87" s="239" t="str">
        <f>IF(A87=FALSE,"",IF(ALLTHESAME=TRUE,INDEX(DD87:DZ87,MATCH(DF87,DF87:DF192,0),MATCH(Structure!$D$8,$DD$14:$DZ$14,0)),INDEX(EA87:EZ87,MATCH(EC87,EC87:EC192,0),MATCH(Structure!$D$8,$EA$14:$EZ$14,0))))</f>
        <v/>
      </c>
      <c r="CW87" s="239" t="str">
        <f>IF(A87=FALSE,"",IF(ALLTHESAME=TRUE,INDEX(FA87:FZ87,MATCH(FC87,FC87:FC192,0),MATCH(Structure!$D$8,$FA$14:$FZ$14,0)),INDEX(GA87:GZ87,MATCH(GC87,GC87:GC192,0),MATCH(Structure!$D$8,$GA$14:$GZ$14,0))))</f>
        <v/>
      </c>
      <c r="CX87" s="239" t="str">
        <f>IF(A87=FALSE,"",IF(ALLTHESAME=TRUE,INDEX(HA87:HZ87,MATCH(HC87,HC87:HC192,0),MATCH(Structure!$D$8,$HA$14:$HZ$14,0)),INDEX(IA87:IZ87,MATCH(IC87,IC87:IC192,0),MATCH(Structure!$D$8,$IA$14:$IZ$14,0))))</f>
        <v/>
      </c>
      <c r="CY87" s="239" t="str">
        <f>IF(A87=FALSE,"",IF(ALLTHESAME=TRUE,INDEX(JA87:JZ87,MATCH(JC87,JC87:JC192,0),MATCH(Structure!$D$8,$JA$14:$JZ$14,0)),INDEX(KA87:KZ87,MATCH(KC87,KC87:KC192,0),MATCH(Structure!$D$8,$KA$14:$KZ$14,0))))</f>
        <v/>
      </c>
      <c r="CZ87" s="239" t="str">
        <f>IF(A87=FALSE,"",IF(ALLTHESAME=TRUE,INDEX(LA87:LZ87,MATCH(LC87,LC87:LC192,0),MATCH(Structure!$D$8,$LA$14:$LZ$14,0)),INDEX(MA87:MZ87,MATCH(MC87,MC87:MC192,0),MATCH(Structure!$D$8,$MA$14:$MZ$14,0))))</f>
        <v/>
      </c>
      <c r="DA87" s="239" t="str">
        <f>IF(A87=FALSE,"",IF(ALLTHESAME=TRUE,INDEX(NA87:NZ87,MATCH(NC87,NC87:NC192,0),MATCH(Structure!$D$8,$NA$14:$NZ$14,0)),INDEX(OA87:OZ87,MATCH(OC87,OC87:OC192,0),MATCH(Structure!$D$8,$OA$14:$OZ$14,0))))</f>
        <v/>
      </c>
      <c r="DB87" s="239" t="str">
        <f>IF(A87=FALSE,"",IF(ALLTHESAME=TRUE,INDEX(PA87:PZ87,MATCH(PC87,PC87:PC192,0),MATCH(Structure!$D$8,$PA$14:$PZ$14,0)),INDEX(QA87:QZ87,MATCH(QC87,QC87:QC192,0),MATCH(Structure!$D$8,$QA$14:$QZ$14,0))))</f>
        <v/>
      </c>
      <c r="DC87" s="341" t="str">
        <f>IF(A87=FALSE,"",IF(ALLTHESAME=TRUE,INDEX(RA87:RZ87,MATCH(RC87,RC87:RC192,0),MATCH(Structure!$D$8,$RA$14:$RZ$14,0)),INDEX(SA87:TC87,MATCH(SC87,SC87:SC192,0),MATCH(Structure!$D$8,$SA$14:$TC$14,0))))</f>
        <v/>
      </c>
      <c r="DD87" s="492" t="str">
        <f>IF(A87=FALSE,"",Cotations!D87)</f>
        <v/>
      </c>
      <c r="DE87" s="492" t="str">
        <f>IF(A87=FALSE,"",IF(LISTES!$A$17=1,Cotations!AF87,Cotations!$AG$4))</f>
        <v/>
      </c>
      <c r="DF87" s="291" t="str">
        <f t="shared" si="654"/>
        <v/>
      </c>
      <c r="DG87" s="291" t="str">
        <f t="shared" si="655"/>
        <v/>
      </c>
      <c r="DH87" s="291"/>
      <c r="DI87" s="463"/>
      <c r="DJ87" s="463" t="str">
        <f t="shared" si="656"/>
        <v/>
      </c>
      <c r="DK87" s="522" t="str">
        <f>IF(A87=FALSE,"",IF(Cotations!$AH$4="monthly",DJ87/12*L87,DJ87/365*M87))</f>
        <v/>
      </c>
      <c r="DL87" s="489" t="str">
        <f>IF(A87=FALSE,"",Cotations!$AI$4)</f>
        <v/>
      </c>
      <c r="DM87" s="300" t="str">
        <f t="shared" si="657"/>
        <v/>
      </c>
      <c r="DN87" s="300" t="str">
        <f t="shared" si="658"/>
        <v/>
      </c>
      <c r="DO87" s="294" t="str">
        <f t="shared" si="659"/>
        <v/>
      </c>
      <c r="DP87" s="494" t="str">
        <f>IF(A87=FALSE,"",Cotations!$AJ$4)</f>
        <v/>
      </c>
      <c r="DQ87" s="494" t="str">
        <f>IF(A87=FALSE,"",Cotations!$AK$4)</f>
        <v/>
      </c>
      <c r="DR87" s="489" t="str">
        <f>IF(A87=FALSE,"",Cotations!$AL$4)</f>
        <v/>
      </c>
      <c r="DS87" s="494" t="str">
        <f>IF(A87=FALSE,"",IF(DP87="N/A",0,IF(INDEX(LISTES!$F$105:$F$109,MATCH(DP87,LISTES!$C$105:$C$109,0))="FIX",IF(INDEX(LISTES!$E$105:$E$109,MATCH(DP87,LISTES!$C$105:$C$109,0))=12,DQ87/12*L87,DQ87/365*M87),DR87*DO87)))</f>
        <v/>
      </c>
      <c r="DT87" s="294" t="str">
        <f t="shared" si="660"/>
        <v/>
      </c>
      <c r="DU87" s="294" t="str">
        <f>IF(A87=FALSE,"",DT87*Cotations!$AM$4)</f>
        <v/>
      </c>
      <c r="DV87" s="294" t="str">
        <f>IF(A87=FALSE,"",DT87*Cotations!$AN$4)</f>
        <v/>
      </c>
      <c r="DW87" s="465" t="str">
        <f t="shared" si="661"/>
        <v/>
      </c>
      <c r="DX87" s="919" t="str">
        <f>IF(A87=FALSE,"",((DJ87*TAXE)-(DJ87*TAXE*DL87))+IF(DP87="N/A",0,IF(INDEX(LISTES!$F$105:$F$109,MATCH(DP87,LISTES!$C$105:$C$109,0))="FIX",DQ87,DR87*DO87)))</f>
        <v/>
      </c>
      <c r="DY87" s="466"/>
      <c r="DZ87" s="466"/>
      <c r="EA87" s="492" t="str">
        <f>IF(A87=FALSE,"",Cotations!D87)</f>
        <v/>
      </c>
      <c r="EB87" s="494" t="str">
        <f>IF(A87=FALSE,"",IF(LISTES!$A$17=1,Cotations!AF87,Cotations!AG87))</f>
        <v/>
      </c>
      <c r="EC87" s="284" t="str">
        <f t="shared" si="662"/>
        <v/>
      </c>
      <c r="ED87" s="284" t="str">
        <f t="shared" si="663"/>
        <v/>
      </c>
      <c r="EE87" s="284"/>
      <c r="EF87" s="284"/>
      <c r="EG87" s="284" t="str">
        <f t="shared" si="664"/>
        <v/>
      </c>
      <c r="EH87" s="1365" t="str">
        <f t="shared" si="665"/>
        <v/>
      </c>
      <c r="EI87" s="1365" t="str">
        <f t="shared" si="666"/>
        <v/>
      </c>
      <c r="EJ87" s="515" t="str">
        <f>IF(A87=FALSE,"",IF(Cotations!AH87="monthly",EG87/12*L87,EG87/365*M87))</f>
        <v/>
      </c>
      <c r="EK87" s="1364" t="str">
        <f>IF(A87=FALSE,"",IF(Cotations!AH87="monthly",EI87/12*L87,EI87/365*M87))</f>
        <v/>
      </c>
      <c r="EL87" s="493" t="str">
        <f>IF(A87=FALSE,"",IF(Cotations!AI87="","",Cotations!AI87))</f>
        <v/>
      </c>
      <c r="EM87" s="284" t="str">
        <f t="shared" si="667"/>
        <v/>
      </c>
      <c r="EN87" s="284" t="str">
        <f t="shared" si="668"/>
        <v/>
      </c>
      <c r="EO87" s="1365" t="str">
        <f t="shared" si="840"/>
        <v/>
      </c>
      <c r="EP87" s="284" t="str">
        <f t="shared" si="669"/>
        <v/>
      </c>
      <c r="EQ87" s="515" t="str">
        <f>IF(A87=FALSE,"",Cotations!AJ87)</f>
        <v/>
      </c>
      <c r="ER87" s="515" t="str">
        <f>IF(A87=FALSE,"",IF(Cotations!AK87="","",Cotations!AK87))</f>
        <v/>
      </c>
      <c r="ES87" s="493" t="str">
        <f>IF(A87=FALSE,"",Cotations!AL87)</f>
        <v/>
      </c>
      <c r="ET87" s="515" t="str">
        <f>IF(A87=FALSE,"",IF(EQ87="N/A",0,IF(INDEX(LISTES!$F$105:$F$109,MATCH(EQ87,LISTES!$C$105:$C$109,0))="FIX",IF(INDEX(LISTES!$E$105:$E$109,MATCH(EQ87,LISTES!$C$105:$C$109,0))=12,ER87/12*L87,ER87/365*M87),ES87*EP87)))</f>
        <v/>
      </c>
      <c r="EU87" s="294" t="str">
        <f t="shared" si="670"/>
        <v/>
      </c>
      <c r="EV87" s="494" t="str">
        <f>IF(A87=FALSE,"",EU87*Cotations!AM87)</f>
        <v/>
      </c>
      <c r="EW87" s="494" t="str">
        <f>IF(A87=FALSE,"",EU87*Cotations!AN87)</f>
        <v/>
      </c>
      <c r="EX87" s="334" t="str">
        <f t="shared" si="671"/>
        <v/>
      </c>
      <c r="EY87" s="919" t="str">
        <f>IF(A87=FALSE,"",((EG87*TAXE)-(EG87*TAXE*EL87)+EH87)+IF(EQ87="N/A",0,IF(INDEX(LISTES!$F$105:$F$109,MATCH(EQ87,LISTES!$C$105:$C$109,0))="FIX",ER87,ES87*EP87)))</f>
        <v/>
      </c>
      <c r="FA87" s="492" t="str">
        <f>IF(A87=FALSE,"",Cotations!D87)</f>
        <v/>
      </c>
      <c r="FB87" s="519" t="str">
        <f>IF(A87=FALSE,"",IF(LISTES!$A$17=1,Cotations!AO87,Cotations!$AP$4))</f>
        <v/>
      </c>
      <c r="FC87" s="291" t="str">
        <f t="shared" si="672"/>
        <v/>
      </c>
      <c r="FD87" s="291" t="str">
        <f t="shared" si="673"/>
        <v/>
      </c>
      <c r="FE87" s="291"/>
      <c r="FF87" s="463"/>
      <c r="FG87" s="463" t="str">
        <f t="shared" si="674"/>
        <v/>
      </c>
      <c r="FH87" s="522" t="str">
        <f>IF(A87=FALSE,"",IF(Cotations!$AQ$4="monthly",FG87/12*L87,FG87/365*M87))</f>
        <v/>
      </c>
      <c r="FI87" s="453" t="str">
        <f>IF(A87=FALSE,"",Cotations!$AR$4)</f>
        <v/>
      </c>
      <c r="FJ87" s="300" t="str">
        <f t="shared" si="675"/>
        <v/>
      </c>
      <c r="FK87" s="300" t="str">
        <f t="shared" si="676"/>
        <v/>
      </c>
      <c r="FL87" s="294" t="str">
        <f t="shared" si="677"/>
        <v/>
      </c>
      <c r="FM87" s="494" t="str">
        <f>IF(A87=FALSE,"",Cotations!$AS$4)</f>
        <v/>
      </c>
      <c r="FN87" s="494" t="str">
        <f>IF(A87=FALSE,"",Cotations!$AT$4)</f>
        <v/>
      </c>
      <c r="FO87" s="489" t="str">
        <f>IF(A87=FALSE,"",Cotations!$AU$4)</f>
        <v/>
      </c>
      <c r="FP87" s="494" t="str">
        <f>IF(A87=FALSE,"",IF(FM87="N/A",0,IF(INDEX(LISTES!$F$105:$F$109,MATCH(FM87,LISTES!$C$105:$C$109,0))="FIX",IF(INDEX(LISTES!$E$105:$E$109,MATCH(FM87,LISTES!$C$105:$C$109,0))=12,FN87/12*L87,FN87/365*M87),FO87*FL87)))</f>
        <v/>
      </c>
      <c r="FQ87" s="294" t="str">
        <f t="shared" si="678"/>
        <v/>
      </c>
      <c r="FR87" s="494" t="str">
        <f>IF(A87=FALSE,"",FQ87*Cotations!$AV$4)</f>
        <v/>
      </c>
      <c r="FS87" s="494" t="str">
        <f>IF(A87=FALSE,"",FQ87*Cotations!$AW$4)</f>
        <v/>
      </c>
      <c r="FT87" s="465" t="str">
        <f t="shared" si="679"/>
        <v/>
      </c>
      <c r="FU87" s="919" t="str">
        <f>IF(A87=FALSE,"",((FG87*TAXE)-(FG87*TAXE*FI87))+IF(FM87="N/A",0,IF(INDEX(LISTES!$F$105:$F$109,MATCH(FM87,LISTES!$C$105:$C$109,0))="FIX",FN87,FO87*FL87)))</f>
        <v/>
      </c>
      <c r="FV87" s="478"/>
      <c r="FW87" s="478"/>
      <c r="FX87" s="478"/>
      <c r="FY87" s="478"/>
      <c r="FZ87" s="478"/>
      <c r="GA87" s="492" t="str">
        <f>IF(A87=FALSE,"",Cotations!D87)</f>
        <v/>
      </c>
      <c r="GB87" s="494" t="str">
        <f>IF(A87=FALSE,"",IF(LISTES!$A$17=1,Cotations!AO87,Cotations!AP87))</f>
        <v/>
      </c>
      <c r="GC87" s="284" t="str">
        <f t="shared" si="680"/>
        <v/>
      </c>
      <c r="GD87" s="515" t="str">
        <f>IF(A87=FALSE,"",IF(Detail!AM87="","",Detail!AM87))</f>
        <v/>
      </c>
      <c r="GE87" s="284"/>
      <c r="GF87" s="284"/>
      <c r="GG87" s="284" t="str">
        <f t="shared" si="681"/>
        <v/>
      </c>
      <c r="GH87" s="515" t="str">
        <f>IF(A87=FALSE,"",IF(Cotations!AQ87="monthly",GG87/12*L87,GG87/365*M87))</f>
        <v/>
      </c>
      <c r="GI87" s="493" t="str">
        <f>IF(A87=FALSE,"",IF(Cotations!AR87="","",Cotations!AR87))</f>
        <v/>
      </c>
      <c r="GJ87" s="284" t="str">
        <f t="shared" si="682"/>
        <v/>
      </c>
      <c r="GK87" s="284" t="str">
        <f t="shared" si="683"/>
        <v/>
      </c>
      <c r="GL87" s="284" t="str">
        <f t="shared" si="684"/>
        <v/>
      </c>
      <c r="GM87" s="515" t="str">
        <f>IF(A87=FALSE,"",Cotations!AS87)</f>
        <v/>
      </c>
      <c r="GN87" s="515" t="str">
        <f>IF(A87=FALSE,"",Cotations!AT87)</f>
        <v/>
      </c>
      <c r="GO87" s="493" t="str">
        <f>IF(A87=FALSE,"",Cotations!AU87)</f>
        <v/>
      </c>
      <c r="GP87" s="515" t="str">
        <f>IF(A87=FALSE,"",IF(GM87="N/A",0,IF(INDEX(LISTES!$F$105:$F$109,MATCH(GM87,LISTES!$C$105:$C$109,0))="FIX",IF(INDEX(LISTES!$E$105:$E$109,MATCH(GM87,LISTES!$C$105:$C$109,0))=12,GN87/12*L87,GN87/365*M87),GO87*GL87)))</f>
        <v/>
      </c>
      <c r="GQ87" s="294" t="str">
        <f t="shared" si="685"/>
        <v/>
      </c>
      <c r="GR87" s="494" t="str">
        <f>IF(A87=FALSE,"",GQ87*Cotations!AV87)</f>
        <v/>
      </c>
      <c r="GS87" s="494" t="str">
        <f>IF(A87=FALSE,"",GQ87*Cotations!AW87)</f>
        <v/>
      </c>
      <c r="GT87" s="334" t="str">
        <f t="shared" si="686"/>
        <v/>
      </c>
      <c r="GU87" s="919" t="str">
        <f>IF(A87=FALSE,"",((GG87*TAXE)-(GG87*TAXE*GI87))+IF(GM87="N/A",0,IF(INDEX(LISTES!$F$105:$F$109,MATCH(GM87,LISTES!$C$105:$C$109,0))="FIX",GN87,GO87*GL87)))</f>
        <v/>
      </c>
      <c r="GV87" s="478"/>
      <c r="GW87" s="466"/>
      <c r="GX87" s="466"/>
      <c r="GY87" s="466"/>
      <c r="GZ87" s="466"/>
      <c r="HA87" s="492" t="str">
        <f>IF(A87=FALSE,"",Cotations!D87)</f>
        <v/>
      </c>
      <c r="HB87" s="495" t="str">
        <f>IF(A87=FALSE,"",IF(LISTES!$A$17=1,Cotations!AX87,Cotations!$AY$4))</f>
        <v/>
      </c>
      <c r="HC87" s="291" t="str">
        <f t="shared" si="687"/>
        <v/>
      </c>
      <c r="HD87" s="291" t="str">
        <f t="shared" si="688"/>
        <v/>
      </c>
      <c r="HE87" s="456" t="str">
        <f t="shared" si="689"/>
        <v/>
      </c>
      <c r="HF87" s="496" t="str">
        <f>IF(A87=FALSE,"",IF(HA87="POEA",Cotations!BA87,IF(HA87="FIXE",Cotations!$BA$4,Cotations!$BC$4*Y87)))</f>
        <v/>
      </c>
      <c r="HG87" s="300" t="str">
        <f t="shared" si="690"/>
        <v/>
      </c>
      <c r="HH87" s="522" t="str">
        <f>IF(A87=FALSE,"",IF(Cotations!$AZ$4="monthly",HG87/12*L87,HG87/365*M87))</f>
        <v/>
      </c>
      <c r="HI87" s="489" t="str">
        <f>IF(A87=FALSE,"",Cotations!$BD$4)</f>
        <v/>
      </c>
      <c r="HJ87" s="300" t="str">
        <f t="shared" si="691"/>
        <v/>
      </c>
      <c r="HK87" s="300" t="str">
        <f t="shared" si="692"/>
        <v/>
      </c>
      <c r="HL87" s="294" t="str">
        <f t="shared" si="693"/>
        <v/>
      </c>
      <c r="HM87" s="494" t="str">
        <f>IF(A87=FALSE,"",Cotations!$BE$4)</f>
        <v/>
      </c>
      <c r="HN87" s="522" t="str">
        <f>IF(A87=FALSE,"",Cotations!$BF$4)</f>
        <v/>
      </c>
      <c r="HO87" s="489" t="str">
        <f>IF(A87=FALSE,"",Cotations!$BG$4)</f>
        <v/>
      </c>
      <c r="HP87" s="494" t="str">
        <f>IF(A87=FALSE,"",IF(HM87="N/A",0,IF(INDEX(LISTES!$F$105:$F$109,MATCH(HM87,LISTES!$C$105:$C$109,0))="FIX",IF(INDEX(LISTES!$E$105:$E$109,MATCH(HM87,LISTES!$C$105:$C$109,0))=12,HN87/12*L87,HN87/365*M87),HO87*HL87)))</f>
        <v/>
      </c>
      <c r="HQ87" s="294" t="str">
        <f t="shared" si="694"/>
        <v/>
      </c>
      <c r="HR87" s="494" t="str">
        <f>IF(A87=FALSE,"",HQ87*Cotations!$BH$4)</f>
        <v/>
      </c>
      <c r="HS87" s="494" t="str">
        <f>IF(A87=FALSE,"",HQ87*Cotations!$BI$4)</f>
        <v/>
      </c>
      <c r="HT87" s="294" t="str">
        <f t="shared" si="695"/>
        <v/>
      </c>
      <c r="HU87" s="919" t="str">
        <f>IF(A87=FALSE,"",((HG87*TAXE)-(HG87*TAXE*HI87))+IF(HM87="N/A",0,IF(INDEX(LISTES!$F$105:$F$109,MATCH(HM87,LISTES!$C$105:$C$109,0))="FIX",HN87,HO87*HL87)))</f>
        <v/>
      </c>
      <c r="IA87" s="492" t="str">
        <f>IF(A87=FALSE,"",Cotations!D87)</f>
        <v/>
      </c>
      <c r="IB87" s="491" t="str">
        <f>IF(A87=FALSE,"",IF(LISTES!$A$17=1,Cotations!AX87,Cotations!AY87))</f>
        <v/>
      </c>
      <c r="IC87" s="285" t="str">
        <f t="shared" si="696"/>
        <v/>
      </c>
      <c r="ID87" s="300" t="str">
        <f>IF(A87=FALSE,"",IF(LISTES!$A$17=3,Detail!AU87,lig1_Formula_PREVOY))</f>
        <v/>
      </c>
      <c r="IE87" s="461" t="str">
        <f t="shared" si="697"/>
        <v/>
      </c>
      <c r="IF87" s="490" t="str">
        <f>IF(A87=FALSE,"",IF(IA87="POEA",Cotations!BA87,IF(HA87="FIXE",Cotations!BB87,IF(Cotations!BC87*Y87&lt;50000,Z87,Cotations!BC87*Y87))))</f>
        <v/>
      </c>
      <c r="IG87" s="300" t="str">
        <f t="shared" si="698"/>
        <v/>
      </c>
      <c r="IH87" s="522" t="str">
        <f>IF(A87=FALSE,"",IF(Cotations!AZ87="monthly",IG87/12*L87,IG87/365*M87))</f>
        <v/>
      </c>
      <c r="II87" s="489" t="str">
        <f>IF(A87=FALSE,"",IF(Cotations!BD87="","",Cotations!BD87))</f>
        <v/>
      </c>
      <c r="IJ87" s="300" t="str">
        <f t="shared" si="699"/>
        <v/>
      </c>
      <c r="IK87" s="300" t="str">
        <f t="shared" si="700"/>
        <v/>
      </c>
      <c r="IL87" s="919" t="str">
        <f t="shared" si="701"/>
        <v/>
      </c>
      <c r="IM87" s="517" t="str">
        <f>IF(A87=FALSE,"",Cotations!BE87)</f>
        <v/>
      </c>
      <c r="IN87" s="517" t="str">
        <f>IF(A87=FALSE,"",Cotations!BF87)</f>
        <v/>
      </c>
      <c r="IO87" s="493" t="str">
        <f>IF(A87=FALSE,"",Cotations!BG87)</f>
        <v/>
      </c>
      <c r="IP87" s="517" t="str">
        <f>IF(A87=FALSE,"",IF(IM87="N/A",0,IF(INDEX(LISTES!$F$105:$F$109,MATCH(IM87,LISTES!$C$105:$C$109,0))="FIX",IF(INDEX(LISTES!$E$105:$E$109,MATCH(IM87,LISTES!$C$105:$C$109,0))=12,IN87/12*L87,IN87/365*M87),IO87*IL87)))</f>
        <v/>
      </c>
      <c r="IQ87" s="294" t="str">
        <f t="shared" si="702"/>
        <v/>
      </c>
      <c r="IR87" s="494" t="str">
        <f>IF(A87=FALSE,"",IQ87*Cotations!BH87)</f>
        <v/>
      </c>
      <c r="IS87" s="494" t="str">
        <f>IF(A87=FALSE,"",IQ87*Cotations!BI87)</f>
        <v/>
      </c>
      <c r="IT87" s="338" t="str">
        <f t="shared" si="703"/>
        <v/>
      </c>
      <c r="IU87" s="919" t="str">
        <f>IF(A87=FALSE,"",((IG87*TAXE)-(IG87*TAXE*II87))+IF(IM87="N/A",0,IF(INDEX(LISTES!$F$105:$F$109,MATCH(IM87,LISTES!$C$105:$C$109,0))="FIX",IN87,IO87*IL87)))</f>
        <v/>
      </c>
      <c r="JA87" s="492" t="str">
        <f>IF(A87=FALSE,"",Cotations!D87)</f>
        <v/>
      </c>
      <c r="JB87" s="495" t="str">
        <f>IF(A87=FALSE,"",IF(LISTES!$A$17=1,Cotations!BJ87,Cotations!$BK$4))</f>
        <v/>
      </c>
      <c r="JC87" s="291" t="str">
        <f t="shared" si="704"/>
        <v/>
      </c>
      <c r="JD87" s="291" t="str">
        <f t="shared" si="705"/>
        <v/>
      </c>
      <c r="JE87" s="456" t="str">
        <f t="shared" si="706"/>
        <v/>
      </c>
      <c r="JF87" s="496" t="str">
        <f>IF(A87=FALSE,"",IF(JA87="POEA",Cotations!BM87,IF(JA87="FIXE",Cotations!$BM$4,Cotations!$BO$4*Y87)))</f>
        <v/>
      </c>
      <c r="JG87" s="300" t="str">
        <f t="shared" si="707"/>
        <v/>
      </c>
      <c r="JH87" s="522" t="str">
        <f>IF(A87=FALSE,"",IF(Cotations!$BL$4="monthly",JG87/12*L87,JG87/365*M87))</f>
        <v/>
      </c>
      <c r="JI87" s="489" t="str">
        <f>IF(A87=FALSE,"",Cotations!$BP$4)</f>
        <v/>
      </c>
      <c r="JJ87" s="300" t="str">
        <f t="shared" si="708"/>
        <v/>
      </c>
      <c r="JK87" s="300" t="str">
        <f t="shared" si="709"/>
        <v/>
      </c>
      <c r="JL87" s="294" t="str">
        <f t="shared" si="710"/>
        <v/>
      </c>
      <c r="JM87" s="494" t="str">
        <f>IF(A87=FALSE,"",Cotations!$BQ$4)</f>
        <v/>
      </c>
      <c r="JN87" s="522" t="str">
        <f>IF(A87=FALSE,"",Cotations!$BR$4)</f>
        <v/>
      </c>
      <c r="JO87" s="489" t="str">
        <f>IF(A87=FALSE,"",Cotations!$BS$4)</f>
        <v/>
      </c>
      <c r="JP87" s="494" t="str">
        <f>IF(A87=FALSE,"",IF(JM87="N/A",0,IF(INDEX(LISTES!$F$105:$F$109,MATCH(JM87,LISTES!$C$105:$C$109,0))="FIX",IF(INDEX(LISTES!$E$105:$E$109,MATCH(JM87,LISTES!$C$105:$C$109,0))=12,JN87/12*L87,JN87/365*M87),JO87*JL87)))</f>
        <v/>
      </c>
      <c r="JQ87" s="294" t="str">
        <f t="shared" si="711"/>
        <v/>
      </c>
      <c r="JR87" s="494" t="str">
        <f>IF(A87=FALSE,"",JQ87*Cotations!$BT$4)</f>
        <v/>
      </c>
      <c r="JS87" s="494" t="str">
        <f>IF(A87=FALSE,"",JQ87*Cotations!$BU$4)</f>
        <v/>
      </c>
      <c r="JT87" s="294" t="str">
        <f t="shared" si="712"/>
        <v/>
      </c>
      <c r="JU87" s="919" t="str">
        <f>IF(A87=FALSE,"",((JG87*TAXE)-(JG87*TAXE*JI87))+IF(JM87="N/A",0,IF(INDEX(LISTES!$F$105:$F$109,MATCH(JM87,LISTES!$C$105:$C$109,0))="FIX",JN87,JO87*JL87)))</f>
        <v/>
      </c>
      <c r="KA87" s="492" t="str">
        <f>IF(A87=FALSE,"",Cotations!D87)</f>
        <v/>
      </c>
      <c r="KB87" s="491" t="str">
        <f>IF(A87=FALSE,"",IF(LISTES!$A$17=1,Cotations!BJ87,Cotations!BK87))</f>
        <v/>
      </c>
      <c r="KC87" s="285" t="str">
        <f t="shared" si="713"/>
        <v/>
      </c>
      <c r="KD87" s="300"/>
      <c r="KE87" s="461" t="str">
        <f t="shared" si="714"/>
        <v/>
      </c>
      <c r="KF87" s="490" t="str">
        <f>IF(A87=FALSE,"",IF(KA87="POEA",Cotations!BM87,IF(KA87="FIXE",Cotations!BN87,IF(Cotations!BO87*Y87&lt;50000,Z87,Cotations!BO87*Y87))))</f>
        <v/>
      </c>
      <c r="KG87" s="300" t="str">
        <f t="shared" si="715"/>
        <v/>
      </c>
      <c r="KH87" s="522" t="str">
        <f>IF(A87=FALSE,"",IF(Cotations!BL87="monthly",KG87/12*L87,KG87/365*M87))</f>
        <v/>
      </c>
      <c r="KI87" s="489" t="str">
        <f>IF(A87=FALSE,"",IF(Cotations!BP87="","",Cotations!BP87))</f>
        <v/>
      </c>
      <c r="KJ87" s="300" t="str">
        <f t="shared" si="716"/>
        <v/>
      </c>
      <c r="KK87" s="300" t="str">
        <f t="shared" si="717"/>
        <v/>
      </c>
      <c r="KL87" s="919" t="str">
        <f t="shared" si="718"/>
        <v/>
      </c>
      <c r="KM87" s="517" t="str">
        <f>IF(A87=FALSE,"",Cotations!BQ87)</f>
        <v/>
      </c>
      <c r="KN87" s="515" t="str">
        <f>IF(A87=FALSE,"",Cotations!BR87)</f>
        <v/>
      </c>
      <c r="KO87" s="493" t="str">
        <f>IF(A87=FALSE,"",Cotations!BS87)</f>
        <v/>
      </c>
      <c r="KP87" s="517" t="str">
        <f>IF(A87=FALSE,"",IF(KM87="N/A",0,IF(INDEX(LISTES!$F$105:$F$109,MATCH(KM87,LISTES!$C$105:$C$109,0))="FIX",IF(INDEX(LISTES!$E$105:$E$109,MATCH(KM87,LISTES!$C$105:$C$109,0))=12,KN87/12*L87,KN87/365*M87),KO87*KL87)))</f>
        <v/>
      </c>
      <c r="KQ87" s="294" t="str">
        <f t="shared" si="719"/>
        <v/>
      </c>
      <c r="KR87" s="494" t="str">
        <f>IF(A87=FALSE,"",KQ87*Cotations!BT87)</f>
        <v/>
      </c>
      <c r="KS87" s="494" t="str">
        <f>IF(A87=FALSE,"",KQ87*Cotations!BU87)</f>
        <v/>
      </c>
      <c r="KT87" s="338" t="str">
        <f t="shared" si="720"/>
        <v/>
      </c>
      <c r="KU87" s="919" t="str">
        <f>IF(A87=FALSE,"",((KG87*TAXE)-(KG87*TAXE*KI87))+IF(KM87="N/A",0,IF(INDEX(LISTES!$F$105:$F$109,MATCH(KM87,LISTES!$C$105:$C$109,0))="FIX",KN87,KO87*KL87)))</f>
        <v/>
      </c>
      <c r="LA87" s="497" t="str">
        <f>IF(A87=FALSE,"",Cotations!D87)</f>
        <v/>
      </c>
      <c r="LB87" s="498" t="str">
        <f>IF(A87=FALSE,"",IF(LISTES!$A$17=1,Cotations!BV87,Cotations!$BW$4))</f>
        <v/>
      </c>
      <c r="LC87" s="499" t="str">
        <f t="shared" si="721"/>
        <v/>
      </c>
      <c r="LD87" s="499" t="str">
        <f t="shared" si="722"/>
        <v/>
      </c>
      <c r="LE87" s="500" t="str">
        <f t="shared" si="723"/>
        <v/>
      </c>
      <c r="LF87" s="501" t="str">
        <f>IF(A87=FALSE,"",IF(LA87="POEA",Cotations!EJ87,IF(LA87="FIXE",Cotations!$BY$4,Cotations!$CA$4*Y87)))</f>
        <v/>
      </c>
      <c r="LG87" s="502" t="str">
        <f t="shared" si="724"/>
        <v/>
      </c>
      <c r="LH87" s="520" t="str">
        <f>IF(A87=FALSE,"",IF(Cotations!$BX$4="monthly",LG87/12*L87,LG87/365*M87))</f>
        <v/>
      </c>
      <c r="LI87" s="503" t="str">
        <f>IF(A87=FALSE,"",Cotations!$CB$4)</f>
        <v/>
      </c>
      <c r="LJ87" s="502" t="str">
        <f t="shared" si="725"/>
        <v/>
      </c>
      <c r="LK87" s="502" t="str">
        <f t="shared" si="726"/>
        <v/>
      </c>
      <c r="LL87" s="504" t="str">
        <f t="shared" si="727"/>
        <v/>
      </c>
      <c r="LM87" s="505" t="str">
        <f>IF(A87=FALSE,"",Cotations!$CC$4)</f>
        <v/>
      </c>
      <c r="LN87" s="503" t="str">
        <f>IF(A87=FALSE,"",Cotations!$CD$4)</f>
        <v/>
      </c>
      <c r="LO87" s="503" t="str">
        <f>IF(A87=FALSE,"",Cotations!$CE$4)</f>
        <v/>
      </c>
      <c r="LP87" s="505" t="str">
        <f>IF(A87=FALSE,"",IF(LM87="N/A",0,IF(INDEX(LISTES!$F$105:$F$109,MATCH(LM87,LISTES!$C$105:$C$109,0))="FIX",IF(INDEX(LISTES!$E$105:$E$109,MATCH(LM87,LISTES!$C$105:$C$109,0))=12,LN87/12*L87,LN87/365*M87),LO87*LL87)))</f>
        <v/>
      </c>
      <c r="LQ87" s="504" t="str">
        <f t="shared" si="728"/>
        <v/>
      </c>
      <c r="LR87" s="505" t="str">
        <f>IF(A87=FALSE,"",LQ87*Cotations!$CF$4)</f>
        <v/>
      </c>
      <c r="LS87" s="505" t="str">
        <f>IF(A87=FALSE,"",LQ87*Cotations!$CG$4)</f>
        <v/>
      </c>
      <c r="LT87" s="506" t="str">
        <f t="shared" si="729"/>
        <v/>
      </c>
      <c r="LU87" s="919" t="str">
        <f>IF(A87=FALSE,"",((LG87*TAXE)-(LG87*TAXE*LI87))+IF(LM87="N/A",0,IF(INDEX(LISTES!$F$105:$F$109,MATCH(LM87,LISTES!$C$105:$C$109,0))="FIX",LN87,LO87*LL87)))</f>
        <v/>
      </c>
      <c r="MA87" s="492" t="str">
        <f>IF(A87=FALSE,"",Cotations!D87)</f>
        <v/>
      </c>
      <c r="MB87" s="491" t="str">
        <f>IF(A87=FALSE,"",IF(LISTES!$A$17=1,Cotations!BV87,Cotations!BW87))</f>
        <v/>
      </c>
      <c r="MC87" s="285" t="str">
        <f t="shared" si="730"/>
        <v/>
      </c>
      <c r="MD87" s="300"/>
      <c r="ME87" s="461" t="str">
        <f t="shared" si="731"/>
        <v/>
      </c>
      <c r="MF87" s="490" t="str">
        <f>IF(A87=FALSE,"",IF(MA87="POEA",Cotations!BY87,IF(MA87="FIXE",Cotations!BZ87,IF(Cotations!CA87*Y87&lt;50000,Z87,Cotations!CA87*Y87))))</f>
        <v/>
      </c>
      <c r="MG87" s="300" t="str">
        <f t="shared" si="732"/>
        <v/>
      </c>
      <c r="MH87" s="522" t="str">
        <f>IF(A87=FALSE,"",IF(Cotations!BX87="monthly",MG87/12*L87,MG87/365*M87))</f>
        <v/>
      </c>
      <c r="MI87" s="489" t="str">
        <f>IF(A87=FALSE,"",IF(Cotations!CB87="","",Cotations!CB87))</f>
        <v/>
      </c>
      <c r="MJ87" s="300" t="str">
        <f t="shared" si="733"/>
        <v/>
      </c>
      <c r="MK87" s="300" t="str">
        <f t="shared" si="734"/>
        <v/>
      </c>
      <c r="ML87" s="919" t="str">
        <f t="shared" si="735"/>
        <v/>
      </c>
      <c r="MM87" s="517" t="str">
        <f>IF(A87=FALSE,"",Cotations!CC87)</f>
        <v/>
      </c>
      <c r="MN87" s="515" t="str">
        <f>IF(A87=FALSE,"",Cotations!CD87)</f>
        <v/>
      </c>
      <c r="MO87" s="493" t="str">
        <f>IF(A87=FALSE,"",Cotations!CE87)</f>
        <v/>
      </c>
      <c r="MP87" s="517" t="str">
        <f>IF(A87=FALSE,"",IF(MM87="N/A",0,IF(INDEX(LISTES!$F$105:$F$109,MATCH(MM87,LISTES!$C$105:$C$109,0))="FIX",IF(INDEX(LISTES!$E$105:$E$109,MATCH(MM87,LISTES!$C$105:$C$109,0))=12,MN87/12*L87,MN87/365*M87),MO87*ML87)))</f>
        <v/>
      </c>
      <c r="MQ87" s="294" t="str">
        <f t="shared" si="736"/>
        <v/>
      </c>
      <c r="MR87" s="494" t="str">
        <f>IF(A87=FALSE,"",MQ87*Cotations!CF87)</f>
        <v/>
      </c>
      <c r="MS87" s="494" t="str">
        <f>IF(A87=FALSE,"",MQ87*Cotations!CG87)</f>
        <v/>
      </c>
      <c r="MT87" s="338" t="str">
        <f t="shared" si="737"/>
        <v/>
      </c>
      <c r="MU87" s="919" t="str">
        <f>IF(A87=FALSE,"",((MG87*TAXE)-(MG87*TAXE*MI87))+IF(MM87="N/A",0,IF(INDEX(LISTES!$F$105:$F$109,MATCH(MM87,LISTES!$C$105:$C$109,0))="FIX",MN87,MO87*ML87)))</f>
        <v/>
      </c>
      <c r="NA87" s="497" t="str">
        <f>IF(A87=FALSE,"",Cotations!D87)</f>
        <v/>
      </c>
      <c r="NB87" s="498" t="str">
        <f>IF(A87=FALSE,"",IF(LISTES!$A$17=1,Cotations!CH87,Cotations!$CI$4))</f>
        <v/>
      </c>
      <c r="NC87" s="499" t="str">
        <f t="shared" si="738"/>
        <v/>
      </c>
      <c r="ND87" s="499" t="str">
        <f t="shared" si="739"/>
        <v/>
      </c>
      <c r="NE87" s="500" t="str">
        <f t="shared" si="740"/>
        <v/>
      </c>
      <c r="NF87" s="501" t="str">
        <f>IF(A87=FALSE,"",IF(NA87="POEA",Cotations!CK87,IF(NA87="FIXE",Cotations!$CK$4,Cotations!$CM$4*Y87)))</f>
        <v/>
      </c>
      <c r="NG87" s="502" t="str">
        <f t="shared" si="741"/>
        <v/>
      </c>
      <c r="NH87" s="520" t="str">
        <f>IF(A87=FALSE,"",IF(Cotations!$CJ$4="monthly",NG87/12*L87,NG87/365*M87))</f>
        <v/>
      </c>
      <c r="NI87" s="503" t="str">
        <f>IF(A87=FALSE,"",Cotations!$CN$4)</f>
        <v/>
      </c>
      <c r="NJ87" s="502" t="str">
        <f t="shared" si="742"/>
        <v/>
      </c>
      <c r="NK87" s="502" t="str">
        <f t="shared" si="743"/>
        <v/>
      </c>
      <c r="NL87" s="504" t="str">
        <f t="shared" si="744"/>
        <v/>
      </c>
      <c r="NM87" s="505" t="str">
        <f>IF(A87=FALSE,"",Cotations!$CO$4)</f>
        <v/>
      </c>
      <c r="NN87" s="520" t="str">
        <f>IF(A87=FALSE,"",Cotations!$CP$4)</f>
        <v/>
      </c>
      <c r="NO87" s="503" t="str">
        <f>IF(A87=FALSE,"",Cotations!$CQ$4)</f>
        <v/>
      </c>
      <c r="NP87" s="505" t="str">
        <f>IF(A87=FALSE,"",IF(NM87="N/A",0,IF(INDEX(LISTES!$F$105:$F$109,MATCH(NM87,LISTES!$C$105:$C$109,0))="FIX",IF(INDEX(LISTES!$E$105:$E$109,MATCH(NM87,LISTES!$C$105:$C$109,0))=12,NN87/12*L87,NN87/365*M87),NO87*NL87)))</f>
        <v/>
      </c>
      <c r="NQ87" s="504" t="str">
        <f t="shared" si="745"/>
        <v/>
      </c>
      <c r="NR87" s="505" t="str">
        <f>IF(A87=FALSE,"",NQ87*Cotations!$CR$4)</f>
        <v/>
      </c>
      <c r="NS87" s="505" t="str">
        <f>IF(A87=FALSE,"",NQ87*Cotations!$CS$4)</f>
        <v/>
      </c>
      <c r="NT87" s="506" t="str">
        <f t="shared" si="746"/>
        <v/>
      </c>
      <c r="NU87" s="919" t="str">
        <f>IF(A87=FALSE,"",((NG87*TAXE)-(NG87*TAXE*NI87))+IF(NM87="N/A",0,IF(INDEX(LISTES!$F$105:$F$109,MATCH(NM87,LISTES!$C$105:$C$109,0))="FIX",NN87,NO87*NL87)))</f>
        <v/>
      </c>
      <c r="OA87" s="492" t="str">
        <f>IF(A87=FALSE,"",Cotations!D87)</f>
        <v/>
      </c>
      <c r="OB87" s="491" t="str">
        <f>IF(A87=FALSE,"",IF(LISTES!$A$17=1,Cotations!CH87,Cotations!CI87))</f>
        <v/>
      </c>
      <c r="OC87" s="285" t="str">
        <f t="shared" si="747"/>
        <v/>
      </c>
      <c r="OD87" s="300"/>
      <c r="OE87" s="461" t="str">
        <f t="shared" si="748"/>
        <v/>
      </c>
      <c r="OF87" s="490" t="str">
        <f>IF(A87=FALSE,"",IF(OA87="POEA",Cotations!CK87,IF(OA87="FIXE",Cotations!CL87,IF(Cotations!CM87*Y87&lt;50000,Z87,Cotations!CM87*Y87))))</f>
        <v/>
      </c>
      <c r="OG87" s="300" t="str">
        <f t="shared" si="749"/>
        <v/>
      </c>
      <c r="OH87" s="522" t="str">
        <f>IF(A87=FALSE,"",IF(Cotations!CJ87="monthly",OG87/12*L87,OG87/365*M87))</f>
        <v/>
      </c>
      <c r="OI87" s="489" t="str">
        <f>IF(A87=FALSE,"",IF(Cotations!CN87="","",Cotations!CN87))</f>
        <v/>
      </c>
      <c r="OJ87" s="300" t="str">
        <f t="shared" si="750"/>
        <v/>
      </c>
      <c r="OK87" s="300" t="str">
        <f t="shared" si="751"/>
        <v/>
      </c>
      <c r="OL87" s="919" t="str">
        <f t="shared" si="752"/>
        <v/>
      </c>
      <c r="OM87" s="517" t="str">
        <f>IF(A87=FALSE,"",Cotations!CO87)</f>
        <v/>
      </c>
      <c r="ON87" s="515" t="str">
        <f>IF(A87=FALSE,"",Cotations!CP87)</f>
        <v/>
      </c>
      <c r="OO87" s="493" t="str">
        <f>IF(A87=FALSE,"",Cotations!CQ87)</f>
        <v/>
      </c>
      <c r="OP87" s="517" t="str">
        <f>IF(A87=FALSE,"",IF(OM87="N/A",0,IF(INDEX(LISTES!$F$105:$F$109,MATCH(OM87,LISTES!$C$105:$C$109,0))="FIX",IF(INDEX(LISTES!$E$105:$E$109,MATCH(OM87,LISTES!$C$105:$C$109,0))=12,ON87/12*L87,ON87/365*M87),OO87*OL87)))</f>
        <v/>
      </c>
      <c r="OQ87" s="294" t="str">
        <f t="shared" si="753"/>
        <v/>
      </c>
      <c r="OR87" s="494" t="str">
        <f>IF(A87=FALSE,"",OQ87*Cotations!CR87)</f>
        <v/>
      </c>
      <c r="OS87" s="494" t="str">
        <f>IF(A87=FALSE,"",OQ87*Cotations!CS87)</f>
        <v/>
      </c>
      <c r="OT87" s="338" t="str">
        <f t="shared" si="754"/>
        <v/>
      </c>
      <c r="OU87" s="919" t="str">
        <f>IF(A87=FALSE,"",((OG87*TAXE)-(OG87*TAXE*OI87))+IF(OM87="N/A",0,IF(INDEX(LISTES!$F$105:$F$109,MATCH(OM87,LISTES!$C$105:$C$109,0))="FIX",ON87,OO87*OL87)))</f>
        <v/>
      </c>
      <c r="PA87" s="497" t="str">
        <f t="shared" si="755"/>
        <v/>
      </c>
      <c r="PB87" s="498" t="str">
        <f>IF(A87=FALSE,"",IF(LISTES!$A$17=1,Cotations!CT87,Cotations!$CU$4))</f>
        <v/>
      </c>
      <c r="PC87" s="499" t="str">
        <f t="shared" si="756"/>
        <v/>
      </c>
      <c r="PD87" s="499" t="str">
        <f t="shared" si="757"/>
        <v/>
      </c>
      <c r="PE87" s="500" t="str">
        <f t="shared" si="758"/>
        <v/>
      </c>
      <c r="PF87" s="501" t="str">
        <f>IF(A87=FALSE,"",Cotations!$CY$4*Y87)</f>
        <v/>
      </c>
      <c r="PG87" s="502" t="str">
        <f t="shared" si="759"/>
        <v/>
      </c>
      <c r="PH87" s="520" t="str">
        <f>IF(A87=FALSE,"",IF(Cotations!$CV$4="monthly",PG87/12*L87,PG87/365*M87))</f>
        <v/>
      </c>
      <c r="PI87" s="503" t="str">
        <f>IF(A87=FALSE,"",Cotations!$CZ$4)</f>
        <v/>
      </c>
      <c r="PJ87" s="502" t="str">
        <f t="shared" si="760"/>
        <v/>
      </c>
      <c r="PK87" s="502" t="str">
        <f t="shared" si="761"/>
        <v/>
      </c>
      <c r="PL87" s="504" t="str">
        <f t="shared" si="762"/>
        <v/>
      </c>
      <c r="PM87" s="505" t="str">
        <f>IF(A87=FALSE,"",Cotations!$DA$4)</f>
        <v/>
      </c>
      <c r="PN87" s="520" t="str">
        <f>IF(A87=FALSE,"",Cotations!$DB$4)</f>
        <v/>
      </c>
      <c r="PO87" s="503" t="str">
        <f>IF(A87=FALSE,"",Cotations!$DC$4)</f>
        <v/>
      </c>
      <c r="PP87" s="505" t="str">
        <f>IF(A87=FALSE,"",IF(PM87="N/A",0,IF(INDEX(LISTES!$F$105:$F$109,MATCH(PM87,LISTES!$C$105:$C$109,0))="FIX",IF(INDEX(LISTES!$E$105:$E$109,MATCH(PM87,LISTES!$C$105:$C$109,0))=12,PN87/12*L87,PN87/365*M87),PO87*PL87)))</f>
        <v/>
      </c>
      <c r="PQ87" s="504" t="str">
        <f t="shared" si="763"/>
        <v/>
      </c>
      <c r="PR87" s="505" t="str">
        <f>IF(A87=FALSE,"",PQ87*Cotations!$DD$4)</f>
        <v/>
      </c>
      <c r="PS87" s="505" t="str">
        <f>IF(A87=FALSE,"",PQ87*Cotations!$DE$4)</f>
        <v/>
      </c>
      <c r="PT87" s="506" t="str">
        <f t="shared" si="764"/>
        <v/>
      </c>
      <c r="PU87" s="919" t="str">
        <f>IF(A87=FALSE,"",((PG87*TAXE)-(PG87*TAXE*PI87))+IF(PM87="N/A",0,IF(INDEX(LISTES!$F$105:$F$109,MATCH(PM87,LISTES!$C$105:$C$109,0))="FIX",PN87,PO87*PL87)))</f>
        <v/>
      </c>
      <c r="QA87" s="492" t="str">
        <f t="shared" si="765"/>
        <v/>
      </c>
      <c r="QB87" s="491" t="str">
        <f>IF(A87=FALSE,"",IF(LISTES!$A$17=1,Cotations!CT87,Cotations!CU87))</f>
        <v/>
      </c>
      <c r="QC87" s="285" t="str">
        <f t="shared" si="766"/>
        <v/>
      </c>
      <c r="QD87" s="300"/>
      <c r="QE87" s="461" t="str">
        <f t="shared" si="767"/>
        <v/>
      </c>
      <c r="QF87" s="490" t="str">
        <f>IF(A87=FALSE,"",Cotations!CY87*AA87)</f>
        <v/>
      </c>
      <c r="QG87" s="300" t="str">
        <f t="shared" si="768"/>
        <v/>
      </c>
      <c r="QH87" s="522" t="str">
        <f>IF(A87=FALSE,"",IF(Cotations!CV87="monthly",QG87/12*L87,QG87/365*M87))</f>
        <v/>
      </c>
      <c r="QI87" s="489" t="str">
        <f>IF(A87=FALSE,"",IF(Cotations!CZ87="","",Cotations!CZ87))</f>
        <v/>
      </c>
      <c r="QJ87" s="300" t="str">
        <f t="shared" si="769"/>
        <v/>
      </c>
      <c r="QK87" s="300" t="str">
        <f t="shared" si="770"/>
        <v/>
      </c>
      <c r="QL87" s="919" t="str">
        <f t="shared" si="771"/>
        <v/>
      </c>
      <c r="QM87" s="517" t="str">
        <f>IF(A87=FALSE,"",Cotations!DA87)</f>
        <v/>
      </c>
      <c r="QN87" s="515" t="str">
        <f>IF(A87=FALSE,"",Cotations!DB87)</f>
        <v/>
      </c>
      <c r="QO87" s="493" t="str">
        <f>IF(A87=FALSE,"",Cotations!DC87)</f>
        <v/>
      </c>
      <c r="QP87" s="517" t="str">
        <f>IF(A87=FALSE,"",IF(QM87="N/A",0,IF(INDEX(LISTES!$F$105:$F$109,MATCH(QM87,LISTES!$C$105:$C$109,0))="FIX",IF(INDEX(LISTES!$E$105:$E$109,MATCH(QM87,LISTES!$C$105:$C$109,0))=12,QN87/12*L87,QN87/365*M87),QO87*QL87)))</f>
        <v/>
      </c>
      <c r="QQ87" s="294" t="str">
        <f t="shared" si="772"/>
        <v/>
      </c>
      <c r="QR87" s="494" t="str">
        <f>IF(A87=FALSE,"",QQ87*Cotations!DD87)</f>
        <v/>
      </c>
      <c r="QS87" s="494" t="str">
        <f>IF(A87=FALSE,"",QQ87*Cotations!DE87)</f>
        <v/>
      </c>
      <c r="QT87" s="338" t="str">
        <f t="shared" si="773"/>
        <v/>
      </c>
      <c r="QU87" s="919" t="str">
        <f>IF(A87=FALSE,"",((QG87*TAXE)-(QG87*TAXE*QI87))+IF(QM87="N/A",0,IF(INDEX(LISTES!$F$105:$F$109,MATCH(QM87,LISTES!$C$105:$C$109,0))="FIX",QN87,QO87*QL87)))</f>
        <v/>
      </c>
      <c r="RA87" s="497" t="str">
        <f t="shared" si="774"/>
        <v/>
      </c>
      <c r="RB87" s="498" t="str">
        <f>IF(A87=FALSE,"",IF(LISTES!$A$17=1,Cotations!DF87,Cotations!$DG$4))</f>
        <v/>
      </c>
      <c r="RC87" s="499" t="str">
        <f t="shared" si="775"/>
        <v/>
      </c>
      <c r="RD87" s="499" t="str">
        <f t="shared" si="776"/>
        <v/>
      </c>
      <c r="RE87" s="500" t="str">
        <f t="shared" si="777"/>
        <v/>
      </c>
      <c r="RF87" s="501" t="str">
        <f>IF(A87=FALSE,"",Cotations!$DK$4*Y87)</f>
        <v/>
      </c>
      <c r="RG87" s="502" t="str">
        <f t="shared" si="778"/>
        <v/>
      </c>
      <c r="RH87" s="520" t="str">
        <f>IF(A87=FALSE,"",IF(Cotations!$DH$4="monthly",RG87/12*L87,RG87/365*M87))</f>
        <v/>
      </c>
      <c r="RI87" s="503" t="str">
        <f>IF(A87=FALSE,"",Cotations!$DL$4)</f>
        <v/>
      </c>
      <c r="RJ87" s="502" t="str">
        <f t="shared" si="779"/>
        <v/>
      </c>
      <c r="RK87" s="502" t="str">
        <f t="shared" si="780"/>
        <v/>
      </c>
      <c r="RL87" s="504" t="str">
        <f t="shared" si="781"/>
        <v/>
      </c>
      <c r="RM87" s="505" t="str">
        <f>IF(A87=FALSE,"",Cotations!$DM$4)</f>
        <v/>
      </c>
      <c r="RN87" s="520" t="str">
        <f>IF(A87=FALSE,"",Cotations!$DN$4)</f>
        <v/>
      </c>
      <c r="RO87" s="503" t="str">
        <f>IF(A87=FALSE,"",Cotations!$DO$4)</f>
        <v/>
      </c>
      <c r="RP87" s="505" t="str">
        <f>IF(A87=FALSE,"",IF(RM87="N/A",0,IF(INDEX(LISTES!$F$105:$F$109,MATCH(RM87,LISTES!$C$105:$C$109,0))="FIX",IF(INDEX(LISTES!$E$105:$E$109,MATCH(RM87,LISTES!$C$105:$C$109,0))=12,RN87/12*L87,RN87/365*M87),RO87*RL87)))</f>
        <v/>
      </c>
      <c r="RQ87" s="504" t="str">
        <f t="shared" si="782"/>
        <v/>
      </c>
      <c r="RR87" s="505" t="str">
        <f>IF(A87=FALSE,"",RQ87*Cotations!$DP$4)</f>
        <v/>
      </c>
      <c r="RS87" s="505" t="str">
        <f>IF(A87=FALSE,"",RQ87*Cotations!$DQ$4)</f>
        <v/>
      </c>
      <c r="RT87" s="506" t="str">
        <f t="shared" si="783"/>
        <v/>
      </c>
      <c r="RU87" s="919" t="str">
        <f>IF(A87=FALSE,"",((RG87*TAXE)-(RG87*TAXE*RI87))+IF(RM87="N/A",0,IF(INDEX(LISTES!$F$105:$F$109,MATCH(RM87,LISTES!$C$105:$C$109,0))="FIX",RN87,RO87*RL87)))</f>
        <v/>
      </c>
      <c r="SA87" s="492" t="str">
        <f t="shared" si="784"/>
        <v/>
      </c>
      <c r="SB87" s="491" t="str">
        <f>IF(A87=FALSE,"",IF(LISTES!$A$17=1,Cotations!DF87,Cotations!DG87))</f>
        <v/>
      </c>
      <c r="SC87" s="285" t="str">
        <f t="shared" si="785"/>
        <v/>
      </c>
      <c r="SD87" s="300"/>
      <c r="SE87" s="461" t="str">
        <f t="shared" si="786"/>
        <v/>
      </c>
      <c r="SF87" s="490" t="str">
        <f>IF(A87=FALSE,"",Cotations!DK87*AA87)</f>
        <v/>
      </c>
      <c r="SG87" s="300" t="str">
        <f t="shared" si="787"/>
        <v/>
      </c>
      <c r="SH87" s="522" t="str">
        <f>IF(A87=FALSE,"",IF(Cotations!DH87="monthly",SG87/12*L87,SG87/365*M87))</f>
        <v/>
      </c>
      <c r="SI87" s="489" t="str">
        <f>IF(A87=FALSE,"",IF(Cotations!DL87="","",Cotations!DL87))</f>
        <v/>
      </c>
      <c r="SJ87" s="300" t="str">
        <f t="shared" si="788"/>
        <v/>
      </c>
      <c r="SK87" s="300" t="str">
        <f t="shared" si="789"/>
        <v/>
      </c>
      <c r="SL87" s="919" t="str">
        <f t="shared" si="790"/>
        <v/>
      </c>
      <c r="SM87" s="285" t="str">
        <f>IF(A87=FALSE,"",Cotations!DM87)</f>
        <v/>
      </c>
      <c r="SN87" s="515" t="str">
        <f>IF(A87=FALSE,"",Cotations!DN87)</f>
        <v/>
      </c>
      <c r="SO87" s="493" t="str">
        <f>IF(A87=FALSE,"",Cotations!DO87)</f>
        <v/>
      </c>
      <c r="SP87" s="517" t="str">
        <f>IF(A87=FALSE,"",IF(SM87="N/A",0,IF(INDEX(LISTES!$F$105:$F$109,MATCH(SM87,LISTES!$C$105:$C$109,0))="FIX",IF(INDEX(LISTES!$E$105:$E$109,MATCH(SM87,LISTES!$C$105:$C$109,0))=12,SN87/12*L87,SN87/365*M87),SO87*SL87)))</f>
        <v/>
      </c>
      <c r="SQ87" s="294" t="str">
        <f t="shared" si="791"/>
        <v/>
      </c>
      <c r="SR87" s="494" t="str">
        <f>IF(A87=FALSE,"",SQ87*Cotations!DP87)</f>
        <v/>
      </c>
      <c r="SS87" s="494" t="str">
        <f>IF(A87=FALSE,"",SQ87*Cotations!DQ87)</f>
        <v/>
      </c>
      <c r="ST87" s="338" t="str">
        <f t="shared" si="792"/>
        <v/>
      </c>
      <c r="SU87" s="919" t="str">
        <f>IF(A87=FALSE,"",((SG87*TAXE)-(SG87*TAXE*SI87))+IF(SM87="N/A",0,IF(INDEX(LISTES!$F$105:$F$109,MATCH(SM87,LISTES!$C$105:$C$109,0))="FIX",SN87,SO87*SL87)))</f>
        <v/>
      </c>
      <c r="TA87" s="492" t="str">
        <f>IF(A87=FALSE,"",Cotations!D87)</f>
        <v/>
      </c>
      <c r="TB87" s="491" t="str">
        <f>IF(A87=FALSE,"",IF(LISTES!$A$17=1,Cotations!DR87,Cotations!DS87))</f>
        <v/>
      </c>
      <c r="TC87" s="285" t="str">
        <f t="shared" si="793"/>
        <v/>
      </c>
      <c r="TD87" s="300" t="str">
        <f>IF(A87=FALSE,"",Detail!CQ87)</f>
        <v/>
      </c>
      <c r="TE87" s="461" t="str">
        <f t="shared" si="794"/>
        <v/>
      </c>
      <c r="TF87" s="490" t="str">
        <f>IF(A87=FALSE,"",IF(TA87="FIXE",Cotations!DU87,Cotations!DV87*Y87))</f>
        <v/>
      </c>
      <c r="TG87" s="300" t="str">
        <f t="shared" si="795"/>
        <v/>
      </c>
      <c r="TH87" s="522" t="str">
        <f>IF(A87=FALSE,"",IF(Cotations!DT87="monthly",TG87/12*L87,TG87/365*M87))</f>
        <v/>
      </c>
      <c r="TI87" s="489" t="str">
        <f>IF(A87=FALSE,"",IF(Cotations!DW87="","",Cotations!DW87))</f>
        <v/>
      </c>
      <c r="TJ87" s="300" t="str">
        <f t="shared" si="796"/>
        <v/>
      </c>
      <c r="TK87" s="300" t="str">
        <f t="shared" si="797"/>
        <v/>
      </c>
      <c r="TL87" s="919" t="str">
        <f t="shared" si="798"/>
        <v/>
      </c>
      <c r="TM87" s="517" t="str">
        <f>IF(A87=FALSE,"",Cotations!DX87)</f>
        <v/>
      </c>
      <c r="TN87" s="517" t="str">
        <f>IF(A87=FALSE,"",Cotations!DY87)</f>
        <v/>
      </c>
      <c r="TO87" s="493" t="str">
        <f>IF(A87=FALSE,"",Cotations!DZ87)</f>
        <v/>
      </c>
      <c r="TP87" s="517" t="str">
        <f>IF(A87=FALSE,"",IF(TM87="N/A",0,IF(INDEX(LISTES!$F$105:$F$109,MATCH(TM87,LISTES!$C$105:$C$109,0))="FIX",IF(INDEX(LISTES!$E$105:$E$109,MATCH(TM87,LISTES!$C$105:$C$109,0))=12,TN87/12*L87,TN87/365*M87),TO87*TL87)))</f>
        <v/>
      </c>
      <c r="TQ87" s="294" t="str">
        <f t="shared" si="799"/>
        <v/>
      </c>
      <c r="TR87" s="494" t="str">
        <f>IF(A87=FALSE,"",TQ87*Cotations!EA87)</f>
        <v/>
      </c>
      <c r="TS87" s="494" t="str">
        <f>IF(A87=FALSE,"",TQ87*Cotations!EB87)</f>
        <v/>
      </c>
      <c r="TT87" s="338" t="str">
        <f t="shared" si="800"/>
        <v/>
      </c>
      <c r="TU87" s="919" t="str">
        <f>IF(A87=FALSE,"",((TG87*(1+TAXE)-(TG87*(1+TAXE)*TI87))+IF(TM87="N/A",0,IF(INDEX(LISTES!$F$105:$F$109,MATCH(TM87,LISTES!$C$105:$C$109,0))="FIX",TN87,TO87*TL87))))</f>
        <v/>
      </c>
      <c r="UA87" s="492" t="str">
        <f>IF(A87=FALSE,"",Cotations!D87)</f>
        <v/>
      </c>
      <c r="UB87" s="491" t="str">
        <f>IF(A87=FALSE,"",IF(LISTES!$A$17=1,Cotations!EC87,Cotations!ED87))</f>
        <v/>
      </c>
      <c r="UC87" s="285" t="str">
        <f t="shared" si="801"/>
        <v/>
      </c>
      <c r="UD87" s="300" t="str">
        <f>IF(A87=FALSE,"",Detail!CY87)</f>
        <v/>
      </c>
      <c r="UE87" s="461" t="str">
        <f t="shared" si="802"/>
        <v/>
      </c>
      <c r="UF87" s="490" t="str">
        <f>IF(A87=FALSE,"",IF(UA87="FIXE",Cotations!EF87,Cotations!EG87*Y87))</f>
        <v/>
      </c>
      <c r="UG87" s="300" t="str">
        <f t="shared" si="803"/>
        <v/>
      </c>
      <c r="UH87" s="522" t="str">
        <f>IF(A87=FALSE,"",IF(Cotations!EE87="monthly",UG87/12*L87,UG87/365*M87))</f>
        <v/>
      </c>
      <c r="UI87" s="489" t="str">
        <f>IF(A87=FALSE,"",IF(Cotations!EH87="","",Cotations!EH87))</f>
        <v/>
      </c>
      <c r="UJ87" s="300" t="str">
        <f t="shared" si="804"/>
        <v/>
      </c>
      <c r="UK87" s="300" t="str">
        <f t="shared" si="805"/>
        <v/>
      </c>
      <c r="UL87" s="919" t="str">
        <f t="shared" si="806"/>
        <v/>
      </c>
      <c r="UM87" s="517" t="str">
        <f>IF(A87=FALSE,"",Cotations!EI87)</f>
        <v/>
      </c>
      <c r="UN87" s="517" t="str">
        <f>IF(A87=FALSE,"",Cotations!EJ87)</f>
        <v/>
      </c>
      <c r="UO87" s="493" t="str">
        <f>IF(A87=FALSE,"",Cotations!EK87)</f>
        <v/>
      </c>
      <c r="UP87" s="517" t="str">
        <f>IF(A87=FALSE,"",IF(UM87="N/A",0,IF(INDEX(LISTES!$F$105:$F$109,MATCH(UM87,LISTES!$C$105:$C$109,0))="FIX",IF(INDEX(LISTES!$E$105:$E$109,MATCH(UM87,LISTES!$C$105:$C$109,0))=12,UN87/12*L87,UN87/365*M87),UO87*UL87)))</f>
        <v/>
      </c>
      <c r="UQ87" s="294" t="str">
        <f t="shared" si="807"/>
        <v/>
      </c>
      <c r="UR87" s="494" t="str">
        <f>IF(A87=FALSE,"",UQ87*Cotations!EL87)</f>
        <v/>
      </c>
      <c r="US87" s="494" t="str">
        <f>IF(A87=FALSE,"",UQ87*Cotations!EM87)</f>
        <v/>
      </c>
      <c r="UT87" s="338" t="str">
        <f t="shared" si="808"/>
        <v/>
      </c>
      <c r="UU87" s="919" t="str">
        <f>IF(A87=FALSE,"",((UG87*(1+TAXE)-(UG87*(1+TAXE)*UI87))+IF(UM87="N/A",0,IF(INDEX(LISTES!$F$105:$F$109,MATCH(UM87,LISTES!$C$105:$C$109,0))="FIX",UN87,UO87*UL87))))</f>
        <v/>
      </c>
      <c r="VA87" s="492" t="str">
        <f>IF(A87=FALSE,"",Cotations!D87)</f>
        <v/>
      </c>
      <c r="VB87" s="519" t="str">
        <f>IF(A87=FALSE,"",IF(LISTES!$A$17=1,Cotations!EN87,Cotations!EO87))</f>
        <v/>
      </c>
      <c r="VC87" s="291" t="str">
        <f t="shared" si="809"/>
        <v/>
      </c>
      <c r="VD87" s="291" t="str">
        <f t="shared" si="810"/>
        <v/>
      </c>
      <c r="VE87" s="291"/>
      <c r="VF87" s="463"/>
      <c r="VG87" s="463" t="str">
        <f t="shared" si="811"/>
        <v/>
      </c>
      <c r="VH87" s="522" t="str">
        <f>IF(A87=FALSE,"",IF(Cotations!$AQ$4="monthly",VG87/12*L87,VG87/365*M87))</f>
        <v/>
      </c>
      <c r="VI87" s="489" t="str">
        <f>IF(A87=FALSE,"",Cotations!$AR$4)</f>
        <v/>
      </c>
      <c r="VJ87" s="300" t="str">
        <f t="shared" si="812"/>
        <v/>
      </c>
      <c r="VK87" s="300" t="str">
        <f t="shared" si="813"/>
        <v/>
      </c>
      <c r="VL87" s="294" t="str">
        <f t="shared" si="814"/>
        <v/>
      </c>
      <c r="VM87" s="494" t="str">
        <f>IF(A87=FALSE,"",Cotations!$AS$4)</f>
        <v/>
      </c>
      <c r="VN87" s="494" t="str">
        <f>IF(A87=FALSE,"",Cotations!$AT$4)</f>
        <v/>
      </c>
      <c r="VO87" s="489" t="str">
        <f>IF(A87=FALSE,"",Cotations!$AU$4)</f>
        <v/>
      </c>
      <c r="VP87" s="494" t="str">
        <f>IF(A87=FALSE,"",IF(VM87="N/A",0,IF(INDEX(LISTES!$F$105:$F$109,MATCH(VM87,LISTES!$C$105:$C$109,0))="FIX",IF(INDEX(LISTES!$E$105:$E$109,MATCH(VM87,LISTES!$C$105:$C$109,0))=12,VN87/12*L87,VN87/365*M87),VO87*VL87)))</f>
        <v/>
      </c>
      <c r="VQ87" s="294" t="str">
        <f t="shared" si="815"/>
        <v/>
      </c>
      <c r="VR87" s="494" t="str">
        <f>IF(A87=FALSE,"",VQ87*Cotations!$AV$4)</f>
        <v/>
      </c>
      <c r="VS87" s="494" t="str">
        <f>IF(A87=FALSE,"",VQ87*Cotations!$AW$4)</f>
        <v/>
      </c>
      <c r="VT87" s="465" t="str">
        <f t="shared" si="816"/>
        <v/>
      </c>
      <c r="VU87" s="919" t="str">
        <f>IF(A87=FALSE,"",((VG87*TAXE)-(VG87*TAXE*VI87))+IF(VM87="N/A",0,IF(INDEX(LISTES!$F$105:$F$109,MATCH(VM87,LISTES!$C$105:$C$109,0))="FIX",VN87,VO87*VL87)))</f>
        <v/>
      </c>
      <c r="WA87" s="492" t="str">
        <f>IF(A87=FALSE,"",Cotations!D87)</f>
        <v/>
      </c>
      <c r="WB87" s="519" t="str">
        <f>IF(A87=FALSE,"",IF(LISTES!$A$17=1,Cotations!EW87,Cotations!EX87))</f>
        <v/>
      </c>
      <c r="WC87" s="291" t="str">
        <f t="shared" si="817"/>
        <v/>
      </c>
      <c r="WD87" s="291" t="str">
        <f t="shared" si="818"/>
        <v/>
      </c>
      <c r="WE87" s="291"/>
      <c r="WF87" s="463"/>
      <c r="WG87" s="463" t="str">
        <f t="shared" si="819"/>
        <v/>
      </c>
      <c r="WH87" s="522" t="str">
        <f>IF(A87=FALSE,"",IF(Cotations!$AQ$4="monthly",WG87/12*L87,WG87/365*M87))</f>
        <v/>
      </c>
      <c r="WI87" s="489" t="str">
        <f>IF(A87=FALSE,"",Cotations!$AR$4)</f>
        <v/>
      </c>
      <c r="WJ87" s="300" t="str">
        <f t="shared" si="820"/>
        <v/>
      </c>
      <c r="WK87" s="300" t="str">
        <f t="shared" si="821"/>
        <v/>
      </c>
      <c r="WL87" s="294" t="str">
        <f t="shared" si="822"/>
        <v/>
      </c>
      <c r="WM87" s="494" t="str">
        <f>IF(A87=FALSE,"",Cotations!$AS$4)</f>
        <v/>
      </c>
      <c r="WN87" s="494" t="str">
        <f>IF(A87=FALSE,"",Cotations!$AT$4)</f>
        <v/>
      </c>
      <c r="WO87" s="489" t="str">
        <f>IF(A87=FALSE,"",Cotations!$AU$4)</f>
        <v/>
      </c>
      <c r="WP87" s="494" t="str">
        <f>IF(A87=FALSE,"",IF(WM87="N/A",0,IF(INDEX(LISTES!$F$105:$F$109,MATCH(WM87,LISTES!$C$105:$C$109,0))="FIX",IF(INDEX(LISTES!$E$105:$E$109,MATCH(WM87,LISTES!$C$105:$C$109,0))=12,WN87/12*L87,WN87/365*M87),WO87*WL87)))</f>
        <v/>
      </c>
      <c r="WQ87" s="294" t="str">
        <f t="shared" si="823"/>
        <v/>
      </c>
      <c r="WR87" s="494" t="str">
        <f>IF(A87=FALSE,"",WQ87*Cotations!$AV$4)</f>
        <v/>
      </c>
      <c r="WS87" s="494" t="str">
        <f>IF(A87=FALSE,"",WQ87*Cotations!$AW$4)</f>
        <v/>
      </c>
      <c r="WT87" s="465" t="str">
        <f t="shared" si="824"/>
        <v/>
      </c>
      <c r="WU87" s="919" t="str">
        <f>IF(A87=FALSE,"",((WG87*TAXE)-(WG87*TAXE*WI87))+IF(WM87="N/A",0,IF(INDEX(LISTES!$F$105:$F$109,MATCH(WM87,LISTES!$C$105:$C$109,0))="FIX",WN87,WO87*WL87)))</f>
        <v/>
      </c>
    </row>
    <row r="88" spans="1:619">
      <c r="A88" s="942" t="b">
        <f t="shared" si="629"/>
        <v>0</v>
      </c>
      <c r="B88" s="942" t="b">
        <f>IF(NAMES!$B$9=TRUE,TRUE,FALSE)</f>
        <v>1</v>
      </c>
      <c r="C88" s="942" t="b">
        <f t="shared" si="825"/>
        <v>0</v>
      </c>
      <c r="D88" s="942" t="b">
        <f t="shared" si="826"/>
        <v>0</v>
      </c>
      <c r="E88" s="274" t="b">
        <f>IF(Cotations!C88="","",Cotations!C88)</f>
        <v>0</v>
      </c>
      <c r="F88" s="274" t="str">
        <f>IF(Cotations!D88="","",Cotations!D88)</f>
        <v>PROP</v>
      </c>
      <c r="G88" s="274" t="str">
        <f>IF(Cotations!E88="","",Cotations!E88)</f>
        <v>2016-2017!</v>
      </c>
      <c r="H88" s="274" t="str">
        <f>IF(Cotations!F88="","",Cotations!F88)</f>
        <v>SINGLE</v>
      </c>
      <c r="I88" s="274" t="str">
        <f>IF(Cotations!G88="","",Cotations!G88)</f>
        <v/>
      </c>
      <c r="J88" s="274" t="str">
        <f>IF(Cotations!H88="","",Cotations!H88)</f>
        <v/>
      </c>
      <c r="K88" s="274" t="str">
        <f>IF(Cotations!I88="","",Cotations!I88)</f>
        <v/>
      </c>
      <c r="L88" s="274" t="str">
        <f>IF(A88=FALSE,"",IF(Cotations!N88="","",Cotations!N88))</f>
        <v/>
      </c>
      <c r="M88" s="274" t="str">
        <f>IF(Cotations!P88="","",Cotations!P88)</f>
        <v/>
      </c>
      <c r="N88" s="724" t="str">
        <f>IF(NAMES!$B$10=TRUE,Cotations!J88,Cotations!L88)</f>
        <v/>
      </c>
      <c r="O88" s="724" t="str">
        <f>IF(NAMES!$B$10=TRUE,Cotations!K88,Cotations!M88)</f>
        <v/>
      </c>
      <c r="P88" s="943" t="str">
        <f t="shared" si="827"/>
        <v/>
      </c>
      <c r="Q88" s="724" t="str">
        <f>IF(A88=FALSE,"",IF(Crewlist!Y88="","",Crewlist!Y88))</f>
        <v/>
      </c>
      <c r="R88" s="78" t="str">
        <f>IF(Cotations!U88="","",Cotations!U88)</f>
        <v/>
      </c>
      <c r="S88" s="943" t="str">
        <f t="shared" si="828"/>
        <v/>
      </c>
      <c r="T88" s="919" t="str">
        <f>IF(A88=FALSE,"",VLOOKUP($U$15:$U$120,Currency!$A$2:$D$10,4,0)*Crewlist!N88)</f>
        <v/>
      </c>
      <c r="U88" s="1355" t="str">
        <f>IF(A88=FALSE,"",IF(IT88=0,Crewlist!M88&amp;"/"&amp;EX88,Crewlist!M88&amp;"/"&amp;IT88))</f>
        <v/>
      </c>
      <c r="V88" s="919" t="str">
        <f>IF(A88=FALSE,"",VLOOKUP($U$15:$U$120,Currency!$A$2:$D$10,4,0)*Detail!Q88)</f>
        <v/>
      </c>
      <c r="W88" s="1355" t="str">
        <f>IF(A88=FALSE,"",IF(IT88=0,Detail!R88&amp;"/"&amp;EX88,Detail!R88&amp;"/"&amp;IT88))</f>
        <v/>
      </c>
      <c r="X88" s="919" t="str">
        <f>IF(A88=FALSE,"",IF(LISTES!$C$17="Crewlist",Calcul!T88,Calcul!V88))</f>
        <v/>
      </c>
      <c r="Y88" s="758" t="str">
        <f t="shared" si="829"/>
        <v/>
      </c>
      <c r="Z88" s="758" t="str">
        <f>IF(A88=FALSE,"",IF(X88=0,0,IF((Cotations!BC88*12*X88)&lt;50000,50000,(12*X88))))</f>
        <v/>
      </c>
      <c r="AA88" s="758" t="str">
        <f t="shared" si="830"/>
        <v/>
      </c>
      <c r="AB88" s="758" t="str">
        <f>IF(A88=FALSE,"",IF(Crewlist!O88=0,"",Crewlist!O88))</f>
        <v/>
      </c>
      <c r="AC88" s="758" t="str">
        <f>IF(I88="","",VLOOKUP($AB$15:$AB$120,Currency!$A$15:$B$34,2,0))</f>
        <v/>
      </c>
      <c r="AD88" s="758" t="str">
        <f t="shared" si="831"/>
        <v/>
      </c>
      <c r="AE88" s="758" t="str">
        <f t="shared" si="832"/>
        <v/>
      </c>
      <c r="AF88" s="758" t="str">
        <f t="shared" si="833"/>
        <v/>
      </c>
      <c r="AG88" s="758" t="str">
        <f t="shared" si="834"/>
        <v/>
      </c>
      <c r="AH88" s="1355" t="str">
        <f t="shared" si="630"/>
        <v/>
      </c>
      <c r="AI88" s="919" t="str">
        <f t="shared" si="835"/>
        <v/>
      </c>
      <c r="AJ88" s="1382" t="str">
        <f t="shared" si="836"/>
        <v/>
      </c>
      <c r="AK88" s="1382" t="str">
        <f t="shared" si="837"/>
        <v/>
      </c>
      <c r="AL88" s="238" t="str">
        <f t="shared" si="631"/>
        <v/>
      </c>
      <c r="AM88" s="238" t="str">
        <f t="shared" si="632"/>
        <v/>
      </c>
      <c r="AN88" s="1374" t="str">
        <f t="shared" si="633"/>
        <v/>
      </c>
      <c r="AO88" s="238" t="str">
        <f t="shared" si="634"/>
        <v/>
      </c>
      <c r="AP88" s="342" t="str">
        <f>IF(A88=FALSE,"",INDEX(Rates!$Z$5:$Z$367,MATCH(EB88,colchoice,0)))</f>
        <v/>
      </c>
      <c r="AQ88" s="238" t="str">
        <f t="shared" si="635"/>
        <v/>
      </c>
      <c r="AR88" s="238" t="str">
        <f t="shared" si="636"/>
        <v/>
      </c>
      <c r="AS88" s="238" t="str">
        <f t="shared" si="637"/>
        <v/>
      </c>
      <c r="AT88" s="238" t="str">
        <f t="shared" si="638"/>
        <v/>
      </c>
      <c r="AU88" s="238" t="str">
        <f t="shared" si="639"/>
        <v/>
      </c>
      <c r="AV88" s="238" t="str">
        <f t="shared" si="838"/>
        <v/>
      </c>
      <c r="AW88" s="238" t="str">
        <f t="shared" si="640"/>
        <v/>
      </c>
      <c r="AX88" s="238" t="str">
        <f t="shared" si="641"/>
        <v/>
      </c>
      <c r="AY88" s="238" t="str">
        <f t="shared" si="642"/>
        <v/>
      </c>
      <c r="AZ88" s="238" t="str">
        <f t="shared" si="643"/>
        <v/>
      </c>
      <c r="BA88" s="238" t="str">
        <f t="shared" si="644"/>
        <v/>
      </c>
      <c r="BB88" s="552" t="str">
        <f t="shared" si="645"/>
        <v/>
      </c>
      <c r="BC88" s="347" t="str">
        <f t="shared" si="646"/>
        <v/>
      </c>
      <c r="BD88" s="239" t="str">
        <f t="shared" si="839"/>
        <v/>
      </c>
      <c r="BE88" s="239" t="str">
        <f>IF(A88=FALSE,"",IF(ALLTHESAME=TRUE,IF(DF88&lt;&gt;$BC$7,0,INDEX(DD88:DZ88,1,MATCH(Structure!$D$12,$DD$14:$DZ$14,0))),IF(EC88&lt;&gt;$BC$7,0,INDEX(EA88:EZ88,1,MATCH(Structure!$D$12,$EA$14:$EZ$14,0)))))</f>
        <v/>
      </c>
      <c r="BF88" s="239" t="str">
        <f>IF(A88=FALSE,"",IF(ALLTHESAME=TRUE,IF(FC88&lt;&gt;$BC$7,0,INDEX(FA88:FZ88,1,MATCH(Structure!$D$12,$FA$14:$FZ$14,0))),IF(GC88&lt;&gt;$BC$7,0,INDEX(GA88:GZ88,1,MATCH(Structure!$D$12,$GA$14:$GZ$14,0)))))</f>
        <v/>
      </c>
      <c r="BG88" s="239" t="str">
        <f>IF(A88=FALSE,"",IF(ALLTHESAME=TRUE,IF(VC88&lt;&gt;$BC$7,0,INDEX(VA88:VZ88,1,MATCH(Structure!$D$12,$VA$14:$VZ$14,0))),IF(VC88&lt;&gt;$BC$7,0,INDEX(VA88:VZ88,1,MATCH(Structure!$D$12,$VA$14:$VZ$14,0)))))</f>
        <v/>
      </c>
      <c r="BH88" s="239" t="str">
        <f>IF(A88=FALSE,"",IF(ALLTHESAME=TRUE,IF(WC88&lt;&gt;$BC$7,0,INDEX(WA88:WY88,1,MATCH(Structure!$D$12,$WA$14:$WZ$14,0))),IF(WC88&lt;&gt;$BC$7,0,INDEX(WA88:WZ88,1,MATCH(Structure!$D$12,$WA$14:$WZ$14,0)))))</f>
        <v/>
      </c>
      <c r="BI88" s="763" t="str">
        <f>IF(A88=FALSE,"",IF(ALLTHESAME=TRUE,IF(HC88&lt;&gt;$BC$7,0,INDEX(HA88:HZ88,1,MATCH(Structure!$D$12,$HA$14:$HZ$14,0)))+TK88,IF(IC88&lt;&gt;$BC$7,0,INDEX(IA88:IZ88,1,MATCH(Structure!$D$12,$IA$14:$IZ$14,0)))+TK88))</f>
        <v/>
      </c>
      <c r="BJ88" s="239" t="str">
        <f>IF(A88=FALSE,"",IF(ALLTHESAME=TRUE,IF(JC88&lt;&gt;$BC$7,0,INDEX(JA88:JZ88,1,MATCH(Structure!$D$12,$JA$14:$JZ$14,0))),IF(KC88&lt;&gt;$BC$7,0,INDEX(KA88:KZ88,1,MATCH(Structure!$D$12,$KA$14:$KZ$14,0)))))</f>
        <v/>
      </c>
      <c r="BK88" s="763" t="str">
        <f>IF(A88=FALSE,"",IF(ALLTHESAME=TRUE,IF(LC88&lt;&gt;$BC$7,0,INDEX(LA88:LZ88,1,MATCH(Structure!$D$12,$LA$14:$LZ$14,0)))+UK88,IF(MC88&lt;&gt;$BC$7,0,INDEX(MA88:MZ88,1,MATCH(Structure!$D$12,$MA$14:$MZ$14,0)))+UK88))</f>
        <v/>
      </c>
      <c r="BL88" s="239" t="str">
        <f>IF(A88=FALSE,"",IF(ALLTHESAME=TRUE,IF(NC88&lt;&gt;$BC$7,0,INDEX(NA88:NZ88,1,MATCH(Structure!$D$12,$NA$14:$NZ$14,0))),IF(OC88&lt;&gt;$BC$7,0,INDEX(OA88:OZ88,1,MATCH(Structure!$D$12,$OA$14:$OZ$14,0)))))</f>
        <v/>
      </c>
      <c r="BM88" s="239" t="str">
        <f>IF(A88=FALSE,"",IF(ALLTHESAME=TRUE,IF(PC88&lt;&gt;$BC$7,0,INDEX(PA88:PZ88,1,MATCH(Structure!$D$12,$PA$14:$PZ$14,0))),IF(QC88&lt;&gt;$BC$7,0,INDEX(QA88:QZ88,1,MATCH(Structure!$D$12,$QA$14:$QZ$14,0)))))</f>
        <v/>
      </c>
      <c r="BN88" s="341" t="str">
        <f>IF(A88=FALSE,"",IF(ALLTHESAME=TRUE,IF(RC88&lt;&gt;$BC$7,0,INDEX(RA88:RZ88,1,MATCH(Structure!$D$12,$RA$14:$RZ$14,0))),IF(SC88&lt;&gt;$BC$7,0,INDEX(SA88:TA88,1,MATCH(Structure!$D$12,$SA$14:$TA$14,0)))))</f>
        <v/>
      </c>
      <c r="BO88" s="507" t="str">
        <f t="shared" si="647"/>
        <v/>
      </c>
      <c r="BP88" s="239" t="str">
        <f t="shared" si="648"/>
        <v/>
      </c>
      <c r="BQ88" s="239" t="str">
        <f>IF(A88=FALSE,"",IF(ALLTHESAME=TRUE,IF(DF88&lt;&gt;$BO$7,0,INDEX(DD88:DZ88,1,MATCH(Structure!$D$12,$DD$14:$DZ$14,0))),IF(EC88&lt;&gt;$BO$7,0,INDEX(EA88:EZ88,1,MATCH(Structure!$D$12,$EA$14:$EZ$14,0)))))</f>
        <v/>
      </c>
      <c r="BR88" s="239" t="str">
        <f>IF(A88=FALSE,"",IF(ALLTHESAME=TRUE,IF(FC88&lt;&gt;$BO$7,0,INDEX(FA88:FZ88,1,MATCH(Structure!$D$12,$FA$14:$FZ$14,0))),IF(GC88&lt;&gt;$BO$7,0,INDEX(GA88:GZ88,1,MATCH(Structure!$D$12,$GA$14:$GZ$14,0)))))</f>
        <v/>
      </c>
      <c r="BS88" s="239" t="str">
        <f>IF(A88=FALSE,"",IF(ALLTHESAME=TRUE,IF(HC88&lt;&gt;$BO$7,0,INDEX(HA88:HZ88,1,MATCH(Structure!$D$12,$HA$14:$HZ$14,0))),IF(IC88&lt;&gt;$BO$7,0,INDEX(IA88:IZ88,1,MATCH(Structure!$D$12,$IA$14:$IZ$14,0)))))</f>
        <v/>
      </c>
      <c r="BT88" s="239" t="str">
        <f>IF(A88=FALSE,"",IF(ALLTHESAME=TRUE,IF(JC88&lt;&gt;$BO$7,0,INDEX(JA88:JZ88,1,MATCH(Structure!$D$12,$JA$14:$JZ$14,0))),IF(KC88&lt;&gt;$BO$7,0,INDEX(KA88:KZ88,1,MATCH(Structure!$D$12,$KA$14:$KZ$14,0)))))</f>
        <v/>
      </c>
      <c r="BU88" s="239" t="str">
        <f>IF(A88=FALSE,"",IF(ALLTHESAME=TRUE,IF(LC88&lt;&gt;$BO$7,0,INDEX(LA88:LZ88,1,MATCH(Structure!$D$12,$LA$14:$LZ$14,0))),IF(MC88&lt;&gt;$BO$7,0,INDEX(MA88:MZ88,1,MATCH(Structure!$D$12,$MA$14:$MZ$14,0)))))</f>
        <v/>
      </c>
      <c r="BV88" s="239" t="str">
        <f>IF(A88=FALSE,"",IF(ALLTHESAME=TRUE,IF(NC88&lt;&gt;$BO$7,0,INDEX(NA88:NZ88,1,MATCH(Structure!$D$12,$NA$14:$NZ$14,0))),IF(OC88&lt;&gt;$BO$7,0,INDEX(OA88:OZ88,1,MATCH(Structure!$D$12,$OA$14:$OZ$14,0)))))</f>
        <v/>
      </c>
      <c r="BW88" s="239" t="str">
        <f>IF(A88=FALSE,"",IF(ALLTHESAME=TRUE,IF(PC88&lt;&gt;$BO$7,0,INDEX(PA88:PZ88,1,MATCH(Structure!$D$12,$PA$14:$PZ$14,0))),IF(QC88&lt;&gt;$BO$7,0,INDEX(QA88:QZ88,1,MATCH(Structure!$D$12,$QA$14:$QZ$14,0)))))</f>
        <v/>
      </c>
      <c r="BX88" s="341" t="str">
        <f>IF(A88=FALSE,"",IF(ALLTHESAME=TRUE,IF(RC88&lt;&gt;$BO$7,0,INDEX(RA88:RZ88,1,MATCH(Structure!$D$12,$RA$14:$RZ$14,0))),IF(SC88&lt;&gt;$BO$7,0,INDEX(SA88:TA88,1,MATCH(Structure!$D$12,$SA$14:$TA$14,0)))))</f>
        <v/>
      </c>
      <c r="BY88" s="347" t="str">
        <f t="shared" si="649"/>
        <v/>
      </c>
      <c r="BZ88" s="507" t="str">
        <f t="shared" si="650"/>
        <v/>
      </c>
      <c r="CA88" s="239" t="str">
        <f t="shared" si="651"/>
        <v/>
      </c>
      <c r="CB88" s="239" t="str">
        <f>IF(A88=FALSE,"",IF(ALLTHESAME=TRUE,INDEX(DD88:DZ88,MATCH(DF88,DF88:DF193,0),MATCH(Structure!$D$17,$DD$14:$DZ$14,0)),INDEX(EA88:EZ88,MATCH(EC88,EC88:EC193,0),MATCH(Structure!$D$17,$EA$14:$EZ$14,0))))</f>
        <v/>
      </c>
      <c r="CC88" s="239" t="str">
        <f>IF(A88=FALSE,"",IF(ALLTHESAME=TRUE,INDEX(FA88:FZ88,MATCH(FC88,FC88:FC193,0),MATCH(Structure!$D$17,$FA$14:$FZ$14,0)),INDEX(GA88:GZ88,MATCH(GC88,GC88:GC193,0),MATCH(Structure!$D$17,$GA$14:$GZ$14,0))))</f>
        <v/>
      </c>
      <c r="CD88" s="239" t="str">
        <f>IF(A88=FALSE,"",IF(ALLTHESAME=TRUE,INDEX(HA88:HZ88,MATCH(HC88,HC88:HC193,0),MATCH(Structure!$D$17,$HA$14:$HZ$14,0)),INDEX(IA88:IZ88,MATCH(IC88,IC88:IC193,0),MATCH(Structure!$D$17,$IA$14:$IZ$14,0))))</f>
        <v/>
      </c>
      <c r="CE88" s="239" t="str">
        <f>IF(A88=FALSE,"",IF(ALLTHESAME=TRUE,INDEX(JA88:JZ88,MATCH(JC88,JC88:JC193,0),MATCH(Structure!$D$17,$JA$14:$JZ$14,0)),INDEX(KA88:KZ88,MATCH(KC88,KC88:KC193,0),MATCH(Structure!$D$17,$KA$14:$KZ$14,0))))</f>
        <v/>
      </c>
      <c r="CF88" s="239" t="str">
        <f>IF(A88=FALSE,"",IF(ALLTHESAME=TRUE,INDEX(LA88:LZ88,MATCH(LC88,LC88:LC193,0),MATCH(Structure!$D$17,$LA$14:$LZ$14,0)),INDEX(MA88:MZ88,MATCH(MC88,MC88:MC193,0),MATCH(Structure!$D$17,$MA$14:$MZ$14,0))))</f>
        <v/>
      </c>
      <c r="CG88" s="239" t="str">
        <f>IF(A88=FALSE,"",IF(ALLTHESAME=TRUE,INDEX(NA88:NZ88,MATCH(NC88,NC88:NC193,0),MATCH(Structure!$D$17,$NA$14:$NZ$14,0)),INDEX(OA88:OZ88,MATCH(OC88,OC88:OC193,0),MATCH(Structure!$D$17,$OA$14:$OZ$14,0))))</f>
        <v/>
      </c>
      <c r="CH88" s="239" t="str">
        <f>IF(A88=FALSE,"",IF(ALLTHESAME=TRUE,INDEX(PA88:PZ88,MATCH(PC88,PC88:PC193,0),MATCH(Structure!$D$17,$PA$14:$PZ$14,0)),INDEX(QA88:QZ88,MATCH(QC88,QC88:QC193,0),MATCH(Structure!$D$17,$QA$14:$QZ$14,0))))</f>
        <v/>
      </c>
      <c r="CI88" s="341" t="str">
        <f>IF(A88=FALSE,"",IF(ALLTHESAME=TRUE,INDEX(RA88:RZ88,MATCH(RC88,RC88:RC193,0),MATCH(Structure!$D$17,$RA$14:$RZ$14,0)),INDEX(SA88:TC88,MATCH(SC88,SC88:SC193,0),MATCH(Structure!$D$17,$SA$14:$TC$14,0))))</f>
        <v/>
      </c>
      <c r="CJ88" s="347"/>
      <c r="CK88" s="239" t="str">
        <f t="shared" si="652"/>
        <v/>
      </c>
      <c r="CL88" s="239" t="str">
        <f>IF(A88=FALSE,"",IF(ALLTHESAME=TRUE,INDEX(DD88:DZ88,MATCH(DF88,DF88:DF193,0),MATCH(Structure!$D$22,$DD$14:$DZ$14,0)),INDEX(EA88:EZ88,MATCH(EC88,EC88:EC193,0),MATCH(Structure!$D$22,$EA$14:$EZ$14,0))))</f>
        <v/>
      </c>
      <c r="CM88" s="239" t="str">
        <f>IF(A88=FALSE,"",IF(ALLTHESAME=TRUE,INDEX(FA88:FZ88,MATCH(FC88,FC88:FC193,0),MATCH(Structure!$D$22,$FA$14:$FZ$14,0)),INDEX(GA88:GZ88,MATCH(GC88,GC88:GC193,0),MATCH(Structure!$D$22,$GA$14:$GZ$14,0))))</f>
        <v/>
      </c>
      <c r="CN88" s="239" t="str">
        <f>IF(A88=FALSE,"",IF(ALLTHESAME=TRUE,INDEX(HA88:HZ88,MATCH(HC88,HC88:HC193,0),MATCH(Structure!$D$22,$HA$14:$HZ$14,0)),INDEX(IA88:IZ88,MATCH(IC88,IC88:IC193,0),MATCH(Structure!$D$22,$IA$14:$IZ$14,0))))</f>
        <v/>
      </c>
      <c r="CO88" s="239" t="str">
        <f>IF(A88=FALSE,"",IF(ALLTHESAME=TRUE,INDEX(JA88:JZ88,MATCH(JC88,JC88:JC193,0),MATCH(Structure!$D$22,$JA$14:$JZ$14,0)),INDEX(KA88:KZ88,MATCH(KC88,KC88:KC193,0),MATCH(Structure!$D$22,$KA$14:$KZ$14,0))))</f>
        <v/>
      </c>
      <c r="CP88" s="239" t="str">
        <f>IF(A88=FALSE,"",IF(ALLTHESAME=TRUE,INDEX(LA88:LZ88,MATCH(LC88,LC88:LC193,0),MATCH(Structure!$D$22,$LA$14:$LZ$14,0)),INDEX(MA88:MZ88,MATCH(MC88,MC88:MC193,0),MATCH(Structure!$D$22,$MA$14:$MZ$14,0))))</f>
        <v/>
      </c>
      <c r="CQ88" s="239" t="str">
        <f>IF(A88=FALSE,"",IF(ALLTHESAME=TRUE,INDEX(NA88:NZ88,MATCH(NC88,NC88:NC193,0),MATCH(Structure!$D$22,$NA$14:$NZ$14,0)),INDEX(OA88:OZ88,MATCH(OC88,OC88:OC193,0),MATCH(Structure!$D$22,$OA$14:$OZ$14,0))))</f>
        <v/>
      </c>
      <c r="CR88" s="239" t="str">
        <f>IF(A88=FALSE,"",IF(ALLTHESAME=TRUE,INDEX(PA88:PZ88,MATCH(PC88,PC88:PC193,0),MATCH(Structure!$D$22,$PA$14:$PZ$14,0)),INDEX(QA88:QZ88,MATCH(QC88,QC88:QC193,0),MATCH(Structure!$D$22,$QA$14:$QZ$14,0))))</f>
        <v/>
      </c>
      <c r="CS88" s="341" t="str">
        <f>IF(A88=FALSE,"",IF(ALLTHESAME=TRUE,INDEX(RA88:RZ88,MATCH(RC88,RC88:RC193,0),MATCH(Structure!$D$22,$RA$14:$RZ$14,0)),INDEX(SA88:TC88,MATCH(SC88,SC88:SC193,0),MATCH(Structure!$D$22,$SA$14:$TC$14,0))))</f>
        <v/>
      </c>
      <c r="CT88" s="347"/>
      <c r="CU88" s="239" t="str">
        <f t="shared" si="653"/>
        <v/>
      </c>
      <c r="CV88" s="239" t="str">
        <f>IF(A88=FALSE,"",IF(ALLTHESAME=TRUE,INDEX(DD88:DZ88,MATCH(DF88,DF88:DF193,0),MATCH(Structure!$D$8,$DD$14:$DZ$14,0)),INDEX(EA88:EZ88,MATCH(EC88,EC88:EC193,0),MATCH(Structure!$D$8,$EA$14:$EZ$14,0))))</f>
        <v/>
      </c>
      <c r="CW88" s="239" t="str">
        <f>IF(A88=FALSE,"",IF(ALLTHESAME=TRUE,INDEX(FA88:FZ88,MATCH(FC88,FC88:FC193,0),MATCH(Structure!$D$8,$FA$14:$FZ$14,0)),INDEX(GA88:GZ88,MATCH(GC88,GC88:GC193,0),MATCH(Structure!$D$8,$GA$14:$GZ$14,0))))</f>
        <v/>
      </c>
      <c r="CX88" s="239" t="str">
        <f>IF(A88=FALSE,"",IF(ALLTHESAME=TRUE,INDEX(HA88:HZ88,MATCH(HC88,HC88:HC193,0),MATCH(Structure!$D$8,$HA$14:$HZ$14,0)),INDEX(IA88:IZ88,MATCH(IC88,IC88:IC193,0),MATCH(Structure!$D$8,$IA$14:$IZ$14,0))))</f>
        <v/>
      </c>
      <c r="CY88" s="239" t="str">
        <f>IF(A88=FALSE,"",IF(ALLTHESAME=TRUE,INDEX(JA88:JZ88,MATCH(JC88,JC88:JC193,0),MATCH(Structure!$D$8,$JA$14:$JZ$14,0)),INDEX(KA88:KZ88,MATCH(KC88,KC88:KC193,0),MATCH(Structure!$D$8,$KA$14:$KZ$14,0))))</f>
        <v/>
      </c>
      <c r="CZ88" s="239" t="str">
        <f>IF(A88=FALSE,"",IF(ALLTHESAME=TRUE,INDEX(LA88:LZ88,MATCH(LC88,LC88:LC193,0),MATCH(Structure!$D$8,$LA$14:$LZ$14,0)),INDEX(MA88:MZ88,MATCH(MC88,MC88:MC193,0),MATCH(Structure!$D$8,$MA$14:$MZ$14,0))))</f>
        <v/>
      </c>
      <c r="DA88" s="239" t="str">
        <f>IF(A88=FALSE,"",IF(ALLTHESAME=TRUE,INDEX(NA88:NZ88,MATCH(NC88,NC88:NC193,0),MATCH(Structure!$D$8,$NA$14:$NZ$14,0)),INDEX(OA88:OZ88,MATCH(OC88,OC88:OC193,0),MATCH(Structure!$D$8,$OA$14:$OZ$14,0))))</f>
        <v/>
      </c>
      <c r="DB88" s="239" t="str">
        <f>IF(A88=FALSE,"",IF(ALLTHESAME=TRUE,INDEX(PA88:PZ88,MATCH(PC88,PC88:PC193,0),MATCH(Structure!$D$8,$PA$14:$PZ$14,0)),INDEX(QA88:QZ88,MATCH(QC88,QC88:QC193,0),MATCH(Structure!$D$8,$QA$14:$QZ$14,0))))</f>
        <v/>
      </c>
      <c r="DC88" s="341" t="str">
        <f>IF(A88=FALSE,"",IF(ALLTHESAME=TRUE,INDEX(RA88:RZ88,MATCH(RC88,RC88:RC193,0),MATCH(Structure!$D$8,$RA$14:$RZ$14,0)),INDEX(SA88:TC88,MATCH(SC88,SC88:SC193,0),MATCH(Structure!$D$8,$SA$14:$TC$14,0))))</f>
        <v/>
      </c>
      <c r="DD88" s="492" t="str">
        <f>IF(A88=FALSE,"",Cotations!D88)</f>
        <v/>
      </c>
      <c r="DE88" s="492" t="str">
        <f>IF(A88=FALSE,"",IF(LISTES!$A$17=1,Cotations!AF88,Cotations!$AG$4))</f>
        <v/>
      </c>
      <c r="DF88" s="291" t="str">
        <f t="shared" si="654"/>
        <v/>
      </c>
      <c r="DG88" s="291" t="str">
        <f t="shared" si="655"/>
        <v/>
      </c>
      <c r="DH88" s="291"/>
      <c r="DI88" s="463"/>
      <c r="DJ88" s="463" t="str">
        <f t="shared" si="656"/>
        <v/>
      </c>
      <c r="DK88" s="522" t="str">
        <f>IF(A88=FALSE,"",IF(Cotations!$AH$4="monthly",DJ88/12*L88,DJ88/365*M88))</f>
        <v/>
      </c>
      <c r="DL88" s="489" t="str">
        <f>IF(A88=FALSE,"",Cotations!$AI$4)</f>
        <v/>
      </c>
      <c r="DM88" s="300" t="str">
        <f t="shared" si="657"/>
        <v/>
      </c>
      <c r="DN88" s="300" t="str">
        <f t="shared" si="658"/>
        <v/>
      </c>
      <c r="DO88" s="294" t="str">
        <f t="shared" si="659"/>
        <v/>
      </c>
      <c r="DP88" s="494" t="str">
        <f>IF(A88=FALSE,"",Cotations!$AJ$4)</f>
        <v/>
      </c>
      <c r="DQ88" s="494" t="str">
        <f>IF(A88=FALSE,"",Cotations!$AK$4)</f>
        <v/>
      </c>
      <c r="DR88" s="489" t="str">
        <f>IF(A88=FALSE,"",Cotations!$AL$4)</f>
        <v/>
      </c>
      <c r="DS88" s="494" t="str">
        <f>IF(A88=FALSE,"",IF(DP88="N/A",0,IF(INDEX(LISTES!$F$105:$F$109,MATCH(DP88,LISTES!$C$105:$C$109,0))="FIX",IF(INDEX(LISTES!$E$105:$E$109,MATCH(DP88,LISTES!$C$105:$C$109,0))=12,DQ88/12*L88,DQ88/365*M88),DR88*DO88)))</f>
        <v/>
      </c>
      <c r="DT88" s="294" t="str">
        <f t="shared" si="660"/>
        <v/>
      </c>
      <c r="DU88" s="294" t="str">
        <f>IF(A88=FALSE,"",DT88*Cotations!$AM$4)</f>
        <v/>
      </c>
      <c r="DV88" s="294" t="str">
        <f>IF(A88=FALSE,"",DT88*Cotations!$AN$4)</f>
        <v/>
      </c>
      <c r="DW88" s="465" t="str">
        <f t="shared" si="661"/>
        <v/>
      </c>
      <c r="DX88" s="919" t="str">
        <f>IF(A88=FALSE,"",((DJ88*TAXE)-(DJ88*TAXE*DL88))+IF(DP88="N/A",0,IF(INDEX(LISTES!$F$105:$F$109,MATCH(DP88,LISTES!$C$105:$C$109,0))="FIX",DQ88,DR88*DO88)))</f>
        <v/>
      </c>
      <c r="DY88" s="466"/>
      <c r="DZ88" s="466"/>
      <c r="EA88" s="492" t="str">
        <f>IF(A88=FALSE,"",Cotations!D88)</f>
        <v/>
      </c>
      <c r="EB88" s="494" t="str">
        <f>IF(A88=FALSE,"",IF(LISTES!$A$17=1,Cotations!AF88,Cotations!AG88))</f>
        <v/>
      </c>
      <c r="EC88" s="284" t="str">
        <f t="shared" si="662"/>
        <v/>
      </c>
      <c r="ED88" s="284" t="str">
        <f t="shared" si="663"/>
        <v/>
      </c>
      <c r="EE88" s="284"/>
      <c r="EF88" s="284"/>
      <c r="EG88" s="284" t="str">
        <f t="shared" si="664"/>
        <v/>
      </c>
      <c r="EH88" s="1365" t="str">
        <f t="shared" si="665"/>
        <v/>
      </c>
      <c r="EI88" s="1365" t="str">
        <f t="shared" si="666"/>
        <v/>
      </c>
      <c r="EJ88" s="515" t="str">
        <f>IF(A88=FALSE,"",IF(Cotations!AH88="monthly",EG88/12*L88,EG88/365*M88))</f>
        <v/>
      </c>
      <c r="EK88" s="1364" t="str">
        <f>IF(A88=FALSE,"",IF(Cotations!AH88="monthly",EI88/12*L88,EI88/365*M88))</f>
        <v/>
      </c>
      <c r="EL88" s="493" t="str">
        <f>IF(A88=FALSE,"",IF(Cotations!AI88="","",Cotations!AI88))</f>
        <v/>
      </c>
      <c r="EM88" s="284" t="str">
        <f t="shared" si="667"/>
        <v/>
      </c>
      <c r="EN88" s="284" t="str">
        <f t="shared" si="668"/>
        <v/>
      </c>
      <c r="EO88" s="1365" t="str">
        <f t="shared" si="840"/>
        <v/>
      </c>
      <c r="EP88" s="284" t="str">
        <f t="shared" si="669"/>
        <v/>
      </c>
      <c r="EQ88" s="515" t="str">
        <f>IF(A88=FALSE,"",Cotations!AJ88)</f>
        <v/>
      </c>
      <c r="ER88" s="515" t="str">
        <f>IF(A88=FALSE,"",IF(Cotations!AK88="","",Cotations!AK88))</f>
        <v/>
      </c>
      <c r="ES88" s="493" t="str">
        <f>IF(A88=FALSE,"",Cotations!AL88)</f>
        <v/>
      </c>
      <c r="ET88" s="515" t="str">
        <f>IF(A88=FALSE,"",IF(EQ88="N/A",0,IF(INDEX(LISTES!$F$105:$F$109,MATCH(EQ88,LISTES!$C$105:$C$109,0))="FIX",IF(INDEX(LISTES!$E$105:$E$109,MATCH(EQ88,LISTES!$C$105:$C$109,0))=12,ER88/12*L88,ER88/365*M88),ES88*EP88)))</f>
        <v/>
      </c>
      <c r="EU88" s="294" t="str">
        <f t="shared" si="670"/>
        <v/>
      </c>
      <c r="EV88" s="494" t="str">
        <f>IF(A88=FALSE,"",EU88*Cotations!AM88)</f>
        <v/>
      </c>
      <c r="EW88" s="494" t="str">
        <f>IF(A88=FALSE,"",EU88*Cotations!AN88)</f>
        <v/>
      </c>
      <c r="EX88" s="334" t="str">
        <f t="shared" si="671"/>
        <v/>
      </c>
      <c r="EY88" s="919" t="str">
        <f>IF(A88=FALSE,"",((EG88*TAXE)-(EG88*TAXE*EL88)+EH88)+IF(EQ88="N/A",0,IF(INDEX(LISTES!$F$105:$F$109,MATCH(EQ88,LISTES!$C$105:$C$109,0))="FIX",ER88,ES88*EP88)))</f>
        <v/>
      </c>
      <c r="FA88" s="492" t="str">
        <f>IF(A88=FALSE,"",Cotations!D88)</f>
        <v/>
      </c>
      <c r="FB88" s="519" t="str">
        <f>IF(A88=FALSE,"",IF(LISTES!$A$17=1,Cotations!AO88,Cotations!$AP$4))</f>
        <v/>
      </c>
      <c r="FC88" s="291" t="str">
        <f t="shared" si="672"/>
        <v/>
      </c>
      <c r="FD88" s="291" t="str">
        <f t="shared" si="673"/>
        <v/>
      </c>
      <c r="FE88" s="291"/>
      <c r="FF88" s="463"/>
      <c r="FG88" s="463" t="str">
        <f t="shared" si="674"/>
        <v/>
      </c>
      <c r="FH88" s="522" t="str">
        <f>IF(A88=FALSE,"",IF(Cotations!$AQ$4="monthly",FG88/12*L88,FG88/365*M88))</f>
        <v/>
      </c>
      <c r="FI88" s="453" t="str">
        <f>IF(A88=FALSE,"",Cotations!$AR$4)</f>
        <v/>
      </c>
      <c r="FJ88" s="300" t="str">
        <f t="shared" si="675"/>
        <v/>
      </c>
      <c r="FK88" s="300" t="str">
        <f t="shared" si="676"/>
        <v/>
      </c>
      <c r="FL88" s="294" t="str">
        <f t="shared" si="677"/>
        <v/>
      </c>
      <c r="FM88" s="494" t="str">
        <f>IF(A88=FALSE,"",Cotations!$AS$4)</f>
        <v/>
      </c>
      <c r="FN88" s="494" t="str">
        <f>IF(A88=FALSE,"",Cotations!$AT$4)</f>
        <v/>
      </c>
      <c r="FO88" s="489" t="str">
        <f>IF(A88=FALSE,"",Cotations!$AU$4)</f>
        <v/>
      </c>
      <c r="FP88" s="494" t="str">
        <f>IF(A88=FALSE,"",IF(FM88="N/A",0,IF(INDEX(LISTES!$F$105:$F$109,MATCH(FM88,LISTES!$C$105:$C$109,0))="FIX",IF(INDEX(LISTES!$E$105:$E$109,MATCH(FM88,LISTES!$C$105:$C$109,0))=12,FN88/12*L88,FN88/365*M88),FO88*FL88)))</f>
        <v/>
      </c>
      <c r="FQ88" s="294" t="str">
        <f t="shared" si="678"/>
        <v/>
      </c>
      <c r="FR88" s="494" t="str">
        <f>IF(A88=FALSE,"",FQ88*Cotations!$AV$4)</f>
        <v/>
      </c>
      <c r="FS88" s="494" t="str">
        <f>IF(A88=FALSE,"",FQ88*Cotations!$AW$4)</f>
        <v/>
      </c>
      <c r="FT88" s="465" t="str">
        <f t="shared" si="679"/>
        <v/>
      </c>
      <c r="FU88" s="919" t="str">
        <f>IF(A88=FALSE,"",((FG88*TAXE)-(FG88*TAXE*FI88))+IF(FM88="N/A",0,IF(INDEX(LISTES!$F$105:$F$109,MATCH(FM88,LISTES!$C$105:$C$109,0))="FIX",FN88,FO88*FL88)))</f>
        <v/>
      </c>
      <c r="FV88" s="478"/>
      <c r="FW88" s="478"/>
      <c r="FX88" s="478"/>
      <c r="FY88" s="478"/>
      <c r="FZ88" s="478"/>
      <c r="GA88" s="492" t="str">
        <f>IF(A88=FALSE,"",Cotations!D88)</f>
        <v/>
      </c>
      <c r="GB88" s="494" t="str">
        <f>IF(A88=FALSE,"",IF(LISTES!$A$17=1,Cotations!AO88,Cotations!AP88))</f>
        <v/>
      </c>
      <c r="GC88" s="284" t="str">
        <f t="shared" si="680"/>
        <v/>
      </c>
      <c r="GD88" s="515" t="str">
        <f>IF(A88=FALSE,"",IF(Detail!AM88="","",Detail!AM88))</f>
        <v/>
      </c>
      <c r="GE88" s="284"/>
      <c r="GF88" s="284"/>
      <c r="GG88" s="284" t="str">
        <f t="shared" si="681"/>
        <v/>
      </c>
      <c r="GH88" s="515" t="str">
        <f>IF(A88=FALSE,"",IF(Cotations!AQ88="monthly",GG88/12*L88,GG88/365*M88))</f>
        <v/>
      </c>
      <c r="GI88" s="493" t="str">
        <f>IF(A88=FALSE,"",IF(Cotations!AR88="","",Cotations!AR88))</f>
        <v/>
      </c>
      <c r="GJ88" s="284" t="str">
        <f t="shared" si="682"/>
        <v/>
      </c>
      <c r="GK88" s="284" t="str">
        <f t="shared" si="683"/>
        <v/>
      </c>
      <c r="GL88" s="284" t="str">
        <f t="shared" si="684"/>
        <v/>
      </c>
      <c r="GM88" s="515" t="str">
        <f>IF(A88=FALSE,"",Cotations!AS88)</f>
        <v/>
      </c>
      <c r="GN88" s="515" t="str">
        <f>IF(A88=FALSE,"",Cotations!AT88)</f>
        <v/>
      </c>
      <c r="GO88" s="493" t="str">
        <f>IF(A88=FALSE,"",Cotations!AU88)</f>
        <v/>
      </c>
      <c r="GP88" s="515" t="str">
        <f>IF(A88=FALSE,"",IF(GM88="N/A",0,IF(INDEX(LISTES!$F$105:$F$109,MATCH(GM88,LISTES!$C$105:$C$109,0))="FIX",IF(INDEX(LISTES!$E$105:$E$109,MATCH(GM88,LISTES!$C$105:$C$109,0))=12,GN88/12*L88,GN88/365*M88),GO88*GL88)))</f>
        <v/>
      </c>
      <c r="GQ88" s="294" t="str">
        <f t="shared" si="685"/>
        <v/>
      </c>
      <c r="GR88" s="494" t="str">
        <f>IF(A88=FALSE,"",GQ88*Cotations!AV88)</f>
        <v/>
      </c>
      <c r="GS88" s="494" t="str">
        <f>IF(A88=FALSE,"",GQ88*Cotations!AW88)</f>
        <v/>
      </c>
      <c r="GT88" s="334" t="str">
        <f t="shared" si="686"/>
        <v/>
      </c>
      <c r="GU88" s="919" t="str">
        <f>IF(A88=FALSE,"",((GG88*TAXE)-(GG88*TAXE*GI88))+IF(GM88="N/A",0,IF(INDEX(LISTES!$F$105:$F$109,MATCH(GM88,LISTES!$C$105:$C$109,0))="FIX",GN88,GO88*GL88)))</f>
        <v/>
      </c>
      <c r="GV88" s="478"/>
      <c r="GW88" s="466"/>
      <c r="GX88" s="466"/>
      <c r="GY88" s="466"/>
      <c r="GZ88" s="466"/>
      <c r="HA88" s="492" t="str">
        <f>IF(A88=FALSE,"",Cotations!D88)</f>
        <v/>
      </c>
      <c r="HB88" s="495" t="str">
        <f>IF(A88=FALSE,"",IF(LISTES!$A$17=1,Cotations!AX88,Cotations!$AY$4))</f>
        <v/>
      </c>
      <c r="HC88" s="291" t="str">
        <f t="shared" si="687"/>
        <v/>
      </c>
      <c r="HD88" s="291" t="str">
        <f t="shared" si="688"/>
        <v/>
      </c>
      <c r="HE88" s="456" t="str">
        <f t="shared" si="689"/>
        <v/>
      </c>
      <c r="HF88" s="496" t="str">
        <f>IF(A88=FALSE,"",IF(HA88="POEA",Cotations!BA88,IF(HA88="FIXE",Cotations!$BA$4,Cotations!$BC$4*Y88)))</f>
        <v/>
      </c>
      <c r="HG88" s="300" t="str">
        <f t="shared" si="690"/>
        <v/>
      </c>
      <c r="HH88" s="522" t="str">
        <f>IF(A88=FALSE,"",IF(Cotations!$AZ$4="monthly",HG88/12*L88,HG88/365*M88))</f>
        <v/>
      </c>
      <c r="HI88" s="489" t="str">
        <f>IF(A88=FALSE,"",Cotations!$BD$4)</f>
        <v/>
      </c>
      <c r="HJ88" s="300" t="str">
        <f t="shared" si="691"/>
        <v/>
      </c>
      <c r="HK88" s="300" t="str">
        <f t="shared" si="692"/>
        <v/>
      </c>
      <c r="HL88" s="294" t="str">
        <f t="shared" si="693"/>
        <v/>
      </c>
      <c r="HM88" s="494" t="str">
        <f>IF(A88=FALSE,"",Cotations!$BE$4)</f>
        <v/>
      </c>
      <c r="HN88" s="522" t="str">
        <f>IF(A88=FALSE,"",Cotations!$BF$4)</f>
        <v/>
      </c>
      <c r="HO88" s="489" t="str">
        <f>IF(A88=FALSE,"",Cotations!$BG$4)</f>
        <v/>
      </c>
      <c r="HP88" s="494" t="str">
        <f>IF(A88=FALSE,"",IF(HM88="N/A",0,IF(INDEX(LISTES!$F$105:$F$109,MATCH(HM88,LISTES!$C$105:$C$109,0))="FIX",IF(INDEX(LISTES!$E$105:$E$109,MATCH(HM88,LISTES!$C$105:$C$109,0))=12,HN88/12*L88,HN88/365*M88),HO88*HL88)))</f>
        <v/>
      </c>
      <c r="HQ88" s="294" t="str">
        <f t="shared" si="694"/>
        <v/>
      </c>
      <c r="HR88" s="494" t="str">
        <f>IF(A88=FALSE,"",HQ88*Cotations!$BH$4)</f>
        <v/>
      </c>
      <c r="HS88" s="494" t="str">
        <f>IF(A88=FALSE,"",HQ88*Cotations!$BI$4)</f>
        <v/>
      </c>
      <c r="HT88" s="294" t="str">
        <f t="shared" si="695"/>
        <v/>
      </c>
      <c r="HU88" s="919" t="str">
        <f>IF(A88=FALSE,"",((HG88*TAXE)-(HG88*TAXE*HI88))+IF(HM88="N/A",0,IF(INDEX(LISTES!$F$105:$F$109,MATCH(HM88,LISTES!$C$105:$C$109,0))="FIX",HN88,HO88*HL88)))</f>
        <v/>
      </c>
      <c r="IA88" s="492" t="str">
        <f>IF(A88=FALSE,"",Cotations!D88)</f>
        <v/>
      </c>
      <c r="IB88" s="491" t="str">
        <f>IF(A88=FALSE,"",IF(LISTES!$A$17=1,Cotations!AX88,Cotations!AY88))</f>
        <v/>
      </c>
      <c r="IC88" s="285" t="str">
        <f t="shared" si="696"/>
        <v/>
      </c>
      <c r="ID88" s="300" t="str">
        <f>IF(A88=FALSE,"",IF(LISTES!$A$17=3,Detail!AU88,lig1_Formula_PREVOY))</f>
        <v/>
      </c>
      <c r="IE88" s="461" t="str">
        <f t="shared" si="697"/>
        <v/>
      </c>
      <c r="IF88" s="490" t="str">
        <f>IF(A88=FALSE,"",IF(IA88="POEA",Cotations!BA88,IF(HA88="FIXE",Cotations!BB88,IF(Cotations!BC88*Y88&lt;50000,Z88,Cotations!BC88*Y88))))</f>
        <v/>
      </c>
      <c r="IG88" s="300" t="str">
        <f t="shared" si="698"/>
        <v/>
      </c>
      <c r="IH88" s="522" t="str">
        <f>IF(A88=FALSE,"",IF(Cotations!AZ88="monthly",IG88/12*L88,IG88/365*M88))</f>
        <v/>
      </c>
      <c r="II88" s="489" t="str">
        <f>IF(A88=FALSE,"",IF(Cotations!BD88="","",Cotations!BD88))</f>
        <v/>
      </c>
      <c r="IJ88" s="300" t="str">
        <f t="shared" si="699"/>
        <v/>
      </c>
      <c r="IK88" s="300" t="str">
        <f t="shared" si="700"/>
        <v/>
      </c>
      <c r="IL88" s="919" t="str">
        <f t="shared" si="701"/>
        <v/>
      </c>
      <c r="IM88" s="517" t="str">
        <f>IF(A88=FALSE,"",Cotations!BE88)</f>
        <v/>
      </c>
      <c r="IN88" s="517" t="str">
        <f>IF(A88=FALSE,"",Cotations!BF88)</f>
        <v/>
      </c>
      <c r="IO88" s="493" t="str">
        <f>IF(A88=FALSE,"",Cotations!BG88)</f>
        <v/>
      </c>
      <c r="IP88" s="517" t="str">
        <f>IF(A88=FALSE,"",IF(IM88="N/A",0,IF(INDEX(LISTES!$F$105:$F$109,MATCH(IM88,LISTES!$C$105:$C$109,0))="FIX",IF(INDEX(LISTES!$E$105:$E$109,MATCH(IM88,LISTES!$C$105:$C$109,0))=12,IN88/12*L88,IN88/365*M88),IO88*IL88)))</f>
        <v/>
      </c>
      <c r="IQ88" s="294" t="str">
        <f t="shared" si="702"/>
        <v/>
      </c>
      <c r="IR88" s="494" t="str">
        <f>IF(A88=FALSE,"",IQ88*Cotations!BH88)</f>
        <v/>
      </c>
      <c r="IS88" s="494" t="str">
        <f>IF(A88=FALSE,"",IQ88*Cotations!BI88)</f>
        <v/>
      </c>
      <c r="IT88" s="338" t="str">
        <f t="shared" si="703"/>
        <v/>
      </c>
      <c r="IU88" s="919" t="str">
        <f>IF(A88=FALSE,"",((IG88*TAXE)-(IG88*TAXE*II88))+IF(IM88="N/A",0,IF(INDEX(LISTES!$F$105:$F$109,MATCH(IM88,LISTES!$C$105:$C$109,0))="FIX",IN88,IO88*IL88)))</f>
        <v/>
      </c>
      <c r="JA88" s="492" t="str">
        <f>IF(A88=FALSE,"",Cotations!D88)</f>
        <v/>
      </c>
      <c r="JB88" s="495" t="str">
        <f>IF(A88=FALSE,"",IF(LISTES!$A$17=1,Cotations!BJ88,Cotations!$BK$4))</f>
        <v/>
      </c>
      <c r="JC88" s="291" t="str">
        <f t="shared" si="704"/>
        <v/>
      </c>
      <c r="JD88" s="291" t="str">
        <f t="shared" si="705"/>
        <v/>
      </c>
      <c r="JE88" s="456" t="str">
        <f t="shared" si="706"/>
        <v/>
      </c>
      <c r="JF88" s="496" t="str">
        <f>IF(A88=FALSE,"",IF(JA88="POEA",Cotations!BM88,IF(JA88="FIXE",Cotations!$BM$4,Cotations!$BO$4*Y88)))</f>
        <v/>
      </c>
      <c r="JG88" s="300" t="str">
        <f t="shared" si="707"/>
        <v/>
      </c>
      <c r="JH88" s="522" t="str">
        <f>IF(A88=FALSE,"",IF(Cotations!$BL$4="monthly",JG88/12*L88,JG88/365*M88))</f>
        <v/>
      </c>
      <c r="JI88" s="489" t="str">
        <f>IF(A88=FALSE,"",Cotations!$BP$4)</f>
        <v/>
      </c>
      <c r="JJ88" s="300" t="str">
        <f t="shared" si="708"/>
        <v/>
      </c>
      <c r="JK88" s="300" t="str">
        <f t="shared" si="709"/>
        <v/>
      </c>
      <c r="JL88" s="294" t="str">
        <f t="shared" si="710"/>
        <v/>
      </c>
      <c r="JM88" s="494" t="str">
        <f>IF(A88=FALSE,"",Cotations!$BQ$4)</f>
        <v/>
      </c>
      <c r="JN88" s="522" t="str">
        <f>IF(A88=FALSE,"",Cotations!$BR$4)</f>
        <v/>
      </c>
      <c r="JO88" s="489" t="str">
        <f>IF(A88=FALSE,"",Cotations!$BS$4)</f>
        <v/>
      </c>
      <c r="JP88" s="494" t="str">
        <f>IF(A88=FALSE,"",IF(JM88="N/A",0,IF(INDEX(LISTES!$F$105:$F$109,MATCH(JM88,LISTES!$C$105:$C$109,0))="FIX",IF(INDEX(LISTES!$E$105:$E$109,MATCH(JM88,LISTES!$C$105:$C$109,0))=12,JN88/12*L88,JN88/365*M88),JO88*JL88)))</f>
        <v/>
      </c>
      <c r="JQ88" s="294" t="str">
        <f t="shared" si="711"/>
        <v/>
      </c>
      <c r="JR88" s="494" t="str">
        <f>IF(A88=FALSE,"",JQ88*Cotations!$BT$4)</f>
        <v/>
      </c>
      <c r="JS88" s="494" t="str">
        <f>IF(A88=FALSE,"",JQ88*Cotations!$BU$4)</f>
        <v/>
      </c>
      <c r="JT88" s="294" t="str">
        <f t="shared" si="712"/>
        <v/>
      </c>
      <c r="JU88" s="919" t="str">
        <f>IF(A88=FALSE,"",((JG88*TAXE)-(JG88*TAXE*JI88))+IF(JM88="N/A",0,IF(INDEX(LISTES!$F$105:$F$109,MATCH(JM88,LISTES!$C$105:$C$109,0))="FIX",JN88,JO88*JL88)))</f>
        <v/>
      </c>
      <c r="KA88" s="492" t="str">
        <f>IF(A88=FALSE,"",Cotations!D88)</f>
        <v/>
      </c>
      <c r="KB88" s="491" t="str">
        <f>IF(A88=FALSE,"",IF(LISTES!$A$17=1,Cotations!BJ88,Cotations!BK88))</f>
        <v/>
      </c>
      <c r="KC88" s="285" t="str">
        <f t="shared" si="713"/>
        <v/>
      </c>
      <c r="KD88" s="300"/>
      <c r="KE88" s="461" t="str">
        <f t="shared" si="714"/>
        <v/>
      </c>
      <c r="KF88" s="490" t="str">
        <f>IF(A88=FALSE,"",IF(KA88="POEA",Cotations!BM88,IF(KA88="FIXE",Cotations!BN88,IF(Cotations!BO88*Y88&lt;50000,Z88,Cotations!BO88*Y88))))</f>
        <v/>
      </c>
      <c r="KG88" s="300" t="str">
        <f t="shared" si="715"/>
        <v/>
      </c>
      <c r="KH88" s="522" t="str">
        <f>IF(A88=FALSE,"",IF(Cotations!BL88="monthly",KG88/12*L88,KG88/365*M88))</f>
        <v/>
      </c>
      <c r="KI88" s="489" t="str">
        <f>IF(A88=FALSE,"",IF(Cotations!BP88="","",Cotations!BP88))</f>
        <v/>
      </c>
      <c r="KJ88" s="300" t="str">
        <f t="shared" si="716"/>
        <v/>
      </c>
      <c r="KK88" s="300" t="str">
        <f t="shared" si="717"/>
        <v/>
      </c>
      <c r="KL88" s="919" t="str">
        <f t="shared" si="718"/>
        <v/>
      </c>
      <c r="KM88" s="517" t="str">
        <f>IF(A88=FALSE,"",Cotations!BQ88)</f>
        <v/>
      </c>
      <c r="KN88" s="515" t="str">
        <f>IF(A88=FALSE,"",Cotations!BR88)</f>
        <v/>
      </c>
      <c r="KO88" s="493" t="str">
        <f>IF(A88=FALSE,"",Cotations!BS88)</f>
        <v/>
      </c>
      <c r="KP88" s="517" t="str">
        <f>IF(A88=FALSE,"",IF(KM88="N/A",0,IF(INDEX(LISTES!$F$105:$F$109,MATCH(KM88,LISTES!$C$105:$C$109,0))="FIX",IF(INDEX(LISTES!$E$105:$E$109,MATCH(KM88,LISTES!$C$105:$C$109,0))=12,KN88/12*L88,KN88/365*M88),KO88*KL88)))</f>
        <v/>
      </c>
      <c r="KQ88" s="294" t="str">
        <f t="shared" si="719"/>
        <v/>
      </c>
      <c r="KR88" s="494" t="str">
        <f>IF(A88=FALSE,"",KQ88*Cotations!BT88)</f>
        <v/>
      </c>
      <c r="KS88" s="494" t="str">
        <f>IF(A88=FALSE,"",KQ88*Cotations!BU88)</f>
        <v/>
      </c>
      <c r="KT88" s="338" t="str">
        <f t="shared" si="720"/>
        <v/>
      </c>
      <c r="KU88" s="919" t="str">
        <f>IF(A88=FALSE,"",((KG88*TAXE)-(KG88*TAXE*KI88))+IF(KM88="N/A",0,IF(INDEX(LISTES!$F$105:$F$109,MATCH(KM88,LISTES!$C$105:$C$109,0))="FIX",KN88,KO88*KL88)))</f>
        <v/>
      </c>
      <c r="LA88" s="497" t="str">
        <f>IF(A88=FALSE,"",Cotations!D88)</f>
        <v/>
      </c>
      <c r="LB88" s="498" t="str">
        <f>IF(A88=FALSE,"",IF(LISTES!$A$17=1,Cotations!BV88,Cotations!$BW$4))</f>
        <v/>
      </c>
      <c r="LC88" s="499" t="str">
        <f t="shared" si="721"/>
        <v/>
      </c>
      <c r="LD88" s="499" t="str">
        <f t="shared" si="722"/>
        <v/>
      </c>
      <c r="LE88" s="500" t="str">
        <f t="shared" si="723"/>
        <v/>
      </c>
      <c r="LF88" s="501" t="str">
        <f>IF(A88=FALSE,"",IF(LA88="POEA",Cotations!EJ88,IF(LA88="FIXE",Cotations!$BY$4,Cotations!$CA$4*Y88)))</f>
        <v/>
      </c>
      <c r="LG88" s="502" t="str">
        <f t="shared" si="724"/>
        <v/>
      </c>
      <c r="LH88" s="520" t="str">
        <f>IF(A88=FALSE,"",IF(Cotations!$BX$4="monthly",LG88/12*L88,LG88/365*M88))</f>
        <v/>
      </c>
      <c r="LI88" s="503" t="str">
        <f>IF(A88=FALSE,"",Cotations!$CB$4)</f>
        <v/>
      </c>
      <c r="LJ88" s="502" t="str">
        <f t="shared" si="725"/>
        <v/>
      </c>
      <c r="LK88" s="502" t="str">
        <f t="shared" si="726"/>
        <v/>
      </c>
      <c r="LL88" s="504" t="str">
        <f t="shared" si="727"/>
        <v/>
      </c>
      <c r="LM88" s="505" t="str">
        <f>IF(A88=FALSE,"",Cotations!$CC$4)</f>
        <v/>
      </c>
      <c r="LN88" s="503" t="str">
        <f>IF(A88=FALSE,"",Cotations!$CD$4)</f>
        <v/>
      </c>
      <c r="LO88" s="503" t="str">
        <f>IF(A88=FALSE,"",Cotations!$CE$4)</f>
        <v/>
      </c>
      <c r="LP88" s="505" t="str">
        <f>IF(A88=FALSE,"",IF(LM88="N/A",0,IF(INDEX(LISTES!$F$105:$F$109,MATCH(LM88,LISTES!$C$105:$C$109,0))="FIX",IF(INDEX(LISTES!$E$105:$E$109,MATCH(LM88,LISTES!$C$105:$C$109,0))=12,LN88/12*L88,LN88/365*M88),LO88*LL88)))</f>
        <v/>
      </c>
      <c r="LQ88" s="504" t="str">
        <f t="shared" si="728"/>
        <v/>
      </c>
      <c r="LR88" s="505" t="str">
        <f>IF(A88=FALSE,"",LQ88*Cotations!$CF$4)</f>
        <v/>
      </c>
      <c r="LS88" s="505" t="str">
        <f>IF(A88=FALSE,"",LQ88*Cotations!$CG$4)</f>
        <v/>
      </c>
      <c r="LT88" s="506" t="str">
        <f t="shared" si="729"/>
        <v/>
      </c>
      <c r="LU88" s="919" t="str">
        <f>IF(A88=FALSE,"",((LG88*TAXE)-(LG88*TAXE*LI88))+IF(LM88="N/A",0,IF(INDEX(LISTES!$F$105:$F$109,MATCH(LM88,LISTES!$C$105:$C$109,0))="FIX",LN88,LO88*LL88)))</f>
        <v/>
      </c>
      <c r="MA88" s="492" t="str">
        <f>IF(A88=FALSE,"",Cotations!D88)</f>
        <v/>
      </c>
      <c r="MB88" s="491" t="str">
        <f>IF(A88=FALSE,"",IF(LISTES!$A$17=1,Cotations!BV88,Cotations!BW88))</f>
        <v/>
      </c>
      <c r="MC88" s="285" t="str">
        <f t="shared" si="730"/>
        <v/>
      </c>
      <c r="MD88" s="300"/>
      <c r="ME88" s="461" t="str">
        <f t="shared" si="731"/>
        <v/>
      </c>
      <c r="MF88" s="490" t="str">
        <f>IF(A88=FALSE,"",IF(MA88="POEA",Cotations!BY88,IF(MA88="FIXE",Cotations!BZ88,IF(Cotations!CA88*Y88&lt;50000,Z88,Cotations!CA88*Y88))))</f>
        <v/>
      </c>
      <c r="MG88" s="300" t="str">
        <f t="shared" si="732"/>
        <v/>
      </c>
      <c r="MH88" s="522" t="str">
        <f>IF(A88=FALSE,"",IF(Cotations!BX88="monthly",MG88/12*L88,MG88/365*M88))</f>
        <v/>
      </c>
      <c r="MI88" s="489" t="str">
        <f>IF(A88=FALSE,"",IF(Cotations!CB88="","",Cotations!CB88))</f>
        <v/>
      </c>
      <c r="MJ88" s="300" t="str">
        <f t="shared" si="733"/>
        <v/>
      </c>
      <c r="MK88" s="300" t="str">
        <f t="shared" si="734"/>
        <v/>
      </c>
      <c r="ML88" s="919" t="str">
        <f t="shared" si="735"/>
        <v/>
      </c>
      <c r="MM88" s="517" t="str">
        <f>IF(A88=FALSE,"",Cotations!CC88)</f>
        <v/>
      </c>
      <c r="MN88" s="515" t="str">
        <f>IF(A88=FALSE,"",Cotations!CD88)</f>
        <v/>
      </c>
      <c r="MO88" s="493" t="str">
        <f>IF(A88=FALSE,"",Cotations!CE88)</f>
        <v/>
      </c>
      <c r="MP88" s="517" t="str">
        <f>IF(A88=FALSE,"",IF(MM88="N/A",0,IF(INDEX(LISTES!$F$105:$F$109,MATCH(MM88,LISTES!$C$105:$C$109,0))="FIX",IF(INDEX(LISTES!$E$105:$E$109,MATCH(MM88,LISTES!$C$105:$C$109,0))=12,MN88/12*L88,MN88/365*M88),MO88*ML88)))</f>
        <v/>
      </c>
      <c r="MQ88" s="294" t="str">
        <f t="shared" si="736"/>
        <v/>
      </c>
      <c r="MR88" s="494" t="str">
        <f>IF(A88=FALSE,"",MQ88*Cotations!CF88)</f>
        <v/>
      </c>
      <c r="MS88" s="494" t="str">
        <f>IF(A88=FALSE,"",MQ88*Cotations!CG88)</f>
        <v/>
      </c>
      <c r="MT88" s="338" t="str">
        <f t="shared" si="737"/>
        <v/>
      </c>
      <c r="MU88" s="919" t="str">
        <f>IF(A88=FALSE,"",((MG88*TAXE)-(MG88*TAXE*MI88))+IF(MM88="N/A",0,IF(INDEX(LISTES!$F$105:$F$109,MATCH(MM88,LISTES!$C$105:$C$109,0))="FIX",MN88,MO88*ML88)))</f>
        <v/>
      </c>
      <c r="NA88" s="497" t="str">
        <f>IF(A88=FALSE,"",Cotations!D88)</f>
        <v/>
      </c>
      <c r="NB88" s="498" t="str">
        <f>IF(A88=FALSE,"",IF(LISTES!$A$17=1,Cotations!CH88,Cotations!$CI$4))</f>
        <v/>
      </c>
      <c r="NC88" s="499" t="str">
        <f t="shared" si="738"/>
        <v/>
      </c>
      <c r="ND88" s="499" t="str">
        <f t="shared" si="739"/>
        <v/>
      </c>
      <c r="NE88" s="500" t="str">
        <f t="shared" si="740"/>
        <v/>
      </c>
      <c r="NF88" s="501" t="str">
        <f>IF(A88=FALSE,"",IF(NA88="POEA",Cotations!CK88,IF(NA88="FIXE",Cotations!$CK$4,Cotations!$CM$4*Y88)))</f>
        <v/>
      </c>
      <c r="NG88" s="502" t="str">
        <f t="shared" si="741"/>
        <v/>
      </c>
      <c r="NH88" s="520" t="str">
        <f>IF(A88=FALSE,"",IF(Cotations!$CJ$4="monthly",NG88/12*L88,NG88/365*M88))</f>
        <v/>
      </c>
      <c r="NI88" s="503" t="str">
        <f>IF(A88=FALSE,"",Cotations!$CN$4)</f>
        <v/>
      </c>
      <c r="NJ88" s="502" t="str">
        <f t="shared" si="742"/>
        <v/>
      </c>
      <c r="NK88" s="502" t="str">
        <f t="shared" si="743"/>
        <v/>
      </c>
      <c r="NL88" s="504" t="str">
        <f t="shared" si="744"/>
        <v/>
      </c>
      <c r="NM88" s="505" t="str">
        <f>IF(A88=FALSE,"",Cotations!$CO$4)</f>
        <v/>
      </c>
      <c r="NN88" s="520" t="str">
        <f>IF(A88=FALSE,"",Cotations!$CP$4)</f>
        <v/>
      </c>
      <c r="NO88" s="503" t="str">
        <f>IF(A88=FALSE,"",Cotations!$CQ$4)</f>
        <v/>
      </c>
      <c r="NP88" s="505" t="str">
        <f>IF(A88=FALSE,"",IF(NM88="N/A",0,IF(INDEX(LISTES!$F$105:$F$109,MATCH(NM88,LISTES!$C$105:$C$109,0))="FIX",IF(INDEX(LISTES!$E$105:$E$109,MATCH(NM88,LISTES!$C$105:$C$109,0))=12,NN88/12*L88,NN88/365*M88),NO88*NL88)))</f>
        <v/>
      </c>
      <c r="NQ88" s="504" t="str">
        <f t="shared" si="745"/>
        <v/>
      </c>
      <c r="NR88" s="505" t="str">
        <f>IF(A88=FALSE,"",NQ88*Cotations!$CR$4)</f>
        <v/>
      </c>
      <c r="NS88" s="505" t="str">
        <f>IF(A88=FALSE,"",NQ88*Cotations!$CS$4)</f>
        <v/>
      </c>
      <c r="NT88" s="506" t="str">
        <f t="shared" si="746"/>
        <v/>
      </c>
      <c r="NU88" s="919" t="str">
        <f>IF(A88=FALSE,"",((NG88*TAXE)-(NG88*TAXE*NI88))+IF(NM88="N/A",0,IF(INDEX(LISTES!$F$105:$F$109,MATCH(NM88,LISTES!$C$105:$C$109,0))="FIX",NN88,NO88*NL88)))</f>
        <v/>
      </c>
      <c r="OA88" s="492" t="str">
        <f>IF(A88=FALSE,"",Cotations!D88)</f>
        <v/>
      </c>
      <c r="OB88" s="491" t="str">
        <f>IF(A88=FALSE,"",IF(LISTES!$A$17=1,Cotations!CH88,Cotations!CI88))</f>
        <v/>
      </c>
      <c r="OC88" s="285" t="str">
        <f t="shared" si="747"/>
        <v/>
      </c>
      <c r="OD88" s="300"/>
      <c r="OE88" s="461" t="str">
        <f t="shared" si="748"/>
        <v/>
      </c>
      <c r="OF88" s="490" t="str">
        <f>IF(A88=FALSE,"",IF(OA88="POEA",Cotations!CK88,IF(OA88="FIXE",Cotations!CL88,IF(Cotations!CM88*Y88&lt;50000,Z88,Cotations!CM88*Y88))))</f>
        <v/>
      </c>
      <c r="OG88" s="300" t="str">
        <f t="shared" si="749"/>
        <v/>
      </c>
      <c r="OH88" s="522" t="str">
        <f>IF(A88=FALSE,"",IF(Cotations!CJ88="monthly",OG88/12*L88,OG88/365*M88))</f>
        <v/>
      </c>
      <c r="OI88" s="489" t="str">
        <f>IF(A88=FALSE,"",IF(Cotations!CN88="","",Cotations!CN88))</f>
        <v/>
      </c>
      <c r="OJ88" s="300" t="str">
        <f t="shared" si="750"/>
        <v/>
      </c>
      <c r="OK88" s="300" t="str">
        <f t="shared" si="751"/>
        <v/>
      </c>
      <c r="OL88" s="919" t="str">
        <f t="shared" si="752"/>
        <v/>
      </c>
      <c r="OM88" s="517" t="str">
        <f>IF(A88=FALSE,"",Cotations!CO88)</f>
        <v/>
      </c>
      <c r="ON88" s="515" t="str">
        <f>IF(A88=FALSE,"",Cotations!CP88)</f>
        <v/>
      </c>
      <c r="OO88" s="493" t="str">
        <f>IF(A88=FALSE,"",Cotations!CQ88)</f>
        <v/>
      </c>
      <c r="OP88" s="517" t="str">
        <f>IF(A88=FALSE,"",IF(OM88="N/A",0,IF(INDEX(LISTES!$F$105:$F$109,MATCH(OM88,LISTES!$C$105:$C$109,0))="FIX",IF(INDEX(LISTES!$E$105:$E$109,MATCH(OM88,LISTES!$C$105:$C$109,0))=12,ON88/12*L88,ON88/365*M88),OO88*OL88)))</f>
        <v/>
      </c>
      <c r="OQ88" s="294" t="str">
        <f t="shared" si="753"/>
        <v/>
      </c>
      <c r="OR88" s="494" t="str">
        <f>IF(A88=FALSE,"",OQ88*Cotations!CR88)</f>
        <v/>
      </c>
      <c r="OS88" s="494" t="str">
        <f>IF(A88=FALSE,"",OQ88*Cotations!CS88)</f>
        <v/>
      </c>
      <c r="OT88" s="338" t="str">
        <f t="shared" si="754"/>
        <v/>
      </c>
      <c r="OU88" s="919" t="str">
        <f>IF(A88=FALSE,"",((OG88*TAXE)-(OG88*TAXE*OI88))+IF(OM88="N/A",0,IF(INDEX(LISTES!$F$105:$F$109,MATCH(OM88,LISTES!$C$105:$C$109,0))="FIX",ON88,OO88*OL88)))</f>
        <v/>
      </c>
      <c r="PA88" s="497" t="str">
        <f t="shared" si="755"/>
        <v/>
      </c>
      <c r="PB88" s="498" t="str">
        <f>IF(A88=FALSE,"",IF(LISTES!$A$17=1,Cotations!CT88,Cotations!$CU$4))</f>
        <v/>
      </c>
      <c r="PC88" s="499" t="str">
        <f t="shared" si="756"/>
        <v/>
      </c>
      <c r="PD88" s="499" t="str">
        <f t="shared" si="757"/>
        <v/>
      </c>
      <c r="PE88" s="500" t="str">
        <f t="shared" si="758"/>
        <v/>
      </c>
      <c r="PF88" s="501" t="str">
        <f>IF(A88=FALSE,"",Cotations!$CY$4*Y88)</f>
        <v/>
      </c>
      <c r="PG88" s="502" t="str">
        <f t="shared" si="759"/>
        <v/>
      </c>
      <c r="PH88" s="520" t="str">
        <f>IF(A88=FALSE,"",IF(Cotations!$CV$4="monthly",PG88/12*L88,PG88/365*M88))</f>
        <v/>
      </c>
      <c r="PI88" s="503" t="str">
        <f>IF(A88=FALSE,"",Cotations!$CZ$4)</f>
        <v/>
      </c>
      <c r="PJ88" s="502" t="str">
        <f t="shared" si="760"/>
        <v/>
      </c>
      <c r="PK88" s="502" t="str">
        <f t="shared" si="761"/>
        <v/>
      </c>
      <c r="PL88" s="504" t="str">
        <f t="shared" si="762"/>
        <v/>
      </c>
      <c r="PM88" s="505" t="str">
        <f>IF(A88=FALSE,"",Cotations!$DA$4)</f>
        <v/>
      </c>
      <c r="PN88" s="520" t="str">
        <f>IF(A88=FALSE,"",Cotations!$DB$4)</f>
        <v/>
      </c>
      <c r="PO88" s="503" t="str">
        <f>IF(A88=FALSE,"",Cotations!$DC$4)</f>
        <v/>
      </c>
      <c r="PP88" s="505" t="str">
        <f>IF(A88=FALSE,"",IF(PM88="N/A",0,IF(INDEX(LISTES!$F$105:$F$109,MATCH(PM88,LISTES!$C$105:$C$109,0))="FIX",IF(INDEX(LISTES!$E$105:$E$109,MATCH(PM88,LISTES!$C$105:$C$109,0))=12,PN88/12*L88,PN88/365*M88),PO88*PL88)))</f>
        <v/>
      </c>
      <c r="PQ88" s="504" t="str">
        <f t="shared" si="763"/>
        <v/>
      </c>
      <c r="PR88" s="505" t="str">
        <f>IF(A88=FALSE,"",PQ88*Cotations!$DD$4)</f>
        <v/>
      </c>
      <c r="PS88" s="505" t="str">
        <f>IF(A88=FALSE,"",PQ88*Cotations!$DE$4)</f>
        <v/>
      </c>
      <c r="PT88" s="506" t="str">
        <f t="shared" si="764"/>
        <v/>
      </c>
      <c r="PU88" s="919" t="str">
        <f>IF(A88=FALSE,"",((PG88*TAXE)-(PG88*TAXE*PI88))+IF(PM88="N/A",0,IF(INDEX(LISTES!$F$105:$F$109,MATCH(PM88,LISTES!$C$105:$C$109,0))="FIX",PN88,PO88*PL88)))</f>
        <v/>
      </c>
      <c r="QA88" s="492" t="str">
        <f t="shared" si="765"/>
        <v/>
      </c>
      <c r="QB88" s="491" t="str">
        <f>IF(A88=FALSE,"",IF(LISTES!$A$17=1,Cotations!CT88,Cotations!CU88))</f>
        <v/>
      </c>
      <c r="QC88" s="285" t="str">
        <f t="shared" si="766"/>
        <v/>
      </c>
      <c r="QD88" s="300"/>
      <c r="QE88" s="461" t="str">
        <f t="shared" si="767"/>
        <v/>
      </c>
      <c r="QF88" s="490" t="str">
        <f>IF(A88=FALSE,"",Cotations!CY88*AA88)</f>
        <v/>
      </c>
      <c r="QG88" s="300" t="str">
        <f t="shared" si="768"/>
        <v/>
      </c>
      <c r="QH88" s="522" t="str">
        <f>IF(A88=FALSE,"",IF(Cotations!CV88="monthly",QG88/12*L88,QG88/365*M88))</f>
        <v/>
      </c>
      <c r="QI88" s="489" t="str">
        <f>IF(A88=FALSE,"",IF(Cotations!CZ88="","",Cotations!CZ88))</f>
        <v/>
      </c>
      <c r="QJ88" s="300" t="str">
        <f t="shared" si="769"/>
        <v/>
      </c>
      <c r="QK88" s="300" t="str">
        <f t="shared" si="770"/>
        <v/>
      </c>
      <c r="QL88" s="919" t="str">
        <f t="shared" si="771"/>
        <v/>
      </c>
      <c r="QM88" s="517" t="str">
        <f>IF(A88=FALSE,"",Cotations!DA88)</f>
        <v/>
      </c>
      <c r="QN88" s="515" t="str">
        <f>IF(A88=FALSE,"",Cotations!DB88)</f>
        <v/>
      </c>
      <c r="QO88" s="493" t="str">
        <f>IF(A88=FALSE,"",Cotations!DC88)</f>
        <v/>
      </c>
      <c r="QP88" s="517" t="str">
        <f>IF(A88=FALSE,"",IF(QM88="N/A",0,IF(INDEX(LISTES!$F$105:$F$109,MATCH(QM88,LISTES!$C$105:$C$109,0))="FIX",IF(INDEX(LISTES!$E$105:$E$109,MATCH(QM88,LISTES!$C$105:$C$109,0))=12,QN88/12*L88,QN88/365*M88),QO88*QL88)))</f>
        <v/>
      </c>
      <c r="QQ88" s="294" t="str">
        <f t="shared" si="772"/>
        <v/>
      </c>
      <c r="QR88" s="494" t="str">
        <f>IF(A88=FALSE,"",QQ88*Cotations!DD88)</f>
        <v/>
      </c>
      <c r="QS88" s="494" t="str">
        <f>IF(A88=FALSE,"",QQ88*Cotations!DE88)</f>
        <v/>
      </c>
      <c r="QT88" s="338" t="str">
        <f t="shared" si="773"/>
        <v/>
      </c>
      <c r="QU88" s="919" t="str">
        <f>IF(A88=FALSE,"",((QG88*TAXE)-(QG88*TAXE*QI88))+IF(QM88="N/A",0,IF(INDEX(LISTES!$F$105:$F$109,MATCH(QM88,LISTES!$C$105:$C$109,0))="FIX",QN88,QO88*QL88)))</f>
        <v/>
      </c>
      <c r="RA88" s="497" t="str">
        <f t="shared" si="774"/>
        <v/>
      </c>
      <c r="RB88" s="498" t="str">
        <f>IF(A88=FALSE,"",IF(LISTES!$A$17=1,Cotations!DF88,Cotations!$DG$4))</f>
        <v/>
      </c>
      <c r="RC88" s="499" t="str">
        <f t="shared" si="775"/>
        <v/>
      </c>
      <c r="RD88" s="499" t="str">
        <f t="shared" si="776"/>
        <v/>
      </c>
      <c r="RE88" s="500" t="str">
        <f t="shared" si="777"/>
        <v/>
      </c>
      <c r="RF88" s="501" t="str">
        <f>IF(A88=FALSE,"",Cotations!$DK$4*Y88)</f>
        <v/>
      </c>
      <c r="RG88" s="502" t="str">
        <f t="shared" si="778"/>
        <v/>
      </c>
      <c r="RH88" s="520" t="str">
        <f>IF(A88=FALSE,"",IF(Cotations!$DH$4="monthly",RG88/12*L88,RG88/365*M88))</f>
        <v/>
      </c>
      <c r="RI88" s="503" t="str">
        <f>IF(A88=FALSE,"",Cotations!$DL$4)</f>
        <v/>
      </c>
      <c r="RJ88" s="502" t="str">
        <f t="shared" si="779"/>
        <v/>
      </c>
      <c r="RK88" s="502" t="str">
        <f t="shared" si="780"/>
        <v/>
      </c>
      <c r="RL88" s="504" t="str">
        <f t="shared" si="781"/>
        <v/>
      </c>
      <c r="RM88" s="505" t="str">
        <f>IF(A88=FALSE,"",Cotations!$DM$4)</f>
        <v/>
      </c>
      <c r="RN88" s="520" t="str">
        <f>IF(A88=FALSE,"",Cotations!$DN$4)</f>
        <v/>
      </c>
      <c r="RO88" s="503" t="str">
        <f>IF(A88=FALSE,"",Cotations!$DO$4)</f>
        <v/>
      </c>
      <c r="RP88" s="505" t="str">
        <f>IF(A88=FALSE,"",IF(RM88="N/A",0,IF(INDEX(LISTES!$F$105:$F$109,MATCH(RM88,LISTES!$C$105:$C$109,0))="FIX",IF(INDEX(LISTES!$E$105:$E$109,MATCH(RM88,LISTES!$C$105:$C$109,0))=12,RN88/12*L88,RN88/365*M88),RO88*RL88)))</f>
        <v/>
      </c>
      <c r="RQ88" s="504" t="str">
        <f t="shared" si="782"/>
        <v/>
      </c>
      <c r="RR88" s="505" t="str">
        <f>IF(A88=FALSE,"",RQ88*Cotations!$DP$4)</f>
        <v/>
      </c>
      <c r="RS88" s="505" t="str">
        <f>IF(A88=FALSE,"",RQ88*Cotations!$DQ$4)</f>
        <v/>
      </c>
      <c r="RT88" s="506" t="str">
        <f t="shared" si="783"/>
        <v/>
      </c>
      <c r="RU88" s="919" t="str">
        <f>IF(A88=FALSE,"",((RG88*TAXE)-(RG88*TAXE*RI88))+IF(RM88="N/A",0,IF(INDEX(LISTES!$F$105:$F$109,MATCH(RM88,LISTES!$C$105:$C$109,0))="FIX",RN88,RO88*RL88)))</f>
        <v/>
      </c>
      <c r="SA88" s="492" t="str">
        <f t="shared" si="784"/>
        <v/>
      </c>
      <c r="SB88" s="491" t="str">
        <f>IF(A88=FALSE,"",IF(LISTES!$A$17=1,Cotations!DF88,Cotations!DG88))</f>
        <v/>
      </c>
      <c r="SC88" s="285" t="str">
        <f t="shared" si="785"/>
        <v/>
      </c>
      <c r="SD88" s="300"/>
      <c r="SE88" s="461" t="str">
        <f t="shared" si="786"/>
        <v/>
      </c>
      <c r="SF88" s="490" t="str">
        <f>IF(A88=FALSE,"",Cotations!DK88*AA88)</f>
        <v/>
      </c>
      <c r="SG88" s="300" t="str">
        <f t="shared" si="787"/>
        <v/>
      </c>
      <c r="SH88" s="522" t="str">
        <f>IF(A88=FALSE,"",IF(Cotations!DH88="monthly",SG88/12*L88,SG88/365*M88))</f>
        <v/>
      </c>
      <c r="SI88" s="489" t="str">
        <f>IF(A88=FALSE,"",IF(Cotations!DL88="","",Cotations!DL88))</f>
        <v/>
      </c>
      <c r="SJ88" s="300" t="str">
        <f t="shared" si="788"/>
        <v/>
      </c>
      <c r="SK88" s="300" t="str">
        <f t="shared" si="789"/>
        <v/>
      </c>
      <c r="SL88" s="919" t="str">
        <f t="shared" si="790"/>
        <v/>
      </c>
      <c r="SM88" s="285" t="str">
        <f>IF(A88=FALSE,"",Cotations!DM88)</f>
        <v/>
      </c>
      <c r="SN88" s="515" t="str">
        <f>IF(A88=FALSE,"",Cotations!DN88)</f>
        <v/>
      </c>
      <c r="SO88" s="493" t="str">
        <f>IF(A88=FALSE,"",Cotations!DO88)</f>
        <v/>
      </c>
      <c r="SP88" s="517" t="str">
        <f>IF(A88=FALSE,"",IF(SM88="N/A",0,IF(INDEX(LISTES!$F$105:$F$109,MATCH(SM88,LISTES!$C$105:$C$109,0))="FIX",IF(INDEX(LISTES!$E$105:$E$109,MATCH(SM88,LISTES!$C$105:$C$109,0))=12,SN88/12*L88,SN88/365*M88),SO88*SL88)))</f>
        <v/>
      </c>
      <c r="SQ88" s="294" t="str">
        <f t="shared" si="791"/>
        <v/>
      </c>
      <c r="SR88" s="494" t="str">
        <f>IF(A88=FALSE,"",SQ88*Cotations!DP88)</f>
        <v/>
      </c>
      <c r="SS88" s="494" t="str">
        <f>IF(A88=FALSE,"",SQ88*Cotations!DQ88)</f>
        <v/>
      </c>
      <c r="ST88" s="338" t="str">
        <f t="shared" si="792"/>
        <v/>
      </c>
      <c r="SU88" s="919" t="str">
        <f>IF(A88=FALSE,"",((SG88*TAXE)-(SG88*TAXE*SI88))+IF(SM88="N/A",0,IF(INDEX(LISTES!$F$105:$F$109,MATCH(SM88,LISTES!$C$105:$C$109,0))="FIX",SN88,SO88*SL88)))</f>
        <v/>
      </c>
      <c r="TA88" s="492" t="str">
        <f>IF(A88=FALSE,"",Cotations!D88)</f>
        <v/>
      </c>
      <c r="TB88" s="491" t="str">
        <f>IF(A88=FALSE,"",IF(LISTES!$A$17=1,Cotations!DR88,Cotations!DS88))</f>
        <v/>
      </c>
      <c r="TC88" s="285" t="str">
        <f t="shared" si="793"/>
        <v/>
      </c>
      <c r="TD88" s="300" t="str">
        <f>IF(A88=FALSE,"",Detail!CQ88)</f>
        <v/>
      </c>
      <c r="TE88" s="461" t="str">
        <f t="shared" si="794"/>
        <v/>
      </c>
      <c r="TF88" s="490" t="str">
        <f>IF(A88=FALSE,"",IF(TA88="FIXE",Cotations!DU88,Cotations!DV88*Y88))</f>
        <v/>
      </c>
      <c r="TG88" s="300" t="str">
        <f t="shared" si="795"/>
        <v/>
      </c>
      <c r="TH88" s="522" t="str">
        <f>IF(A88=FALSE,"",IF(Cotations!DT88="monthly",TG88/12*L88,TG88/365*M88))</f>
        <v/>
      </c>
      <c r="TI88" s="489" t="str">
        <f>IF(A88=FALSE,"",IF(Cotations!DW88="","",Cotations!DW88))</f>
        <v/>
      </c>
      <c r="TJ88" s="300" t="str">
        <f t="shared" si="796"/>
        <v/>
      </c>
      <c r="TK88" s="300" t="str">
        <f t="shared" si="797"/>
        <v/>
      </c>
      <c r="TL88" s="919" t="str">
        <f t="shared" si="798"/>
        <v/>
      </c>
      <c r="TM88" s="517" t="str">
        <f>IF(A88=FALSE,"",Cotations!DX88)</f>
        <v/>
      </c>
      <c r="TN88" s="517" t="str">
        <f>IF(A88=FALSE,"",Cotations!DY88)</f>
        <v/>
      </c>
      <c r="TO88" s="493" t="str">
        <f>IF(A88=FALSE,"",Cotations!DZ88)</f>
        <v/>
      </c>
      <c r="TP88" s="517" t="str">
        <f>IF(A88=FALSE,"",IF(TM88="N/A",0,IF(INDEX(LISTES!$F$105:$F$109,MATCH(TM88,LISTES!$C$105:$C$109,0))="FIX",IF(INDEX(LISTES!$E$105:$E$109,MATCH(TM88,LISTES!$C$105:$C$109,0))=12,TN88/12*L88,TN88/365*M88),TO88*TL88)))</f>
        <v/>
      </c>
      <c r="TQ88" s="294" t="str">
        <f t="shared" si="799"/>
        <v/>
      </c>
      <c r="TR88" s="494" t="str">
        <f>IF(A88=FALSE,"",TQ88*Cotations!EA88)</f>
        <v/>
      </c>
      <c r="TS88" s="494" t="str">
        <f>IF(A88=FALSE,"",TQ88*Cotations!EB88)</f>
        <v/>
      </c>
      <c r="TT88" s="338" t="str">
        <f t="shared" si="800"/>
        <v/>
      </c>
      <c r="TU88" s="919" t="str">
        <f>IF(A88=FALSE,"",((TG88*(1+TAXE)-(TG88*(1+TAXE)*TI88))+IF(TM88="N/A",0,IF(INDEX(LISTES!$F$105:$F$109,MATCH(TM88,LISTES!$C$105:$C$109,0))="FIX",TN88,TO88*TL88))))</f>
        <v/>
      </c>
      <c r="UA88" s="492" t="str">
        <f>IF(A88=FALSE,"",Cotations!D88)</f>
        <v/>
      </c>
      <c r="UB88" s="491" t="str">
        <f>IF(A88=FALSE,"",IF(LISTES!$A$17=1,Cotations!EC88,Cotations!ED88))</f>
        <v/>
      </c>
      <c r="UC88" s="285" t="str">
        <f t="shared" si="801"/>
        <v/>
      </c>
      <c r="UD88" s="300" t="str">
        <f>IF(A88=FALSE,"",Detail!CY88)</f>
        <v/>
      </c>
      <c r="UE88" s="461" t="str">
        <f t="shared" si="802"/>
        <v/>
      </c>
      <c r="UF88" s="490" t="str">
        <f>IF(A88=FALSE,"",IF(UA88="FIXE",Cotations!EF88,Cotations!EG88*Y88))</f>
        <v/>
      </c>
      <c r="UG88" s="300" t="str">
        <f t="shared" si="803"/>
        <v/>
      </c>
      <c r="UH88" s="522" t="str">
        <f>IF(A88=FALSE,"",IF(Cotations!EE88="monthly",UG88/12*L88,UG88/365*M88))</f>
        <v/>
      </c>
      <c r="UI88" s="489" t="str">
        <f>IF(A88=FALSE,"",IF(Cotations!EH88="","",Cotations!EH88))</f>
        <v/>
      </c>
      <c r="UJ88" s="300" t="str">
        <f t="shared" si="804"/>
        <v/>
      </c>
      <c r="UK88" s="300" t="str">
        <f t="shared" si="805"/>
        <v/>
      </c>
      <c r="UL88" s="919" t="str">
        <f t="shared" si="806"/>
        <v/>
      </c>
      <c r="UM88" s="517" t="str">
        <f>IF(A88=FALSE,"",Cotations!EI88)</f>
        <v/>
      </c>
      <c r="UN88" s="517" t="str">
        <f>IF(A88=FALSE,"",Cotations!EJ88)</f>
        <v/>
      </c>
      <c r="UO88" s="493" t="str">
        <f>IF(A88=FALSE,"",Cotations!EK88)</f>
        <v/>
      </c>
      <c r="UP88" s="517" t="str">
        <f>IF(A88=FALSE,"",IF(UM88="N/A",0,IF(INDEX(LISTES!$F$105:$F$109,MATCH(UM88,LISTES!$C$105:$C$109,0))="FIX",IF(INDEX(LISTES!$E$105:$E$109,MATCH(UM88,LISTES!$C$105:$C$109,0))=12,UN88/12*L88,UN88/365*M88),UO88*UL88)))</f>
        <v/>
      </c>
      <c r="UQ88" s="294" t="str">
        <f t="shared" si="807"/>
        <v/>
      </c>
      <c r="UR88" s="494" t="str">
        <f>IF(A88=FALSE,"",UQ88*Cotations!EL88)</f>
        <v/>
      </c>
      <c r="US88" s="494" t="str">
        <f>IF(A88=FALSE,"",UQ88*Cotations!EM88)</f>
        <v/>
      </c>
      <c r="UT88" s="338" t="str">
        <f t="shared" si="808"/>
        <v/>
      </c>
      <c r="UU88" s="919" t="str">
        <f>IF(A88=FALSE,"",((UG88*(1+TAXE)-(UG88*(1+TAXE)*UI88))+IF(UM88="N/A",0,IF(INDEX(LISTES!$F$105:$F$109,MATCH(UM88,LISTES!$C$105:$C$109,0))="FIX",UN88,UO88*UL88))))</f>
        <v/>
      </c>
      <c r="VA88" s="492" t="str">
        <f>IF(A88=FALSE,"",Cotations!D88)</f>
        <v/>
      </c>
      <c r="VB88" s="519" t="str">
        <f>IF(A88=FALSE,"",IF(LISTES!$A$17=1,Cotations!EN88,Cotations!EO88))</f>
        <v/>
      </c>
      <c r="VC88" s="291" t="str">
        <f t="shared" si="809"/>
        <v/>
      </c>
      <c r="VD88" s="291" t="str">
        <f t="shared" si="810"/>
        <v/>
      </c>
      <c r="VE88" s="291"/>
      <c r="VF88" s="463"/>
      <c r="VG88" s="463" t="str">
        <f t="shared" si="811"/>
        <v/>
      </c>
      <c r="VH88" s="522" t="str">
        <f>IF(A88=FALSE,"",IF(Cotations!$AQ$4="monthly",VG88/12*L88,VG88/365*M88))</f>
        <v/>
      </c>
      <c r="VI88" s="489" t="str">
        <f>IF(A88=FALSE,"",Cotations!$AR$4)</f>
        <v/>
      </c>
      <c r="VJ88" s="300" t="str">
        <f t="shared" si="812"/>
        <v/>
      </c>
      <c r="VK88" s="300" t="str">
        <f t="shared" si="813"/>
        <v/>
      </c>
      <c r="VL88" s="294" t="str">
        <f t="shared" si="814"/>
        <v/>
      </c>
      <c r="VM88" s="494" t="str">
        <f>IF(A88=FALSE,"",Cotations!$AS$4)</f>
        <v/>
      </c>
      <c r="VN88" s="494" t="str">
        <f>IF(A88=FALSE,"",Cotations!$AT$4)</f>
        <v/>
      </c>
      <c r="VO88" s="489" t="str">
        <f>IF(A88=FALSE,"",Cotations!$AU$4)</f>
        <v/>
      </c>
      <c r="VP88" s="494" t="str">
        <f>IF(A88=FALSE,"",IF(VM88="N/A",0,IF(INDEX(LISTES!$F$105:$F$109,MATCH(VM88,LISTES!$C$105:$C$109,0))="FIX",IF(INDEX(LISTES!$E$105:$E$109,MATCH(VM88,LISTES!$C$105:$C$109,0))=12,VN88/12*L88,VN88/365*M88),VO88*VL88)))</f>
        <v/>
      </c>
      <c r="VQ88" s="294" t="str">
        <f t="shared" si="815"/>
        <v/>
      </c>
      <c r="VR88" s="494" t="str">
        <f>IF(A88=FALSE,"",VQ88*Cotations!$AV$4)</f>
        <v/>
      </c>
      <c r="VS88" s="494" t="str">
        <f>IF(A88=FALSE,"",VQ88*Cotations!$AW$4)</f>
        <v/>
      </c>
      <c r="VT88" s="465" t="str">
        <f t="shared" si="816"/>
        <v/>
      </c>
      <c r="VU88" s="919" t="str">
        <f>IF(A88=FALSE,"",((VG88*TAXE)-(VG88*TAXE*VI88))+IF(VM88="N/A",0,IF(INDEX(LISTES!$F$105:$F$109,MATCH(VM88,LISTES!$C$105:$C$109,0))="FIX",VN88,VO88*VL88)))</f>
        <v/>
      </c>
      <c r="WA88" s="492" t="str">
        <f>IF(A88=FALSE,"",Cotations!D88)</f>
        <v/>
      </c>
      <c r="WB88" s="519" t="str">
        <f>IF(A88=FALSE,"",IF(LISTES!$A$17=1,Cotations!EW88,Cotations!EX88))</f>
        <v/>
      </c>
      <c r="WC88" s="291" t="str">
        <f t="shared" si="817"/>
        <v/>
      </c>
      <c r="WD88" s="291" t="str">
        <f t="shared" si="818"/>
        <v/>
      </c>
      <c r="WE88" s="291"/>
      <c r="WF88" s="463"/>
      <c r="WG88" s="463" t="str">
        <f t="shared" si="819"/>
        <v/>
      </c>
      <c r="WH88" s="522" t="str">
        <f>IF(A88=FALSE,"",IF(Cotations!$AQ$4="monthly",WG88/12*L88,WG88/365*M88))</f>
        <v/>
      </c>
      <c r="WI88" s="489" t="str">
        <f>IF(A88=FALSE,"",Cotations!$AR$4)</f>
        <v/>
      </c>
      <c r="WJ88" s="300" t="str">
        <f t="shared" si="820"/>
        <v/>
      </c>
      <c r="WK88" s="300" t="str">
        <f t="shared" si="821"/>
        <v/>
      </c>
      <c r="WL88" s="294" t="str">
        <f t="shared" si="822"/>
        <v/>
      </c>
      <c r="WM88" s="494" t="str">
        <f>IF(A88=FALSE,"",Cotations!$AS$4)</f>
        <v/>
      </c>
      <c r="WN88" s="494" t="str">
        <f>IF(A88=FALSE,"",Cotations!$AT$4)</f>
        <v/>
      </c>
      <c r="WO88" s="489" t="str">
        <f>IF(A88=FALSE,"",Cotations!$AU$4)</f>
        <v/>
      </c>
      <c r="WP88" s="494" t="str">
        <f>IF(A88=FALSE,"",IF(WM88="N/A",0,IF(INDEX(LISTES!$F$105:$F$109,MATCH(WM88,LISTES!$C$105:$C$109,0))="FIX",IF(INDEX(LISTES!$E$105:$E$109,MATCH(WM88,LISTES!$C$105:$C$109,0))=12,WN88/12*L88,WN88/365*M88),WO88*WL88)))</f>
        <v/>
      </c>
      <c r="WQ88" s="294" t="str">
        <f t="shared" si="823"/>
        <v/>
      </c>
      <c r="WR88" s="494" t="str">
        <f>IF(A88=FALSE,"",WQ88*Cotations!$AV$4)</f>
        <v/>
      </c>
      <c r="WS88" s="494" t="str">
        <f>IF(A88=FALSE,"",WQ88*Cotations!$AW$4)</f>
        <v/>
      </c>
      <c r="WT88" s="465" t="str">
        <f t="shared" si="824"/>
        <v/>
      </c>
      <c r="WU88" s="919" t="str">
        <f>IF(A88=FALSE,"",((WG88*TAXE)-(WG88*TAXE*WI88))+IF(WM88="N/A",0,IF(INDEX(LISTES!$F$105:$F$109,MATCH(WM88,LISTES!$C$105:$C$109,0))="FIX",WN88,WO88*WL88)))</f>
        <v/>
      </c>
    </row>
    <row r="89" spans="1:619">
      <c r="A89" s="942" t="b">
        <f t="shared" si="629"/>
        <v>0</v>
      </c>
      <c r="B89" s="942" t="b">
        <f>IF(NAMES!$B$9=TRUE,TRUE,FALSE)</f>
        <v>1</v>
      </c>
      <c r="C89" s="942" t="b">
        <f t="shared" si="825"/>
        <v>0</v>
      </c>
      <c r="D89" s="942" t="b">
        <f t="shared" si="826"/>
        <v>0</v>
      </c>
      <c r="E89" s="274" t="b">
        <f>IF(Cotations!C89="","",Cotations!C89)</f>
        <v>0</v>
      </c>
      <c r="F89" s="274" t="str">
        <f>IF(Cotations!D89="","",Cotations!D89)</f>
        <v>PROP</v>
      </c>
      <c r="G89" s="274" t="str">
        <f>IF(Cotations!E89="","",Cotations!E89)</f>
        <v>2016-2017!</v>
      </c>
      <c r="H89" s="274" t="str">
        <f>IF(Cotations!F89="","",Cotations!F89)</f>
        <v>SINGLE</v>
      </c>
      <c r="I89" s="274" t="str">
        <f>IF(Cotations!G89="","",Cotations!G89)</f>
        <v/>
      </c>
      <c r="J89" s="274" t="str">
        <f>IF(Cotations!H89="","",Cotations!H89)</f>
        <v/>
      </c>
      <c r="K89" s="274" t="str">
        <f>IF(Cotations!I89="","",Cotations!I89)</f>
        <v/>
      </c>
      <c r="L89" s="274" t="str">
        <f>IF(A89=FALSE,"",IF(Cotations!N89="","",Cotations!N89))</f>
        <v/>
      </c>
      <c r="M89" s="274" t="str">
        <f>IF(Cotations!P89="","",Cotations!P89)</f>
        <v/>
      </c>
      <c r="N89" s="724" t="str">
        <f>IF(NAMES!$B$10=TRUE,Cotations!J89,Cotations!L89)</f>
        <v/>
      </c>
      <c r="O89" s="724" t="str">
        <f>IF(NAMES!$B$10=TRUE,Cotations!K89,Cotations!M89)</f>
        <v/>
      </c>
      <c r="P89" s="943" t="str">
        <f t="shared" si="827"/>
        <v/>
      </c>
      <c r="Q89" s="724" t="str">
        <f>IF(A89=FALSE,"",IF(Crewlist!Y89="","",Crewlist!Y89))</f>
        <v/>
      </c>
      <c r="R89" s="78" t="str">
        <f>IF(Cotations!U89="","",Cotations!U89)</f>
        <v/>
      </c>
      <c r="S89" s="943" t="str">
        <f t="shared" si="828"/>
        <v/>
      </c>
      <c r="T89" s="919" t="str">
        <f>IF(A89=FALSE,"",VLOOKUP($U$15:$U$120,Currency!$A$2:$D$10,4,0)*Crewlist!N89)</f>
        <v/>
      </c>
      <c r="U89" s="1355" t="str">
        <f>IF(A89=FALSE,"",IF(IT89=0,Crewlist!M89&amp;"/"&amp;EX89,Crewlist!M89&amp;"/"&amp;IT89))</f>
        <v/>
      </c>
      <c r="V89" s="919" t="str">
        <f>IF(A89=FALSE,"",VLOOKUP($U$15:$U$120,Currency!$A$2:$D$10,4,0)*Detail!Q89)</f>
        <v/>
      </c>
      <c r="W89" s="1355" t="str">
        <f>IF(A89=FALSE,"",IF(IT89=0,Detail!R89&amp;"/"&amp;EX89,Detail!R89&amp;"/"&amp;IT89))</f>
        <v/>
      </c>
      <c r="X89" s="919" t="str">
        <f>IF(A89=FALSE,"",IF(LISTES!$C$17="Crewlist",Calcul!T89,Calcul!V89))</f>
        <v/>
      </c>
      <c r="Y89" s="758" t="str">
        <f t="shared" si="829"/>
        <v/>
      </c>
      <c r="Z89" s="758" t="str">
        <f>IF(A89=FALSE,"",IF(X89=0,0,IF((Cotations!BC89*12*X89)&lt;50000,50000,(12*X89))))</f>
        <v/>
      </c>
      <c r="AA89" s="758" t="str">
        <f t="shared" si="830"/>
        <v/>
      </c>
      <c r="AB89" s="758" t="str">
        <f>IF(A89=FALSE,"",IF(Crewlist!O89=0,"",Crewlist!O89))</f>
        <v/>
      </c>
      <c r="AC89" s="758" t="str">
        <f>IF(I89="","",VLOOKUP($AB$15:$AB$120,Currency!$A$15:$B$34,2,0))</f>
        <v/>
      </c>
      <c r="AD89" s="758" t="str">
        <f t="shared" si="831"/>
        <v/>
      </c>
      <c r="AE89" s="758" t="str">
        <f t="shared" si="832"/>
        <v/>
      </c>
      <c r="AF89" s="758" t="str">
        <f t="shared" si="833"/>
        <v/>
      </c>
      <c r="AG89" s="758" t="str">
        <f t="shared" si="834"/>
        <v/>
      </c>
      <c r="AH89" s="1355" t="str">
        <f t="shared" si="630"/>
        <v/>
      </c>
      <c r="AI89" s="919" t="str">
        <f t="shared" si="835"/>
        <v/>
      </c>
      <c r="AJ89" s="1382" t="str">
        <f t="shared" si="836"/>
        <v/>
      </c>
      <c r="AK89" s="1382" t="str">
        <f t="shared" si="837"/>
        <v/>
      </c>
      <c r="AL89" s="238" t="str">
        <f t="shared" si="631"/>
        <v/>
      </c>
      <c r="AM89" s="238" t="str">
        <f t="shared" si="632"/>
        <v/>
      </c>
      <c r="AN89" s="1374" t="str">
        <f t="shared" si="633"/>
        <v/>
      </c>
      <c r="AO89" s="238" t="str">
        <f t="shared" si="634"/>
        <v/>
      </c>
      <c r="AP89" s="342" t="str">
        <f>IF(A89=FALSE,"",INDEX(Rates!$Z$5:$Z$367,MATCH(EB89,colchoice,0)))</f>
        <v/>
      </c>
      <c r="AQ89" s="238" t="str">
        <f t="shared" si="635"/>
        <v/>
      </c>
      <c r="AR89" s="238" t="str">
        <f t="shared" si="636"/>
        <v/>
      </c>
      <c r="AS89" s="238" t="str">
        <f t="shared" si="637"/>
        <v/>
      </c>
      <c r="AT89" s="238" t="str">
        <f t="shared" si="638"/>
        <v/>
      </c>
      <c r="AU89" s="238" t="str">
        <f t="shared" si="639"/>
        <v/>
      </c>
      <c r="AV89" s="238" t="str">
        <f t="shared" si="838"/>
        <v/>
      </c>
      <c r="AW89" s="238" t="str">
        <f t="shared" si="640"/>
        <v/>
      </c>
      <c r="AX89" s="238" t="str">
        <f t="shared" si="641"/>
        <v/>
      </c>
      <c r="AY89" s="238" t="str">
        <f t="shared" si="642"/>
        <v/>
      </c>
      <c r="AZ89" s="238" t="str">
        <f t="shared" si="643"/>
        <v/>
      </c>
      <c r="BA89" s="238" t="str">
        <f t="shared" si="644"/>
        <v/>
      </c>
      <c r="BB89" s="552" t="str">
        <f t="shared" si="645"/>
        <v/>
      </c>
      <c r="BC89" s="347" t="str">
        <f t="shared" si="646"/>
        <v/>
      </c>
      <c r="BD89" s="239" t="str">
        <f t="shared" si="839"/>
        <v/>
      </c>
      <c r="BE89" s="239" t="str">
        <f>IF(A89=FALSE,"",IF(ALLTHESAME=TRUE,IF(DF89&lt;&gt;$BC$7,0,INDEX(DD89:DZ89,1,MATCH(Structure!$D$12,$DD$14:$DZ$14,0))),IF(EC89&lt;&gt;$BC$7,0,INDEX(EA89:EZ89,1,MATCH(Structure!$D$12,$EA$14:$EZ$14,0)))))</f>
        <v/>
      </c>
      <c r="BF89" s="239" t="str">
        <f>IF(A89=FALSE,"",IF(ALLTHESAME=TRUE,IF(FC89&lt;&gt;$BC$7,0,INDEX(FA89:FZ89,1,MATCH(Structure!$D$12,$FA$14:$FZ$14,0))),IF(GC89&lt;&gt;$BC$7,0,INDEX(GA89:GZ89,1,MATCH(Structure!$D$12,$GA$14:$GZ$14,0)))))</f>
        <v/>
      </c>
      <c r="BG89" s="239" t="str">
        <f>IF(A89=FALSE,"",IF(ALLTHESAME=TRUE,IF(VC89&lt;&gt;$BC$7,0,INDEX(VA89:VZ89,1,MATCH(Structure!$D$12,$VA$14:$VZ$14,0))),IF(VC89&lt;&gt;$BC$7,0,INDEX(VA89:VZ89,1,MATCH(Structure!$D$12,$VA$14:$VZ$14,0)))))</f>
        <v/>
      </c>
      <c r="BH89" s="239" t="str">
        <f>IF(A89=FALSE,"",IF(ALLTHESAME=TRUE,IF(WC89&lt;&gt;$BC$7,0,INDEX(WA89:WY89,1,MATCH(Structure!$D$12,$WA$14:$WZ$14,0))),IF(WC89&lt;&gt;$BC$7,0,INDEX(WA89:WZ89,1,MATCH(Structure!$D$12,$WA$14:$WZ$14,0)))))</f>
        <v/>
      </c>
      <c r="BI89" s="763" t="str">
        <f>IF(A89=FALSE,"",IF(ALLTHESAME=TRUE,IF(HC89&lt;&gt;$BC$7,0,INDEX(HA89:HZ89,1,MATCH(Structure!$D$12,$HA$14:$HZ$14,0)))+TK89,IF(IC89&lt;&gt;$BC$7,0,INDEX(IA89:IZ89,1,MATCH(Structure!$D$12,$IA$14:$IZ$14,0)))+TK89))</f>
        <v/>
      </c>
      <c r="BJ89" s="239" t="str">
        <f>IF(A89=FALSE,"",IF(ALLTHESAME=TRUE,IF(JC89&lt;&gt;$BC$7,0,INDEX(JA89:JZ89,1,MATCH(Structure!$D$12,$JA$14:$JZ$14,0))),IF(KC89&lt;&gt;$BC$7,0,INDEX(KA89:KZ89,1,MATCH(Structure!$D$12,$KA$14:$KZ$14,0)))))</f>
        <v/>
      </c>
      <c r="BK89" s="763" t="str">
        <f>IF(A89=FALSE,"",IF(ALLTHESAME=TRUE,IF(LC89&lt;&gt;$BC$7,0,INDEX(LA89:LZ89,1,MATCH(Structure!$D$12,$LA$14:$LZ$14,0)))+UK89,IF(MC89&lt;&gt;$BC$7,0,INDEX(MA89:MZ89,1,MATCH(Structure!$D$12,$MA$14:$MZ$14,0)))+UK89))</f>
        <v/>
      </c>
      <c r="BL89" s="239" t="str">
        <f>IF(A89=FALSE,"",IF(ALLTHESAME=TRUE,IF(NC89&lt;&gt;$BC$7,0,INDEX(NA89:NZ89,1,MATCH(Structure!$D$12,$NA$14:$NZ$14,0))),IF(OC89&lt;&gt;$BC$7,0,INDEX(OA89:OZ89,1,MATCH(Structure!$D$12,$OA$14:$OZ$14,0)))))</f>
        <v/>
      </c>
      <c r="BM89" s="239" t="str">
        <f>IF(A89=FALSE,"",IF(ALLTHESAME=TRUE,IF(PC89&lt;&gt;$BC$7,0,INDEX(PA89:PZ89,1,MATCH(Structure!$D$12,$PA$14:$PZ$14,0))),IF(QC89&lt;&gt;$BC$7,0,INDEX(QA89:QZ89,1,MATCH(Structure!$D$12,$QA$14:$QZ$14,0)))))</f>
        <v/>
      </c>
      <c r="BN89" s="341" t="str">
        <f>IF(A89=FALSE,"",IF(ALLTHESAME=TRUE,IF(RC89&lt;&gt;$BC$7,0,INDEX(RA89:RZ89,1,MATCH(Structure!$D$12,$RA$14:$RZ$14,0))),IF(SC89&lt;&gt;$BC$7,0,INDEX(SA89:TA89,1,MATCH(Structure!$D$12,$SA$14:$TA$14,0)))))</f>
        <v/>
      </c>
      <c r="BO89" s="507" t="str">
        <f t="shared" si="647"/>
        <v/>
      </c>
      <c r="BP89" s="239" t="str">
        <f t="shared" si="648"/>
        <v/>
      </c>
      <c r="BQ89" s="239" t="str">
        <f>IF(A89=FALSE,"",IF(ALLTHESAME=TRUE,IF(DF89&lt;&gt;$BO$7,0,INDEX(DD89:DZ89,1,MATCH(Structure!$D$12,$DD$14:$DZ$14,0))),IF(EC89&lt;&gt;$BO$7,0,INDEX(EA89:EZ89,1,MATCH(Structure!$D$12,$EA$14:$EZ$14,0)))))</f>
        <v/>
      </c>
      <c r="BR89" s="239" t="str">
        <f>IF(A89=FALSE,"",IF(ALLTHESAME=TRUE,IF(FC89&lt;&gt;$BO$7,0,INDEX(FA89:FZ89,1,MATCH(Structure!$D$12,$FA$14:$FZ$14,0))),IF(GC89&lt;&gt;$BO$7,0,INDEX(GA89:GZ89,1,MATCH(Structure!$D$12,$GA$14:$GZ$14,0)))))</f>
        <v/>
      </c>
      <c r="BS89" s="239" t="str">
        <f>IF(A89=FALSE,"",IF(ALLTHESAME=TRUE,IF(HC89&lt;&gt;$BO$7,0,INDEX(HA89:HZ89,1,MATCH(Structure!$D$12,$HA$14:$HZ$14,0))),IF(IC89&lt;&gt;$BO$7,0,INDEX(IA89:IZ89,1,MATCH(Structure!$D$12,$IA$14:$IZ$14,0)))))</f>
        <v/>
      </c>
      <c r="BT89" s="239" t="str">
        <f>IF(A89=FALSE,"",IF(ALLTHESAME=TRUE,IF(JC89&lt;&gt;$BO$7,0,INDEX(JA89:JZ89,1,MATCH(Structure!$D$12,$JA$14:$JZ$14,0))),IF(KC89&lt;&gt;$BO$7,0,INDEX(KA89:KZ89,1,MATCH(Structure!$D$12,$KA$14:$KZ$14,0)))))</f>
        <v/>
      </c>
      <c r="BU89" s="239" t="str">
        <f>IF(A89=FALSE,"",IF(ALLTHESAME=TRUE,IF(LC89&lt;&gt;$BO$7,0,INDEX(LA89:LZ89,1,MATCH(Structure!$D$12,$LA$14:$LZ$14,0))),IF(MC89&lt;&gt;$BO$7,0,INDEX(MA89:MZ89,1,MATCH(Structure!$D$12,$MA$14:$MZ$14,0)))))</f>
        <v/>
      </c>
      <c r="BV89" s="239" t="str">
        <f>IF(A89=FALSE,"",IF(ALLTHESAME=TRUE,IF(NC89&lt;&gt;$BO$7,0,INDEX(NA89:NZ89,1,MATCH(Structure!$D$12,$NA$14:$NZ$14,0))),IF(OC89&lt;&gt;$BO$7,0,INDEX(OA89:OZ89,1,MATCH(Structure!$D$12,$OA$14:$OZ$14,0)))))</f>
        <v/>
      </c>
      <c r="BW89" s="239" t="str">
        <f>IF(A89=FALSE,"",IF(ALLTHESAME=TRUE,IF(PC89&lt;&gt;$BO$7,0,INDEX(PA89:PZ89,1,MATCH(Structure!$D$12,$PA$14:$PZ$14,0))),IF(QC89&lt;&gt;$BO$7,0,INDEX(QA89:QZ89,1,MATCH(Structure!$D$12,$QA$14:$QZ$14,0)))))</f>
        <v/>
      </c>
      <c r="BX89" s="341" t="str">
        <f>IF(A89=FALSE,"",IF(ALLTHESAME=TRUE,IF(RC89&lt;&gt;$BO$7,0,INDEX(RA89:RZ89,1,MATCH(Structure!$D$12,$RA$14:$RZ$14,0))),IF(SC89&lt;&gt;$BO$7,0,INDEX(SA89:TA89,1,MATCH(Structure!$D$12,$SA$14:$TA$14,0)))))</f>
        <v/>
      </c>
      <c r="BY89" s="347" t="str">
        <f t="shared" si="649"/>
        <v/>
      </c>
      <c r="BZ89" s="507" t="str">
        <f t="shared" si="650"/>
        <v/>
      </c>
      <c r="CA89" s="239" t="str">
        <f t="shared" si="651"/>
        <v/>
      </c>
      <c r="CB89" s="239" t="str">
        <f>IF(A89=FALSE,"",IF(ALLTHESAME=TRUE,INDEX(DD89:DZ89,MATCH(DF89,DF89:DF194,0),MATCH(Structure!$D$17,$DD$14:$DZ$14,0)),INDEX(EA89:EZ89,MATCH(EC89,EC89:EC194,0),MATCH(Structure!$D$17,$EA$14:$EZ$14,0))))</f>
        <v/>
      </c>
      <c r="CC89" s="239" t="str">
        <f>IF(A89=FALSE,"",IF(ALLTHESAME=TRUE,INDEX(FA89:FZ89,MATCH(FC89,FC89:FC194,0),MATCH(Structure!$D$17,$FA$14:$FZ$14,0)),INDEX(GA89:GZ89,MATCH(GC89,GC89:GC194,0),MATCH(Structure!$D$17,$GA$14:$GZ$14,0))))</f>
        <v/>
      </c>
      <c r="CD89" s="239" t="str">
        <f>IF(A89=FALSE,"",IF(ALLTHESAME=TRUE,INDEX(HA89:HZ89,MATCH(HC89,HC89:HC194,0),MATCH(Structure!$D$17,$HA$14:$HZ$14,0)),INDEX(IA89:IZ89,MATCH(IC89,IC89:IC194,0),MATCH(Structure!$D$17,$IA$14:$IZ$14,0))))</f>
        <v/>
      </c>
      <c r="CE89" s="239" t="str">
        <f>IF(A89=FALSE,"",IF(ALLTHESAME=TRUE,INDEX(JA89:JZ89,MATCH(JC89,JC89:JC194,0),MATCH(Structure!$D$17,$JA$14:$JZ$14,0)),INDEX(KA89:KZ89,MATCH(KC89,KC89:KC194,0),MATCH(Structure!$D$17,$KA$14:$KZ$14,0))))</f>
        <v/>
      </c>
      <c r="CF89" s="239" t="str">
        <f>IF(A89=FALSE,"",IF(ALLTHESAME=TRUE,INDEX(LA89:LZ89,MATCH(LC89,LC89:LC194,0),MATCH(Structure!$D$17,$LA$14:$LZ$14,0)),INDEX(MA89:MZ89,MATCH(MC89,MC89:MC194,0),MATCH(Structure!$D$17,$MA$14:$MZ$14,0))))</f>
        <v/>
      </c>
      <c r="CG89" s="239" t="str">
        <f>IF(A89=FALSE,"",IF(ALLTHESAME=TRUE,INDEX(NA89:NZ89,MATCH(NC89,NC89:NC194,0),MATCH(Structure!$D$17,$NA$14:$NZ$14,0)),INDEX(OA89:OZ89,MATCH(OC89,OC89:OC194,0),MATCH(Structure!$D$17,$OA$14:$OZ$14,0))))</f>
        <v/>
      </c>
      <c r="CH89" s="239" t="str">
        <f>IF(A89=FALSE,"",IF(ALLTHESAME=TRUE,INDEX(PA89:PZ89,MATCH(PC89,PC89:PC194,0),MATCH(Structure!$D$17,$PA$14:$PZ$14,0)),INDEX(QA89:QZ89,MATCH(QC89,QC89:QC194,0),MATCH(Structure!$D$17,$QA$14:$QZ$14,0))))</f>
        <v/>
      </c>
      <c r="CI89" s="341" t="str">
        <f>IF(A89=FALSE,"",IF(ALLTHESAME=TRUE,INDEX(RA89:RZ89,MATCH(RC89,RC89:RC194,0),MATCH(Structure!$D$17,$RA$14:$RZ$14,0)),INDEX(SA89:TC89,MATCH(SC89,SC89:SC194,0),MATCH(Structure!$D$17,$SA$14:$TC$14,0))))</f>
        <v/>
      </c>
      <c r="CJ89" s="347"/>
      <c r="CK89" s="239" t="str">
        <f t="shared" si="652"/>
        <v/>
      </c>
      <c r="CL89" s="239" t="str">
        <f>IF(A89=FALSE,"",IF(ALLTHESAME=TRUE,INDEX(DD89:DZ89,MATCH(DF89,DF89:DF194,0),MATCH(Structure!$D$22,$DD$14:$DZ$14,0)),INDEX(EA89:EZ89,MATCH(EC89,EC89:EC194,0),MATCH(Structure!$D$22,$EA$14:$EZ$14,0))))</f>
        <v/>
      </c>
      <c r="CM89" s="239" t="str">
        <f>IF(A89=FALSE,"",IF(ALLTHESAME=TRUE,INDEX(FA89:FZ89,MATCH(FC89,FC89:FC194,0),MATCH(Structure!$D$22,$FA$14:$FZ$14,0)),INDEX(GA89:GZ89,MATCH(GC89,GC89:GC194,0),MATCH(Structure!$D$22,$GA$14:$GZ$14,0))))</f>
        <v/>
      </c>
      <c r="CN89" s="239" t="str">
        <f>IF(A89=FALSE,"",IF(ALLTHESAME=TRUE,INDEX(HA89:HZ89,MATCH(HC89,HC89:HC194,0),MATCH(Structure!$D$22,$HA$14:$HZ$14,0)),INDEX(IA89:IZ89,MATCH(IC89,IC89:IC194,0),MATCH(Structure!$D$22,$IA$14:$IZ$14,0))))</f>
        <v/>
      </c>
      <c r="CO89" s="239" t="str">
        <f>IF(A89=FALSE,"",IF(ALLTHESAME=TRUE,INDEX(JA89:JZ89,MATCH(JC89,JC89:JC194,0),MATCH(Structure!$D$22,$JA$14:$JZ$14,0)),INDEX(KA89:KZ89,MATCH(KC89,KC89:KC194,0),MATCH(Structure!$D$22,$KA$14:$KZ$14,0))))</f>
        <v/>
      </c>
      <c r="CP89" s="239" t="str">
        <f>IF(A89=FALSE,"",IF(ALLTHESAME=TRUE,INDEX(LA89:LZ89,MATCH(LC89,LC89:LC194,0),MATCH(Structure!$D$22,$LA$14:$LZ$14,0)),INDEX(MA89:MZ89,MATCH(MC89,MC89:MC194,0),MATCH(Structure!$D$22,$MA$14:$MZ$14,0))))</f>
        <v/>
      </c>
      <c r="CQ89" s="239" t="str">
        <f>IF(A89=FALSE,"",IF(ALLTHESAME=TRUE,INDEX(NA89:NZ89,MATCH(NC89,NC89:NC194,0),MATCH(Structure!$D$22,$NA$14:$NZ$14,0)),INDEX(OA89:OZ89,MATCH(OC89,OC89:OC194,0),MATCH(Structure!$D$22,$OA$14:$OZ$14,0))))</f>
        <v/>
      </c>
      <c r="CR89" s="239" t="str">
        <f>IF(A89=FALSE,"",IF(ALLTHESAME=TRUE,INDEX(PA89:PZ89,MATCH(PC89,PC89:PC194,0),MATCH(Structure!$D$22,$PA$14:$PZ$14,0)),INDEX(QA89:QZ89,MATCH(QC89,QC89:QC194,0),MATCH(Structure!$D$22,$QA$14:$QZ$14,0))))</f>
        <v/>
      </c>
      <c r="CS89" s="341" t="str">
        <f>IF(A89=FALSE,"",IF(ALLTHESAME=TRUE,INDEX(RA89:RZ89,MATCH(RC89,RC89:RC194,0),MATCH(Structure!$D$22,$RA$14:$RZ$14,0)),INDEX(SA89:TC89,MATCH(SC89,SC89:SC194,0),MATCH(Structure!$D$22,$SA$14:$TC$14,0))))</f>
        <v/>
      </c>
      <c r="CT89" s="347"/>
      <c r="CU89" s="239" t="str">
        <f t="shared" si="653"/>
        <v/>
      </c>
      <c r="CV89" s="239" t="str">
        <f>IF(A89=FALSE,"",IF(ALLTHESAME=TRUE,INDEX(DD89:DZ89,MATCH(DF89,DF89:DF194,0),MATCH(Structure!$D$8,$DD$14:$DZ$14,0)),INDEX(EA89:EZ89,MATCH(EC89,EC89:EC194,0),MATCH(Structure!$D$8,$EA$14:$EZ$14,0))))</f>
        <v/>
      </c>
      <c r="CW89" s="239" t="str">
        <f>IF(A89=FALSE,"",IF(ALLTHESAME=TRUE,INDEX(FA89:FZ89,MATCH(FC89,FC89:FC194,0),MATCH(Structure!$D$8,$FA$14:$FZ$14,0)),INDEX(GA89:GZ89,MATCH(GC89,GC89:GC194,0),MATCH(Structure!$D$8,$GA$14:$GZ$14,0))))</f>
        <v/>
      </c>
      <c r="CX89" s="239" t="str">
        <f>IF(A89=FALSE,"",IF(ALLTHESAME=TRUE,INDEX(HA89:HZ89,MATCH(HC89,HC89:HC194,0),MATCH(Structure!$D$8,$HA$14:$HZ$14,0)),INDEX(IA89:IZ89,MATCH(IC89,IC89:IC194,0),MATCH(Structure!$D$8,$IA$14:$IZ$14,0))))</f>
        <v/>
      </c>
      <c r="CY89" s="239" t="str">
        <f>IF(A89=FALSE,"",IF(ALLTHESAME=TRUE,INDEX(JA89:JZ89,MATCH(JC89,JC89:JC194,0),MATCH(Structure!$D$8,$JA$14:$JZ$14,0)),INDEX(KA89:KZ89,MATCH(KC89,KC89:KC194,0),MATCH(Structure!$D$8,$KA$14:$KZ$14,0))))</f>
        <v/>
      </c>
      <c r="CZ89" s="239" t="str">
        <f>IF(A89=FALSE,"",IF(ALLTHESAME=TRUE,INDEX(LA89:LZ89,MATCH(LC89,LC89:LC194,0),MATCH(Structure!$D$8,$LA$14:$LZ$14,0)),INDEX(MA89:MZ89,MATCH(MC89,MC89:MC194,0),MATCH(Structure!$D$8,$MA$14:$MZ$14,0))))</f>
        <v/>
      </c>
      <c r="DA89" s="239" t="str">
        <f>IF(A89=FALSE,"",IF(ALLTHESAME=TRUE,INDEX(NA89:NZ89,MATCH(NC89,NC89:NC194,0),MATCH(Structure!$D$8,$NA$14:$NZ$14,0)),INDEX(OA89:OZ89,MATCH(OC89,OC89:OC194,0),MATCH(Structure!$D$8,$OA$14:$OZ$14,0))))</f>
        <v/>
      </c>
      <c r="DB89" s="239" t="str">
        <f>IF(A89=FALSE,"",IF(ALLTHESAME=TRUE,INDEX(PA89:PZ89,MATCH(PC89,PC89:PC194,0),MATCH(Structure!$D$8,$PA$14:$PZ$14,0)),INDEX(QA89:QZ89,MATCH(QC89,QC89:QC194,0),MATCH(Structure!$D$8,$QA$14:$QZ$14,0))))</f>
        <v/>
      </c>
      <c r="DC89" s="341" t="str">
        <f>IF(A89=FALSE,"",IF(ALLTHESAME=TRUE,INDEX(RA89:RZ89,MATCH(RC89,RC89:RC194,0),MATCH(Structure!$D$8,$RA$14:$RZ$14,0)),INDEX(SA89:TC89,MATCH(SC89,SC89:SC194,0),MATCH(Structure!$D$8,$SA$14:$TC$14,0))))</f>
        <v/>
      </c>
      <c r="DD89" s="492" t="str">
        <f>IF(A89=FALSE,"",Cotations!D89)</f>
        <v/>
      </c>
      <c r="DE89" s="492" t="str">
        <f>IF(A89=FALSE,"",IF(LISTES!$A$17=1,Cotations!AF89,Cotations!$AG$4))</f>
        <v/>
      </c>
      <c r="DF89" s="291" t="str">
        <f t="shared" si="654"/>
        <v/>
      </c>
      <c r="DG89" s="291" t="str">
        <f t="shared" si="655"/>
        <v/>
      </c>
      <c r="DH89" s="291"/>
      <c r="DI89" s="463"/>
      <c r="DJ89" s="463" t="str">
        <f t="shared" si="656"/>
        <v/>
      </c>
      <c r="DK89" s="522" t="str">
        <f>IF(A89=FALSE,"",IF(Cotations!$AH$4="monthly",DJ89/12*L89,DJ89/365*M89))</f>
        <v/>
      </c>
      <c r="DL89" s="489" t="str">
        <f>IF(A89=FALSE,"",Cotations!$AI$4)</f>
        <v/>
      </c>
      <c r="DM89" s="300" t="str">
        <f t="shared" si="657"/>
        <v/>
      </c>
      <c r="DN89" s="300" t="str">
        <f t="shared" si="658"/>
        <v/>
      </c>
      <c r="DO89" s="294" t="str">
        <f t="shared" si="659"/>
        <v/>
      </c>
      <c r="DP89" s="494" t="str">
        <f>IF(A89=FALSE,"",Cotations!$AJ$4)</f>
        <v/>
      </c>
      <c r="DQ89" s="494" t="str">
        <f>IF(A89=FALSE,"",Cotations!$AK$4)</f>
        <v/>
      </c>
      <c r="DR89" s="489" t="str">
        <f>IF(A89=FALSE,"",Cotations!$AL$4)</f>
        <v/>
      </c>
      <c r="DS89" s="494" t="str">
        <f>IF(A89=FALSE,"",IF(DP89="N/A",0,IF(INDEX(LISTES!$F$105:$F$109,MATCH(DP89,LISTES!$C$105:$C$109,0))="FIX",IF(INDEX(LISTES!$E$105:$E$109,MATCH(DP89,LISTES!$C$105:$C$109,0))=12,DQ89/12*L89,DQ89/365*M89),DR89*DO89)))</f>
        <v/>
      </c>
      <c r="DT89" s="294" t="str">
        <f t="shared" si="660"/>
        <v/>
      </c>
      <c r="DU89" s="294" t="str">
        <f>IF(A89=FALSE,"",DT89*Cotations!$AM$4)</f>
        <v/>
      </c>
      <c r="DV89" s="294" t="str">
        <f>IF(A89=FALSE,"",DT89*Cotations!$AN$4)</f>
        <v/>
      </c>
      <c r="DW89" s="465" t="str">
        <f t="shared" si="661"/>
        <v/>
      </c>
      <c r="DX89" s="919" t="str">
        <f>IF(A89=FALSE,"",((DJ89*TAXE)-(DJ89*TAXE*DL89))+IF(DP89="N/A",0,IF(INDEX(LISTES!$F$105:$F$109,MATCH(DP89,LISTES!$C$105:$C$109,0))="FIX",DQ89,DR89*DO89)))</f>
        <v/>
      </c>
      <c r="DY89" s="466"/>
      <c r="DZ89" s="466"/>
      <c r="EA89" s="492" t="str">
        <f>IF(A89=FALSE,"",Cotations!D89)</f>
        <v/>
      </c>
      <c r="EB89" s="494" t="str">
        <f>IF(A89=FALSE,"",IF(LISTES!$A$17=1,Cotations!AF89,Cotations!AG89))</f>
        <v/>
      </c>
      <c r="EC89" s="284" t="str">
        <f t="shared" si="662"/>
        <v/>
      </c>
      <c r="ED89" s="284" t="str">
        <f t="shared" si="663"/>
        <v/>
      </c>
      <c r="EE89" s="284"/>
      <c r="EF89" s="284"/>
      <c r="EG89" s="284" t="str">
        <f t="shared" si="664"/>
        <v/>
      </c>
      <c r="EH89" s="1365" t="str">
        <f t="shared" si="665"/>
        <v/>
      </c>
      <c r="EI89" s="1365" t="str">
        <f t="shared" si="666"/>
        <v/>
      </c>
      <c r="EJ89" s="515" t="str">
        <f>IF(A89=FALSE,"",IF(Cotations!AH89="monthly",EG89/12*L89,EG89/365*M89))</f>
        <v/>
      </c>
      <c r="EK89" s="1364" t="str">
        <f>IF(A89=FALSE,"",IF(Cotations!AH89="monthly",EI89/12*L89,EI89/365*M89))</f>
        <v/>
      </c>
      <c r="EL89" s="493" t="str">
        <f>IF(A89=FALSE,"",IF(Cotations!AI89="","",Cotations!AI89))</f>
        <v/>
      </c>
      <c r="EM89" s="284" t="str">
        <f t="shared" si="667"/>
        <v/>
      </c>
      <c r="EN89" s="284" t="str">
        <f t="shared" si="668"/>
        <v/>
      </c>
      <c r="EO89" s="1365" t="str">
        <f t="shared" si="840"/>
        <v/>
      </c>
      <c r="EP89" s="284" t="str">
        <f t="shared" si="669"/>
        <v/>
      </c>
      <c r="EQ89" s="515" t="str">
        <f>IF(A89=FALSE,"",Cotations!AJ89)</f>
        <v/>
      </c>
      <c r="ER89" s="515" t="str">
        <f>IF(A89=FALSE,"",IF(Cotations!AK89="","",Cotations!AK89))</f>
        <v/>
      </c>
      <c r="ES89" s="493" t="str">
        <f>IF(A89=FALSE,"",Cotations!AL89)</f>
        <v/>
      </c>
      <c r="ET89" s="515" t="str">
        <f>IF(A89=FALSE,"",IF(EQ89="N/A",0,IF(INDEX(LISTES!$F$105:$F$109,MATCH(EQ89,LISTES!$C$105:$C$109,0))="FIX",IF(INDEX(LISTES!$E$105:$E$109,MATCH(EQ89,LISTES!$C$105:$C$109,0))=12,ER89/12*L89,ER89/365*M89),ES89*EP89)))</f>
        <v/>
      </c>
      <c r="EU89" s="294" t="str">
        <f t="shared" si="670"/>
        <v/>
      </c>
      <c r="EV89" s="494" t="str">
        <f>IF(A89=FALSE,"",EU89*Cotations!AM89)</f>
        <v/>
      </c>
      <c r="EW89" s="494" t="str">
        <f>IF(A89=FALSE,"",EU89*Cotations!AN89)</f>
        <v/>
      </c>
      <c r="EX89" s="334" t="str">
        <f t="shared" si="671"/>
        <v/>
      </c>
      <c r="EY89" s="919" t="str">
        <f>IF(A89=FALSE,"",((EG89*TAXE)-(EG89*TAXE*EL89)+EH89)+IF(EQ89="N/A",0,IF(INDEX(LISTES!$F$105:$F$109,MATCH(EQ89,LISTES!$C$105:$C$109,0))="FIX",ER89,ES89*EP89)))</f>
        <v/>
      </c>
      <c r="FA89" s="492" t="str">
        <f>IF(A89=FALSE,"",Cotations!D89)</f>
        <v/>
      </c>
      <c r="FB89" s="519" t="str">
        <f>IF(A89=FALSE,"",IF(LISTES!$A$17=1,Cotations!AO89,Cotations!$AP$4))</f>
        <v/>
      </c>
      <c r="FC89" s="291" t="str">
        <f t="shared" si="672"/>
        <v/>
      </c>
      <c r="FD89" s="291" t="str">
        <f t="shared" si="673"/>
        <v/>
      </c>
      <c r="FE89" s="291"/>
      <c r="FF89" s="463"/>
      <c r="FG89" s="463" t="str">
        <f t="shared" si="674"/>
        <v/>
      </c>
      <c r="FH89" s="522" t="str">
        <f>IF(A89=FALSE,"",IF(Cotations!$AQ$4="monthly",FG89/12*L89,FG89/365*M89))</f>
        <v/>
      </c>
      <c r="FI89" s="453" t="str">
        <f>IF(A89=FALSE,"",Cotations!$AR$4)</f>
        <v/>
      </c>
      <c r="FJ89" s="300" t="str">
        <f t="shared" si="675"/>
        <v/>
      </c>
      <c r="FK89" s="300" t="str">
        <f t="shared" si="676"/>
        <v/>
      </c>
      <c r="FL89" s="294" t="str">
        <f t="shared" si="677"/>
        <v/>
      </c>
      <c r="FM89" s="494" t="str">
        <f>IF(A89=FALSE,"",Cotations!$AS$4)</f>
        <v/>
      </c>
      <c r="FN89" s="494" t="str">
        <f>IF(A89=FALSE,"",Cotations!$AT$4)</f>
        <v/>
      </c>
      <c r="FO89" s="489" t="str">
        <f>IF(A89=FALSE,"",Cotations!$AU$4)</f>
        <v/>
      </c>
      <c r="FP89" s="494" t="str">
        <f>IF(A89=FALSE,"",IF(FM89="N/A",0,IF(INDEX(LISTES!$F$105:$F$109,MATCH(FM89,LISTES!$C$105:$C$109,0))="FIX",IF(INDEX(LISTES!$E$105:$E$109,MATCH(FM89,LISTES!$C$105:$C$109,0))=12,FN89/12*L89,FN89/365*M89),FO89*FL89)))</f>
        <v/>
      </c>
      <c r="FQ89" s="294" t="str">
        <f t="shared" si="678"/>
        <v/>
      </c>
      <c r="FR89" s="494" t="str">
        <f>IF(A89=FALSE,"",FQ89*Cotations!$AV$4)</f>
        <v/>
      </c>
      <c r="FS89" s="494" t="str">
        <f>IF(A89=FALSE,"",FQ89*Cotations!$AW$4)</f>
        <v/>
      </c>
      <c r="FT89" s="465" t="str">
        <f t="shared" si="679"/>
        <v/>
      </c>
      <c r="FU89" s="919" t="str">
        <f>IF(A89=FALSE,"",((FG89*TAXE)-(FG89*TAXE*FI89))+IF(FM89="N/A",0,IF(INDEX(LISTES!$F$105:$F$109,MATCH(FM89,LISTES!$C$105:$C$109,0))="FIX",FN89,FO89*FL89)))</f>
        <v/>
      </c>
      <c r="FV89" s="478"/>
      <c r="FW89" s="478"/>
      <c r="FX89" s="478"/>
      <c r="FY89" s="478"/>
      <c r="FZ89" s="478"/>
      <c r="GA89" s="492" t="str">
        <f>IF(A89=FALSE,"",Cotations!D89)</f>
        <v/>
      </c>
      <c r="GB89" s="494" t="str">
        <f>IF(A89=FALSE,"",IF(LISTES!$A$17=1,Cotations!AO89,Cotations!AP89))</f>
        <v/>
      </c>
      <c r="GC89" s="284" t="str">
        <f t="shared" si="680"/>
        <v/>
      </c>
      <c r="GD89" s="515" t="str">
        <f>IF(A89=FALSE,"",IF(Detail!AM89="","",Detail!AM89))</f>
        <v/>
      </c>
      <c r="GE89" s="284"/>
      <c r="GF89" s="284"/>
      <c r="GG89" s="284" t="str">
        <f t="shared" si="681"/>
        <v/>
      </c>
      <c r="GH89" s="515" t="str">
        <f>IF(A89=FALSE,"",IF(Cotations!AQ89="monthly",GG89/12*L89,GG89/365*M89))</f>
        <v/>
      </c>
      <c r="GI89" s="493" t="str">
        <f>IF(A89=FALSE,"",IF(Cotations!AR89="","",Cotations!AR89))</f>
        <v/>
      </c>
      <c r="GJ89" s="284" t="str">
        <f t="shared" si="682"/>
        <v/>
      </c>
      <c r="GK89" s="284" t="str">
        <f t="shared" si="683"/>
        <v/>
      </c>
      <c r="GL89" s="284" t="str">
        <f t="shared" si="684"/>
        <v/>
      </c>
      <c r="GM89" s="515" t="str">
        <f>IF(A89=FALSE,"",Cotations!AS89)</f>
        <v/>
      </c>
      <c r="GN89" s="515" t="str">
        <f>IF(A89=FALSE,"",Cotations!AT89)</f>
        <v/>
      </c>
      <c r="GO89" s="493" t="str">
        <f>IF(A89=FALSE,"",Cotations!AU89)</f>
        <v/>
      </c>
      <c r="GP89" s="515" t="str">
        <f>IF(A89=FALSE,"",IF(GM89="N/A",0,IF(INDEX(LISTES!$F$105:$F$109,MATCH(GM89,LISTES!$C$105:$C$109,0))="FIX",IF(INDEX(LISTES!$E$105:$E$109,MATCH(GM89,LISTES!$C$105:$C$109,0))=12,GN89/12*L89,GN89/365*M89),GO89*GL89)))</f>
        <v/>
      </c>
      <c r="GQ89" s="294" t="str">
        <f t="shared" si="685"/>
        <v/>
      </c>
      <c r="GR89" s="494" t="str">
        <f>IF(A89=FALSE,"",GQ89*Cotations!AV89)</f>
        <v/>
      </c>
      <c r="GS89" s="494" t="str">
        <f>IF(A89=FALSE,"",GQ89*Cotations!AW89)</f>
        <v/>
      </c>
      <c r="GT89" s="334" t="str">
        <f t="shared" si="686"/>
        <v/>
      </c>
      <c r="GU89" s="919" t="str">
        <f>IF(A89=FALSE,"",((GG89*TAXE)-(GG89*TAXE*GI89))+IF(GM89="N/A",0,IF(INDEX(LISTES!$F$105:$F$109,MATCH(GM89,LISTES!$C$105:$C$109,0))="FIX",GN89,GO89*GL89)))</f>
        <v/>
      </c>
      <c r="GV89" s="478"/>
      <c r="GW89" s="466"/>
      <c r="GX89" s="466"/>
      <c r="GY89" s="466"/>
      <c r="GZ89" s="466"/>
      <c r="HA89" s="492" t="str">
        <f>IF(A89=FALSE,"",Cotations!D89)</f>
        <v/>
      </c>
      <c r="HB89" s="495" t="str">
        <f>IF(A89=FALSE,"",IF(LISTES!$A$17=1,Cotations!AX89,Cotations!$AY$4))</f>
        <v/>
      </c>
      <c r="HC89" s="291" t="str">
        <f t="shared" si="687"/>
        <v/>
      </c>
      <c r="HD89" s="291" t="str">
        <f t="shared" si="688"/>
        <v/>
      </c>
      <c r="HE89" s="456" t="str">
        <f t="shared" si="689"/>
        <v/>
      </c>
      <c r="HF89" s="496" t="str">
        <f>IF(A89=FALSE,"",IF(HA89="POEA",Cotations!BA89,IF(HA89="FIXE",Cotations!$BA$4,Cotations!$BC$4*Y89)))</f>
        <v/>
      </c>
      <c r="HG89" s="300" t="str">
        <f t="shared" si="690"/>
        <v/>
      </c>
      <c r="HH89" s="522" t="str">
        <f>IF(A89=FALSE,"",IF(Cotations!$AZ$4="monthly",HG89/12*L89,HG89/365*M89))</f>
        <v/>
      </c>
      <c r="HI89" s="489" t="str">
        <f>IF(A89=FALSE,"",Cotations!$BD$4)</f>
        <v/>
      </c>
      <c r="HJ89" s="300" t="str">
        <f t="shared" si="691"/>
        <v/>
      </c>
      <c r="HK89" s="300" t="str">
        <f t="shared" si="692"/>
        <v/>
      </c>
      <c r="HL89" s="294" t="str">
        <f t="shared" si="693"/>
        <v/>
      </c>
      <c r="HM89" s="494" t="str">
        <f>IF(A89=FALSE,"",Cotations!$BE$4)</f>
        <v/>
      </c>
      <c r="HN89" s="522" t="str">
        <f>IF(A89=FALSE,"",Cotations!$BF$4)</f>
        <v/>
      </c>
      <c r="HO89" s="489" t="str">
        <f>IF(A89=FALSE,"",Cotations!$BG$4)</f>
        <v/>
      </c>
      <c r="HP89" s="494" t="str">
        <f>IF(A89=FALSE,"",IF(HM89="N/A",0,IF(INDEX(LISTES!$F$105:$F$109,MATCH(HM89,LISTES!$C$105:$C$109,0))="FIX",IF(INDEX(LISTES!$E$105:$E$109,MATCH(HM89,LISTES!$C$105:$C$109,0))=12,HN89/12*L89,HN89/365*M89),HO89*HL89)))</f>
        <v/>
      </c>
      <c r="HQ89" s="294" t="str">
        <f t="shared" si="694"/>
        <v/>
      </c>
      <c r="HR89" s="494" t="str">
        <f>IF(A89=FALSE,"",HQ89*Cotations!$BH$4)</f>
        <v/>
      </c>
      <c r="HS89" s="494" t="str">
        <f>IF(A89=FALSE,"",HQ89*Cotations!$BI$4)</f>
        <v/>
      </c>
      <c r="HT89" s="294" t="str">
        <f t="shared" si="695"/>
        <v/>
      </c>
      <c r="HU89" s="919" t="str">
        <f>IF(A89=FALSE,"",((HG89*TAXE)-(HG89*TAXE*HI89))+IF(HM89="N/A",0,IF(INDEX(LISTES!$F$105:$F$109,MATCH(HM89,LISTES!$C$105:$C$109,0))="FIX",HN89,HO89*HL89)))</f>
        <v/>
      </c>
      <c r="IA89" s="492" t="str">
        <f>IF(A89=FALSE,"",Cotations!D89)</f>
        <v/>
      </c>
      <c r="IB89" s="491" t="str">
        <f>IF(A89=FALSE,"",IF(LISTES!$A$17=1,Cotations!AX89,Cotations!AY89))</f>
        <v/>
      </c>
      <c r="IC89" s="285" t="str">
        <f t="shared" si="696"/>
        <v/>
      </c>
      <c r="ID89" s="300" t="str">
        <f>IF(A89=FALSE,"",IF(LISTES!$A$17=3,Detail!AU89,lig1_Formula_PREVOY))</f>
        <v/>
      </c>
      <c r="IE89" s="461" t="str">
        <f t="shared" si="697"/>
        <v/>
      </c>
      <c r="IF89" s="490" t="str">
        <f>IF(A89=FALSE,"",IF(IA89="POEA",Cotations!BA89,IF(HA89="FIXE",Cotations!BB89,IF(Cotations!BC89*Y89&lt;50000,Z89,Cotations!BC89*Y89))))</f>
        <v/>
      </c>
      <c r="IG89" s="300" t="str">
        <f t="shared" si="698"/>
        <v/>
      </c>
      <c r="IH89" s="522" t="str">
        <f>IF(A89=FALSE,"",IF(Cotations!AZ89="monthly",IG89/12*L89,IG89/365*M89))</f>
        <v/>
      </c>
      <c r="II89" s="489" t="str">
        <f>IF(A89=FALSE,"",IF(Cotations!BD89="","",Cotations!BD89))</f>
        <v/>
      </c>
      <c r="IJ89" s="300" t="str">
        <f t="shared" si="699"/>
        <v/>
      </c>
      <c r="IK89" s="300" t="str">
        <f t="shared" si="700"/>
        <v/>
      </c>
      <c r="IL89" s="919" t="str">
        <f t="shared" si="701"/>
        <v/>
      </c>
      <c r="IM89" s="517" t="str">
        <f>IF(A89=FALSE,"",Cotations!BE89)</f>
        <v/>
      </c>
      <c r="IN89" s="517" t="str">
        <f>IF(A89=FALSE,"",Cotations!BF89)</f>
        <v/>
      </c>
      <c r="IO89" s="493" t="str">
        <f>IF(A89=FALSE,"",Cotations!BG89)</f>
        <v/>
      </c>
      <c r="IP89" s="517" t="str">
        <f>IF(A89=FALSE,"",IF(IM89="N/A",0,IF(INDEX(LISTES!$F$105:$F$109,MATCH(IM89,LISTES!$C$105:$C$109,0))="FIX",IF(INDEX(LISTES!$E$105:$E$109,MATCH(IM89,LISTES!$C$105:$C$109,0))=12,IN89/12*L89,IN89/365*M89),IO89*IL89)))</f>
        <v/>
      </c>
      <c r="IQ89" s="294" t="str">
        <f t="shared" si="702"/>
        <v/>
      </c>
      <c r="IR89" s="494" t="str">
        <f>IF(A89=FALSE,"",IQ89*Cotations!BH89)</f>
        <v/>
      </c>
      <c r="IS89" s="494" t="str">
        <f>IF(A89=FALSE,"",IQ89*Cotations!BI89)</f>
        <v/>
      </c>
      <c r="IT89" s="338" t="str">
        <f t="shared" si="703"/>
        <v/>
      </c>
      <c r="IU89" s="919" t="str">
        <f>IF(A89=FALSE,"",((IG89*TAXE)-(IG89*TAXE*II89))+IF(IM89="N/A",0,IF(INDEX(LISTES!$F$105:$F$109,MATCH(IM89,LISTES!$C$105:$C$109,0))="FIX",IN89,IO89*IL89)))</f>
        <v/>
      </c>
      <c r="JA89" s="492" t="str">
        <f>IF(A89=FALSE,"",Cotations!D89)</f>
        <v/>
      </c>
      <c r="JB89" s="495" t="str">
        <f>IF(A89=FALSE,"",IF(LISTES!$A$17=1,Cotations!BJ89,Cotations!$BK$4))</f>
        <v/>
      </c>
      <c r="JC89" s="291" t="str">
        <f t="shared" si="704"/>
        <v/>
      </c>
      <c r="JD89" s="291" t="str">
        <f t="shared" si="705"/>
        <v/>
      </c>
      <c r="JE89" s="456" t="str">
        <f t="shared" si="706"/>
        <v/>
      </c>
      <c r="JF89" s="496" t="str">
        <f>IF(A89=FALSE,"",IF(JA89="POEA",Cotations!BM89,IF(JA89="FIXE",Cotations!$BM$4,Cotations!$BO$4*Y89)))</f>
        <v/>
      </c>
      <c r="JG89" s="300" t="str">
        <f t="shared" si="707"/>
        <v/>
      </c>
      <c r="JH89" s="522" t="str">
        <f>IF(A89=FALSE,"",IF(Cotations!$BL$4="monthly",JG89/12*L89,JG89/365*M89))</f>
        <v/>
      </c>
      <c r="JI89" s="489" t="str">
        <f>IF(A89=FALSE,"",Cotations!$BP$4)</f>
        <v/>
      </c>
      <c r="JJ89" s="300" t="str">
        <f t="shared" si="708"/>
        <v/>
      </c>
      <c r="JK89" s="300" t="str">
        <f t="shared" si="709"/>
        <v/>
      </c>
      <c r="JL89" s="294" t="str">
        <f t="shared" si="710"/>
        <v/>
      </c>
      <c r="JM89" s="494" t="str">
        <f>IF(A89=FALSE,"",Cotations!$BQ$4)</f>
        <v/>
      </c>
      <c r="JN89" s="522" t="str">
        <f>IF(A89=FALSE,"",Cotations!$BR$4)</f>
        <v/>
      </c>
      <c r="JO89" s="489" t="str">
        <f>IF(A89=FALSE,"",Cotations!$BS$4)</f>
        <v/>
      </c>
      <c r="JP89" s="494" t="str">
        <f>IF(A89=FALSE,"",IF(JM89="N/A",0,IF(INDEX(LISTES!$F$105:$F$109,MATCH(JM89,LISTES!$C$105:$C$109,0))="FIX",IF(INDEX(LISTES!$E$105:$E$109,MATCH(JM89,LISTES!$C$105:$C$109,0))=12,JN89/12*L89,JN89/365*M89),JO89*JL89)))</f>
        <v/>
      </c>
      <c r="JQ89" s="294" t="str">
        <f t="shared" si="711"/>
        <v/>
      </c>
      <c r="JR89" s="494" t="str">
        <f>IF(A89=FALSE,"",JQ89*Cotations!$BT$4)</f>
        <v/>
      </c>
      <c r="JS89" s="494" t="str">
        <f>IF(A89=FALSE,"",JQ89*Cotations!$BU$4)</f>
        <v/>
      </c>
      <c r="JT89" s="294" t="str">
        <f t="shared" si="712"/>
        <v/>
      </c>
      <c r="JU89" s="919" t="str">
        <f>IF(A89=FALSE,"",((JG89*TAXE)-(JG89*TAXE*JI89))+IF(JM89="N/A",0,IF(INDEX(LISTES!$F$105:$F$109,MATCH(JM89,LISTES!$C$105:$C$109,0))="FIX",JN89,JO89*JL89)))</f>
        <v/>
      </c>
      <c r="KA89" s="492" t="str">
        <f>IF(A89=FALSE,"",Cotations!D89)</f>
        <v/>
      </c>
      <c r="KB89" s="491" t="str">
        <f>IF(A89=FALSE,"",IF(LISTES!$A$17=1,Cotations!BJ89,Cotations!BK89))</f>
        <v/>
      </c>
      <c r="KC89" s="285" t="str">
        <f t="shared" si="713"/>
        <v/>
      </c>
      <c r="KD89" s="300"/>
      <c r="KE89" s="461" t="str">
        <f t="shared" si="714"/>
        <v/>
      </c>
      <c r="KF89" s="490" t="str">
        <f>IF(A89=FALSE,"",IF(KA89="POEA",Cotations!BM89,IF(KA89="FIXE",Cotations!BN89,IF(Cotations!BO89*Y89&lt;50000,Z89,Cotations!BO89*Y89))))</f>
        <v/>
      </c>
      <c r="KG89" s="300" t="str">
        <f t="shared" si="715"/>
        <v/>
      </c>
      <c r="KH89" s="522" t="str">
        <f>IF(A89=FALSE,"",IF(Cotations!BL89="monthly",KG89/12*L89,KG89/365*M89))</f>
        <v/>
      </c>
      <c r="KI89" s="489" t="str">
        <f>IF(A89=FALSE,"",IF(Cotations!BP89="","",Cotations!BP89))</f>
        <v/>
      </c>
      <c r="KJ89" s="300" t="str">
        <f t="shared" si="716"/>
        <v/>
      </c>
      <c r="KK89" s="300" t="str">
        <f t="shared" si="717"/>
        <v/>
      </c>
      <c r="KL89" s="919" t="str">
        <f t="shared" si="718"/>
        <v/>
      </c>
      <c r="KM89" s="517" t="str">
        <f>IF(A89=FALSE,"",Cotations!BQ89)</f>
        <v/>
      </c>
      <c r="KN89" s="515" t="str">
        <f>IF(A89=FALSE,"",Cotations!BR89)</f>
        <v/>
      </c>
      <c r="KO89" s="493" t="str">
        <f>IF(A89=FALSE,"",Cotations!BS89)</f>
        <v/>
      </c>
      <c r="KP89" s="517" t="str">
        <f>IF(A89=FALSE,"",IF(KM89="N/A",0,IF(INDEX(LISTES!$F$105:$F$109,MATCH(KM89,LISTES!$C$105:$C$109,0))="FIX",IF(INDEX(LISTES!$E$105:$E$109,MATCH(KM89,LISTES!$C$105:$C$109,0))=12,KN89/12*L89,KN89/365*M89),KO89*KL89)))</f>
        <v/>
      </c>
      <c r="KQ89" s="294" t="str">
        <f t="shared" si="719"/>
        <v/>
      </c>
      <c r="KR89" s="494" t="str">
        <f>IF(A89=FALSE,"",KQ89*Cotations!BT89)</f>
        <v/>
      </c>
      <c r="KS89" s="494" t="str">
        <f>IF(A89=FALSE,"",KQ89*Cotations!BU89)</f>
        <v/>
      </c>
      <c r="KT89" s="338" t="str">
        <f t="shared" si="720"/>
        <v/>
      </c>
      <c r="KU89" s="919" t="str">
        <f>IF(A89=FALSE,"",((KG89*TAXE)-(KG89*TAXE*KI89))+IF(KM89="N/A",0,IF(INDEX(LISTES!$F$105:$F$109,MATCH(KM89,LISTES!$C$105:$C$109,0))="FIX",KN89,KO89*KL89)))</f>
        <v/>
      </c>
      <c r="LA89" s="497" t="str">
        <f>IF(A89=FALSE,"",Cotations!D89)</f>
        <v/>
      </c>
      <c r="LB89" s="498" t="str">
        <f>IF(A89=FALSE,"",IF(LISTES!$A$17=1,Cotations!BV89,Cotations!$BW$4))</f>
        <v/>
      </c>
      <c r="LC89" s="499" t="str">
        <f t="shared" si="721"/>
        <v/>
      </c>
      <c r="LD89" s="499" t="str">
        <f t="shared" si="722"/>
        <v/>
      </c>
      <c r="LE89" s="500" t="str">
        <f t="shared" si="723"/>
        <v/>
      </c>
      <c r="LF89" s="501" t="str">
        <f>IF(A89=FALSE,"",IF(LA89="POEA",Cotations!EJ89,IF(LA89="FIXE",Cotations!$BY$4,Cotations!$CA$4*Y89)))</f>
        <v/>
      </c>
      <c r="LG89" s="502" t="str">
        <f t="shared" si="724"/>
        <v/>
      </c>
      <c r="LH89" s="520" t="str">
        <f>IF(A89=FALSE,"",IF(Cotations!$BX$4="monthly",LG89/12*L89,LG89/365*M89))</f>
        <v/>
      </c>
      <c r="LI89" s="503" t="str">
        <f>IF(A89=FALSE,"",Cotations!$CB$4)</f>
        <v/>
      </c>
      <c r="LJ89" s="502" t="str">
        <f t="shared" si="725"/>
        <v/>
      </c>
      <c r="LK89" s="502" t="str">
        <f t="shared" si="726"/>
        <v/>
      </c>
      <c r="LL89" s="504" t="str">
        <f t="shared" si="727"/>
        <v/>
      </c>
      <c r="LM89" s="505" t="str">
        <f>IF(A89=FALSE,"",Cotations!$CC$4)</f>
        <v/>
      </c>
      <c r="LN89" s="503" t="str">
        <f>IF(A89=FALSE,"",Cotations!$CD$4)</f>
        <v/>
      </c>
      <c r="LO89" s="503" t="str">
        <f>IF(A89=FALSE,"",Cotations!$CE$4)</f>
        <v/>
      </c>
      <c r="LP89" s="505" t="str">
        <f>IF(A89=FALSE,"",IF(LM89="N/A",0,IF(INDEX(LISTES!$F$105:$F$109,MATCH(LM89,LISTES!$C$105:$C$109,0))="FIX",IF(INDEX(LISTES!$E$105:$E$109,MATCH(LM89,LISTES!$C$105:$C$109,0))=12,LN89/12*L89,LN89/365*M89),LO89*LL89)))</f>
        <v/>
      </c>
      <c r="LQ89" s="504" t="str">
        <f t="shared" si="728"/>
        <v/>
      </c>
      <c r="LR89" s="505" t="str">
        <f>IF(A89=FALSE,"",LQ89*Cotations!$CF$4)</f>
        <v/>
      </c>
      <c r="LS89" s="505" t="str">
        <f>IF(A89=FALSE,"",LQ89*Cotations!$CG$4)</f>
        <v/>
      </c>
      <c r="LT89" s="506" t="str">
        <f t="shared" si="729"/>
        <v/>
      </c>
      <c r="LU89" s="919" t="str">
        <f>IF(A89=FALSE,"",((LG89*TAXE)-(LG89*TAXE*LI89))+IF(LM89="N/A",0,IF(INDEX(LISTES!$F$105:$F$109,MATCH(LM89,LISTES!$C$105:$C$109,0))="FIX",LN89,LO89*LL89)))</f>
        <v/>
      </c>
      <c r="MA89" s="492" t="str">
        <f>IF(A89=FALSE,"",Cotations!D89)</f>
        <v/>
      </c>
      <c r="MB89" s="491" t="str">
        <f>IF(A89=FALSE,"",IF(LISTES!$A$17=1,Cotations!BV89,Cotations!BW89))</f>
        <v/>
      </c>
      <c r="MC89" s="285" t="str">
        <f t="shared" si="730"/>
        <v/>
      </c>
      <c r="MD89" s="300"/>
      <c r="ME89" s="461" t="str">
        <f t="shared" si="731"/>
        <v/>
      </c>
      <c r="MF89" s="490" t="str">
        <f>IF(A89=FALSE,"",IF(MA89="POEA",Cotations!BY89,IF(MA89="FIXE",Cotations!BZ89,IF(Cotations!CA89*Y89&lt;50000,Z89,Cotations!CA89*Y89))))</f>
        <v/>
      </c>
      <c r="MG89" s="300" t="str">
        <f t="shared" si="732"/>
        <v/>
      </c>
      <c r="MH89" s="522" t="str">
        <f>IF(A89=FALSE,"",IF(Cotations!BX89="monthly",MG89/12*L89,MG89/365*M89))</f>
        <v/>
      </c>
      <c r="MI89" s="489" t="str">
        <f>IF(A89=FALSE,"",IF(Cotations!CB89="","",Cotations!CB89))</f>
        <v/>
      </c>
      <c r="MJ89" s="300" t="str">
        <f t="shared" si="733"/>
        <v/>
      </c>
      <c r="MK89" s="300" t="str">
        <f t="shared" si="734"/>
        <v/>
      </c>
      <c r="ML89" s="919" t="str">
        <f t="shared" si="735"/>
        <v/>
      </c>
      <c r="MM89" s="517" t="str">
        <f>IF(A89=FALSE,"",Cotations!CC89)</f>
        <v/>
      </c>
      <c r="MN89" s="515" t="str">
        <f>IF(A89=FALSE,"",Cotations!CD89)</f>
        <v/>
      </c>
      <c r="MO89" s="493" t="str">
        <f>IF(A89=FALSE,"",Cotations!CE89)</f>
        <v/>
      </c>
      <c r="MP89" s="517" t="str">
        <f>IF(A89=FALSE,"",IF(MM89="N/A",0,IF(INDEX(LISTES!$F$105:$F$109,MATCH(MM89,LISTES!$C$105:$C$109,0))="FIX",IF(INDEX(LISTES!$E$105:$E$109,MATCH(MM89,LISTES!$C$105:$C$109,0))=12,MN89/12*L89,MN89/365*M89),MO89*ML89)))</f>
        <v/>
      </c>
      <c r="MQ89" s="294" t="str">
        <f t="shared" si="736"/>
        <v/>
      </c>
      <c r="MR89" s="494" t="str">
        <f>IF(A89=FALSE,"",MQ89*Cotations!CF89)</f>
        <v/>
      </c>
      <c r="MS89" s="494" t="str">
        <f>IF(A89=FALSE,"",MQ89*Cotations!CG89)</f>
        <v/>
      </c>
      <c r="MT89" s="338" t="str">
        <f t="shared" si="737"/>
        <v/>
      </c>
      <c r="MU89" s="919" t="str">
        <f>IF(A89=FALSE,"",((MG89*TAXE)-(MG89*TAXE*MI89))+IF(MM89="N/A",0,IF(INDEX(LISTES!$F$105:$F$109,MATCH(MM89,LISTES!$C$105:$C$109,0))="FIX",MN89,MO89*ML89)))</f>
        <v/>
      </c>
      <c r="NA89" s="497" t="str">
        <f>IF(A89=FALSE,"",Cotations!D89)</f>
        <v/>
      </c>
      <c r="NB89" s="498" t="str">
        <f>IF(A89=FALSE,"",IF(LISTES!$A$17=1,Cotations!CH89,Cotations!$CI$4))</f>
        <v/>
      </c>
      <c r="NC89" s="499" t="str">
        <f t="shared" si="738"/>
        <v/>
      </c>
      <c r="ND89" s="499" t="str">
        <f t="shared" si="739"/>
        <v/>
      </c>
      <c r="NE89" s="500" t="str">
        <f t="shared" si="740"/>
        <v/>
      </c>
      <c r="NF89" s="501" t="str">
        <f>IF(A89=FALSE,"",IF(NA89="POEA",Cotations!CK89,IF(NA89="FIXE",Cotations!$CK$4,Cotations!$CM$4*Y89)))</f>
        <v/>
      </c>
      <c r="NG89" s="502" t="str">
        <f t="shared" si="741"/>
        <v/>
      </c>
      <c r="NH89" s="520" t="str">
        <f>IF(A89=FALSE,"",IF(Cotations!$CJ$4="monthly",NG89/12*L89,NG89/365*M89))</f>
        <v/>
      </c>
      <c r="NI89" s="503" t="str">
        <f>IF(A89=FALSE,"",Cotations!$CN$4)</f>
        <v/>
      </c>
      <c r="NJ89" s="502" t="str">
        <f t="shared" si="742"/>
        <v/>
      </c>
      <c r="NK89" s="502" t="str">
        <f t="shared" si="743"/>
        <v/>
      </c>
      <c r="NL89" s="504" t="str">
        <f t="shared" si="744"/>
        <v/>
      </c>
      <c r="NM89" s="505" t="str">
        <f>IF(A89=FALSE,"",Cotations!$CO$4)</f>
        <v/>
      </c>
      <c r="NN89" s="520" t="str">
        <f>IF(A89=FALSE,"",Cotations!$CP$4)</f>
        <v/>
      </c>
      <c r="NO89" s="503" t="str">
        <f>IF(A89=FALSE,"",Cotations!$CQ$4)</f>
        <v/>
      </c>
      <c r="NP89" s="505" t="str">
        <f>IF(A89=FALSE,"",IF(NM89="N/A",0,IF(INDEX(LISTES!$F$105:$F$109,MATCH(NM89,LISTES!$C$105:$C$109,0))="FIX",IF(INDEX(LISTES!$E$105:$E$109,MATCH(NM89,LISTES!$C$105:$C$109,0))=12,NN89/12*L89,NN89/365*M89),NO89*NL89)))</f>
        <v/>
      </c>
      <c r="NQ89" s="504" t="str">
        <f t="shared" si="745"/>
        <v/>
      </c>
      <c r="NR89" s="505" t="str">
        <f>IF(A89=FALSE,"",NQ89*Cotations!$CR$4)</f>
        <v/>
      </c>
      <c r="NS89" s="505" t="str">
        <f>IF(A89=FALSE,"",NQ89*Cotations!$CS$4)</f>
        <v/>
      </c>
      <c r="NT89" s="506" t="str">
        <f t="shared" si="746"/>
        <v/>
      </c>
      <c r="NU89" s="919" t="str">
        <f>IF(A89=FALSE,"",((NG89*TAXE)-(NG89*TAXE*NI89))+IF(NM89="N/A",0,IF(INDEX(LISTES!$F$105:$F$109,MATCH(NM89,LISTES!$C$105:$C$109,0))="FIX",NN89,NO89*NL89)))</f>
        <v/>
      </c>
      <c r="OA89" s="492" t="str">
        <f>IF(A89=FALSE,"",Cotations!D89)</f>
        <v/>
      </c>
      <c r="OB89" s="491" t="str">
        <f>IF(A89=FALSE,"",IF(LISTES!$A$17=1,Cotations!CH89,Cotations!CI89))</f>
        <v/>
      </c>
      <c r="OC89" s="285" t="str">
        <f t="shared" si="747"/>
        <v/>
      </c>
      <c r="OD89" s="300"/>
      <c r="OE89" s="461" t="str">
        <f t="shared" si="748"/>
        <v/>
      </c>
      <c r="OF89" s="490" t="str">
        <f>IF(A89=FALSE,"",IF(OA89="POEA",Cotations!CK89,IF(OA89="FIXE",Cotations!CL89,IF(Cotations!CM89*Y89&lt;50000,Z89,Cotations!CM89*Y89))))</f>
        <v/>
      </c>
      <c r="OG89" s="300" t="str">
        <f t="shared" si="749"/>
        <v/>
      </c>
      <c r="OH89" s="522" t="str">
        <f>IF(A89=FALSE,"",IF(Cotations!CJ89="monthly",OG89/12*L89,OG89/365*M89))</f>
        <v/>
      </c>
      <c r="OI89" s="489" t="str">
        <f>IF(A89=FALSE,"",IF(Cotations!CN89="","",Cotations!CN89))</f>
        <v/>
      </c>
      <c r="OJ89" s="300" t="str">
        <f t="shared" si="750"/>
        <v/>
      </c>
      <c r="OK89" s="300" t="str">
        <f t="shared" si="751"/>
        <v/>
      </c>
      <c r="OL89" s="919" t="str">
        <f t="shared" si="752"/>
        <v/>
      </c>
      <c r="OM89" s="517" t="str">
        <f>IF(A89=FALSE,"",Cotations!CO89)</f>
        <v/>
      </c>
      <c r="ON89" s="515" t="str">
        <f>IF(A89=FALSE,"",Cotations!CP89)</f>
        <v/>
      </c>
      <c r="OO89" s="493" t="str">
        <f>IF(A89=FALSE,"",Cotations!CQ89)</f>
        <v/>
      </c>
      <c r="OP89" s="517" t="str">
        <f>IF(A89=FALSE,"",IF(OM89="N/A",0,IF(INDEX(LISTES!$F$105:$F$109,MATCH(OM89,LISTES!$C$105:$C$109,0))="FIX",IF(INDEX(LISTES!$E$105:$E$109,MATCH(OM89,LISTES!$C$105:$C$109,0))=12,ON89/12*L89,ON89/365*M89),OO89*OL89)))</f>
        <v/>
      </c>
      <c r="OQ89" s="294" t="str">
        <f t="shared" si="753"/>
        <v/>
      </c>
      <c r="OR89" s="494" t="str">
        <f>IF(A89=FALSE,"",OQ89*Cotations!CR89)</f>
        <v/>
      </c>
      <c r="OS89" s="494" t="str">
        <f>IF(A89=FALSE,"",OQ89*Cotations!CS89)</f>
        <v/>
      </c>
      <c r="OT89" s="338" t="str">
        <f t="shared" si="754"/>
        <v/>
      </c>
      <c r="OU89" s="919" t="str">
        <f>IF(A89=FALSE,"",((OG89*TAXE)-(OG89*TAXE*OI89))+IF(OM89="N/A",0,IF(INDEX(LISTES!$F$105:$F$109,MATCH(OM89,LISTES!$C$105:$C$109,0))="FIX",ON89,OO89*OL89)))</f>
        <v/>
      </c>
      <c r="PA89" s="497" t="str">
        <f t="shared" si="755"/>
        <v/>
      </c>
      <c r="PB89" s="498" t="str">
        <f>IF(A89=FALSE,"",IF(LISTES!$A$17=1,Cotations!CT89,Cotations!$CU$4))</f>
        <v/>
      </c>
      <c r="PC89" s="499" t="str">
        <f t="shared" si="756"/>
        <v/>
      </c>
      <c r="PD89" s="499" t="str">
        <f t="shared" si="757"/>
        <v/>
      </c>
      <c r="PE89" s="500" t="str">
        <f t="shared" si="758"/>
        <v/>
      </c>
      <c r="PF89" s="501" t="str">
        <f>IF(A89=FALSE,"",Cotations!$CY$4*Y89)</f>
        <v/>
      </c>
      <c r="PG89" s="502" t="str">
        <f t="shared" si="759"/>
        <v/>
      </c>
      <c r="PH89" s="520" t="str">
        <f>IF(A89=FALSE,"",IF(Cotations!$CV$4="monthly",PG89/12*L89,PG89/365*M89))</f>
        <v/>
      </c>
      <c r="PI89" s="503" t="str">
        <f>IF(A89=FALSE,"",Cotations!$CZ$4)</f>
        <v/>
      </c>
      <c r="PJ89" s="502" t="str">
        <f t="shared" si="760"/>
        <v/>
      </c>
      <c r="PK89" s="502" t="str">
        <f t="shared" si="761"/>
        <v/>
      </c>
      <c r="PL89" s="504" t="str">
        <f t="shared" si="762"/>
        <v/>
      </c>
      <c r="PM89" s="505" t="str">
        <f>IF(A89=FALSE,"",Cotations!$DA$4)</f>
        <v/>
      </c>
      <c r="PN89" s="520" t="str">
        <f>IF(A89=FALSE,"",Cotations!$DB$4)</f>
        <v/>
      </c>
      <c r="PO89" s="503" t="str">
        <f>IF(A89=FALSE,"",Cotations!$DC$4)</f>
        <v/>
      </c>
      <c r="PP89" s="505" t="str">
        <f>IF(A89=FALSE,"",IF(PM89="N/A",0,IF(INDEX(LISTES!$F$105:$F$109,MATCH(PM89,LISTES!$C$105:$C$109,0))="FIX",IF(INDEX(LISTES!$E$105:$E$109,MATCH(PM89,LISTES!$C$105:$C$109,0))=12,PN89/12*L89,PN89/365*M89),PO89*PL89)))</f>
        <v/>
      </c>
      <c r="PQ89" s="504" t="str">
        <f t="shared" si="763"/>
        <v/>
      </c>
      <c r="PR89" s="505" t="str">
        <f>IF(A89=FALSE,"",PQ89*Cotations!$DD$4)</f>
        <v/>
      </c>
      <c r="PS89" s="505" t="str">
        <f>IF(A89=FALSE,"",PQ89*Cotations!$DE$4)</f>
        <v/>
      </c>
      <c r="PT89" s="506" t="str">
        <f t="shared" si="764"/>
        <v/>
      </c>
      <c r="PU89" s="919" t="str">
        <f>IF(A89=FALSE,"",((PG89*TAXE)-(PG89*TAXE*PI89))+IF(PM89="N/A",0,IF(INDEX(LISTES!$F$105:$F$109,MATCH(PM89,LISTES!$C$105:$C$109,0))="FIX",PN89,PO89*PL89)))</f>
        <v/>
      </c>
      <c r="QA89" s="492" t="str">
        <f t="shared" si="765"/>
        <v/>
      </c>
      <c r="QB89" s="491" t="str">
        <f>IF(A89=FALSE,"",IF(LISTES!$A$17=1,Cotations!CT89,Cotations!CU89))</f>
        <v/>
      </c>
      <c r="QC89" s="285" t="str">
        <f t="shared" si="766"/>
        <v/>
      </c>
      <c r="QD89" s="300"/>
      <c r="QE89" s="461" t="str">
        <f t="shared" si="767"/>
        <v/>
      </c>
      <c r="QF89" s="490" t="str">
        <f>IF(A89=FALSE,"",Cotations!CY89*AA89)</f>
        <v/>
      </c>
      <c r="QG89" s="300" t="str">
        <f t="shared" si="768"/>
        <v/>
      </c>
      <c r="QH89" s="522" t="str">
        <f>IF(A89=FALSE,"",IF(Cotations!CV89="monthly",QG89/12*L89,QG89/365*M89))</f>
        <v/>
      </c>
      <c r="QI89" s="489" t="str">
        <f>IF(A89=FALSE,"",IF(Cotations!CZ89="","",Cotations!CZ89))</f>
        <v/>
      </c>
      <c r="QJ89" s="300" t="str">
        <f t="shared" si="769"/>
        <v/>
      </c>
      <c r="QK89" s="300" t="str">
        <f t="shared" si="770"/>
        <v/>
      </c>
      <c r="QL89" s="919" t="str">
        <f t="shared" si="771"/>
        <v/>
      </c>
      <c r="QM89" s="517" t="str">
        <f>IF(A89=FALSE,"",Cotations!DA89)</f>
        <v/>
      </c>
      <c r="QN89" s="515" t="str">
        <f>IF(A89=FALSE,"",Cotations!DB89)</f>
        <v/>
      </c>
      <c r="QO89" s="493" t="str">
        <f>IF(A89=FALSE,"",Cotations!DC89)</f>
        <v/>
      </c>
      <c r="QP89" s="517" t="str">
        <f>IF(A89=FALSE,"",IF(QM89="N/A",0,IF(INDEX(LISTES!$F$105:$F$109,MATCH(QM89,LISTES!$C$105:$C$109,0))="FIX",IF(INDEX(LISTES!$E$105:$E$109,MATCH(QM89,LISTES!$C$105:$C$109,0))=12,QN89/12*L89,QN89/365*M89),QO89*QL89)))</f>
        <v/>
      </c>
      <c r="QQ89" s="294" t="str">
        <f t="shared" si="772"/>
        <v/>
      </c>
      <c r="QR89" s="494" t="str">
        <f>IF(A89=FALSE,"",QQ89*Cotations!DD89)</f>
        <v/>
      </c>
      <c r="QS89" s="494" t="str">
        <f>IF(A89=FALSE,"",QQ89*Cotations!DE89)</f>
        <v/>
      </c>
      <c r="QT89" s="338" t="str">
        <f t="shared" si="773"/>
        <v/>
      </c>
      <c r="QU89" s="919" t="str">
        <f>IF(A89=FALSE,"",((QG89*TAXE)-(QG89*TAXE*QI89))+IF(QM89="N/A",0,IF(INDEX(LISTES!$F$105:$F$109,MATCH(QM89,LISTES!$C$105:$C$109,0))="FIX",QN89,QO89*QL89)))</f>
        <v/>
      </c>
      <c r="RA89" s="497" t="str">
        <f t="shared" si="774"/>
        <v/>
      </c>
      <c r="RB89" s="498" t="str">
        <f>IF(A89=FALSE,"",IF(LISTES!$A$17=1,Cotations!DF89,Cotations!$DG$4))</f>
        <v/>
      </c>
      <c r="RC89" s="499" t="str">
        <f t="shared" si="775"/>
        <v/>
      </c>
      <c r="RD89" s="499" t="str">
        <f t="shared" si="776"/>
        <v/>
      </c>
      <c r="RE89" s="500" t="str">
        <f t="shared" si="777"/>
        <v/>
      </c>
      <c r="RF89" s="501" t="str">
        <f>IF(A89=FALSE,"",Cotations!$DK$4*Y89)</f>
        <v/>
      </c>
      <c r="RG89" s="502" t="str">
        <f t="shared" si="778"/>
        <v/>
      </c>
      <c r="RH89" s="520" t="str">
        <f>IF(A89=FALSE,"",IF(Cotations!$DH$4="monthly",RG89/12*L89,RG89/365*M89))</f>
        <v/>
      </c>
      <c r="RI89" s="503" t="str">
        <f>IF(A89=FALSE,"",Cotations!$DL$4)</f>
        <v/>
      </c>
      <c r="RJ89" s="502" t="str">
        <f t="shared" si="779"/>
        <v/>
      </c>
      <c r="RK89" s="502" t="str">
        <f t="shared" si="780"/>
        <v/>
      </c>
      <c r="RL89" s="504" t="str">
        <f t="shared" si="781"/>
        <v/>
      </c>
      <c r="RM89" s="505" t="str">
        <f>IF(A89=FALSE,"",Cotations!$DM$4)</f>
        <v/>
      </c>
      <c r="RN89" s="520" t="str">
        <f>IF(A89=FALSE,"",Cotations!$DN$4)</f>
        <v/>
      </c>
      <c r="RO89" s="503" t="str">
        <f>IF(A89=FALSE,"",Cotations!$DO$4)</f>
        <v/>
      </c>
      <c r="RP89" s="505" t="str">
        <f>IF(A89=FALSE,"",IF(RM89="N/A",0,IF(INDEX(LISTES!$F$105:$F$109,MATCH(RM89,LISTES!$C$105:$C$109,0))="FIX",IF(INDEX(LISTES!$E$105:$E$109,MATCH(RM89,LISTES!$C$105:$C$109,0))=12,RN89/12*L89,RN89/365*M89),RO89*RL89)))</f>
        <v/>
      </c>
      <c r="RQ89" s="504" t="str">
        <f t="shared" si="782"/>
        <v/>
      </c>
      <c r="RR89" s="505" t="str">
        <f>IF(A89=FALSE,"",RQ89*Cotations!$DP$4)</f>
        <v/>
      </c>
      <c r="RS89" s="505" t="str">
        <f>IF(A89=FALSE,"",RQ89*Cotations!$DQ$4)</f>
        <v/>
      </c>
      <c r="RT89" s="506" t="str">
        <f t="shared" si="783"/>
        <v/>
      </c>
      <c r="RU89" s="919" t="str">
        <f>IF(A89=FALSE,"",((RG89*TAXE)-(RG89*TAXE*RI89))+IF(RM89="N/A",0,IF(INDEX(LISTES!$F$105:$F$109,MATCH(RM89,LISTES!$C$105:$C$109,0))="FIX",RN89,RO89*RL89)))</f>
        <v/>
      </c>
      <c r="SA89" s="492" t="str">
        <f t="shared" si="784"/>
        <v/>
      </c>
      <c r="SB89" s="491" t="str">
        <f>IF(A89=FALSE,"",IF(LISTES!$A$17=1,Cotations!DF89,Cotations!DG89))</f>
        <v/>
      </c>
      <c r="SC89" s="285" t="str">
        <f t="shared" si="785"/>
        <v/>
      </c>
      <c r="SD89" s="300"/>
      <c r="SE89" s="461" t="str">
        <f t="shared" si="786"/>
        <v/>
      </c>
      <c r="SF89" s="490" t="str">
        <f>IF(A89=FALSE,"",Cotations!DK89*AA89)</f>
        <v/>
      </c>
      <c r="SG89" s="300" t="str">
        <f t="shared" si="787"/>
        <v/>
      </c>
      <c r="SH89" s="522" t="str">
        <f>IF(A89=FALSE,"",IF(Cotations!DH89="monthly",SG89/12*L89,SG89/365*M89))</f>
        <v/>
      </c>
      <c r="SI89" s="489" t="str">
        <f>IF(A89=FALSE,"",IF(Cotations!DL89="","",Cotations!DL89))</f>
        <v/>
      </c>
      <c r="SJ89" s="300" t="str">
        <f t="shared" si="788"/>
        <v/>
      </c>
      <c r="SK89" s="300" t="str">
        <f t="shared" si="789"/>
        <v/>
      </c>
      <c r="SL89" s="919" t="str">
        <f t="shared" si="790"/>
        <v/>
      </c>
      <c r="SM89" s="285" t="str">
        <f>IF(A89=FALSE,"",Cotations!DM89)</f>
        <v/>
      </c>
      <c r="SN89" s="515" t="str">
        <f>IF(A89=FALSE,"",Cotations!DN89)</f>
        <v/>
      </c>
      <c r="SO89" s="493" t="str">
        <f>IF(A89=FALSE,"",Cotations!DO89)</f>
        <v/>
      </c>
      <c r="SP89" s="517" t="str">
        <f>IF(A89=FALSE,"",IF(SM89="N/A",0,IF(INDEX(LISTES!$F$105:$F$109,MATCH(SM89,LISTES!$C$105:$C$109,0))="FIX",IF(INDEX(LISTES!$E$105:$E$109,MATCH(SM89,LISTES!$C$105:$C$109,0))=12,SN89/12*L89,SN89/365*M89),SO89*SL89)))</f>
        <v/>
      </c>
      <c r="SQ89" s="294" t="str">
        <f t="shared" si="791"/>
        <v/>
      </c>
      <c r="SR89" s="494" t="str">
        <f>IF(A89=FALSE,"",SQ89*Cotations!DP89)</f>
        <v/>
      </c>
      <c r="SS89" s="494" t="str">
        <f>IF(A89=FALSE,"",SQ89*Cotations!DQ89)</f>
        <v/>
      </c>
      <c r="ST89" s="338" t="str">
        <f t="shared" si="792"/>
        <v/>
      </c>
      <c r="SU89" s="919" t="str">
        <f>IF(A89=FALSE,"",((SG89*TAXE)-(SG89*TAXE*SI89))+IF(SM89="N/A",0,IF(INDEX(LISTES!$F$105:$F$109,MATCH(SM89,LISTES!$C$105:$C$109,0))="FIX",SN89,SO89*SL89)))</f>
        <v/>
      </c>
      <c r="TA89" s="492" t="str">
        <f>IF(A89=FALSE,"",Cotations!D89)</f>
        <v/>
      </c>
      <c r="TB89" s="491" t="str">
        <f>IF(A89=FALSE,"",IF(LISTES!$A$17=1,Cotations!DR89,Cotations!DS89))</f>
        <v/>
      </c>
      <c r="TC89" s="285" t="str">
        <f t="shared" si="793"/>
        <v/>
      </c>
      <c r="TD89" s="300" t="str">
        <f>IF(A89=FALSE,"",Detail!CQ89)</f>
        <v/>
      </c>
      <c r="TE89" s="461" t="str">
        <f t="shared" si="794"/>
        <v/>
      </c>
      <c r="TF89" s="490" t="str">
        <f>IF(A89=FALSE,"",IF(TA89="FIXE",Cotations!DU89,Cotations!DV89*Y89))</f>
        <v/>
      </c>
      <c r="TG89" s="300" t="str">
        <f t="shared" si="795"/>
        <v/>
      </c>
      <c r="TH89" s="522" t="str">
        <f>IF(A89=FALSE,"",IF(Cotations!DT89="monthly",TG89/12*L89,TG89/365*M89))</f>
        <v/>
      </c>
      <c r="TI89" s="489" t="str">
        <f>IF(A89=FALSE,"",IF(Cotations!DW89="","",Cotations!DW89))</f>
        <v/>
      </c>
      <c r="TJ89" s="300" t="str">
        <f t="shared" si="796"/>
        <v/>
      </c>
      <c r="TK89" s="300" t="str">
        <f t="shared" si="797"/>
        <v/>
      </c>
      <c r="TL89" s="919" t="str">
        <f t="shared" si="798"/>
        <v/>
      </c>
      <c r="TM89" s="517" t="str">
        <f>IF(A89=FALSE,"",Cotations!DX89)</f>
        <v/>
      </c>
      <c r="TN89" s="517" t="str">
        <f>IF(A89=FALSE,"",Cotations!DY89)</f>
        <v/>
      </c>
      <c r="TO89" s="493" t="str">
        <f>IF(A89=FALSE,"",Cotations!DZ89)</f>
        <v/>
      </c>
      <c r="TP89" s="517" t="str">
        <f>IF(A89=FALSE,"",IF(TM89="N/A",0,IF(INDEX(LISTES!$F$105:$F$109,MATCH(TM89,LISTES!$C$105:$C$109,0))="FIX",IF(INDEX(LISTES!$E$105:$E$109,MATCH(TM89,LISTES!$C$105:$C$109,0))=12,TN89/12*L89,TN89/365*M89),TO89*TL89)))</f>
        <v/>
      </c>
      <c r="TQ89" s="294" t="str">
        <f t="shared" si="799"/>
        <v/>
      </c>
      <c r="TR89" s="494" t="str">
        <f>IF(A89=FALSE,"",TQ89*Cotations!EA89)</f>
        <v/>
      </c>
      <c r="TS89" s="494" t="str">
        <f>IF(A89=FALSE,"",TQ89*Cotations!EB89)</f>
        <v/>
      </c>
      <c r="TT89" s="338" t="str">
        <f t="shared" si="800"/>
        <v/>
      </c>
      <c r="TU89" s="919" t="str">
        <f>IF(A89=FALSE,"",((TG89*(1+TAXE)-(TG89*(1+TAXE)*TI89))+IF(TM89="N/A",0,IF(INDEX(LISTES!$F$105:$F$109,MATCH(TM89,LISTES!$C$105:$C$109,0))="FIX",TN89,TO89*TL89))))</f>
        <v/>
      </c>
      <c r="UA89" s="492" t="str">
        <f>IF(A89=FALSE,"",Cotations!D89)</f>
        <v/>
      </c>
      <c r="UB89" s="491" t="str">
        <f>IF(A89=FALSE,"",IF(LISTES!$A$17=1,Cotations!EC89,Cotations!ED89))</f>
        <v/>
      </c>
      <c r="UC89" s="285" t="str">
        <f t="shared" si="801"/>
        <v/>
      </c>
      <c r="UD89" s="300" t="str">
        <f>IF(A89=FALSE,"",Detail!CY89)</f>
        <v/>
      </c>
      <c r="UE89" s="461" t="str">
        <f t="shared" si="802"/>
        <v/>
      </c>
      <c r="UF89" s="490" t="str">
        <f>IF(A89=FALSE,"",IF(UA89="FIXE",Cotations!EF89,Cotations!EG89*Y89))</f>
        <v/>
      </c>
      <c r="UG89" s="300" t="str">
        <f t="shared" si="803"/>
        <v/>
      </c>
      <c r="UH89" s="522" t="str">
        <f>IF(A89=FALSE,"",IF(Cotations!EE89="monthly",UG89/12*L89,UG89/365*M89))</f>
        <v/>
      </c>
      <c r="UI89" s="489" t="str">
        <f>IF(A89=FALSE,"",IF(Cotations!EH89="","",Cotations!EH89))</f>
        <v/>
      </c>
      <c r="UJ89" s="300" t="str">
        <f t="shared" si="804"/>
        <v/>
      </c>
      <c r="UK89" s="300" t="str">
        <f t="shared" si="805"/>
        <v/>
      </c>
      <c r="UL89" s="919" t="str">
        <f t="shared" si="806"/>
        <v/>
      </c>
      <c r="UM89" s="517" t="str">
        <f>IF(A89=FALSE,"",Cotations!EI89)</f>
        <v/>
      </c>
      <c r="UN89" s="517" t="str">
        <f>IF(A89=FALSE,"",Cotations!EJ89)</f>
        <v/>
      </c>
      <c r="UO89" s="493" t="str">
        <f>IF(A89=FALSE,"",Cotations!EK89)</f>
        <v/>
      </c>
      <c r="UP89" s="517" t="str">
        <f>IF(A89=FALSE,"",IF(UM89="N/A",0,IF(INDEX(LISTES!$F$105:$F$109,MATCH(UM89,LISTES!$C$105:$C$109,0))="FIX",IF(INDEX(LISTES!$E$105:$E$109,MATCH(UM89,LISTES!$C$105:$C$109,0))=12,UN89/12*L89,UN89/365*M89),UO89*UL89)))</f>
        <v/>
      </c>
      <c r="UQ89" s="294" t="str">
        <f t="shared" si="807"/>
        <v/>
      </c>
      <c r="UR89" s="494" t="str">
        <f>IF(A89=FALSE,"",UQ89*Cotations!EL89)</f>
        <v/>
      </c>
      <c r="US89" s="494" t="str">
        <f>IF(A89=FALSE,"",UQ89*Cotations!EM89)</f>
        <v/>
      </c>
      <c r="UT89" s="338" t="str">
        <f t="shared" si="808"/>
        <v/>
      </c>
      <c r="UU89" s="919" t="str">
        <f>IF(A89=FALSE,"",((UG89*(1+TAXE)-(UG89*(1+TAXE)*UI89))+IF(UM89="N/A",0,IF(INDEX(LISTES!$F$105:$F$109,MATCH(UM89,LISTES!$C$105:$C$109,0))="FIX",UN89,UO89*UL89))))</f>
        <v/>
      </c>
      <c r="VA89" s="492" t="str">
        <f>IF(A89=FALSE,"",Cotations!D89)</f>
        <v/>
      </c>
      <c r="VB89" s="519" t="str">
        <f>IF(A89=FALSE,"",IF(LISTES!$A$17=1,Cotations!EN89,Cotations!EO89))</f>
        <v/>
      </c>
      <c r="VC89" s="291" t="str">
        <f t="shared" si="809"/>
        <v/>
      </c>
      <c r="VD89" s="291" t="str">
        <f t="shared" si="810"/>
        <v/>
      </c>
      <c r="VE89" s="291"/>
      <c r="VF89" s="463"/>
      <c r="VG89" s="463" t="str">
        <f t="shared" si="811"/>
        <v/>
      </c>
      <c r="VH89" s="522" t="str">
        <f>IF(A89=FALSE,"",IF(Cotations!$AQ$4="monthly",VG89/12*L89,VG89/365*M89))</f>
        <v/>
      </c>
      <c r="VI89" s="489" t="str">
        <f>IF(A89=FALSE,"",Cotations!$AR$4)</f>
        <v/>
      </c>
      <c r="VJ89" s="300" t="str">
        <f t="shared" si="812"/>
        <v/>
      </c>
      <c r="VK89" s="300" t="str">
        <f t="shared" si="813"/>
        <v/>
      </c>
      <c r="VL89" s="294" t="str">
        <f t="shared" si="814"/>
        <v/>
      </c>
      <c r="VM89" s="494" t="str">
        <f>IF(A89=FALSE,"",Cotations!$AS$4)</f>
        <v/>
      </c>
      <c r="VN89" s="494" t="str">
        <f>IF(A89=FALSE,"",Cotations!$AT$4)</f>
        <v/>
      </c>
      <c r="VO89" s="489" t="str">
        <f>IF(A89=FALSE,"",Cotations!$AU$4)</f>
        <v/>
      </c>
      <c r="VP89" s="494" t="str">
        <f>IF(A89=FALSE,"",IF(VM89="N/A",0,IF(INDEX(LISTES!$F$105:$F$109,MATCH(VM89,LISTES!$C$105:$C$109,0))="FIX",IF(INDEX(LISTES!$E$105:$E$109,MATCH(VM89,LISTES!$C$105:$C$109,0))=12,VN89/12*L89,VN89/365*M89),VO89*VL89)))</f>
        <v/>
      </c>
      <c r="VQ89" s="294" t="str">
        <f t="shared" si="815"/>
        <v/>
      </c>
      <c r="VR89" s="494" t="str">
        <f>IF(A89=FALSE,"",VQ89*Cotations!$AV$4)</f>
        <v/>
      </c>
      <c r="VS89" s="494" t="str">
        <f>IF(A89=FALSE,"",VQ89*Cotations!$AW$4)</f>
        <v/>
      </c>
      <c r="VT89" s="465" t="str">
        <f t="shared" si="816"/>
        <v/>
      </c>
      <c r="VU89" s="919" t="str">
        <f>IF(A89=FALSE,"",((VG89*TAXE)-(VG89*TAXE*VI89))+IF(VM89="N/A",0,IF(INDEX(LISTES!$F$105:$F$109,MATCH(VM89,LISTES!$C$105:$C$109,0))="FIX",VN89,VO89*VL89)))</f>
        <v/>
      </c>
      <c r="WA89" s="492" t="str">
        <f>IF(A89=FALSE,"",Cotations!D89)</f>
        <v/>
      </c>
      <c r="WB89" s="519" t="str">
        <f>IF(A89=FALSE,"",IF(LISTES!$A$17=1,Cotations!EW89,Cotations!EX89))</f>
        <v/>
      </c>
      <c r="WC89" s="291" t="str">
        <f t="shared" si="817"/>
        <v/>
      </c>
      <c r="WD89" s="291" t="str">
        <f t="shared" si="818"/>
        <v/>
      </c>
      <c r="WE89" s="291"/>
      <c r="WF89" s="463"/>
      <c r="WG89" s="463" t="str">
        <f t="shared" si="819"/>
        <v/>
      </c>
      <c r="WH89" s="522" t="str">
        <f>IF(A89=FALSE,"",IF(Cotations!$AQ$4="monthly",WG89/12*L89,WG89/365*M89))</f>
        <v/>
      </c>
      <c r="WI89" s="489" t="str">
        <f>IF(A89=FALSE,"",Cotations!$AR$4)</f>
        <v/>
      </c>
      <c r="WJ89" s="300" t="str">
        <f t="shared" si="820"/>
        <v/>
      </c>
      <c r="WK89" s="300" t="str">
        <f t="shared" si="821"/>
        <v/>
      </c>
      <c r="WL89" s="294" t="str">
        <f t="shared" si="822"/>
        <v/>
      </c>
      <c r="WM89" s="494" t="str">
        <f>IF(A89=FALSE,"",Cotations!$AS$4)</f>
        <v/>
      </c>
      <c r="WN89" s="494" t="str">
        <f>IF(A89=FALSE,"",Cotations!$AT$4)</f>
        <v/>
      </c>
      <c r="WO89" s="489" t="str">
        <f>IF(A89=FALSE,"",Cotations!$AU$4)</f>
        <v/>
      </c>
      <c r="WP89" s="494" t="str">
        <f>IF(A89=FALSE,"",IF(WM89="N/A",0,IF(INDEX(LISTES!$F$105:$F$109,MATCH(WM89,LISTES!$C$105:$C$109,0))="FIX",IF(INDEX(LISTES!$E$105:$E$109,MATCH(WM89,LISTES!$C$105:$C$109,0))=12,WN89/12*L89,WN89/365*M89),WO89*WL89)))</f>
        <v/>
      </c>
      <c r="WQ89" s="294" t="str">
        <f t="shared" si="823"/>
        <v/>
      </c>
      <c r="WR89" s="494" t="str">
        <f>IF(A89=FALSE,"",WQ89*Cotations!$AV$4)</f>
        <v/>
      </c>
      <c r="WS89" s="494" t="str">
        <f>IF(A89=FALSE,"",WQ89*Cotations!$AW$4)</f>
        <v/>
      </c>
      <c r="WT89" s="465" t="str">
        <f t="shared" si="824"/>
        <v/>
      </c>
      <c r="WU89" s="919" t="str">
        <f>IF(A89=FALSE,"",((WG89*TAXE)-(WG89*TAXE*WI89))+IF(WM89="N/A",0,IF(INDEX(LISTES!$F$105:$F$109,MATCH(WM89,LISTES!$C$105:$C$109,0))="FIX",WN89,WO89*WL89)))</f>
        <v/>
      </c>
    </row>
    <row r="90" spans="1:619">
      <c r="A90" s="942" t="b">
        <f t="shared" si="629"/>
        <v>0</v>
      </c>
      <c r="B90" s="942" t="b">
        <f>IF(NAMES!$B$9=TRUE,TRUE,FALSE)</f>
        <v>1</v>
      </c>
      <c r="C90" s="942" t="b">
        <f t="shared" si="825"/>
        <v>0</v>
      </c>
      <c r="D90" s="942" t="b">
        <f t="shared" si="826"/>
        <v>0</v>
      </c>
      <c r="E90" s="274" t="b">
        <f>IF(Cotations!C90="","",Cotations!C90)</f>
        <v>0</v>
      </c>
      <c r="F90" s="274" t="str">
        <f>IF(Cotations!D90="","",Cotations!D90)</f>
        <v>PROP</v>
      </c>
      <c r="G90" s="274" t="str">
        <f>IF(Cotations!E90="","",Cotations!E90)</f>
        <v>2016-2017!</v>
      </c>
      <c r="H90" s="274" t="str">
        <f>IF(Cotations!F90="","",Cotations!F90)</f>
        <v>SINGLE</v>
      </c>
      <c r="I90" s="274" t="str">
        <f>IF(Cotations!G90="","",Cotations!G90)</f>
        <v/>
      </c>
      <c r="J90" s="274" t="str">
        <f>IF(Cotations!H90="","",Cotations!H90)</f>
        <v/>
      </c>
      <c r="K90" s="274" t="str">
        <f>IF(Cotations!I90="","",Cotations!I90)</f>
        <v/>
      </c>
      <c r="L90" s="274" t="str">
        <f>IF(A90=FALSE,"",IF(Cotations!N90="","",Cotations!N90))</f>
        <v/>
      </c>
      <c r="M90" s="274" t="str">
        <f>IF(Cotations!P90="","",Cotations!P90)</f>
        <v/>
      </c>
      <c r="N90" s="724" t="str">
        <f>IF(NAMES!$B$10=TRUE,Cotations!J90,Cotations!L90)</f>
        <v/>
      </c>
      <c r="O90" s="724" t="str">
        <f>IF(NAMES!$B$10=TRUE,Cotations!K90,Cotations!M90)</f>
        <v/>
      </c>
      <c r="P90" s="943" t="str">
        <f t="shared" si="827"/>
        <v/>
      </c>
      <c r="Q90" s="724" t="str">
        <f>IF(A90=FALSE,"",IF(Crewlist!Y90="","",Crewlist!Y90))</f>
        <v/>
      </c>
      <c r="R90" s="78" t="str">
        <f>IF(Cotations!U90="","",Cotations!U90)</f>
        <v/>
      </c>
      <c r="S90" s="943" t="str">
        <f t="shared" si="828"/>
        <v/>
      </c>
      <c r="T90" s="919" t="str">
        <f>IF(A90=FALSE,"",VLOOKUP($U$15:$U$120,Currency!$A$2:$D$10,4,0)*Crewlist!N90)</f>
        <v/>
      </c>
      <c r="U90" s="1355" t="str">
        <f>IF(A90=FALSE,"",IF(IT90=0,Crewlist!M90&amp;"/"&amp;EX90,Crewlist!M90&amp;"/"&amp;IT90))</f>
        <v/>
      </c>
      <c r="V90" s="919" t="str">
        <f>IF(A90=FALSE,"",VLOOKUP($U$15:$U$120,Currency!$A$2:$D$10,4,0)*Detail!Q90)</f>
        <v/>
      </c>
      <c r="W90" s="1355" t="str">
        <f>IF(A90=FALSE,"",IF(IT90=0,Detail!R90&amp;"/"&amp;EX90,Detail!R90&amp;"/"&amp;IT90))</f>
        <v/>
      </c>
      <c r="X90" s="919" t="str">
        <f>IF(A90=FALSE,"",IF(LISTES!$C$17="Crewlist",Calcul!T90,Calcul!V90))</f>
        <v/>
      </c>
      <c r="Y90" s="758" t="str">
        <f t="shared" si="829"/>
        <v/>
      </c>
      <c r="Z90" s="758" t="str">
        <f>IF(A90=FALSE,"",IF(X90=0,0,IF((Cotations!BC90*12*X90)&lt;50000,50000,(12*X90))))</f>
        <v/>
      </c>
      <c r="AA90" s="758" t="str">
        <f t="shared" si="830"/>
        <v/>
      </c>
      <c r="AB90" s="758" t="str">
        <f>IF(A90=FALSE,"",IF(Crewlist!O90=0,"",Crewlist!O90))</f>
        <v/>
      </c>
      <c r="AC90" s="758" t="str">
        <f>IF(I90="","",VLOOKUP($AB$15:$AB$120,Currency!$A$15:$B$34,2,0))</f>
        <v/>
      </c>
      <c r="AD90" s="758" t="str">
        <f t="shared" si="831"/>
        <v/>
      </c>
      <c r="AE90" s="758" t="str">
        <f t="shared" si="832"/>
        <v/>
      </c>
      <c r="AF90" s="758" t="str">
        <f t="shared" si="833"/>
        <v/>
      </c>
      <c r="AG90" s="758" t="str">
        <f t="shared" si="834"/>
        <v/>
      </c>
      <c r="AH90" s="1355" t="str">
        <f t="shared" si="630"/>
        <v/>
      </c>
      <c r="AI90" s="919" t="str">
        <f t="shared" si="835"/>
        <v/>
      </c>
      <c r="AJ90" s="1382" t="str">
        <f t="shared" si="836"/>
        <v/>
      </c>
      <c r="AK90" s="1382" t="str">
        <f t="shared" si="837"/>
        <v/>
      </c>
      <c r="AL90" s="238" t="str">
        <f t="shared" si="631"/>
        <v/>
      </c>
      <c r="AM90" s="238" t="str">
        <f t="shared" si="632"/>
        <v/>
      </c>
      <c r="AN90" s="1374" t="str">
        <f t="shared" si="633"/>
        <v/>
      </c>
      <c r="AO90" s="238" t="str">
        <f t="shared" si="634"/>
        <v/>
      </c>
      <c r="AP90" s="342" t="str">
        <f>IF(A90=FALSE,"",INDEX(Rates!$Z$5:$Z$367,MATCH(EB90,colchoice,0)))</f>
        <v/>
      </c>
      <c r="AQ90" s="238" t="str">
        <f t="shared" si="635"/>
        <v/>
      </c>
      <c r="AR90" s="238" t="str">
        <f t="shared" si="636"/>
        <v/>
      </c>
      <c r="AS90" s="238" t="str">
        <f t="shared" si="637"/>
        <v/>
      </c>
      <c r="AT90" s="238" t="str">
        <f t="shared" si="638"/>
        <v/>
      </c>
      <c r="AU90" s="238" t="str">
        <f t="shared" si="639"/>
        <v/>
      </c>
      <c r="AV90" s="238" t="str">
        <f t="shared" si="838"/>
        <v/>
      </c>
      <c r="AW90" s="238" t="str">
        <f t="shared" si="640"/>
        <v/>
      </c>
      <c r="AX90" s="238" t="str">
        <f t="shared" si="641"/>
        <v/>
      </c>
      <c r="AY90" s="238" t="str">
        <f t="shared" si="642"/>
        <v/>
      </c>
      <c r="AZ90" s="238" t="str">
        <f t="shared" si="643"/>
        <v/>
      </c>
      <c r="BA90" s="238" t="str">
        <f t="shared" si="644"/>
        <v/>
      </c>
      <c r="BB90" s="552" t="str">
        <f t="shared" si="645"/>
        <v/>
      </c>
      <c r="BC90" s="347" t="str">
        <f t="shared" si="646"/>
        <v/>
      </c>
      <c r="BD90" s="239" t="str">
        <f t="shared" si="839"/>
        <v/>
      </c>
      <c r="BE90" s="239" t="str">
        <f>IF(A90=FALSE,"",IF(ALLTHESAME=TRUE,IF(DF90&lt;&gt;$BC$7,0,INDEX(DD90:DZ90,1,MATCH(Structure!$D$12,$DD$14:$DZ$14,0))),IF(EC90&lt;&gt;$BC$7,0,INDEX(EA90:EZ90,1,MATCH(Structure!$D$12,$EA$14:$EZ$14,0)))))</f>
        <v/>
      </c>
      <c r="BF90" s="239" t="str">
        <f>IF(A90=FALSE,"",IF(ALLTHESAME=TRUE,IF(FC90&lt;&gt;$BC$7,0,INDEX(FA90:FZ90,1,MATCH(Structure!$D$12,$FA$14:$FZ$14,0))),IF(GC90&lt;&gt;$BC$7,0,INDEX(GA90:GZ90,1,MATCH(Structure!$D$12,$GA$14:$GZ$14,0)))))</f>
        <v/>
      </c>
      <c r="BG90" s="239" t="str">
        <f>IF(A90=FALSE,"",IF(ALLTHESAME=TRUE,IF(VC90&lt;&gt;$BC$7,0,INDEX(VA90:VZ90,1,MATCH(Structure!$D$12,$VA$14:$VZ$14,0))),IF(VC90&lt;&gt;$BC$7,0,INDEX(VA90:VZ90,1,MATCH(Structure!$D$12,$VA$14:$VZ$14,0)))))</f>
        <v/>
      </c>
      <c r="BH90" s="239" t="str">
        <f>IF(A90=FALSE,"",IF(ALLTHESAME=TRUE,IF(WC90&lt;&gt;$BC$7,0,INDEX(WA90:WY90,1,MATCH(Structure!$D$12,$WA$14:$WZ$14,0))),IF(WC90&lt;&gt;$BC$7,0,INDEX(WA90:WZ90,1,MATCH(Structure!$D$12,$WA$14:$WZ$14,0)))))</f>
        <v/>
      </c>
      <c r="BI90" s="763" t="str">
        <f>IF(A90=FALSE,"",IF(ALLTHESAME=TRUE,IF(HC90&lt;&gt;$BC$7,0,INDEX(HA90:HZ90,1,MATCH(Structure!$D$12,$HA$14:$HZ$14,0)))+TK90,IF(IC90&lt;&gt;$BC$7,0,INDEX(IA90:IZ90,1,MATCH(Structure!$D$12,$IA$14:$IZ$14,0)))+TK90))</f>
        <v/>
      </c>
      <c r="BJ90" s="239" t="str">
        <f>IF(A90=FALSE,"",IF(ALLTHESAME=TRUE,IF(JC90&lt;&gt;$BC$7,0,INDEX(JA90:JZ90,1,MATCH(Structure!$D$12,$JA$14:$JZ$14,0))),IF(KC90&lt;&gt;$BC$7,0,INDEX(KA90:KZ90,1,MATCH(Structure!$D$12,$KA$14:$KZ$14,0)))))</f>
        <v/>
      </c>
      <c r="BK90" s="763" t="str">
        <f>IF(A90=FALSE,"",IF(ALLTHESAME=TRUE,IF(LC90&lt;&gt;$BC$7,0,INDEX(LA90:LZ90,1,MATCH(Structure!$D$12,$LA$14:$LZ$14,0)))+UK90,IF(MC90&lt;&gt;$BC$7,0,INDEX(MA90:MZ90,1,MATCH(Structure!$D$12,$MA$14:$MZ$14,0)))+UK90))</f>
        <v/>
      </c>
      <c r="BL90" s="239" t="str">
        <f>IF(A90=FALSE,"",IF(ALLTHESAME=TRUE,IF(NC90&lt;&gt;$BC$7,0,INDEX(NA90:NZ90,1,MATCH(Structure!$D$12,$NA$14:$NZ$14,0))),IF(OC90&lt;&gt;$BC$7,0,INDEX(OA90:OZ90,1,MATCH(Structure!$D$12,$OA$14:$OZ$14,0)))))</f>
        <v/>
      </c>
      <c r="BM90" s="239" t="str">
        <f>IF(A90=FALSE,"",IF(ALLTHESAME=TRUE,IF(PC90&lt;&gt;$BC$7,0,INDEX(PA90:PZ90,1,MATCH(Structure!$D$12,$PA$14:$PZ$14,0))),IF(QC90&lt;&gt;$BC$7,0,INDEX(QA90:QZ90,1,MATCH(Structure!$D$12,$QA$14:$QZ$14,0)))))</f>
        <v/>
      </c>
      <c r="BN90" s="341" t="str">
        <f>IF(A90=FALSE,"",IF(ALLTHESAME=TRUE,IF(RC90&lt;&gt;$BC$7,0,INDEX(RA90:RZ90,1,MATCH(Structure!$D$12,$RA$14:$RZ$14,0))),IF(SC90&lt;&gt;$BC$7,0,INDEX(SA90:TA90,1,MATCH(Structure!$D$12,$SA$14:$TA$14,0)))))</f>
        <v/>
      </c>
      <c r="BO90" s="507" t="str">
        <f t="shared" si="647"/>
        <v/>
      </c>
      <c r="BP90" s="239" t="str">
        <f t="shared" si="648"/>
        <v/>
      </c>
      <c r="BQ90" s="239" t="str">
        <f>IF(A90=FALSE,"",IF(ALLTHESAME=TRUE,IF(DF90&lt;&gt;$BO$7,0,INDEX(DD90:DZ90,1,MATCH(Structure!$D$12,$DD$14:$DZ$14,0))),IF(EC90&lt;&gt;$BO$7,0,INDEX(EA90:EZ90,1,MATCH(Structure!$D$12,$EA$14:$EZ$14,0)))))</f>
        <v/>
      </c>
      <c r="BR90" s="239" t="str">
        <f>IF(A90=FALSE,"",IF(ALLTHESAME=TRUE,IF(FC90&lt;&gt;$BO$7,0,INDEX(FA90:FZ90,1,MATCH(Structure!$D$12,$FA$14:$FZ$14,0))),IF(GC90&lt;&gt;$BO$7,0,INDEX(GA90:GZ90,1,MATCH(Structure!$D$12,$GA$14:$GZ$14,0)))))</f>
        <v/>
      </c>
      <c r="BS90" s="239" t="str">
        <f>IF(A90=FALSE,"",IF(ALLTHESAME=TRUE,IF(HC90&lt;&gt;$BO$7,0,INDEX(HA90:HZ90,1,MATCH(Structure!$D$12,$HA$14:$HZ$14,0))),IF(IC90&lt;&gt;$BO$7,0,INDEX(IA90:IZ90,1,MATCH(Structure!$D$12,$IA$14:$IZ$14,0)))))</f>
        <v/>
      </c>
      <c r="BT90" s="239" t="str">
        <f>IF(A90=FALSE,"",IF(ALLTHESAME=TRUE,IF(JC90&lt;&gt;$BO$7,0,INDEX(JA90:JZ90,1,MATCH(Structure!$D$12,$JA$14:$JZ$14,0))),IF(KC90&lt;&gt;$BO$7,0,INDEX(KA90:KZ90,1,MATCH(Structure!$D$12,$KA$14:$KZ$14,0)))))</f>
        <v/>
      </c>
      <c r="BU90" s="239" t="str">
        <f>IF(A90=FALSE,"",IF(ALLTHESAME=TRUE,IF(LC90&lt;&gt;$BO$7,0,INDEX(LA90:LZ90,1,MATCH(Structure!$D$12,$LA$14:$LZ$14,0))),IF(MC90&lt;&gt;$BO$7,0,INDEX(MA90:MZ90,1,MATCH(Structure!$D$12,$MA$14:$MZ$14,0)))))</f>
        <v/>
      </c>
      <c r="BV90" s="239" t="str">
        <f>IF(A90=FALSE,"",IF(ALLTHESAME=TRUE,IF(NC90&lt;&gt;$BO$7,0,INDEX(NA90:NZ90,1,MATCH(Structure!$D$12,$NA$14:$NZ$14,0))),IF(OC90&lt;&gt;$BO$7,0,INDEX(OA90:OZ90,1,MATCH(Structure!$D$12,$OA$14:$OZ$14,0)))))</f>
        <v/>
      </c>
      <c r="BW90" s="239" t="str">
        <f>IF(A90=FALSE,"",IF(ALLTHESAME=TRUE,IF(PC90&lt;&gt;$BO$7,0,INDEX(PA90:PZ90,1,MATCH(Structure!$D$12,$PA$14:$PZ$14,0))),IF(QC90&lt;&gt;$BO$7,0,INDEX(QA90:QZ90,1,MATCH(Structure!$D$12,$QA$14:$QZ$14,0)))))</f>
        <v/>
      </c>
      <c r="BX90" s="341" t="str">
        <f>IF(A90=FALSE,"",IF(ALLTHESAME=TRUE,IF(RC90&lt;&gt;$BO$7,0,INDEX(RA90:RZ90,1,MATCH(Structure!$D$12,$RA$14:$RZ$14,0))),IF(SC90&lt;&gt;$BO$7,0,INDEX(SA90:TA90,1,MATCH(Structure!$D$12,$SA$14:$TA$14,0)))))</f>
        <v/>
      </c>
      <c r="BY90" s="347" t="str">
        <f t="shared" si="649"/>
        <v/>
      </c>
      <c r="BZ90" s="507" t="str">
        <f t="shared" si="650"/>
        <v/>
      </c>
      <c r="CA90" s="239" t="str">
        <f t="shared" si="651"/>
        <v/>
      </c>
      <c r="CB90" s="239" t="str">
        <f>IF(A90=FALSE,"",IF(ALLTHESAME=TRUE,INDEX(DD90:DZ90,MATCH(DF90,DF90:DF195,0),MATCH(Structure!$D$17,$DD$14:$DZ$14,0)),INDEX(EA90:EZ90,MATCH(EC90,EC90:EC195,0),MATCH(Structure!$D$17,$EA$14:$EZ$14,0))))</f>
        <v/>
      </c>
      <c r="CC90" s="239" t="str">
        <f>IF(A90=FALSE,"",IF(ALLTHESAME=TRUE,INDEX(FA90:FZ90,MATCH(FC90,FC90:FC195,0),MATCH(Structure!$D$17,$FA$14:$FZ$14,0)),INDEX(GA90:GZ90,MATCH(GC90,GC90:GC195,0),MATCH(Structure!$D$17,$GA$14:$GZ$14,0))))</f>
        <v/>
      </c>
      <c r="CD90" s="239" t="str">
        <f>IF(A90=FALSE,"",IF(ALLTHESAME=TRUE,INDEX(HA90:HZ90,MATCH(HC90,HC90:HC195,0),MATCH(Structure!$D$17,$HA$14:$HZ$14,0)),INDEX(IA90:IZ90,MATCH(IC90,IC90:IC195,0),MATCH(Structure!$D$17,$IA$14:$IZ$14,0))))</f>
        <v/>
      </c>
      <c r="CE90" s="239" t="str">
        <f>IF(A90=FALSE,"",IF(ALLTHESAME=TRUE,INDEX(JA90:JZ90,MATCH(JC90,JC90:JC195,0),MATCH(Structure!$D$17,$JA$14:$JZ$14,0)),INDEX(KA90:KZ90,MATCH(KC90,KC90:KC195,0),MATCH(Structure!$D$17,$KA$14:$KZ$14,0))))</f>
        <v/>
      </c>
      <c r="CF90" s="239" t="str">
        <f>IF(A90=FALSE,"",IF(ALLTHESAME=TRUE,INDEX(LA90:LZ90,MATCH(LC90,LC90:LC195,0),MATCH(Structure!$D$17,$LA$14:$LZ$14,0)),INDEX(MA90:MZ90,MATCH(MC90,MC90:MC195,0),MATCH(Structure!$D$17,$MA$14:$MZ$14,0))))</f>
        <v/>
      </c>
      <c r="CG90" s="239" t="str">
        <f>IF(A90=FALSE,"",IF(ALLTHESAME=TRUE,INDEX(NA90:NZ90,MATCH(NC90,NC90:NC195,0),MATCH(Structure!$D$17,$NA$14:$NZ$14,0)),INDEX(OA90:OZ90,MATCH(OC90,OC90:OC195,0),MATCH(Structure!$D$17,$OA$14:$OZ$14,0))))</f>
        <v/>
      </c>
      <c r="CH90" s="239" t="str">
        <f>IF(A90=FALSE,"",IF(ALLTHESAME=TRUE,INDEX(PA90:PZ90,MATCH(PC90,PC90:PC195,0),MATCH(Structure!$D$17,$PA$14:$PZ$14,0)),INDEX(QA90:QZ90,MATCH(QC90,QC90:QC195,0),MATCH(Structure!$D$17,$QA$14:$QZ$14,0))))</f>
        <v/>
      </c>
      <c r="CI90" s="341" t="str">
        <f>IF(A90=FALSE,"",IF(ALLTHESAME=TRUE,INDEX(RA90:RZ90,MATCH(RC90,RC90:RC195,0),MATCH(Structure!$D$17,$RA$14:$RZ$14,0)),INDEX(SA90:TC90,MATCH(SC90,SC90:SC195,0),MATCH(Structure!$D$17,$SA$14:$TC$14,0))))</f>
        <v/>
      </c>
      <c r="CJ90" s="347"/>
      <c r="CK90" s="239" t="str">
        <f t="shared" si="652"/>
        <v/>
      </c>
      <c r="CL90" s="239" t="str">
        <f>IF(A90=FALSE,"",IF(ALLTHESAME=TRUE,INDEX(DD90:DZ90,MATCH(DF90,DF90:DF195,0),MATCH(Structure!$D$22,$DD$14:$DZ$14,0)),INDEX(EA90:EZ90,MATCH(EC90,EC90:EC195,0),MATCH(Structure!$D$22,$EA$14:$EZ$14,0))))</f>
        <v/>
      </c>
      <c r="CM90" s="239" t="str">
        <f>IF(A90=FALSE,"",IF(ALLTHESAME=TRUE,INDEX(FA90:FZ90,MATCH(FC90,FC90:FC195,0),MATCH(Structure!$D$22,$FA$14:$FZ$14,0)),INDEX(GA90:GZ90,MATCH(GC90,GC90:GC195,0),MATCH(Structure!$D$22,$GA$14:$GZ$14,0))))</f>
        <v/>
      </c>
      <c r="CN90" s="239" t="str">
        <f>IF(A90=FALSE,"",IF(ALLTHESAME=TRUE,INDEX(HA90:HZ90,MATCH(HC90,HC90:HC195,0),MATCH(Structure!$D$22,$HA$14:$HZ$14,0)),INDEX(IA90:IZ90,MATCH(IC90,IC90:IC195,0),MATCH(Structure!$D$22,$IA$14:$IZ$14,0))))</f>
        <v/>
      </c>
      <c r="CO90" s="239" t="str">
        <f>IF(A90=FALSE,"",IF(ALLTHESAME=TRUE,INDEX(JA90:JZ90,MATCH(JC90,JC90:JC195,0),MATCH(Structure!$D$22,$JA$14:$JZ$14,0)),INDEX(KA90:KZ90,MATCH(KC90,KC90:KC195,0),MATCH(Structure!$D$22,$KA$14:$KZ$14,0))))</f>
        <v/>
      </c>
      <c r="CP90" s="239" t="str">
        <f>IF(A90=FALSE,"",IF(ALLTHESAME=TRUE,INDEX(LA90:LZ90,MATCH(LC90,LC90:LC195,0),MATCH(Structure!$D$22,$LA$14:$LZ$14,0)),INDEX(MA90:MZ90,MATCH(MC90,MC90:MC195,0),MATCH(Structure!$D$22,$MA$14:$MZ$14,0))))</f>
        <v/>
      </c>
      <c r="CQ90" s="239" t="str">
        <f>IF(A90=FALSE,"",IF(ALLTHESAME=TRUE,INDEX(NA90:NZ90,MATCH(NC90,NC90:NC195,0),MATCH(Structure!$D$22,$NA$14:$NZ$14,0)),INDEX(OA90:OZ90,MATCH(OC90,OC90:OC195,0),MATCH(Structure!$D$22,$OA$14:$OZ$14,0))))</f>
        <v/>
      </c>
      <c r="CR90" s="239" t="str">
        <f>IF(A90=FALSE,"",IF(ALLTHESAME=TRUE,INDEX(PA90:PZ90,MATCH(PC90,PC90:PC195,0),MATCH(Structure!$D$22,$PA$14:$PZ$14,0)),INDEX(QA90:QZ90,MATCH(QC90,QC90:QC195,0),MATCH(Structure!$D$22,$QA$14:$QZ$14,0))))</f>
        <v/>
      </c>
      <c r="CS90" s="341" t="str">
        <f>IF(A90=FALSE,"",IF(ALLTHESAME=TRUE,INDEX(RA90:RZ90,MATCH(RC90,RC90:RC195,0),MATCH(Structure!$D$22,$RA$14:$RZ$14,0)),INDEX(SA90:TC90,MATCH(SC90,SC90:SC195,0),MATCH(Structure!$D$22,$SA$14:$TC$14,0))))</f>
        <v/>
      </c>
      <c r="CT90" s="347"/>
      <c r="CU90" s="239" t="str">
        <f t="shared" si="653"/>
        <v/>
      </c>
      <c r="CV90" s="239" t="str">
        <f>IF(A90=FALSE,"",IF(ALLTHESAME=TRUE,INDEX(DD90:DZ90,MATCH(DF90,DF90:DF195,0),MATCH(Structure!$D$8,$DD$14:$DZ$14,0)),INDEX(EA90:EZ90,MATCH(EC90,EC90:EC195,0),MATCH(Structure!$D$8,$EA$14:$EZ$14,0))))</f>
        <v/>
      </c>
      <c r="CW90" s="239" t="str">
        <f>IF(A90=FALSE,"",IF(ALLTHESAME=TRUE,INDEX(FA90:FZ90,MATCH(FC90,FC90:FC195,0),MATCH(Structure!$D$8,$FA$14:$FZ$14,0)),INDEX(GA90:GZ90,MATCH(GC90,GC90:GC195,0),MATCH(Structure!$D$8,$GA$14:$GZ$14,0))))</f>
        <v/>
      </c>
      <c r="CX90" s="239" t="str">
        <f>IF(A90=FALSE,"",IF(ALLTHESAME=TRUE,INDEX(HA90:HZ90,MATCH(HC90,HC90:HC195,0),MATCH(Structure!$D$8,$HA$14:$HZ$14,0)),INDEX(IA90:IZ90,MATCH(IC90,IC90:IC195,0),MATCH(Structure!$D$8,$IA$14:$IZ$14,0))))</f>
        <v/>
      </c>
      <c r="CY90" s="239" t="str">
        <f>IF(A90=FALSE,"",IF(ALLTHESAME=TRUE,INDEX(JA90:JZ90,MATCH(JC90,JC90:JC195,0),MATCH(Structure!$D$8,$JA$14:$JZ$14,0)),INDEX(KA90:KZ90,MATCH(KC90,KC90:KC195,0),MATCH(Structure!$D$8,$KA$14:$KZ$14,0))))</f>
        <v/>
      </c>
      <c r="CZ90" s="239" t="str">
        <f>IF(A90=FALSE,"",IF(ALLTHESAME=TRUE,INDEX(LA90:LZ90,MATCH(LC90,LC90:LC195,0),MATCH(Structure!$D$8,$LA$14:$LZ$14,0)),INDEX(MA90:MZ90,MATCH(MC90,MC90:MC195,0),MATCH(Structure!$D$8,$MA$14:$MZ$14,0))))</f>
        <v/>
      </c>
      <c r="DA90" s="239" t="str">
        <f>IF(A90=FALSE,"",IF(ALLTHESAME=TRUE,INDEX(NA90:NZ90,MATCH(NC90,NC90:NC195,0),MATCH(Structure!$D$8,$NA$14:$NZ$14,0)),INDEX(OA90:OZ90,MATCH(OC90,OC90:OC195,0),MATCH(Structure!$D$8,$OA$14:$OZ$14,0))))</f>
        <v/>
      </c>
      <c r="DB90" s="239" t="str">
        <f>IF(A90=FALSE,"",IF(ALLTHESAME=TRUE,INDEX(PA90:PZ90,MATCH(PC90,PC90:PC195,0),MATCH(Structure!$D$8,$PA$14:$PZ$14,0)),INDEX(QA90:QZ90,MATCH(QC90,QC90:QC195,0),MATCH(Structure!$D$8,$QA$14:$QZ$14,0))))</f>
        <v/>
      </c>
      <c r="DC90" s="341" t="str">
        <f>IF(A90=FALSE,"",IF(ALLTHESAME=TRUE,INDEX(RA90:RZ90,MATCH(RC90,RC90:RC195,0),MATCH(Structure!$D$8,$RA$14:$RZ$14,0)),INDEX(SA90:TC90,MATCH(SC90,SC90:SC195,0),MATCH(Structure!$D$8,$SA$14:$TC$14,0))))</f>
        <v/>
      </c>
      <c r="DD90" s="492" t="str">
        <f>IF(A90=FALSE,"",Cotations!D90)</f>
        <v/>
      </c>
      <c r="DE90" s="492" t="str">
        <f>IF(A90=FALSE,"",IF(LISTES!$A$17=1,Cotations!AF90,Cotations!$AG$4))</f>
        <v/>
      </c>
      <c r="DF90" s="291" t="str">
        <f t="shared" si="654"/>
        <v/>
      </c>
      <c r="DG90" s="291" t="str">
        <f t="shared" si="655"/>
        <v/>
      </c>
      <c r="DH90" s="291"/>
      <c r="DI90" s="463"/>
      <c r="DJ90" s="463" t="str">
        <f t="shared" si="656"/>
        <v/>
      </c>
      <c r="DK90" s="522" t="str">
        <f>IF(A90=FALSE,"",IF(Cotations!$AH$4="monthly",DJ90/12*L90,DJ90/365*M90))</f>
        <v/>
      </c>
      <c r="DL90" s="489" t="str">
        <f>IF(A90=FALSE,"",Cotations!$AI$4)</f>
        <v/>
      </c>
      <c r="DM90" s="300" t="str">
        <f t="shared" si="657"/>
        <v/>
      </c>
      <c r="DN90" s="300" t="str">
        <f t="shared" si="658"/>
        <v/>
      </c>
      <c r="DO90" s="294" t="str">
        <f t="shared" si="659"/>
        <v/>
      </c>
      <c r="DP90" s="494" t="str">
        <f>IF(A90=FALSE,"",Cotations!$AJ$4)</f>
        <v/>
      </c>
      <c r="DQ90" s="494" t="str">
        <f>IF(A90=FALSE,"",Cotations!$AK$4)</f>
        <v/>
      </c>
      <c r="DR90" s="489" t="str">
        <f>IF(A90=FALSE,"",Cotations!$AL$4)</f>
        <v/>
      </c>
      <c r="DS90" s="494" t="str">
        <f>IF(A90=FALSE,"",IF(DP90="N/A",0,IF(INDEX(LISTES!$F$105:$F$109,MATCH(DP90,LISTES!$C$105:$C$109,0))="FIX",IF(INDEX(LISTES!$E$105:$E$109,MATCH(DP90,LISTES!$C$105:$C$109,0))=12,DQ90/12*L90,DQ90/365*M90),DR90*DO90)))</f>
        <v/>
      </c>
      <c r="DT90" s="294" t="str">
        <f t="shared" si="660"/>
        <v/>
      </c>
      <c r="DU90" s="294" t="str">
        <f>IF(A90=FALSE,"",DT90*Cotations!$AM$4)</f>
        <v/>
      </c>
      <c r="DV90" s="294" t="str">
        <f>IF(A90=FALSE,"",DT90*Cotations!$AN$4)</f>
        <v/>
      </c>
      <c r="DW90" s="465" t="str">
        <f t="shared" si="661"/>
        <v/>
      </c>
      <c r="DX90" s="919" t="str">
        <f>IF(A90=FALSE,"",((DJ90*TAXE)-(DJ90*TAXE*DL90))+IF(DP90="N/A",0,IF(INDEX(LISTES!$F$105:$F$109,MATCH(DP90,LISTES!$C$105:$C$109,0))="FIX",DQ90,DR90*DO90)))</f>
        <v/>
      </c>
      <c r="DY90" s="466"/>
      <c r="DZ90" s="466"/>
      <c r="EA90" s="492" t="str">
        <f>IF(A90=FALSE,"",Cotations!D90)</f>
        <v/>
      </c>
      <c r="EB90" s="494" t="str">
        <f>IF(A90=FALSE,"",IF(LISTES!$A$17=1,Cotations!AF90,Cotations!AG90))</f>
        <v/>
      </c>
      <c r="EC90" s="284" t="str">
        <f t="shared" si="662"/>
        <v/>
      </c>
      <c r="ED90" s="284" t="str">
        <f t="shared" si="663"/>
        <v/>
      </c>
      <c r="EE90" s="284"/>
      <c r="EF90" s="284"/>
      <c r="EG90" s="284" t="str">
        <f t="shared" si="664"/>
        <v/>
      </c>
      <c r="EH90" s="1365" t="str">
        <f t="shared" si="665"/>
        <v/>
      </c>
      <c r="EI90" s="1365" t="str">
        <f t="shared" si="666"/>
        <v/>
      </c>
      <c r="EJ90" s="515" t="str">
        <f>IF(A90=FALSE,"",IF(Cotations!AH90="monthly",EG90/12*L90,EG90/365*M90))</f>
        <v/>
      </c>
      <c r="EK90" s="1364" t="str">
        <f>IF(A90=FALSE,"",IF(Cotations!AH90="monthly",EI90/12*L90,EI90/365*M90))</f>
        <v/>
      </c>
      <c r="EL90" s="493" t="str">
        <f>IF(A90=FALSE,"",IF(Cotations!AI90="","",Cotations!AI90))</f>
        <v/>
      </c>
      <c r="EM90" s="284" t="str">
        <f t="shared" si="667"/>
        <v/>
      </c>
      <c r="EN90" s="284" t="str">
        <f t="shared" si="668"/>
        <v/>
      </c>
      <c r="EO90" s="1365" t="str">
        <f t="shared" si="840"/>
        <v/>
      </c>
      <c r="EP90" s="284" t="str">
        <f t="shared" si="669"/>
        <v/>
      </c>
      <c r="EQ90" s="515" t="str">
        <f>IF(A90=FALSE,"",Cotations!AJ90)</f>
        <v/>
      </c>
      <c r="ER90" s="515" t="str">
        <f>IF(A90=FALSE,"",IF(Cotations!AK90="","",Cotations!AK90))</f>
        <v/>
      </c>
      <c r="ES90" s="493" t="str">
        <f>IF(A90=FALSE,"",Cotations!AL90)</f>
        <v/>
      </c>
      <c r="ET90" s="515" t="str">
        <f>IF(A90=FALSE,"",IF(EQ90="N/A",0,IF(INDEX(LISTES!$F$105:$F$109,MATCH(EQ90,LISTES!$C$105:$C$109,0))="FIX",IF(INDEX(LISTES!$E$105:$E$109,MATCH(EQ90,LISTES!$C$105:$C$109,0))=12,ER90/12*L90,ER90/365*M90),ES90*EP90)))</f>
        <v/>
      </c>
      <c r="EU90" s="294" t="str">
        <f t="shared" si="670"/>
        <v/>
      </c>
      <c r="EV90" s="494" t="str">
        <f>IF(A90=FALSE,"",EU90*Cotations!AM90)</f>
        <v/>
      </c>
      <c r="EW90" s="494" t="str">
        <f>IF(A90=FALSE,"",EU90*Cotations!AN90)</f>
        <v/>
      </c>
      <c r="EX90" s="334" t="str">
        <f t="shared" si="671"/>
        <v/>
      </c>
      <c r="EY90" s="919" t="str">
        <f>IF(A90=FALSE,"",((EG90*TAXE)-(EG90*TAXE*EL90)+EH90)+IF(EQ90="N/A",0,IF(INDEX(LISTES!$F$105:$F$109,MATCH(EQ90,LISTES!$C$105:$C$109,0))="FIX",ER90,ES90*EP90)))</f>
        <v/>
      </c>
      <c r="FA90" s="492" t="str">
        <f>IF(A90=FALSE,"",Cotations!D90)</f>
        <v/>
      </c>
      <c r="FB90" s="519" t="str">
        <f>IF(A90=FALSE,"",IF(LISTES!$A$17=1,Cotations!AO90,Cotations!$AP$4))</f>
        <v/>
      </c>
      <c r="FC90" s="291" t="str">
        <f t="shared" si="672"/>
        <v/>
      </c>
      <c r="FD90" s="291" t="str">
        <f t="shared" si="673"/>
        <v/>
      </c>
      <c r="FE90" s="291"/>
      <c r="FF90" s="463"/>
      <c r="FG90" s="463" t="str">
        <f t="shared" si="674"/>
        <v/>
      </c>
      <c r="FH90" s="522" t="str">
        <f>IF(A90=FALSE,"",IF(Cotations!$AQ$4="monthly",FG90/12*L90,FG90/365*M90))</f>
        <v/>
      </c>
      <c r="FI90" s="453" t="str">
        <f>IF(A90=FALSE,"",Cotations!$AR$4)</f>
        <v/>
      </c>
      <c r="FJ90" s="300" t="str">
        <f t="shared" si="675"/>
        <v/>
      </c>
      <c r="FK90" s="300" t="str">
        <f t="shared" si="676"/>
        <v/>
      </c>
      <c r="FL90" s="294" t="str">
        <f t="shared" si="677"/>
        <v/>
      </c>
      <c r="FM90" s="494" t="str">
        <f>IF(A90=FALSE,"",Cotations!$AS$4)</f>
        <v/>
      </c>
      <c r="FN90" s="494" t="str">
        <f>IF(A90=FALSE,"",Cotations!$AT$4)</f>
        <v/>
      </c>
      <c r="FO90" s="489" t="str">
        <f>IF(A90=FALSE,"",Cotations!$AU$4)</f>
        <v/>
      </c>
      <c r="FP90" s="494" t="str">
        <f>IF(A90=FALSE,"",IF(FM90="N/A",0,IF(INDEX(LISTES!$F$105:$F$109,MATCH(FM90,LISTES!$C$105:$C$109,0))="FIX",IF(INDEX(LISTES!$E$105:$E$109,MATCH(FM90,LISTES!$C$105:$C$109,0))=12,FN90/12*L90,FN90/365*M90),FO90*FL90)))</f>
        <v/>
      </c>
      <c r="FQ90" s="294" t="str">
        <f t="shared" si="678"/>
        <v/>
      </c>
      <c r="FR90" s="494" t="str">
        <f>IF(A90=FALSE,"",FQ90*Cotations!$AV$4)</f>
        <v/>
      </c>
      <c r="FS90" s="494" t="str">
        <f>IF(A90=FALSE,"",FQ90*Cotations!$AW$4)</f>
        <v/>
      </c>
      <c r="FT90" s="465" t="str">
        <f t="shared" si="679"/>
        <v/>
      </c>
      <c r="FU90" s="919" t="str">
        <f>IF(A90=FALSE,"",((FG90*TAXE)-(FG90*TAXE*FI90))+IF(FM90="N/A",0,IF(INDEX(LISTES!$F$105:$F$109,MATCH(FM90,LISTES!$C$105:$C$109,0))="FIX",FN90,FO90*FL90)))</f>
        <v/>
      </c>
      <c r="FV90" s="478"/>
      <c r="FW90" s="478"/>
      <c r="FX90" s="478"/>
      <c r="FY90" s="478"/>
      <c r="FZ90" s="478"/>
      <c r="GA90" s="492" t="str">
        <f>IF(A90=FALSE,"",Cotations!D90)</f>
        <v/>
      </c>
      <c r="GB90" s="494" t="str">
        <f>IF(A90=FALSE,"",IF(LISTES!$A$17=1,Cotations!AO90,Cotations!AP90))</f>
        <v/>
      </c>
      <c r="GC90" s="284" t="str">
        <f t="shared" si="680"/>
        <v/>
      </c>
      <c r="GD90" s="515" t="str">
        <f>IF(A90=FALSE,"",IF(Detail!AM90="","",Detail!AM90))</f>
        <v/>
      </c>
      <c r="GE90" s="284"/>
      <c r="GF90" s="284"/>
      <c r="GG90" s="284" t="str">
        <f t="shared" si="681"/>
        <v/>
      </c>
      <c r="GH90" s="515" t="str">
        <f>IF(A90=FALSE,"",IF(Cotations!AQ90="monthly",GG90/12*L90,GG90/365*M90))</f>
        <v/>
      </c>
      <c r="GI90" s="493" t="str">
        <f>IF(A90=FALSE,"",IF(Cotations!AR90="","",Cotations!AR90))</f>
        <v/>
      </c>
      <c r="GJ90" s="284" t="str">
        <f t="shared" si="682"/>
        <v/>
      </c>
      <c r="GK90" s="284" t="str">
        <f t="shared" si="683"/>
        <v/>
      </c>
      <c r="GL90" s="284" t="str">
        <f t="shared" si="684"/>
        <v/>
      </c>
      <c r="GM90" s="515" t="str">
        <f>IF(A90=FALSE,"",Cotations!AS90)</f>
        <v/>
      </c>
      <c r="GN90" s="515" t="str">
        <f>IF(A90=FALSE,"",Cotations!AT90)</f>
        <v/>
      </c>
      <c r="GO90" s="493" t="str">
        <f>IF(A90=FALSE,"",Cotations!AU90)</f>
        <v/>
      </c>
      <c r="GP90" s="515" t="str">
        <f>IF(A90=FALSE,"",IF(GM90="N/A",0,IF(INDEX(LISTES!$F$105:$F$109,MATCH(GM90,LISTES!$C$105:$C$109,0))="FIX",IF(INDEX(LISTES!$E$105:$E$109,MATCH(GM90,LISTES!$C$105:$C$109,0))=12,GN90/12*L90,GN90/365*M90),GO90*GL90)))</f>
        <v/>
      </c>
      <c r="GQ90" s="294" t="str">
        <f t="shared" si="685"/>
        <v/>
      </c>
      <c r="GR90" s="494" t="str">
        <f>IF(A90=FALSE,"",GQ90*Cotations!AV90)</f>
        <v/>
      </c>
      <c r="GS90" s="494" t="str">
        <f>IF(A90=FALSE,"",GQ90*Cotations!AW90)</f>
        <v/>
      </c>
      <c r="GT90" s="334" t="str">
        <f t="shared" si="686"/>
        <v/>
      </c>
      <c r="GU90" s="919" t="str">
        <f>IF(A90=FALSE,"",((GG90*TAXE)-(GG90*TAXE*GI90))+IF(GM90="N/A",0,IF(INDEX(LISTES!$F$105:$F$109,MATCH(GM90,LISTES!$C$105:$C$109,0))="FIX",GN90,GO90*GL90)))</f>
        <v/>
      </c>
      <c r="GV90" s="478"/>
      <c r="GW90" s="466"/>
      <c r="GX90" s="466"/>
      <c r="GY90" s="466"/>
      <c r="GZ90" s="466"/>
      <c r="HA90" s="492" t="str">
        <f>IF(A90=FALSE,"",Cotations!D90)</f>
        <v/>
      </c>
      <c r="HB90" s="495" t="str">
        <f>IF(A90=FALSE,"",IF(LISTES!$A$17=1,Cotations!AX90,Cotations!$AY$4))</f>
        <v/>
      </c>
      <c r="HC90" s="291" t="str">
        <f t="shared" si="687"/>
        <v/>
      </c>
      <c r="HD90" s="291" t="str">
        <f t="shared" si="688"/>
        <v/>
      </c>
      <c r="HE90" s="456" t="str">
        <f t="shared" si="689"/>
        <v/>
      </c>
      <c r="HF90" s="496" t="str">
        <f>IF(A90=FALSE,"",IF(HA90="POEA",Cotations!BA90,IF(HA90="FIXE",Cotations!$BA$4,Cotations!$BC$4*Y90)))</f>
        <v/>
      </c>
      <c r="HG90" s="300" t="str">
        <f t="shared" si="690"/>
        <v/>
      </c>
      <c r="HH90" s="522" t="str">
        <f>IF(A90=FALSE,"",IF(Cotations!$AZ$4="monthly",HG90/12*L90,HG90/365*M90))</f>
        <v/>
      </c>
      <c r="HI90" s="489" t="str">
        <f>IF(A90=FALSE,"",Cotations!$BD$4)</f>
        <v/>
      </c>
      <c r="HJ90" s="300" t="str">
        <f t="shared" si="691"/>
        <v/>
      </c>
      <c r="HK90" s="300" t="str">
        <f t="shared" si="692"/>
        <v/>
      </c>
      <c r="HL90" s="294" t="str">
        <f t="shared" si="693"/>
        <v/>
      </c>
      <c r="HM90" s="494" t="str">
        <f>IF(A90=FALSE,"",Cotations!$BE$4)</f>
        <v/>
      </c>
      <c r="HN90" s="522" t="str">
        <f>IF(A90=FALSE,"",Cotations!$BF$4)</f>
        <v/>
      </c>
      <c r="HO90" s="489" t="str">
        <f>IF(A90=FALSE,"",Cotations!$BG$4)</f>
        <v/>
      </c>
      <c r="HP90" s="494" t="str">
        <f>IF(A90=FALSE,"",IF(HM90="N/A",0,IF(INDEX(LISTES!$F$105:$F$109,MATCH(HM90,LISTES!$C$105:$C$109,0))="FIX",IF(INDEX(LISTES!$E$105:$E$109,MATCH(HM90,LISTES!$C$105:$C$109,0))=12,HN90/12*L90,HN90/365*M90),HO90*HL90)))</f>
        <v/>
      </c>
      <c r="HQ90" s="294" t="str">
        <f t="shared" si="694"/>
        <v/>
      </c>
      <c r="HR90" s="494" t="str">
        <f>IF(A90=FALSE,"",HQ90*Cotations!$BH$4)</f>
        <v/>
      </c>
      <c r="HS90" s="494" t="str">
        <f>IF(A90=FALSE,"",HQ90*Cotations!$BI$4)</f>
        <v/>
      </c>
      <c r="HT90" s="294" t="str">
        <f t="shared" si="695"/>
        <v/>
      </c>
      <c r="HU90" s="919" t="str">
        <f>IF(A90=FALSE,"",((HG90*TAXE)-(HG90*TAXE*HI90))+IF(HM90="N/A",0,IF(INDEX(LISTES!$F$105:$F$109,MATCH(HM90,LISTES!$C$105:$C$109,0))="FIX",HN90,HO90*HL90)))</f>
        <v/>
      </c>
      <c r="IA90" s="492" t="str">
        <f>IF(A90=FALSE,"",Cotations!D90)</f>
        <v/>
      </c>
      <c r="IB90" s="491" t="str">
        <f>IF(A90=FALSE,"",IF(LISTES!$A$17=1,Cotations!AX90,Cotations!AY90))</f>
        <v/>
      </c>
      <c r="IC90" s="285" t="str">
        <f t="shared" si="696"/>
        <v/>
      </c>
      <c r="ID90" s="300" t="str">
        <f>IF(A90=FALSE,"",IF(LISTES!$A$17=3,Detail!AU90,lig1_Formula_PREVOY))</f>
        <v/>
      </c>
      <c r="IE90" s="461" t="str">
        <f t="shared" si="697"/>
        <v/>
      </c>
      <c r="IF90" s="490" t="str">
        <f>IF(A90=FALSE,"",IF(IA90="POEA",Cotations!BA90,IF(HA90="FIXE",Cotations!BB90,IF(Cotations!BC90*Y90&lt;50000,Z90,Cotations!BC90*Y90))))</f>
        <v/>
      </c>
      <c r="IG90" s="300" t="str">
        <f t="shared" si="698"/>
        <v/>
      </c>
      <c r="IH90" s="522" t="str">
        <f>IF(A90=FALSE,"",IF(Cotations!AZ90="monthly",IG90/12*L90,IG90/365*M90))</f>
        <v/>
      </c>
      <c r="II90" s="489" t="str">
        <f>IF(A90=FALSE,"",IF(Cotations!BD90="","",Cotations!BD90))</f>
        <v/>
      </c>
      <c r="IJ90" s="300" t="str">
        <f t="shared" si="699"/>
        <v/>
      </c>
      <c r="IK90" s="300" t="str">
        <f t="shared" si="700"/>
        <v/>
      </c>
      <c r="IL90" s="919" t="str">
        <f t="shared" si="701"/>
        <v/>
      </c>
      <c r="IM90" s="517" t="str">
        <f>IF(A90=FALSE,"",Cotations!BE90)</f>
        <v/>
      </c>
      <c r="IN90" s="517" t="str">
        <f>IF(A90=FALSE,"",Cotations!BF90)</f>
        <v/>
      </c>
      <c r="IO90" s="493" t="str">
        <f>IF(A90=FALSE,"",Cotations!BG90)</f>
        <v/>
      </c>
      <c r="IP90" s="517" t="str">
        <f>IF(A90=FALSE,"",IF(IM90="N/A",0,IF(INDEX(LISTES!$F$105:$F$109,MATCH(IM90,LISTES!$C$105:$C$109,0))="FIX",IF(INDEX(LISTES!$E$105:$E$109,MATCH(IM90,LISTES!$C$105:$C$109,0))=12,IN90/12*L90,IN90/365*M90),IO90*IL90)))</f>
        <v/>
      </c>
      <c r="IQ90" s="294" t="str">
        <f t="shared" si="702"/>
        <v/>
      </c>
      <c r="IR90" s="494" t="str">
        <f>IF(A90=FALSE,"",IQ90*Cotations!BH90)</f>
        <v/>
      </c>
      <c r="IS90" s="494" t="str">
        <f>IF(A90=FALSE,"",IQ90*Cotations!BI90)</f>
        <v/>
      </c>
      <c r="IT90" s="338" t="str">
        <f t="shared" si="703"/>
        <v/>
      </c>
      <c r="IU90" s="919" t="str">
        <f>IF(A90=FALSE,"",((IG90*TAXE)-(IG90*TAXE*II90))+IF(IM90="N/A",0,IF(INDEX(LISTES!$F$105:$F$109,MATCH(IM90,LISTES!$C$105:$C$109,0))="FIX",IN90,IO90*IL90)))</f>
        <v/>
      </c>
      <c r="JA90" s="492" t="str">
        <f>IF(A90=FALSE,"",Cotations!D90)</f>
        <v/>
      </c>
      <c r="JB90" s="495" t="str">
        <f>IF(A90=FALSE,"",IF(LISTES!$A$17=1,Cotations!BJ90,Cotations!$BK$4))</f>
        <v/>
      </c>
      <c r="JC90" s="291" t="str">
        <f t="shared" si="704"/>
        <v/>
      </c>
      <c r="JD90" s="291" t="str">
        <f t="shared" si="705"/>
        <v/>
      </c>
      <c r="JE90" s="456" t="str">
        <f t="shared" si="706"/>
        <v/>
      </c>
      <c r="JF90" s="496" t="str">
        <f>IF(A90=FALSE,"",IF(JA90="POEA",Cotations!BM90,IF(JA90="FIXE",Cotations!$BM$4,Cotations!$BO$4*Y90)))</f>
        <v/>
      </c>
      <c r="JG90" s="300" t="str">
        <f t="shared" si="707"/>
        <v/>
      </c>
      <c r="JH90" s="522" t="str">
        <f>IF(A90=FALSE,"",IF(Cotations!$BL$4="monthly",JG90/12*L90,JG90/365*M90))</f>
        <v/>
      </c>
      <c r="JI90" s="489" t="str">
        <f>IF(A90=FALSE,"",Cotations!$BP$4)</f>
        <v/>
      </c>
      <c r="JJ90" s="300" t="str">
        <f t="shared" si="708"/>
        <v/>
      </c>
      <c r="JK90" s="300" t="str">
        <f t="shared" si="709"/>
        <v/>
      </c>
      <c r="JL90" s="294" t="str">
        <f t="shared" si="710"/>
        <v/>
      </c>
      <c r="JM90" s="494" t="str">
        <f>IF(A90=FALSE,"",Cotations!$BQ$4)</f>
        <v/>
      </c>
      <c r="JN90" s="522" t="str">
        <f>IF(A90=FALSE,"",Cotations!$BR$4)</f>
        <v/>
      </c>
      <c r="JO90" s="489" t="str">
        <f>IF(A90=FALSE,"",Cotations!$BS$4)</f>
        <v/>
      </c>
      <c r="JP90" s="494" t="str">
        <f>IF(A90=FALSE,"",IF(JM90="N/A",0,IF(INDEX(LISTES!$F$105:$F$109,MATCH(JM90,LISTES!$C$105:$C$109,0))="FIX",IF(INDEX(LISTES!$E$105:$E$109,MATCH(JM90,LISTES!$C$105:$C$109,0))=12,JN90/12*L90,JN90/365*M90),JO90*JL90)))</f>
        <v/>
      </c>
      <c r="JQ90" s="294" t="str">
        <f t="shared" si="711"/>
        <v/>
      </c>
      <c r="JR90" s="494" t="str">
        <f>IF(A90=FALSE,"",JQ90*Cotations!$BT$4)</f>
        <v/>
      </c>
      <c r="JS90" s="494" t="str">
        <f>IF(A90=FALSE,"",JQ90*Cotations!$BU$4)</f>
        <v/>
      </c>
      <c r="JT90" s="294" t="str">
        <f t="shared" si="712"/>
        <v/>
      </c>
      <c r="JU90" s="919" t="str">
        <f>IF(A90=FALSE,"",((JG90*TAXE)-(JG90*TAXE*JI90))+IF(JM90="N/A",0,IF(INDEX(LISTES!$F$105:$F$109,MATCH(JM90,LISTES!$C$105:$C$109,0))="FIX",JN90,JO90*JL90)))</f>
        <v/>
      </c>
      <c r="KA90" s="492" t="str">
        <f>IF(A90=FALSE,"",Cotations!D90)</f>
        <v/>
      </c>
      <c r="KB90" s="491" t="str">
        <f>IF(A90=FALSE,"",IF(LISTES!$A$17=1,Cotations!BJ90,Cotations!BK90))</f>
        <v/>
      </c>
      <c r="KC90" s="285" t="str">
        <f t="shared" si="713"/>
        <v/>
      </c>
      <c r="KD90" s="300"/>
      <c r="KE90" s="461" t="str">
        <f t="shared" si="714"/>
        <v/>
      </c>
      <c r="KF90" s="490" t="str">
        <f>IF(A90=FALSE,"",IF(KA90="POEA",Cotations!BM90,IF(KA90="FIXE",Cotations!BN90,IF(Cotations!BO90*Y90&lt;50000,Z90,Cotations!BO90*Y90))))</f>
        <v/>
      </c>
      <c r="KG90" s="300" t="str">
        <f t="shared" si="715"/>
        <v/>
      </c>
      <c r="KH90" s="522" t="str">
        <f>IF(A90=FALSE,"",IF(Cotations!BL90="monthly",KG90/12*L90,KG90/365*M90))</f>
        <v/>
      </c>
      <c r="KI90" s="489" t="str">
        <f>IF(A90=FALSE,"",IF(Cotations!BP90="","",Cotations!BP90))</f>
        <v/>
      </c>
      <c r="KJ90" s="300" t="str">
        <f t="shared" si="716"/>
        <v/>
      </c>
      <c r="KK90" s="300" t="str">
        <f t="shared" si="717"/>
        <v/>
      </c>
      <c r="KL90" s="919" t="str">
        <f t="shared" si="718"/>
        <v/>
      </c>
      <c r="KM90" s="517" t="str">
        <f>IF(A90=FALSE,"",Cotations!BQ90)</f>
        <v/>
      </c>
      <c r="KN90" s="515" t="str">
        <f>IF(A90=FALSE,"",Cotations!BR90)</f>
        <v/>
      </c>
      <c r="KO90" s="493" t="str">
        <f>IF(A90=FALSE,"",Cotations!BS90)</f>
        <v/>
      </c>
      <c r="KP90" s="517" t="str">
        <f>IF(A90=FALSE,"",IF(KM90="N/A",0,IF(INDEX(LISTES!$F$105:$F$109,MATCH(KM90,LISTES!$C$105:$C$109,0))="FIX",IF(INDEX(LISTES!$E$105:$E$109,MATCH(KM90,LISTES!$C$105:$C$109,0))=12,KN90/12*L90,KN90/365*M90),KO90*KL90)))</f>
        <v/>
      </c>
      <c r="KQ90" s="294" t="str">
        <f t="shared" si="719"/>
        <v/>
      </c>
      <c r="KR90" s="494" t="str">
        <f>IF(A90=FALSE,"",KQ90*Cotations!BT90)</f>
        <v/>
      </c>
      <c r="KS90" s="494" t="str">
        <f>IF(A90=FALSE,"",KQ90*Cotations!BU90)</f>
        <v/>
      </c>
      <c r="KT90" s="338" t="str">
        <f t="shared" si="720"/>
        <v/>
      </c>
      <c r="KU90" s="919" t="str">
        <f>IF(A90=FALSE,"",((KG90*TAXE)-(KG90*TAXE*KI90))+IF(KM90="N/A",0,IF(INDEX(LISTES!$F$105:$F$109,MATCH(KM90,LISTES!$C$105:$C$109,0))="FIX",KN90,KO90*KL90)))</f>
        <v/>
      </c>
      <c r="LA90" s="497" t="str">
        <f>IF(A90=FALSE,"",Cotations!D90)</f>
        <v/>
      </c>
      <c r="LB90" s="498" t="str">
        <f>IF(A90=FALSE,"",IF(LISTES!$A$17=1,Cotations!BV90,Cotations!$BW$4))</f>
        <v/>
      </c>
      <c r="LC90" s="499" t="str">
        <f t="shared" si="721"/>
        <v/>
      </c>
      <c r="LD90" s="499" t="str">
        <f t="shared" si="722"/>
        <v/>
      </c>
      <c r="LE90" s="500" t="str">
        <f t="shared" si="723"/>
        <v/>
      </c>
      <c r="LF90" s="501" t="str">
        <f>IF(A90=FALSE,"",IF(LA90="POEA",Cotations!EJ90,IF(LA90="FIXE",Cotations!$BY$4,Cotations!$CA$4*Y90)))</f>
        <v/>
      </c>
      <c r="LG90" s="502" t="str">
        <f t="shared" si="724"/>
        <v/>
      </c>
      <c r="LH90" s="520" t="str">
        <f>IF(A90=FALSE,"",IF(Cotations!$BX$4="monthly",LG90/12*L90,LG90/365*M90))</f>
        <v/>
      </c>
      <c r="LI90" s="503" t="str">
        <f>IF(A90=FALSE,"",Cotations!$CB$4)</f>
        <v/>
      </c>
      <c r="LJ90" s="502" t="str">
        <f t="shared" si="725"/>
        <v/>
      </c>
      <c r="LK90" s="502" t="str">
        <f t="shared" si="726"/>
        <v/>
      </c>
      <c r="LL90" s="504" t="str">
        <f t="shared" si="727"/>
        <v/>
      </c>
      <c r="LM90" s="505" t="str">
        <f>IF(A90=FALSE,"",Cotations!$CC$4)</f>
        <v/>
      </c>
      <c r="LN90" s="503" t="str">
        <f>IF(A90=FALSE,"",Cotations!$CD$4)</f>
        <v/>
      </c>
      <c r="LO90" s="503" t="str">
        <f>IF(A90=FALSE,"",Cotations!$CE$4)</f>
        <v/>
      </c>
      <c r="LP90" s="505" t="str">
        <f>IF(A90=FALSE,"",IF(LM90="N/A",0,IF(INDEX(LISTES!$F$105:$F$109,MATCH(LM90,LISTES!$C$105:$C$109,0))="FIX",IF(INDEX(LISTES!$E$105:$E$109,MATCH(LM90,LISTES!$C$105:$C$109,0))=12,LN90/12*L90,LN90/365*M90),LO90*LL90)))</f>
        <v/>
      </c>
      <c r="LQ90" s="504" t="str">
        <f t="shared" si="728"/>
        <v/>
      </c>
      <c r="LR90" s="505" t="str">
        <f>IF(A90=FALSE,"",LQ90*Cotations!$CF$4)</f>
        <v/>
      </c>
      <c r="LS90" s="505" t="str">
        <f>IF(A90=FALSE,"",LQ90*Cotations!$CG$4)</f>
        <v/>
      </c>
      <c r="LT90" s="506" t="str">
        <f t="shared" si="729"/>
        <v/>
      </c>
      <c r="LU90" s="919" t="str">
        <f>IF(A90=FALSE,"",((LG90*TAXE)-(LG90*TAXE*LI90))+IF(LM90="N/A",0,IF(INDEX(LISTES!$F$105:$F$109,MATCH(LM90,LISTES!$C$105:$C$109,0))="FIX",LN90,LO90*LL90)))</f>
        <v/>
      </c>
      <c r="MA90" s="492" t="str">
        <f>IF(A90=FALSE,"",Cotations!D90)</f>
        <v/>
      </c>
      <c r="MB90" s="491" t="str">
        <f>IF(A90=FALSE,"",IF(LISTES!$A$17=1,Cotations!BV90,Cotations!BW90))</f>
        <v/>
      </c>
      <c r="MC90" s="285" t="str">
        <f t="shared" si="730"/>
        <v/>
      </c>
      <c r="MD90" s="300"/>
      <c r="ME90" s="461" t="str">
        <f t="shared" si="731"/>
        <v/>
      </c>
      <c r="MF90" s="490" t="str">
        <f>IF(A90=FALSE,"",IF(MA90="POEA",Cotations!BY90,IF(MA90="FIXE",Cotations!BZ90,IF(Cotations!CA90*Y90&lt;50000,Z90,Cotations!CA90*Y90))))</f>
        <v/>
      </c>
      <c r="MG90" s="300" t="str">
        <f t="shared" si="732"/>
        <v/>
      </c>
      <c r="MH90" s="522" t="str">
        <f>IF(A90=FALSE,"",IF(Cotations!BX90="monthly",MG90/12*L90,MG90/365*M90))</f>
        <v/>
      </c>
      <c r="MI90" s="489" t="str">
        <f>IF(A90=FALSE,"",IF(Cotations!CB90="","",Cotations!CB90))</f>
        <v/>
      </c>
      <c r="MJ90" s="300" t="str">
        <f t="shared" si="733"/>
        <v/>
      </c>
      <c r="MK90" s="300" t="str">
        <f t="shared" si="734"/>
        <v/>
      </c>
      <c r="ML90" s="919" t="str">
        <f t="shared" si="735"/>
        <v/>
      </c>
      <c r="MM90" s="517" t="str">
        <f>IF(A90=FALSE,"",Cotations!CC90)</f>
        <v/>
      </c>
      <c r="MN90" s="515" t="str">
        <f>IF(A90=FALSE,"",Cotations!CD90)</f>
        <v/>
      </c>
      <c r="MO90" s="493" t="str">
        <f>IF(A90=FALSE,"",Cotations!CE90)</f>
        <v/>
      </c>
      <c r="MP90" s="517" t="str">
        <f>IF(A90=FALSE,"",IF(MM90="N/A",0,IF(INDEX(LISTES!$F$105:$F$109,MATCH(MM90,LISTES!$C$105:$C$109,0))="FIX",IF(INDEX(LISTES!$E$105:$E$109,MATCH(MM90,LISTES!$C$105:$C$109,0))=12,MN90/12*L90,MN90/365*M90),MO90*ML90)))</f>
        <v/>
      </c>
      <c r="MQ90" s="294" t="str">
        <f t="shared" si="736"/>
        <v/>
      </c>
      <c r="MR90" s="494" t="str">
        <f>IF(A90=FALSE,"",MQ90*Cotations!CF90)</f>
        <v/>
      </c>
      <c r="MS90" s="494" t="str">
        <f>IF(A90=FALSE,"",MQ90*Cotations!CG90)</f>
        <v/>
      </c>
      <c r="MT90" s="338" t="str">
        <f t="shared" si="737"/>
        <v/>
      </c>
      <c r="MU90" s="919" t="str">
        <f>IF(A90=FALSE,"",((MG90*TAXE)-(MG90*TAXE*MI90))+IF(MM90="N/A",0,IF(INDEX(LISTES!$F$105:$F$109,MATCH(MM90,LISTES!$C$105:$C$109,0))="FIX",MN90,MO90*ML90)))</f>
        <v/>
      </c>
      <c r="NA90" s="497" t="str">
        <f>IF(A90=FALSE,"",Cotations!D90)</f>
        <v/>
      </c>
      <c r="NB90" s="498" t="str">
        <f>IF(A90=FALSE,"",IF(LISTES!$A$17=1,Cotations!CH90,Cotations!$CI$4))</f>
        <v/>
      </c>
      <c r="NC90" s="499" t="str">
        <f t="shared" si="738"/>
        <v/>
      </c>
      <c r="ND90" s="499" t="str">
        <f t="shared" si="739"/>
        <v/>
      </c>
      <c r="NE90" s="500" t="str">
        <f t="shared" si="740"/>
        <v/>
      </c>
      <c r="NF90" s="501" t="str">
        <f>IF(A90=FALSE,"",IF(NA90="POEA",Cotations!CK90,IF(NA90="FIXE",Cotations!$CK$4,Cotations!$CM$4*Y90)))</f>
        <v/>
      </c>
      <c r="NG90" s="502" t="str">
        <f t="shared" si="741"/>
        <v/>
      </c>
      <c r="NH90" s="520" t="str">
        <f>IF(A90=FALSE,"",IF(Cotations!$CJ$4="monthly",NG90/12*L90,NG90/365*M90))</f>
        <v/>
      </c>
      <c r="NI90" s="503" t="str">
        <f>IF(A90=FALSE,"",Cotations!$CN$4)</f>
        <v/>
      </c>
      <c r="NJ90" s="502" t="str">
        <f t="shared" si="742"/>
        <v/>
      </c>
      <c r="NK90" s="502" t="str">
        <f t="shared" si="743"/>
        <v/>
      </c>
      <c r="NL90" s="504" t="str">
        <f t="shared" si="744"/>
        <v/>
      </c>
      <c r="NM90" s="505" t="str">
        <f>IF(A90=FALSE,"",Cotations!$CO$4)</f>
        <v/>
      </c>
      <c r="NN90" s="520" t="str">
        <f>IF(A90=FALSE,"",Cotations!$CP$4)</f>
        <v/>
      </c>
      <c r="NO90" s="503" t="str">
        <f>IF(A90=FALSE,"",Cotations!$CQ$4)</f>
        <v/>
      </c>
      <c r="NP90" s="505" t="str">
        <f>IF(A90=FALSE,"",IF(NM90="N/A",0,IF(INDEX(LISTES!$F$105:$F$109,MATCH(NM90,LISTES!$C$105:$C$109,0))="FIX",IF(INDEX(LISTES!$E$105:$E$109,MATCH(NM90,LISTES!$C$105:$C$109,0))=12,NN90/12*L90,NN90/365*M90),NO90*NL90)))</f>
        <v/>
      </c>
      <c r="NQ90" s="504" t="str">
        <f t="shared" si="745"/>
        <v/>
      </c>
      <c r="NR90" s="505" t="str">
        <f>IF(A90=FALSE,"",NQ90*Cotations!$CR$4)</f>
        <v/>
      </c>
      <c r="NS90" s="505" t="str">
        <f>IF(A90=FALSE,"",NQ90*Cotations!$CS$4)</f>
        <v/>
      </c>
      <c r="NT90" s="506" t="str">
        <f t="shared" si="746"/>
        <v/>
      </c>
      <c r="NU90" s="919" t="str">
        <f>IF(A90=FALSE,"",((NG90*TAXE)-(NG90*TAXE*NI90))+IF(NM90="N/A",0,IF(INDEX(LISTES!$F$105:$F$109,MATCH(NM90,LISTES!$C$105:$C$109,0))="FIX",NN90,NO90*NL90)))</f>
        <v/>
      </c>
      <c r="OA90" s="492" t="str">
        <f>IF(A90=FALSE,"",Cotations!D90)</f>
        <v/>
      </c>
      <c r="OB90" s="491" t="str">
        <f>IF(A90=FALSE,"",IF(LISTES!$A$17=1,Cotations!CH90,Cotations!CI90))</f>
        <v/>
      </c>
      <c r="OC90" s="285" t="str">
        <f t="shared" si="747"/>
        <v/>
      </c>
      <c r="OD90" s="300"/>
      <c r="OE90" s="461" t="str">
        <f t="shared" si="748"/>
        <v/>
      </c>
      <c r="OF90" s="490" t="str">
        <f>IF(A90=FALSE,"",IF(OA90="POEA",Cotations!CK90,IF(OA90="FIXE",Cotations!CL90,IF(Cotations!CM90*Y90&lt;50000,Z90,Cotations!CM90*Y90))))</f>
        <v/>
      </c>
      <c r="OG90" s="300" t="str">
        <f t="shared" si="749"/>
        <v/>
      </c>
      <c r="OH90" s="522" t="str">
        <f>IF(A90=FALSE,"",IF(Cotations!CJ90="monthly",OG90/12*L90,OG90/365*M90))</f>
        <v/>
      </c>
      <c r="OI90" s="489" t="str">
        <f>IF(A90=FALSE,"",IF(Cotations!CN90="","",Cotations!CN90))</f>
        <v/>
      </c>
      <c r="OJ90" s="300" t="str">
        <f t="shared" si="750"/>
        <v/>
      </c>
      <c r="OK90" s="300" t="str">
        <f t="shared" si="751"/>
        <v/>
      </c>
      <c r="OL90" s="919" t="str">
        <f t="shared" si="752"/>
        <v/>
      </c>
      <c r="OM90" s="517" t="str">
        <f>IF(A90=FALSE,"",Cotations!CO90)</f>
        <v/>
      </c>
      <c r="ON90" s="515" t="str">
        <f>IF(A90=FALSE,"",Cotations!CP90)</f>
        <v/>
      </c>
      <c r="OO90" s="493" t="str">
        <f>IF(A90=FALSE,"",Cotations!CQ90)</f>
        <v/>
      </c>
      <c r="OP90" s="517" t="str">
        <f>IF(A90=FALSE,"",IF(OM90="N/A",0,IF(INDEX(LISTES!$F$105:$F$109,MATCH(OM90,LISTES!$C$105:$C$109,0))="FIX",IF(INDEX(LISTES!$E$105:$E$109,MATCH(OM90,LISTES!$C$105:$C$109,0))=12,ON90/12*L90,ON90/365*M90),OO90*OL90)))</f>
        <v/>
      </c>
      <c r="OQ90" s="294" t="str">
        <f t="shared" si="753"/>
        <v/>
      </c>
      <c r="OR90" s="494" t="str">
        <f>IF(A90=FALSE,"",OQ90*Cotations!CR90)</f>
        <v/>
      </c>
      <c r="OS90" s="494" t="str">
        <f>IF(A90=FALSE,"",OQ90*Cotations!CS90)</f>
        <v/>
      </c>
      <c r="OT90" s="338" t="str">
        <f t="shared" si="754"/>
        <v/>
      </c>
      <c r="OU90" s="919" t="str">
        <f>IF(A90=FALSE,"",((OG90*TAXE)-(OG90*TAXE*OI90))+IF(OM90="N/A",0,IF(INDEX(LISTES!$F$105:$F$109,MATCH(OM90,LISTES!$C$105:$C$109,0))="FIX",ON90,OO90*OL90)))</f>
        <v/>
      </c>
      <c r="PA90" s="497" t="str">
        <f t="shared" si="755"/>
        <v/>
      </c>
      <c r="PB90" s="498" t="str">
        <f>IF(A90=FALSE,"",IF(LISTES!$A$17=1,Cotations!CT90,Cotations!$CU$4))</f>
        <v/>
      </c>
      <c r="PC90" s="499" t="str">
        <f t="shared" si="756"/>
        <v/>
      </c>
      <c r="PD90" s="499" t="str">
        <f t="shared" si="757"/>
        <v/>
      </c>
      <c r="PE90" s="500" t="str">
        <f t="shared" si="758"/>
        <v/>
      </c>
      <c r="PF90" s="501" t="str">
        <f>IF(A90=FALSE,"",Cotations!$CY$4*Y90)</f>
        <v/>
      </c>
      <c r="PG90" s="502" t="str">
        <f t="shared" si="759"/>
        <v/>
      </c>
      <c r="PH90" s="520" t="str">
        <f>IF(A90=FALSE,"",IF(Cotations!$CV$4="monthly",PG90/12*L90,PG90/365*M90))</f>
        <v/>
      </c>
      <c r="PI90" s="503" t="str">
        <f>IF(A90=FALSE,"",Cotations!$CZ$4)</f>
        <v/>
      </c>
      <c r="PJ90" s="502" t="str">
        <f t="shared" si="760"/>
        <v/>
      </c>
      <c r="PK90" s="502" t="str">
        <f t="shared" si="761"/>
        <v/>
      </c>
      <c r="PL90" s="504" t="str">
        <f t="shared" si="762"/>
        <v/>
      </c>
      <c r="PM90" s="505" t="str">
        <f>IF(A90=FALSE,"",Cotations!$DA$4)</f>
        <v/>
      </c>
      <c r="PN90" s="520" t="str">
        <f>IF(A90=FALSE,"",Cotations!$DB$4)</f>
        <v/>
      </c>
      <c r="PO90" s="503" t="str">
        <f>IF(A90=FALSE,"",Cotations!$DC$4)</f>
        <v/>
      </c>
      <c r="PP90" s="505" t="str">
        <f>IF(A90=FALSE,"",IF(PM90="N/A",0,IF(INDEX(LISTES!$F$105:$F$109,MATCH(PM90,LISTES!$C$105:$C$109,0))="FIX",IF(INDEX(LISTES!$E$105:$E$109,MATCH(PM90,LISTES!$C$105:$C$109,0))=12,PN90/12*L90,PN90/365*M90),PO90*PL90)))</f>
        <v/>
      </c>
      <c r="PQ90" s="504" t="str">
        <f t="shared" si="763"/>
        <v/>
      </c>
      <c r="PR90" s="505" t="str">
        <f>IF(A90=FALSE,"",PQ90*Cotations!$DD$4)</f>
        <v/>
      </c>
      <c r="PS90" s="505" t="str">
        <f>IF(A90=FALSE,"",PQ90*Cotations!$DE$4)</f>
        <v/>
      </c>
      <c r="PT90" s="506" t="str">
        <f t="shared" si="764"/>
        <v/>
      </c>
      <c r="PU90" s="919" t="str">
        <f>IF(A90=FALSE,"",((PG90*TAXE)-(PG90*TAXE*PI90))+IF(PM90="N/A",0,IF(INDEX(LISTES!$F$105:$F$109,MATCH(PM90,LISTES!$C$105:$C$109,0))="FIX",PN90,PO90*PL90)))</f>
        <v/>
      </c>
      <c r="QA90" s="492" t="str">
        <f t="shared" si="765"/>
        <v/>
      </c>
      <c r="QB90" s="491" t="str">
        <f>IF(A90=FALSE,"",IF(LISTES!$A$17=1,Cotations!CT90,Cotations!CU90))</f>
        <v/>
      </c>
      <c r="QC90" s="285" t="str">
        <f t="shared" si="766"/>
        <v/>
      </c>
      <c r="QD90" s="300"/>
      <c r="QE90" s="461" t="str">
        <f t="shared" si="767"/>
        <v/>
      </c>
      <c r="QF90" s="490" t="str">
        <f>IF(A90=FALSE,"",Cotations!CY90*AA90)</f>
        <v/>
      </c>
      <c r="QG90" s="300" t="str">
        <f t="shared" si="768"/>
        <v/>
      </c>
      <c r="QH90" s="522" t="str">
        <f>IF(A90=FALSE,"",IF(Cotations!CV90="monthly",QG90/12*L90,QG90/365*M90))</f>
        <v/>
      </c>
      <c r="QI90" s="489" t="str">
        <f>IF(A90=FALSE,"",IF(Cotations!CZ90="","",Cotations!CZ90))</f>
        <v/>
      </c>
      <c r="QJ90" s="300" t="str">
        <f t="shared" si="769"/>
        <v/>
      </c>
      <c r="QK90" s="300" t="str">
        <f t="shared" si="770"/>
        <v/>
      </c>
      <c r="QL90" s="919" t="str">
        <f t="shared" si="771"/>
        <v/>
      </c>
      <c r="QM90" s="517" t="str">
        <f>IF(A90=FALSE,"",Cotations!DA90)</f>
        <v/>
      </c>
      <c r="QN90" s="515" t="str">
        <f>IF(A90=FALSE,"",Cotations!DB90)</f>
        <v/>
      </c>
      <c r="QO90" s="493" t="str">
        <f>IF(A90=FALSE,"",Cotations!DC90)</f>
        <v/>
      </c>
      <c r="QP90" s="517" t="str">
        <f>IF(A90=FALSE,"",IF(QM90="N/A",0,IF(INDEX(LISTES!$F$105:$F$109,MATCH(QM90,LISTES!$C$105:$C$109,0))="FIX",IF(INDEX(LISTES!$E$105:$E$109,MATCH(QM90,LISTES!$C$105:$C$109,0))=12,QN90/12*L90,QN90/365*M90),QO90*QL90)))</f>
        <v/>
      </c>
      <c r="QQ90" s="294" t="str">
        <f t="shared" si="772"/>
        <v/>
      </c>
      <c r="QR90" s="494" t="str">
        <f>IF(A90=FALSE,"",QQ90*Cotations!DD90)</f>
        <v/>
      </c>
      <c r="QS90" s="494" t="str">
        <f>IF(A90=FALSE,"",QQ90*Cotations!DE90)</f>
        <v/>
      </c>
      <c r="QT90" s="338" t="str">
        <f t="shared" si="773"/>
        <v/>
      </c>
      <c r="QU90" s="919" t="str">
        <f>IF(A90=FALSE,"",((QG90*TAXE)-(QG90*TAXE*QI90))+IF(QM90="N/A",0,IF(INDEX(LISTES!$F$105:$F$109,MATCH(QM90,LISTES!$C$105:$C$109,0))="FIX",QN90,QO90*QL90)))</f>
        <v/>
      </c>
      <c r="RA90" s="497" t="str">
        <f t="shared" si="774"/>
        <v/>
      </c>
      <c r="RB90" s="498" t="str">
        <f>IF(A90=FALSE,"",IF(LISTES!$A$17=1,Cotations!DF90,Cotations!$DG$4))</f>
        <v/>
      </c>
      <c r="RC90" s="499" t="str">
        <f t="shared" si="775"/>
        <v/>
      </c>
      <c r="RD90" s="499" t="str">
        <f t="shared" si="776"/>
        <v/>
      </c>
      <c r="RE90" s="500" t="str">
        <f t="shared" si="777"/>
        <v/>
      </c>
      <c r="RF90" s="501" t="str">
        <f>IF(A90=FALSE,"",Cotations!$DK$4*Y90)</f>
        <v/>
      </c>
      <c r="RG90" s="502" t="str">
        <f t="shared" si="778"/>
        <v/>
      </c>
      <c r="RH90" s="520" t="str">
        <f>IF(A90=FALSE,"",IF(Cotations!$DH$4="monthly",RG90/12*L90,RG90/365*M90))</f>
        <v/>
      </c>
      <c r="RI90" s="503" t="str">
        <f>IF(A90=FALSE,"",Cotations!$DL$4)</f>
        <v/>
      </c>
      <c r="RJ90" s="502" t="str">
        <f t="shared" si="779"/>
        <v/>
      </c>
      <c r="RK90" s="502" t="str">
        <f t="shared" si="780"/>
        <v/>
      </c>
      <c r="RL90" s="504" t="str">
        <f t="shared" si="781"/>
        <v/>
      </c>
      <c r="RM90" s="505" t="str">
        <f>IF(A90=FALSE,"",Cotations!$DM$4)</f>
        <v/>
      </c>
      <c r="RN90" s="520" t="str">
        <f>IF(A90=FALSE,"",Cotations!$DN$4)</f>
        <v/>
      </c>
      <c r="RO90" s="503" t="str">
        <f>IF(A90=FALSE,"",Cotations!$DO$4)</f>
        <v/>
      </c>
      <c r="RP90" s="505" t="str">
        <f>IF(A90=FALSE,"",IF(RM90="N/A",0,IF(INDEX(LISTES!$F$105:$F$109,MATCH(RM90,LISTES!$C$105:$C$109,0))="FIX",IF(INDEX(LISTES!$E$105:$E$109,MATCH(RM90,LISTES!$C$105:$C$109,0))=12,RN90/12*L90,RN90/365*M90),RO90*RL90)))</f>
        <v/>
      </c>
      <c r="RQ90" s="504" t="str">
        <f t="shared" si="782"/>
        <v/>
      </c>
      <c r="RR90" s="505" t="str">
        <f>IF(A90=FALSE,"",RQ90*Cotations!$DP$4)</f>
        <v/>
      </c>
      <c r="RS90" s="505" t="str">
        <f>IF(A90=FALSE,"",RQ90*Cotations!$DQ$4)</f>
        <v/>
      </c>
      <c r="RT90" s="506" t="str">
        <f t="shared" si="783"/>
        <v/>
      </c>
      <c r="RU90" s="919" t="str">
        <f>IF(A90=FALSE,"",((RG90*TAXE)-(RG90*TAXE*RI90))+IF(RM90="N/A",0,IF(INDEX(LISTES!$F$105:$F$109,MATCH(RM90,LISTES!$C$105:$C$109,0))="FIX",RN90,RO90*RL90)))</f>
        <v/>
      </c>
      <c r="SA90" s="492" t="str">
        <f t="shared" si="784"/>
        <v/>
      </c>
      <c r="SB90" s="491" t="str">
        <f>IF(A90=FALSE,"",IF(LISTES!$A$17=1,Cotations!DF90,Cotations!DG90))</f>
        <v/>
      </c>
      <c r="SC90" s="285" t="str">
        <f t="shared" si="785"/>
        <v/>
      </c>
      <c r="SD90" s="300"/>
      <c r="SE90" s="461" t="str">
        <f t="shared" si="786"/>
        <v/>
      </c>
      <c r="SF90" s="490" t="str">
        <f>IF(A90=FALSE,"",Cotations!DK90*AA90)</f>
        <v/>
      </c>
      <c r="SG90" s="300" t="str">
        <f t="shared" si="787"/>
        <v/>
      </c>
      <c r="SH90" s="522" t="str">
        <f>IF(A90=FALSE,"",IF(Cotations!DH90="monthly",SG90/12*L90,SG90/365*M90))</f>
        <v/>
      </c>
      <c r="SI90" s="489" t="str">
        <f>IF(A90=FALSE,"",IF(Cotations!DL90="","",Cotations!DL90))</f>
        <v/>
      </c>
      <c r="SJ90" s="300" t="str">
        <f t="shared" si="788"/>
        <v/>
      </c>
      <c r="SK90" s="300" t="str">
        <f t="shared" si="789"/>
        <v/>
      </c>
      <c r="SL90" s="919" t="str">
        <f t="shared" si="790"/>
        <v/>
      </c>
      <c r="SM90" s="285" t="str">
        <f>IF(A90=FALSE,"",Cotations!DM90)</f>
        <v/>
      </c>
      <c r="SN90" s="515" t="str">
        <f>IF(A90=FALSE,"",Cotations!DN90)</f>
        <v/>
      </c>
      <c r="SO90" s="493" t="str">
        <f>IF(A90=FALSE,"",Cotations!DO90)</f>
        <v/>
      </c>
      <c r="SP90" s="517" t="str">
        <f>IF(A90=FALSE,"",IF(SM90="N/A",0,IF(INDEX(LISTES!$F$105:$F$109,MATCH(SM90,LISTES!$C$105:$C$109,0))="FIX",IF(INDEX(LISTES!$E$105:$E$109,MATCH(SM90,LISTES!$C$105:$C$109,0))=12,SN90/12*L90,SN90/365*M90),SO90*SL90)))</f>
        <v/>
      </c>
      <c r="SQ90" s="294" t="str">
        <f t="shared" si="791"/>
        <v/>
      </c>
      <c r="SR90" s="494" t="str">
        <f>IF(A90=FALSE,"",SQ90*Cotations!DP90)</f>
        <v/>
      </c>
      <c r="SS90" s="494" t="str">
        <f>IF(A90=FALSE,"",SQ90*Cotations!DQ90)</f>
        <v/>
      </c>
      <c r="ST90" s="338" t="str">
        <f t="shared" si="792"/>
        <v/>
      </c>
      <c r="SU90" s="919" t="str">
        <f>IF(A90=FALSE,"",((SG90*TAXE)-(SG90*TAXE*SI90))+IF(SM90="N/A",0,IF(INDEX(LISTES!$F$105:$F$109,MATCH(SM90,LISTES!$C$105:$C$109,0))="FIX",SN90,SO90*SL90)))</f>
        <v/>
      </c>
      <c r="TA90" s="492" t="str">
        <f>IF(A90=FALSE,"",Cotations!D90)</f>
        <v/>
      </c>
      <c r="TB90" s="491" t="str">
        <f>IF(A90=FALSE,"",IF(LISTES!$A$17=1,Cotations!DR90,Cotations!DS90))</f>
        <v/>
      </c>
      <c r="TC90" s="285" t="str">
        <f t="shared" si="793"/>
        <v/>
      </c>
      <c r="TD90" s="300" t="str">
        <f>IF(A90=FALSE,"",Detail!CQ90)</f>
        <v/>
      </c>
      <c r="TE90" s="461" t="str">
        <f t="shared" si="794"/>
        <v/>
      </c>
      <c r="TF90" s="490" t="str">
        <f>IF(A90=FALSE,"",IF(TA90="FIXE",Cotations!DU90,Cotations!DV90*Y90))</f>
        <v/>
      </c>
      <c r="TG90" s="300" t="str">
        <f t="shared" si="795"/>
        <v/>
      </c>
      <c r="TH90" s="522" t="str">
        <f>IF(A90=FALSE,"",IF(Cotations!DT90="monthly",TG90/12*L90,TG90/365*M90))</f>
        <v/>
      </c>
      <c r="TI90" s="489" t="str">
        <f>IF(A90=FALSE,"",IF(Cotations!DW90="","",Cotations!DW90))</f>
        <v/>
      </c>
      <c r="TJ90" s="300" t="str">
        <f t="shared" si="796"/>
        <v/>
      </c>
      <c r="TK90" s="300" t="str">
        <f t="shared" si="797"/>
        <v/>
      </c>
      <c r="TL90" s="919" t="str">
        <f t="shared" si="798"/>
        <v/>
      </c>
      <c r="TM90" s="517" t="str">
        <f>IF(A90=FALSE,"",Cotations!DX90)</f>
        <v/>
      </c>
      <c r="TN90" s="517" t="str">
        <f>IF(A90=FALSE,"",Cotations!DY90)</f>
        <v/>
      </c>
      <c r="TO90" s="493" t="str">
        <f>IF(A90=FALSE,"",Cotations!DZ90)</f>
        <v/>
      </c>
      <c r="TP90" s="517" t="str">
        <f>IF(A90=FALSE,"",IF(TM90="N/A",0,IF(INDEX(LISTES!$F$105:$F$109,MATCH(TM90,LISTES!$C$105:$C$109,0))="FIX",IF(INDEX(LISTES!$E$105:$E$109,MATCH(TM90,LISTES!$C$105:$C$109,0))=12,TN90/12*L90,TN90/365*M90),TO90*TL90)))</f>
        <v/>
      </c>
      <c r="TQ90" s="294" t="str">
        <f t="shared" si="799"/>
        <v/>
      </c>
      <c r="TR90" s="494" t="str">
        <f>IF(A90=FALSE,"",TQ90*Cotations!EA90)</f>
        <v/>
      </c>
      <c r="TS90" s="494" t="str">
        <f>IF(A90=FALSE,"",TQ90*Cotations!EB90)</f>
        <v/>
      </c>
      <c r="TT90" s="338" t="str">
        <f t="shared" si="800"/>
        <v/>
      </c>
      <c r="TU90" s="919" t="str">
        <f>IF(A90=FALSE,"",((TG90*(1+TAXE)-(TG90*(1+TAXE)*TI90))+IF(TM90="N/A",0,IF(INDEX(LISTES!$F$105:$F$109,MATCH(TM90,LISTES!$C$105:$C$109,0))="FIX",TN90,TO90*TL90))))</f>
        <v/>
      </c>
      <c r="UA90" s="492" t="str">
        <f>IF(A90=FALSE,"",Cotations!D90)</f>
        <v/>
      </c>
      <c r="UB90" s="491" t="str">
        <f>IF(A90=FALSE,"",IF(LISTES!$A$17=1,Cotations!EC90,Cotations!ED90))</f>
        <v/>
      </c>
      <c r="UC90" s="285" t="str">
        <f t="shared" si="801"/>
        <v/>
      </c>
      <c r="UD90" s="300" t="str">
        <f>IF(A90=FALSE,"",Detail!CY90)</f>
        <v/>
      </c>
      <c r="UE90" s="461" t="str">
        <f t="shared" si="802"/>
        <v/>
      </c>
      <c r="UF90" s="490" t="str">
        <f>IF(A90=FALSE,"",IF(UA90="FIXE",Cotations!EF90,Cotations!EG90*Y90))</f>
        <v/>
      </c>
      <c r="UG90" s="300" t="str">
        <f t="shared" si="803"/>
        <v/>
      </c>
      <c r="UH90" s="522" t="str">
        <f>IF(A90=FALSE,"",IF(Cotations!EE90="monthly",UG90/12*L90,UG90/365*M90))</f>
        <v/>
      </c>
      <c r="UI90" s="489" t="str">
        <f>IF(A90=FALSE,"",IF(Cotations!EH90="","",Cotations!EH90))</f>
        <v/>
      </c>
      <c r="UJ90" s="300" t="str">
        <f t="shared" si="804"/>
        <v/>
      </c>
      <c r="UK90" s="300" t="str">
        <f t="shared" si="805"/>
        <v/>
      </c>
      <c r="UL90" s="919" t="str">
        <f t="shared" si="806"/>
        <v/>
      </c>
      <c r="UM90" s="517" t="str">
        <f>IF(A90=FALSE,"",Cotations!EI90)</f>
        <v/>
      </c>
      <c r="UN90" s="517" t="str">
        <f>IF(A90=FALSE,"",Cotations!EJ90)</f>
        <v/>
      </c>
      <c r="UO90" s="493" t="str">
        <f>IF(A90=FALSE,"",Cotations!EK90)</f>
        <v/>
      </c>
      <c r="UP90" s="517" t="str">
        <f>IF(A90=FALSE,"",IF(UM90="N/A",0,IF(INDEX(LISTES!$F$105:$F$109,MATCH(UM90,LISTES!$C$105:$C$109,0))="FIX",IF(INDEX(LISTES!$E$105:$E$109,MATCH(UM90,LISTES!$C$105:$C$109,0))=12,UN90/12*L90,UN90/365*M90),UO90*UL90)))</f>
        <v/>
      </c>
      <c r="UQ90" s="294" t="str">
        <f t="shared" si="807"/>
        <v/>
      </c>
      <c r="UR90" s="494" t="str">
        <f>IF(A90=FALSE,"",UQ90*Cotations!EL90)</f>
        <v/>
      </c>
      <c r="US90" s="494" t="str">
        <f>IF(A90=FALSE,"",UQ90*Cotations!EM90)</f>
        <v/>
      </c>
      <c r="UT90" s="338" t="str">
        <f t="shared" si="808"/>
        <v/>
      </c>
      <c r="UU90" s="919" t="str">
        <f>IF(A90=FALSE,"",((UG90*(1+TAXE)-(UG90*(1+TAXE)*UI90))+IF(UM90="N/A",0,IF(INDEX(LISTES!$F$105:$F$109,MATCH(UM90,LISTES!$C$105:$C$109,0))="FIX",UN90,UO90*UL90))))</f>
        <v/>
      </c>
      <c r="VA90" s="492" t="str">
        <f>IF(A90=FALSE,"",Cotations!D90)</f>
        <v/>
      </c>
      <c r="VB90" s="519" t="str">
        <f>IF(A90=FALSE,"",IF(LISTES!$A$17=1,Cotations!EN90,Cotations!EO90))</f>
        <v/>
      </c>
      <c r="VC90" s="291" t="str">
        <f t="shared" si="809"/>
        <v/>
      </c>
      <c r="VD90" s="291" t="str">
        <f t="shared" si="810"/>
        <v/>
      </c>
      <c r="VE90" s="291"/>
      <c r="VF90" s="463"/>
      <c r="VG90" s="463" t="str">
        <f t="shared" si="811"/>
        <v/>
      </c>
      <c r="VH90" s="522" t="str">
        <f>IF(A90=FALSE,"",IF(Cotations!$AQ$4="monthly",VG90/12*L90,VG90/365*M90))</f>
        <v/>
      </c>
      <c r="VI90" s="489" t="str">
        <f>IF(A90=FALSE,"",Cotations!$AR$4)</f>
        <v/>
      </c>
      <c r="VJ90" s="300" t="str">
        <f t="shared" si="812"/>
        <v/>
      </c>
      <c r="VK90" s="300" t="str">
        <f t="shared" si="813"/>
        <v/>
      </c>
      <c r="VL90" s="294" t="str">
        <f t="shared" si="814"/>
        <v/>
      </c>
      <c r="VM90" s="494" t="str">
        <f>IF(A90=FALSE,"",Cotations!$AS$4)</f>
        <v/>
      </c>
      <c r="VN90" s="494" t="str">
        <f>IF(A90=FALSE,"",Cotations!$AT$4)</f>
        <v/>
      </c>
      <c r="VO90" s="489" t="str">
        <f>IF(A90=FALSE,"",Cotations!$AU$4)</f>
        <v/>
      </c>
      <c r="VP90" s="494" t="str">
        <f>IF(A90=FALSE,"",IF(VM90="N/A",0,IF(INDEX(LISTES!$F$105:$F$109,MATCH(VM90,LISTES!$C$105:$C$109,0))="FIX",IF(INDEX(LISTES!$E$105:$E$109,MATCH(VM90,LISTES!$C$105:$C$109,0))=12,VN90/12*L90,VN90/365*M90),VO90*VL90)))</f>
        <v/>
      </c>
      <c r="VQ90" s="294" t="str">
        <f t="shared" si="815"/>
        <v/>
      </c>
      <c r="VR90" s="494" t="str">
        <f>IF(A90=FALSE,"",VQ90*Cotations!$AV$4)</f>
        <v/>
      </c>
      <c r="VS90" s="494" t="str">
        <f>IF(A90=FALSE,"",VQ90*Cotations!$AW$4)</f>
        <v/>
      </c>
      <c r="VT90" s="465" t="str">
        <f t="shared" si="816"/>
        <v/>
      </c>
      <c r="VU90" s="919" t="str">
        <f>IF(A90=FALSE,"",((VG90*TAXE)-(VG90*TAXE*VI90))+IF(VM90="N/A",0,IF(INDEX(LISTES!$F$105:$F$109,MATCH(VM90,LISTES!$C$105:$C$109,0))="FIX",VN90,VO90*VL90)))</f>
        <v/>
      </c>
      <c r="WA90" s="492" t="str">
        <f>IF(A90=FALSE,"",Cotations!D90)</f>
        <v/>
      </c>
      <c r="WB90" s="519" t="str">
        <f>IF(A90=FALSE,"",IF(LISTES!$A$17=1,Cotations!EW90,Cotations!EX90))</f>
        <v/>
      </c>
      <c r="WC90" s="291" t="str">
        <f t="shared" si="817"/>
        <v/>
      </c>
      <c r="WD90" s="291" t="str">
        <f t="shared" si="818"/>
        <v/>
      </c>
      <c r="WE90" s="291"/>
      <c r="WF90" s="463"/>
      <c r="WG90" s="463" t="str">
        <f t="shared" si="819"/>
        <v/>
      </c>
      <c r="WH90" s="522" t="str">
        <f>IF(A90=FALSE,"",IF(Cotations!$AQ$4="monthly",WG90/12*L90,WG90/365*M90))</f>
        <v/>
      </c>
      <c r="WI90" s="489" t="str">
        <f>IF(A90=FALSE,"",Cotations!$AR$4)</f>
        <v/>
      </c>
      <c r="WJ90" s="300" t="str">
        <f t="shared" si="820"/>
        <v/>
      </c>
      <c r="WK90" s="300" t="str">
        <f t="shared" si="821"/>
        <v/>
      </c>
      <c r="WL90" s="294" t="str">
        <f t="shared" si="822"/>
        <v/>
      </c>
      <c r="WM90" s="494" t="str">
        <f>IF(A90=FALSE,"",Cotations!$AS$4)</f>
        <v/>
      </c>
      <c r="WN90" s="494" t="str">
        <f>IF(A90=FALSE,"",Cotations!$AT$4)</f>
        <v/>
      </c>
      <c r="WO90" s="489" t="str">
        <f>IF(A90=FALSE,"",Cotations!$AU$4)</f>
        <v/>
      </c>
      <c r="WP90" s="494" t="str">
        <f>IF(A90=FALSE,"",IF(WM90="N/A",0,IF(INDEX(LISTES!$F$105:$F$109,MATCH(WM90,LISTES!$C$105:$C$109,0))="FIX",IF(INDEX(LISTES!$E$105:$E$109,MATCH(WM90,LISTES!$C$105:$C$109,0))=12,WN90/12*L90,WN90/365*M90),WO90*WL90)))</f>
        <v/>
      </c>
      <c r="WQ90" s="294" t="str">
        <f t="shared" si="823"/>
        <v/>
      </c>
      <c r="WR90" s="494" t="str">
        <f>IF(A90=FALSE,"",WQ90*Cotations!$AV$4)</f>
        <v/>
      </c>
      <c r="WS90" s="494" t="str">
        <f>IF(A90=FALSE,"",WQ90*Cotations!$AW$4)</f>
        <v/>
      </c>
      <c r="WT90" s="465" t="str">
        <f t="shared" si="824"/>
        <v/>
      </c>
      <c r="WU90" s="919" t="str">
        <f>IF(A90=FALSE,"",((WG90*TAXE)-(WG90*TAXE*WI90))+IF(WM90="N/A",0,IF(INDEX(LISTES!$F$105:$F$109,MATCH(WM90,LISTES!$C$105:$C$109,0))="FIX",WN90,WO90*WL90)))</f>
        <v/>
      </c>
    </row>
    <row r="91" spans="1:619">
      <c r="A91" s="942" t="b">
        <f t="shared" si="629"/>
        <v>0</v>
      </c>
      <c r="B91" s="942" t="b">
        <f>IF(NAMES!$B$9=TRUE,TRUE,FALSE)</f>
        <v>1</v>
      </c>
      <c r="C91" s="942" t="b">
        <f t="shared" si="825"/>
        <v>0</v>
      </c>
      <c r="D91" s="942" t="b">
        <f t="shared" si="826"/>
        <v>0</v>
      </c>
      <c r="E91" s="274" t="b">
        <f>IF(Cotations!C91="","",Cotations!C91)</f>
        <v>0</v>
      </c>
      <c r="F91" s="274" t="str">
        <f>IF(Cotations!D91="","",Cotations!D91)</f>
        <v>PROP</v>
      </c>
      <c r="G91" s="274" t="str">
        <f>IF(Cotations!E91="","",Cotations!E91)</f>
        <v>2016-2017!</v>
      </c>
      <c r="H91" s="274" t="str">
        <f>IF(Cotations!F91="","",Cotations!F91)</f>
        <v>SINGLE</v>
      </c>
      <c r="I91" s="274" t="str">
        <f>IF(Cotations!G91="","",Cotations!G91)</f>
        <v/>
      </c>
      <c r="J91" s="274" t="str">
        <f>IF(Cotations!H91="","",Cotations!H91)</f>
        <v/>
      </c>
      <c r="K91" s="274" t="str">
        <f>IF(Cotations!I91="","",Cotations!I91)</f>
        <v/>
      </c>
      <c r="L91" s="274" t="str">
        <f>IF(A91=FALSE,"",IF(Cotations!N91="","",Cotations!N91))</f>
        <v/>
      </c>
      <c r="M91" s="274" t="str">
        <f>IF(Cotations!P91="","",Cotations!P91)</f>
        <v/>
      </c>
      <c r="N91" s="724" t="str">
        <f>IF(NAMES!$B$10=TRUE,Cotations!J91,Cotations!L91)</f>
        <v/>
      </c>
      <c r="O91" s="724" t="str">
        <f>IF(NAMES!$B$10=TRUE,Cotations!K91,Cotations!M91)</f>
        <v/>
      </c>
      <c r="P91" s="943" t="str">
        <f t="shared" si="827"/>
        <v/>
      </c>
      <c r="Q91" s="724" t="str">
        <f>IF(A91=FALSE,"",IF(Crewlist!Y91="","",Crewlist!Y91))</f>
        <v/>
      </c>
      <c r="R91" s="78" t="str">
        <f>IF(Cotations!U91="","",Cotations!U91)</f>
        <v/>
      </c>
      <c r="S91" s="943" t="str">
        <f t="shared" si="828"/>
        <v/>
      </c>
      <c r="T91" s="919" t="str">
        <f>IF(A91=FALSE,"",VLOOKUP($U$15:$U$120,Currency!$A$2:$D$10,4,0)*Crewlist!N91)</f>
        <v/>
      </c>
      <c r="U91" s="1355" t="str">
        <f>IF(A91=FALSE,"",IF(IT91=0,Crewlist!M91&amp;"/"&amp;EX91,Crewlist!M91&amp;"/"&amp;IT91))</f>
        <v/>
      </c>
      <c r="V91" s="919" t="str">
        <f>IF(A91=FALSE,"",VLOOKUP($U$15:$U$120,Currency!$A$2:$D$10,4,0)*Detail!Q91)</f>
        <v/>
      </c>
      <c r="W91" s="1355" t="str">
        <f>IF(A91=FALSE,"",IF(IT91=0,Detail!R91&amp;"/"&amp;EX91,Detail!R91&amp;"/"&amp;IT91))</f>
        <v/>
      </c>
      <c r="X91" s="919" t="str">
        <f>IF(A91=FALSE,"",IF(LISTES!$C$17="Crewlist",Calcul!T91,Calcul!V91))</f>
        <v/>
      </c>
      <c r="Y91" s="758" t="str">
        <f t="shared" si="829"/>
        <v/>
      </c>
      <c r="Z91" s="758" t="str">
        <f>IF(A91=FALSE,"",IF(X91=0,0,IF((Cotations!BC91*12*X91)&lt;50000,50000,(12*X91))))</f>
        <v/>
      </c>
      <c r="AA91" s="758" t="str">
        <f t="shared" si="830"/>
        <v/>
      </c>
      <c r="AB91" s="758" t="str">
        <f>IF(A91=FALSE,"",IF(Crewlist!O91=0,"",Crewlist!O91))</f>
        <v/>
      </c>
      <c r="AC91" s="758" t="str">
        <f>IF(I91="","",VLOOKUP($AB$15:$AB$120,Currency!$A$15:$B$34,2,0))</f>
        <v/>
      </c>
      <c r="AD91" s="758" t="str">
        <f t="shared" si="831"/>
        <v/>
      </c>
      <c r="AE91" s="758" t="str">
        <f t="shared" si="832"/>
        <v/>
      </c>
      <c r="AF91" s="758" t="str">
        <f t="shared" si="833"/>
        <v/>
      </c>
      <c r="AG91" s="758" t="str">
        <f t="shared" si="834"/>
        <v/>
      </c>
      <c r="AH91" s="1355" t="str">
        <f t="shared" si="630"/>
        <v/>
      </c>
      <c r="AI91" s="919" t="str">
        <f t="shared" si="835"/>
        <v/>
      </c>
      <c r="AJ91" s="1382" t="str">
        <f t="shared" si="836"/>
        <v/>
      </c>
      <c r="AK91" s="1382" t="str">
        <f t="shared" si="837"/>
        <v/>
      </c>
      <c r="AL91" s="238" t="str">
        <f t="shared" si="631"/>
        <v/>
      </c>
      <c r="AM91" s="238" t="str">
        <f t="shared" si="632"/>
        <v/>
      </c>
      <c r="AN91" s="1374" t="str">
        <f t="shared" si="633"/>
        <v/>
      </c>
      <c r="AO91" s="238" t="str">
        <f t="shared" si="634"/>
        <v/>
      </c>
      <c r="AP91" s="342" t="str">
        <f>IF(A91=FALSE,"",INDEX(Rates!$Z$5:$Z$367,MATCH(EB91,colchoice,0)))</f>
        <v/>
      </c>
      <c r="AQ91" s="238" t="str">
        <f t="shared" si="635"/>
        <v/>
      </c>
      <c r="AR91" s="238" t="str">
        <f t="shared" si="636"/>
        <v/>
      </c>
      <c r="AS91" s="238" t="str">
        <f t="shared" si="637"/>
        <v/>
      </c>
      <c r="AT91" s="238" t="str">
        <f t="shared" si="638"/>
        <v/>
      </c>
      <c r="AU91" s="238" t="str">
        <f t="shared" si="639"/>
        <v/>
      </c>
      <c r="AV91" s="238" t="str">
        <f t="shared" si="838"/>
        <v/>
      </c>
      <c r="AW91" s="238" t="str">
        <f t="shared" si="640"/>
        <v/>
      </c>
      <c r="AX91" s="238" t="str">
        <f t="shared" si="641"/>
        <v/>
      </c>
      <c r="AY91" s="238" t="str">
        <f t="shared" si="642"/>
        <v/>
      </c>
      <c r="AZ91" s="238" t="str">
        <f t="shared" si="643"/>
        <v/>
      </c>
      <c r="BA91" s="238" t="str">
        <f t="shared" si="644"/>
        <v/>
      </c>
      <c r="BB91" s="552" t="str">
        <f t="shared" si="645"/>
        <v/>
      </c>
      <c r="BC91" s="347" t="str">
        <f t="shared" si="646"/>
        <v/>
      </c>
      <c r="BD91" s="239" t="str">
        <f t="shared" si="839"/>
        <v/>
      </c>
      <c r="BE91" s="239" t="str">
        <f>IF(A91=FALSE,"",IF(ALLTHESAME=TRUE,IF(DF91&lt;&gt;$BC$7,0,INDEX(DD91:DZ91,1,MATCH(Structure!$D$12,$DD$14:$DZ$14,0))),IF(EC91&lt;&gt;$BC$7,0,INDEX(EA91:EZ91,1,MATCH(Structure!$D$12,$EA$14:$EZ$14,0)))))</f>
        <v/>
      </c>
      <c r="BF91" s="239" t="str">
        <f>IF(A91=FALSE,"",IF(ALLTHESAME=TRUE,IF(FC91&lt;&gt;$BC$7,0,INDEX(FA91:FZ91,1,MATCH(Structure!$D$12,$FA$14:$FZ$14,0))),IF(GC91&lt;&gt;$BC$7,0,INDEX(GA91:GZ91,1,MATCH(Structure!$D$12,$GA$14:$GZ$14,0)))))</f>
        <v/>
      </c>
      <c r="BG91" s="239" t="str">
        <f>IF(A91=FALSE,"",IF(ALLTHESAME=TRUE,IF(VC91&lt;&gt;$BC$7,0,INDEX(VA91:VZ91,1,MATCH(Structure!$D$12,$VA$14:$VZ$14,0))),IF(VC91&lt;&gt;$BC$7,0,INDEX(VA91:VZ91,1,MATCH(Structure!$D$12,$VA$14:$VZ$14,0)))))</f>
        <v/>
      </c>
      <c r="BH91" s="239" t="str">
        <f>IF(A91=FALSE,"",IF(ALLTHESAME=TRUE,IF(WC91&lt;&gt;$BC$7,0,INDEX(WA91:WY91,1,MATCH(Structure!$D$12,$WA$14:$WZ$14,0))),IF(WC91&lt;&gt;$BC$7,0,INDEX(WA91:WZ91,1,MATCH(Structure!$D$12,$WA$14:$WZ$14,0)))))</f>
        <v/>
      </c>
      <c r="BI91" s="763" t="str">
        <f>IF(A91=FALSE,"",IF(ALLTHESAME=TRUE,IF(HC91&lt;&gt;$BC$7,0,INDEX(HA91:HZ91,1,MATCH(Structure!$D$12,$HA$14:$HZ$14,0)))+TK91,IF(IC91&lt;&gt;$BC$7,0,INDEX(IA91:IZ91,1,MATCH(Structure!$D$12,$IA$14:$IZ$14,0)))+TK91))</f>
        <v/>
      </c>
      <c r="BJ91" s="239" t="str">
        <f>IF(A91=FALSE,"",IF(ALLTHESAME=TRUE,IF(JC91&lt;&gt;$BC$7,0,INDEX(JA91:JZ91,1,MATCH(Structure!$D$12,$JA$14:$JZ$14,0))),IF(KC91&lt;&gt;$BC$7,0,INDEX(KA91:KZ91,1,MATCH(Structure!$D$12,$KA$14:$KZ$14,0)))))</f>
        <v/>
      </c>
      <c r="BK91" s="763" t="str">
        <f>IF(A91=FALSE,"",IF(ALLTHESAME=TRUE,IF(LC91&lt;&gt;$BC$7,0,INDEX(LA91:LZ91,1,MATCH(Structure!$D$12,$LA$14:$LZ$14,0)))+UK91,IF(MC91&lt;&gt;$BC$7,0,INDEX(MA91:MZ91,1,MATCH(Structure!$D$12,$MA$14:$MZ$14,0)))+UK91))</f>
        <v/>
      </c>
      <c r="BL91" s="239" t="str">
        <f>IF(A91=FALSE,"",IF(ALLTHESAME=TRUE,IF(NC91&lt;&gt;$BC$7,0,INDEX(NA91:NZ91,1,MATCH(Structure!$D$12,$NA$14:$NZ$14,0))),IF(OC91&lt;&gt;$BC$7,0,INDEX(OA91:OZ91,1,MATCH(Structure!$D$12,$OA$14:$OZ$14,0)))))</f>
        <v/>
      </c>
      <c r="BM91" s="239" t="str">
        <f>IF(A91=FALSE,"",IF(ALLTHESAME=TRUE,IF(PC91&lt;&gt;$BC$7,0,INDEX(PA91:PZ91,1,MATCH(Structure!$D$12,$PA$14:$PZ$14,0))),IF(QC91&lt;&gt;$BC$7,0,INDEX(QA91:QZ91,1,MATCH(Structure!$D$12,$QA$14:$QZ$14,0)))))</f>
        <v/>
      </c>
      <c r="BN91" s="341" t="str">
        <f>IF(A91=FALSE,"",IF(ALLTHESAME=TRUE,IF(RC91&lt;&gt;$BC$7,0,INDEX(RA91:RZ91,1,MATCH(Structure!$D$12,$RA$14:$RZ$14,0))),IF(SC91&lt;&gt;$BC$7,0,INDEX(SA91:TA91,1,MATCH(Structure!$D$12,$SA$14:$TA$14,0)))))</f>
        <v/>
      </c>
      <c r="BO91" s="507" t="str">
        <f t="shared" si="647"/>
        <v/>
      </c>
      <c r="BP91" s="239" t="str">
        <f t="shared" si="648"/>
        <v/>
      </c>
      <c r="BQ91" s="239" t="str">
        <f>IF(A91=FALSE,"",IF(ALLTHESAME=TRUE,IF(DF91&lt;&gt;$BO$7,0,INDEX(DD91:DZ91,1,MATCH(Structure!$D$12,$DD$14:$DZ$14,0))),IF(EC91&lt;&gt;$BO$7,0,INDEX(EA91:EZ91,1,MATCH(Structure!$D$12,$EA$14:$EZ$14,0)))))</f>
        <v/>
      </c>
      <c r="BR91" s="239" t="str">
        <f>IF(A91=FALSE,"",IF(ALLTHESAME=TRUE,IF(FC91&lt;&gt;$BO$7,0,INDEX(FA91:FZ91,1,MATCH(Structure!$D$12,$FA$14:$FZ$14,0))),IF(GC91&lt;&gt;$BO$7,0,INDEX(GA91:GZ91,1,MATCH(Structure!$D$12,$GA$14:$GZ$14,0)))))</f>
        <v/>
      </c>
      <c r="BS91" s="239" t="str">
        <f>IF(A91=FALSE,"",IF(ALLTHESAME=TRUE,IF(HC91&lt;&gt;$BO$7,0,INDEX(HA91:HZ91,1,MATCH(Structure!$D$12,$HA$14:$HZ$14,0))),IF(IC91&lt;&gt;$BO$7,0,INDEX(IA91:IZ91,1,MATCH(Structure!$D$12,$IA$14:$IZ$14,0)))))</f>
        <v/>
      </c>
      <c r="BT91" s="239" t="str">
        <f>IF(A91=FALSE,"",IF(ALLTHESAME=TRUE,IF(JC91&lt;&gt;$BO$7,0,INDEX(JA91:JZ91,1,MATCH(Structure!$D$12,$JA$14:$JZ$14,0))),IF(KC91&lt;&gt;$BO$7,0,INDEX(KA91:KZ91,1,MATCH(Structure!$D$12,$KA$14:$KZ$14,0)))))</f>
        <v/>
      </c>
      <c r="BU91" s="239" t="str">
        <f>IF(A91=FALSE,"",IF(ALLTHESAME=TRUE,IF(LC91&lt;&gt;$BO$7,0,INDEX(LA91:LZ91,1,MATCH(Structure!$D$12,$LA$14:$LZ$14,0))),IF(MC91&lt;&gt;$BO$7,0,INDEX(MA91:MZ91,1,MATCH(Structure!$D$12,$MA$14:$MZ$14,0)))))</f>
        <v/>
      </c>
      <c r="BV91" s="239" t="str">
        <f>IF(A91=FALSE,"",IF(ALLTHESAME=TRUE,IF(NC91&lt;&gt;$BO$7,0,INDEX(NA91:NZ91,1,MATCH(Structure!$D$12,$NA$14:$NZ$14,0))),IF(OC91&lt;&gt;$BO$7,0,INDEX(OA91:OZ91,1,MATCH(Structure!$D$12,$OA$14:$OZ$14,0)))))</f>
        <v/>
      </c>
      <c r="BW91" s="239" t="str">
        <f>IF(A91=FALSE,"",IF(ALLTHESAME=TRUE,IF(PC91&lt;&gt;$BO$7,0,INDEX(PA91:PZ91,1,MATCH(Structure!$D$12,$PA$14:$PZ$14,0))),IF(QC91&lt;&gt;$BO$7,0,INDEX(QA91:QZ91,1,MATCH(Structure!$D$12,$QA$14:$QZ$14,0)))))</f>
        <v/>
      </c>
      <c r="BX91" s="341" t="str">
        <f>IF(A91=FALSE,"",IF(ALLTHESAME=TRUE,IF(RC91&lt;&gt;$BO$7,0,INDEX(RA91:RZ91,1,MATCH(Structure!$D$12,$RA$14:$RZ$14,0))),IF(SC91&lt;&gt;$BO$7,0,INDEX(SA91:TA91,1,MATCH(Structure!$D$12,$SA$14:$TA$14,0)))))</f>
        <v/>
      </c>
      <c r="BY91" s="347" t="str">
        <f t="shared" si="649"/>
        <v/>
      </c>
      <c r="BZ91" s="507" t="str">
        <f t="shared" si="650"/>
        <v/>
      </c>
      <c r="CA91" s="239" t="str">
        <f t="shared" si="651"/>
        <v/>
      </c>
      <c r="CB91" s="239" t="str">
        <f>IF(A91=FALSE,"",IF(ALLTHESAME=TRUE,INDEX(DD91:DZ91,MATCH(DF91,DF91:DF196,0),MATCH(Structure!$D$17,$DD$14:$DZ$14,0)),INDEX(EA91:EZ91,MATCH(EC91,EC91:EC196,0),MATCH(Structure!$D$17,$EA$14:$EZ$14,0))))</f>
        <v/>
      </c>
      <c r="CC91" s="239" t="str">
        <f>IF(A91=FALSE,"",IF(ALLTHESAME=TRUE,INDEX(FA91:FZ91,MATCH(FC91,FC91:FC196,0),MATCH(Structure!$D$17,$FA$14:$FZ$14,0)),INDEX(GA91:GZ91,MATCH(GC91,GC91:GC196,0),MATCH(Structure!$D$17,$GA$14:$GZ$14,0))))</f>
        <v/>
      </c>
      <c r="CD91" s="239" t="str">
        <f>IF(A91=FALSE,"",IF(ALLTHESAME=TRUE,INDEX(HA91:HZ91,MATCH(HC91,HC91:HC196,0),MATCH(Structure!$D$17,$HA$14:$HZ$14,0)),INDEX(IA91:IZ91,MATCH(IC91,IC91:IC196,0),MATCH(Structure!$D$17,$IA$14:$IZ$14,0))))</f>
        <v/>
      </c>
      <c r="CE91" s="239" t="str">
        <f>IF(A91=FALSE,"",IF(ALLTHESAME=TRUE,INDEX(JA91:JZ91,MATCH(JC91,JC91:JC196,0),MATCH(Structure!$D$17,$JA$14:$JZ$14,0)),INDEX(KA91:KZ91,MATCH(KC91,KC91:KC196,0),MATCH(Structure!$D$17,$KA$14:$KZ$14,0))))</f>
        <v/>
      </c>
      <c r="CF91" s="239" t="str">
        <f>IF(A91=FALSE,"",IF(ALLTHESAME=TRUE,INDEX(LA91:LZ91,MATCH(LC91,LC91:LC196,0),MATCH(Structure!$D$17,$LA$14:$LZ$14,0)),INDEX(MA91:MZ91,MATCH(MC91,MC91:MC196,0),MATCH(Structure!$D$17,$MA$14:$MZ$14,0))))</f>
        <v/>
      </c>
      <c r="CG91" s="239" t="str">
        <f>IF(A91=FALSE,"",IF(ALLTHESAME=TRUE,INDEX(NA91:NZ91,MATCH(NC91,NC91:NC196,0),MATCH(Structure!$D$17,$NA$14:$NZ$14,0)),INDEX(OA91:OZ91,MATCH(OC91,OC91:OC196,0),MATCH(Structure!$D$17,$OA$14:$OZ$14,0))))</f>
        <v/>
      </c>
      <c r="CH91" s="239" t="str">
        <f>IF(A91=FALSE,"",IF(ALLTHESAME=TRUE,INDEX(PA91:PZ91,MATCH(PC91,PC91:PC196,0),MATCH(Structure!$D$17,$PA$14:$PZ$14,0)),INDEX(QA91:QZ91,MATCH(QC91,QC91:QC196,0),MATCH(Structure!$D$17,$QA$14:$QZ$14,0))))</f>
        <v/>
      </c>
      <c r="CI91" s="341" t="str">
        <f>IF(A91=FALSE,"",IF(ALLTHESAME=TRUE,INDEX(RA91:RZ91,MATCH(RC91,RC91:RC196,0),MATCH(Structure!$D$17,$RA$14:$RZ$14,0)),INDEX(SA91:TC91,MATCH(SC91,SC91:SC196,0),MATCH(Structure!$D$17,$SA$14:$TC$14,0))))</f>
        <v/>
      </c>
      <c r="CJ91" s="347"/>
      <c r="CK91" s="239" t="str">
        <f t="shared" si="652"/>
        <v/>
      </c>
      <c r="CL91" s="239" t="str">
        <f>IF(A91=FALSE,"",IF(ALLTHESAME=TRUE,INDEX(DD91:DZ91,MATCH(DF91,DF91:DF196,0),MATCH(Structure!$D$22,$DD$14:$DZ$14,0)),INDEX(EA91:EZ91,MATCH(EC91,EC91:EC196,0),MATCH(Structure!$D$22,$EA$14:$EZ$14,0))))</f>
        <v/>
      </c>
      <c r="CM91" s="239" t="str">
        <f>IF(A91=FALSE,"",IF(ALLTHESAME=TRUE,INDEX(FA91:FZ91,MATCH(FC91,FC91:FC196,0),MATCH(Structure!$D$22,$FA$14:$FZ$14,0)),INDEX(GA91:GZ91,MATCH(GC91,GC91:GC196,0),MATCH(Structure!$D$22,$GA$14:$GZ$14,0))))</f>
        <v/>
      </c>
      <c r="CN91" s="239" t="str">
        <f>IF(A91=FALSE,"",IF(ALLTHESAME=TRUE,INDEX(HA91:HZ91,MATCH(HC91,HC91:HC196,0),MATCH(Structure!$D$22,$HA$14:$HZ$14,0)),INDEX(IA91:IZ91,MATCH(IC91,IC91:IC196,0),MATCH(Structure!$D$22,$IA$14:$IZ$14,0))))</f>
        <v/>
      </c>
      <c r="CO91" s="239" t="str">
        <f>IF(A91=FALSE,"",IF(ALLTHESAME=TRUE,INDEX(JA91:JZ91,MATCH(JC91,JC91:JC196,0),MATCH(Structure!$D$22,$JA$14:$JZ$14,0)),INDEX(KA91:KZ91,MATCH(KC91,KC91:KC196,0),MATCH(Structure!$D$22,$KA$14:$KZ$14,0))))</f>
        <v/>
      </c>
      <c r="CP91" s="239" t="str">
        <f>IF(A91=FALSE,"",IF(ALLTHESAME=TRUE,INDEX(LA91:LZ91,MATCH(LC91,LC91:LC196,0),MATCH(Structure!$D$22,$LA$14:$LZ$14,0)),INDEX(MA91:MZ91,MATCH(MC91,MC91:MC196,0),MATCH(Structure!$D$22,$MA$14:$MZ$14,0))))</f>
        <v/>
      </c>
      <c r="CQ91" s="239" t="str">
        <f>IF(A91=FALSE,"",IF(ALLTHESAME=TRUE,INDEX(NA91:NZ91,MATCH(NC91,NC91:NC196,0),MATCH(Structure!$D$22,$NA$14:$NZ$14,0)),INDEX(OA91:OZ91,MATCH(OC91,OC91:OC196,0),MATCH(Structure!$D$22,$OA$14:$OZ$14,0))))</f>
        <v/>
      </c>
      <c r="CR91" s="239" t="str">
        <f>IF(A91=FALSE,"",IF(ALLTHESAME=TRUE,INDEX(PA91:PZ91,MATCH(PC91,PC91:PC196,0),MATCH(Structure!$D$22,$PA$14:$PZ$14,0)),INDEX(QA91:QZ91,MATCH(QC91,QC91:QC196,0),MATCH(Structure!$D$22,$QA$14:$QZ$14,0))))</f>
        <v/>
      </c>
      <c r="CS91" s="341" t="str">
        <f>IF(A91=FALSE,"",IF(ALLTHESAME=TRUE,INDEX(RA91:RZ91,MATCH(RC91,RC91:RC196,0),MATCH(Structure!$D$22,$RA$14:$RZ$14,0)),INDEX(SA91:TC91,MATCH(SC91,SC91:SC196,0),MATCH(Structure!$D$22,$SA$14:$TC$14,0))))</f>
        <v/>
      </c>
      <c r="CT91" s="347"/>
      <c r="CU91" s="239" t="str">
        <f t="shared" si="653"/>
        <v/>
      </c>
      <c r="CV91" s="239" t="str">
        <f>IF(A91=FALSE,"",IF(ALLTHESAME=TRUE,INDEX(DD91:DZ91,MATCH(DF91,DF91:DF196,0),MATCH(Structure!$D$8,$DD$14:$DZ$14,0)),INDEX(EA91:EZ91,MATCH(EC91,EC91:EC196,0),MATCH(Structure!$D$8,$EA$14:$EZ$14,0))))</f>
        <v/>
      </c>
      <c r="CW91" s="239" t="str">
        <f>IF(A91=FALSE,"",IF(ALLTHESAME=TRUE,INDEX(FA91:FZ91,MATCH(FC91,FC91:FC196,0),MATCH(Structure!$D$8,$FA$14:$FZ$14,0)),INDEX(GA91:GZ91,MATCH(GC91,GC91:GC196,0),MATCH(Structure!$D$8,$GA$14:$GZ$14,0))))</f>
        <v/>
      </c>
      <c r="CX91" s="239" t="str">
        <f>IF(A91=FALSE,"",IF(ALLTHESAME=TRUE,INDEX(HA91:HZ91,MATCH(HC91,HC91:HC196,0),MATCH(Structure!$D$8,$HA$14:$HZ$14,0)),INDEX(IA91:IZ91,MATCH(IC91,IC91:IC196,0),MATCH(Structure!$D$8,$IA$14:$IZ$14,0))))</f>
        <v/>
      </c>
      <c r="CY91" s="239" t="str">
        <f>IF(A91=FALSE,"",IF(ALLTHESAME=TRUE,INDEX(JA91:JZ91,MATCH(JC91,JC91:JC196,0),MATCH(Structure!$D$8,$JA$14:$JZ$14,0)),INDEX(KA91:KZ91,MATCH(KC91,KC91:KC196,0),MATCH(Structure!$D$8,$KA$14:$KZ$14,0))))</f>
        <v/>
      </c>
      <c r="CZ91" s="239" t="str">
        <f>IF(A91=FALSE,"",IF(ALLTHESAME=TRUE,INDEX(LA91:LZ91,MATCH(LC91,LC91:LC196,0),MATCH(Structure!$D$8,$LA$14:$LZ$14,0)),INDEX(MA91:MZ91,MATCH(MC91,MC91:MC196,0),MATCH(Structure!$D$8,$MA$14:$MZ$14,0))))</f>
        <v/>
      </c>
      <c r="DA91" s="239" t="str">
        <f>IF(A91=FALSE,"",IF(ALLTHESAME=TRUE,INDEX(NA91:NZ91,MATCH(NC91,NC91:NC196,0),MATCH(Structure!$D$8,$NA$14:$NZ$14,0)),INDEX(OA91:OZ91,MATCH(OC91,OC91:OC196,0),MATCH(Structure!$D$8,$OA$14:$OZ$14,0))))</f>
        <v/>
      </c>
      <c r="DB91" s="239" t="str">
        <f>IF(A91=FALSE,"",IF(ALLTHESAME=TRUE,INDEX(PA91:PZ91,MATCH(PC91,PC91:PC196,0),MATCH(Structure!$D$8,$PA$14:$PZ$14,0)),INDEX(QA91:QZ91,MATCH(QC91,QC91:QC196,0),MATCH(Structure!$D$8,$QA$14:$QZ$14,0))))</f>
        <v/>
      </c>
      <c r="DC91" s="341" t="str">
        <f>IF(A91=FALSE,"",IF(ALLTHESAME=TRUE,INDEX(RA91:RZ91,MATCH(RC91,RC91:RC196,0),MATCH(Structure!$D$8,$RA$14:$RZ$14,0)),INDEX(SA91:TC91,MATCH(SC91,SC91:SC196,0),MATCH(Structure!$D$8,$SA$14:$TC$14,0))))</f>
        <v/>
      </c>
      <c r="DD91" s="492" t="str">
        <f>IF(A91=FALSE,"",Cotations!D91)</f>
        <v/>
      </c>
      <c r="DE91" s="492" t="str">
        <f>IF(A91=FALSE,"",IF(LISTES!$A$17=1,Cotations!AF91,Cotations!$AG$4))</f>
        <v/>
      </c>
      <c r="DF91" s="291" t="str">
        <f t="shared" si="654"/>
        <v/>
      </c>
      <c r="DG91" s="291" t="str">
        <f t="shared" si="655"/>
        <v/>
      </c>
      <c r="DH91" s="291"/>
      <c r="DI91" s="463"/>
      <c r="DJ91" s="463" t="str">
        <f t="shared" si="656"/>
        <v/>
      </c>
      <c r="DK91" s="522" t="str">
        <f>IF(A91=FALSE,"",IF(Cotations!$AH$4="monthly",DJ91/12*L91,DJ91/365*M91))</f>
        <v/>
      </c>
      <c r="DL91" s="489" t="str">
        <f>IF(A91=FALSE,"",Cotations!$AI$4)</f>
        <v/>
      </c>
      <c r="DM91" s="300" t="str">
        <f t="shared" si="657"/>
        <v/>
      </c>
      <c r="DN91" s="300" t="str">
        <f t="shared" si="658"/>
        <v/>
      </c>
      <c r="DO91" s="294" t="str">
        <f t="shared" si="659"/>
        <v/>
      </c>
      <c r="DP91" s="494" t="str">
        <f>IF(A91=FALSE,"",Cotations!$AJ$4)</f>
        <v/>
      </c>
      <c r="DQ91" s="494" t="str">
        <f>IF(A91=FALSE,"",Cotations!$AK$4)</f>
        <v/>
      </c>
      <c r="DR91" s="489" t="str">
        <f>IF(A91=FALSE,"",Cotations!$AL$4)</f>
        <v/>
      </c>
      <c r="DS91" s="494" t="str">
        <f>IF(A91=FALSE,"",IF(DP91="N/A",0,IF(INDEX(LISTES!$F$105:$F$109,MATCH(DP91,LISTES!$C$105:$C$109,0))="FIX",IF(INDEX(LISTES!$E$105:$E$109,MATCH(DP91,LISTES!$C$105:$C$109,0))=12,DQ91/12*L91,DQ91/365*M91),DR91*DO91)))</f>
        <v/>
      </c>
      <c r="DT91" s="294" t="str">
        <f t="shared" si="660"/>
        <v/>
      </c>
      <c r="DU91" s="294" t="str">
        <f>IF(A91=FALSE,"",DT91*Cotations!$AM$4)</f>
        <v/>
      </c>
      <c r="DV91" s="294" t="str">
        <f>IF(A91=FALSE,"",DT91*Cotations!$AN$4)</f>
        <v/>
      </c>
      <c r="DW91" s="465" t="str">
        <f t="shared" si="661"/>
        <v/>
      </c>
      <c r="DX91" s="919" t="str">
        <f>IF(A91=FALSE,"",((DJ91*TAXE)-(DJ91*TAXE*DL91))+IF(DP91="N/A",0,IF(INDEX(LISTES!$F$105:$F$109,MATCH(DP91,LISTES!$C$105:$C$109,0))="FIX",DQ91,DR91*DO91)))</f>
        <v/>
      </c>
      <c r="DY91" s="466"/>
      <c r="DZ91" s="466"/>
      <c r="EA91" s="492" t="str">
        <f>IF(A91=FALSE,"",Cotations!D91)</f>
        <v/>
      </c>
      <c r="EB91" s="494" t="str">
        <f>IF(A91=FALSE,"",IF(LISTES!$A$17=1,Cotations!AF91,Cotations!AG91))</f>
        <v/>
      </c>
      <c r="EC91" s="284" t="str">
        <f t="shared" si="662"/>
        <v/>
      </c>
      <c r="ED91" s="284" t="str">
        <f t="shared" si="663"/>
        <v/>
      </c>
      <c r="EE91" s="284"/>
      <c r="EF91" s="284"/>
      <c r="EG91" s="284" t="str">
        <f t="shared" si="664"/>
        <v/>
      </c>
      <c r="EH91" s="1365" t="str">
        <f t="shared" si="665"/>
        <v/>
      </c>
      <c r="EI91" s="1365" t="str">
        <f t="shared" si="666"/>
        <v/>
      </c>
      <c r="EJ91" s="515" t="str">
        <f>IF(A91=FALSE,"",IF(Cotations!AH91="monthly",EG91/12*L91,EG91/365*M91))</f>
        <v/>
      </c>
      <c r="EK91" s="1364" t="str">
        <f>IF(A91=FALSE,"",IF(Cotations!AH91="monthly",EI91/12*L91,EI91/365*M91))</f>
        <v/>
      </c>
      <c r="EL91" s="493" t="str">
        <f>IF(A91=FALSE,"",IF(Cotations!AI91="","",Cotations!AI91))</f>
        <v/>
      </c>
      <c r="EM91" s="284" t="str">
        <f t="shared" si="667"/>
        <v/>
      </c>
      <c r="EN91" s="284" t="str">
        <f t="shared" si="668"/>
        <v/>
      </c>
      <c r="EO91" s="1365" t="str">
        <f t="shared" si="840"/>
        <v/>
      </c>
      <c r="EP91" s="284" t="str">
        <f t="shared" si="669"/>
        <v/>
      </c>
      <c r="EQ91" s="515" t="str">
        <f>IF(A91=FALSE,"",Cotations!AJ91)</f>
        <v/>
      </c>
      <c r="ER91" s="515" t="str">
        <f>IF(A91=FALSE,"",IF(Cotations!AK91="","",Cotations!AK91))</f>
        <v/>
      </c>
      <c r="ES91" s="493" t="str">
        <f>IF(A91=FALSE,"",Cotations!AL91)</f>
        <v/>
      </c>
      <c r="ET91" s="515" t="str">
        <f>IF(A91=FALSE,"",IF(EQ91="N/A",0,IF(INDEX(LISTES!$F$105:$F$109,MATCH(EQ91,LISTES!$C$105:$C$109,0))="FIX",IF(INDEX(LISTES!$E$105:$E$109,MATCH(EQ91,LISTES!$C$105:$C$109,0))=12,ER91/12*L91,ER91/365*M91),ES91*EP91)))</f>
        <v/>
      </c>
      <c r="EU91" s="294" t="str">
        <f t="shared" si="670"/>
        <v/>
      </c>
      <c r="EV91" s="494" t="str">
        <f>IF(A91=FALSE,"",EU91*Cotations!AM91)</f>
        <v/>
      </c>
      <c r="EW91" s="494" t="str">
        <f>IF(A91=FALSE,"",EU91*Cotations!AN91)</f>
        <v/>
      </c>
      <c r="EX91" s="334" t="str">
        <f t="shared" si="671"/>
        <v/>
      </c>
      <c r="EY91" s="919" t="str">
        <f>IF(A91=FALSE,"",((EG91*TAXE)-(EG91*TAXE*EL91)+EH91)+IF(EQ91="N/A",0,IF(INDEX(LISTES!$F$105:$F$109,MATCH(EQ91,LISTES!$C$105:$C$109,0))="FIX",ER91,ES91*EP91)))</f>
        <v/>
      </c>
      <c r="FA91" s="492" t="str">
        <f>IF(A91=FALSE,"",Cotations!D91)</f>
        <v/>
      </c>
      <c r="FB91" s="519" t="str">
        <f>IF(A91=FALSE,"",IF(LISTES!$A$17=1,Cotations!AO91,Cotations!$AP$4))</f>
        <v/>
      </c>
      <c r="FC91" s="291" t="str">
        <f t="shared" si="672"/>
        <v/>
      </c>
      <c r="FD91" s="291" t="str">
        <f t="shared" si="673"/>
        <v/>
      </c>
      <c r="FE91" s="291"/>
      <c r="FF91" s="463"/>
      <c r="FG91" s="463" t="str">
        <f t="shared" si="674"/>
        <v/>
      </c>
      <c r="FH91" s="522" t="str">
        <f>IF(A91=FALSE,"",IF(Cotations!$AQ$4="monthly",FG91/12*L91,FG91/365*M91))</f>
        <v/>
      </c>
      <c r="FI91" s="453" t="str">
        <f>IF(A91=FALSE,"",Cotations!$AR$4)</f>
        <v/>
      </c>
      <c r="FJ91" s="300" t="str">
        <f t="shared" si="675"/>
        <v/>
      </c>
      <c r="FK91" s="300" t="str">
        <f t="shared" si="676"/>
        <v/>
      </c>
      <c r="FL91" s="294" t="str">
        <f t="shared" si="677"/>
        <v/>
      </c>
      <c r="FM91" s="494" t="str">
        <f>IF(A91=FALSE,"",Cotations!$AS$4)</f>
        <v/>
      </c>
      <c r="FN91" s="494" t="str">
        <f>IF(A91=FALSE,"",Cotations!$AT$4)</f>
        <v/>
      </c>
      <c r="FO91" s="489" t="str">
        <f>IF(A91=FALSE,"",Cotations!$AU$4)</f>
        <v/>
      </c>
      <c r="FP91" s="494" t="str">
        <f>IF(A91=FALSE,"",IF(FM91="N/A",0,IF(INDEX(LISTES!$F$105:$F$109,MATCH(FM91,LISTES!$C$105:$C$109,0))="FIX",IF(INDEX(LISTES!$E$105:$E$109,MATCH(FM91,LISTES!$C$105:$C$109,0))=12,FN91/12*L91,FN91/365*M91),FO91*FL91)))</f>
        <v/>
      </c>
      <c r="FQ91" s="294" t="str">
        <f t="shared" si="678"/>
        <v/>
      </c>
      <c r="FR91" s="494" t="str">
        <f>IF(A91=FALSE,"",FQ91*Cotations!$AV$4)</f>
        <v/>
      </c>
      <c r="FS91" s="494" t="str">
        <f>IF(A91=FALSE,"",FQ91*Cotations!$AW$4)</f>
        <v/>
      </c>
      <c r="FT91" s="465" t="str">
        <f t="shared" si="679"/>
        <v/>
      </c>
      <c r="FU91" s="919" t="str">
        <f>IF(A91=FALSE,"",((FG91*TAXE)-(FG91*TAXE*FI91))+IF(FM91="N/A",0,IF(INDEX(LISTES!$F$105:$F$109,MATCH(FM91,LISTES!$C$105:$C$109,0))="FIX",FN91,FO91*FL91)))</f>
        <v/>
      </c>
      <c r="FV91" s="478"/>
      <c r="FW91" s="478"/>
      <c r="FX91" s="478"/>
      <c r="FY91" s="478"/>
      <c r="FZ91" s="478"/>
      <c r="GA91" s="492" t="str">
        <f>IF(A91=FALSE,"",Cotations!D91)</f>
        <v/>
      </c>
      <c r="GB91" s="494" t="str">
        <f>IF(A91=FALSE,"",IF(LISTES!$A$17=1,Cotations!AO91,Cotations!AP91))</f>
        <v/>
      </c>
      <c r="GC91" s="284" t="str">
        <f t="shared" si="680"/>
        <v/>
      </c>
      <c r="GD91" s="515" t="str">
        <f>IF(A91=FALSE,"",IF(Detail!AM91="","",Detail!AM91))</f>
        <v/>
      </c>
      <c r="GE91" s="284"/>
      <c r="GF91" s="284"/>
      <c r="GG91" s="284" t="str">
        <f t="shared" si="681"/>
        <v/>
      </c>
      <c r="GH91" s="515" t="str">
        <f>IF(A91=FALSE,"",IF(Cotations!AQ91="monthly",GG91/12*L91,GG91/365*M91))</f>
        <v/>
      </c>
      <c r="GI91" s="493" t="str">
        <f>IF(A91=FALSE,"",IF(Cotations!AR91="","",Cotations!AR91))</f>
        <v/>
      </c>
      <c r="GJ91" s="284" t="str">
        <f t="shared" si="682"/>
        <v/>
      </c>
      <c r="GK91" s="284" t="str">
        <f t="shared" si="683"/>
        <v/>
      </c>
      <c r="GL91" s="284" t="str">
        <f t="shared" si="684"/>
        <v/>
      </c>
      <c r="GM91" s="515" t="str">
        <f>IF(A91=FALSE,"",Cotations!AS91)</f>
        <v/>
      </c>
      <c r="GN91" s="515" t="str">
        <f>IF(A91=FALSE,"",Cotations!AT91)</f>
        <v/>
      </c>
      <c r="GO91" s="493" t="str">
        <f>IF(A91=FALSE,"",Cotations!AU91)</f>
        <v/>
      </c>
      <c r="GP91" s="515" t="str">
        <f>IF(A91=FALSE,"",IF(GM91="N/A",0,IF(INDEX(LISTES!$F$105:$F$109,MATCH(GM91,LISTES!$C$105:$C$109,0))="FIX",IF(INDEX(LISTES!$E$105:$E$109,MATCH(GM91,LISTES!$C$105:$C$109,0))=12,GN91/12*L91,GN91/365*M91),GO91*GL91)))</f>
        <v/>
      </c>
      <c r="GQ91" s="294" t="str">
        <f t="shared" si="685"/>
        <v/>
      </c>
      <c r="GR91" s="494" t="str">
        <f>IF(A91=FALSE,"",GQ91*Cotations!AV91)</f>
        <v/>
      </c>
      <c r="GS91" s="494" t="str">
        <f>IF(A91=FALSE,"",GQ91*Cotations!AW91)</f>
        <v/>
      </c>
      <c r="GT91" s="334" t="str">
        <f t="shared" si="686"/>
        <v/>
      </c>
      <c r="GU91" s="919" t="str">
        <f>IF(A91=FALSE,"",((GG91*TAXE)-(GG91*TAXE*GI91))+IF(GM91="N/A",0,IF(INDEX(LISTES!$F$105:$F$109,MATCH(GM91,LISTES!$C$105:$C$109,0))="FIX",GN91,GO91*GL91)))</f>
        <v/>
      </c>
      <c r="GV91" s="478"/>
      <c r="GW91" s="466"/>
      <c r="GX91" s="466"/>
      <c r="GY91" s="466"/>
      <c r="GZ91" s="466"/>
      <c r="HA91" s="492" t="str">
        <f>IF(A91=FALSE,"",Cotations!D91)</f>
        <v/>
      </c>
      <c r="HB91" s="495" t="str">
        <f>IF(A91=FALSE,"",IF(LISTES!$A$17=1,Cotations!AX91,Cotations!$AY$4))</f>
        <v/>
      </c>
      <c r="HC91" s="291" t="str">
        <f t="shared" si="687"/>
        <v/>
      </c>
      <c r="HD91" s="291" t="str">
        <f t="shared" si="688"/>
        <v/>
      </c>
      <c r="HE91" s="456" t="str">
        <f t="shared" si="689"/>
        <v/>
      </c>
      <c r="HF91" s="496" t="str">
        <f>IF(A91=FALSE,"",IF(HA91="POEA",Cotations!BA91,IF(HA91="FIXE",Cotations!$BA$4,Cotations!$BC$4*Y91)))</f>
        <v/>
      </c>
      <c r="HG91" s="300" t="str">
        <f t="shared" si="690"/>
        <v/>
      </c>
      <c r="HH91" s="522" t="str">
        <f>IF(A91=FALSE,"",IF(Cotations!$AZ$4="monthly",HG91/12*L91,HG91/365*M91))</f>
        <v/>
      </c>
      <c r="HI91" s="489" t="str">
        <f>IF(A91=FALSE,"",Cotations!$BD$4)</f>
        <v/>
      </c>
      <c r="HJ91" s="300" t="str">
        <f t="shared" si="691"/>
        <v/>
      </c>
      <c r="HK91" s="300" t="str">
        <f t="shared" si="692"/>
        <v/>
      </c>
      <c r="HL91" s="294" t="str">
        <f t="shared" si="693"/>
        <v/>
      </c>
      <c r="HM91" s="494" t="str">
        <f>IF(A91=FALSE,"",Cotations!$BE$4)</f>
        <v/>
      </c>
      <c r="HN91" s="522" t="str">
        <f>IF(A91=FALSE,"",Cotations!$BF$4)</f>
        <v/>
      </c>
      <c r="HO91" s="489" t="str">
        <f>IF(A91=FALSE,"",Cotations!$BG$4)</f>
        <v/>
      </c>
      <c r="HP91" s="494" t="str">
        <f>IF(A91=FALSE,"",IF(HM91="N/A",0,IF(INDEX(LISTES!$F$105:$F$109,MATCH(HM91,LISTES!$C$105:$C$109,0))="FIX",IF(INDEX(LISTES!$E$105:$E$109,MATCH(HM91,LISTES!$C$105:$C$109,0))=12,HN91/12*L91,HN91/365*M91),HO91*HL91)))</f>
        <v/>
      </c>
      <c r="HQ91" s="294" t="str">
        <f t="shared" si="694"/>
        <v/>
      </c>
      <c r="HR91" s="494" t="str">
        <f>IF(A91=FALSE,"",HQ91*Cotations!$BH$4)</f>
        <v/>
      </c>
      <c r="HS91" s="494" t="str">
        <f>IF(A91=FALSE,"",HQ91*Cotations!$BI$4)</f>
        <v/>
      </c>
      <c r="HT91" s="294" t="str">
        <f t="shared" si="695"/>
        <v/>
      </c>
      <c r="HU91" s="919" t="str">
        <f>IF(A91=FALSE,"",((HG91*TAXE)-(HG91*TAXE*HI91))+IF(HM91="N/A",0,IF(INDEX(LISTES!$F$105:$F$109,MATCH(HM91,LISTES!$C$105:$C$109,0))="FIX",HN91,HO91*HL91)))</f>
        <v/>
      </c>
      <c r="IA91" s="492" t="str">
        <f>IF(A91=FALSE,"",Cotations!D91)</f>
        <v/>
      </c>
      <c r="IB91" s="491" t="str">
        <f>IF(A91=FALSE,"",IF(LISTES!$A$17=1,Cotations!AX91,Cotations!AY91))</f>
        <v/>
      </c>
      <c r="IC91" s="285" t="str">
        <f t="shared" si="696"/>
        <v/>
      </c>
      <c r="ID91" s="300" t="str">
        <f>IF(A91=FALSE,"",IF(LISTES!$A$17=3,Detail!AU91,lig1_Formula_PREVOY))</f>
        <v/>
      </c>
      <c r="IE91" s="461" t="str">
        <f t="shared" si="697"/>
        <v/>
      </c>
      <c r="IF91" s="490" t="str">
        <f>IF(A91=FALSE,"",IF(IA91="POEA",Cotations!BA91,IF(HA91="FIXE",Cotations!BB91,IF(Cotations!BC91*Y91&lt;50000,Z91,Cotations!BC91*Y91))))</f>
        <v/>
      </c>
      <c r="IG91" s="300" t="str">
        <f t="shared" si="698"/>
        <v/>
      </c>
      <c r="IH91" s="522" t="str">
        <f>IF(A91=FALSE,"",IF(Cotations!AZ91="monthly",IG91/12*L91,IG91/365*M91))</f>
        <v/>
      </c>
      <c r="II91" s="489" t="str">
        <f>IF(A91=FALSE,"",IF(Cotations!BD91="","",Cotations!BD91))</f>
        <v/>
      </c>
      <c r="IJ91" s="300" t="str">
        <f t="shared" si="699"/>
        <v/>
      </c>
      <c r="IK91" s="300" t="str">
        <f t="shared" si="700"/>
        <v/>
      </c>
      <c r="IL91" s="919" t="str">
        <f t="shared" si="701"/>
        <v/>
      </c>
      <c r="IM91" s="517" t="str">
        <f>IF(A91=FALSE,"",Cotations!BE91)</f>
        <v/>
      </c>
      <c r="IN91" s="517" t="str">
        <f>IF(A91=FALSE,"",Cotations!BF91)</f>
        <v/>
      </c>
      <c r="IO91" s="493" t="str">
        <f>IF(A91=FALSE,"",Cotations!BG91)</f>
        <v/>
      </c>
      <c r="IP91" s="517" t="str">
        <f>IF(A91=FALSE,"",IF(IM91="N/A",0,IF(INDEX(LISTES!$F$105:$F$109,MATCH(IM91,LISTES!$C$105:$C$109,0))="FIX",IF(INDEX(LISTES!$E$105:$E$109,MATCH(IM91,LISTES!$C$105:$C$109,0))=12,IN91/12*L91,IN91/365*M91),IO91*IL91)))</f>
        <v/>
      </c>
      <c r="IQ91" s="294" t="str">
        <f t="shared" si="702"/>
        <v/>
      </c>
      <c r="IR91" s="494" t="str">
        <f>IF(A91=FALSE,"",IQ91*Cotations!BH91)</f>
        <v/>
      </c>
      <c r="IS91" s="494" t="str">
        <f>IF(A91=FALSE,"",IQ91*Cotations!BI91)</f>
        <v/>
      </c>
      <c r="IT91" s="338" t="str">
        <f t="shared" si="703"/>
        <v/>
      </c>
      <c r="IU91" s="919" t="str">
        <f>IF(A91=FALSE,"",((IG91*TAXE)-(IG91*TAXE*II91))+IF(IM91="N/A",0,IF(INDEX(LISTES!$F$105:$F$109,MATCH(IM91,LISTES!$C$105:$C$109,0))="FIX",IN91,IO91*IL91)))</f>
        <v/>
      </c>
      <c r="JA91" s="492" t="str">
        <f>IF(A91=FALSE,"",Cotations!D91)</f>
        <v/>
      </c>
      <c r="JB91" s="495" t="str">
        <f>IF(A91=FALSE,"",IF(LISTES!$A$17=1,Cotations!BJ91,Cotations!$BK$4))</f>
        <v/>
      </c>
      <c r="JC91" s="291" t="str">
        <f t="shared" si="704"/>
        <v/>
      </c>
      <c r="JD91" s="291" t="str">
        <f t="shared" si="705"/>
        <v/>
      </c>
      <c r="JE91" s="456" t="str">
        <f t="shared" si="706"/>
        <v/>
      </c>
      <c r="JF91" s="496" t="str">
        <f>IF(A91=FALSE,"",IF(JA91="POEA",Cotations!BM91,IF(JA91="FIXE",Cotations!$BM$4,Cotations!$BO$4*Y91)))</f>
        <v/>
      </c>
      <c r="JG91" s="300" t="str">
        <f t="shared" si="707"/>
        <v/>
      </c>
      <c r="JH91" s="522" t="str">
        <f>IF(A91=FALSE,"",IF(Cotations!$BL$4="monthly",JG91/12*L91,JG91/365*M91))</f>
        <v/>
      </c>
      <c r="JI91" s="489" t="str">
        <f>IF(A91=FALSE,"",Cotations!$BP$4)</f>
        <v/>
      </c>
      <c r="JJ91" s="300" t="str">
        <f t="shared" si="708"/>
        <v/>
      </c>
      <c r="JK91" s="300" t="str">
        <f t="shared" si="709"/>
        <v/>
      </c>
      <c r="JL91" s="294" t="str">
        <f t="shared" si="710"/>
        <v/>
      </c>
      <c r="JM91" s="494" t="str">
        <f>IF(A91=FALSE,"",Cotations!$BQ$4)</f>
        <v/>
      </c>
      <c r="JN91" s="522" t="str">
        <f>IF(A91=FALSE,"",Cotations!$BR$4)</f>
        <v/>
      </c>
      <c r="JO91" s="489" t="str">
        <f>IF(A91=FALSE,"",Cotations!$BS$4)</f>
        <v/>
      </c>
      <c r="JP91" s="494" t="str">
        <f>IF(A91=FALSE,"",IF(JM91="N/A",0,IF(INDEX(LISTES!$F$105:$F$109,MATCH(JM91,LISTES!$C$105:$C$109,0))="FIX",IF(INDEX(LISTES!$E$105:$E$109,MATCH(JM91,LISTES!$C$105:$C$109,0))=12,JN91/12*L91,JN91/365*M91),JO91*JL91)))</f>
        <v/>
      </c>
      <c r="JQ91" s="294" t="str">
        <f t="shared" si="711"/>
        <v/>
      </c>
      <c r="JR91" s="494" t="str">
        <f>IF(A91=FALSE,"",JQ91*Cotations!$BT$4)</f>
        <v/>
      </c>
      <c r="JS91" s="494" t="str">
        <f>IF(A91=FALSE,"",JQ91*Cotations!$BU$4)</f>
        <v/>
      </c>
      <c r="JT91" s="294" t="str">
        <f t="shared" si="712"/>
        <v/>
      </c>
      <c r="JU91" s="919" t="str">
        <f>IF(A91=FALSE,"",((JG91*TAXE)-(JG91*TAXE*JI91))+IF(JM91="N/A",0,IF(INDEX(LISTES!$F$105:$F$109,MATCH(JM91,LISTES!$C$105:$C$109,0))="FIX",JN91,JO91*JL91)))</f>
        <v/>
      </c>
      <c r="KA91" s="492" t="str">
        <f>IF(A91=FALSE,"",Cotations!D91)</f>
        <v/>
      </c>
      <c r="KB91" s="491" t="str">
        <f>IF(A91=FALSE,"",IF(LISTES!$A$17=1,Cotations!BJ91,Cotations!BK91))</f>
        <v/>
      </c>
      <c r="KC91" s="285" t="str">
        <f t="shared" si="713"/>
        <v/>
      </c>
      <c r="KD91" s="300"/>
      <c r="KE91" s="461" t="str">
        <f t="shared" si="714"/>
        <v/>
      </c>
      <c r="KF91" s="490" t="str">
        <f>IF(A91=FALSE,"",IF(KA91="POEA",Cotations!BM91,IF(KA91="FIXE",Cotations!BN91,IF(Cotations!BO91*Y91&lt;50000,Z91,Cotations!BO91*Y91))))</f>
        <v/>
      </c>
      <c r="KG91" s="300" t="str">
        <f t="shared" si="715"/>
        <v/>
      </c>
      <c r="KH91" s="522" t="str">
        <f>IF(A91=FALSE,"",IF(Cotations!BL91="monthly",KG91/12*L91,KG91/365*M91))</f>
        <v/>
      </c>
      <c r="KI91" s="489" t="str">
        <f>IF(A91=FALSE,"",IF(Cotations!BP91="","",Cotations!BP91))</f>
        <v/>
      </c>
      <c r="KJ91" s="300" t="str">
        <f t="shared" si="716"/>
        <v/>
      </c>
      <c r="KK91" s="300" t="str">
        <f t="shared" si="717"/>
        <v/>
      </c>
      <c r="KL91" s="919" t="str">
        <f t="shared" si="718"/>
        <v/>
      </c>
      <c r="KM91" s="517" t="str">
        <f>IF(A91=FALSE,"",Cotations!BQ91)</f>
        <v/>
      </c>
      <c r="KN91" s="515" t="str">
        <f>IF(A91=FALSE,"",Cotations!BR91)</f>
        <v/>
      </c>
      <c r="KO91" s="493" t="str">
        <f>IF(A91=FALSE,"",Cotations!BS91)</f>
        <v/>
      </c>
      <c r="KP91" s="517" t="str">
        <f>IF(A91=FALSE,"",IF(KM91="N/A",0,IF(INDEX(LISTES!$F$105:$F$109,MATCH(KM91,LISTES!$C$105:$C$109,0))="FIX",IF(INDEX(LISTES!$E$105:$E$109,MATCH(KM91,LISTES!$C$105:$C$109,0))=12,KN91/12*L91,KN91/365*M91),KO91*KL91)))</f>
        <v/>
      </c>
      <c r="KQ91" s="294" t="str">
        <f t="shared" si="719"/>
        <v/>
      </c>
      <c r="KR91" s="494" t="str">
        <f>IF(A91=FALSE,"",KQ91*Cotations!BT91)</f>
        <v/>
      </c>
      <c r="KS91" s="494" t="str">
        <f>IF(A91=FALSE,"",KQ91*Cotations!BU91)</f>
        <v/>
      </c>
      <c r="KT91" s="338" t="str">
        <f t="shared" si="720"/>
        <v/>
      </c>
      <c r="KU91" s="919" t="str">
        <f>IF(A91=FALSE,"",((KG91*TAXE)-(KG91*TAXE*KI91))+IF(KM91="N/A",0,IF(INDEX(LISTES!$F$105:$F$109,MATCH(KM91,LISTES!$C$105:$C$109,0))="FIX",KN91,KO91*KL91)))</f>
        <v/>
      </c>
      <c r="LA91" s="497" t="str">
        <f>IF(A91=FALSE,"",Cotations!D91)</f>
        <v/>
      </c>
      <c r="LB91" s="498" t="str">
        <f>IF(A91=FALSE,"",IF(LISTES!$A$17=1,Cotations!BV91,Cotations!$BW$4))</f>
        <v/>
      </c>
      <c r="LC91" s="499" t="str">
        <f t="shared" si="721"/>
        <v/>
      </c>
      <c r="LD91" s="499" t="str">
        <f t="shared" si="722"/>
        <v/>
      </c>
      <c r="LE91" s="500" t="str">
        <f t="shared" si="723"/>
        <v/>
      </c>
      <c r="LF91" s="501" t="str">
        <f>IF(A91=FALSE,"",IF(LA91="POEA",Cotations!EJ91,IF(LA91="FIXE",Cotations!$BY$4,Cotations!$CA$4*Y91)))</f>
        <v/>
      </c>
      <c r="LG91" s="502" t="str">
        <f t="shared" si="724"/>
        <v/>
      </c>
      <c r="LH91" s="520" t="str">
        <f>IF(A91=FALSE,"",IF(Cotations!$BX$4="monthly",LG91/12*L91,LG91/365*M91))</f>
        <v/>
      </c>
      <c r="LI91" s="503" t="str">
        <f>IF(A91=FALSE,"",Cotations!$CB$4)</f>
        <v/>
      </c>
      <c r="LJ91" s="502" t="str">
        <f t="shared" si="725"/>
        <v/>
      </c>
      <c r="LK91" s="502" t="str">
        <f t="shared" si="726"/>
        <v/>
      </c>
      <c r="LL91" s="504" t="str">
        <f t="shared" si="727"/>
        <v/>
      </c>
      <c r="LM91" s="505" t="str">
        <f>IF(A91=FALSE,"",Cotations!$CC$4)</f>
        <v/>
      </c>
      <c r="LN91" s="503" t="str">
        <f>IF(A91=FALSE,"",Cotations!$CD$4)</f>
        <v/>
      </c>
      <c r="LO91" s="503" t="str">
        <f>IF(A91=FALSE,"",Cotations!$CE$4)</f>
        <v/>
      </c>
      <c r="LP91" s="505" t="str">
        <f>IF(A91=FALSE,"",IF(LM91="N/A",0,IF(INDEX(LISTES!$F$105:$F$109,MATCH(LM91,LISTES!$C$105:$C$109,0))="FIX",IF(INDEX(LISTES!$E$105:$E$109,MATCH(LM91,LISTES!$C$105:$C$109,0))=12,LN91/12*L91,LN91/365*M91),LO91*LL91)))</f>
        <v/>
      </c>
      <c r="LQ91" s="504" t="str">
        <f t="shared" si="728"/>
        <v/>
      </c>
      <c r="LR91" s="505" t="str">
        <f>IF(A91=FALSE,"",LQ91*Cotations!$CF$4)</f>
        <v/>
      </c>
      <c r="LS91" s="505" t="str">
        <f>IF(A91=FALSE,"",LQ91*Cotations!$CG$4)</f>
        <v/>
      </c>
      <c r="LT91" s="506" t="str">
        <f t="shared" si="729"/>
        <v/>
      </c>
      <c r="LU91" s="919" t="str">
        <f>IF(A91=FALSE,"",((LG91*TAXE)-(LG91*TAXE*LI91))+IF(LM91="N/A",0,IF(INDEX(LISTES!$F$105:$F$109,MATCH(LM91,LISTES!$C$105:$C$109,0))="FIX",LN91,LO91*LL91)))</f>
        <v/>
      </c>
      <c r="MA91" s="492" t="str">
        <f>IF(A91=FALSE,"",Cotations!D91)</f>
        <v/>
      </c>
      <c r="MB91" s="491" t="str">
        <f>IF(A91=FALSE,"",IF(LISTES!$A$17=1,Cotations!BV91,Cotations!BW91))</f>
        <v/>
      </c>
      <c r="MC91" s="285" t="str">
        <f t="shared" si="730"/>
        <v/>
      </c>
      <c r="MD91" s="300"/>
      <c r="ME91" s="461" t="str">
        <f t="shared" si="731"/>
        <v/>
      </c>
      <c r="MF91" s="490" t="str">
        <f>IF(A91=FALSE,"",IF(MA91="POEA",Cotations!BY91,IF(MA91="FIXE",Cotations!BZ91,IF(Cotations!CA91*Y91&lt;50000,Z91,Cotations!CA91*Y91))))</f>
        <v/>
      </c>
      <c r="MG91" s="300" t="str">
        <f t="shared" si="732"/>
        <v/>
      </c>
      <c r="MH91" s="522" t="str">
        <f>IF(A91=FALSE,"",IF(Cotations!BX91="monthly",MG91/12*L91,MG91/365*M91))</f>
        <v/>
      </c>
      <c r="MI91" s="489" t="str">
        <f>IF(A91=FALSE,"",IF(Cotations!CB91="","",Cotations!CB91))</f>
        <v/>
      </c>
      <c r="MJ91" s="300" t="str">
        <f t="shared" si="733"/>
        <v/>
      </c>
      <c r="MK91" s="300" t="str">
        <f t="shared" si="734"/>
        <v/>
      </c>
      <c r="ML91" s="919" t="str">
        <f t="shared" si="735"/>
        <v/>
      </c>
      <c r="MM91" s="517" t="str">
        <f>IF(A91=FALSE,"",Cotations!CC91)</f>
        <v/>
      </c>
      <c r="MN91" s="515" t="str">
        <f>IF(A91=FALSE,"",Cotations!CD91)</f>
        <v/>
      </c>
      <c r="MO91" s="493" t="str">
        <f>IF(A91=FALSE,"",Cotations!CE91)</f>
        <v/>
      </c>
      <c r="MP91" s="517" t="str">
        <f>IF(A91=FALSE,"",IF(MM91="N/A",0,IF(INDEX(LISTES!$F$105:$F$109,MATCH(MM91,LISTES!$C$105:$C$109,0))="FIX",IF(INDEX(LISTES!$E$105:$E$109,MATCH(MM91,LISTES!$C$105:$C$109,0))=12,MN91/12*L91,MN91/365*M91),MO91*ML91)))</f>
        <v/>
      </c>
      <c r="MQ91" s="294" t="str">
        <f t="shared" si="736"/>
        <v/>
      </c>
      <c r="MR91" s="494" t="str">
        <f>IF(A91=FALSE,"",MQ91*Cotations!CF91)</f>
        <v/>
      </c>
      <c r="MS91" s="494" t="str">
        <f>IF(A91=FALSE,"",MQ91*Cotations!CG91)</f>
        <v/>
      </c>
      <c r="MT91" s="338" t="str">
        <f t="shared" si="737"/>
        <v/>
      </c>
      <c r="MU91" s="919" t="str">
        <f>IF(A91=FALSE,"",((MG91*TAXE)-(MG91*TAXE*MI91))+IF(MM91="N/A",0,IF(INDEX(LISTES!$F$105:$F$109,MATCH(MM91,LISTES!$C$105:$C$109,0))="FIX",MN91,MO91*ML91)))</f>
        <v/>
      </c>
      <c r="NA91" s="497" t="str">
        <f>IF(A91=FALSE,"",Cotations!D91)</f>
        <v/>
      </c>
      <c r="NB91" s="498" t="str">
        <f>IF(A91=FALSE,"",IF(LISTES!$A$17=1,Cotations!CH91,Cotations!$CI$4))</f>
        <v/>
      </c>
      <c r="NC91" s="499" t="str">
        <f t="shared" si="738"/>
        <v/>
      </c>
      <c r="ND91" s="499" t="str">
        <f t="shared" si="739"/>
        <v/>
      </c>
      <c r="NE91" s="500" t="str">
        <f t="shared" si="740"/>
        <v/>
      </c>
      <c r="NF91" s="501" t="str">
        <f>IF(A91=FALSE,"",IF(NA91="POEA",Cotations!CK91,IF(NA91="FIXE",Cotations!$CK$4,Cotations!$CM$4*Y91)))</f>
        <v/>
      </c>
      <c r="NG91" s="502" t="str">
        <f t="shared" si="741"/>
        <v/>
      </c>
      <c r="NH91" s="520" t="str">
        <f>IF(A91=FALSE,"",IF(Cotations!$CJ$4="monthly",NG91/12*L91,NG91/365*M91))</f>
        <v/>
      </c>
      <c r="NI91" s="503" t="str">
        <f>IF(A91=FALSE,"",Cotations!$CN$4)</f>
        <v/>
      </c>
      <c r="NJ91" s="502" t="str">
        <f t="shared" si="742"/>
        <v/>
      </c>
      <c r="NK91" s="502" t="str">
        <f t="shared" si="743"/>
        <v/>
      </c>
      <c r="NL91" s="504" t="str">
        <f t="shared" si="744"/>
        <v/>
      </c>
      <c r="NM91" s="505" t="str">
        <f>IF(A91=FALSE,"",Cotations!$CO$4)</f>
        <v/>
      </c>
      <c r="NN91" s="520" t="str">
        <f>IF(A91=FALSE,"",Cotations!$CP$4)</f>
        <v/>
      </c>
      <c r="NO91" s="503" t="str">
        <f>IF(A91=FALSE,"",Cotations!$CQ$4)</f>
        <v/>
      </c>
      <c r="NP91" s="505" t="str">
        <f>IF(A91=FALSE,"",IF(NM91="N/A",0,IF(INDEX(LISTES!$F$105:$F$109,MATCH(NM91,LISTES!$C$105:$C$109,0))="FIX",IF(INDEX(LISTES!$E$105:$E$109,MATCH(NM91,LISTES!$C$105:$C$109,0))=12,NN91/12*L91,NN91/365*M91),NO91*NL91)))</f>
        <v/>
      </c>
      <c r="NQ91" s="504" t="str">
        <f t="shared" si="745"/>
        <v/>
      </c>
      <c r="NR91" s="505" t="str">
        <f>IF(A91=FALSE,"",NQ91*Cotations!$CR$4)</f>
        <v/>
      </c>
      <c r="NS91" s="505" t="str">
        <f>IF(A91=FALSE,"",NQ91*Cotations!$CS$4)</f>
        <v/>
      </c>
      <c r="NT91" s="506" t="str">
        <f t="shared" si="746"/>
        <v/>
      </c>
      <c r="NU91" s="919" t="str">
        <f>IF(A91=FALSE,"",((NG91*TAXE)-(NG91*TAXE*NI91))+IF(NM91="N/A",0,IF(INDEX(LISTES!$F$105:$F$109,MATCH(NM91,LISTES!$C$105:$C$109,0))="FIX",NN91,NO91*NL91)))</f>
        <v/>
      </c>
      <c r="OA91" s="492" t="str">
        <f>IF(A91=FALSE,"",Cotations!D91)</f>
        <v/>
      </c>
      <c r="OB91" s="491" t="str">
        <f>IF(A91=FALSE,"",IF(LISTES!$A$17=1,Cotations!CH91,Cotations!CI91))</f>
        <v/>
      </c>
      <c r="OC91" s="285" t="str">
        <f t="shared" si="747"/>
        <v/>
      </c>
      <c r="OD91" s="300"/>
      <c r="OE91" s="461" t="str">
        <f t="shared" si="748"/>
        <v/>
      </c>
      <c r="OF91" s="490" t="str">
        <f>IF(A91=FALSE,"",IF(OA91="POEA",Cotations!CK91,IF(OA91="FIXE",Cotations!CL91,IF(Cotations!CM91*Y91&lt;50000,Z91,Cotations!CM91*Y91))))</f>
        <v/>
      </c>
      <c r="OG91" s="300" t="str">
        <f t="shared" si="749"/>
        <v/>
      </c>
      <c r="OH91" s="522" t="str">
        <f>IF(A91=FALSE,"",IF(Cotations!CJ91="monthly",OG91/12*L91,OG91/365*M91))</f>
        <v/>
      </c>
      <c r="OI91" s="489" t="str">
        <f>IF(A91=FALSE,"",IF(Cotations!CN91="","",Cotations!CN91))</f>
        <v/>
      </c>
      <c r="OJ91" s="300" t="str">
        <f t="shared" si="750"/>
        <v/>
      </c>
      <c r="OK91" s="300" t="str">
        <f t="shared" si="751"/>
        <v/>
      </c>
      <c r="OL91" s="919" t="str">
        <f t="shared" si="752"/>
        <v/>
      </c>
      <c r="OM91" s="517" t="str">
        <f>IF(A91=FALSE,"",Cotations!CO91)</f>
        <v/>
      </c>
      <c r="ON91" s="515" t="str">
        <f>IF(A91=FALSE,"",Cotations!CP91)</f>
        <v/>
      </c>
      <c r="OO91" s="493" t="str">
        <f>IF(A91=FALSE,"",Cotations!CQ91)</f>
        <v/>
      </c>
      <c r="OP91" s="517" t="str">
        <f>IF(A91=FALSE,"",IF(OM91="N/A",0,IF(INDEX(LISTES!$F$105:$F$109,MATCH(OM91,LISTES!$C$105:$C$109,0))="FIX",IF(INDEX(LISTES!$E$105:$E$109,MATCH(OM91,LISTES!$C$105:$C$109,0))=12,ON91/12*L91,ON91/365*M91),OO91*OL91)))</f>
        <v/>
      </c>
      <c r="OQ91" s="294" t="str">
        <f t="shared" si="753"/>
        <v/>
      </c>
      <c r="OR91" s="494" t="str">
        <f>IF(A91=FALSE,"",OQ91*Cotations!CR91)</f>
        <v/>
      </c>
      <c r="OS91" s="494" t="str">
        <f>IF(A91=FALSE,"",OQ91*Cotations!CS91)</f>
        <v/>
      </c>
      <c r="OT91" s="338" t="str">
        <f t="shared" si="754"/>
        <v/>
      </c>
      <c r="OU91" s="919" t="str">
        <f>IF(A91=FALSE,"",((OG91*TAXE)-(OG91*TAXE*OI91))+IF(OM91="N/A",0,IF(INDEX(LISTES!$F$105:$F$109,MATCH(OM91,LISTES!$C$105:$C$109,0))="FIX",ON91,OO91*OL91)))</f>
        <v/>
      </c>
      <c r="PA91" s="497" t="str">
        <f t="shared" si="755"/>
        <v/>
      </c>
      <c r="PB91" s="498" t="str">
        <f>IF(A91=FALSE,"",IF(LISTES!$A$17=1,Cotations!CT91,Cotations!$CU$4))</f>
        <v/>
      </c>
      <c r="PC91" s="499" t="str">
        <f t="shared" si="756"/>
        <v/>
      </c>
      <c r="PD91" s="499" t="str">
        <f t="shared" si="757"/>
        <v/>
      </c>
      <c r="PE91" s="500" t="str">
        <f t="shared" si="758"/>
        <v/>
      </c>
      <c r="PF91" s="501" t="str">
        <f>IF(A91=FALSE,"",Cotations!$CY$4*Y91)</f>
        <v/>
      </c>
      <c r="PG91" s="502" t="str">
        <f t="shared" si="759"/>
        <v/>
      </c>
      <c r="PH91" s="520" t="str">
        <f>IF(A91=FALSE,"",IF(Cotations!$CV$4="monthly",PG91/12*L91,PG91/365*M91))</f>
        <v/>
      </c>
      <c r="PI91" s="503" t="str">
        <f>IF(A91=FALSE,"",Cotations!$CZ$4)</f>
        <v/>
      </c>
      <c r="PJ91" s="502" t="str">
        <f t="shared" si="760"/>
        <v/>
      </c>
      <c r="PK91" s="502" t="str">
        <f t="shared" si="761"/>
        <v/>
      </c>
      <c r="PL91" s="504" t="str">
        <f t="shared" si="762"/>
        <v/>
      </c>
      <c r="PM91" s="505" t="str">
        <f>IF(A91=FALSE,"",Cotations!$DA$4)</f>
        <v/>
      </c>
      <c r="PN91" s="520" t="str">
        <f>IF(A91=FALSE,"",Cotations!$DB$4)</f>
        <v/>
      </c>
      <c r="PO91" s="503" t="str">
        <f>IF(A91=FALSE,"",Cotations!$DC$4)</f>
        <v/>
      </c>
      <c r="PP91" s="505" t="str">
        <f>IF(A91=FALSE,"",IF(PM91="N/A",0,IF(INDEX(LISTES!$F$105:$F$109,MATCH(PM91,LISTES!$C$105:$C$109,0))="FIX",IF(INDEX(LISTES!$E$105:$E$109,MATCH(PM91,LISTES!$C$105:$C$109,0))=12,PN91/12*L91,PN91/365*M91),PO91*PL91)))</f>
        <v/>
      </c>
      <c r="PQ91" s="504" t="str">
        <f t="shared" si="763"/>
        <v/>
      </c>
      <c r="PR91" s="505" t="str">
        <f>IF(A91=FALSE,"",PQ91*Cotations!$DD$4)</f>
        <v/>
      </c>
      <c r="PS91" s="505" t="str">
        <f>IF(A91=FALSE,"",PQ91*Cotations!$DE$4)</f>
        <v/>
      </c>
      <c r="PT91" s="506" t="str">
        <f t="shared" si="764"/>
        <v/>
      </c>
      <c r="PU91" s="919" t="str">
        <f>IF(A91=FALSE,"",((PG91*TAXE)-(PG91*TAXE*PI91))+IF(PM91="N/A",0,IF(INDEX(LISTES!$F$105:$F$109,MATCH(PM91,LISTES!$C$105:$C$109,0))="FIX",PN91,PO91*PL91)))</f>
        <v/>
      </c>
      <c r="QA91" s="492" t="str">
        <f t="shared" si="765"/>
        <v/>
      </c>
      <c r="QB91" s="491" t="str">
        <f>IF(A91=FALSE,"",IF(LISTES!$A$17=1,Cotations!CT91,Cotations!CU91))</f>
        <v/>
      </c>
      <c r="QC91" s="285" t="str">
        <f t="shared" si="766"/>
        <v/>
      </c>
      <c r="QD91" s="300"/>
      <c r="QE91" s="461" t="str">
        <f t="shared" si="767"/>
        <v/>
      </c>
      <c r="QF91" s="490" t="str">
        <f>IF(A91=FALSE,"",Cotations!CY91*AA91)</f>
        <v/>
      </c>
      <c r="QG91" s="300" t="str">
        <f t="shared" si="768"/>
        <v/>
      </c>
      <c r="QH91" s="522" t="str">
        <f>IF(A91=FALSE,"",IF(Cotations!CV91="monthly",QG91/12*L91,QG91/365*M91))</f>
        <v/>
      </c>
      <c r="QI91" s="489" t="str">
        <f>IF(A91=FALSE,"",IF(Cotations!CZ91="","",Cotations!CZ91))</f>
        <v/>
      </c>
      <c r="QJ91" s="300" t="str">
        <f t="shared" si="769"/>
        <v/>
      </c>
      <c r="QK91" s="300" t="str">
        <f t="shared" si="770"/>
        <v/>
      </c>
      <c r="QL91" s="919" t="str">
        <f t="shared" si="771"/>
        <v/>
      </c>
      <c r="QM91" s="517" t="str">
        <f>IF(A91=FALSE,"",Cotations!DA91)</f>
        <v/>
      </c>
      <c r="QN91" s="515" t="str">
        <f>IF(A91=FALSE,"",Cotations!DB91)</f>
        <v/>
      </c>
      <c r="QO91" s="493" t="str">
        <f>IF(A91=FALSE,"",Cotations!DC91)</f>
        <v/>
      </c>
      <c r="QP91" s="517" t="str">
        <f>IF(A91=FALSE,"",IF(QM91="N/A",0,IF(INDEX(LISTES!$F$105:$F$109,MATCH(QM91,LISTES!$C$105:$C$109,0))="FIX",IF(INDEX(LISTES!$E$105:$E$109,MATCH(QM91,LISTES!$C$105:$C$109,0))=12,QN91/12*L91,QN91/365*M91),QO91*QL91)))</f>
        <v/>
      </c>
      <c r="QQ91" s="294" t="str">
        <f t="shared" si="772"/>
        <v/>
      </c>
      <c r="QR91" s="494" t="str">
        <f>IF(A91=FALSE,"",QQ91*Cotations!DD91)</f>
        <v/>
      </c>
      <c r="QS91" s="494" t="str">
        <f>IF(A91=FALSE,"",QQ91*Cotations!DE91)</f>
        <v/>
      </c>
      <c r="QT91" s="338" t="str">
        <f t="shared" si="773"/>
        <v/>
      </c>
      <c r="QU91" s="919" t="str">
        <f>IF(A91=FALSE,"",((QG91*TAXE)-(QG91*TAXE*QI91))+IF(QM91="N/A",0,IF(INDEX(LISTES!$F$105:$F$109,MATCH(QM91,LISTES!$C$105:$C$109,0))="FIX",QN91,QO91*QL91)))</f>
        <v/>
      </c>
      <c r="RA91" s="497" t="str">
        <f t="shared" si="774"/>
        <v/>
      </c>
      <c r="RB91" s="498" t="str">
        <f>IF(A91=FALSE,"",IF(LISTES!$A$17=1,Cotations!DF91,Cotations!$DG$4))</f>
        <v/>
      </c>
      <c r="RC91" s="499" t="str">
        <f t="shared" si="775"/>
        <v/>
      </c>
      <c r="RD91" s="499" t="str">
        <f t="shared" si="776"/>
        <v/>
      </c>
      <c r="RE91" s="500" t="str">
        <f t="shared" si="777"/>
        <v/>
      </c>
      <c r="RF91" s="501" t="str">
        <f>IF(A91=FALSE,"",Cotations!$DK$4*Y91)</f>
        <v/>
      </c>
      <c r="RG91" s="502" t="str">
        <f t="shared" si="778"/>
        <v/>
      </c>
      <c r="RH91" s="520" t="str">
        <f>IF(A91=FALSE,"",IF(Cotations!$DH$4="monthly",RG91/12*L91,RG91/365*M91))</f>
        <v/>
      </c>
      <c r="RI91" s="503" t="str">
        <f>IF(A91=FALSE,"",Cotations!$DL$4)</f>
        <v/>
      </c>
      <c r="RJ91" s="502" t="str">
        <f t="shared" si="779"/>
        <v/>
      </c>
      <c r="RK91" s="502" t="str">
        <f t="shared" si="780"/>
        <v/>
      </c>
      <c r="RL91" s="504" t="str">
        <f t="shared" si="781"/>
        <v/>
      </c>
      <c r="RM91" s="505" t="str">
        <f>IF(A91=FALSE,"",Cotations!$DM$4)</f>
        <v/>
      </c>
      <c r="RN91" s="520" t="str">
        <f>IF(A91=FALSE,"",Cotations!$DN$4)</f>
        <v/>
      </c>
      <c r="RO91" s="503" t="str">
        <f>IF(A91=FALSE,"",Cotations!$DO$4)</f>
        <v/>
      </c>
      <c r="RP91" s="505" t="str">
        <f>IF(A91=FALSE,"",IF(RM91="N/A",0,IF(INDEX(LISTES!$F$105:$F$109,MATCH(RM91,LISTES!$C$105:$C$109,0))="FIX",IF(INDEX(LISTES!$E$105:$E$109,MATCH(RM91,LISTES!$C$105:$C$109,0))=12,RN91/12*L91,RN91/365*M91),RO91*RL91)))</f>
        <v/>
      </c>
      <c r="RQ91" s="504" t="str">
        <f t="shared" si="782"/>
        <v/>
      </c>
      <c r="RR91" s="505" t="str">
        <f>IF(A91=FALSE,"",RQ91*Cotations!$DP$4)</f>
        <v/>
      </c>
      <c r="RS91" s="505" t="str">
        <f>IF(A91=FALSE,"",RQ91*Cotations!$DQ$4)</f>
        <v/>
      </c>
      <c r="RT91" s="506" t="str">
        <f t="shared" si="783"/>
        <v/>
      </c>
      <c r="RU91" s="919" t="str">
        <f>IF(A91=FALSE,"",((RG91*TAXE)-(RG91*TAXE*RI91))+IF(RM91="N/A",0,IF(INDEX(LISTES!$F$105:$F$109,MATCH(RM91,LISTES!$C$105:$C$109,0))="FIX",RN91,RO91*RL91)))</f>
        <v/>
      </c>
      <c r="SA91" s="492" t="str">
        <f t="shared" si="784"/>
        <v/>
      </c>
      <c r="SB91" s="491" t="str">
        <f>IF(A91=FALSE,"",IF(LISTES!$A$17=1,Cotations!DF91,Cotations!DG91))</f>
        <v/>
      </c>
      <c r="SC91" s="285" t="str">
        <f t="shared" si="785"/>
        <v/>
      </c>
      <c r="SD91" s="300"/>
      <c r="SE91" s="461" t="str">
        <f t="shared" si="786"/>
        <v/>
      </c>
      <c r="SF91" s="490" t="str">
        <f>IF(A91=FALSE,"",Cotations!DK91*AA91)</f>
        <v/>
      </c>
      <c r="SG91" s="300" t="str">
        <f t="shared" si="787"/>
        <v/>
      </c>
      <c r="SH91" s="522" t="str">
        <f>IF(A91=FALSE,"",IF(Cotations!DH91="monthly",SG91/12*L91,SG91/365*M91))</f>
        <v/>
      </c>
      <c r="SI91" s="489" t="str">
        <f>IF(A91=FALSE,"",IF(Cotations!DL91="","",Cotations!DL91))</f>
        <v/>
      </c>
      <c r="SJ91" s="300" t="str">
        <f t="shared" si="788"/>
        <v/>
      </c>
      <c r="SK91" s="300" t="str">
        <f t="shared" si="789"/>
        <v/>
      </c>
      <c r="SL91" s="919" t="str">
        <f t="shared" si="790"/>
        <v/>
      </c>
      <c r="SM91" s="285" t="str">
        <f>IF(A91=FALSE,"",Cotations!DM91)</f>
        <v/>
      </c>
      <c r="SN91" s="515" t="str">
        <f>IF(A91=FALSE,"",Cotations!DN91)</f>
        <v/>
      </c>
      <c r="SO91" s="493" t="str">
        <f>IF(A91=FALSE,"",Cotations!DO91)</f>
        <v/>
      </c>
      <c r="SP91" s="517" t="str">
        <f>IF(A91=FALSE,"",IF(SM91="N/A",0,IF(INDEX(LISTES!$F$105:$F$109,MATCH(SM91,LISTES!$C$105:$C$109,0))="FIX",IF(INDEX(LISTES!$E$105:$E$109,MATCH(SM91,LISTES!$C$105:$C$109,0))=12,SN91/12*L91,SN91/365*M91),SO91*SL91)))</f>
        <v/>
      </c>
      <c r="SQ91" s="294" t="str">
        <f t="shared" si="791"/>
        <v/>
      </c>
      <c r="SR91" s="494" t="str">
        <f>IF(A91=FALSE,"",SQ91*Cotations!DP91)</f>
        <v/>
      </c>
      <c r="SS91" s="494" t="str">
        <f>IF(A91=FALSE,"",SQ91*Cotations!DQ91)</f>
        <v/>
      </c>
      <c r="ST91" s="338" t="str">
        <f t="shared" si="792"/>
        <v/>
      </c>
      <c r="SU91" s="919" t="str">
        <f>IF(A91=FALSE,"",((SG91*TAXE)-(SG91*TAXE*SI91))+IF(SM91="N/A",0,IF(INDEX(LISTES!$F$105:$F$109,MATCH(SM91,LISTES!$C$105:$C$109,0))="FIX",SN91,SO91*SL91)))</f>
        <v/>
      </c>
      <c r="TA91" s="492" t="str">
        <f>IF(A91=FALSE,"",Cotations!D91)</f>
        <v/>
      </c>
      <c r="TB91" s="491" t="str">
        <f>IF(A91=FALSE,"",IF(LISTES!$A$17=1,Cotations!DR91,Cotations!DS91))</f>
        <v/>
      </c>
      <c r="TC91" s="285" t="str">
        <f t="shared" si="793"/>
        <v/>
      </c>
      <c r="TD91" s="300" t="str">
        <f>IF(A91=FALSE,"",Detail!CQ91)</f>
        <v/>
      </c>
      <c r="TE91" s="461" t="str">
        <f t="shared" si="794"/>
        <v/>
      </c>
      <c r="TF91" s="490" t="str">
        <f>IF(A91=FALSE,"",IF(TA91="FIXE",Cotations!DU91,Cotations!DV91*Y91))</f>
        <v/>
      </c>
      <c r="TG91" s="300" t="str">
        <f t="shared" si="795"/>
        <v/>
      </c>
      <c r="TH91" s="522" t="str">
        <f>IF(A91=FALSE,"",IF(Cotations!DT91="monthly",TG91/12*L91,TG91/365*M91))</f>
        <v/>
      </c>
      <c r="TI91" s="489" t="str">
        <f>IF(A91=FALSE,"",IF(Cotations!DW91="","",Cotations!DW91))</f>
        <v/>
      </c>
      <c r="TJ91" s="300" t="str">
        <f t="shared" si="796"/>
        <v/>
      </c>
      <c r="TK91" s="300" t="str">
        <f t="shared" si="797"/>
        <v/>
      </c>
      <c r="TL91" s="919" t="str">
        <f t="shared" si="798"/>
        <v/>
      </c>
      <c r="TM91" s="517" t="str">
        <f>IF(A91=FALSE,"",Cotations!DX91)</f>
        <v/>
      </c>
      <c r="TN91" s="517" t="str">
        <f>IF(A91=FALSE,"",Cotations!DY91)</f>
        <v/>
      </c>
      <c r="TO91" s="493" t="str">
        <f>IF(A91=FALSE,"",Cotations!DZ91)</f>
        <v/>
      </c>
      <c r="TP91" s="517" t="str">
        <f>IF(A91=FALSE,"",IF(TM91="N/A",0,IF(INDEX(LISTES!$F$105:$F$109,MATCH(TM91,LISTES!$C$105:$C$109,0))="FIX",IF(INDEX(LISTES!$E$105:$E$109,MATCH(TM91,LISTES!$C$105:$C$109,0))=12,TN91/12*L91,TN91/365*M91),TO91*TL91)))</f>
        <v/>
      </c>
      <c r="TQ91" s="294" t="str">
        <f t="shared" si="799"/>
        <v/>
      </c>
      <c r="TR91" s="494" t="str">
        <f>IF(A91=FALSE,"",TQ91*Cotations!EA91)</f>
        <v/>
      </c>
      <c r="TS91" s="494" t="str">
        <f>IF(A91=FALSE,"",TQ91*Cotations!EB91)</f>
        <v/>
      </c>
      <c r="TT91" s="338" t="str">
        <f t="shared" si="800"/>
        <v/>
      </c>
      <c r="TU91" s="919" t="str">
        <f>IF(A91=FALSE,"",((TG91*(1+TAXE)-(TG91*(1+TAXE)*TI91))+IF(TM91="N/A",0,IF(INDEX(LISTES!$F$105:$F$109,MATCH(TM91,LISTES!$C$105:$C$109,0))="FIX",TN91,TO91*TL91))))</f>
        <v/>
      </c>
      <c r="UA91" s="492" t="str">
        <f>IF(A91=FALSE,"",Cotations!D91)</f>
        <v/>
      </c>
      <c r="UB91" s="491" t="str">
        <f>IF(A91=FALSE,"",IF(LISTES!$A$17=1,Cotations!EC91,Cotations!ED91))</f>
        <v/>
      </c>
      <c r="UC91" s="285" t="str">
        <f t="shared" si="801"/>
        <v/>
      </c>
      <c r="UD91" s="300" t="str">
        <f>IF(A91=FALSE,"",Detail!CY91)</f>
        <v/>
      </c>
      <c r="UE91" s="461" t="str">
        <f t="shared" si="802"/>
        <v/>
      </c>
      <c r="UF91" s="490" t="str">
        <f>IF(A91=FALSE,"",IF(UA91="FIXE",Cotations!EF91,Cotations!EG91*Y91))</f>
        <v/>
      </c>
      <c r="UG91" s="300" t="str">
        <f t="shared" si="803"/>
        <v/>
      </c>
      <c r="UH91" s="522" t="str">
        <f>IF(A91=FALSE,"",IF(Cotations!EE91="monthly",UG91/12*L91,UG91/365*M91))</f>
        <v/>
      </c>
      <c r="UI91" s="489" t="str">
        <f>IF(A91=FALSE,"",IF(Cotations!EH91="","",Cotations!EH91))</f>
        <v/>
      </c>
      <c r="UJ91" s="300" t="str">
        <f t="shared" si="804"/>
        <v/>
      </c>
      <c r="UK91" s="300" t="str">
        <f t="shared" si="805"/>
        <v/>
      </c>
      <c r="UL91" s="919" t="str">
        <f t="shared" si="806"/>
        <v/>
      </c>
      <c r="UM91" s="517" t="str">
        <f>IF(A91=FALSE,"",Cotations!EI91)</f>
        <v/>
      </c>
      <c r="UN91" s="517" t="str">
        <f>IF(A91=FALSE,"",Cotations!EJ91)</f>
        <v/>
      </c>
      <c r="UO91" s="493" t="str">
        <f>IF(A91=FALSE,"",Cotations!EK91)</f>
        <v/>
      </c>
      <c r="UP91" s="517" t="str">
        <f>IF(A91=FALSE,"",IF(UM91="N/A",0,IF(INDEX(LISTES!$F$105:$F$109,MATCH(UM91,LISTES!$C$105:$C$109,0))="FIX",IF(INDEX(LISTES!$E$105:$E$109,MATCH(UM91,LISTES!$C$105:$C$109,0))=12,UN91/12*L91,UN91/365*M91),UO91*UL91)))</f>
        <v/>
      </c>
      <c r="UQ91" s="294" t="str">
        <f t="shared" si="807"/>
        <v/>
      </c>
      <c r="UR91" s="494" t="str">
        <f>IF(A91=FALSE,"",UQ91*Cotations!EL91)</f>
        <v/>
      </c>
      <c r="US91" s="494" t="str">
        <f>IF(A91=FALSE,"",UQ91*Cotations!EM91)</f>
        <v/>
      </c>
      <c r="UT91" s="338" t="str">
        <f t="shared" si="808"/>
        <v/>
      </c>
      <c r="UU91" s="919" t="str">
        <f>IF(A91=FALSE,"",((UG91*(1+TAXE)-(UG91*(1+TAXE)*UI91))+IF(UM91="N/A",0,IF(INDEX(LISTES!$F$105:$F$109,MATCH(UM91,LISTES!$C$105:$C$109,0))="FIX",UN91,UO91*UL91))))</f>
        <v/>
      </c>
      <c r="VA91" s="492" t="str">
        <f>IF(A91=FALSE,"",Cotations!D91)</f>
        <v/>
      </c>
      <c r="VB91" s="519" t="str">
        <f>IF(A91=FALSE,"",IF(LISTES!$A$17=1,Cotations!EN91,Cotations!EO91))</f>
        <v/>
      </c>
      <c r="VC91" s="291" t="str">
        <f t="shared" si="809"/>
        <v/>
      </c>
      <c r="VD91" s="291" t="str">
        <f t="shared" si="810"/>
        <v/>
      </c>
      <c r="VE91" s="291"/>
      <c r="VF91" s="463"/>
      <c r="VG91" s="463" t="str">
        <f t="shared" si="811"/>
        <v/>
      </c>
      <c r="VH91" s="522" t="str">
        <f>IF(A91=FALSE,"",IF(Cotations!$AQ$4="monthly",VG91/12*L91,VG91/365*M91))</f>
        <v/>
      </c>
      <c r="VI91" s="489" t="str">
        <f>IF(A91=FALSE,"",Cotations!$AR$4)</f>
        <v/>
      </c>
      <c r="VJ91" s="300" t="str">
        <f t="shared" si="812"/>
        <v/>
      </c>
      <c r="VK91" s="300" t="str">
        <f t="shared" si="813"/>
        <v/>
      </c>
      <c r="VL91" s="294" t="str">
        <f t="shared" si="814"/>
        <v/>
      </c>
      <c r="VM91" s="494" t="str">
        <f>IF(A91=FALSE,"",Cotations!$AS$4)</f>
        <v/>
      </c>
      <c r="VN91" s="494" t="str">
        <f>IF(A91=FALSE,"",Cotations!$AT$4)</f>
        <v/>
      </c>
      <c r="VO91" s="489" t="str">
        <f>IF(A91=FALSE,"",Cotations!$AU$4)</f>
        <v/>
      </c>
      <c r="VP91" s="494" t="str">
        <f>IF(A91=FALSE,"",IF(VM91="N/A",0,IF(INDEX(LISTES!$F$105:$F$109,MATCH(VM91,LISTES!$C$105:$C$109,0))="FIX",IF(INDEX(LISTES!$E$105:$E$109,MATCH(VM91,LISTES!$C$105:$C$109,0))=12,VN91/12*L91,VN91/365*M91),VO91*VL91)))</f>
        <v/>
      </c>
      <c r="VQ91" s="294" t="str">
        <f t="shared" si="815"/>
        <v/>
      </c>
      <c r="VR91" s="494" t="str">
        <f>IF(A91=FALSE,"",VQ91*Cotations!$AV$4)</f>
        <v/>
      </c>
      <c r="VS91" s="494" t="str">
        <f>IF(A91=FALSE,"",VQ91*Cotations!$AW$4)</f>
        <v/>
      </c>
      <c r="VT91" s="465" t="str">
        <f t="shared" si="816"/>
        <v/>
      </c>
      <c r="VU91" s="919" t="str">
        <f>IF(A91=FALSE,"",((VG91*TAXE)-(VG91*TAXE*VI91))+IF(VM91="N/A",0,IF(INDEX(LISTES!$F$105:$F$109,MATCH(VM91,LISTES!$C$105:$C$109,0))="FIX",VN91,VO91*VL91)))</f>
        <v/>
      </c>
      <c r="WA91" s="492" t="str">
        <f>IF(A91=FALSE,"",Cotations!D91)</f>
        <v/>
      </c>
      <c r="WB91" s="519" t="str">
        <f>IF(A91=FALSE,"",IF(LISTES!$A$17=1,Cotations!EW91,Cotations!EX91))</f>
        <v/>
      </c>
      <c r="WC91" s="291" t="str">
        <f t="shared" si="817"/>
        <v/>
      </c>
      <c r="WD91" s="291" t="str">
        <f t="shared" si="818"/>
        <v/>
      </c>
      <c r="WE91" s="291"/>
      <c r="WF91" s="463"/>
      <c r="WG91" s="463" t="str">
        <f t="shared" si="819"/>
        <v/>
      </c>
      <c r="WH91" s="522" t="str">
        <f>IF(A91=FALSE,"",IF(Cotations!$AQ$4="monthly",WG91/12*L91,WG91/365*M91))</f>
        <v/>
      </c>
      <c r="WI91" s="489" t="str">
        <f>IF(A91=FALSE,"",Cotations!$AR$4)</f>
        <v/>
      </c>
      <c r="WJ91" s="300" t="str">
        <f t="shared" si="820"/>
        <v/>
      </c>
      <c r="WK91" s="300" t="str">
        <f t="shared" si="821"/>
        <v/>
      </c>
      <c r="WL91" s="294" t="str">
        <f t="shared" si="822"/>
        <v/>
      </c>
      <c r="WM91" s="494" t="str">
        <f>IF(A91=FALSE,"",Cotations!$AS$4)</f>
        <v/>
      </c>
      <c r="WN91" s="494" t="str">
        <f>IF(A91=FALSE,"",Cotations!$AT$4)</f>
        <v/>
      </c>
      <c r="WO91" s="489" t="str">
        <f>IF(A91=FALSE,"",Cotations!$AU$4)</f>
        <v/>
      </c>
      <c r="WP91" s="494" t="str">
        <f>IF(A91=FALSE,"",IF(WM91="N/A",0,IF(INDEX(LISTES!$F$105:$F$109,MATCH(WM91,LISTES!$C$105:$C$109,0))="FIX",IF(INDEX(LISTES!$E$105:$E$109,MATCH(WM91,LISTES!$C$105:$C$109,0))=12,WN91/12*L91,WN91/365*M91),WO91*WL91)))</f>
        <v/>
      </c>
      <c r="WQ91" s="294" t="str">
        <f t="shared" si="823"/>
        <v/>
      </c>
      <c r="WR91" s="494" t="str">
        <f>IF(A91=FALSE,"",WQ91*Cotations!$AV$4)</f>
        <v/>
      </c>
      <c r="WS91" s="494" t="str">
        <f>IF(A91=FALSE,"",WQ91*Cotations!$AW$4)</f>
        <v/>
      </c>
      <c r="WT91" s="465" t="str">
        <f t="shared" si="824"/>
        <v/>
      </c>
      <c r="WU91" s="919" t="str">
        <f>IF(A91=FALSE,"",((WG91*TAXE)-(WG91*TAXE*WI91))+IF(WM91="N/A",0,IF(INDEX(LISTES!$F$105:$F$109,MATCH(WM91,LISTES!$C$105:$C$109,0))="FIX",WN91,WO91*WL91)))</f>
        <v/>
      </c>
    </row>
    <row r="92" spans="1:619">
      <c r="A92" s="942" t="b">
        <f t="shared" si="629"/>
        <v>0</v>
      </c>
      <c r="B92" s="942" t="b">
        <f>IF(NAMES!$B$9=TRUE,TRUE,FALSE)</f>
        <v>1</v>
      </c>
      <c r="C92" s="942" t="b">
        <f t="shared" si="825"/>
        <v>0</v>
      </c>
      <c r="D92" s="942" t="b">
        <f t="shared" si="826"/>
        <v>0</v>
      </c>
      <c r="E92" s="274" t="b">
        <f>IF(Cotations!C92="","",Cotations!C92)</f>
        <v>0</v>
      </c>
      <c r="F92" s="274" t="str">
        <f>IF(Cotations!D92="","",Cotations!D92)</f>
        <v>PROP</v>
      </c>
      <c r="G92" s="274" t="str">
        <f>IF(Cotations!E92="","",Cotations!E92)</f>
        <v>2016-2017!</v>
      </c>
      <c r="H92" s="274" t="str">
        <f>IF(Cotations!F92="","",Cotations!F92)</f>
        <v>SINGLE</v>
      </c>
      <c r="I92" s="274" t="str">
        <f>IF(Cotations!G92="","",Cotations!G92)</f>
        <v/>
      </c>
      <c r="J92" s="274" t="str">
        <f>IF(Cotations!H92="","",Cotations!H92)</f>
        <v/>
      </c>
      <c r="K92" s="274" t="str">
        <f>IF(Cotations!I92="","",Cotations!I92)</f>
        <v/>
      </c>
      <c r="L92" s="274" t="str">
        <f>IF(A92=FALSE,"",IF(Cotations!N92="","",Cotations!N92))</f>
        <v/>
      </c>
      <c r="M92" s="274" t="str">
        <f>IF(Cotations!P92="","",Cotations!P92)</f>
        <v/>
      </c>
      <c r="N92" s="724" t="str">
        <f>IF(NAMES!$B$10=TRUE,Cotations!J92,Cotations!L92)</f>
        <v/>
      </c>
      <c r="O92" s="724" t="str">
        <f>IF(NAMES!$B$10=TRUE,Cotations!K92,Cotations!M92)</f>
        <v/>
      </c>
      <c r="P92" s="943" t="str">
        <f t="shared" si="827"/>
        <v/>
      </c>
      <c r="Q92" s="724" t="str">
        <f>IF(A92=FALSE,"",IF(Crewlist!Y92="","",Crewlist!Y92))</f>
        <v/>
      </c>
      <c r="R92" s="78" t="str">
        <f>IF(Cotations!U92="","",Cotations!U92)</f>
        <v/>
      </c>
      <c r="S92" s="943" t="str">
        <f t="shared" si="828"/>
        <v/>
      </c>
      <c r="T92" s="919" t="str">
        <f>IF(A92=FALSE,"",VLOOKUP($U$15:$U$120,Currency!$A$2:$D$10,4,0)*Crewlist!N92)</f>
        <v/>
      </c>
      <c r="U92" s="1355" t="str">
        <f>IF(A92=FALSE,"",IF(IT92=0,Crewlist!M92&amp;"/"&amp;EX92,Crewlist!M92&amp;"/"&amp;IT92))</f>
        <v/>
      </c>
      <c r="V92" s="919" t="str">
        <f>IF(A92=FALSE,"",VLOOKUP($U$15:$U$120,Currency!$A$2:$D$10,4,0)*Detail!Q92)</f>
        <v/>
      </c>
      <c r="W92" s="1355" t="str">
        <f>IF(A92=FALSE,"",IF(IT92=0,Detail!R92&amp;"/"&amp;EX92,Detail!R92&amp;"/"&amp;IT92))</f>
        <v/>
      </c>
      <c r="X92" s="919" t="str">
        <f>IF(A92=FALSE,"",IF(LISTES!$C$17="Crewlist",Calcul!T92,Calcul!V92))</f>
        <v/>
      </c>
      <c r="Y92" s="758" t="str">
        <f t="shared" si="829"/>
        <v/>
      </c>
      <c r="Z92" s="758" t="str">
        <f>IF(A92=FALSE,"",IF(X92=0,0,IF((Cotations!BC92*12*X92)&lt;50000,50000,(12*X92))))</f>
        <v/>
      </c>
      <c r="AA92" s="758" t="str">
        <f t="shared" si="830"/>
        <v/>
      </c>
      <c r="AB92" s="758" t="str">
        <f>IF(A92=FALSE,"",IF(Crewlist!O92=0,"",Crewlist!O92))</f>
        <v/>
      </c>
      <c r="AC92" s="758" t="str">
        <f>IF(I92="","",VLOOKUP($AB$15:$AB$120,Currency!$A$15:$B$34,2,0))</f>
        <v/>
      </c>
      <c r="AD92" s="758" t="str">
        <f t="shared" si="831"/>
        <v/>
      </c>
      <c r="AE92" s="758" t="str">
        <f t="shared" si="832"/>
        <v/>
      </c>
      <c r="AF92" s="758" t="str">
        <f t="shared" si="833"/>
        <v/>
      </c>
      <c r="AG92" s="758" t="str">
        <f t="shared" si="834"/>
        <v/>
      </c>
      <c r="AH92" s="1355" t="str">
        <f t="shared" si="630"/>
        <v/>
      </c>
      <c r="AI92" s="919" t="str">
        <f t="shared" si="835"/>
        <v/>
      </c>
      <c r="AJ92" s="1382" t="str">
        <f t="shared" si="836"/>
        <v/>
      </c>
      <c r="AK92" s="1382" t="str">
        <f t="shared" si="837"/>
        <v/>
      </c>
      <c r="AL92" s="238" t="str">
        <f t="shared" si="631"/>
        <v/>
      </c>
      <c r="AM92" s="238" t="str">
        <f t="shared" si="632"/>
        <v/>
      </c>
      <c r="AN92" s="1374" t="str">
        <f t="shared" si="633"/>
        <v/>
      </c>
      <c r="AO92" s="238" t="str">
        <f t="shared" si="634"/>
        <v/>
      </c>
      <c r="AP92" s="342" t="str">
        <f>IF(A92=FALSE,"",INDEX(Rates!$Z$5:$Z$367,MATCH(EB92,colchoice,0)))</f>
        <v/>
      </c>
      <c r="AQ92" s="238" t="str">
        <f t="shared" si="635"/>
        <v/>
      </c>
      <c r="AR92" s="238" t="str">
        <f t="shared" si="636"/>
        <v/>
      </c>
      <c r="AS92" s="238" t="str">
        <f t="shared" si="637"/>
        <v/>
      </c>
      <c r="AT92" s="238" t="str">
        <f t="shared" si="638"/>
        <v/>
      </c>
      <c r="AU92" s="238" t="str">
        <f t="shared" si="639"/>
        <v/>
      </c>
      <c r="AV92" s="238" t="str">
        <f t="shared" si="838"/>
        <v/>
      </c>
      <c r="AW92" s="238" t="str">
        <f t="shared" si="640"/>
        <v/>
      </c>
      <c r="AX92" s="238" t="str">
        <f t="shared" si="641"/>
        <v/>
      </c>
      <c r="AY92" s="238" t="str">
        <f t="shared" si="642"/>
        <v/>
      </c>
      <c r="AZ92" s="238" t="str">
        <f t="shared" si="643"/>
        <v/>
      </c>
      <c r="BA92" s="238" t="str">
        <f t="shared" si="644"/>
        <v/>
      </c>
      <c r="BB92" s="552" t="str">
        <f t="shared" si="645"/>
        <v/>
      </c>
      <c r="BC92" s="347" t="str">
        <f t="shared" si="646"/>
        <v/>
      </c>
      <c r="BD92" s="239" t="str">
        <f t="shared" si="839"/>
        <v/>
      </c>
      <c r="BE92" s="239" t="str">
        <f>IF(A92=FALSE,"",IF(ALLTHESAME=TRUE,IF(DF92&lt;&gt;$BC$7,0,INDEX(DD92:DZ92,1,MATCH(Structure!$D$12,$DD$14:$DZ$14,0))),IF(EC92&lt;&gt;$BC$7,0,INDEX(EA92:EZ92,1,MATCH(Structure!$D$12,$EA$14:$EZ$14,0)))))</f>
        <v/>
      </c>
      <c r="BF92" s="239" t="str">
        <f>IF(A92=FALSE,"",IF(ALLTHESAME=TRUE,IF(FC92&lt;&gt;$BC$7,0,INDEX(FA92:FZ92,1,MATCH(Structure!$D$12,$FA$14:$FZ$14,0))),IF(GC92&lt;&gt;$BC$7,0,INDEX(GA92:GZ92,1,MATCH(Structure!$D$12,$GA$14:$GZ$14,0)))))</f>
        <v/>
      </c>
      <c r="BG92" s="239" t="str">
        <f>IF(A92=FALSE,"",IF(ALLTHESAME=TRUE,IF(VC92&lt;&gt;$BC$7,0,INDEX(VA92:VZ92,1,MATCH(Structure!$D$12,$VA$14:$VZ$14,0))),IF(VC92&lt;&gt;$BC$7,0,INDEX(VA92:VZ92,1,MATCH(Structure!$D$12,$VA$14:$VZ$14,0)))))</f>
        <v/>
      </c>
      <c r="BH92" s="239" t="str">
        <f>IF(A92=FALSE,"",IF(ALLTHESAME=TRUE,IF(WC92&lt;&gt;$BC$7,0,INDEX(WA92:WY92,1,MATCH(Structure!$D$12,$WA$14:$WZ$14,0))),IF(WC92&lt;&gt;$BC$7,0,INDEX(WA92:WZ92,1,MATCH(Structure!$D$12,$WA$14:$WZ$14,0)))))</f>
        <v/>
      </c>
      <c r="BI92" s="763" t="str">
        <f>IF(A92=FALSE,"",IF(ALLTHESAME=TRUE,IF(HC92&lt;&gt;$BC$7,0,INDEX(HA92:HZ92,1,MATCH(Structure!$D$12,$HA$14:$HZ$14,0)))+TK92,IF(IC92&lt;&gt;$BC$7,0,INDEX(IA92:IZ92,1,MATCH(Structure!$D$12,$IA$14:$IZ$14,0)))+TK92))</f>
        <v/>
      </c>
      <c r="BJ92" s="239" t="str">
        <f>IF(A92=FALSE,"",IF(ALLTHESAME=TRUE,IF(JC92&lt;&gt;$BC$7,0,INDEX(JA92:JZ92,1,MATCH(Structure!$D$12,$JA$14:$JZ$14,0))),IF(KC92&lt;&gt;$BC$7,0,INDEX(KA92:KZ92,1,MATCH(Structure!$D$12,$KA$14:$KZ$14,0)))))</f>
        <v/>
      </c>
      <c r="BK92" s="763" t="str">
        <f>IF(A92=FALSE,"",IF(ALLTHESAME=TRUE,IF(LC92&lt;&gt;$BC$7,0,INDEX(LA92:LZ92,1,MATCH(Structure!$D$12,$LA$14:$LZ$14,0)))+UK92,IF(MC92&lt;&gt;$BC$7,0,INDEX(MA92:MZ92,1,MATCH(Structure!$D$12,$MA$14:$MZ$14,0)))+UK92))</f>
        <v/>
      </c>
      <c r="BL92" s="239" t="str">
        <f>IF(A92=FALSE,"",IF(ALLTHESAME=TRUE,IF(NC92&lt;&gt;$BC$7,0,INDEX(NA92:NZ92,1,MATCH(Structure!$D$12,$NA$14:$NZ$14,0))),IF(OC92&lt;&gt;$BC$7,0,INDEX(OA92:OZ92,1,MATCH(Structure!$D$12,$OA$14:$OZ$14,0)))))</f>
        <v/>
      </c>
      <c r="BM92" s="239" t="str">
        <f>IF(A92=FALSE,"",IF(ALLTHESAME=TRUE,IF(PC92&lt;&gt;$BC$7,0,INDEX(PA92:PZ92,1,MATCH(Structure!$D$12,$PA$14:$PZ$14,0))),IF(QC92&lt;&gt;$BC$7,0,INDEX(QA92:QZ92,1,MATCH(Structure!$D$12,$QA$14:$QZ$14,0)))))</f>
        <v/>
      </c>
      <c r="BN92" s="341" t="str">
        <f>IF(A92=FALSE,"",IF(ALLTHESAME=TRUE,IF(RC92&lt;&gt;$BC$7,0,INDEX(RA92:RZ92,1,MATCH(Structure!$D$12,$RA$14:$RZ$14,0))),IF(SC92&lt;&gt;$BC$7,0,INDEX(SA92:TA92,1,MATCH(Structure!$D$12,$SA$14:$TA$14,0)))))</f>
        <v/>
      </c>
      <c r="BO92" s="507" t="str">
        <f t="shared" si="647"/>
        <v/>
      </c>
      <c r="BP92" s="239" t="str">
        <f t="shared" si="648"/>
        <v/>
      </c>
      <c r="BQ92" s="239" t="str">
        <f>IF(A92=FALSE,"",IF(ALLTHESAME=TRUE,IF(DF92&lt;&gt;$BO$7,0,INDEX(DD92:DZ92,1,MATCH(Structure!$D$12,$DD$14:$DZ$14,0))),IF(EC92&lt;&gt;$BO$7,0,INDEX(EA92:EZ92,1,MATCH(Structure!$D$12,$EA$14:$EZ$14,0)))))</f>
        <v/>
      </c>
      <c r="BR92" s="239" t="str">
        <f>IF(A92=FALSE,"",IF(ALLTHESAME=TRUE,IF(FC92&lt;&gt;$BO$7,0,INDEX(FA92:FZ92,1,MATCH(Structure!$D$12,$FA$14:$FZ$14,0))),IF(GC92&lt;&gt;$BO$7,0,INDEX(GA92:GZ92,1,MATCH(Structure!$D$12,$GA$14:$GZ$14,0)))))</f>
        <v/>
      </c>
      <c r="BS92" s="239" t="str">
        <f>IF(A92=FALSE,"",IF(ALLTHESAME=TRUE,IF(HC92&lt;&gt;$BO$7,0,INDEX(HA92:HZ92,1,MATCH(Structure!$D$12,$HA$14:$HZ$14,0))),IF(IC92&lt;&gt;$BO$7,0,INDEX(IA92:IZ92,1,MATCH(Structure!$D$12,$IA$14:$IZ$14,0)))))</f>
        <v/>
      </c>
      <c r="BT92" s="239" t="str">
        <f>IF(A92=FALSE,"",IF(ALLTHESAME=TRUE,IF(JC92&lt;&gt;$BO$7,0,INDEX(JA92:JZ92,1,MATCH(Structure!$D$12,$JA$14:$JZ$14,0))),IF(KC92&lt;&gt;$BO$7,0,INDEX(KA92:KZ92,1,MATCH(Structure!$D$12,$KA$14:$KZ$14,0)))))</f>
        <v/>
      </c>
      <c r="BU92" s="239" t="str">
        <f>IF(A92=FALSE,"",IF(ALLTHESAME=TRUE,IF(LC92&lt;&gt;$BO$7,0,INDEX(LA92:LZ92,1,MATCH(Structure!$D$12,$LA$14:$LZ$14,0))),IF(MC92&lt;&gt;$BO$7,0,INDEX(MA92:MZ92,1,MATCH(Structure!$D$12,$MA$14:$MZ$14,0)))))</f>
        <v/>
      </c>
      <c r="BV92" s="239" t="str">
        <f>IF(A92=FALSE,"",IF(ALLTHESAME=TRUE,IF(NC92&lt;&gt;$BO$7,0,INDEX(NA92:NZ92,1,MATCH(Structure!$D$12,$NA$14:$NZ$14,0))),IF(OC92&lt;&gt;$BO$7,0,INDEX(OA92:OZ92,1,MATCH(Structure!$D$12,$OA$14:$OZ$14,0)))))</f>
        <v/>
      </c>
      <c r="BW92" s="239" t="str">
        <f>IF(A92=FALSE,"",IF(ALLTHESAME=TRUE,IF(PC92&lt;&gt;$BO$7,0,INDEX(PA92:PZ92,1,MATCH(Structure!$D$12,$PA$14:$PZ$14,0))),IF(QC92&lt;&gt;$BO$7,0,INDEX(QA92:QZ92,1,MATCH(Structure!$D$12,$QA$14:$QZ$14,0)))))</f>
        <v/>
      </c>
      <c r="BX92" s="341" t="str">
        <f>IF(A92=FALSE,"",IF(ALLTHESAME=TRUE,IF(RC92&lt;&gt;$BO$7,0,INDEX(RA92:RZ92,1,MATCH(Structure!$D$12,$RA$14:$RZ$14,0))),IF(SC92&lt;&gt;$BO$7,0,INDEX(SA92:TA92,1,MATCH(Structure!$D$12,$SA$14:$TA$14,0)))))</f>
        <v/>
      </c>
      <c r="BY92" s="347" t="str">
        <f t="shared" si="649"/>
        <v/>
      </c>
      <c r="BZ92" s="507" t="str">
        <f t="shared" si="650"/>
        <v/>
      </c>
      <c r="CA92" s="239" t="str">
        <f t="shared" si="651"/>
        <v/>
      </c>
      <c r="CB92" s="239" t="str">
        <f>IF(A92=FALSE,"",IF(ALLTHESAME=TRUE,INDEX(DD92:DZ92,MATCH(DF92,DF92:DF197,0),MATCH(Structure!$D$17,$DD$14:$DZ$14,0)),INDEX(EA92:EZ92,MATCH(EC92,EC92:EC197,0),MATCH(Structure!$D$17,$EA$14:$EZ$14,0))))</f>
        <v/>
      </c>
      <c r="CC92" s="239" t="str">
        <f>IF(A92=FALSE,"",IF(ALLTHESAME=TRUE,INDEX(FA92:FZ92,MATCH(FC92,FC92:FC197,0),MATCH(Structure!$D$17,$FA$14:$FZ$14,0)),INDEX(GA92:GZ92,MATCH(GC92,GC92:GC197,0),MATCH(Structure!$D$17,$GA$14:$GZ$14,0))))</f>
        <v/>
      </c>
      <c r="CD92" s="239" t="str">
        <f>IF(A92=FALSE,"",IF(ALLTHESAME=TRUE,INDEX(HA92:HZ92,MATCH(HC92,HC92:HC197,0),MATCH(Structure!$D$17,$HA$14:$HZ$14,0)),INDEX(IA92:IZ92,MATCH(IC92,IC92:IC197,0),MATCH(Structure!$D$17,$IA$14:$IZ$14,0))))</f>
        <v/>
      </c>
      <c r="CE92" s="239" t="str">
        <f>IF(A92=FALSE,"",IF(ALLTHESAME=TRUE,INDEX(JA92:JZ92,MATCH(JC92,JC92:JC197,0),MATCH(Structure!$D$17,$JA$14:$JZ$14,0)),INDEX(KA92:KZ92,MATCH(KC92,KC92:KC197,0),MATCH(Structure!$D$17,$KA$14:$KZ$14,0))))</f>
        <v/>
      </c>
      <c r="CF92" s="239" t="str">
        <f>IF(A92=FALSE,"",IF(ALLTHESAME=TRUE,INDEX(LA92:LZ92,MATCH(LC92,LC92:LC197,0),MATCH(Structure!$D$17,$LA$14:$LZ$14,0)),INDEX(MA92:MZ92,MATCH(MC92,MC92:MC197,0),MATCH(Structure!$D$17,$MA$14:$MZ$14,0))))</f>
        <v/>
      </c>
      <c r="CG92" s="239" t="str">
        <f>IF(A92=FALSE,"",IF(ALLTHESAME=TRUE,INDEX(NA92:NZ92,MATCH(NC92,NC92:NC197,0),MATCH(Structure!$D$17,$NA$14:$NZ$14,0)),INDEX(OA92:OZ92,MATCH(OC92,OC92:OC197,0),MATCH(Structure!$D$17,$OA$14:$OZ$14,0))))</f>
        <v/>
      </c>
      <c r="CH92" s="239" t="str">
        <f>IF(A92=FALSE,"",IF(ALLTHESAME=TRUE,INDEX(PA92:PZ92,MATCH(PC92,PC92:PC197,0),MATCH(Structure!$D$17,$PA$14:$PZ$14,0)),INDEX(QA92:QZ92,MATCH(QC92,QC92:QC197,0),MATCH(Structure!$D$17,$QA$14:$QZ$14,0))))</f>
        <v/>
      </c>
      <c r="CI92" s="341" t="str">
        <f>IF(A92=FALSE,"",IF(ALLTHESAME=TRUE,INDEX(RA92:RZ92,MATCH(RC92,RC92:RC197,0),MATCH(Structure!$D$17,$RA$14:$RZ$14,0)),INDEX(SA92:TC92,MATCH(SC92,SC92:SC197,0),MATCH(Structure!$D$17,$SA$14:$TC$14,0))))</f>
        <v/>
      </c>
      <c r="CJ92" s="347"/>
      <c r="CK92" s="239" t="str">
        <f t="shared" si="652"/>
        <v/>
      </c>
      <c r="CL92" s="239" t="str">
        <f>IF(A92=FALSE,"",IF(ALLTHESAME=TRUE,INDEX(DD92:DZ92,MATCH(DF92,DF92:DF197,0),MATCH(Structure!$D$22,$DD$14:$DZ$14,0)),INDEX(EA92:EZ92,MATCH(EC92,EC92:EC197,0),MATCH(Structure!$D$22,$EA$14:$EZ$14,0))))</f>
        <v/>
      </c>
      <c r="CM92" s="239" t="str">
        <f>IF(A92=FALSE,"",IF(ALLTHESAME=TRUE,INDEX(FA92:FZ92,MATCH(FC92,FC92:FC197,0),MATCH(Structure!$D$22,$FA$14:$FZ$14,0)),INDEX(GA92:GZ92,MATCH(GC92,GC92:GC197,0),MATCH(Structure!$D$22,$GA$14:$GZ$14,0))))</f>
        <v/>
      </c>
      <c r="CN92" s="239" t="str">
        <f>IF(A92=FALSE,"",IF(ALLTHESAME=TRUE,INDEX(HA92:HZ92,MATCH(HC92,HC92:HC197,0),MATCH(Structure!$D$22,$HA$14:$HZ$14,0)),INDEX(IA92:IZ92,MATCH(IC92,IC92:IC197,0),MATCH(Structure!$D$22,$IA$14:$IZ$14,0))))</f>
        <v/>
      </c>
      <c r="CO92" s="239" t="str">
        <f>IF(A92=FALSE,"",IF(ALLTHESAME=TRUE,INDEX(JA92:JZ92,MATCH(JC92,JC92:JC197,0),MATCH(Structure!$D$22,$JA$14:$JZ$14,0)),INDEX(KA92:KZ92,MATCH(KC92,KC92:KC197,0),MATCH(Structure!$D$22,$KA$14:$KZ$14,0))))</f>
        <v/>
      </c>
      <c r="CP92" s="239" t="str">
        <f>IF(A92=FALSE,"",IF(ALLTHESAME=TRUE,INDEX(LA92:LZ92,MATCH(LC92,LC92:LC197,0),MATCH(Structure!$D$22,$LA$14:$LZ$14,0)),INDEX(MA92:MZ92,MATCH(MC92,MC92:MC197,0),MATCH(Structure!$D$22,$MA$14:$MZ$14,0))))</f>
        <v/>
      </c>
      <c r="CQ92" s="239" t="str">
        <f>IF(A92=FALSE,"",IF(ALLTHESAME=TRUE,INDEX(NA92:NZ92,MATCH(NC92,NC92:NC197,0),MATCH(Structure!$D$22,$NA$14:$NZ$14,0)),INDEX(OA92:OZ92,MATCH(OC92,OC92:OC197,0),MATCH(Structure!$D$22,$OA$14:$OZ$14,0))))</f>
        <v/>
      </c>
      <c r="CR92" s="239" t="str">
        <f>IF(A92=FALSE,"",IF(ALLTHESAME=TRUE,INDEX(PA92:PZ92,MATCH(PC92,PC92:PC197,0),MATCH(Structure!$D$22,$PA$14:$PZ$14,0)),INDEX(QA92:QZ92,MATCH(QC92,QC92:QC197,0),MATCH(Structure!$D$22,$QA$14:$QZ$14,0))))</f>
        <v/>
      </c>
      <c r="CS92" s="341" t="str">
        <f>IF(A92=FALSE,"",IF(ALLTHESAME=TRUE,INDEX(RA92:RZ92,MATCH(RC92,RC92:RC197,0),MATCH(Structure!$D$22,$RA$14:$RZ$14,0)),INDEX(SA92:TC92,MATCH(SC92,SC92:SC197,0),MATCH(Structure!$D$22,$SA$14:$TC$14,0))))</f>
        <v/>
      </c>
      <c r="CT92" s="347"/>
      <c r="CU92" s="239" t="str">
        <f t="shared" si="653"/>
        <v/>
      </c>
      <c r="CV92" s="239" t="str">
        <f>IF(A92=FALSE,"",IF(ALLTHESAME=TRUE,INDEX(DD92:DZ92,MATCH(DF92,DF92:DF197,0),MATCH(Structure!$D$8,$DD$14:$DZ$14,0)),INDEX(EA92:EZ92,MATCH(EC92,EC92:EC197,0),MATCH(Structure!$D$8,$EA$14:$EZ$14,0))))</f>
        <v/>
      </c>
      <c r="CW92" s="239" t="str">
        <f>IF(A92=FALSE,"",IF(ALLTHESAME=TRUE,INDEX(FA92:FZ92,MATCH(FC92,FC92:FC197,0),MATCH(Structure!$D$8,$FA$14:$FZ$14,0)),INDEX(GA92:GZ92,MATCH(GC92,GC92:GC197,0),MATCH(Structure!$D$8,$GA$14:$GZ$14,0))))</f>
        <v/>
      </c>
      <c r="CX92" s="239" t="str">
        <f>IF(A92=FALSE,"",IF(ALLTHESAME=TRUE,INDEX(HA92:HZ92,MATCH(HC92,HC92:HC197,0),MATCH(Structure!$D$8,$HA$14:$HZ$14,0)),INDEX(IA92:IZ92,MATCH(IC92,IC92:IC197,0),MATCH(Structure!$D$8,$IA$14:$IZ$14,0))))</f>
        <v/>
      </c>
      <c r="CY92" s="239" t="str">
        <f>IF(A92=FALSE,"",IF(ALLTHESAME=TRUE,INDEX(JA92:JZ92,MATCH(JC92,JC92:JC197,0),MATCH(Structure!$D$8,$JA$14:$JZ$14,0)),INDEX(KA92:KZ92,MATCH(KC92,KC92:KC197,0),MATCH(Structure!$D$8,$KA$14:$KZ$14,0))))</f>
        <v/>
      </c>
      <c r="CZ92" s="239" t="str">
        <f>IF(A92=FALSE,"",IF(ALLTHESAME=TRUE,INDEX(LA92:LZ92,MATCH(LC92,LC92:LC197,0),MATCH(Structure!$D$8,$LA$14:$LZ$14,0)),INDEX(MA92:MZ92,MATCH(MC92,MC92:MC197,0),MATCH(Structure!$D$8,$MA$14:$MZ$14,0))))</f>
        <v/>
      </c>
      <c r="DA92" s="239" t="str">
        <f>IF(A92=FALSE,"",IF(ALLTHESAME=TRUE,INDEX(NA92:NZ92,MATCH(NC92,NC92:NC197,0),MATCH(Structure!$D$8,$NA$14:$NZ$14,0)),INDEX(OA92:OZ92,MATCH(OC92,OC92:OC197,0),MATCH(Structure!$D$8,$OA$14:$OZ$14,0))))</f>
        <v/>
      </c>
      <c r="DB92" s="239" t="str">
        <f>IF(A92=FALSE,"",IF(ALLTHESAME=TRUE,INDEX(PA92:PZ92,MATCH(PC92,PC92:PC197,0),MATCH(Structure!$D$8,$PA$14:$PZ$14,0)),INDEX(QA92:QZ92,MATCH(QC92,QC92:QC197,0),MATCH(Structure!$D$8,$QA$14:$QZ$14,0))))</f>
        <v/>
      </c>
      <c r="DC92" s="341" t="str">
        <f>IF(A92=FALSE,"",IF(ALLTHESAME=TRUE,INDEX(RA92:RZ92,MATCH(RC92,RC92:RC197,0),MATCH(Structure!$D$8,$RA$14:$RZ$14,0)),INDEX(SA92:TC92,MATCH(SC92,SC92:SC197,0),MATCH(Structure!$D$8,$SA$14:$TC$14,0))))</f>
        <v/>
      </c>
      <c r="DD92" s="492" t="str">
        <f>IF(A92=FALSE,"",Cotations!D92)</f>
        <v/>
      </c>
      <c r="DE92" s="492" t="str">
        <f>IF(A92=FALSE,"",IF(LISTES!$A$17=1,Cotations!AF92,Cotations!$AG$4))</f>
        <v/>
      </c>
      <c r="DF92" s="291" t="str">
        <f t="shared" si="654"/>
        <v/>
      </c>
      <c r="DG92" s="291" t="str">
        <f t="shared" si="655"/>
        <v/>
      </c>
      <c r="DH92" s="291"/>
      <c r="DI92" s="463"/>
      <c r="DJ92" s="463" t="str">
        <f t="shared" si="656"/>
        <v/>
      </c>
      <c r="DK92" s="522" t="str">
        <f>IF(A92=FALSE,"",IF(Cotations!$AH$4="monthly",DJ92/12*L92,DJ92/365*M92))</f>
        <v/>
      </c>
      <c r="DL92" s="489" t="str">
        <f>IF(A92=FALSE,"",Cotations!$AI$4)</f>
        <v/>
      </c>
      <c r="DM92" s="300" t="str">
        <f t="shared" si="657"/>
        <v/>
      </c>
      <c r="DN92" s="300" t="str">
        <f t="shared" si="658"/>
        <v/>
      </c>
      <c r="DO92" s="294" t="str">
        <f t="shared" si="659"/>
        <v/>
      </c>
      <c r="DP92" s="494" t="str">
        <f>IF(A92=FALSE,"",Cotations!$AJ$4)</f>
        <v/>
      </c>
      <c r="DQ92" s="494" t="str">
        <f>IF(A92=FALSE,"",Cotations!$AK$4)</f>
        <v/>
      </c>
      <c r="DR92" s="489" t="str">
        <f>IF(A92=FALSE,"",Cotations!$AL$4)</f>
        <v/>
      </c>
      <c r="DS92" s="494" t="str">
        <f>IF(A92=FALSE,"",IF(DP92="N/A",0,IF(INDEX(LISTES!$F$105:$F$109,MATCH(DP92,LISTES!$C$105:$C$109,0))="FIX",IF(INDEX(LISTES!$E$105:$E$109,MATCH(DP92,LISTES!$C$105:$C$109,0))=12,DQ92/12*L92,DQ92/365*M92),DR92*DO92)))</f>
        <v/>
      </c>
      <c r="DT92" s="294" t="str">
        <f t="shared" si="660"/>
        <v/>
      </c>
      <c r="DU92" s="294" t="str">
        <f>IF(A92=FALSE,"",DT92*Cotations!$AM$4)</f>
        <v/>
      </c>
      <c r="DV92" s="294" t="str">
        <f>IF(A92=FALSE,"",DT92*Cotations!$AN$4)</f>
        <v/>
      </c>
      <c r="DW92" s="465" t="str">
        <f t="shared" si="661"/>
        <v/>
      </c>
      <c r="DX92" s="919" t="str">
        <f>IF(A92=FALSE,"",((DJ92*TAXE)-(DJ92*TAXE*DL92))+IF(DP92="N/A",0,IF(INDEX(LISTES!$F$105:$F$109,MATCH(DP92,LISTES!$C$105:$C$109,0))="FIX",DQ92,DR92*DO92)))</f>
        <v/>
      </c>
      <c r="DY92" s="466"/>
      <c r="DZ92" s="466"/>
      <c r="EA92" s="492" t="str">
        <f>IF(A92=FALSE,"",Cotations!D92)</f>
        <v/>
      </c>
      <c r="EB92" s="494" t="str">
        <f>IF(A92=FALSE,"",IF(LISTES!$A$17=1,Cotations!AF92,Cotations!AG92))</f>
        <v/>
      </c>
      <c r="EC92" s="284" t="str">
        <f t="shared" si="662"/>
        <v/>
      </c>
      <c r="ED92" s="284" t="str">
        <f t="shared" si="663"/>
        <v/>
      </c>
      <c r="EE92" s="284"/>
      <c r="EF92" s="284"/>
      <c r="EG92" s="284" t="str">
        <f t="shared" si="664"/>
        <v/>
      </c>
      <c r="EH92" s="1365" t="str">
        <f t="shared" si="665"/>
        <v/>
      </c>
      <c r="EI92" s="1365" t="str">
        <f t="shared" si="666"/>
        <v/>
      </c>
      <c r="EJ92" s="515" t="str">
        <f>IF(A92=FALSE,"",IF(Cotations!AH92="monthly",EG92/12*L92,EG92/365*M92))</f>
        <v/>
      </c>
      <c r="EK92" s="1364" t="str">
        <f>IF(A92=FALSE,"",IF(Cotations!AH92="monthly",EI92/12*L92,EI92/365*M92))</f>
        <v/>
      </c>
      <c r="EL92" s="493" t="str">
        <f>IF(A92=FALSE,"",IF(Cotations!AI92="","",Cotations!AI92))</f>
        <v/>
      </c>
      <c r="EM92" s="284" t="str">
        <f t="shared" si="667"/>
        <v/>
      </c>
      <c r="EN92" s="284" t="str">
        <f t="shared" si="668"/>
        <v/>
      </c>
      <c r="EO92" s="1365" t="str">
        <f t="shared" si="840"/>
        <v/>
      </c>
      <c r="EP92" s="284" t="str">
        <f t="shared" si="669"/>
        <v/>
      </c>
      <c r="EQ92" s="515" t="str">
        <f>IF(A92=FALSE,"",Cotations!AJ92)</f>
        <v/>
      </c>
      <c r="ER92" s="515" t="str">
        <f>IF(A92=FALSE,"",IF(Cotations!AK92="","",Cotations!AK92))</f>
        <v/>
      </c>
      <c r="ES92" s="493" t="str">
        <f>IF(A92=FALSE,"",Cotations!AL92)</f>
        <v/>
      </c>
      <c r="ET92" s="515" t="str">
        <f>IF(A92=FALSE,"",IF(EQ92="N/A",0,IF(INDEX(LISTES!$F$105:$F$109,MATCH(EQ92,LISTES!$C$105:$C$109,0))="FIX",IF(INDEX(LISTES!$E$105:$E$109,MATCH(EQ92,LISTES!$C$105:$C$109,0))=12,ER92/12*L92,ER92/365*M92),ES92*EP92)))</f>
        <v/>
      </c>
      <c r="EU92" s="294" t="str">
        <f t="shared" si="670"/>
        <v/>
      </c>
      <c r="EV92" s="494" t="str">
        <f>IF(A92=FALSE,"",EU92*Cotations!AM92)</f>
        <v/>
      </c>
      <c r="EW92" s="494" t="str">
        <f>IF(A92=FALSE,"",EU92*Cotations!AN92)</f>
        <v/>
      </c>
      <c r="EX92" s="334" t="str">
        <f t="shared" si="671"/>
        <v/>
      </c>
      <c r="EY92" s="919" t="str">
        <f>IF(A92=FALSE,"",((EG92*TAXE)-(EG92*TAXE*EL92)+EH92)+IF(EQ92="N/A",0,IF(INDEX(LISTES!$F$105:$F$109,MATCH(EQ92,LISTES!$C$105:$C$109,0))="FIX",ER92,ES92*EP92)))</f>
        <v/>
      </c>
      <c r="FA92" s="492" t="str">
        <f>IF(A92=FALSE,"",Cotations!D92)</f>
        <v/>
      </c>
      <c r="FB92" s="519" t="str">
        <f>IF(A92=FALSE,"",IF(LISTES!$A$17=1,Cotations!AO92,Cotations!$AP$4))</f>
        <v/>
      </c>
      <c r="FC92" s="291" t="str">
        <f t="shared" si="672"/>
        <v/>
      </c>
      <c r="FD92" s="291" t="str">
        <f t="shared" si="673"/>
        <v/>
      </c>
      <c r="FE92" s="291"/>
      <c r="FF92" s="463"/>
      <c r="FG92" s="463" t="str">
        <f t="shared" si="674"/>
        <v/>
      </c>
      <c r="FH92" s="522" t="str">
        <f>IF(A92=FALSE,"",IF(Cotations!$AQ$4="monthly",FG92/12*L92,FG92/365*M92))</f>
        <v/>
      </c>
      <c r="FI92" s="453" t="str">
        <f>IF(A92=FALSE,"",Cotations!$AR$4)</f>
        <v/>
      </c>
      <c r="FJ92" s="300" t="str">
        <f t="shared" si="675"/>
        <v/>
      </c>
      <c r="FK92" s="300" t="str">
        <f t="shared" si="676"/>
        <v/>
      </c>
      <c r="FL92" s="294" t="str">
        <f t="shared" si="677"/>
        <v/>
      </c>
      <c r="FM92" s="494" t="str">
        <f>IF(A92=FALSE,"",Cotations!$AS$4)</f>
        <v/>
      </c>
      <c r="FN92" s="494" t="str">
        <f>IF(A92=FALSE,"",Cotations!$AT$4)</f>
        <v/>
      </c>
      <c r="FO92" s="489" t="str">
        <f>IF(A92=FALSE,"",Cotations!$AU$4)</f>
        <v/>
      </c>
      <c r="FP92" s="494" t="str">
        <f>IF(A92=FALSE,"",IF(FM92="N/A",0,IF(INDEX(LISTES!$F$105:$F$109,MATCH(FM92,LISTES!$C$105:$C$109,0))="FIX",IF(INDEX(LISTES!$E$105:$E$109,MATCH(FM92,LISTES!$C$105:$C$109,0))=12,FN92/12*L92,FN92/365*M92),FO92*FL92)))</f>
        <v/>
      </c>
      <c r="FQ92" s="294" t="str">
        <f t="shared" si="678"/>
        <v/>
      </c>
      <c r="FR92" s="494" t="str">
        <f>IF(A92=FALSE,"",FQ92*Cotations!$AV$4)</f>
        <v/>
      </c>
      <c r="FS92" s="494" t="str">
        <f>IF(A92=FALSE,"",FQ92*Cotations!$AW$4)</f>
        <v/>
      </c>
      <c r="FT92" s="465" t="str">
        <f t="shared" si="679"/>
        <v/>
      </c>
      <c r="FU92" s="919" t="str">
        <f>IF(A92=FALSE,"",((FG92*TAXE)-(FG92*TAXE*FI92))+IF(FM92="N/A",0,IF(INDEX(LISTES!$F$105:$F$109,MATCH(FM92,LISTES!$C$105:$C$109,0))="FIX",FN92,FO92*FL92)))</f>
        <v/>
      </c>
      <c r="FV92" s="478"/>
      <c r="FW92" s="478"/>
      <c r="FX92" s="478"/>
      <c r="FY92" s="478"/>
      <c r="FZ92" s="478"/>
      <c r="GA92" s="492" t="str">
        <f>IF(A92=FALSE,"",Cotations!D92)</f>
        <v/>
      </c>
      <c r="GB92" s="494" t="str">
        <f>IF(A92=FALSE,"",IF(LISTES!$A$17=1,Cotations!AO92,Cotations!AP92))</f>
        <v/>
      </c>
      <c r="GC92" s="284" t="str">
        <f t="shared" si="680"/>
        <v/>
      </c>
      <c r="GD92" s="515" t="str">
        <f>IF(A92=FALSE,"",IF(Detail!AM92="","",Detail!AM92))</f>
        <v/>
      </c>
      <c r="GE92" s="284"/>
      <c r="GF92" s="284"/>
      <c r="GG92" s="284" t="str">
        <f t="shared" si="681"/>
        <v/>
      </c>
      <c r="GH92" s="515" t="str">
        <f>IF(A92=FALSE,"",IF(Cotations!AQ92="monthly",GG92/12*L92,GG92/365*M92))</f>
        <v/>
      </c>
      <c r="GI92" s="493" t="str">
        <f>IF(A92=FALSE,"",IF(Cotations!AR92="","",Cotations!AR92))</f>
        <v/>
      </c>
      <c r="GJ92" s="284" t="str">
        <f t="shared" si="682"/>
        <v/>
      </c>
      <c r="GK92" s="284" t="str">
        <f t="shared" si="683"/>
        <v/>
      </c>
      <c r="GL92" s="284" t="str">
        <f t="shared" si="684"/>
        <v/>
      </c>
      <c r="GM92" s="515" t="str">
        <f>IF(A92=FALSE,"",Cotations!AS92)</f>
        <v/>
      </c>
      <c r="GN92" s="515" t="str">
        <f>IF(A92=FALSE,"",Cotations!AT92)</f>
        <v/>
      </c>
      <c r="GO92" s="493" t="str">
        <f>IF(A92=FALSE,"",Cotations!AU92)</f>
        <v/>
      </c>
      <c r="GP92" s="515" t="str">
        <f>IF(A92=FALSE,"",IF(GM92="N/A",0,IF(INDEX(LISTES!$F$105:$F$109,MATCH(GM92,LISTES!$C$105:$C$109,0))="FIX",IF(INDEX(LISTES!$E$105:$E$109,MATCH(GM92,LISTES!$C$105:$C$109,0))=12,GN92/12*L92,GN92/365*M92),GO92*GL92)))</f>
        <v/>
      </c>
      <c r="GQ92" s="294" t="str">
        <f t="shared" si="685"/>
        <v/>
      </c>
      <c r="GR92" s="494" t="str">
        <f>IF(A92=FALSE,"",GQ92*Cotations!AV92)</f>
        <v/>
      </c>
      <c r="GS92" s="494" t="str">
        <f>IF(A92=FALSE,"",GQ92*Cotations!AW92)</f>
        <v/>
      </c>
      <c r="GT92" s="334" t="str">
        <f t="shared" si="686"/>
        <v/>
      </c>
      <c r="GU92" s="919" t="str">
        <f>IF(A92=FALSE,"",((GG92*TAXE)-(GG92*TAXE*GI92))+IF(GM92="N/A",0,IF(INDEX(LISTES!$F$105:$F$109,MATCH(GM92,LISTES!$C$105:$C$109,0))="FIX",GN92,GO92*GL92)))</f>
        <v/>
      </c>
      <c r="GV92" s="478"/>
      <c r="GW92" s="466"/>
      <c r="GX92" s="466"/>
      <c r="GY92" s="466"/>
      <c r="GZ92" s="466"/>
      <c r="HA92" s="492" t="str">
        <f>IF(A92=FALSE,"",Cotations!D92)</f>
        <v/>
      </c>
      <c r="HB92" s="495" t="str">
        <f>IF(A92=FALSE,"",IF(LISTES!$A$17=1,Cotations!AX92,Cotations!$AY$4))</f>
        <v/>
      </c>
      <c r="HC92" s="291" t="str">
        <f t="shared" si="687"/>
        <v/>
      </c>
      <c r="HD92" s="291" t="str">
        <f t="shared" si="688"/>
        <v/>
      </c>
      <c r="HE92" s="456" t="str">
        <f t="shared" si="689"/>
        <v/>
      </c>
      <c r="HF92" s="496" t="str">
        <f>IF(A92=FALSE,"",IF(HA92="POEA",Cotations!BA92,IF(HA92="FIXE",Cotations!$BA$4,Cotations!$BC$4*Y92)))</f>
        <v/>
      </c>
      <c r="HG92" s="300" t="str">
        <f t="shared" si="690"/>
        <v/>
      </c>
      <c r="HH92" s="522" t="str">
        <f>IF(A92=FALSE,"",IF(Cotations!$AZ$4="monthly",HG92/12*L92,HG92/365*M92))</f>
        <v/>
      </c>
      <c r="HI92" s="489" t="str">
        <f>IF(A92=FALSE,"",Cotations!$BD$4)</f>
        <v/>
      </c>
      <c r="HJ92" s="300" t="str">
        <f t="shared" si="691"/>
        <v/>
      </c>
      <c r="HK92" s="300" t="str">
        <f t="shared" si="692"/>
        <v/>
      </c>
      <c r="HL92" s="294" t="str">
        <f t="shared" si="693"/>
        <v/>
      </c>
      <c r="HM92" s="494" t="str">
        <f>IF(A92=FALSE,"",Cotations!$BE$4)</f>
        <v/>
      </c>
      <c r="HN92" s="522" t="str">
        <f>IF(A92=FALSE,"",Cotations!$BF$4)</f>
        <v/>
      </c>
      <c r="HO92" s="489" t="str">
        <f>IF(A92=FALSE,"",Cotations!$BG$4)</f>
        <v/>
      </c>
      <c r="HP92" s="494" t="str">
        <f>IF(A92=FALSE,"",IF(HM92="N/A",0,IF(INDEX(LISTES!$F$105:$F$109,MATCH(HM92,LISTES!$C$105:$C$109,0))="FIX",IF(INDEX(LISTES!$E$105:$E$109,MATCH(HM92,LISTES!$C$105:$C$109,0))=12,HN92/12*L92,HN92/365*M92),HO92*HL92)))</f>
        <v/>
      </c>
      <c r="HQ92" s="294" t="str">
        <f t="shared" si="694"/>
        <v/>
      </c>
      <c r="HR92" s="494" t="str">
        <f>IF(A92=FALSE,"",HQ92*Cotations!$BH$4)</f>
        <v/>
      </c>
      <c r="HS92" s="494" t="str">
        <f>IF(A92=FALSE,"",HQ92*Cotations!$BI$4)</f>
        <v/>
      </c>
      <c r="HT92" s="294" t="str">
        <f t="shared" si="695"/>
        <v/>
      </c>
      <c r="HU92" s="919" t="str">
        <f>IF(A92=FALSE,"",((HG92*TAXE)-(HG92*TAXE*HI92))+IF(HM92="N/A",0,IF(INDEX(LISTES!$F$105:$F$109,MATCH(HM92,LISTES!$C$105:$C$109,0))="FIX",HN92,HO92*HL92)))</f>
        <v/>
      </c>
      <c r="IA92" s="492" t="str">
        <f>IF(A92=FALSE,"",Cotations!D92)</f>
        <v/>
      </c>
      <c r="IB92" s="491" t="str">
        <f>IF(A92=FALSE,"",IF(LISTES!$A$17=1,Cotations!AX92,Cotations!AY92))</f>
        <v/>
      </c>
      <c r="IC92" s="285" t="str">
        <f t="shared" si="696"/>
        <v/>
      </c>
      <c r="ID92" s="300" t="str">
        <f>IF(A92=FALSE,"",IF(LISTES!$A$17=3,Detail!AU92,lig1_Formula_PREVOY))</f>
        <v/>
      </c>
      <c r="IE92" s="461" t="str">
        <f t="shared" si="697"/>
        <v/>
      </c>
      <c r="IF92" s="490" t="str">
        <f>IF(A92=FALSE,"",IF(IA92="POEA",Cotations!BA92,IF(HA92="FIXE",Cotations!BB92,IF(Cotations!BC92*Y92&lt;50000,Z92,Cotations!BC92*Y92))))</f>
        <v/>
      </c>
      <c r="IG92" s="300" t="str">
        <f t="shared" si="698"/>
        <v/>
      </c>
      <c r="IH92" s="522" t="str">
        <f>IF(A92=FALSE,"",IF(Cotations!AZ92="monthly",IG92/12*L92,IG92/365*M92))</f>
        <v/>
      </c>
      <c r="II92" s="489" t="str">
        <f>IF(A92=FALSE,"",IF(Cotations!BD92="","",Cotations!BD92))</f>
        <v/>
      </c>
      <c r="IJ92" s="300" t="str">
        <f t="shared" si="699"/>
        <v/>
      </c>
      <c r="IK92" s="300" t="str">
        <f t="shared" si="700"/>
        <v/>
      </c>
      <c r="IL92" s="919" t="str">
        <f t="shared" si="701"/>
        <v/>
      </c>
      <c r="IM92" s="517" t="str">
        <f>IF(A92=FALSE,"",Cotations!BE92)</f>
        <v/>
      </c>
      <c r="IN92" s="517" t="str">
        <f>IF(A92=FALSE,"",Cotations!BF92)</f>
        <v/>
      </c>
      <c r="IO92" s="493" t="str">
        <f>IF(A92=FALSE,"",Cotations!BG92)</f>
        <v/>
      </c>
      <c r="IP92" s="517" t="str">
        <f>IF(A92=FALSE,"",IF(IM92="N/A",0,IF(INDEX(LISTES!$F$105:$F$109,MATCH(IM92,LISTES!$C$105:$C$109,0))="FIX",IF(INDEX(LISTES!$E$105:$E$109,MATCH(IM92,LISTES!$C$105:$C$109,0))=12,IN92/12*L92,IN92/365*M92),IO92*IL92)))</f>
        <v/>
      </c>
      <c r="IQ92" s="294" t="str">
        <f t="shared" si="702"/>
        <v/>
      </c>
      <c r="IR92" s="494" t="str">
        <f>IF(A92=FALSE,"",IQ92*Cotations!BH92)</f>
        <v/>
      </c>
      <c r="IS92" s="494" t="str">
        <f>IF(A92=FALSE,"",IQ92*Cotations!BI92)</f>
        <v/>
      </c>
      <c r="IT92" s="338" t="str">
        <f t="shared" si="703"/>
        <v/>
      </c>
      <c r="IU92" s="919" t="str">
        <f>IF(A92=FALSE,"",((IG92*TAXE)-(IG92*TAXE*II92))+IF(IM92="N/A",0,IF(INDEX(LISTES!$F$105:$F$109,MATCH(IM92,LISTES!$C$105:$C$109,0))="FIX",IN92,IO92*IL92)))</f>
        <v/>
      </c>
      <c r="JA92" s="492" t="str">
        <f>IF(A92=FALSE,"",Cotations!D92)</f>
        <v/>
      </c>
      <c r="JB92" s="495" t="str">
        <f>IF(A92=FALSE,"",IF(LISTES!$A$17=1,Cotations!BJ92,Cotations!$BK$4))</f>
        <v/>
      </c>
      <c r="JC92" s="291" t="str">
        <f t="shared" si="704"/>
        <v/>
      </c>
      <c r="JD92" s="291" t="str">
        <f t="shared" si="705"/>
        <v/>
      </c>
      <c r="JE92" s="456" t="str">
        <f t="shared" si="706"/>
        <v/>
      </c>
      <c r="JF92" s="496" t="str">
        <f>IF(A92=FALSE,"",IF(JA92="POEA",Cotations!BM92,IF(JA92="FIXE",Cotations!$BM$4,Cotations!$BO$4*Y92)))</f>
        <v/>
      </c>
      <c r="JG92" s="300" t="str">
        <f t="shared" si="707"/>
        <v/>
      </c>
      <c r="JH92" s="522" t="str">
        <f>IF(A92=FALSE,"",IF(Cotations!$BL$4="monthly",JG92/12*L92,JG92/365*M92))</f>
        <v/>
      </c>
      <c r="JI92" s="489" t="str">
        <f>IF(A92=FALSE,"",Cotations!$BP$4)</f>
        <v/>
      </c>
      <c r="JJ92" s="300" t="str">
        <f t="shared" si="708"/>
        <v/>
      </c>
      <c r="JK92" s="300" t="str">
        <f t="shared" si="709"/>
        <v/>
      </c>
      <c r="JL92" s="294" t="str">
        <f t="shared" si="710"/>
        <v/>
      </c>
      <c r="JM92" s="494" t="str">
        <f>IF(A92=FALSE,"",Cotations!$BQ$4)</f>
        <v/>
      </c>
      <c r="JN92" s="522" t="str">
        <f>IF(A92=FALSE,"",Cotations!$BR$4)</f>
        <v/>
      </c>
      <c r="JO92" s="489" t="str">
        <f>IF(A92=FALSE,"",Cotations!$BS$4)</f>
        <v/>
      </c>
      <c r="JP92" s="494" t="str">
        <f>IF(A92=FALSE,"",IF(JM92="N/A",0,IF(INDEX(LISTES!$F$105:$F$109,MATCH(JM92,LISTES!$C$105:$C$109,0))="FIX",IF(INDEX(LISTES!$E$105:$E$109,MATCH(JM92,LISTES!$C$105:$C$109,0))=12,JN92/12*L92,JN92/365*M92),JO92*JL92)))</f>
        <v/>
      </c>
      <c r="JQ92" s="294" t="str">
        <f t="shared" si="711"/>
        <v/>
      </c>
      <c r="JR92" s="494" t="str">
        <f>IF(A92=FALSE,"",JQ92*Cotations!$BT$4)</f>
        <v/>
      </c>
      <c r="JS92" s="494" t="str">
        <f>IF(A92=FALSE,"",JQ92*Cotations!$BU$4)</f>
        <v/>
      </c>
      <c r="JT92" s="294" t="str">
        <f t="shared" si="712"/>
        <v/>
      </c>
      <c r="JU92" s="919" t="str">
        <f>IF(A92=FALSE,"",((JG92*TAXE)-(JG92*TAXE*JI92))+IF(JM92="N/A",0,IF(INDEX(LISTES!$F$105:$F$109,MATCH(JM92,LISTES!$C$105:$C$109,0))="FIX",JN92,JO92*JL92)))</f>
        <v/>
      </c>
      <c r="KA92" s="492" t="str">
        <f>IF(A92=FALSE,"",Cotations!D92)</f>
        <v/>
      </c>
      <c r="KB92" s="491" t="str">
        <f>IF(A92=FALSE,"",IF(LISTES!$A$17=1,Cotations!BJ92,Cotations!BK92))</f>
        <v/>
      </c>
      <c r="KC92" s="285" t="str">
        <f t="shared" si="713"/>
        <v/>
      </c>
      <c r="KD92" s="300"/>
      <c r="KE92" s="461" t="str">
        <f t="shared" si="714"/>
        <v/>
      </c>
      <c r="KF92" s="490" t="str">
        <f>IF(A92=FALSE,"",IF(KA92="POEA",Cotations!BM92,IF(KA92="FIXE",Cotations!BN92,IF(Cotations!BO92*Y92&lt;50000,Z92,Cotations!BO92*Y92))))</f>
        <v/>
      </c>
      <c r="KG92" s="300" t="str">
        <f t="shared" si="715"/>
        <v/>
      </c>
      <c r="KH92" s="522" t="str">
        <f>IF(A92=FALSE,"",IF(Cotations!BL92="monthly",KG92/12*L92,KG92/365*M92))</f>
        <v/>
      </c>
      <c r="KI92" s="489" t="str">
        <f>IF(A92=FALSE,"",IF(Cotations!BP92="","",Cotations!BP92))</f>
        <v/>
      </c>
      <c r="KJ92" s="300" t="str">
        <f t="shared" si="716"/>
        <v/>
      </c>
      <c r="KK92" s="300" t="str">
        <f t="shared" si="717"/>
        <v/>
      </c>
      <c r="KL92" s="919" t="str">
        <f t="shared" si="718"/>
        <v/>
      </c>
      <c r="KM92" s="517" t="str">
        <f>IF(A92=FALSE,"",Cotations!BQ92)</f>
        <v/>
      </c>
      <c r="KN92" s="515" t="str">
        <f>IF(A92=FALSE,"",Cotations!BR92)</f>
        <v/>
      </c>
      <c r="KO92" s="493" t="str">
        <f>IF(A92=FALSE,"",Cotations!BS92)</f>
        <v/>
      </c>
      <c r="KP92" s="517" t="str">
        <f>IF(A92=FALSE,"",IF(KM92="N/A",0,IF(INDEX(LISTES!$F$105:$F$109,MATCH(KM92,LISTES!$C$105:$C$109,0))="FIX",IF(INDEX(LISTES!$E$105:$E$109,MATCH(KM92,LISTES!$C$105:$C$109,0))=12,KN92/12*L92,KN92/365*M92),KO92*KL92)))</f>
        <v/>
      </c>
      <c r="KQ92" s="294" t="str">
        <f t="shared" si="719"/>
        <v/>
      </c>
      <c r="KR92" s="494" t="str">
        <f>IF(A92=FALSE,"",KQ92*Cotations!BT92)</f>
        <v/>
      </c>
      <c r="KS92" s="494" t="str">
        <f>IF(A92=FALSE,"",KQ92*Cotations!BU92)</f>
        <v/>
      </c>
      <c r="KT92" s="338" t="str">
        <f t="shared" si="720"/>
        <v/>
      </c>
      <c r="KU92" s="919" t="str">
        <f>IF(A92=FALSE,"",((KG92*TAXE)-(KG92*TAXE*KI92))+IF(KM92="N/A",0,IF(INDEX(LISTES!$F$105:$F$109,MATCH(KM92,LISTES!$C$105:$C$109,0))="FIX",KN92,KO92*KL92)))</f>
        <v/>
      </c>
      <c r="LA92" s="497" t="str">
        <f>IF(A92=FALSE,"",Cotations!D92)</f>
        <v/>
      </c>
      <c r="LB92" s="498" t="str">
        <f>IF(A92=FALSE,"",IF(LISTES!$A$17=1,Cotations!BV92,Cotations!$BW$4))</f>
        <v/>
      </c>
      <c r="LC92" s="499" t="str">
        <f t="shared" si="721"/>
        <v/>
      </c>
      <c r="LD92" s="499" t="str">
        <f t="shared" si="722"/>
        <v/>
      </c>
      <c r="LE92" s="500" t="str">
        <f t="shared" si="723"/>
        <v/>
      </c>
      <c r="LF92" s="501" t="str">
        <f>IF(A92=FALSE,"",IF(LA92="POEA",Cotations!EJ92,IF(LA92="FIXE",Cotations!$BY$4,Cotations!$CA$4*Y92)))</f>
        <v/>
      </c>
      <c r="LG92" s="502" t="str">
        <f t="shared" si="724"/>
        <v/>
      </c>
      <c r="LH92" s="520" t="str">
        <f>IF(A92=FALSE,"",IF(Cotations!$BX$4="monthly",LG92/12*L92,LG92/365*M92))</f>
        <v/>
      </c>
      <c r="LI92" s="503" t="str">
        <f>IF(A92=FALSE,"",Cotations!$CB$4)</f>
        <v/>
      </c>
      <c r="LJ92" s="502" t="str">
        <f t="shared" si="725"/>
        <v/>
      </c>
      <c r="LK92" s="502" t="str">
        <f t="shared" si="726"/>
        <v/>
      </c>
      <c r="LL92" s="504" t="str">
        <f t="shared" si="727"/>
        <v/>
      </c>
      <c r="LM92" s="505" t="str">
        <f>IF(A92=FALSE,"",Cotations!$CC$4)</f>
        <v/>
      </c>
      <c r="LN92" s="503" t="str">
        <f>IF(A92=FALSE,"",Cotations!$CD$4)</f>
        <v/>
      </c>
      <c r="LO92" s="503" t="str">
        <f>IF(A92=FALSE,"",Cotations!$CE$4)</f>
        <v/>
      </c>
      <c r="LP92" s="505" t="str">
        <f>IF(A92=FALSE,"",IF(LM92="N/A",0,IF(INDEX(LISTES!$F$105:$F$109,MATCH(LM92,LISTES!$C$105:$C$109,0))="FIX",IF(INDEX(LISTES!$E$105:$E$109,MATCH(LM92,LISTES!$C$105:$C$109,0))=12,LN92/12*L92,LN92/365*M92),LO92*LL92)))</f>
        <v/>
      </c>
      <c r="LQ92" s="504" t="str">
        <f t="shared" si="728"/>
        <v/>
      </c>
      <c r="LR92" s="505" t="str">
        <f>IF(A92=FALSE,"",LQ92*Cotations!$CF$4)</f>
        <v/>
      </c>
      <c r="LS92" s="505" t="str">
        <f>IF(A92=FALSE,"",LQ92*Cotations!$CG$4)</f>
        <v/>
      </c>
      <c r="LT92" s="506" t="str">
        <f t="shared" si="729"/>
        <v/>
      </c>
      <c r="LU92" s="919" t="str">
        <f>IF(A92=FALSE,"",((LG92*TAXE)-(LG92*TAXE*LI92))+IF(LM92="N/A",0,IF(INDEX(LISTES!$F$105:$F$109,MATCH(LM92,LISTES!$C$105:$C$109,0))="FIX",LN92,LO92*LL92)))</f>
        <v/>
      </c>
      <c r="MA92" s="492" t="str">
        <f>IF(A92=FALSE,"",Cotations!D92)</f>
        <v/>
      </c>
      <c r="MB92" s="491" t="str">
        <f>IF(A92=FALSE,"",IF(LISTES!$A$17=1,Cotations!BV92,Cotations!BW92))</f>
        <v/>
      </c>
      <c r="MC92" s="285" t="str">
        <f t="shared" si="730"/>
        <v/>
      </c>
      <c r="MD92" s="300"/>
      <c r="ME92" s="461" t="str">
        <f t="shared" si="731"/>
        <v/>
      </c>
      <c r="MF92" s="490" t="str">
        <f>IF(A92=FALSE,"",IF(MA92="POEA",Cotations!BY92,IF(MA92="FIXE",Cotations!BZ92,IF(Cotations!CA92*Y92&lt;50000,Z92,Cotations!CA92*Y92))))</f>
        <v/>
      </c>
      <c r="MG92" s="300" t="str">
        <f t="shared" si="732"/>
        <v/>
      </c>
      <c r="MH92" s="522" t="str">
        <f>IF(A92=FALSE,"",IF(Cotations!BX92="monthly",MG92/12*L92,MG92/365*M92))</f>
        <v/>
      </c>
      <c r="MI92" s="489" t="str">
        <f>IF(A92=FALSE,"",IF(Cotations!CB92="","",Cotations!CB92))</f>
        <v/>
      </c>
      <c r="MJ92" s="300" t="str">
        <f t="shared" si="733"/>
        <v/>
      </c>
      <c r="MK92" s="300" t="str">
        <f t="shared" si="734"/>
        <v/>
      </c>
      <c r="ML92" s="919" t="str">
        <f t="shared" si="735"/>
        <v/>
      </c>
      <c r="MM92" s="517" t="str">
        <f>IF(A92=FALSE,"",Cotations!CC92)</f>
        <v/>
      </c>
      <c r="MN92" s="515" t="str">
        <f>IF(A92=FALSE,"",Cotations!CD92)</f>
        <v/>
      </c>
      <c r="MO92" s="493" t="str">
        <f>IF(A92=FALSE,"",Cotations!CE92)</f>
        <v/>
      </c>
      <c r="MP92" s="517" t="str">
        <f>IF(A92=FALSE,"",IF(MM92="N/A",0,IF(INDEX(LISTES!$F$105:$F$109,MATCH(MM92,LISTES!$C$105:$C$109,0))="FIX",IF(INDEX(LISTES!$E$105:$E$109,MATCH(MM92,LISTES!$C$105:$C$109,0))=12,MN92/12*L92,MN92/365*M92),MO92*ML92)))</f>
        <v/>
      </c>
      <c r="MQ92" s="294" t="str">
        <f t="shared" si="736"/>
        <v/>
      </c>
      <c r="MR92" s="494" t="str">
        <f>IF(A92=FALSE,"",MQ92*Cotations!CF92)</f>
        <v/>
      </c>
      <c r="MS92" s="494" t="str">
        <f>IF(A92=FALSE,"",MQ92*Cotations!CG92)</f>
        <v/>
      </c>
      <c r="MT92" s="338" t="str">
        <f t="shared" si="737"/>
        <v/>
      </c>
      <c r="MU92" s="919" t="str">
        <f>IF(A92=FALSE,"",((MG92*TAXE)-(MG92*TAXE*MI92))+IF(MM92="N/A",0,IF(INDEX(LISTES!$F$105:$F$109,MATCH(MM92,LISTES!$C$105:$C$109,0))="FIX",MN92,MO92*ML92)))</f>
        <v/>
      </c>
      <c r="NA92" s="497" t="str">
        <f>IF(A92=FALSE,"",Cotations!D92)</f>
        <v/>
      </c>
      <c r="NB92" s="498" t="str">
        <f>IF(A92=FALSE,"",IF(LISTES!$A$17=1,Cotations!CH92,Cotations!$CI$4))</f>
        <v/>
      </c>
      <c r="NC92" s="499" t="str">
        <f t="shared" si="738"/>
        <v/>
      </c>
      <c r="ND92" s="499" t="str">
        <f t="shared" si="739"/>
        <v/>
      </c>
      <c r="NE92" s="500" t="str">
        <f t="shared" si="740"/>
        <v/>
      </c>
      <c r="NF92" s="501" t="str">
        <f>IF(A92=FALSE,"",IF(NA92="POEA",Cotations!CK92,IF(NA92="FIXE",Cotations!$CK$4,Cotations!$CM$4*Y92)))</f>
        <v/>
      </c>
      <c r="NG92" s="502" t="str">
        <f t="shared" si="741"/>
        <v/>
      </c>
      <c r="NH92" s="520" t="str">
        <f>IF(A92=FALSE,"",IF(Cotations!$CJ$4="monthly",NG92/12*L92,NG92/365*M92))</f>
        <v/>
      </c>
      <c r="NI92" s="503" t="str">
        <f>IF(A92=FALSE,"",Cotations!$CN$4)</f>
        <v/>
      </c>
      <c r="NJ92" s="502" t="str">
        <f t="shared" si="742"/>
        <v/>
      </c>
      <c r="NK92" s="502" t="str">
        <f t="shared" si="743"/>
        <v/>
      </c>
      <c r="NL92" s="504" t="str">
        <f t="shared" si="744"/>
        <v/>
      </c>
      <c r="NM92" s="505" t="str">
        <f>IF(A92=FALSE,"",Cotations!$CO$4)</f>
        <v/>
      </c>
      <c r="NN92" s="520" t="str">
        <f>IF(A92=FALSE,"",Cotations!$CP$4)</f>
        <v/>
      </c>
      <c r="NO92" s="503" t="str">
        <f>IF(A92=FALSE,"",Cotations!$CQ$4)</f>
        <v/>
      </c>
      <c r="NP92" s="505" t="str">
        <f>IF(A92=FALSE,"",IF(NM92="N/A",0,IF(INDEX(LISTES!$F$105:$F$109,MATCH(NM92,LISTES!$C$105:$C$109,0))="FIX",IF(INDEX(LISTES!$E$105:$E$109,MATCH(NM92,LISTES!$C$105:$C$109,0))=12,NN92/12*L92,NN92/365*M92),NO92*NL92)))</f>
        <v/>
      </c>
      <c r="NQ92" s="504" t="str">
        <f t="shared" si="745"/>
        <v/>
      </c>
      <c r="NR92" s="505" t="str">
        <f>IF(A92=FALSE,"",NQ92*Cotations!$CR$4)</f>
        <v/>
      </c>
      <c r="NS92" s="505" t="str">
        <f>IF(A92=FALSE,"",NQ92*Cotations!$CS$4)</f>
        <v/>
      </c>
      <c r="NT92" s="506" t="str">
        <f t="shared" si="746"/>
        <v/>
      </c>
      <c r="NU92" s="919" t="str">
        <f>IF(A92=FALSE,"",((NG92*TAXE)-(NG92*TAXE*NI92))+IF(NM92="N/A",0,IF(INDEX(LISTES!$F$105:$F$109,MATCH(NM92,LISTES!$C$105:$C$109,0))="FIX",NN92,NO92*NL92)))</f>
        <v/>
      </c>
      <c r="OA92" s="492" t="str">
        <f>IF(A92=FALSE,"",Cotations!D92)</f>
        <v/>
      </c>
      <c r="OB92" s="491" t="str">
        <f>IF(A92=FALSE,"",IF(LISTES!$A$17=1,Cotations!CH92,Cotations!CI92))</f>
        <v/>
      </c>
      <c r="OC92" s="285" t="str">
        <f t="shared" si="747"/>
        <v/>
      </c>
      <c r="OD92" s="300"/>
      <c r="OE92" s="461" t="str">
        <f t="shared" si="748"/>
        <v/>
      </c>
      <c r="OF92" s="490" t="str">
        <f>IF(A92=FALSE,"",IF(OA92="POEA",Cotations!CK92,IF(OA92="FIXE",Cotations!CL92,IF(Cotations!CM92*Y92&lt;50000,Z92,Cotations!CM92*Y92))))</f>
        <v/>
      </c>
      <c r="OG92" s="300" t="str">
        <f t="shared" si="749"/>
        <v/>
      </c>
      <c r="OH92" s="522" t="str">
        <f>IF(A92=FALSE,"",IF(Cotations!CJ92="monthly",OG92/12*L92,OG92/365*M92))</f>
        <v/>
      </c>
      <c r="OI92" s="489" t="str">
        <f>IF(A92=FALSE,"",IF(Cotations!CN92="","",Cotations!CN92))</f>
        <v/>
      </c>
      <c r="OJ92" s="300" t="str">
        <f t="shared" si="750"/>
        <v/>
      </c>
      <c r="OK92" s="300" t="str">
        <f t="shared" si="751"/>
        <v/>
      </c>
      <c r="OL92" s="919" t="str">
        <f t="shared" si="752"/>
        <v/>
      </c>
      <c r="OM92" s="517" t="str">
        <f>IF(A92=FALSE,"",Cotations!CO92)</f>
        <v/>
      </c>
      <c r="ON92" s="515" t="str">
        <f>IF(A92=FALSE,"",Cotations!CP92)</f>
        <v/>
      </c>
      <c r="OO92" s="493" t="str">
        <f>IF(A92=FALSE,"",Cotations!CQ92)</f>
        <v/>
      </c>
      <c r="OP92" s="517" t="str">
        <f>IF(A92=FALSE,"",IF(OM92="N/A",0,IF(INDEX(LISTES!$F$105:$F$109,MATCH(OM92,LISTES!$C$105:$C$109,0))="FIX",IF(INDEX(LISTES!$E$105:$E$109,MATCH(OM92,LISTES!$C$105:$C$109,0))=12,ON92/12*L92,ON92/365*M92),OO92*OL92)))</f>
        <v/>
      </c>
      <c r="OQ92" s="294" t="str">
        <f t="shared" si="753"/>
        <v/>
      </c>
      <c r="OR92" s="494" t="str">
        <f>IF(A92=FALSE,"",OQ92*Cotations!CR92)</f>
        <v/>
      </c>
      <c r="OS92" s="494" t="str">
        <f>IF(A92=FALSE,"",OQ92*Cotations!CS92)</f>
        <v/>
      </c>
      <c r="OT92" s="338" t="str">
        <f t="shared" si="754"/>
        <v/>
      </c>
      <c r="OU92" s="919" t="str">
        <f>IF(A92=FALSE,"",((OG92*TAXE)-(OG92*TAXE*OI92))+IF(OM92="N/A",0,IF(INDEX(LISTES!$F$105:$F$109,MATCH(OM92,LISTES!$C$105:$C$109,0))="FIX",ON92,OO92*OL92)))</f>
        <v/>
      </c>
      <c r="PA92" s="497" t="str">
        <f t="shared" si="755"/>
        <v/>
      </c>
      <c r="PB92" s="498" t="str">
        <f>IF(A92=FALSE,"",IF(LISTES!$A$17=1,Cotations!CT92,Cotations!$CU$4))</f>
        <v/>
      </c>
      <c r="PC92" s="499" t="str">
        <f t="shared" si="756"/>
        <v/>
      </c>
      <c r="PD92" s="499" t="str">
        <f t="shared" si="757"/>
        <v/>
      </c>
      <c r="PE92" s="500" t="str">
        <f t="shared" si="758"/>
        <v/>
      </c>
      <c r="PF92" s="501" t="str">
        <f>IF(A92=FALSE,"",Cotations!$CY$4*Y92)</f>
        <v/>
      </c>
      <c r="PG92" s="502" t="str">
        <f t="shared" si="759"/>
        <v/>
      </c>
      <c r="PH92" s="520" t="str">
        <f>IF(A92=FALSE,"",IF(Cotations!$CV$4="monthly",PG92/12*L92,PG92/365*M92))</f>
        <v/>
      </c>
      <c r="PI92" s="503" t="str">
        <f>IF(A92=FALSE,"",Cotations!$CZ$4)</f>
        <v/>
      </c>
      <c r="PJ92" s="502" t="str">
        <f t="shared" si="760"/>
        <v/>
      </c>
      <c r="PK92" s="502" t="str">
        <f t="shared" si="761"/>
        <v/>
      </c>
      <c r="PL92" s="504" t="str">
        <f t="shared" si="762"/>
        <v/>
      </c>
      <c r="PM92" s="505" t="str">
        <f>IF(A92=FALSE,"",Cotations!$DA$4)</f>
        <v/>
      </c>
      <c r="PN92" s="520" t="str">
        <f>IF(A92=FALSE,"",Cotations!$DB$4)</f>
        <v/>
      </c>
      <c r="PO92" s="503" t="str">
        <f>IF(A92=FALSE,"",Cotations!$DC$4)</f>
        <v/>
      </c>
      <c r="PP92" s="505" t="str">
        <f>IF(A92=FALSE,"",IF(PM92="N/A",0,IF(INDEX(LISTES!$F$105:$F$109,MATCH(PM92,LISTES!$C$105:$C$109,0))="FIX",IF(INDEX(LISTES!$E$105:$E$109,MATCH(PM92,LISTES!$C$105:$C$109,0))=12,PN92/12*L92,PN92/365*M92),PO92*PL92)))</f>
        <v/>
      </c>
      <c r="PQ92" s="504" t="str">
        <f t="shared" si="763"/>
        <v/>
      </c>
      <c r="PR92" s="505" t="str">
        <f>IF(A92=FALSE,"",PQ92*Cotations!$DD$4)</f>
        <v/>
      </c>
      <c r="PS92" s="505" t="str">
        <f>IF(A92=FALSE,"",PQ92*Cotations!$DE$4)</f>
        <v/>
      </c>
      <c r="PT92" s="506" t="str">
        <f t="shared" si="764"/>
        <v/>
      </c>
      <c r="PU92" s="919" t="str">
        <f>IF(A92=FALSE,"",((PG92*TAXE)-(PG92*TAXE*PI92))+IF(PM92="N/A",0,IF(INDEX(LISTES!$F$105:$F$109,MATCH(PM92,LISTES!$C$105:$C$109,0))="FIX",PN92,PO92*PL92)))</f>
        <v/>
      </c>
      <c r="QA92" s="492" t="str">
        <f t="shared" si="765"/>
        <v/>
      </c>
      <c r="QB92" s="491" t="str">
        <f>IF(A92=FALSE,"",IF(LISTES!$A$17=1,Cotations!CT92,Cotations!CU92))</f>
        <v/>
      </c>
      <c r="QC92" s="285" t="str">
        <f t="shared" si="766"/>
        <v/>
      </c>
      <c r="QD92" s="300"/>
      <c r="QE92" s="461" t="str">
        <f t="shared" si="767"/>
        <v/>
      </c>
      <c r="QF92" s="490" t="str">
        <f>IF(A92=FALSE,"",Cotations!CY92*AA92)</f>
        <v/>
      </c>
      <c r="QG92" s="300" t="str">
        <f t="shared" si="768"/>
        <v/>
      </c>
      <c r="QH92" s="522" t="str">
        <f>IF(A92=FALSE,"",IF(Cotations!CV92="monthly",QG92/12*L92,QG92/365*M92))</f>
        <v/>
      </c>
      <c r="QI92" s="489" t="str">
        <f>IF(A92=FALSE,"",IF(Cotations!CZ92="","",Cotations!CZ92))</f>
        <v/>
      </c>
      <c r="QJ92" s="300" t="str">
        <f t="shared" si="769"/>
        <v/>
      </c>
      <c r="QK92" s="300" t="str">
        <f t="shared" si="770"/>
        <v/>
      </c>
      <c r="QL92" s="919" t="str">
        <f t="shared" si="771"/>
        <v/>
      </c>
      <c r="QM92" s="517" t="str">
        <f>IF(A92=FALSE,"",Cotations!DA92)</f>
        <v/>
      </c>
      <c r="QN92" s="515" t="str">
        <f>IF(A92=FALSE,"",Cotations!DB92)</f>
        <v/>
      </c>
      <c r="QO92" s="493" t="str">
        <f>IF(A92=FALSE,"",Cotations!DC92)</f>
        <v/>
      </c>
      <c r="QP92" s="517" t="str">
        <f>IF(A92=FALSE,"",IF(QM92="N/A",0,IF(INDEX(LISTES!$F$105:$F$109,MATCH(QM92,LISTES!$C$105:$C$109,0))="FIX",IF(INDEX(LISTES!$E$105:$E$109,MATCH(QM92,LISTES!$C$105:$C$109,0))=12,QN92/12*L92,QN92/365*M92),QO92*QL92)))</f>
        <v/>
      </c>
      <c r="QQ92" s="294" t="str">
        <f t="shared" si="772"/>
        <v/>
      </c>
      <c r="QR92" s="494" t="str">
        <f>IF(A92=FALSE,"",QQ92*Cotations!DD92)</f>
        <v/>
      </c>
      <c r="QS92" s="494" t="str">
        <f>IF(A92=FALSE,"",QQ92*Cotations!DE92)</f>
        <v/>
      </c>
      <c r="QT92" s="338" t="str">
        <f t="shared" si="773"/>
        <v/>
      </c>
      <c r="QU92" s="919" t="str">
        <f>IF(A92=FALSE,"",((QG92*TAXE)-(QG92*TAXE*QI92))+IF(QM92="N/A",0,IF(INDEX(LISTES!$F$105:$F$109,MATCH(QM92,LISTES!$C$105:$C$109,0))="FIX",QN92,QO92*QL92)))</f>
        <v/>
      </c>
      <c r="RA92" s="497" t="str">
        <f t="shared" si="774"/>
        <v/>
      </c>
      <c r="RB92" s="498" t="str">
        <f>IF(A92=FALSE,"",IF(LISTES!$A$17=1,Cotations!DF92,Cotations!$DG$4))</f>
        <v/>
      </c>
      <c r="RC92" s="499" t="str">
        <f t="shared" si="775"/>
        <v/>
      </c>
      <c r="RD92" s="499" t="str">
        <f t="shared" si="776"/>
        <v/>
      </c>
      <c r="RE92" s="500" t="str">
        <f t="shared" si="777"/>
        <v/>
      </c>
      <c r="RF92" s="501" t="str">
        <f>IF(A92=FALSE,"",Cotations!$DK$4*Y92)</f>
        <v/>
      </c>
      <c r="RG92" s="502" t="str">
        <f t="shared" si="778"/>
        <v/>
      </c>
      <c r="RH92" s="520" t="str">
        <f>IF(A92=FALSE,"",IF(Cotations!$DH$4="monthly",RG92/12*L92,RG92/365*M92))</f>
        <v/>
      </c>
      <c r="RI92" s="503" t="str">
        <f>IF(A92=FALSE,"",Cotations!$DL$4)</f>
        <v/>
      </c>
      <c r="RJ92" s="502" t="str">
        <f t="shared" si="779"/>
        <v/>
      </c>
      <c r="RK92" s="502" t="str">
        <f t="shared" si="780"/>
        <v/>
      </c>
      <c r="RL92" s="504" t="str">
        <f t="shared" si="781"/>
        <v/>
      </c>
      <c r="RM92" s="505" t="str">
        <f>IF(A92=FALSE,"",Cotations!$DM$4)</f>
        <v/>
      </c>
      <c r="RN92" s="520" t="str">
        <f>IF(A92=FALSE,"",Cotations!$DN$4)</f>
        <v/>
      </c>
      <c r="RO92" s="503" t="str">
        <f>IF(A92=FALSE,"",Cotations!$DO$4)</f>
        <v/>
      </c>
      <c r="RP92" s="505" t="str">
        <f>IF(A92=FALSE,"",IF(RM92="N/A",0,IF(INDEX(LISTES!$F$105:$F$109,MATCH(RM92,LISTES!$C$105:$C$109,0))="FIX",IF(INDEX(LISTES!$E$105:$E$109,MATCH(RM92,LISTES!$C$105:$C$109,0))=12,RN92/12*L92,RN92/365*M92),RO92*RL92)))</f>
        <v/>
      </c>
      <c r="RQ92" s="504" t="str">
        <f t="shared" si="782"/>
        <v/>
      </c>
      <c r="RR92" s="505" t="str">
        <f>IF(A92=FALSE,"",RQ92*Cotations!$DP$4)</f>
        <v/>
      </c>
      <c r="RS92" s="505" t="str">
        <f>IF(A92=FALSE,"",RQ92*Cotations!$DQ$4)</f>
        <v/>
      </c>
      <c r="RT92" s="506" t="str">
        <f t="shared" si="783"/>
        <v/>
      </c>
      <c r="RU92" s="919" t="str">
        <f>IF(A92=FALSE,"",((RG92*TAXE)-(RG92*TAXE*RI92))+IF(RM92="N/A",0,IF(INDEX(LISTES!$F$105:$F$109,MATCH(RM92,LISTES!$C$105:$C$109,0))="FIX",RN92,RO92*RL92)))</f>
        <v/>
      </c>
      <c r="SA92" s="492" t="str">
        <f t="shared" si="784"/>
        <v/>
      </c>
      <c r="SB92" s="491" t="str">
        <f>IF(A92=FALSE,"",IF(LISTES!$A$17=1,Cotations!DF92,Cotations!DG92))</f>
        <v/>
      </c>
      <c r="SC92" s="285" t="str">
        <f t="shared" si="785"/>
        <v/>
      </c>
      <c r="SD92" s="300"/>
      <c r="SE92" s="461" t="str">
        <f t="shared" si="786"/>
        <v/>
      </c>
      <c r="SF92" s="490" t="str">
        <f>IF(A92=FALSE,"",Cotations!DK92*AA92)</f>
        <v/>
      </c>
      <c r="SG92" s="300" t="str">
        <f t="shared" si="787"/>
        <v/>
      </c>
      <c r="SH92" s="522" t="str">
        <f>IF(A92=FALSE,"",IF(Cotations!DH92="monthly",SG92/12*L92,SG92/365*M92))</f>
        <v/>
      </c>
      <c r="SI92" s="489" t="str">
        <f>IF(A92=FALSE,"",IF(Cotations!DL92="","",Cotations!DL92))</f>
        <v/>
      </c>
      <c r="SJ92" s="300" t="str">
        <f t="shared" si="788"/>
        <v/>
      </c>
      <c r="SK92" s="300" t="str">
        <f t="shared" si="789"/>
        <v/>
      </c>
      <c r="SL92" s="919" t="str">
        <f t="shared" si="790"/>
        <v/>
      </c>
      <c r="SM92" s="285" t="str">
        <f>IF(A92=FALSE,"",Cotations!DM92)</f>
        <v/>
      </c>
      <c r="SN92" s="515" t="str">
        <f>IF(A92=FALSE,"",Cotations!DN92)</f>
        <v/>
      </c>
      <c r="SO92" s="493" t="str">
        <f>IF(A92=FALSE,"",Cotations!DO92)</f>
        <v/>
      </c>
      <c r="SP92" s="517" t="str">
        <f>IF(A92=FALSE,"",IF(SM92="N/A",0,IF(INDEX(LISTES!$F$105:$F$109,MATCH(SM92,LISTES!$C$105:$C$109,0))="FIX",IF(INDEX(LISTES!$E$105:$E$109,MATCH(SM92,LISTES!$C$105:$C$109,0))=12,SN92/12*L92,SN92/365*M92),SO92*SL92)))</f>
        <v/>
      </c>
      <c r="SQ92" s="294" t="str">
        <f t="shared" si="791"/>
        <v/>
      </c>
      <c r="SR92" s="494" t="str">
        <f>IF(A92=FALSE,"",SQ92*Cotations!DP92)</f>
        <v/>
      </c>
      <c r="SS92" s="494" t="str">
        <f>IF(A92=FALSE,"",SQ92*Cotations!DQ92)</f>
        <v/>
      </c>
      <c r="ST92" s="338" t="str">
        <f t="shared" si="792"/>
        <v/>
      </c>
      <c r="SU92" s="919" t="str">
        <f>IF(A92=FALSE,"",((SG92*TAXE)-(SG92*TAXE*SI92))+IF(SM92="N/A",0,IF(INDEX(LISTES!$F$105:$F$109,MATCH(SM92,LISTES!$C$105:$C$109,0))="FIX",SN92,SO92*SL92)))</f>
        <v/>
      </c>
      <c r="TA92" s="492" t="str">
        <f>IF(A92=FALSE,"",Cotations!D92)</f>
        <v/>
      </c>
      <c r="TB92" s="491" t="str">
        <f>IF(A92=FALSE,"",IF(LISTES!$A$17=1,Cotations!DR92,Cotations!DS92))</f>
        <v/>
      </c>
      <c r="TC92" s="285" t="str">
        <f t="shared" si="793"/>
        <v/>
      </c>
      <c r="TD92" s="300" t="str">
        <f>IF(A92=FALSE,"",Detail!CQ92)</f>
        <v/>
      </c>
      <c r="TE92" s="461" t="str">
        <f t="shared" si="794"/>
        <v/>
      </c>
      <c r="TF92" s="490" t="str">
        <f>IF(A92=FALSE,"",IF(TA92="FIXE",Cotations!DU92,Cotations!DV92*Y92))</f>
        <v/>
      </c>
      <c r="TG92" s="300" t="str">
        <f t="shared" si="795"/>
        <v/>
      </c>
      <c r="TH92" s="522" t="str">
        <f>IF(A92=FALSE,"",IF(Cotations!DT92="monthly",TG92/12*L92,TG92/365*M92))</f>
        <v/>
      </c>
      <c r="TI92" s="489" t="str">
        <f>IF(A92=FALSE,"",IF(Cotations!DW92="","",Cotations!DW92))</f>
        <v/>
      </c>
      <c r="TJ92" s="300" t="str">
        <f t="shared" si="796"/>
        <v/>
      </c>
      <c r="TK92" s="300" t="str">
        <f t="shared" si="797"/>
        <v/>
      </c>
      <c r="TL92" s="919" t="str">
        <f t="shared" si="798"/>
        <v/>
      </c>
      <c r="TM92" s="517" t="str">
        <f>IF(A92=FALSE,"",Cotations!DX92)</f>
        <v/>
      </c>
      <c r="TN92" s="517" t="str">
        <f>IF(A92=FALSE,"",Cotations!DY92)</f>
        <v/>
      </c>
      <c r="TO92" s="493" t="str">
        <f>IF(A92=FALSE,"",Cotations!DZ92)</f>
        <v/>
      </c>
      <c r="TP92" s="517" t="str">
        <f>IF(A92=FALSE,"",IF(TM92="N/A",0,IF(INDEX(LISTES!$F$105:$F$109,MATCH(TM92,LISTES!$C$105:$C$109,0))="FIX",IF(INDEX(LISTES!$E$105:$E$109,MATCH(TM92,LISTES!$C$105:$C$109,0))=12,TN92/12*L92,TN92/365*M92),TO92*TL92)))</f>
        <v/>
      </c>
      <c r="TQ92" s="294" t="str">
        <f t="shared" si="799"/>
        <v/>
      </c>
      <c r="TR92" s="494" t="str">
        <f>IF(A92=FALSE,"",TQ92*Cotations!EA92)</f>
        <v/>
      </c>
      <c r="TS92" s="494" t="str">
        <f>IF(A92=FALSE,"",TQ92*Cotations!EB92)</f>
        <v/>
      </c>
      <c r="TT92" s="338" t="str">
        <f t="shared" si="800"/>
        <v/>
      </c>
      <c r="TU92" s="919" t="str">
        <f>IF(A92=FALSE,"",((TG92*(1+TAXE)-(TG92*(1+TAXE)*TI92))+IF(TM92="N/A",0,IF(INDEX(LISTES!$F$105:$F$109,MATCH(TM92,LISTES!$C$105:$C$109,0))="FIX",TN92,TO92*TL92))))</f>
        <v/>
      </c>
      <c r="UA92" s="492" t="str">
        <f>IF(A92=FALSE,"",Cotations!D92)</f>
        <v/>
      </c>
      <c r="UB92" s="491" t="str">
        <f>IF(A92=FALSE,"",IF(LISTES!$A$17=1,Cotations!EC92,Cotations!ED92))</f>
        <v/>
      </c>
      <c r="UC92" s="285" t="str">
        <f t="shared" si="801"/>
        <v/>
      </c>
      <c r="UD92" s="300" t="str">
        <f>IF(A92=FALSE,"",Detail!CY92)</f>
        <v/>
      </c>
      <c r="UE92" s="461" t="str">
        <f t="shared" si="802"/>
        <v/>
      </c>
      <c r="UF92" s="490" t="str">
        <f>IF(A92=FALSE,"",IF(UA92="FIXE",Cotations!EF92,Cotations!EG92*Y92))</f>
        <v/>
      </c>
      <c r="UG92" s="300" t="str">
        <f t="shared" si="803"/>
        <v/>
      </c>
      <c r="UH92" s="522" t="str">
        <f>IF(A92=FALSE,"",IF(Cotations!EE92="monthly",UG92/12*L92,UG92/365*M92))</f>
        <v/>
      </c>
      <c r="UI92" s="489" t="str">
        <f>IF(A92=FALSE,"",IF(Cotations!EH92="","",Cotations!EH92))</f>
        <v/>
      </c>
      <c r="UJ92" s="300" t="str">
        <f t="shared" si="804"/>
        <v/>
      </c>
      <c r="UK92" s="300" t="str">
        <f t="shared" si="805"/>
        <v/>
      </c>
      <c r="UL92" s="919" t="str">
        <f t="shared" si="806"/>
        <v/>
      </c>
      <c r="UM92" s="517" t="str">
        <f>IF(A92=FALSE,"",Cotations!EI92)</f>
        <v/>
      </c>
      <c r="UN92" s="517" t="str">
        <f>IF(A92=FALSE,"",Cotations!EJ92)</f>
        <v/>
      </c>
      <c r="UO92" s="493" t="str">
        <f>IF(A92=FALSE,"",Cotations!EK92)</f>
        <v/>
      </c>
      <c r="UP92" s="517" t="str">
        <f>IF(A92=FALSE,"",IF(UM92="N/A",0,IF(INDEX(LISTES!$F$105:$F$109,MATCH(UM92,LISTES!$C$105:$C$109,0))="FIX",IF(INDEX(LISTES!$E$105:$E$109,MATCH(UM92,LISTES!$C$105:$C$109,0))=12,UN92/12*L92,UN92/365*M92),UO92*UL92)))</f>
        <v/>
      </c>
      <c r="UQ92" s="294" t="str">
        <f t="shared" si="807"/>
        <v/>
      </c>
      <c r="UR92" s="494" t="str">
        <f>IF(A92=FALSE,"",UQ92*Cotations!EL92)</f>
        <v/>
      </c>
      <c r="US92" s="494" t="str">
        <f>IF(A92=FALSE,"",UQ92*Cotations!EM92)</f>
        <v/>
      </c>
      <c r="UT92" s="338" t="str">
        <f t="shared" si="808"/>
        <v/>
      </c>
      <c r="UU92" s="919" t="str">
        <f>IF(A92=FALSE,"",((UG92*(1+TAXE)-(UG92*(1+TAXE)*UI92))+IF(UM92="N/A",0,IF(INDEX(LISTES!$F$105:$F$109,MATCH(UM92,LISTES!$C$105:$C$109,0))="FIX",UN92,UO92*UL92))))</f>
        <v/>
      </c>
      <c r="VA92" s="492" t="str">
        <f>IF(A92=FALSE,"",Cotations!D92)</f>
        <v/>
      </c>
      <c r="VB92" s="519" t="str">
        <f>IF(A92=FALSE,"",IF(LISTES!$A$17=1,Cotations!EN92,Cotations!EO92))</f>
        <v/>
      </c>
      <c r="VC92" s="291" t="str">
        <f t="shared" si="809"/>
        <v/>
      </c>
      <c r="VD92" s="291" t="str">
        <f t="shared" si="810"/>
        <v/>
      </c>
      <c r="VE92" s="291"/>
      <c r="VF92" s="463"/>
      <c r="VG92" s="463" t="str">
        <f t="shared" si="811"/>
        <v/>
      </c>
      <c r="VH92" s="522" t="str">
        <f>IF(A92=FALSE,"",IF(Cotations!$AQ$4="monthly",VG92/12*L92,VG92/365*M92))</f>
        <v/>
      </c>
      <c r="VI92" s="489" t="str">
        <f>IF(A92=FALSE,"",Cotations!$AR$4)</f>
        <v/>
      </c>
      <c r="VJ92" s="300" t="str">
        <f t="shared" si="812"/>
        <v/>
      </c>
      <c r="VK92" s="300" t="str">
        <f t="shared" si="813"/>
        <v/>
      </c>
      <c r="VL92" s="294" t="str">
        <f t="shared" si="814"/>
        <v/>
      </c>
      <c r="VM92" s="494" t="str">
        <f>IF(A92=FALSE,"",Cotations!$AS$4)</f>
        <v/>
      </c>
      <c r="VN92" s="494" t="str">
        <f>IF(A92=FALSE,"",Cotations!$AT$4)</f>
        <v/>
      </c>
      <c r="VO92" s="489" t="str">
        <f>IF(A92=FALSE,"",Cotations!$AU$4)</f>
        <v/>
      </c>
      <c r="VP92" s="494" t="str">
        <f>IF(A92=FALSE,"",IF(VM92="N/A",0,IF(INDEX(LISTES!$F$105:$F$109,MATCH(VM92,LISTES!$C$105:$C$109,0))="FIX",IF(INDEX(LISTES!$E$105:$E$109,MATCH(VM92,LISTES!$C$105:$C$109,0))=12,VN92/12*L92,VN92/365*M92),VO92*VL92)))</f>
        <v/>
      </c>
      <c r="VQ92" s="294" t="str">
        <f t="shared" si="815"/>
        <v/>
      </c>
      <c r="VR92" s="494" t="str">
        <f>IF(A92=FALSE,"",VQ92*Cotations!$AV$4)</f>
        <v/>
      </c>
      <c r="VS92" s="494" t="str">
        <f>IF(A92=FALSE,"",VQ92*Cotations!$AW$4)</f>
        <v/>
      </c>
      <c r="VT92" s="465" t="str">
        <f t="shared" si="816"/>
        <v/>
      </c>
      <c r="VU92" s="919" t="str">
        <f>IF(A92=FALSE,"",((VG92*TAXE)-(VG92*TAXE*VI92))+IF(VM92="N/A",0,IF(INDEX(LISTES!$F$105:$F$109,MATCH(VM92,LISTES!$C$105:$C$109,0))="FIX",VN92,VO92*VL92)))</f>
        <v/>
      </c>
      <c r="WA92" s="492" t="str">
        <f>IF(A92=FALSE,"",Cotations!D92)</f>
        <v/>
      </c>
      <c r="WB92" s="519" t="str">
        <f>IF(A92=FALSE,"",IF(LISTES!$A$17=1,Cotations!EW92,Cotations!EX92))</f>
        <v/>
      </c>
      <c r="WC92" s="291" t="str">
        <f t="shared" si="817"/>
        <v/>
      </c>
      <c r="WD92" s="291" t="str">
        <f t="shared" si="818"/>
        <v/>
      </c>
      <c r="WE92" s="291"/>
      <c r="WF92" s="463"/>
      <c r="WG92" s="463" t="str">
        <f t="shared" si="819"/>
        <v/>
      </c>
      <c r="WH92" s="522" t="str">
        <f>IF(A92=FALSE,"",IF(Cotations!$AQ$4="monthly",WG92/12*L92,WG92/365*M92))</f>
        <v/>
      </c>
      <c r="WI92" s="489" t="str">
        <f>IF(A92=FALSE,"",Cotations!$AR$4)</f>
        <v/>
      </c>
      <c r="WJ92" s="300" t="str">
        <f t="shared" si="820"/>
        <v/>
      </c>
      <c r="WK92" s="300" t="str">
        <f t="shared" si="821"/>
        <v/>
      </c>
      <c r="WL92" s="294" t="str">
        <f t="shared" si="822"/>
        <v/>
      </c>
      <c r="WM92" s="494" t="str">
        <f>IF(A92=FALSE,"",Cotations!$AS$4)</f>
        <v/>
      </c>
      <c r="WN92" s="494" t="str">
        <f>IF(A92=FALSE,"",Cotations!$AT$4)</f>
        <v/>
      </c>
      <c r="WO92" s="489" t="str">
        <f>IF(A92=FALSE,"",Cotations!$AU$4)</f>
        <v/>
      </c>
      <c r="WP92" s="494" t="str">
        <f>IF(A92=FALSE,"",IF(WM92="N/A",0,IF(INDEX(LISTES!$F$105:$F$109,MATCH(WM92,LISTES!$C$105:$C$109,0))="FIX",IF(INDEX(LISTES!$E$105:$E$109,MATCH(WM92,LISTES!$C$105:$C$109,0))=12,WN92/12*L92,WN92/365*M92),WO92*WL92)))</f>
        <v/>
      </c>
      <c r="WQ92" s="294" t="str">
        <f t="shared" si="823"/>
        <v/>
      </c>
      <c r="WR92" s="494" t="str">
        <f>IF(A92=FALSE,"",WQ92*Cotations!$AV$4)</f>
        <v/>
      </c>
      <c r="WS92" s="494" t="str">
        <f>IF(A92=FALSE,"",WQ92*Cotations!$AW$4)</f>
        <v/>
      </c>
      <c r="WT92" s="465" t="str">
        <f t="shared" si="824"/>
        <v/>
      </c>
      <c r="WU92" s="919" t="str">
        <f>IF(A92=FALSE,"",((WG92*TAXE)-(WG92*TAXE*WI92))+IF(WM92="N/A",0,IF(INDEX(LISTES!$F$105:$F$109,MATCH(WM92,LISTES!$C$105:$C$109,0))="FIX",WN92,WO92*WL92)))</f>
        <v/>
      </c>
    </row>
    <row r="93" spans="1:619">
      <c r="A93" s="942" t="b">
        <f t="shared" si="629"/>
        <v>0</v>
      </c>
      <c r="B93" s="942" t="b">
        <f>IF(NAMES!$B$9=TRUE,TRUE,FALSE)</f>
        <v>1</v>
      </c>
      <c r="C93" s="942" t="b">
        <f t="shared" si="825"/>
        <v>0</v>
      </c>
      <c r="D93" s="942" t="b">
        <f t="shared" si="826"/>
        <v>0</v>
      </c>
      <c r="E93" s="274" t="b">
        <f>IF(Cotations!C93="","",Cotations!C93)</f>
        <v>0</v>
      </c>
      <c r="F93" s="274" t="str">
        <f>IF(Cotations!D93="","",Cotations!D93)</f>
        <v>PROP</v>
      </c>
      <c r="G93" s="274" t="str">
        <f>IF(Cotations!E93="","",Cotations!E93)</f>
        <v>2016-2017!</v>
      </c>
      <c r="H93" s="274" t="str">
        <f>IF(Cotations!F93="","",Cotations!F93)</f>
        <v>SINGLE</v>
      </c>
      <c r="I93" s="274" t="str">
        <f>IF(Cotations!G93="","",Cotations!G93)</f>
        <v/>
      </c>
      <c r="J93" s="274" t="str">
        <f>IF(Cotations!H93="","",Cotations!H93)</f>
        <v/>
      </c>
      <c r="K93" s="274" t="str">
        <f>IF(Cotations!I93="","",Cotations!I93)</f>
        <v/>
      </c>
      <c r="L93" s="274" t="str">
        <f>IF(A93=FALSE,"",IF(Cotations!N93="","",Cotations!N93))</f>
        <v/>
      </c>
      <c r="M93" s="274" t="str">
        <f>IF(Cotations!P93="","",Cotations!P93)</f>
        <v/>
      </c>
      <c r="N93" s="724" t="str">
        <f>IF(NAMES!$B$10=TRUE,Cotations!J93,Cotations!L93)</f>
        <v/>
      </c>
      <c r="O93" s="724" t="str">
        <f>IF(NAMES!$B$10=TRUE,Cotations!K93,Cotations!M93)</f>
        <v/>
      </c>
      <c r="P93" s="943" t="str">
        <f t="shared" si="827"/>
        <v/>
      </c>
      <c r="Q93" s="724" t="str">
        <f>IF(A93=FALSE,"",IF(Crewlist!Y93="","",Crewlist!Y93))</f>
        <v/>
      </c>
      <c r="R93" s="78" t="str">
        <f>IF(Cotations!U93="","",Cotations!U93)</f>
        <v/>
      </c>
      <c r="S93" s="943" t="str">
        <f t="shared" si="828"/>
        <v/>
      </c>
      <c r="T93" s="919" t="str">
        <f>IF(A93=FALSE,"",VLOOKUP($U$15:$U$120,Currency!$A$2:$D$10,4,0)*Crewlist!N93)</f>
        <v/>
      </c>
      <c r="U93" s="1355" t="str">
        <f>IF(A93=FALSE,"",IF(IT93=0,Crewlist!M93&amp;"/"&amp;EX93,Crewlist!M93&amp;"/"&amp;IT93))</f>
        <v/>
      </c>
      <c r="V93" s="919" t="str">
        <f>IF(A93=FALSE,"",VLOOKUP($U$15:$U$120,Currency!$A$2:$D$10,4,0)*Detail!Q93)</f>
        <v/>
      </c>
      <c r="W93" s="1355" t="str">
        <f>IF(A93=FALSE,"",IF(IT93=0,Detail!R93&amp;"/"&amp;EX93,Detail!R93&amp;"/"&amp;IT93))</f>
        <v/>
      </c>
      <c r="X93" s="919" t="str">
        <f>IF(A93=FALSE,"",IF(LISTES!$C$17="Crewlist",Calcul!T93,Calcul!V93))</f>
        <v/>
      </c>
      <c r="Y93" s="758" t="str">
        <f t="shared" si="829"/>
        <v/>
      </c>
      <c r="Z93" s="758" t="str">
        <f>IF(A93=FALSE,"",IF(X93=0,0,IF((Cotations!BC93*12*X93)&lt;50000,50000,(12*X93))))</f>
        <v/>
      </c>
      <c r="AA93" s="758" t="str">
        <f t="shared" si="830"/>
        <v/>
      </c>
      <c r="AB93" s="758" t="str">
        <f>IF(A93=FALSE,"",IF(Crewlist!O93=0,"",Crewlist!O93))</f>
        <v/>
      </c>
      <c r="AC93" s="758" t="str">
        <f>IF(I93="","",VLOOKUP($AB$15:$AB$120,Currency!$A$15:$B$34,2,0))</f>
        <v/>
      </c>
      <c r="AD93" s="758" t="str">
        <f t="shared" si="831"/>
        <v/>
      </c>
      <c r="AE93" s="758" t="str">
        <f t="shared" si="832"/>
        <v/>
      </c>
      <c r="AF93" s="758" t="str">
        <f t="shared" si="833"/>
        <v/>
      </c>
      <c r="AG93" s="758" t="str">
        <f t="shared" si="834"/>
        <v/>
      </c>
      <c r="AH93" s="1355" t="str">
        <f t="shared" si="630"/>
        <v/>
      </c>
      <c r="AI93" s="919" t="str">
        <f t="shared" si="835"/>
        <v/>
      </c>
      <c r="AJ93" s="1382" t="str">
        <f t="shared" si="836"/>
        <v/>
      </c>
      <c r="AK93" s="1382" t="str">
        <f t="shared" si="837"/>
        <v/>
      </c>
      <c r="AL93" s="238" t="str">
        <f t="shared" si="631"/>
        <v/>
      </c>
      <c r="AM93" s="238" t="str">
        <f t="shared" si="632"/>
        <v/>
      </c>
      <c r="AN93" s="1374" t="str">
        <f t="shared" si="633"/>
        <v/>
      </c>
      <c r="AO93" s="238" t="str">
        <f t="shared" si="634"/>
        <v/>
      </c>
      <c r="AP93" s="342" t="str">
        <f>IF(A93=FALSE,"",INDEX(Rates!$Z$5:$Z$367,MATCH(EB93,colchoice,0)))</f>
        <v/>
      </c>
      <c r="AQ93" s="238" t="str">
        <f t="shared" si="635"/>
        <v/>
      </c>
      <c r="AR93" s="238" t="str">
        <f t="shared" si="636"/>
        <v/>
      </c>
      <c r="AS93" s="238" t="str">
        <f t="shared" si="637"/>
        <v/>
      </c>
      <c r="AT93" s="238" t="str">
        <f t="shared" si="638"/>
        <v/>
      </c>
      <c r="AU93" s="238" t="str">
        <f t="shared" si="639"/>
        <v/>
      </c>
      <c r="AV93" s="238" t="str">
        <f t="shared" si="838"/>
        <v/>
      </c>
      <c r="AW93" s="238" t="str">
        <f t="shared" si="640"/>
        <v/>
      </c>
      <c r="AX93" s="238" t="str">
        <f t="shared" si="641"/>
        <v/>
      </c>
      <c r="AY93" s="238" t="str">
        <f t="shared" si="642"/>
        <v/>
      </c>
      <c r="AZ93" s="238" t="str">
        <f t="shared" si="643"/>
        <v/>
      </c>
      <c r="BA93" s="238" t="str">
        <f t="shared" si="644"/>
        <v/>
      </c>
      <c r="BB93" s="552" t="str">
        <f t="shared" si="645"/>
        <v/>
      </c>
      <c r="BC93" s="347" t="str">
        <f t="shared" si="646"/>
        <v/>
      </c>
      <c r="BD93" s="239" t="str">
        <f t="shared" si="839"/>
        <v/>
      </c>
      <c r="BE93" s="239" t="str">
        <f>IF(A93=FALSE,"",IF(ALLTHESAME=TRUE,IF(DF93&lt;&gt;$BC$7,0,INDEX(DD93:DZ93,1,MATCH(Structure!$D$12,$DD$14:$DZ$14,0))),IF(EC93&lt;&gt;$BC$7,0,INDEX(EA93:EZ93,1,MATCH(Structure!$D$12,$EA$14:$EZ$14,0)))))</f>
        <v/>
      </c>
      <c r="BF93" s="239" t="str">
        <f>IF(A93=FALSE,"",IF(ALLTHESAME=TRUE,IF(FC93&lt;&gt;$BC$7,0,INDEX(FA93:FZ93,1,MATCH(Structure!$D$12,$FA$14:$FZ$14,0))),IF(GC93&lt;&gt;$BC$7,0,INDEX(GA93:GZ93,1,MATCH(Structure!$D$12,$GA$14:$GZ$14,0)))))</f>
        <v/>
      </c>
      <c r="BG93" s="239" t="str">
        <f>IF(A93=FALSE,"",IF(ALLTHESAME=TRUE,IF(VC93&lt;&gt;$BC$7,0,INDEX(VA93:VZ93,1,MATCH(Structure!$D$12,$VA$14:$VZ$14,0))),IF(VC93&lt;&gt;$BC$7,0,INDEX(VA93:VZ93,1,MATCH(Structure!$D$12,$VA$14:$VZ$14,0)))))</f>
        <v/>
      </c>
      <c r="BH93" s="239" t="str">
        <f>IF(A93=FALSE,"",IF(ALLTHESAME=TRUE,IF(WC93&lt;&gt;$BC$7,0,INDEX(WA93:WY93,1,MATCH(Structure!$D$12,$WA$14:$WZ$14,0))),IF(WC93&lt;&gt;$BC$7,0,INDEX(WA93:WZ93,1,MATCH(Structure!$D$12,$WA$14:$WZ$14,0)))))</f>
        <v/>
      </c>
      <c r="BI93" s="763" t="str">
        <f>IF(A93=FALSE,"",IF(ALLTHESAME=TRUE,IF(HC93&lt;&gt;$BC$7,0,INDEX(HA93:HZ93,1,MATCH(Structure!$D$12,$HA$14:$HZ$14,0)))+TK93,IF(IC93&lt;&gt;$BC$7,0,INDEX(IA93:IZ93,1,MATCH(Structure!$D$12,$IA$14:$IZ$14,0)))+TK93))</f>
        <v/>
      </c>
      <c r="BJ93" s="239" t="str">
        <f>IF(A93=FALSE,"",IF(ALLTHESAME=TRUE,IF(JC93&lt;&gt;$BC$7,0,INDEX(JA93:JZ93,1,MATCH(Structure!$D$12,$JA$14:$JZ$14,0))),IF(KC93&lt;&gt;$BC$7,0,INDEX(KA93:KZ93,1,MATCH(Structure!$D$12,$KA$14:$KZ$14,0)))))</f>
        <v/>
      </c>
      <c r="BK93" s="763" t="str">
        <f>IF(A93=FALSE,"",IF(ALLTHESAME=TRUE,IF(LC93&lt;&gt;$BC$7,0,INDEX(LA93:LZ93,1,MATCH(Structure!$D$12,$LA$14:$LZ$14,0)))+UK93,IF(MC93&lt;&gt;$BC$7,0,INDEX(MA93:MZ93,1,MATCH(Structure!$D$12,$MA$14:$MZ$14,0)))+UK93))</f>
        <v/>
      </c>
      <c r="BL93" s="239" t="str">
        <f>IF(A93=FALSE,"",IF(ALLTHESAME=TRUE,IF(NC93&lt;&gt;$BC$7,0,INDEX(NA93:NZ93,1,MATCH(Structure!$D$12,$NA$14:$NZ$14,0))),IF(OC93&lt;&gt;$BC$7,0,INDEX(OA93:OZ93,1,MATCH(Structure!$D$12,$OA$14:$OZ$14,0)))))</f>
        <v/>
      </c>
      <c r="BM93" s="239" t="str">
        <f>IF(A93=FALSE,"",IF(ALLTHESAME=TRUE,IF(PC93&lt;&gt;$BC$7,0,INDEX(PA93:PZ93,1,MATCH(Structure!$D$12,$PA$14:$PZ$14,0))),IF(QC93&lt;&gt;$BC$7,0,INDEX(QA93:QZ93,1,MATCH(Structure!$D$12,$QA$14:$QZ$14,0)))))</f>
        <v/>
      </c>
      <c r="BN93" s="341" t="str">
        <f>IF(A93=FALSE,"",IF(ALLTHESAME=TRUE,IF(RC93&lt;&gt;$BC$7,0,INDEX(RA93:RZ93,1,MATCH(Structure!$D$12,$RA$14:$RZ$14,0))),IF(SC93&lt;&gt;$BC$7,0,INDEX(SA93:TA93,1,MATCH(Structure!$D$12,$SA$14:$TA$14,0)))))</f>
        <v/>
      </c>
      <c r="BO93" s="507" t="str">
        <f t="shared" si="647"/>
        <v/>
      </c>
      <c r="BP93" s="239" t="str">
        <f t="shared" si="648"/>
        <v/>
      </c>
      <c r="BQ93" s="239" t="str">
        <f>IF(A93=FALSE,"",IF(ALLTHESAME=TRUE,IF(DF93&lt;&gt;$BO$7,0,INDEX(DD93:DZ93,1,MATCH(Structure!$D$12,$DD$14:$DZ$14,0))),IF(EC93&lt;&gt;$BO$7,0,INDEX(EA93:EZ93,1,MATCH(Structure!$D$12,$EA$14:$EZ$14,0)))))</f>
        <v/>
      </c>
      <c r="BR93" s="239" t="str">
        <f>IF(A93=FALSE,"",IF(ALLTHESAME=TRUE,IF(FC93&lt;&gt;$BO$7,0,INDEX(FA93:FZ93,1,MATCH(Structure!$D$12,$FA$14:$FZ$14,0))),IF(GC93&lt;&gt;$BO$7,0,INDEX(GA93:GZ93,1,MATCH(Structure!$D$12,$GA$14:$GZ$14,0)))))</f>
        <v/>
      </c>
      <c r="BS93" s="239" t="str">
        <f>IF(A93=FALSE,"",IF(ALLTHESAME=TRUE,IF(HC93&lt;&gt;$BO$7,0,INDEX(HA93:HZ93,1,MATCH(Structure!$D$12,$HA$14:$HZ$14,0))),IF(IC93&lt;&gt;$BO$7,0,INDEX(IA93:IZ93,1,MATCH(Structure!$D$12,$IA$14:$IZ$14,0)))))</f>
        <v/>
      </c>
      <c r="BT93" s="239" t="str">
        <f>IF(A93=FALSE,"",IF(ALLTHESAME=TRUE,IF(JC93&lt;&gt;$BO$7,0,INDEX(JA93:JZ93,1,MATCH(Structure!$D$12,$JA$14:$JZ$14,0))),IF(KC93&lt;&gt;$BO$7,0,INDEX(KA93:KZ93,1,MATCH(Structure!$D$12,$KA$14:$KZ$14,0)))))</f>
        <v/>
      </c>
      <c r="BU93" s="239" t="str">
        <f>IF(A93=FALSE,"",IF(ALLTHESAME=TRUE,IF(LC93&lt;&gt;$BO$7,0,INDEX(LA93:LZ93,1,MATCH(Structure!$D$12,$LA$14:$LZ$14,0))),IF(MC93&lt;&gt;$BO$7,0,INDEX(MA93:MZ93,1,MATCH(Structure!$D$12,$MA$14:$MZ$14,0)))))</f>
        <v/>
      </c>
      <c r="BV93" s="239" t="str">
        <f>IF(A93=FALSE,"",IF(ALLTHESAME=TRUE,IF(NC93&lt;&gt;$BO$7,0,INDEX(NA93:NZ93,1,MATCH(Structure!$D$12,$NA$14:$NZ$14,0))),IF(OC93&lt;&gt;$BO$7,0,INDEX(OA93:OZ93,1,MATCH(Structure!$D$12,$OA$14:$OZ$14,0)))))</f>
        <v/>
      </c>
      <c r="BW93" s="239" t="str">
        <f>IF(A93=FALSE,"",IF(ALLTHESAME=TRUE,IF(PC93&lt;&gt;$BO$7,0,INDEX(PA93:PZ93,1,MATCH(Structure!$D$12,$PA$14:$PZ$14,0))),IF(QC93&lt;&gt;$BO$7,0,INDEX(QA93:QZ93,1,MATCH(Structure!$D$12,$QA$14:$QZ$14,0)))))</f>
        <v/>
      </c>
      <c r="BX93" s="341" t="str">
        <f>IF(A93=FALSE,"",IF(ALLTHESAME=TRUE,IF(RC93&lt;&gt;$BO$7,0,INDEX(RA93:RZ93,1,MATCH(Structure!$D$12,$RA$14:$RZ$14,0))),IF(SC93&lt;&gt;$BO$7,0,INDEX(SA93:TA93,1,MATCH(Structure!$D$12,$SA$14:$TA$14,0)))))</f>
        <v/>
      </c>
      <c r="BY93" s="347" t="str">
        <f t="shared" si="649"/>
        <v/>
      </c>
      <c r="BZ93" s="507" t="str">
        <f t="shared" si="650"/>
        <v/>
      </c>
      <c r="CA93" s="239" t="str">
        <f t="shared" si="651"/>
        <v/>
      </c>
      <c r="CB93" s="239" t="str">
        <f>IF(A93=FALSE,"",IF(ALLTHESAME=TRUE,INDEX(DD93:DZ93,MATCH(DF93,DF93:DF198,0),MATCH(Structure!$D$17,$DD$14:$DZ$14,0)),INDEX(EA93:EZ93,MATCH(EC93,EC93:EC198,0),MATCH(Structure!$D$17,$EA$14:$EZ$14,0))))</f>
        <v/>
      </c>
      <c r="CC93" s="239" t="str">
        <f>IF(A93=FALSE,"",IF(ALLTHESAME=TRUE,INDEX(FA93:FZ93,MATCH(FC93,FC93:FC198,0),MATCH(Structure!$D$17,$FA$14:$FZ$14,0)),INDEX(GA93:GZ93,MATCH(GC93,GC93:GC198,0),MATCH(Structure!$D$17,$GA$14:$GZ$14,0))))</f>
        <v/>
      </c>
      <c r="CD93" s="239" t="str">
        <f>IF(A93=FALSE,"",IF(ALLTHESAME=TRUE,INDEX(HA93:HZ93,MATCH(HC93,HC93:HC198,0),MATCH(Structure!$D$17,$HA$14:$HZ$14,0)),INDEX(IA93:IZ93,MATCH(IC93,IC93:IC198,0),MATCH(Structure!$D$17,$IA$14:$IZ$14,0))))</f>
        <v/>
      </c>
      <c r="CE93" s="239" t="str">
        <f>IF(A93=FALSE,"",IF(ALLTHESAME=TRUE,INDEX(JA93:JZ93,MATCH(JC93,JC93:JC198,0),MATCH(Structure!$D$17,$JA$14:$JZ$14,0)),INDEX(KA93:KZ93,MATCH(KC93,KC93:KC198,0),MATCH(Structure!$D$17,$KA$14:$KZ$14,0))))</f>
        <v/>
      </c>
      <c r="CF93" s="239" t="str">
        <f>IF(A93=FALSE,"",IF(ALLTHESAME=TRUE,INDEX(LA93:LZ93,MATCH(LC93,LC93:LC198,0),MATCH(Structure!$D$17,$LA$14:$LZ$14,0)),INDEX(MA93:MZ93,MATCH(MC93,MC93:MC198,0),MATCH(Structure!$D$17,$MA$14:$MZ$14,0))))</f>
        <v/>
      </c>
      <c r="CG93" s="239" t="str">
        <f>IF(A93=FALSE,"",IF(ALLTHESAME=TRUE,INDEX(NA93:NZ93,MATCH(NC93,NC93:NC198,0),MATCH(Structure!$D$17,$NA$14:$NZ$14,0)),INDEX(OA93:OZ93,MATCH(OC93,OC93:OC198,0),MATCH(Structure!$D$17,$OA$14:$OZ$14,0))))</f>
        <v/>
      </c>
      <c r="CH93" s="239" t="str">
        <f>IF(A93=FALSE,"",IF(ALLTHESAME=TRUE,INDEX(PA93:PZ93,MATCH(PC93,PC93:PC198,0),MATCH(Structure!$D$17,$PA$14:$PZ$14,0)),INDEX(QA93:QZ93,MATCH(QC93,QC93:QC198,0),MATCH(Structure!$D$17,$QA$14:$QZ$14,0))))</f>
        <v/>
      </c>
      <c r="CI93" s="341" t="str">
        <f>IF(A93=FALSE,"",IF(ALLTHESAME=TRUE,INDEX(RA93:RZ93,MATCH(RC93,RC93:RC198,0),MATCH(Structure!$D$17,$RA$14:$RZ$14,0)),INDEX(SA93:TC93,MATCH(SC93,SC93:SC198,0),MATCH(Structure!$D$17,$SA$14:$TC$14,0))))</f>
        <v/>
      </c>
      <c r="CJ93" s="347"/>
      <c r="CK93" s="239" t="str">
        <f t="shared" si="652"/>
        <v/>
      </c>
      <c r="CL93" s="239" t="str">
        <f>IF(A93=FALSE,"",IF(ALLTHESAME=TRUE,INDEX(DD93:DZ93,MATCH(DF93,DF93:DF198,0),MATCH(Structure!$D$22,$DD$14:$DZ$14,0)),INDEX(EA93:EZ93,MATCH(EC93,EC93:EC198,0),MATCH(Structure!$D$22,$EA$14:$EZ$14,0))))</f>
        <v/>
      </c>
      <c r="CM93" s="239" t="str">
        <f>IF(A93=FALSE,"",IF(ALLTHESAME=TRUE,INDEX(FA93:FZ93,MATCH(FC93,FC93:FC198,0),MATCH(Structure!$D$22,$FA$14:$FZ$14,0)),INDEX(GA93:GZ93,MATCH(GC93,GC93:GC198,0),MATCH(Structure!$D$22,$GA$14:$GZ$14,0))))</f>
        <v/>
      </c>
      <c r="CN93" s="239" t="str">
        <f>IF(A93=FALSE,"",IF(ALLTHESAME=TRUE,INDEX(HA93:HZ93,MATCH(HC93,HC93:HC198,0),MATCH(Structure!$D$22,$HA$14:$HZ$14,0)),INDEX(IA93:IZ93,MATCH(IC93,IC93:IC198,0),MATCH(Structure!$D$22,$IA$14:$IZ$14,0))))</f>
        <v/>
      </c>
      <c r="CO93" s="239" t="str">
        <f>IF(A93=FALSE,"",IF(ALLTHESAME=TRUE,INDEX(JA93:JZ93,MATCH(JC93,JC93:JC198,0),MATCH(Structure!$D$22,$JA$14:$JZ$14,0)),INDEX(KA93:KZ93,MATCH(KC93,KC93:KC198,0),MATCH(Structure!$D$22,$KA$14:$KZ$14,0))))</f>
        <v/>
      </c>
      <c r="CP93" s="239" t="str">
        <f>IF(A93=FALSE,"",IF(ALLTHESAME=TRUE,INDEX(LA93:LZ93,MATCH(LC93,LC93:LC198,0),MATCH(Structure!$D$22,$LA$14:$LZ$14,0)),INDEX(MA93:MZ93,MATCH(MC93,MC93:MC198,0),MATCH(Structure!$D$22,$MA$14:$MZ$14,0))))</f>
        <v/>
      </c>
      <c r="CQ93" s="239" t="str">
        <f>IF(A93=FALSE,"",IF(ALLTHESAME=TRUE,INDEX(NA93:NZ93,MATCH(NC93,NC93:NC198,0),MATCH(Structure!$D$22,$NA$14:$NZ$14,0)),INDEX(OA93:OZ93,MATCH(OC93,OC93:OC198,0),MATCH(Structure!$D$22,$OA$14:$OZ$14,0))))</f>
        <v/>
      </c>
      <c r="CR93" s="239" t="str">
        <f>IF(A93=FALSE,"",IF(ALLTHESAME=TRUE,INDEX(PA93:PZ93,MATCH(PC93,PC93:PC198,0),MATCH(Structure!$D$22,$PA$14:$PZ$14,0)),INDEX(QA93:QZ93,MATCH(QC93,QC93:QC198,0),MATCH(Structure!$D$22,$QA$14:$QZ$14,0))))</f>
        <v/>
      </c>
      <c r="CS93" s="341" t="str">
        <f>IF(A93=FALSE,"",IF(ALLTHESAME=TRUE,INDEX(RA93:RZ93,MATCH(RC93,RC93:RC198,0),MATCH(Structure!$D$22,$RA$14:$RZ$14,0)),INDEX(SA93:TC93,MATCH(SC93,SC93:SC198,0),MATCH(Structure!$D$22,$SA$14:$TC$14,0))))</f>
        <v/>
      </c>
      <c r="CT93" s="347"/>
      <c r="CU93" s="239" t="str">
        <f t="shared" si="653"/>
        <v/>
      </c>
      <c r="CV93" s="239" t="str">
        <f>IF(A93=FALSE,"",IF(ALLTHESAME=TRUE,INDEX(DD93:DZ93,MATCH(DF93,DF93:DF198,0),MATCH(Structure!$D$8,$DD$14:$DZ$14,0)),INDEX(EA93:EZ93,MATCH(EC93,EC93:EC198,0),MATCH(Structure!$D$8,$EA$14:$EZ$14,0))))</f>
        <v/>
      </c>
      <c r="CW93" s="239" t="str">
        <f>IF(A93=FALSE,"",IF(ALLTHESAME=TRUE,INDEX(FA93:FZ93,MATCH(FC93,FC93:FC198,0),MATCH(Structure!$D$8,$FA$14:$FZ$14,0)),INDEX(GA93:GZ93,MATCH(GC93,GC93:GC198,0),MATCH(Structure!$D$8,$GA$14:$GZ$14,0))))</f>
        <v/>
      </c>
      <c r="CX93" s="239" t="str">
        <f>IF(A93=FALSE,"",IF(ALLTHESAME=TRUE,INDEX(HA93:HZ93,MATCH(HC93,HC93:HC198,0),MATCH(Structure!$D$8,$HA$14:$HZ$14,0)),INDEX(IA93:IZ93,MATCH(IC93,IC93:IC198,0),MATCH(Structure!$D$8,$IA$14:$IZ$14,0))))</f>
        <v/>
      </c>
      <c r="CY93" s="239" t="str">
        <f>IF(A93=FALSE,"",IF(ALLTHESAME=TRUE,INDEX(JA93:JZ93,MATCH(JC93,JC93:JC198,0),MATCH(Structure!$D$8,$JA$14:$JZ$14,0)),INDEX(KA93:KZ93,MATCH(KC93,KC93:KC198,0),MATCH(Structure!$D$8,$KA$14:$KZ$14,0))))</f>
        <v/>
      </c>
      <c r="CZ93" s="239" t="str">
        <f>IF(A93=FALSE,"",IF(ALLTHESAME=TRUE,INDEX(LA93:LZ93,MATCH(LC93,LC93:LC198,0),MATCH(Structure!$D$8,$LA$14:$LZ$14,0)),INDEX(MA93:MZ93,MATCH(MC93,MC93:MC198,0),MATCH(Structure!$D$8,$MA$14:$MZ$14,0))))</f>
        <v/>
      </c>
      <c r="DA93" s="239" t="str">
        <f>IF(A93=FALSE,"",IF(ALLTHESAME=TRUE,INDEX(NA93:NZ93,MATCH(NC93,NC93:NC198,0),MATCH(Structure!$D$8,$NA$14:$NZ$14,0)),INDEX(OA93:OZ93,MATCH(OC93,OC93:OC198,0),MATCH(Structure!$D$8,$OA$14:$OZ$14,0))))</f>
        <v/>
      </c>
      <c r="DB93" s="239" t="str">
        <f>IF(A93=FALSE,"",IF(ALLTHESAME=TRUE,INDEX(PA93:PZ93,MATCH(PC93,PC93:PC198,0),MATCH(Structure!$D$8,$PA$14:$PZ$14,0)),INDEX(QA93:QZ93,MATCH(QC93,QC93:QC198,0),MATCH(Structure!$D$8,$QA$14:$QZ$14,0))))</f>
        <v/>
      </c>
      <c r="DC93" s="341" t="str">
        <f>IF(A93=FALSE,"",IF(ALLTHESAME=TRUE,INDEX(RA93:RZ93,MATCH(RC93,RC93:RC198,0),MATCH(Structure!$D$8,$RA$14:$RZ$14,0)),INDEX(SA93:TC93,MATCH(SC93,SC93:SC198,0),MATCH(Structure!$D$8,$SA$14:$TC$14,0))))</f>
        <v/>
      </c>
      <c r="DD93" s="492" t="str">
        <f>IF(A93=FALSE,"",Cotations!D93)</f>
        <v/>
      </c>
      <c r="DE93" s="492" t="str">
        <f>IF(A93=FALSE,"",IF(LISTES!$A$17=1,Cotations!AF93,Cotations!$AG$4))</f>
        <v/>
      </c>
      <c r="DF93" s="291" t="str">
        <f t="shared" si="654"/>
        <v/>
      </c>
      <c r="DG93" s="291" t="str">
        <f t="shared" si="655"/>
        <v/>
      </c>
      <c r="DH93" s="291"/>
      <c r="DI93" s="463"/>
      <c r="DJ93" s="463" t="str">
        <f t="shared" si="656"/>
        <v/>
      </c>
      <c r="DK93" s="522" t="str">
        <f>IF(A93=FALSE,"",IF(Cotations!$AH$4="monthly",DJ93/12*L93,DJ93/365*M93))</f>
        <v/>
      </c>
      <c r="DL93" s="489" t="str">
        <f>IF(A93=FALSE,"",Cotations!$AI$4)</f>
        <v/>
      </c>
      <c r="DM93" s="300" t="str">
        <f t="shared" si="657"/>
        <v/>
      </c>
      <c r="DN93" s="300" t="str">
        <f t="shared" si="658"/>
        <v/>
      </c>
      <c r="DO93" s="294" t="str">
        <f t="shared" si="659"/>
        <v/>
      </c>
      <c r="DP93" s="494" t="str">
        <f>IF(A93=FALSE,"",Cotations!$AJ$4)</f>
        <v/>
      </c>
      <c r="DQ93" s="494" t="str">
        <f>IF(A93=FALSE,"",Cotations!$AK$4)</f>
        <v/>
      </c>
      <c r="DR93" s="489" t="str">
        <f>IF(A93=FALSE,"",Cotations!$AL$4)</f>
        <v/>
      </c>
      <c r="DS93" s="494" t="str">
        <f>IF(A93=FALSE,"",IF(DP93="N/A",0,IF(INDEX(LISTES!$F$105:$F$109,MATCH(DP93,LISTES!$C$105:$C$109,0))="FIX",IF(INDEX(LISTES!$E$105:$E$109,MATCH(DP93,LISTES!$C$105:$C$109,0))=12,DQ93/12*L93,DQ93/365*M93),DR93*DO93)))</f>
        <v/>
      </c>
      <c r="DT93" s="294" t="str">
        <f t="shared" si="660"/>
        <v/>
      </c>
      <c r="DU93" s="294" t="str">
        <f>IF(A93=FALSE,"",DT93*Cotations!$AM$4)</f>
        <v/>
      </c>
      <c r="DV93" s="294" t="str">
        <f>IF(A93=FALSE,"",DT93*Cotations!$AN$4)</f>
        <v/>
      </c>
      <c r="DW93" s="465" t="str">
        <f t="shared" si="661"/>
        <v/>
      </c>
      <c r="DX93" s="919" t="str">
        <f>IF(A93=FALSE,"",((DJ93*TAXE)-(DJ93*TAXE*DL93))+IF(DP93="N/A",0,IF(INDEX(LISTES!$F$105:$F$109,MATCH(DP93,LISTES!$C$105:$C$109,0))="FIX",DQ93,DR93*DO93)))</f>
        <v/>
      </c>
      <c r="DY93" s="466"/>
      <c r="DZ93" s="466"/>
      <c r="EA93" s="492" t="str">
        <f>IF(A93=FALSE,"",Cotations!D93)</f>
        <v/>
      </c>
      <c r="EB93" s="494" t="str">
        <f>IF(A93=FALSE,"",IF(LISTES!$A$17=1,Cotations!AF93,Cotations!AG93))</f>
        <v/>
      </c>
      <c r="EC93" s="284" t="str">
        <f t="shared" si="662"/>
        <v/>
      </c>
      <c r="ED93" s="284" t="str">
        <f t="shared" si="663"/>
        <v/>
      </c>
      <c r="EE93" s="284"/>
      <c r="EF93" s="284"/>
      <c r="EG93" s="284" t="str">
        <f t="shared" si="664"/>
        <v/>
      </c>
      <c r="EH93" s="1365" t="str">
        <f t="shared" si="665"/>
        <v/>
      </c>
      <c r="EI93" s="1365" t="str">
        <f t="shared" si="666"/>
        <v/>
      </c>
      <c r="EJ93" s="515" t="str">
        <f>IF(A93=FALSE,"",IF(Cotations!AH93="monthly",EG93/12*L93,EG93/365*M93))</f>
        <v/>
      </c>
      <c r="EK93" s="1364" t="str">
        <f>IF(A93=FALSE,"",IF(Cotations!AH93="monthly",EI93/12*L93,EI93/365*M93))</f>
        <v/>
      </c>
      <c r="EL93" s="493" t="str">
        <f>IF(A93=FALSE,"",IF(Cotations!AI93="","",Cotations!AI93))</f>
        <v/>
      </c>
      <c r="EM93" s="284" t="str">
        <f t="shared" si="667"/>
        <v/>
      </c>
      <c r="EN93" s="284" t="str">
        <f t="shared" si="668"/>
        <v/>
      </c>
      <c r="EO93" s="1365" t="str">
        <f t="shared" si="840"/>
        <v/>
      </c>
      <c r="EP93" s="284" t="str">
        <f t="shared" si="669"/>
        <v/>
      </c>
      <c r="EQ93" s="515" t="str">
        <f>IF(A93=FALSE,"",Cotations!AJ93)</f>
        <v/>
      </c>
      <c r="ER93" s="515" t="str">
        <f>IF(A93=FALSE,"",IF(Cotations!AK93="","",Cotations!AK93))</f>
        <v/>
      </c>
      <c r="ES93" s="493" t="str">
        <f>IF(A93=FALSE,"",Cotations!AL93)</f>
        <v/>
      </c>
      <c r="ET93" s="515" t="str">
        <f>IF(A93=FALSE,"",IF(EQ93="N/A",0,IF(INDEX(LISTES!$F$105:$F$109,MATCH(EQ93,LISTES!$C$105:$C$109,0))="FIX",IF(INDEX(LISTES!$E$105:$E$109,MATCH(EQ93,LISTES!$C$105:$C$109,0))=12,ER93/12*L93,ER93/365*M93),ES93*EP93)))</f>
        <v/>
      </c>
      <c r="EU93" s="294" t="str">
        <f t="shared" si="670"/>
        <v/>
      </c>
      <c r="EV93" s="494" t="str">
        <f>IF(A93=FALSE,"",EU93*Cotations!AM93)</f>
        <v/>
      </c>
      <c r="EW93" s="494" t="str">
        <f>IF(A93=FALSE,"",EU93*Cotations!AN93)</f>
        <v/>
      </c>
      <c r="EX93" s="334" t="str">
        <f t="shared" si="671"/>
        <v/>
      </c>
      <c r="EY93" s="919" t="str">
        <f>IF(A93=FALSE,"",((EG93*TAXE)-(EG93*TAXE*EL93)+EH93)+IF(EQ93="N/A",0,IF(INDEX(LISTES!$F$105:$F$109,MATCH(EQ93,LISTES!$C$105:$C$109,0))="FIX",ER93,ES93*EP93)))</f>
        <v/>
      </c>
      <c r="FA93" s="492" t="str">
        <f>IF(A93=FALSE,"",Cotations!D93)</f>
        <v/>
      </c>
      <c r="FB93" s="519" t="str">
        <f>IF(A93=FALSE,"",IF(LISTES!$A$17=1,Cotations!AO93,Cotations!$AP$4))</f>
        <v/>
      </c>
      <c r="FC93" s="291" t="str">
        <f t="shared" si="672"/>
        <v/>
      </c>
      <c r="FD93" s="291" t="str">
        <f t="shared" si="673"/>
        <v/>
      </c>
      <c r="FE93" s="291"/>
      <c r="FF93" s="463"/>
      <c r="FG93" s="463" t="str">
        <f t="shared" si="674"/>
        <v/>
      </c>
      <c r="FH93" s="522" t="str">
        <f>IF(A93=FALSE,"",IF(Cotations!$AQ$4="monthly",FG93/12*L93,FG93/365*M93))</f>
        <v/>
      </c>
      <c r="FI93" s="453" t="str">
        <f>IF(A93=FALSE,"",Cotations!$AR$4)</f>
        <v/>
      </c>
      <c r="FJ93" s="300" t="str">
        <f t="shared" si="675"/>
        <v/>
      </c>
      <c r="FK93" s="300" t="str">
        <f t="shared" si="676"/>
        <v/>
      </c>
      <c r="FL93" s="294" t="str">
        <f t="shared" si="677"/>
        <v/>
      </c>
      <c r="FM93" s="494" t="str">
        <f>IF(A93=FALSE,"",Cotations!$AS$4)</f>
        <v/>
      </c>
      <c r="FN93" s="494" t="str">
        <f>IF(A93=FALSE,"",Cotations!$AT$4)</f>
        <v/>
      </c>
      <c r="FO93" s="489" t="str">
        <f>IF(A93=FALSE,"",Cotations!$AU$4)</f>
        <v/>
      </c>
      <c r="FP93" s="494" t="str">
        <f>IF(A93=FALSE,"",IF(FM93="N/A",0,IF(INDEX(LISTES!$F$105:$F$109,MATCH(FM93,LISTES!$C$105:$C$109,0))="FIX",IF(INDEX(LISTES!$E$105:$E$109,MATCH(FM93,LISTES!$C$105:$C$109,0))=12,FN93/12*L93,FN93/365*M93),FO93*FL93)))</f>
        <v/>
      </c>
      <c r="FQ93" s="294" t="str">
        <f t="shared" si="678"/>
        <v/>
      </c>
      <c r="FR93" s="494" t="str">
        <f>IF(A93=FALSE,"",FQ93*Cotations!$AV$4)</f>
        <v/>
      </c>
      <c r="FS93" s="494" t="str">
        <f>IF(A93=FALSE,"",FQ93*Cotations!$AW$4)</f>
        <v/>
      </c>
      <c r="FT93" s="465" t="str">
        <f t="shared" si="679"/>
        <v/>
      </c>
      <c r="FU93" s="919" t="str">
        <f>IF(A93=FALSE,"",((FG93*TAXE)-(FG93*TAXE*FI93))+IF(FM93="N/A",0,IF(INDEX(LISTES!$F$105:$F$109,MATCH(FM93,LISTES!$C$105:$C$109,0))="FIX",FN93,FO93*FL93)))</f>
        <v/>
      </c>
      <c r="FV93" s="478"/>
      <c r="FW93" s="478"/>
      <c r="FX93" s="478"/>
      <c r="FY93" s="478"/>
      <c r="FZ93" s="478"/>
      <c r="GA93" s="492" t="str">
        <f>IF(A93=FALSE,"",Cotations!D93)</f>
        <v/>
      </c>
      <c r="GB93" s="494" t="str">
        <f>IF(A93=FALSE,"",IF(LISTES!$A$17=1,Cotations!AO93,Cotations!AP93))</f>
        <v/>
      </c>
      <c r="GC93" s="284" t="str">
        <f t="shared" si="680"/>
        <v/>
      </c>
      <c r="GD93" s="515" t="str">
        <f>IF(A93=FALSE,"",IF(Detail!AM93="","",Detail!AM93))</f>
        <v/>
      </c>
      <c r="GE93" s="284"/>
      <c r="GF93" s="284"/>
      <c r="GG93" s="284" t="str">
        <f t="shared" si="681"/>
        <v/>
      </c>
      <c r="GH93" s="515" t="str">
        <f>IF(A93=FALSE,"",IF(Cotations!AQ93="monthly",GG93/12*L93,GG93/365*M93))</f>
        <v/>
      </c>
      <c r="GI93" s="493" t="str">
        <f>IF(A93=FALSE,"",IF(Cotations!AR93="","",Cotations!AR93))</f>
        <v/>
      </c>
      <c r="GJ93" s="284" t="str">
        <f t="shared" si="682"/>
        <v/>
      </c>
      <c r="GK93" s="284" t="str">
        <f t="shared" si="683"/>
        <v/>
      </c>
      <c r="GL93" s="284" t="str">
        <f t="shared" si="684"/>
        <v/>
      </c>
      <c r="GM93" s="515" t="str">
        <f>IF(A93=FALSE,"",Cotations!AS93)</f>
        <v/>
      </c>
      <c r="GN93" s="515" t="str">
        <f>IF(A93=FALSE,"",Cotations!AT93)</f>
        <v/>
      </c>
      <c r="GO93" s="493" t="str">
        <f>IF(A93=FALSE,"",Cotations!AU93)</f>
        <v/>
      </c>
      <c r="GP93" s="515" t="str">
        <f>IF(A93=FALSE,"",IF(GM93="N/A",0,IF(INDEX(LISTES!$F$105:$F$109,MATCH(GM93,LISTES!$C$105:$C$109,0))="FIX",IF(INDEX(LISTES!$E$105:$E$109,MATCH(GM93,LISTES!$C$105:$C$109,0))=12,GN93/12*L93,GN93/365*M93),GO93*GL93)))</f>
        <v/>
      </c>
      <c r="GQ93" s="294" t="str">
        <f t="shared" si="685"/>
        <v/>
      </c>
      <c r="GR93" s="494" t="str">
        <f>IF(A93=FALSE,"",GQ93*Cotations!AV93)</f>
        <v/>
      </c>
      <c r="GS93" s="494" t="str">
        <f>IF(A93=FALSE,"",GQ93*Cotations!AW93)</f>
        <v/>
      </c>
      <c r="GT93" s="334" t="str">
        <f t="shared" si="686"/>
        <v/>
      </c>
      <c r="GU93" s="919" t="str">
        <f>IF(A93=FALSE,"",((GG93*TAXE)-(GG93*TAXE*GI93))+IF(GM93="N/A",0,IF(INDEX(LISTES!$F$105:$F$109,MATCH(GM93,LISTES!$C$105:$C$109,0))="FIX",GN93,GO93*GL93)))</f>
        <v/>
      </c>
      <c r="GV93" s="478"/>
      <c r="GW93" s="466"/>
      <c r="GX93" s="466"/>
      <c r="GY93" s="466"/>
      <c r="GZ93" s="466"/>
      <c r="HA93" s="492" t="str">
        <f>IF(A93=FALSE,"",Cotations!D93)</f>
        <v/>
      </c>
      <c r="HB93" s="495" t="str">
        <f>IF(A93=FALSE,"",IF(LISTES!$A$17=1,Cotations!AX93,Cotations!$AY$4))</f>
        <v/>
      </c>
      <c r="HC93" s="291" t="str">
        <f t="shared" si="687"/>
        <v/>
      </c>
      <c r="HD93" s="291" t="str">
        <f t="shared" si="688"/>
        <v/>
      </c>
      <c r="HE93" s="456" t="str">
        <f t="shared" si="689"/>
        <v/>
      </c>
      <c r="HF93" s="496" t="str">
        <f>IF(A93=FALSE,"",IF(HA93="POEA",Cotations!BA93,IF(HA93="FIXE",Cotations!$BA$4,Cotations!$BC$4*Y93)))</f>
        <v/>
      </c>
      <c r="HG93" s="300" t="str">
        <f t="shared" si="690"/>
        <v/>
      </c>
      <c r="HH93" s="522" t="str">
        <f>IF(A93=FALSE,"",IF(Cotations!$AZ$4="monthly",HG93/12*L93,HG93/365*M93))</f>
        <v/>
      </c>
      <c r="HI93" s="489" t="str">
        <f>IF(A93=FALSE,"",Cotations!$BD$4)</f>
        <v/>
      </c>
      <c r="HJ93" s="300" t="str">
        <f t="shared" si="691"/>
        <v/>
      </c>
      <c r="HK93" s="300" t="str">
        <f t="shared" si="692"/>
        <v/>
      </c>
      <c r="HL93" s="294" t="str">
        <f t="shared" si="693"/>
        <v/>
      </c>
      <c r="HM93" s="494" t="str">
        <f>IF(A93=FALSE,"",Cotations!$BE$4)</f>
        <v/>
      </c>
      <c r="HN93" s="522" t="str">
        <f>IF(A93=FALSE,"",Cotations!$BF$4)</f>
        <v/>
      </c>
      <c r="HO93" s="489" t="str">
        <f>IF(A93=FALSE,"",Cotations!$BG$4)</f>
        <v/>
      </c>
      <c r="HP93" s="494" t="str">
        <f>IF(A93=FALSE,"",IF(HM93="N/A",0,IF(INDEX(LISTES!$F$105:$F$109,MATCH(HM93,LISTES!$C$105:$C$109,0))="FIX",IF(INDEX(LISTES!$E$105:$E$109,MATCH(HM93,LISTES!$C$105:$C$109,0))=12,HN93/12*L93,HN93/365*M93),HO93*HL93)))</f>
        <v/>
      </c>
      <c r="HQ93" s="294" t="str">
        <f t="shared" si="694"/>
        <v/>
      </c>
      <c r="HR93" s="494" t="str">
        <f>IF(A93=FALSE,"",HQ93*Cotations!$BH$4)</f>
        <v/>
      </c>
      <c r="HS93" s="494" t="str">
        <f>IF(A93=FALSE,"",HQ93*Cotations!$BI$4)</f>
        <v/>
      </c>
      <c r="HT93" s="294" t="str">
        <f t="shared" si="695"/>
        <v/>
      </c>
      <c r="HU93" s="919" t="str">
        <f>IF(A93=FALSE,"",((HG93*TAXE)-(HG93*TAXE*HI93))+IF(HM93="N/A",0,IF(INDEX(LISTES!$F$105:$F$109,MATCH(HM93,LISTES!$C$105:$C$109,0))="FIX",HN93,HO93*HL93)))</f>
        <v/>
      </c>
      <c r="IA93" s="492" t="str">
        <f>IF(A93=FALSE,"",Cotations!D93)</f>
        <v/>
      </c>
      <c r="IB93" s="491" t="str">
        <f>IF(A93=FALSE,"",IF(LISTES!$A$17=1,Cotations!AX93,Cotations!AY93))</f>
        <v/>
      </c>
      <c r="IC93" s="285" t="str">
        <f t="shared" si="696"/>
        <v/>
      </c>
      <c r="ID93" s="300" t="str">
        <f>IF(A93=FALSE,"",IF(LISTES!$A$17=3,Detail!AU93,lig1_Formula_PREVOY))</f>
        <v/>
      </c>
      <c r="IE93" s="461" t="str">
        <f t="shared" si="697"/>
        <v/>
      </c>
      <c r="IF93" s="490" t="str">
        <f>IF(A93=FALSE,"",IF(IA93="POEA",Cotations!BA93,IF(HA93="FIXE",Cotations!BB93,IF(Cotations!BC93*Y93&lt;50000,Z93,Cotations!BC93*Y93))))</f>
        <v/>
      </c>
      <c r="IG93" s="300" t="str">
        <f t="shared" si="698"/>
        <v/>
      </c>
      <c r="IH93" s="522" t="str">
        <f>IF(A93=FALSE,"",IF(Cotations!AZ93="monthly",IG93/12*L93,IG93/365*M93))</f>
        <v/>
      </c>
      <c r="II93" s="489" t="str">
        <f>IF(A93=FALSE,"",IF(Cotations!BD93="","",Cotations!BD93))</f>
        <v/>
      </c>
      <c r="IJ93" s="300" t="str">
        <f t="shared" si="699"/>
        <v/>
      </c>
      <c r="IK93" s="300" t="str">
        <f t="shared" si="700"/>
        <v/>
      </c>
      <c r="IL93" s="919" t="str">
        <f t="shared" si="701"/>
        <v/>
      </c>
      <c r="IM93" s="517" t="str">
        <f>IF(A93=FALSE,"",Cotations!BE93)</f>
        <v/>
      </c>
      <c r="IN93" s="517" t="str">
        <f>IF(A93=FALSE,"",Cotations!BF93)</f>
        <v/>
      </c>
      <c r="IO93" s="493" t="str">
        <f>IF(A93=FALSE,"",Cotations!BG93)</f>
        <v/>
      </c>
      <c r="IP93" s="517" t="str">
        <f>IF(A93=FALSE,"",IF(IM93="N/A",0,IF(INDEX(LISTES!$F$105:$F$109,MATCH(IM93,LISTES!$C$105:$C$109,0))="FIX",IF(INDEX(LISTES!$E$105:$E$109,MATCH(IM93,LISTES!$C$105:$C$109,0))=12,IN93/12*L93,IN93/365*M93),IO93*IL93)))</f>
        <v/>
      </c>
      <c r="IQ93" s="294" t="str">
        <f t="shared" si="702"/>
        <v/>
      </c>
      <c r="IR93" s="494" t="str">
        <f>IF(A93=FALSE,"",IQ93*Cotations!BH93)</f>
        <v/>
      </c>
      <c r="IS93" s="494" t="str">
        <f>IF(A93=FALSE,"",IQ93*Cotations!BI93)</f>
        <v/>
      </c>
      <c r="IT93" s="338" t="str">
        <f t="shared" si="703"/>
        <v/>
      </c>
      <c r="IU93" s="919" t="str">
        <f>IF(A93=FALSE,"",((IG93*TAXE)-(IG93*TAXE*II93))+IF(IM93="N/A",0,IF(INDEX(LISTES!$F$105:$F$109,MATCH(IM93,LISTES!$C$105:$C$109,0))="FIX",IN93,IO93*IL93)))</f>
        <v/>
      </c>
      <c r="JA93" s="492" t="str">
        <f>IF(A93=FALSE,"",Cotations!D93)</f>
        <v/>
      </c>
      <c r="JB93" s="495" t="str">
        <f>IF(A93=FALSE,"",IF(LISTES!$A$17=1,Cotations!BJ93,Cotations!$BK$4))</f>
        <v/>
      </c>
      <c r="JC93" s="291" t="str">
        <f t="shared" si="704"/>
        <v/>
      </c>
      <c r="JD93" s="291" t="str">
        <f t="shared" si="705"/>
        <v/>
      </c>
      <c r="JE93" s="456" t="str">
        <f t="shared" si="706"/>
        <v/>
      </c>
      <c r="JF93" s="496" t="str">
        <f>IF(A93=FALSE,"",IF(JA93="POEA",Cotations!BM93,IF(JA93="FIXE",Cotations!$BM$4,Cotations!$BO$4*Y93)))</f>
        <v/>
      </c>
      <c r="JG93" s="300" t="str">
        <f t="shared" si="707"/>
        <v/>
      </c>
      <c r="JH93" s="522" t="str">
        <f>IF(A93=FALSE,"",IF(Cotations!$BL$4="monthly",JG93/12*L93,JG93/365*M93))</f>
        <v/>
      </c>
      <c r="JI93" s="489" t="str">
        <f>IF(A93=FALSE,"",Cotations!$BP$4)</f>
        <v/>
      </c>
      <c r="JJ93" s="300" t="str">
        <f t="shared" si="708"/>
        <v/>
      </c>
      <c r="JK93" s="300" t="str">
        <f t="shared" si="709"/>
        <v/>
      </c>
      <c r="JL93" s="294" t="str">
        <f t="shared" si="710"/>
        <v/>
      </c>
      <c r="JM93" s="494" t="str">
        <f>IF(A93=FALSE,"",Cotations!$BQ$4)</f>
        <v/>
      </c>
      <c r="JN93" s="522" t="str">
        <f>IF(A93=FALSE,"",Cotations!$BR$4)</f>
        <v/>
      </c>
      <c r="JO93" s="489" t="str">
        <f>IF(A93=FALSE,"",Cotations!$BS$4)</f>
        <v/>
      </c>
      <c r="JP93" s="494" t="str">
        <f>IF(A93=FALSE,"",IF(JM93="N/A",0,IF(INDEX(LISTES!$F$105:$F$109,MATCH(JM93,LISTES!$C$105:$C$109,0))="FIX",IF(INDEX(LISTES!$E$105:$E$109,MATCH(JM93,LISTES!$C$105:$C$109,0))=12,JN93/12*L93,JN93/365*M93),JO93*JL93)))</f>
        <v/>
      </c>
      <c r="JQ93" s="294" t="str">
        <f t="shared" si="711"/>
        <v/>
      </c>
      <c r="JR93" s="494" t="str">
        <f>IF(A93=FALSE,"",JQ93*Cotations!$BT$4)</f>
        <v/>
      </c>
      <c r="JS93" s="494" t="str">
        <f>IF(A93=FALSE,"",JQ93*Cotations!$BU$4)</f>
        <v/>
      </c>
      <c r="JT93" s="294" t="str">
        <f t="shared" si="712"/>
        <v/>
      </c>
      <c r="JU93" s="919" t="str">
        <f>IF(A93=FALSE,"",((JG93*TAXE)-(JG93*TAXE*JI93))+IF(JM93="N/A",0,IF(INDEX(LISTES!$F$105:$F$109,MATCH(JM93,LISTES!$C$105:$C$109,0))="FIX",JN93,JO93*JL93)))</f>
        <v/>
      </c>
      <c r="KA93" s="492" t="str">
        <f>IF(A93=FALSE,"",Cotations!D93)</f>
        <v/>
      </c>
      <c r="KB93" s="491" t="str">
        <f>IF(A93=FALSE,"",IF(LISTES!$A$17=1,Cotations!BJ93,Cotations!BK93))</f>
        <v/>
      </c>
      <c r="KC93" s="285" t="str">
        <f t="shared" si="713"/>
        <v/>
      </c>
      <c r="KD93" s="300"/>
      <c r="KE93" s="461" t="str">
        <f t="shared" si="714"/>
        <v/>
      </c>
      <c r="KF93" s="490" t="str">
        <f>IF(A93=FALSE,"",IF(KA93="POEA",Cotations!BM93,IF(KA93="FIXE",Cotations!BN93,IF(Cotations!BO93*Y93&lt;50000,Z93,Cotations!BO93*Y93))))</f>
        <v/>
      </c>
      <c r="KG93" s="300" t="str">
        <f t="shared" si="715"/>
        <v/>
      </c>
      <c r="KH93" s="522" t="str">
        <f>IF(A93=FALSE,"",IF(Cotations!BL93="monthly",KG93/12*L93,KG93/365*M93))</f>
        <v/>
      </c>
      <c r="KI93" s="489" t="str">
        <f>IF(A93=FALSE,"",IF(Cotations!BP93="","",Cotations!BP93))</f>
        <v/>
      </c>
      <c r="KJ93" s="300" t="str">
        <f t="shared" si="716"/>
        <v/>
      </c>
      <c r="KK93" s="300" t="str">
        <f t="shared" si="717"/>
        <v/>
      </c>
      <c r="KL93" s="919" t="str">
        <f t="shared" si="718"/>
        <v/>
      </c>
      <c r="KM93" s="517" t="str">
        <f>IF(A93=FALSE,"",Cotations!BQ93)</f>
        <v/>
      </c>
      <c r="KN93" s="515" t="str">
        <f>IF(A93=FALSE,"",Cotations!BR93)</f>
        <v/>
      </c>
      <c r="KO93" s="493" t="str">
        <f>IF(A93=FALSE,"",Cotations!BS93)</f>
        <v/>
      </c>
      <c r="KP93" s="517" t="str">
        <f>IF(A93=FALSE,"",IF(KM93="N/A",0,IF(INDEX(LISTES!$F$105:$F$109,MATCH(KM93,LISTES!$C$105:$C$109,0))="FIX",IF(INDEX(LISTES!$E$105:$E$109,MATCH(KM93,LISTES!$C$105:$C$109,0))=12,KN93/12*L93,KN93/365*M93),KO93*KL93)))</f>
        <v/>
      </c>
      <c r="KQ93" s="294" t="str">
        <f t="shared" si="719"/>
        <v/>
      </c>
      <c r="KR93" s="494" t="str">
        <f>IF(A93=FALSE,"",KQ93*Cotations!BT93)</f>
        <v/>
      </c>
      <c r="KS93" s="494" t="str">
        <f>IF(A93=FALSE,"",KQ93*Cotations!BU93)</f>
        <v/>
      </c>
      <c r="KT93" s="338" t="str">
        <f t="shared" si="720"/>
        <v/>
      </c>
      <c r="KU93" s="919" t="str">
        <f>IF(A93=FALSE,"",((KG93*TAXE)-(KG93*TAXE*KI93))+IF(KM93="N/A",0,IF(INDEX(LISTES!$F$105:$F$109,MATCH(KM93,LISTES!$C$105:$C$109,0))="FIX",KN93,KO93*KL93)))</f>
        <v/>
      </c>
      <c r="LA93" s="497" t="str">
        <f>IF(A93=FALSE,"",Cotations!D93)</f>
        <v/>
      </c>
      <c r="LB93" s="498" t="str">
        <f>IF(A93=FALSE,"",IF(LISTES!$A$17=1,Cotations!BV93,Cotations!$BW$4))</f>
        <v/>
      </c>
      <c r="LC93" s="499" t="str">
        <f t="shared" si="721"/>
        <v/>
      </c>
      <c r="LD93" s="499" t="str">
        <f t="shared" si="722"/>
        <v/>
      </c>
      <c r="LE93" s="500" t="str">
        <f t="shared" si="723"/>
        <v/>
      </c>
      <c r="LF93" s="501" t="str">
        <f>IF(A93=FALSE,"",IF(LA93="POEA",Cotations!EJ93,IF(LA93="FIXE",Cotations!$BY$4,Cotations!$CA$4*Y93)))</f>
        <v/>
      </c>
      <c r="LG93" s="502" t="str">
        <f t="shared" si="724"/>
        <v/>
      </c>
      <c r="LH93" s="520" t="str">
        <f>IF(A93=FALSE,"",IF(Cotations!$BX$4="monthly",LG93/12*L93,LG93/365*M93))</f>
        <v/>
      </c>
      <c r="LI93" s="503" t="str">
        <f>IF(A93=FALSE,"",Cotations!$CB$4)</f>
        <v/>
      </c>
      <c r="LJ93" s="502" t="str">
        <f t="shared" si="725"/>
        <v/>
      </c>
      <c r="LK93" s="502" t="str">
        <f t="shared" si="726"/>
        <v/>
      </c>
      <c r="LL93" s="504" t="str">
        <f t="shared" si="727"/>
        <v/>
      </c>
      <c r="LM93" s="505" t="str">
        <f>IF(A93=FALSE,"",Cotations!$CC$4)</f>
        <v/>
      </c>
      <c r="LN93" s="503" t="str">
        <f>IF(A93=FALSE,"",Cotations!$CD$4)</f>
        <v/>
      </c>
      <c r="LO93" s="503" t="str">
        <f>IF(A93=FALSE,"",Cotations!$CE$4)</f>
        <v/>
      </c>
      <c r="LP93" s="505" t="str">
        <f>IF(A93=FALSE,"",IF(LM93="N/A",0,IF(INDEX(LISTES!$F$105:$F$109,MATCH(LM93,LISTES!$C$105:$C$109,0))="FIX",IF(INDEX(LISTES!$E$105:$E$109,MATCH(LM93,LISTES!$C$105:$C$109,0))=12,LN93/12*L93,LN93/365*M93),LO93*LL93)))</f>
        <v/>
      </c>
      <c r="LQ93" s="504" t="str">
        <f t="shared" si="728"/>
        <v/>
      </c>
      <c r="LR93" s="505" t="str">
        <f>IF(A93=FALSE,"",LQ93*Cotations!$CF$4)</f>
        <v/>
      </c>
      <c r="LS93" s="505" t="str">
        <f>IF(A93=FALSE,"",LQ93*Cotations!$CG$4)</f>
        <v/>
      </c>
      <c r="LT93" s="506" t="str">
        <f t="shared" si="729"/>
        <v/>
      </c>
      <c r="LU93" s="919" t="str">
        <f>IF(A93=FALSE,"",((LG93*TAXE)-(LG93*TAXE*LI93))+IF(LM93="N/A",0,IF(INDEX(LISTES!$F$105:$F$109,MATCH(LM93,LISTES!$C$105:$C$109,0))="FIX",LN93,LO93*LL93)))</f>
        <v/>
      </c>
      <c r="MA93" s="492" t="str">
        <f>IF(A93=FALSE,"",Cotations!D93)</f>
        <v/>
      </c>
      <c r="MB93" s="491" t="str">
        <f>IF(A93=FALSE,"",IF(LISTES!$A$17=1,Cotations!BV93,Cotations!BW93))</f>
        <v/>
      </c>
      <c r="MC93" s="285" t="str">
        <f t="shared" si="730"/>
        <v/>
      </c>
      <c r="MD93" s="300"/>
      <c r="ME93" s="461" t="str">
        <f t="shared" si="731"/>
        <v/>
      </c>
      <c r="MF93" s="490" t="str">
        <f>IF(A93=FALSE,"",IF(MA93="POEA",Cotations!BY93,IF(MA93="FIXE",Cotations!BZ93,IF(Cotations!CA93*Y93&lt;50000,Z93,Cotations!CA93*Y93))))</f>
        <v/>
      </c>
      <c r="MG93" s="300" t="str">
        <f t="shared" si="732"/>
        <v/>
      </c>
      <c r="MH93" s="522" t="str">
        <f>IF(A93=FALSE,"",IF(Cotations!BX93="monthly",MG93/12*L93,MG93/365*M93))</f>
        <v/>
      </c>
      <c r="MI93" s="489" t="str">
        <f>IF(A93=FALSE,"",IF(Cotations!CB93="","",Cotations!CB93))</f>
        <v/>
      </c>
      <c r="MJ93" s="300" t="str">
        <f t="shared" si="733"/>
        <v/>
      </c>
      <c r="MK93" s="300" t="str">
        <f t="shared" si="734"/>
        <v/>
      </c>
      <c r="ML93" s="919" t="str">
        <f t="shared" si="735"/>
        <v/>
      </c>
      <c r="MM93" s="517" t="str">
        <f>IF(A93=FALSE,"",Cotations!CC93)</f>
        <v/>
      </c>
      <c r="MN93" s="515" t="str">
        <f>IF(A93=FALSE,"",Cotations!CD93)</f>
        <v/>
      </c>
      <c r="MO93" s="493" t="str">
        <f>IF(A93=FALSE,"",Cotations!CE93)</f>
        <v/>
      </c>
      <c r="MP93" s="517" t="str">
        <f>IF(A93=FALSE,"",IF(MM93="N/A",0,IF(INDEX(LISTES!$F$105:$F$109,MATCH(MM93,LISTES!$C$105:$C$109,0))="FIX",IF(INDEX(LISTES!$E$105:$E$109,MATCH(MM93,LISTES!$C$105:$C$109,0))=12,MN93/12*L93,MN93/365*M93),MO93*ML93)))</f>
        <v/>
      </c>
      <c r="MQ93" s="294" t="str">
        <f t="shared" si="736"/>
        <v/>
      </c>
      <c r="MR93" s="494" t="str">
        <f>IF(A93=FALSE,"",MQ93*Cotations!CF93)</f>
        <v/>
      </c>
      <c r="MS93" s="494" t="str">
        <f>IF(A93=FALSE,"",MQ93*Cotations!CG93)</f>
        <v/>
      </c>
      <c r="MT93" s="338" t="str">
        <f t="shared" si="737"/>
        <v/>
      </c>
      <c r="MU93" s="919" t="str">
        <f>IF(A93=FALSE,"",((MG93*TAXE)-(MG93*TAXE*MI93))+IF(MM93="N/A",0,IF(INDEX(LISTES!$F$105:$F$109,MATCH(MM93,LISTES!$C$105:$C$109,0))="FIX",MN93,MO93*ML93)))</f>
        <v/>
      </c>
      <c r="NA93" s="497" t="str">
        <f>IF(A93=FALSE,"",Cotations!D93)</f>
        <v/>
      </c>
      <c r="NB93" s="498" t="str">
        <f>IF(A93=FALSE,"",IF(LISTES!$A$17=1,Cotations!CH93,Cotations!$CI$4))</f>
        <v/>
      </c>
      <c r="NC93" s="499" t="str">
        <f t="shared" si="738"/>
        <v/>
      </c>
      <c r="ND93" s="499" t="str">
        <f t="shared" si="739"/>
        <v/>
      </c>
      <c r="NE93" s="500" t="str">
        <f t="shared" si="740"/>
        <v/>
      </c>
      <c r="NF93" s="501" t="str">
        <f>IF(A93=FALSE,"",IF(NA93="POEA",Cotations!CK93,IF(NA93="FIXE",Cotations!$CK$4,Cotations!$CM$4*Y93)))</f>
        <v/>
      </c>
      <c r="NG93" s="502" t="str">
        <f t="shared" si="741"/>
        <v/>
      </c>
      <c r="NH93" s="520" t="str">
        <f>IF(A93=FALSE,"",IF(Cotations!$CJ$4="monthly",NG93/12*L93,NG93/365*M93))</f>
        <v/>
      </c>
      <c r="NI93" s="503" t="str">
        <f>IF(A93=FALSE,"",Cotations!$CN$4)</f>
        <v/>
      </c>
      <c r="NJ93" s="502" t="str">
        <f t="shared" si="742"/>
        <v/>
      </c>
      <c r="NK93" s="502" t="str">
        <f t="shared" si="743"/>
        <v/>
      </c>
      <c r="NL93" s="504" t="str">
        <f t="shared" si="744"/>
        <v/>
      </c>
      <c r="NM93" s="505" t="str">
        <f>IF(A93=FALSE,"",Cotations!$CO$4)</f>
        <v/>
      </c>
      <c r="NN93" s="520" t="str">
        <f>IF(A93=FALSE,"",Cotations!$CP$4)</f>
        <v/>
      </c>
      <c r="NO93" s="503" t="str">
        <f>IF(A93=FALSE,"",Cotations!$CQ$4)</f>
        <v/>
      </c>
      <c r="NP93" s="505" t="str">
        <f>IF(A93=FALSE,"",IF(NM93="N/A",0,IF(INDEX(LISTES!$F$105:$F$109,MATCH(NM93,LISTES!$C$105:$C$109,0))="FIX",IF(INDEX(LISTES!$E$105:$E$109,MATCH(NM93,LISTES!$C$105:$C$109,0))=12,NN93/12*L93,NN93/365*M93),NO93*NL93)))</f>
        <v/>
      </c>
      <c r="NQ93" s="504" t="str">
        <f t="shared" si="745"/>
        <v/>
      </c>
      <c r="NR93" s="505" t="str">
        <f>IF(A93=FALSE,"",NQ93*Cotations!$CR$4)</f>
        <v/>
      </c>
      <c r="NS93" s="505" t="str">
        <f>IF(A93=FALSE,"",NQ93*Cotations!$CS$4)</f>
        <v/>
      </c>
      <c r="NT93" s="506" t="str">
        <f t="shared" si="746"/>
        <v/>
      </c>
      <c r="NU93" s="919" t="str">
        <f>IF(A93=FALSE,"",((NG93*TAXE)-(NG93*TAXE*NI93))+IF(NM93="N/A",0,IF(INDEX(LISTES!$F$105:$F$109,MATCH(NM93,LISTES!$C$105:$C$109,0))="FIX",NN93,NO93*NL93)))</f>
        <v/>
      </c>
      <c r="OA93" s="492" t="str">
        <f>IF(A93=FALSE,"",Cotations!D93)</f>
        <v/>
      </c>
      <c r="OB93" s="491" t="str">
        <f>IF(A93=FALSE,"",IF(LISTES!$A$17=1,Cotations!CH93,Cotations!CI93))</f>
        <v/>
      </c>
      <c r="OC93" s="285" t="str">
        <f t="shared" si="747"/>
        <v/>
      </c>
      <c r="OD93" s="300"/>
      <c r="OE93" s="461" t="str">
        <f t="shared" si="748"/>
        <v/>
      </c>
      <c r="OF93" s="490" t="str">
        <f>IF(A93=FALSE,"",IF(OA93="POEA",Cotations!CK93,IF(OA93="FIXE",Cotations!CL93,IF(Cotations!CM93*Y93&lt;50000,Z93,Cotations!CM93*Y93))))</f>
        <v/>
      </c>
      <c r="OG93" s="300" t="str">
        <f t="shared" si="749"/>
        <v/>
      </c>
      <c r="OH93" s="522" t="str">
        <f>IF(A93=FALSE,"",IF(Cotations!CJ93="monthly",OG93/12*L93,OG93/365*M93))</f>
        <v/>
      </c>
      <c r="OI93" s="489" t="str">
        <f>IF(A93=FALSE,"",IF(Cotations!CN93="","",Cotations!CN93))</f>
        <v/>
      </c>
      <c r="OJ93" s="300" t="str">
        <f t="shared" si="750"/>
        <v/>
      </c>
      <c r="OK93" s="300" t="str">
        <f t="shared" si="751"/>
        <v/>
      </c>
      <c r="OL93" s="919" t="str">
        <f t="shared" si="752"/>
        <v/>
      </c>
      <c r="OM93" s="517" t="str">
        <f>IF(A93=FALSE,"",Cotations!CO93)</f>
        <v/>
      </c>
      <c r="ON93" s="515" t="str">
        <f>IF(A93=FALSE,"",Cotations!CP93)</f>
        <v/>
      </c>
      <c r="OO93" s="493" t="str">
        <f>IF(A93=FALSE,"",Cotations!CQ93)</f>
        <v/>
      </c>
      <c r="OP93" s="517" t="str">
        <f>IF(A93=FALSE,"",IF(OM93="N/A",0,IF(INDEX(LISTES!$F$105:$F$109,MATCH(OM93,LISTES!$C$105:$C$109,0))="FIX",IF(INDEX(LISTES!$E$105:$E$109,MATCH(OM93,LISTES!$C$105:$C$109,0))=12,ON93/12*L93,ON93/365*M93),OO93*OL93)))</f>
        <v/>
      </c>
      <c r="OQ93" s="294" t="str">
        <f t="shared" si="753"/>
        <v/>
      </c>
      <c r="OR93" s="494" t="str">
        <f>IF(A93=FALSE,"",OQ93*Cotations!CR93)</f>
        <v/>
      </c>
      <c r="OS93" s="494" t="str">
        <f>IF(A93=FALSE,"",OQ93*Cotations!CS93)</f>
        <v/>
      </c>
      <c r="OT93" s="338" t="str">
        <f t="shared" si="754"/>
        <v/>
      </c>
      <c r="OU93" s="919" t="str">
        <f>IF(A93=FALSE,"",((OG93*TAXE)-(OG93*TAXE*OI93))+IF(OM93="N/A",0,IF(INDEX(LISTES!$F$105:$F$109,MATCH(OM93,LISTES!$C$105:$C$109,0))="FIX",ON93,OO93*OL93)))</f>
        <v/>
      </c>
      <c r="PA93" s="497" t="str">
        <f t="shared" si="755"/>
        <v/>
      </c>
      <c r="PB93" s="498" t="str">
        <f>IF(A93=FALSE,"",IF(LISTES!$A$17=1,Cotations!CT93,Cotations!$CU$4))</f>
        <v/>
      </c>
      <c r="PC93" s="499" t="str">
        <f t="shared" si="756"/>
        <v/>
      </c>
      <c r="PD93" s="499" t="str">
        <f t="shared" si="757"/>
        <v/>
      </c>
      <c r="PE93" s="500" t="str">
        <f t="shared" si="758"/>
        <v/>
      </c>
      <c r="PF93" s="501" t="str">
        <f>IF(A93=FALSE,"",Cotations!$CY$4*Y93)</f>
        <v/>
      </c>
      <c r="PG93" s="502" t="str">
        <f t="shared" si="759"/>
        <v/>
      </c>
      <c r="PH93" s="520" t="str">
        <f>IF(A93=FALSE,"",IF(Cotations!$CV$4="monthly",PG93/12*L93,PG93/365*M93))</f>
        <v/>
      </c>
      <c r="PI93" s="503" t="str">
        <f>IF(A93=FALSE,"",Cotations!$CZ$4)</f>
        <v/>
      </c>
      <c r="PJ93" s="502" t="str">
        <f t="shared" si="760"/>
        <v/>
      </c>
      <c r="PK93" s="502" t="str">
        <f t="shared" si="761"/>
        <v/>
      </c>
      <c r="PL93" s="504" t="str">
        <f t="shared" si="762"/>
        <v/>
      </c>
      <c r="PM93" s="505" t="str">
        <f>IF(A93=FALSE,"",Cotations!$DA$4)</f>
        <v/>
      </c>
      <c r="PN93" s="520" t="str">
        <f>IF(A93=FALSE,"",Cotations!$DB$4)</f>
        <v/>
      </c>
      <c r="PO93" s="503" t="str">
        <f>IF(A93=FALSE,"",Cotations!$DC$4)</f>
        <v/>
      </c>
      <c r="PP93" s="505" t="str">
        <f>IF(A93=FALSE,"",IF(PM93="N/A",0,IF(INDEX(LISTES!$F$105:$F$109,MATCH(PM93,LISTES!$C$105:$C$109,0))="FIX",IF(INDEX(LISTES!$E$105:$E$109,MATCH(PM93,LISTES!$C$105:$C$109,0))=12,PN93/12*L93,PN93/365*M93),PO93*PL93)))</f>
        <v/>
      </c>
      <c r="PQ93" s="504" t="str">
        <f t="shared" si="763"/>
        <v/>
      </c>
      <c r="PR93" s="505" t="str">
        <f>IF(A93=FALSE,"",PQ93*Cotations!$DD$4)</f>
        <v/>
      </c>
      <c r="PS93" s="505" t="str">
        <f>IF(A93=FALSE,"",PQ93*Cotations!$DE$4)</f>
        <v/>
      </c>
      <c r="PT93" s="506" t="str">
        <f t="shared" si="764"/>
        <v/>
      </c>
      <c r="PU93" s="919" t="str">
        <f>IF(A93=FALSE,"",((PG93*TAXE)-(PG93*TAXE*PI93))+IF(PM93="N/A",0,IF(INDEX(LISTES!$F$105:$F$109,MATCH(PM93,LISTES!$C$105:$C$109,0))="FIX",PN93,PO93*PL93)))</f>
        <v/>
      </c>
      <c r="QA93" s="492" t="str">
        <f t="shared" si="765"/>
        <v/>
      </c>
      <c r="QB93" s="491" t="str">
        <f>IF(A93=FALSE,"",IF(LISTES!$A$17=1,Cotations!CT93,Cotations!CU93))</f>
        <v/>
      </c>
      <c r="QC93" s="285" t="str">
        <f t="shared" si="766"/>
        <v/>
      </c>
      <c r="QD93" s="300"/>
      <c r="QE93" s="461" t="str">
        <f t="shared" si="767"/>
        <v/>
      </c>
      <c r="QF93" s="490" t="str">
        <f>IF(A93=FALSE,"",Cotations!CY93*AA93)</f>
        <v/>
      </c>
      <c r="QG93" s="300" t="str">
        <f t="shared" si="768"/>
        <v/>
      </c>
      <c r="QH93" s="522" t="str">
        <f>IF(A93=FALSE,"",IF(Cotations!CV93="monthly",QG93/12*L93,QG93/365*M93))</f>
        <v/>
      </c>
      <c r="QI93" s="489" t="str">
        <f>IF(A93=FALSE,"",IF(Cotations!CZ93="","",Cotations!CZ93))</f>
        <v/>
      </c>
      <c r="QJ93" s="300" t="str">
        <f t="shared" si="769"/>
        <v/>
      </c>
      <c r="QK93" s="300" t="str">
        <f t="shared" si="770"/>
        <v/>
      </c>
      <c r="QL93" s="919" t="str">
        <f t="shared" si="771"/>
        <v/>
      </c>
      <c r="QM93" s="517" t="str">
        <f>IF(A93=FALSE,"",Cotations!DA93)</f>
        <v/>
      </c>
      <c r="QN93" s="515" t="str">
        <f>IF(A93=FALSE,"",Cotations!DB93)</f>
        <v/>
      </c>
      <c r="QO93" s="493" t="str">
        <f>IF(A93=FALSE,"",Cotations!DC93)</f>
        <v/>
      </c>
      <c r="QP93" s="517" t="str">
        <f>IF(A93=FALSE,"",IF(QM93="N/A",0,IF(INDEX(LISTES!$F$105:$F$109,MATCH(QM93,LISTES!$C$105:$C$109,0))="FIX",IF(INDEX(LISTES!$E$105:$E$109,MATCH(QM93,LISTES!$C$105:$C$109,0))=12,QN93/12*L93,QN93/365*M93),QO93*QL93)))</f>
        <v/>
      </c>
      <c r="QQ93" s="294" t="str">
        <f t="shared" si="772"/>
        <v/>
      </c>
      <c r="QR93" s="494" t="str">
        <f>IF(A93=FALSE,"",QQ93*Cotations!DD93)</f>
        <v/>
      </c>
      <c r="QS93" s="494" t="str">
        <f>IF(A93=FALSE,"",QQ93*Cotations!DE93)</f>
        <v/>
      </c>
      <c r="QT93" s="338" t="str">
        <f t="shared" si="773"/>
        <v/>
      </c>
      <c r="QU93" s="919" t="str">
        <f>IF(A93=FALSE,"",((QG93*TAXE)-(QG93*TAXE*QI93))+IF(QM93="N/A",0,IF(INDEX(LISTES!$F$105:$F$109,MATCH(QM93,LISTES!$C$105:$C$109,0))="FIX",QN93,QO93*QL93)))</f>
        <v/>
      </c>
      <c r="RA93" s="497" t="str">
        <f t="shared" si="774"/>
        <v/>
      </c>
      <c r="RB93" s="498" t="str">
        <f>IF(A93=FALSE,"",IF(LISTES!$A$17=1,Cotations!DF93,Cotations!$DG$4))</f>
        <v/>
      </c>
      <c r="RC93" s="499" t="str">
        <f t="shared" si="775"/>
        <v/>
      </c>
      <c r="RD93" s="499" t="str">
        <f t="shared" si="776"/>
        <v/>
      </c>
      <c r="RE93" s="500" t="str">
        <f t="shared" si="777"/>
        <v/>
      </c>
      <c r="RF93" s="501" t="str">
        <f>IF(A93=FALSE,"",Cotations!$DK$4*Y93)</f>
        <v/>
      </c>
      <c r="RG93" s="502" t="str">
        <f t="shared" si="778"/>
        <v/>
      </c>
      <c r="RH93" s="520" t="str">
        <f>IF(A93=FALSE,"",IF(Cotations!$DH$4="monthly",RG93/12*L93,RG93/365*M93))</f>
        <v/>
      </c>
      <c r="RI93" s="503" t="str">
        <f>IF(A93=FALSE,"",Cotations!$DL$4)</f>
        <v/>
      </c>
      <c r="RJ93" s="502" t="str">
        <f t="shared" si="779"/>
        <v/>
      </c>
      <c r="RK93" s="502" t="str">
        <f t="shared" si="780"/>
        <v/>
      </c>
      <c r="RL93" s="504" t="str">
        <f t="shared" si="781"/>
        <v/>
      </c>
      <c r="RM93" s="505" t="str">
        <f>IF(A93=FALSE,"",Cotations!$DM$4)</f>
        <v/>
      </c>
      <c r="RN93" s="520" t="str">
        <f>IF(A93=FALSE,"",Cotations!$DN$4)</f>
        <v/>
      </c>
      <c r="RO93" s="503" t="str">
        <f>IF(A93=FALSE,"",Cotations!$DO$4)</f>
        <v/>
      </c>
      <c r="RP93" s="505" t="str">
        <f>IF(A93=FALSE,"",IF(RM93="N/A",0,IF(INDEX(LISTES!$F$105:$F$109,MATCH(RM93,LISTES!$C$105:$C$109,0))="FIX",IF(INDEX(LISTES!$E$105:$E$109,MATCH(RM93,LISTES!$C$105:$C$109,0))=12,RN93/12*L93,RN93/365*M93),RO93*RL93)))</f>
        <v/>
      </c>
      <c r="RQ93" s="504" t="str">
        <f t="shared" si="782"/>
        <v/>
      </c>
      <c r="RR93" s="505" t="str">
        <f>IF(A93=FALSE,"",RQ93*Cotations!$DP$4)</f>
        <v/>
      </c>
      <c r="RS93" s="505" t="str">
        <f>IF(A93=FALSE,"",RQ93*Cotations!$DQ$4)</f>
        <v/>
      </c>
      <c r="RT93" s="506" t="str">
        <f t="shared" si="783"/>
        <v/>
      </c>
      <c r="RU93" s="919" t="str">
        <f>IF(A93=FALSE,"",((RG93*TAXE)-(RG93*TAXE*RI93))+IF(RM93="N/A",0,IF(INDEX(LISTES!$F$105:$F$109,MATCH(RM93,LISTES!$C$105:$C$109,0))="FIX",RN93,RO93*RL93)))</f>
        <v/>
      </c>
      <c r="SA93" s="492" t="str">
        <f t="shared" si="784"/>
        <v/>
      </c>
      <c r="SB93" s="491" t="str">
        <f>IF(A93=FALSE,"",IF(LISTES!$A$17=1,Cotations!DF93,Cotations!DG93))</f>
        <v/>
      </c>
      <c r="SC93" s="285" t="str">
        <f t="shared" si="785"/>
        <v/>
      </c>
      <c r="SD93" s="300"/>
      <c r="SE93" s="461" t="str">
        <f t="shared" si="786"/>
        <v/>
      </c>
      <c r="SF93" s="490" t="str">
        <f>IF(A93=FALSE,"",Cotations!DK93*AA93)</f>
        <v/>
      </c>
      <c r="SG93" s="300" t="str">
        <f t="shared" si="787"/>
        <v/>
      </c>
      <c r="SH93" s="522" t="str">
        <f>IF(A93=FALSE,"",IF(Cotations!DH93="monthly",SG93/12*L93,SG93/365*M93))</f>
        <v/>
      </c>
      <c r="SI93" s="489" t="str">
        <f>IF(A93=FALSE,"",IF(Cotations!DL93="","",Cotations!DL93))</f>
        <v/>
      </c>
      <c r="SJ93" s="300" t="str">
        <f t="shared" si="788"/>
        <v/>
      </c>
      <c r="SK93" s="300" t="str">
        <f t="shared" si="789"/>
        <v/>
      </c>
      <c r="SL93" s="919" t="str">
        <f t="shared" si="790"/>
        <v/>
      </c>
      <c r="SM93" s="285" t="str">
        <f>IF(A93=FALSE,"",Cotations!DM93)</f>
        <v/>
      </c>
      <c r="SN93" s="515" t="str">
        <f>IF(A93=FALSE,"",Cotations!DN93)</f>
        <v/>
      </c>
      <c r="SO93" s="493" t="str">
        <f>IF(A93=FALSE,"",Cotations!DO93)</f>
        <v/>
      </c>
      <c r="SP93" s="517" t="str">
        <f>IF(A93=FALSE,"",IF(SM93="N/A",0,IF(INDEX(LISTES!$F$105:$F$109,MATCH(SM93,LISTES!$C$105:$C$109,0))="FIX",IF(INDEX(LISTES!$E$105:$E$109,MATCH(SM93,LISTES!$C$105:$C$109,0))=12,SN93/12*L93,SN93/365*M93),SO93*SL93)))</f>
        <v/>
      </c>
      <c r="SQ93" s="294" t="str">
        <f t="shared" si="791"/>
        <v/>
      </c>
      <c r="SR93" s="494" t="str">
        <f>IF(A93=FALSE,"",SQ93*Cotations!DP93)</f>
        <v/>
      </c>
      <c r="SS93" s="494" t="str">
        <f>IF(A93=FALSE,"",SQ93*Cotations!DQ93)</f>
        <v/>
      </c>
      <c r="ST93" s="338" t="str">
        <f t="shared" si="792"/>
        <v/>
      </c>
      <c r="SU93" s="919" t="str">
        <f>IF(A93=FALSE,"",((SG93*TAXE)-(SG93*TAXE*SI93))+IF(SM93="N/A",0,IF(INDEX(LISTES!$F$105:$F$109,MATCH(SM93,LISTES!$C$105:$C$109,0))="FIX",SN93,SO93*SL93)))</f>
        <v/>
      </c>
      <c r="TA93" s="492" t="str">
        <f>IF(A93=FALSE,"",Cotations!D93)</f>
        <v/>
      </c>
      <c r="TB93" s="491" t="str">
        <f>IF(A93=FALSE,"",IF(LISTES!$A$17=1,Cotations!DR93,Cotations!DS93))</f>
        <v/>
      </c>
      <c r="TC93" s="285" t="str">
        <f t="shared" si="793"/>
        <v/>
      </c>
      <c r="TD93" s="300" t="str">
        <f>IF(A93=FALSE,"",Detail!CQ93)</f>
        <v/>
      </c>
      <c r="TE93" s="461" t="str">
        <f t="shared" si="794"/>
        <v/>
      </c>
      <c r="TF93" s="490" t="str">
        <f>IF(A93=FALSE,"",IF(TA93="FIXE",Cotations!DU93,Cotations!DV93*Y93))</f>
        <v/>
      </c>
      <c r="TG93" s="300" t="str">
        <f t="shared" si="795"/>
        <v/>
      </c>
      <c r="TH93" s="522" t="str">
        <f>IF(A93=FALSE,"",IF(Cotations!DT93="monthly",TG93/12*L93,TG93/365*M93))</f>
        <v/>
      </c>
      <c r="TI93" s="489" t="str">
        <f>IF(A93=FALSE,"",IF(Cotations!DW93="","",Cotations!DW93))</f>
        <v/>
      </c>
      <c r="TJ93" s="300" t="str">
        <f t="shared" si="796"/>
        <v/>
      </c>
      <c r="TK93" s="300" t="str">
        <f t="shared" si="797"/>
        <v/>
      </c>
      <c r="TL93" s="919" t="str">
        <f t="shared" si="798"/>
        <v/>
      </c>
      <c r="TM93" s="517" t="str">
        <f>IF(A93=FALSE,"",Cotations!DX93)</f>
        <v/>
      </c>
      <c r="TN93" s="517" t="str">
        <f>IF(A93=FALSE,"",Cotations!DY93)</f>
        <v/>
      </c>
      <c r="TO93" s="493" t="str">
        <f>IF(A93=FALSE,"",Cotations!DZ93)</f>
        <v/>
      </c>
      <c r="TP93" s="517" t="str">
        <f>IF(A93=FALSE,"",IF(TM93="N/A",0,IF(INDEX(LISTES!$F$105:$F$109,MATCH(TM93,LISTES!$C$105:$C$109,0))="FIX",IF(INDEX(LISTES!$E$105:$E$109,MATCH(TM93,LISTES!$C$105:$C$109,0))=12,TN93/12*L93,TN93/365*M93),TO93*TL93)))</f>
        <v/>
      </c>
      <c r="TQ93" s="294" t="str">
        <f t="shared" si="799"/>
        <v/>
      </c>
      <c r="TR93" s="494" t="str">
        <f>IF(A93=FALSE,"",TQ93*Cotations!EA93)</f>
        <v/>
      </c>
      <c r="TS93" s="494" t="str">
        <f>IF(A93=FALSE,"",TQ93*Cotations!EB93)</f>
        <v/>
      </c>
      <c r="TT93" s="338" t="str">
        <f t="shared" si="800"/>
        <v/>
      </c>
      <c r="TU93" s="919" t="str">
        <f>IF(A93=FALSE,"",((TG93*(1+TAXE)-(TG93*(1+TAXE)*TI93))+IF(TM93="N/A",0,IF(INDEX(LISTES!$F$105:$F$109,MATCH(TM93,LISTES!$C$105:$C$109,0))="FIX",TN93,TO93*TL93))))</f>
        <v/>
      </c>
      <c r="UA93" s="492" t="str">
        <f>IF(A93=FALSE,"",Cotations!D93)</f>
        <v/>
      </c>
      <c r="UB93" s="491" t="str">
        <f>IF(A93=FALSE,"",IF(LISTES!$A$17=1,Cotations!EC93,Cotations!ED93))</f>
        <v/>
      </c>
      <c r="UC93" s="285" t="str">
        <f t="shared" si="801"/>
        <v/>
      </c>
      <c r="UD93" s="300" t="str">
        <f>IF(A93=FALSE,"",Detail!CY93)</f>
        <v/>
      </c>
      <c r="UE93" s="461" t="str">
        <f t="shared" si="802"/>
        <v/>
      </c>
      <c r="UF93" s="490" t="str">
        <f>IF(A93=FALSE,"",IF(UA93="FIXE",Cotations!EF93,Cotations!EG93*Y93))</f>
        <v/>
      </c>
      <c r="UG93" s="300" t="str">
        <f t="shared" si="803"/>
        <v/>
      </c>
      <c r="UH93" s="522" t="str">
        <f>IF(A93=FALSE,"",IF(Cotations!EE93="monthly",UG93/12*L93,UG93/365*M93))</f>
        <v/>
      </c>
      <c r="UI93" s="489" t="str">
        <f>IF(A93=FALSE,"",IF(Cotations!EH93="","",Cotations!EH93))</f>
        <v/>
      </c>
      <c r="UJ93" s="300" t="str">
        <f t="shared" si="804"/>
        <v/>
      </c>
      <c r="UK93" s="300" t="str">
        <f t="shared" si="805"/>
        <v/>
      </c>
      <c r="UL93" s="919" t="str">
        <f t="shared" si="806"/>
        <v/>
      </c>
      <c r="UM93" s="517" t="str">
        <f>IF(A93=FALSE,"",Cotations!EI93)</f>
        <v/>
      </c>
      <c r="UN93" s="517" t="str">
        <f>IF(A93=FALSE,"",Cotations!EJ93)</f>
        <v/>
      </c>
      <c r="UO93" s="493" t="str">
        <f>IF(A93=FALSE,"",Cotations!EK93)</f>
        <v/>
      </c>
      <c r="UP93" s="517" t="str">
        <f>IF(A93=FALSE,"",IF(UM93="N/A",0,IF(INDEX(LISTES!$F$105:$F$109,MATCH(UM93,LISTES!$C$105:$C$109,0))="FIX",IF(INDEX(LISTES!$E$105:$E$109,MATCH(UM93,LISTES!$C$105:$C$109,0))=12,UN93/12*L93,UN93/365*M93),UO93*UL93)))</f>
        <v/>
      </c>
      <c r="UQ93" s="294" t="str">
        <f t="shared" si="807"/>
        <v/>
      </c>
      <c r="UR93" s="494" t="str">
        <f>IF(A93=FALSE,"",UQ93*Cotations!EL93)</f>
        <v/>
      </c>
      <c r="US93" s="494" t="str">
        <f>IF(A93=FALSE,"",UQ93*Cotations!EM93)</f>
        <v/>
      </c>
      <c r="UT93" s="338" t="str">
        <f t="shared" si="808"/>
        <v/>
      </c>
      <c r="UU93" s="919" t="str">
        <f>IF(A93=FALSE,"",((UG93*(1+TAXE)-(UG93*(1+TAXE)*UI93))+IF(UM93="N/A",0,IF(INDEX(LISTES!$F$105:$F$109,MATCH(UM93,LISTES!$C$105:$C$109,0))="FIX",UN93,UO93*UL93))))</f>
        <v/>
      </c>
      <c r="VA93" s="492" t="str">
        <f>IF(A93=FALSE,"",Cotations!D93)</f>
        <v/>
      </c>
      <c r="VB93" s="519" t="str">
        <f>IF(A93=FALSE,"",IF(LISTES!$A$17=1,Cotations!EN93,Cotations!EO93))</f>
        <v/>
      </c>
      <c r="VC93" s="291" t="str">
        <f t="shared" si="809"/>
        <v/>
      </c>
      <c r="VD93" s="291" t="str">
        <f t="shared" si="810"/>
        <v/>
      </c>
      <c r="VE93" s="291"/>
      <c r="VF93" s="463"/>
      <c r="VG93" s="463" t="str">
        <f t="shared" si="811"/>
        <v/>
      </c>
      <c r="VH93" s="522" t="str">
        <f>IF(A93=FALSE,"",IF(Cotations!$AQ$4="monthly",VG93/12*L93,VG93/365*M93))</f>
        <v/>
      </c>
      <c r="VI93" s="489" t="str">
        <f>IF(A93=FALSE,"",Cotations!$AR$4)</f>
        <v/>
      </c>
      <c r="VJ93" s="300" t="str">
        <f t="shared" si="812"/>
        <v/>
      </c>
      <c r="VK93" s="300" t="str">
        <f t="shared" si="813"/>
        <v/>
      </c>
      <c r="VL93" s="294" t="str">
        <f t="shared" si="814"/>
        <v/>
      </c>
      <c r="VM93" s="494" t="str">
        <f>IF(A93=FALSE,"",Cotations!$AS$4)</f>
        <v/>
      </c>
      <c r="VN93" s="494" t="str">
        <f>IF(A93=FALSE,"",Cotations!$AT$4)</f>
        <v/>
      </c>
      <c r="VO93" s="489" t="str">
        <f>IF(A93=FALSE,"",Cotations!$AU$4)</f>
        <v/>
      </c>
      <c r="VP93" s="494" t="str">
        <f>IF(A93=FALSE,"",IF(VM93="N/A",0,IF(INDEX(LISTES!$F$105:$F$109,MATCH(VM93,LISTES!$C$105:$C$109,0))="FIX",IF(INDEX(LISTES!$E$105:$E$109,MATCH(VM93,LISTES!$C$105:$C$109,0))=12,VN93/12*L93,VN93/365*M93),VO93*VL93)))</f>
        <v/>
      </c>
      <c r="VQ93" s="294" t="str">
        <f t="shared" si="815"/>
        <v/>
      </c>
      <c r="VR93" s="494" t="str">
        <f>IF(A93=FALSE,"",VQ93*Cotations!$AV$4)</f>
        <v/>
      </c>
      <c r="VS93" s="494" t="str">
        <f>IF(A93=FALSE,"",VQ93*Cotations!$AW$4)</f>
        <v/>
      </c>
      <c r="VT93" s="465" t="str">
        <f t="shared" si="816"/>
        <v/>
      </c>
      <c r="VU93" s="919" t="str">
        <f>IF(A93=FALSE,"",((VG93*TAXE)-(VG93*TAXE*VI93))+IF(VM93="N/A",0,IF(INDEX(LISTES!$F$105:$F$109,MATCH(VM93,LISTES!$C$105:$C$109,0))="FIX",VN93,VO93*VL93)))</f>
        <v/>
      </c>
      <c r="WA93" s="492" t="str">
        <f>IF(A93=FALSE,"",Cotations!D93)</f>
        <v/>
      </c>
      <c r="WB93" s="519" t="str">
        <f>IF(A93=FALSE,"",IF(LISTES!$A$17=1,Cotations!EW93,Cotations!EX93))</f>
        <v/>
      </c>
      <c r="WC93" s="291" t="str">
        <f t="shared" si="817"/>
        <v/>
      </c>
      <c r="WD93" s="291" t="str">
        <f t="shared" si="818"/>
        <v/>
      </c>
      <c r="WE93" s="291"/>
      <c r="WF93" s="463"/>
      <c r="WG93" s="463" t="str">
        <f t="shared" si="819"/>
        <v/>
      </c>
      <c r="WH93" s="522" t="str">
        <f>IF(A93=FALSE,"",IF(Cotations!$AQ$4="monthly",WG93/12*L93,WG93/365*M93))</f>
        <v/>
      </c>
      <c r="WI93" s="489" t="str">
        <f>IF(A93=FALSE,"",Cotations!$AR$4)</f>
        <v/>
      </c>
      <c r="WJ93" s="300" t="str">
        <f t="shared" si="820"/>
        <v/>
      </c>
      <c r="WK93" s="300" t="str">
        <f t="shared" si="821"/>
        <v/>
      </c>
      <c r="WL93" s="294" t="str">
        <f t="shared" si="822"/>
        <v/>
      </c>
      <c r="WM93" s="494" t="str">
        <f>IF(A93=FALSE,"",Cotations!$AS$4)</f>
        <v/>
      </c>
      <c r="WN93" s="494" t="str">
        <f>IF(A93=FALSE,"",Cotations!$AT$4)</f>
        <v/>
      </c>
      <c r="WO93" s="489" t="str">
        <f>IF(A93=FALSE,"",Cotations!$AU$4)</f>
        <v/>
      </c>
      <c r="WP93" s="494" t="str">
        <f>IF(A93=FALSE,"",IF(WM93="N/A",0,IF(INDEX(LISTES!$F$105:$F$109,MATCH(WM93,LISTES!$C$105:$C$109,0))="FIX",IF(INDEX(LISTES!$E$105:$E$109,MATCH(WM93,LISTES!$C$105:$C$109,0))=12,WN93/12*L93,WN93/365*M93),WO93*WL93)))</f>
        <v/>
      </c>
      <c r="WQ93" s="294" t="str">
        <f t="shared" si="823"/>
        <v/>
      </c>
      <c r="WR93" s="494" t="str">
        <f>IF(A93=FALSE,"",WQ93*Cotations!$AV$4)</f>
        <v/>
      </c>
      <c r="WS93" s="494" t="str">
        <f>IF(A93=FALSE,"",WQ93*Cotations!$AW$4)</f>
        <v/>
      </c>
      <c r="WT93" s="465" t="str">
        <f t="shared" si="824"/>
        <v/>
      </c>
      <c r="WU93" s="919" t="str">
        <f>IF(A93=FALSE,"",((WG93*TAXE)-(WG93*TAXE*WI93))+IF(WM93="N/A",0,IF(INDEX(LISTES!$F$105:$F$109,MATCH(WM93,LISTES!$C$105:$C$109,0))="FIX",WN93,WO93*WL93)))</f>
        <v/>
      </c>
    </row>
    <row r="94" spans="1:619">
      <c r="A94" s="942" t="b">
        <f t="shared" si="629"/>
        <v>0</v>
      </c>
      <c r="B94" s="942" t="b">
        <f>IF(NAMES!$B$9=TRUE,TRUE,FALSE)</f>
        <v>1</v>
      </c>
      <c r="C94" s="942" t="b">
        <f t="shared" si="825"/>
        <v>0</v>
      </c>
      <c r="D94" s="942" t="b">
        <f t="shared" si="826"/>
        <v>0</v>
      </c>
      <c r="E94" s="274" t="b">
        <f>IF(Cotations!C94="","",Cotations!C94)</f>
        <v>0</v>
      </c>
      <c r="F94" s="274" t="str">
        <f>IF(Cotations!D94="","",Cotations!D94)</f>
        <v>PROP</v>
      </c>
      <c r="G94" s="274" t="str">
        <f>IF(Cotations!E94="","",Cotations!E94)</f>
        <v>2016-2017!</v>
      </c>
      <c r="H94" s="274" t="str">
        <f>IF(Cotations!F94="","",Cotations!F94)</f>
        <v>SINGLE</v>
      </c>
      <c r="I94" s="274" t="str">
        <f>IF(Cotations!G94="","",Cotations!G94)</f>
        <v/>
      </c>
      <c r="J94" s="274" t="str">
        <f>IF(Cotations!H94="","",Cotations!H94)</f>
        <v/>
      </c>
      <c r="K94" s="274" t="str">
        <f>IF(Cotations!I94="","",Cotations!I94)</f>
        <v/>
      </c>
      <c r="L94" s="274" t="str">
        <f>IF(A94=FALSE,"",IF(Cotations!N94="","",Cotations!N94))</f>
        <v/>
      </c>
      <c r="M94" s="274" t="str">
        <f>IF(Cotations!P94="","",Cotations!P94)</f>
        <v/>
      </c>
      <c r="N94" s="724" t="str">
        <f>IF(NAMES!$B$10=TRUE,Cotations!J94,Cotations!L94)</f>
        <v/>
      </c>
      <c r="O94" s="724" t="str">
        <f>IF(NAMES!$B$10=TRUE,Cotations!K94,Cotations!M94)</f>
        <v/>
      </c>
      <c r="P94" s="943" t="str">
        <f t="shared" si="827"/>
        <v/>
      </c>
      <c r="Q94" s="724" t="str">
        <f>IF(A94=FALSE,"",IF(Crewlist!Y94="","",Crewlist!Y94))</f>
        <v/>
      </c>
      <c r="R94" s="78" t="str">
        <f>IF(Cotations!U94="","",Cotations!U94)</f>
        <v/>
      </c>
      <c r="S94" s="943" t="str">
        <f t="shared" si="828"/>
        <v/>
      </c>
      <c r="T94" s="919" t="str">
        <f>IF(A94=FALSE,"",VLOOKUP($U$15:$U$120,Currency!$A$2:$D$10,4,0)*Crewlist!N94)</f>
        <v/>
      </c>
      <c r="U94" s="1355" t="str">
        <f>IF(A94=FALSE,"",IF(IT94=0,Crewlist!M94&amp;"/"&amp;EX94,Crewlist!M94&amp;"/"&amp;IT94))</f>
        <v/>
      </c>
      <c r="V94" s="919" t="str">
        <f>IF(A94=FALSE,"",VLOOKUP($U$15:$U$120,Currency!$A$2:$D$10,4,0)*Detail!Q94)</f>
        <v/>
      </c>
      <c r="W94" s="1355" t="str">
        <f>IF(A94=FALSE,"",IF(IT94=0,Detail!R94&amp;"/"&amp;EX94,Detail!R94&amp;"/"&amp;IT94))</f>
        <v/>
      </c>
      <c r="X94" s="919" t="str">
        <f>IF(A94=FALSE,"",IF(LISTES!$C$17="Crewlist",Calcul!T94,Calcul!V94))</f>
        <v/>
      </c>
      <c r="Y94" s="758" t="str">
        <f t="shared" si="829"/>
        <v/>
      </c>
      <c r="Z94" s="758" t="str">
        <f>IF(A94=FALSE,"",IF(X94=0,0,IF((Cotations!BC94*12*X94)&lt;50000,50000,(12*X94))))</f>
        <v/>
      </c>
      <c r="AA94" s="758" t="str">
        <f t="shared" si="830"/>
        <v/>
      </c>
      <c r="AB94" s="758" t="str">
        <f>IF(A94=FALSE,"",IF(Crewlist!O94=0,"",Crewlist!O94))</f>
        <v/>
      </c>
      <c r="AC94" s="758" t="str">
        <f>IF(I94="","",VLOOKUP($AB$15:$AB$120,Currency!$A$15:$B$34,2,0))</f>
        <v/>
      </c>
      <c r="AD94" s="758" t="str">
        <f t="shared" si="831"/>
        <v/>
      </c>
      <c r="AE94" s="758" t="str">
        <f t="shared" si="832"/>
        <v/>
      </c>
      <c r="AF94" s="758" t="str">
        <f t="shared" si="833"/>
        <v/>
      </c>
      <c r="AG94" s="758" t="str">
        <f t="shared" si="834"/>
        <v/>
      </c>
      <c r="AH94" s="1355" t="str">
        <f t="shared" si="630"/>
        <v/>
      </c>
      <c r="AI94" s="919" t="str">
        <f t="shared" si="835"/>
        <v/>
      </c>
      <c r="AJ94" s="1382" t="str">
        <f t="shared" si="836"/>
        <v/>
      </c>
      <c r="AK94" s="1382" t="str">
        <f t="shared" si="837"/>
        <v/>
      </c>
      <c r="AL94" s="238" t="str">
        <f t="shared" si="631"/>
        <v/>
      </c>
      <c r="AM94" s="238" t="str">
        <f t="shared" si="632"/>
        <v/>
      </c>
      <c r="AN94" s="1374" t="str">
        <f t="shared" si="633"/>
        <v/>
      </c>
      <c r="AO94" s="238" t="str">
        <f t="shared" si="634"/>
        <v/>
      </c>
      <c r="AP94" s="342" t="str">
        <f>IF(A94=FALSE,"",INDEX(Rates!$Z$5:$Z$367,MATCH(EB94,colchoice,0)))</f>
        <v/>
      </c>
      <c r="AQ94" s="238" t="str">
        <f t="shared" si="635"/>
        <v/>
      </c>
      <c r="AR94" s="238" t="str">
        <f t="shared" si="636"/>
        <v/>
      </c>
      <c r="AS94" s="238" t="str">
        <f t="shared" si="637"/>
        <v/>
      </c>
      <c r="AT94" s="238" t="str">
        <f t="shared" si="638"/>
        <v/>
      </c>
      <c r="AU94" s="238" t="str">
        <f t="shared" si="639"/>
        <v/>
      </c>
      <c r="AV94" s="238" t="str">
        <f t="shared" si="838"/>
        <v/>
      </c>
      <c r="AW94" s="238" t="str">
        <f t="shared" si="640"/>
        <v/>
      </c>
      <c r="AX94" s="238" t="str">
        <f t="shared" si="641"/>
        <v/>
      </c>
      <c r="AY94" s="238" t="str">
        <f t="shared" si="642"/>
        <v/>
      </c>
      <c r="AZ94" s="238" t="str">
        <f t="shared" si="643"/>
        <v/>
      </c>
      <c r="BA94" s="238" t="str">
        <f t="shared" si="644"/>
        <v/>
      </c>
      <c r="BB94" s="552" t="str">
        <f t="shared" si="645"/>
        <v/>
      </c>
      <c r="BC94" s="347" t="str">
        <f t="shared" si="646"/>
        <v/>
      </c>
      <c r="BD94" s="239" t="str">
        <f t="shared" si="839"/>
        <v/>
      </c>
      <c r="BE94" s="239" t="str">
        <f>IF(A94=FALSE,"",IF(ALLTHESAME=TRUE,IF(DF94&lt;&gt;$BC$7,0,INDEX(DD94:DZ94,1,MATCH(Structure!$D$12,$DD$14:$DZ$14,0))),IF(EC94&lt;&gt;$BC$7,0,INDEX(EA94:EZ94,1,MATCH(Structure!$D$12,$EA$14:$EZ$14,0)))))</f>
        <v/>
      </c>
      <c r="BF94" s="239" t="str">
        <f>IF(A94=FALSE,"",IF(ALLTHESAME=TRUE,IF(FC94&lt;&gt;$BC$7,0,INDEX(FA94:FZ94,1,MATCH(Structure!$D$12,$FA$14:$FZ$14,0))),IF(GC94&lt;&gt;$BC$7,0,INDEX(GA94:GZ94,1,MATCH(Structure!$D$12,$GA$14:$GZ$14,0)))))</f>
        <v/>
      </c>
      <c r="BG94" s="239" t="str">
        <f>IF(A94=FALSE,"",IF(ALLTHESAME=TRUE,IF(VC94&lt;&gt;$BC$7,0,INDEX(VA94:VZ94,1,MATCH(Structure!$D$12,$VA$14:$VZ$14,0))),IF(VC94&lt;&gt;$BC$7,0,INDEX(VA94:VZ94,1,MATCH(Structure!$D$12,$VA$14:$VZ$14,0)))))</f>
        <v/>
      </c>
      <c r="BH94" s="239" t="str">
        <f>IF(A94=FALSE,"",IF(ALLTHESAME=TRUE,IF(WC94&lt;&gt;$BC$7,0,INDEX(WA94:WY94,1,MATCH(Structure!$D$12,$WA$14:$WZ$14,0))),IF(WC94&lt;&gt;$BC$7,0,INDEX(WA94:WZ94,1,MATCH(Structure!$D$12,$WA$14:$WZ$14,0)))))</f>
        <v/>
      </c>
      <c r="BI94" s="763" t="str">
        <f>IF(A94=FALSE,"",IF(ALLTHESAME=TRUE,IF(HC94&lt;&gt;$BC$7,0,INDEX(HA94:HZ94,1,MATCH(Structure!$D$12,$HA$14:$HZ$14,0)))+TK94,IF(IC94&lt;&gt;$BC$7,0,INDEX(IA94:IZ94,1,MATCH(Structure!$D$12,$IA$14:$IZ$14,0)))+TK94))</f>
        <v/>
      </c>
      <c r="BJ94" s="239" t="str">
        <f>IF(A94=FALSE,"",IF(ALLTHESAME=TRUE,IF(JC94&lt;&gt;$BC$7,0,INDEX(JA94:JZ94,1,MATCH(Structure!$D$12,$JA$14:$JZ$14,0))),IF(KC94&lt;&gt;$BC$7,0,INDEX(KA94:KZ94,1,MATCH(Structure!$D$12,$KA$14:$KZ$14,0)))))</f>
        <v/>
      </c>
      <c r="BK94" s="763" t="str">
        <f>IF(A94=FALSE,"",IF(ALLTHESAME=TRUE,IF(LC94&lt;&gt;$BC$7,0,INDEX(LA94:LZ94,1,MATCH(Structure!$D$12,$LA$14:$LZ$14,0)))+UK94,IF(MC94&lt;&gt;$BC$7,0,INDEX(MA94:MZ94,1,MATCH(Structure!$D$12,$MA$14:$MZ$14,0)))+UK94))</f>
        <v/>
      </c>
      <c r="BL94" s="239" t="str">
        <f>IF(A94=FALSE,"",IF(ALLTHESAME=TRUE,IF(NC94&lt;&gt;$BC$7,0,INDEX(NA94:NZ94,1,MATCH(Structure!$D$12,$NA$14:$NZ$14,0))),IF(OC94&lt;&gt;$BC$7,0,INDEX(OA94:OZ94,1,MATCH(Structure!$D$12,$OA$14:$OZ$14,0)))))</f>
        <v/>
      </c>
      <c r="BM94" s="239" t="str">
        <f>IF(A94=FALSE,"",IF(ALLTHESAME=TRUE,IF(PC94&lt;&gt;$BC$7,0,INDEX(PA94:PZ94,1,MATCH(Structure!$D$12,$PA$14:$PZ$14,0))),IF(QC94&lt;&gt;$BC$7,0,INDEX(QA94:QZ94,1,MATCH(Structure!$D$12,$QA$14:$QZ$14,0)))))</f>
        <v/>
      </c>
      <c r="BN94" s="341" t="str">
        <f>IF(A94=FALSE,"",IF(ALLTHESAME=TRUE,IF(RC94&lt;&gt;$BC$7,0,INDEX(RA94:RZ94,1,MATCH(Structure!$D$12,$RA$14:$RZ$14,0))),IF(SC94&lt;&gt;$BC$7,0,INDEX(SA94:TA94,1,MATCH(Structure!$D$12,$SA$14:$TA$14,0)))))</f>
        <v/>
      </c>
      <c r="BO94" s="507" t="str">
        <f t="shared" si="647"/>
        <v/>
      </c>
      <c r="BP94" s="239" t="str">
        <f t="shared" si="648"/>
        <v/>
      </c>
      <c r="BQ94" s="239" t="str">
        <f>IF(A94=FALSE,"",IF(ALLTHESAME=TRUE,IF(DF94&lt;&gt;$BO$7,0,INDEX(DD94:DZ94,1,MATCH(Structure!$D$12,$DD$14:$DZ$14,0))),IF(EC94&lt;&gt;$BO$7,0,INDEX(EA94:EZ94,1,MATCH(Structure!$D$12,$EA$14:$EZ$14,0)))))</f>
        <v/>
      </c>
      <c r="BR94" s="239" t="str">
        <f>IF(A94=FALSE,"",IF(ALLTHESAME=TRUE,IF(FC94&lt;&gt;$BO$7,0,INDEX(FA94:FZ94,1,MATCH(Structure!$D$12,$FA$14:$FZ$14,0))),IF(GC94&lt;&gt;$BO$7,0,INDEX(GA94:GZ94,1,MATCH(Structure!$D$12,$GA$14:$GZ$14,0)))))</f>
        <v/>
      </c>
      <c r="BS94" s="239" t="str">
        <f>IF(A94=FALSE,"",IF(ALLTHESAME=TRUE,IF(HC94&lt;&gt;$BO$7,0,INDEX(HA94:HZ94,1,MATCH(Structure!$D$12,$HA$14:$HZ$14,0))),IF(IC94&lt;&gt;$BO$7,0,INDEX(IA94:IZ94,1,MATCH(Structure!$D$12,$IA$14:$IZ$14,0)))))</f>
        <v/>
      </c>
      <c r="BT94" s="239" t="str">
        <f>IF(A94=FALSE,"",IF(ALLTHESAME=TRUE,IF(JC94&lt;&gt;$BO$7,0,INDEX(JA94:JZ94,1,MATCH(Structure!$D$12,$JA$14:$JZ$14,0))),IF(KC94&lt;&gt;$BO$7,0,INDEX(KA94:KZ94,1,MATCH(Structure!$D$12,$KA$14:$KZ$14,0)))))</f>
        <v/>
      </c>
      <c r="BU94" s="239" t="str">
        <f>IF(A94=FALSE,"",IF(ALLTHESAME=TRUE,IF(LC94&lt;&gt;$BO$7,0,INDEX(LA94:LZ94,1,MATCH(Structure!$D$12,$LA$14:$LZ$14,0))),IF(MC94&lt;&gt;$BO$7,0,INDEX(MA94:MZ94,1,MATCH(Structure!$D$12,$MA$14:$MZ$14,0)))))</f>
        <v/>
      </c>
      <c r="BV94" s="239" t="str">
        <f>IF(A94=FALSE,"",IF(ALLTHESAME=TRUE,IF(NC94&lt;&gt;$BO$7,0,INDEX(NA94:NZ94,1,MATCH(Structure!$D$12,$NA$14:$NZ$14,0))),IF(OC94&lt;&gt;$BO$7,0,INDEX(OA94:OZ94,1,MATCH(Structure!$D$12,$OA$14:$OZ$14,0)))))</f>
        <v/>
      </c>
      <c r="BW94" s="239" t="str">
        <f>IF(A94=FALSE,"",IF(ALLTHESAME=TRUE,IF(PC94&lt;&gt;$BO$7,0,INDEX(PA94:PZ94,1,MATCH(Structure!$D$12,$PA$14:$PZ$14,0))),IF(QC94&lt;&gt;$BO$7,0,INDEX(QA94:QZ94,1,MATCH(Structure!$D$12,$QA$14:$QZ$14,0)))))</f>
        <v/>
      </c>
      <c r="BX94" s="341" t="str">
        <f>IF(A94=FALSE,"",IF(ALLTHESAME=TRUE,IF(RC94&lt;&gt;$BO$7,0,INDEX(RA94:RZ94,1,MATCH(Structure!$D$12,$RA$14:$RZ$14,0))),IF(SC94&lt;&gt;$BO$7,0,INDEX(SA94:TA94,1,MATCH(Structure!$D$12,$SA$14:$TA$14,0)))))</f>
        <v/>
      </c>
      <c r="BY94" s="347" t="str">
        <f t="shared" si="649"/>
        <v/>
      </c>
      <c r="BZ94" s="507" t="str">
        <f t="shared" si="650"/>
        <v/>
      </c>
      <c r="CA94" s="239" t="str">
        <f t="shared" si="651"/>
        <v/>
      </c>
      <c r="CB94" s="239" t="str">
        <f>IF(A94=FALSE,"",IF(ALLTHESAME=TRUE,INDEX(DD94:DZ94,MATCH(DF94,DF94:DF199,0),MATCH(Structure!$D$17,$DD$14:$DZ$14,0)),INDEX(EA94:EZ94,MATCH(EC94,EC94:EC199,0),MATCH(Structure!$D$17,$EA$14:$EZ$14,0))))</f>
        <v/>
      </c>
      <c r="CC94" s="239" t="str">
        <f>IF(A94=FALSE,"",IF(ALLTHESAME=TRUE,INDEX(FA94:FZ94,MATCH(FC94,FC94:FC199,0),MATCH(Structure!$D$17,$FA$14:$FZ$14,0)),INDEX(GA94:GZ94,MATCH(GC94,GC94:GC199,0),MATCH(Structure!$D$17,$GA$14:$GZ$14,0))))</f>
        <v/>
      </c>
      <c r="CD94" s="239" t="str">
        <f>IF(A94=FALSE,"",IF(ALLTHESAME=TRUE,INDEX(HA94:HZ94,MATCH(HC94,HC94:HC199,0),MATCH(Structure!$D$17,$HA$14:$HZ$14,0)),INDEX(IA94:IZ94,MATCH(IC94,IC94:IC199,0),MATCH(Structure!$D$17,$IA$14:$IZ$14,0))))</f>
        <v/>
      </c>
      <c r="CE94" s="239" t="str">
        <f>IF(A94=FALSE,"",IF(ALLTHESAME=TRUE,INDEX(JA94:JZ94,MATCH(JC94,JC94:JC199,0),MATCH(Structure!$D$17,$JA$14:$JZ$14,0)),INDEX(KA94:KZ94,MATCH(KC94,KC94:KC199,0),MATCH(Structure!$D$17,$KA$14:$KZ$14,0))))</f>
        <v/>
      </c>
      <c r="CF94" s="239" t="str">
        <f>IF(A94=FALSE,"",IF(ALLTHESAME=TRUE,INDEX(LA94:LZ94,MATCH(LC94,LC94:LC199,0),MATCH(Structure!$D$17,$LA$14:$LZ$14,0)),INDEX(MA94:MZ94,MATCH(MC94,MC94:MC199,0),MATCH(Structure!$D$17,$MA$14:$MZ$14,0))))</f>
        <v/>
      </c>
      <c r="CG94" s="239" t="str">
        <f>IF(A94=FALSE,"",IF(ALLTHESAME=TRUE,INDEX(NA94:NZ94,MATCH(NC94,NC94:NC199,0),MATCH(Structure!$D$17,$NA$14:$NZ$14,0)),INDEX(OA94:OZ94,MATCH(OC94,OC94:OC199,0),MATCH(Structure!$D$17,$OA$14:$OZ$14,0))))</f>
        <v/>
      </c>
      <c r="CH94" s="239" t="str">
        <f>IF(A94=FALSE,"",IF(ALLTHESAME=TRUE,INDEX(PA94:PZ94,MATCH(PC94,PC94:PC199,0),MATCH(Structure!$D$17,$PA$14:$PZ$14,0)),INDEX(QA94:QZ94,MATCH(QC94,QC94:QC199,0),MATCH(Structure!$D$17,$QA$14:$QZ$14,0))))</f>
        <v/>
      </c>
      <c r="CI94" s="341" t="str">
        <f>IF(A94=FALSE,"",IF(ALLTHESAME=TRUE,INDEX(RA94:RZ94,MATCH(RC94,RC94:RC199,0),MATCH(Structure!$D$17,$RA$14:$RZ$14,0)),INDEX(SA94:TC94,MATCH(SC94,SC94:SC199,0),MATCH(Structure!$D$17,$SA$14:$TC$14,0))))</f>
        <v/>
      </c>
      <c r="CJ94" s="347"/>
      <c r="CK94" s="239" t="str">
        <f t="shared" si="652"/>
        <v/>
      </c>
      <c r="CL94" s="239" t="str">
        <f>IF(A94=FALSE,"",IF(ALLTHESAME=TRUE,INDEX(DD94:DZ94,MATCH(DF94,DF94:DF199,0),MATCH(Structure!$D$22,$DD$14:$DZ$14,0)),INDEX(EA94:EZ94,MATCH(EC94,EC94:EC199,0),MATCH(Structure!$D$22,$EA$14:$EZ$14,0))))</f>
        <v/>
      </c>
      <c r="CM94" s="239" t="str">
        <f>IF(A94=FALSE,"",IF(ALLTHESAME=TRUE,INDEX(FA94:FZ94,MATCH(FC94,FC94:FC199,0),MATCH(Structure!$D$22,$FA$14:$FZ$14,0)),INDEX(GA94:GZ94,MATCH(GC94,GC94:GC199,0),MATCH(Structure!$D$22,$GA$14:$GZ$14,0))))</f>
        <v/>
      </c>
      <c r="CN94" s="239" t="str">
        <f>IF(A94=FALSE,"",IF(ALLTHESAME=TRUE,INDEX(HA94:HZ94,MATCH(HC94,HC94:HC199,0),MATCH(Structure!$D$22,$HA$14:$HZ$14,0)),INDEX(IA94:IZ94,MATCH(IC94,IC94:IC199,0),MATCH(Structure!$D$22,$IA$14:$IZ$14,0))))</f>
        <v/>
      </c>
      <c r="CO94" s="239" t="str">
        <f>IF(A94=FALSE,"",IF(ALLTHESAME=TRUE,INDEX(JA94:JZ94,MATCH(JC94,JC94:JC199,0),MATCH(Structure!$D$22,$JA$14:$JZ$14,0)),INDEX(KA94:KZ94,MATCH(KC94,KC94:KC199,0),MATCH(Structure!$D$22,$KA$14:$KZ$14,0))))</f>
        <v/>
      </c>
      <c r="CP94" s="239" t="str">
        <f>IF(A94=FALSE,"",IF(ALLTHESAME=TRUE,INDEX(LA94:LZ94,MATCH(LC94,LC94:LC199,0),MATCH(Structure!$D$22,$LA$14:$LZ$14,0)),INDEX(MA94:MZ94,MATCH(MC94,MC94:MC199,0),MATCH(Structure!$D$22,$MA$14:$MZ$14,0))))</f>
        <v/>
      </c>
      <c r="CQ94" s="239" t="str">
        <f>IF(A94=FALSE,"",IF(ALLTHESAME=TRUE,INDEX(NA94:NZ94,MATCH(NC94,NC94:NC199,0),MATCH(Structure!$D$22,$NA$14:$NZ$14,0)),INDEX(OA94:OZ94,MATCH(OC94,OC94:OC199,0),MATCH(Structure!$D$22,$OA$14:$OZ$14,0))))</f>
        <v/>
      </c>
      <c r="CR94" s="239" t="str">
        <f>IF(A94=FALSE,"",IF(ALLTHESAME=TRUE,INDEX(PA94:PZ94,MATCH(PC94,PC94:PC199,0),MATCH(Structure!$D$22,$PA$14:$PZ$14,0)),INDEX(QA94:QZ94,MATCH(QC94,QC94:QC199,0),MATCH(Structure!$D$22,$QA$14:$QZ$14,0))))</f>
        <v/>
      </c>
      <c r="CS94" s="341" t="str">
        <f>IF(A94=FALSE,"",IF(ALLTHESAME=TRUE,INDEX(RA94:RZ94,MATCH(RC94,RC94:RC199,0),MATCH(Structure!$D$22,$RA$14:$RZ$14,0)),INDEX(SA94:TC94,MATCH(SC94,SC94:SC199,0),MATCH(Structure!$D$22,$SA$14:$TC$14,0))))</f>
        <v/>
      </c>
      <c r="CT94" s="347"/>
      <c r="CU94" s="239" t="str">
        <f t="shared" si="653"/>
        <v/>
      </c>
      <c r="CV94" s="239" t="str">
        <f>IF(A94=FALSE,"",IF(ALLTHESAME=TRUE,INDEX(DD94:DZ94,MATCH(DF94,DF94:DF199,0),MATCH(Structure!$D$8,$DD$14:$DZ$14,0)),INDEX(EA94:EZ94,MATCH(EC94,EC94:EC199,0),MATCH(Structure!$D$8,$EA$14:$EZ$14,0))))</f>
        <v/>
      </c>
      <c r="CW94" s="239" t="str">
        <f>IF(A94=FALSE,"",IF(ALLTHESAME=TRUE,INDEX(FA94:FZ94,MATCH(FC94,FC94:FC199,0),MATCH(Structure!$D$8,$FA$14:$FZ$14,0)),INDEX(GA94:GZ94,MATCH(GC94,GC94:GC199,0),MATCH(Structure!$D$8,$GA$14:$GZ$14,0))))</f>
        <v/>
      </c>
      <c r="CX94" s="239" t="str">
        <f>IF(A94=FALSE,"",IF(ALLTHESAME=TRUE,INDEX(HA94:HZ94,MATCH(HC94,HC94:HC199,0),MATCH(Structure!$D$8,$HA$14:$HZ$14,0)),INDEX(IA94:IZ94,MATCH(IC94,IC94:IC199,0),MATCH(Structure!$D$8,$IA$14:$IZ$14,0))))</f>
        <v/>
      </c>
      <c r="CY94" s="239" t="str">
        <f>IF(A94=FALSE,"",IF(ALLTHESAME=TRUE,INDEX(JA94:JZ94,MATCH(JC94,JC94:JC199,0),MATCH(Structure!$D$8,$JA$14:$JZ$14,0)),INDEX(KA94:KZ94,MATCH(KC94,KC94:KC199,0),MATCH(Structure!$D$8,$KA$14:$KZ$14,0))))</f>
        <v/>
      </c>
      <c r="CZ94" s="239" t="str">
        <f>IF(A94=FALSE,"",IF(ALLTHESAME=TRUE,INDEX(LA94:LZ94,MATCH(LC94,LC94:LC199,0),MATCH(Structure!$D$8,$LA$14:$LZ$14,0)),INDEX(MA94:MZ94,MATCH(MC94,MC94:MC199,0),MATCH(Structure!$D$8,$MA$14:$MZ$14,0))))</f>
        <v/>
      </c>
      <c r="DA94" s="239" t="str">
        <f>IF(A94=FALSE,"",IF(ALLTHESAME=TRUE,INDEX(NA94:NZ94,MATCH(NC94,NC94:NC199,0),MATCH(Structure!$D$8,$NA$14:$NZ$14,0)),INDEX(OA94:OZ94,MATCH(OC94,OC94:OC199,0),MATCH(Structure!$D$8,$OA$14:$OZ$14,0))))</f>
        <v/>
      </c>
      <c r="DB94" s="239" t="str">
        <f>IF(A94=FALSE,"",IF(ALLTHESAME=TRUE,INDEX(PA94:PZ94,MATCH(PC94,PC94:PC199,0),MATCH(Structure!$D$8,$PA$14:$PZ$14,0)),INDEX(QA94:QZ94,MATCH(QC94,QC94:QC199,0),MATCH(Structure!$D$8,$QA$14:$QZ$14,0))))</f>
        <v/>
      </c>
      <c r="DC94" s="341" t="str">
        <f>IF(A94=FALSE,"",IF(ALLTHESAME=TRUE,INDEX(RA94:RZ94,MATCH(RC94,RC94:RC199,0),MATCH(Structure!$D$8,$RA$14:$RZ$14,0)),INDEX(SA94:TC94,MATCH(SC94,SC94:SC199,0),MATCH(Structure!$D$8,$SA$14:$TC$14,0))))</f>
        <v/>
      </c>
      <c r="DD94" s="492" t="str">
        <f>IF(A94=FALSE,"",Cotations!D94)</f>
        <v/>
      </c>
      <c r="DE94" s="492" t="str">
        <f>IF(A94=FALSE,"",IF(LISTES!$A$17=1,Cotations!AF94,Cotations!$AG$4))</f>
        <v/>
      </c>
      <c r="DF94" s="291" t="str">
        <f t="shared" si="654"/>
        <v/>
      </c>
      <c r="DG94" s="291" t="str">
        <f t="shared" si="655"/>
        <v/>
      </c>
      <c r="DH94" s="291"/>
      <c r="DI94" s="463"/>
      <c r="DJ94" s="463" t="str">
        <f t="shared" si="656"/>
        <v/>
      </c>
      <c r="DK94" s="522" t="str">
        <f>IF(A94=FALSE,"",IF(Cotations!$AH$4="monthly",DJ94/12*L94,DJ94/365*M94))</f>
        <v/>
      </c>
      <c r="DL94" s="489" t="str">
        <f>IF(A94=FALSE,"",Cotations!$AI$4)</f>
        <v/>
      </c>
      <c r="DM94" s="300" t="str">
        <f t="shared" si="657"/>
        <v/>
      </c>
      <c r="DN94" s="300" t="str">
        <f t="shared" si="658"/>
        <v/>
      </c>
      <c r="DO94" s="294" t="str">
        <f t="shared" si="659"/>
        <v/>
      </c>
      <c r="DP94" s="494" t="str">
        <f>IF(A94=FALSE,"",Cotations!$AJ$4)</f>
        <v/>
      </c>
      <c r="DQ94" s="494" t="str">
        <f>IF(A94=FALSE,"",Cotations!$AK$4)</f>
        <v/>
      </c>
      <c r="DR94" s="489" t="str">
        <f>IF(A94=FALSE,"",Cotations!$AL$4)</f>
        <v/>
      </c>
      <c r="DS94" s="494" t="str">
        <f>IF(A94=FALSE,"",IF(DP94="N/A",0,IF(INDEX(LISTES!$F$105:$F$109,MATCH(DP94,LISTES!$C$105:$C$109,0))="FIX",IF(INDEX(LISTES!$E$105:$E$109,MATCH(DP94,LISTES!$C$105:$C$109,0))=12,DQ94/12*L94,DQ94/365*M94),DR94*DO94)))</f>
        <v/>
      </c>
      <c r="DT94" s="294" t="str">
        <f t="shared" si="660"/>
        <v/>
      </c>
      <c r="DU94" s="294" t="str">
        <f>IF(A94=FALSE,"",DT94*Cotations!$AM$4)</f>
        <v/>
      </c>
      <c r="DV94" s="294" t="str">
        <f>IF(A94=FALSE,"",DT94*Cotations!$AN$4)</f>
        <v/>
      </c>
      <c r="DW94" s="465" t="str">
        <f t="shared" si="661"/>
        <v/>
      </c>
      <c r="DX94" s="919" t="str">
        <f>IF(A94=FALSE,"",((DJ94*TAXE)-(DJ94*TAXE*DL94))+IF(DP94="N/A",0,IF(INDEX(LISTES!$F$105:$F$109,MATCH(DP94,LISTES!$C$105:$C$109,0))="FIX",DQ94,DR94*DO94)))</f>
        <v/>
      </c>
      <c r="DY94" s="466"/>
      <c r="DZ94" s="466"/>
      <c r="EA94" s="492" t="str">
        <f>IF(A94=FALSE,"",Cotations!D94)</f>
        <v/>
      </c>
      <c r="EB94" s="494" t="str">
        <f>IF(A94=FALSE,"",IF(LISTES!$A$17=1,Cotations!AF94,Cotations!AG94))</f>
        <v/>
      </c>
      <c r="EC94" s="284" t="str">
        <f t="shared" si="662"/>
        <v/>
      </c>
      <c r="ED94" s="284" t="str">
        <f t="shared" si="663"/>
        <v/>
      </c>
      <c r="EE94" s="284"/>
      <c r="EF94" s="284"/>
      <c r="EG94" s="284" t="str">
        <f t="shared" si="664"/>
        <v/>
      </c>
      <c r="EH94" s="1365" t="str">
        <f t="shared" si="665"/>
        <v/>
      </c>
      <c r="EI94" s="1365" t="str">
        <f t="shared" si="666"/>
        <v/>
      </c>
      <c r="EJ94" s="515" t="str">
        <f>IF(A94=FALSE,"",IF(Cotations!AH94="monthly",EG94/12*L94,EG94/365*M94))</f>
        <v/>
      </c>
      <c r="EK94" s="1364" t="str">
        <f>IF(A94=FALSE,"",IF(Cotations!AH94="monthly",EI94/12*L94,EI94/365*M94))</f>
        <v/>
      </c>
      <c r="EL94" s="493" t="str">
        <f>IF(A94=FALSE,"",IF(Cotations!AI94="","",Cotations!AI94))</f>
        <v/>
      </c>
      <c r="EM94" s="284" t="str">
        <f t="shared" si="667"/>
        <v/>
      </c>
      <c r="EN94" s="284" t="str">
        <f t="shared" si="668"/>
        <v/>
      </c>
      <c r="EO94" s="1365" t="str">
        <f t="shared" si="840"/>
        <v/>
      </c>
      <c r="EP94" s="284" t="str">
        <f t="shared" si="669"/>
        <v/>
      </c>
      <c r="EQ94" s="515" t="str">
        <f>IF(A94=FALSE,"",Cotations!AJ94)</f>
        <v/>
      </c>
      <c r="ER94" s="515" t="str">
        <f>IF(A94=FALSE,"",IF(Cotations!AK94="","",Cotations!AK94))</f>
        <v/>
      </c>
      <c r="ES94" s="493" t="str">
        <f>IF(A94=FALSE,"",Cotations!AL94)</f>
        <v/>
      </c>
      <c r="ET94" s="515" t="str">
        <f>IF(A94=FALSE,"",IF(EQ94="N/A",0,IF(INDEX(LISTES!$F$105:$F$109,MATCH(EQ94,LISTES!$C$105:$C$109,0))="FIX",IF(INDEX(LISTES!$E$105:$E$109,MATCH(EQ94,LISTES!$C$105:$C$109,0))=12,ER94/12*L94,ER94/365*M94),ES94*EP94)))</f>
        <v/>
      </c>
      <c r="EU94" s="294" t="str">
        <f t="shared" si="670"/>
        <v/>
      </c>
      <c r="EV94" s="494" t="str">
        <f>IF(A94=FALSE,"",EU94*Cotations!AM94)</f>
        <v/>
      </c>
      <c r="EW94" s="494" t="str">
        <f>IF(A94=FALSE,"",EU94*Cotations!AN94)</f>
        <v/>
      </c>
      <c r="EX94" s="334" t="str">
        <f t="shared" si="671"/>
        <v/>
      </c>
      <c r="EY94" s="919" t="str">
        <f>IF(A94=FALSE,"",((EG94*TAXE)-(EG94*TAXE*EL94)+EH94)+IF(EQ94="N/A",0,IF(INDEX(LISTES!$F$105:$F$109,MATCH(EQ94,LISTES!$C$105:$C$109,0))="FIX",ER94,ES94*EP94)))</f>
        <v/>
      </c>
      <c r="FA94" s="492" t="str">
        <f>IF(A94=FALSE,"",Cotations!D94)</f>
        <v/>
      </c>
      <c r="FB94" s="519" t="str">
        <f>IF(A94=FALSE,"",IF(LISTES!$A$17=1,Cotations!AO94,Cotations!$AP$4))</f>
        <v/>
      </c>
      <c r="FC94" s="291" t="str">
        <f t="shared" si="672"/>
        <v/>
      </c>
      <c r="FD94" s="291" t="str">
        <f t="shared" si="673"/>
        <v/>
      </c>
      <c r="FE94" s="291"/>
      <c r="FF94" s="463"/>
      <c r="FG94" s="463" t="str">
        <f t="shared" si="674"/>
        <v/>
      </c>
      <c r="FH94" s="522" t="str">
        <f>IF(A94=FALSE,"",IF(Cotations!$AQ$4="monthly",FG94/12*L94,FG94/365*M94))</f>
        <v/>
      </c>
      <c r="FI94" s="453" t="str">
        <f>IF(A94=FALSE,"",Cotations!$AR$4)</f>
        <v/>
      </c>
      <c r="FJ94" s="300" t="str">
        <f t="shared" si="675"/>
        <v/>
      </c>
      <c r="FK94" s="300" t="str">
        <f t="shared" si="676"/>
        <v/>
      </c>
      <c r="FL94" s="294" t="str">
        <f t="shared" si="677"/>
        <v/>
      </c>
      <c r="FM94" s="494" t="str">
        <f>IF(A94=FALSE,"",Cotations!$AS$4)</f>
        <v/>
      </c>
      <c r="FN94" s="494" t="str">
        <f>IF(A94=FALSE,"",Cotations!$AT$4)</f>
        <v/>
      </c>
      <c r="FO94" s="489" t="str">
        <f>IF(A94=FALSE,"",Cotations!$AU$4)</f>
        <v/>
      </c>
      <c r="FP94" s="494" t="str">
        <f>IF(A94=FALSE,"",IF(FM94="N/A",0,IF(INDEX(LISTES!$F$105:$F$109,MATCH(FM94,LISTES!$C$105:$C$109,0))="FIX",IF(INDEX(LISTES!$E$105:$E$109,MATCH(FM94,LISTES!$C$105:$C$109,0))=12,FN94/12*L94,FN94/365*M94),FO94*FL94)))</f>
        <v/>
      </c>
      <c r="FQ94" s="294" t="str">
        <f t="shared" si="678"/>
        <v/>
      </c>
      <c r="FR94" s="494" t="str">
        <f>IF(A94=FALSE,"",FQ94*Cotations!$AV$4)</f>
        <v/>
      </c>
      <c r="FS94" s="494" t="str">
        <f>IF(A94=FALSE,"",FQ94*Cotations!$AW$4)</f>
        <v/>
      </c>
      <c r="FT94" s="465" t="str">
        <f t="shared" si="679"/>
        <v/>
      </c>
      <c r="FU94" s="919" t="str">
        <f>IF(A94=FALSE,"",((FG94*TAXE)-(FG94*TAXE*FI94))+IF(FM94="N/A",0,IF(INDEX(LISTES!$F$105:$F$109,MATCH(FM94,LISTES!$C$105:$C$109,0))="FIX",FN94,FO94*FL94)))</f>
        <v/>
      </c>
      <c r="FV94" s="478"/>
      <c r="FW94" s="478"/>
      <c r="FX94" s="478"/>
      <c r="FY94" s="478"/>
      <c r="FZ94" s="478"/>
      <c r="GA94" s="492" t="str">
        <f>IF(A94=FALSE,"",Cotations!D94)</f>
        <v/>
      </c>
      <c r="GB94" s="494" t="str">
        <f>IF(A94=FALSE,"",IF(LISTES!$A$17=1,Cotations!AO94,Cotations!AP94))</f>
        <v/>
      </c>
      <c r="GC94" s="284" t="str">
        <f t="shared" si="680"/>
        <v/>
      </c>
      <c r="GD94" s="515" t="str">
        <f>IF(A94=FALSE,"",IF(Detail!AM94="","",Detail!AM94))</f>
        <v/>
      </c>
      <c r="GE94" s="284"/>
      <c r="GF94" s="284"/>
      <c r="GG94" s="284" t="str">
        <f t="shared" si="681"/>
        <v/>
      </c>
      <c r="GH94" s="515" t="str">
        <f>IF(A94=FALSE,"",IF(Cotations!AQ94="monthly",GG94/12*L94,GG94/365*M94))</f>
        <v/>
      </c>
      <c r="GI94" s="493" t="str">
        <f>IF(A94=FALSE,"",IF(Cotations!AR94="","",Cotations!AR94))</f>
        <v/>
      </c>
      <c r="GJ94" s="284" t="str">
        <f t="shared" si="682"/>
        <v/>
      </c>
      <c r="GK94" s="284" t="str">
        <f t="shared" si="683"/>
        <v/>
      </c>
      <c r="GL94" s="284" t="str">
        <f t="shared" si="684"/>
        <v/>
      </c>
      <c r="GM94" s="515" t="str">
        <f>IF(A94=FALSE,"",Cotations!AS94)</f>
        <v/>
      </c>
      <c r="GN94" s="515" t="str">
        <f>IF(A94=FALSE,"",Cotations!AT94)</f>
        <v/>
      </c>
      <c r="GO94" s="493" t="str">
        <f>IF(A94=FALSE,"",Cotations!AU94)</f>
        <v/>
      </c>
      <c r="GP94" s="515" t="str">
        <f>IF(A94=FALSE,"",IF(GM94="N/A",0,IF(INDEX(LISTES!$F$105:$F$109,MATCH(GM94,LISTES!$C$105:$C$109,0))="FIX",IF(INDEX(LISTES!$E$105:$E$109,MATCH(GM94,LISTES!$C$105:$C$109,0))=12,GN94/12*L94,GN94/365*M94),GO94*GL94)))</f>
        <v/>
      </c>
      <c r="GQ94" s="294" t="str">
        <f t="shared" si="685"/>
        <v/>
      </c>
      <c r="GR94" s="494" t="str">
        <f>IF(A94=FALSE,"",GQ94*Cotations!AV94)</f>
        <v/>
      </c>
      <c r="GS94" s="494" t="str">
        <f>IF(A94=FALSE,"",GQ94*Cotations!AW94)</f>
        <v/>
      </c>
      <c r="GT94" s="334" t="str">
        <f t="shared" si="686"/>
        <v/>
      </c>
      <c r="GU94" s="919" t="str">
        <f>IF(A94=FALSE,"",((GG94*TAXE)-(GG94*TAXE*GI94))+IF(GM94="N/A",0,IF(INDEX(LISTES!$F$105:$F$109,MATCH(GM94,LISTES!$C$105:$C$109,0))="FIX",GN94,GO94*GL94)))</f>
        <v/>
      </c>
      <c r="GV94" s="478"/>
      <c r="GW94" s="466"/>
      <c r="GX94" s="466"/>
      <c r="GY94" s="466"/>
      <c r="GZ94" s="466"/>
      <c r="HA94" s="492" t="str">
        <f>IF(A94=FALSE,"",Cotations!D94)</f>
        <v/>
      </c>
      <c r="HB94" s="495" t="str">
        <f>IF(A94=FALSE,"",IF(LISTES!$A$17=1,Cotations!AX94,Cotations!$AY$4))</f>
        <v/>
      </c>
      <c r="HC94" s="291" t="str">
        <f t="shared" si="687"/>
        <v/>
      </c>
      <c r="HD94" s="291" t="str">
        <f t="shared" si="688"/>
        <v/>
      </c>
      <c r="HE94" s="456" t="str">
        <f t="shared" si="689"/>
        <v/>
      </c>
      <c r="HF94" s="496" t="str">
        <f>IF(A94=FALSE,"",IF(HA94="POEA",Cotations!BA94,IF(HA94="FIXE",Cotations!$BA$4,Cotations!$BC$4*Y94)))</f>
        <v/>
      </c>
      <c r="HG94" s="300" t="str">
        <f t="shared" si="690"/>
        <v/>
      </c>
      <c r="HH94" s="522" t="str">
        <f>IF(A94=FALSE,"",IF(Cotations!$AZ$4="monthly",HG94/12*L94,HG94/365*M94))</f>
        <v/>
      </c>
      <c r="HI94" s="489" t="str">
        <f>IF(A94=FALSE,"",Cotations!$BD$4)</f>
        <v/>
      </c>
      <c r="HJ94" s="300" t="str">
        <f t="shared" si="691"/>
        <v/>
      </c>
      <c r="HK94" s="300" t="str">
        <f t="shared" si="692"/>
        <v/>
      </c>
      <c r="HL94" s="294" t="str">
        <f t="shared" si="693"/>
        <v/>
      </c>
      <c r="HM94" s="494" t="str">
        <f>IF(A94=FALSE,"",Cotations!$BE$4)</f>
        <v/>
      </c>
      <c r="HN94" s="522" t="str">
        <f>IF(A94=FALSE,"",Cotations!$BF$4)</f>
        <v/>
      </c>
      <c r="HO94" s="489" t="str">
        <f>IF(A94=FALSE,"",Cotations!$BG$4)</f>
        <v/>
      </c>
      <c r="HP94" s="494" t="str">
        <f>IF(A94=FALSE,"",IF(HM94="N/A",0,IF(INDEX(LISTES!$F$105:$F$109,MATCH(HM94,LISTES!$C$105:$C$109,0))="FIX",IF(INDEX(LISTES!$E$105:$E$109,MATCH(HM94,LISTES!$C$105:$C$109,0))=12,HN94/12*L94,HN94/365*M94),HO94*HL94)))</f>
        <v/>
      </c>
      <c r="HQ94" s="294" t="str">
        <f t="shared" si="694"/>
        <v/>
      </c>
      <c r="HR94" s="494" t="str">
        <f>IF(A94=FALSE,"",HQ94*Cotations!$BH$4)</f>
        <v/>
      </c>
      <c r="HS94" s="494" t="str">
        <f>IF(A94=FALSE,"",HQ94*Cotations!$BI$4)</f>
        <v/>
      </c>
      <c r="HT94" s="294" t="str">
        <f t="shared" si="695"/>
        <v/>
      </c>
      <c r="HU94" s="919" t="str">
        <f>IF(A94=FALSE,"",((HG94*TAXE)-(HG94*TAXE*HI94))+IF(HM94="N/A",0,IF(INDEX(LISTES!$F$105:$F$109,MATCH(HM94,LISTES!$C$105:$C$109,0))="FIX",HN94,HO94*HL94)))</f>
        <v/>
      </c>
      <c r="IA94" s="492" t="str">
        <f>IF(A94=FALSE,"",Cotations!D94)</f>
        <v/>
      </c>
      <c r="IB94" s="491" t="str">
        <f>IF(A94=FALSE,"",IF(LISTES!$A$17=1,Cotations!AX94,Cotations!AY94))</f>
        <v/>
      </c>
      <c r="IC94" s="285" t="str">
        <f t="shared" si="696"/>
        <v/>
      </c>
      <c r="ID94" s="300" t="str">
        <f>IF(A94=FALSE,"",IF(LISTES!$A$17=3,Detail!AU94,lig1_Formula_PREVOY))</f>
        <v/>
      </c>
      <c r="IE94" s="461" t="str">
        <f t="shared" si="697"/>
        <v/>
      </c>
      <c r="IF94" s="490" t="str">
        <f>IF(A94=FALSE,"",IF(IA94="POEA",Cotations!BA94,IF(HA94="FIXE",Cotations!BB94,IF(Cotations!BC94*Y94&lt;50000,Z94,Cotations!BC94*Y94))))</f>
        <v/>
      </c>
      <c r="IG94" s="300" t="str">
        <f t="shared" si="698"/>
        <v/>
      </c>
      <c r="IH94" s="522" t="str">
        <f>IF(A94=FALSE,"",IF(Cotations!AZ94="monthly",IG94/12*L94,IG94/365*M94))</f>
        <v/>
      </c>
      <c r="II94" s="489" t="str">
        <f>IF(A94=FALSE,"",IF(Cotations!BD94="","",Cotations!BD94))</f>
        <v/>
      </c>
      <c r="IJ94" s="300" t="str">
        <f t="shared" si="699"/>
        <v/>
      </c>
      <c r="IK94" s="300" t="str">
        <f t="shared" si="700"/>
        <v/>
      </c>
      <c r="IL94" s="919" t="str">
        <f t="shared" si="701"/>
        <v/>
      </c>
      <c r="IM94" s="517" t="str">
        <f>IF(A94=FALSE,"",Cotations!BE94)</f>
        <v/>
      </c>
      <c r="IN94" s="517" t="str">
        <f>IF(A94=FALSE,"",Cotations!BF94)</f>
        <v/>
      </c>
      <c r="IO94" s="493" t="str">
        <f>IF(A94=FALSE,"",Cotations!BG94)</f>
        <v/>
      </c>
      <c r="IP94" s="517" t="str">
        <f>IF(A94=FALSE,"",IF(IM94="N/A",0,IF(INDEX(LISTES!$F$105:$F$109,MATCH(IM94,LISTES!$C$105:$C$109,0))="FIX",IF(INDEX(LISTES!$E$105:$E$109,MATCH(IM94,LISTES!$C$105:$C$109,0))=12,IN94/12*L94,IN94/365*M94),IO94*IL94)))</f>
        <v/>
      </c>
      <c r="IQ94" s="294" t="str">
        <f t="shared" si="702"/>
        <v/>
      </c>
      <c r="IR94" s="494" t="str">
        <f>IF(A94=FALSE,"",IQ94*Cotations!BH94)</f>
        <v/>
      </c>
      <c r="IS94" s="494" t="str">
        <f>IF(A94=FALSE,"",IQ94*Cotations!BI94)</f>
        <v/>
      </c>
      <c r="IT94" s="338" t="str">
        <f t="shared" si="703"/>
        <v/>
      </c>
      <c r="IU94" s="919" t="str">
        <f>IF(A94=FALSE,"",((IG94*TAXE)-(IG94*TAXE*II94))+IF(IM94="N/A",0,IF(INDEX(LISTES!$F$105:$F$109,MATCH(IM94,LISTES!$C$105:$C$109,0))="FIX",IN94,IO94*IL94)))</f>
        <v/>
      </c>
      <c r="JA94" s="492" t="str">
        <f>IF(A94=FALSE,"",Cotations!D94)</f>
        <v/>
      </c>
      <c r="JB94" s="495" t="str">
        <f>IF(A94=FALSE,"",IF(LISTES!$A$17=1,Cotations!BJ94,Cotations!$BK$4))</f>
        <v/>
      </c>
      <c r="JC94" s="291" t="str">
        <f t="shared" si="704"/>
        <v/>
      </c>
      <c r="JD94" s="291" t="str">
        <f t="shared" si="705"/>
        <v/>
      </c>
      <c r="JE94" s="456" t="str">
        <f t="shared" si="706"/>
        <v/>
      </c>
      <c r="JF94" s="496" t="str">
        <f>IF(A94=FALSE,"",IF(JA94="POEA",Cotations!BM94,IF(JA94="FIXE",Cotations!$BM$4,Cotations!$BO$4*Y94)))</f>
        <v/>
      </c>
      <c r="JG94" s="300" t="str">
        <f t="shared" si="707"/>
        <v/>
      </c>
      <c r="JH94" s="522" t="str">
        <f>IF(A94=FALSE,"",IF(Cotations!$BL$4="monthly",JG94/12*L94,JG94/365*M94))</f>
        <v/>
      </c>
      <c r="JI94" s="489" t="str">
        <f>IF(A94=FALSE,"",Cotations!$BP$4)</f>
        <v/>
      </c>
      <c r="JJ94" s="300" t="str">
        <f t="shared" si="708"/>
        <v/>
      </c>
      <c r="JK94" s="300" t="str">
        <f t="shared" si="709"/>
        <v/>
      </c>
      <c r="JL94" s="294" t="str">
        <f t="shared" si="710"/>
        <v/>
      </c>
      <c r="JM94" s="494" t="str">
        <f>IF(A94=FALSE,"",Cotations!$BQ$4)</f>
        <v/>
      </c>
      <c r="JN94" s="522" t="str">
        <f>IF(A94=FALSE,"",Cotations!$BR$4)</f>
        <v/>
      </c>
      <c r="JO94" s="489" t="str">
        <f>IF(A94=FALSE,"",Cotations!$BS$4)</f>
        <v/>
      </c>
      <c r="JP94" s="494" t="str">
        <f>IF(A94=FALSE,"",IF(JM94="N/A",0,IF(INDEX(LISTES!$F$105:$F$109,MATCH(JM94,LISTES!$C$105:$C$109,0))="FIX",IF(INDEX(LISTES!$E$105:$E$109,MATCH(JM94,LISTES!$C$105:$C$109,0))=12,JN94/12*L94,JN94/365*M94),JO94*JL94)))</f>
        <v/>
      </c>
      <c r="JQ94" s="294" t="str">
        <f t="shared" si="711"/>
        <v/>
      </c>
      <c r="JR94" s="494" t="str">
        <f>IF(A94=FALSE,"",JQ94*Cotations!$BT$4)</f>
        <v/>
      </c>
      <c r="JS94" s="494" t="str">
        <f>IF(A94=FALSE,"",JQ94*Cotations!$BU$4)</f>
        <v/>
      </c>
      <c r="JT94" s="294" t="str">
        <f t="shared" si="712"/>
        <v/>
      </c>
      <c r="JU94" s="919" t="str">
        <f>IF(A94=FALSE,"",((JG94*TAXE)-(JG94*TAXE*JI94))+IF(JM94="N/A",0,IF(INDEX(LISTES!$F$105:$F$109,MATCH(JM94,LISTES!$C$105:$C$109,0))="FIX",JN94,JO94*JL94)))</f>
        <v/>
      </c>
      <c r="KA94" s="492" t="str">
        <f>IF(A94=FALSE,"",Cotations!D94)</f>
        <v/>
      </c>
      <c r="KB94" s="491" t="str">
        <f>IF(A94=FALSE,"",IF(LISTES!$A$17=1,Cotations!BJ94,Cotations!BK94))</f>
        <v/>
      </c>
      <c r="KC94" s="285" t="str">
        <f t="shared" si="713"/>
        <v/>
      </c>
      <c r="KD94" s="300"/>
      <c r="KE94" s="461" t="str">
        <f t="shared" si="714"/>
        <v/>
      </c>
      <c r="KF94" s="490" t="str">
        <f>IF(A94=FALSE,"",IF(KA94="POEA",Cotations!BM94,IF(KA94="FIXE",Cotations!BN94,IF(Cotations!BO94*Y94&lt;50000,Z94,Cotations!BO94*Y94))))</f>
        <v/>
      </c>
      <c r="KG94" s="300" t="str">
        <f t="shared" si="715"/>
        <v/>
      </c>
      <c r="KH94" s="522" t="str">
        <f>IF(A94=FALSE,"",IF(Cotations!BL94="monthly",KG94/12*L94,KG94/365*M94))</f>
        <v/>
      </c>
      <c r="KI94" s="489" t="str">
        <f>IF(A94=FALSE,"",IF(Cotations!BP94="","",Cotations!BP94))</f>
        <v/>
      </c>
      <c r="KJ94" s="300" t="str">
        <f t="shared" si="716"/>
        <v/>
      </c>
      <c r="KK94" s="300" t="str">
        <f t="shared" si="717"/>
        <v/>
      </c>
      <c r="KL94" s="919" t="str">
        <f t="shared" si="718"/>
        <v/>
      </c>
      <c r="KM94" s="517" t="str">
        <f>IF(A94=FALSE,"",Cotations!BQ94)</f>
        <v/>
      </c>
      <c r="KN94" s="515" t="str">
        <f>IF(A94=FALSE,"",Cotations!BR94)</f>
        <v/>
      </c>
      <c r="KO94" s="493" t="str">
        <f>IF(A94=FALSE,"",Cotations!BS94)</f>
        <v/>
      </c>
      <c r="KP94" s="517" t="str">
        <f>IF(A94=FALSE,"",IF(KM94="N/A",0,IF(INDEX(LISTES!$F$105:$F$109,MATCH(KM94,LISTES!$C$105:$C$109,0))="FIX",IF(INDEX(LISTES!$E$105:$E$109,MATCH(KM94,LISTES!$C$105:$C$109,0))=12,KN94/12*L94,KN94/365*M94),KO94*KL94)))</f>
        <v/>
      </c>
      <c r="KQ94" s="294" t="str">
        <f t="shared" si="719"/>
        <v/>
      </c>
      <c r="KR94" s="494" t="str">
        <f>IF(A94=FALSE,"",KQ94*Cotations!BT94)</f>
        <v/>
      </c>
      <c r="KS94" s="494" t="str">
        <f>IF(A94=FALSE,"",KQ94*Cotations!BU94)</f>
        <v/>
      </c>
      <c r="KT94" s="338" t="str">
        <f t="shared" si="720"/>
        <v/>
      </c>
      <c r="KU94" s="919" t="str">
        <f>IF(A94=FALSE,"",((KG94*TAXE)-(KG94*TAXE*KI94))+IF(KM94="N/A",0,IF(INDEX(LISTES!$F$105:$F$109,MATCH(KM94,LISTES!$C$105:$C$109,0))="FIX",KN94,KO94*KL94)))</f>
        <v/>
      </c>
      <c r="LA94" s="497" t="str">
        <f>IF(A94=FALSE,"",Cotations!D94)</f>
        <v/>
      </c>
      <c r="LB94" s="498" t="str">
        <f>IF(A94=FALSE,"",IF(LISTES!$A$17=1,Cotations!BV94,Cotations!$BW$4))</f>
        <v/>
      </c>
      <c r="LC94" s="499" t="str">
        <f t="shared" si="721"/>
        <v/>
      </c>
      <c r="LD94" s="499" t="str">
        <f t="shared" si="722"/>
        <v/>
      </c>
      <c r="LE94" s="500" t="str">
        <f t="shared" si="723"/>
        <v/>
      </c>
      <c r="LF94" s="501" t="str">
        <f>IF(A94=FALSE,"",IF(LA94="POEA",Cotations!EJ94,IF(LA94="FIXE",Cotations!$BY$4,Cotations!$CA$4*Y94)))</f>
        <v/>
      </c>
      <c r="LG94" s="502" t="str">
        <f t="shared" si="724"/>
        <v/>
      </c>
      <c r="LH94" s="520" t="str">
        <f>IF(A94=FALSE,"",IF(Cotations!$BX$4="monthly",LG94/12*L94,LG94/365*M94))</f>
        <v/>
      </c>
      <c r="LI94" s="503" t="str">
        <f>IF(A94=FALSE,"",Cotations!$CB$4)</f>
        <v/>
      </c>
      <c r="LJ94" s="502" t="str">
        <f t="shared" si="725"/>
        <v/>
      </c>
      <c r="LK94" s="502" t="str">
        <f t="shared" si="726"/>
        <v/>
      </c>
      <c r="LL94" s="504" t="str">
        <f t="shared" si="727"/>
        <v/>
      </c>
      <c r="LM94" s="505" t="str">
        <f>IF(A94=FALSE,"",Cotations!$CC$4)</f>
        <v/>
      </c>
      <c r="LN94" s="503" t="str">
        <f>IF(A94=FALSE,"",Cotations!$CD$4)</f>
        <v/>
      </c>
      <c r="LO94" s="503" t="str">
        <f>IF(A94=FALSE,"",Cotations!$CE$4)</f>
        <v/>
      </c>
      <c r="LP94" s="505" t="str">
        <f>IF(A94=FALSE,"",IF(LM94="N/A",0,IF(INDEX(LISTES!$F$105:$F$109,MATCH(LM94,LISTES!$C$105:$C$109,0))="FIX",IF(INDEX(LISTES!$E$105:$E$109,MATCH(LM94,LISTES!$C$105:$C$109,0))=12,LN94/12*L94,LN94/365*M94),LO94*LL94)))</f>
        <v/>
      </c>
      <c r="LQ94" s="504" t="str">
        <f t="shared" si="728"/>
        <v/>
      </c>
      <c r="LR94" s="505" t="str">
        <f>IF(A94=FALSE,"",LQ94*Cotations!$CF$4)</f>
        <v/>
      </c>
      <c r="LS94" s="505" t="str">
        <f>IF(A94=FALSE,"",LQ94*Cotations!$CG$4)</f>
        <v/>
      </c>
      <c r="LT94" s="506" t="str">
        <f t="shared" si="729"/>
        <v/>
      </c>
      <c r="LU94" s="919" t="str">
        <f>IF(A94=FALSE,"",((LG94*TAXE)-(LG94*TAXE*LI94))+IF(LM94="N/A",0,IF(INDEX(LISTES!$F$105:$F$109,MATCH(LM94,LISTES!$C$105:$C$109,0))="FIX",LN94,LO94*LL94)))</f>
        <v/>
      </c>
      <c r="MA94" s="492" t="str">
        <f>IF(A94=FALSE,"",Cotations!D94)</f>
        <v/>
      </c>
      <c r="MB94" s="491" t="str">
        <f>IF(A94=FALSE,"",IF(LISTES!$A$17=1,Cotations!BV94,Cotations!BW94))</f>
        <v/>
      </c>
      <c r="MC94" s="285" t="str">
        <f t="shared" si="730"/>
        <v/>
      </c>
      <c r="MD94" s="300"/>
      <c r="ME94" s="461" t="str">
        <f t="shared" si="731"/>
        <v/>
      </c>
      <c r="MF94" s="490" t="str">
        <f>IF(A94=FALSE,"",IF(MA94="POEA",Cotations!BY94,IF(MA94="FIXE",Cotations!BZ94,IF(Cotations!CA94*Y94&lt;50000,Z94,Cotations!CA94*Y94))))</f>
        <v/>
      </c>
      <c r="MG94" s="300" t="str">
        <f t="shared" si="732"/>
        <v/>
      </c>
      <c r="MH94" s="522" t="str">
        <f>IF(A94=FALSE,"",IF(Cotations!BX94="monthly",MG94/12*L94,MG94/365*M94))</f>
        <v/>
      </c>
      <c r="MI94" s="489" t="str">
        <f>IF(A94=FALSE,"",IF(Cotations!CB94="","",Cotations!CB94))</f>
        <v/>
      </c>
      <c r="MJ94" s="300" t="str">
        <f t="shared" si="733"/>
        <v/>
      </c>
      <c r="MK94" s="300" t="str">
        <f t="shared" si="734"/>
        <v/>
      </c>
      <c r="ML94" s="919" t="str">
        <f t="shared" si="735"/>
        <v/>
      </c>
      <c r="MM94" s="517" t="str">
        <f>IF(A94=FALSE,"",Cotations!CC94)</f>
        <v/>
      </c>
      <c r="MN94" s="515" t="str">
        <f>IF(A94=FALSE,"",Cotations!CD94)</f>
        <v/>
      </c>
      <c r="MO94" s="493" t="str">
        <f>IF(A94=FALSE,"",Cotations!CE94)</f>
        <v/>
      </c>
      <c r="MP94" s="517" t="str">
        <f>IF(A94=FALSE,"",IF(MM94="N/A",0,IF(INDEX(LISTES!$F$105:$F$109,MATCH(MM94,LISTES!$C$105:$C$109,0))="FIX",IF(INDEX(LISTES!$E$105:$E$109,MATCH(MM94,LISTES!$C$105:$C$109,0))=12,MN94/12*L94,MN94/365*M94),MO94*ML94)))</f>
        <v/>
      </c>
      <c r="MQ94" s="294" t="str">
        <f t="shared" si="736"/>
        <v/>
      </c>
      <c r="MR94" s="494" t="str">
        <f>IF(A94=FALSE,"",MQ94*Cotations!CF94)</f>
        <v/>
      </c>
      <c r="MS94" s="494" t="str">
        <f>IF(A94=FALSE,"",MQ94*Cotations!CG94)</f>
        <v/>
      </c>
      <c r="MT94" s="338" t="str">
        <f t="shared" si="737"/>
        <v/>
      </c>
      <c r="MU94" s="919" t="str">
        <f>IF(A94=FALSE,"",((MG94*TAXE)-(MG94*TAXE*MI94))+IF(MM94="N/A",0,IF(INDEX(LISTES!$F$105:$F$109,MATCH(MM94,LISTES!$C$105:$C$109,0))="FIX",MN94,MO94*ML94)))</f>
        <v/>
      </c>
      <c r="NA94" s="497" t="str">
        <f>IF(A94=FALSE,"",Cotations!D94)</f>
        <v/>
      </c>
      <c r="NB94" s="498" t="str">
        <f>IF(A94=FALSE,"",IF(LISTES!$A$17=1,Cotations!CH94,Cotations!$CI$4))</f>
        <v/>
      </c>
      <c r="NC94" s="499" t="str">
        <f t="shared" si="738"/>
        <v/>
      </c>
      <c r="ND94" s="499" t="str">
        <f t="shared" si="739"/>
        <v/>
      </c>
      <c r="NE94" s="500" t="str">
        <f t="shared" si="740"/>
        <v/>
      </c>
      <c r="NF94" s="501" t="str">
        <f>IF(A94=FALSE,"",IF(NA94="POEA",Cotations!CK94,IF(NA94="FIXE",Cotations!$CK$4,Cotations!$CM$4*Y94)))</f>
        <v/>
      </c>
      <c r="NG94" s="502" t="str">
        <f t="shared" si="741"/>
        <v/>
      </c>
      <c r="NH94" s="520" t="str">
        <f>IF(A94=FALSE,"",IF(Cotations!$CJ$4="monthly",NG94/12*L94,NG94/365*M94))</f>
        <v/>
      </c>
      <c r="NI94" s="503" t="str">
        <f>IF(A94=FALSE,"",Cotations!$CN$4)</f>
        <v/>
      </c>
      <c r="NJ94" s="502" t="str">
        <f t="shared" si="742"/>
        <v/>
      </c>
      <c r="NK94" s="502" t="str">
        <f t="shared" si="743"/>
        <v/>
      </c>
      <c r="NL94" s="504" t="str">
        <f t="shared" si="744"/>
        <v/>
      </c>
      <c r="NM94" s="505" t="str">
        <f>IF(A94=FALSE,"",Cotations!$CO$4)</f>
        <v/>
      </c>
      <c r="NN94" s="520" t="str">
        <f>IF(A94=FALSE,"",Cotations!$CP$4)</f>
        <v/>
      </c>
      <c r="NO94" s="503" t="str">
        <f>IF(A94=FALSE,"",Cotations!$CQ$4)</f>
        <v/>
      </c>
      <c r="NP94" s="505" t="str">
        <f>IF(A94=FALSE,"",IF(NM94="N/A",0,IF(INDEX(LISTES!$F$105:$F$109,MATCH(NM94,LISTES!$C$105:$C$109,0))="FIX",IF(INDEX(LISTES!$E$105:$E$109,MATCH(NM94,LISTES!$C$105:$C$109,0))=12,NN94/12*L94,NN94/365*M94),NO94*NL94)))</f>
        <v/>
      </c>
      <c r="NQ94" s="504" t="str">
        <f t="shared" si="745"/>
        <v/>
      </c>
      <c r="NR94" s="505" t="str">
        <f>IF(A94=FALSE,"",NQ94*Cotations!$CR$4)</f>
        <v/>
      </c>
      <c r="NS94" s="505" t="str">
        <f>IF(A94=FALSE,"",NQ94*Cotations!$CS$4)</f>
        <v/>
      </c>
      <c r="NT94" s="506" t="str">
        <f t="shared" si="746"/>
        <v/>
      </c>
      <c r="NU94" s="919" t="str">
        <f>IF(A94=FALSE,"",((NG94*TAXE)-(NG94*TAXE*NI94))+IF(NM94="N/A",0,IF(INDEX(LISTES!$F$105:$F$109,MATCH(NM94,LISTES!$C$105:$C$109,0))="FIX",NN94,NO94*NL94)))</f>
        <v/>
      </c>
      <c r="OA94" s="492" t="str">
        <f>IF(A94=FALSE,"",Cotations!D94)</f>
        <v/>
      </c>
      <c r="OB94" s="491" t="str">
        <f>IF(A94=FALSE,"",IF(LISTES!$A$17=1,Cotations!CH94,Cotations!CI94))</f>
        <v/>
      </c>
      <c r="OC94" s="285" t="str">
        <f t="shared" si="747"/>
        <v/>
      </c>
      <c r="OD94" s="300"/>
      <c r="OE94" s="461" t="str">
        <f t="shared" si="748"/>
        <v/>
      </c>
      <c r="OF94" s="490" t="str">
        <f>IF(A94=FALSE,"",IF(OA94="POEA",Cotations!CK94,IF(OA94="FIXE",Cotations!CL94,IF(Cotations!CM94*Y94&lt;50000,Z94,Cotations!CM94*Y94))))</f>
        <v/>
      </c>
      <c r="OG94" s="300" t="str">
        <f t="shared" si="749"/>
        <v/>
      </c>
      <c r="OH94" s="522" t="str">
        <f>IF(A94=FALSE,"",IF(Cotations!CJ94="monthly",OG94/12*L94,OG94/365*M94))</f>
        <v/>
      </c>
      <c r="OI94" s="489" t="str">
        <f>IF(A94=FALSE,"",IF(Cotations!CN94="","",Cotations!CN94))</f>
        <v/>
      </c>
      <c r="OJ94" s="300" t="str">
        <f t="shared" si="750"/>
        <v/>
      </c>
      <c r="OK94" s="300" t="str">
        <f t="shared" si="751"/>
        <v/>
      </c>
      <c r="OL94" s="919" t="str">
        <f t="shared" si="752"/>
        <v/>
      </c>
      <c r="OM94" s="517" t="str">
        <f>IF(A94=FALSE,"",Cotations!CO94)</f>
        <v/>
      </c>
      <c r="ON94" s="515" t="str">
        <f>IF(A94=FALSE,"",Cotations!CP94)</f>
        <v/>
      </c>
      <c r="OO94" s="493" t="str">
        <f>IF(A94=FALSE,"",Cotations!CQ94)</f>
        <v/>
      </c>
      <c r="OP94" s="517" t="str">
        <f>IF(A94=FALSE,"",IF(OM94="N/A",0,IF(INDEX(LISTES!$F$105:$F$109,MATCH(OM94,LISTES!$C$105:$C$109,0))="FIX",IF(INDEX(LISTES!$E$105:$E$109,MATCH(OM94,LISTES!$C$105:$C$109,0))=12,ON94/12*L94,ON94/365*M94),OO94*OL94)))</f>
        <v/>
      </c>
      <c r="OQ94" s="294" t="str">
        <f t="shared" si="753"/>
        <v/>
      </c>
      <c r="OR94" s="494" t="str">
        <f>IF(A94=FALSE,"",OQ94*Cotations!CR94)</f>
        <v/>
      </c>
      <c r="OS94" s="494" t="str">
        <f>IF(A94=FALSE,"",OQ94*Cotations!CS94)</f>
        <v/>
      </c>
      <c r="OT94" s="338" t="str">
        <f t="shared" si="754"/>
        <v/>
      </c>
      <c r="OU94" s="919" t="str">
        <f>IF(A94=FALSE,"",((OG94*TAXE)-(OG94*TAXE*OI94))+IF(OM94="N/A",0,IF(INDEX(LISTES!$F$105:$F$109,MATCH(OM94,LISTES!$C$105:$C$109,0))="FIX",ON94,OO94*OL94)))</f>
        <v/>
      </c>
      <c r="PA94" s="497" t="str">
        <f t="shared" si="755"/>
        <v/>
      </c>
      <c r="PB94" s="498" t="str">
        <f>IF(A94=FALSE,"",IF(LISTES!$A$17=1,Cotations!CT94,Cotations!$CU$4))</f>
        <v/>
      </c>
      <c r="PC94" s="499" t="str">
        <f t="shared" si="756"/>
        <v/>
      </c>
      <c r="PD94" s="499" t="str">
        <f t="shared" si="757"/>
        <v/>
      </c>
      <c r="PE94" s="500" t="str">
        <f t="shared" si="758"/>
        <v/>
      </c>
      <c r="PF94" s="501" t="str">
        <f>IF(A94=FALSE,"",Cotations!$CY$4*Y94)</f>
        <v/>
      </c>
      <c r="PG94" s="502" t="str">
        <f t="shared" si="759"/>
        <v/>
      </c>
      <c r="PH94" s="520" t="str">
        <f>IF(A94=FALSE,"",IF(Cotations!$CV$4="monthly",PG94/12*L94,PG94/365*M94))</f>
        <v/>
      </c>
      <c r="PI94" s="503" t="str">
        <f>IF(A94=FALSE,"",Cotations!$CZ$4)</f>
        <v/>
      </c>
      <c r="PJ94" s="502" t="str">
        <f t="shared" si="760"/>
        <v/>
      </c>
      <c r="PK94" s="502" t="str">
        <f t="shared" si="761"/>
        <v/>
      </c>
      <c r="PL94" s="504" t="str">
        <f t="shared" si="762"/>
        <v/>
      </c>
      <c r="PM94" s="505" t="str">
        <f>IF(A94=FALSE,"",Cotations!$DA$4)</f>
        <v/>
      </c>
      <c r="PN94" s="520" t="str">
        <f>IF(A94=FALSE,"",Cotations!$DB$4)</f>
        <v/>
      </c>
      <c r="PO94" s="503" t="str">
        <f>IF(A94=FALSE,"",Cotations!$DC$4)</f>
        <v/>
      </c>
      <c r="PP94" s="505" t="str">
        <f>IF(A94=FALSE,"",IF(PM94="N/A",0,IF(INDEX(LISTES!$F$105:$F$109,MATCH(PM94,LISTES!$C$105:$C$109,0))="FIX",IF(INDEX(LISTES!$E$105:$E$109,MATCH(PM94,LISTES!$C$105:$C$109,0))=12,PN94/12*L94,PN94/365*M94),PO94*PL94)))</f>
        <v/>
      </c>
      <c r="PQ94" s="504" t="str">
        <f t="shared" si="763"/>
        <v/>
      </c>
      <c r="PR94" s="505" t="str">
        <f>IF(A94=FALSE,"",PQ94*Cotations!$DD$4)</f>
        <v/>
      </c>
      <c r="PS94" s="505" t="str">
        <f>IF(A94=FALSE,"",PQ94*Cotations!$DE$4)</f>
        <v/>
      </c>
      <c r="PT94" s="506" t="str">
        <f t="shared" si="764"/>
        <v/>
      </c>
      <c r="PU94" s="919" t="str">
        <f>IF(A94=FALSE,"",((PG94*TAXE)-(PG94*TAXE*PI94))+IF(PM94="N/A",0,IF(INDEX(LISTES!$F$105:$F$109,MATCH(PM94,LISTES!$C$105:$C$109,0))="FIX",PN94,PO94*PL94)))</f>
        <v/>
      </c>
      <c r="QA94" s="492" t="str">
        <f t="shared" si="765"/>
        <v/>
      </c>
      <c r="QB94" s="491" t="str">
        <f>IF(A94=FALSE,"",IF(LISTES!$A$17=1,Cotations!CT94,Cotations!CU94))</f>
        <v/>
      </c>
      <c r="QC94" s="285" t="str">
        <f t="shared" si="766"/>
        <v/>
      </c>
      <c r="QD94" s="300"/>
      <c r="QE94" s="461" t="str">
        <f t="shared" si="767"/>
        <v/>
      </c>
      <c r="QF94" s="490" t="str">
        <f>IF(A94=FALSE,"",Cotations!CY94*AA94)</f>
        <v/>
      </c>
      <c r="QG94" s="300" t="str">
        <f t="shared" si="768"/>
        <v/>
      </c>
      <c r="QH94" s="522" t="str">
        <f>IF(A94=FALSE,"",IF(Cotations!CV94="monthly",QG94/12*L94,QG94/365*M94))</f>
        <v/>
      </c>
      <c r="QI94" s="489" t="str">
        <f>IF(A94=FALSE,"",IF(Cotations!CZ94="","",Cotations!CZ94))</f>
        <v/>
      </c>
      <c r="QJ94" s="300" t="str">
        <f t="shared" si="769"/>
        <v/>
      </c>
      <c r="QK94" s="300" t="str">
        <f t="shared" si="770"/>
        <v/>
      </c>
      <c r="QL94" s="919" t="str">
        <f t="shared" si="771"/>
        <v/>
      </c>
      <c r="QM94" s="517" t="str">
        <f>IF(A94=FALSE,"",Cotations!DA94)</f>
        <v/>
      </c>
      <c r="QN94" s="515" t="str">
        <f>IF(A94=FALSE,"",Cotations!DB94)</f>
        <v/>
      </c>
      <c r="QO94" s="493" t="str">
        <f>IF(A94=FALSE,"",Cotations!DC94)</f>
        <v/>
      </c>
      <c r="QP94" s="517" t="str">
        <f>IF(A94=FALSE,"",IF(QM94="N/A",0,IF(INDEX(LISTES!$F$105:$F$109,MATCH(QM94,LISTES!$C$105:$C$109,0))="FIX",IF(INDEX(LISTES!$E$105:$E$109,MATCH(QM94,LISTES!$C$105:$C$109,0))=12,QN94/12*L94,QN94/365*M94),QO94*QL94)))</f>
        <v/>
      </c>
      <c r="QQ94" s="294" t="str">
        <f t="shared" si="772"/>
        <v/>
      </c>
      <c r="QR94" s="494" t="str">
        <f>IF(A94=FALSE,"",QQ94*Cotations!DD94)</f>
        <v/>
      </c>
      <c r="QS94" s="494" t="str">
        <f>IF(A94=FALSE,"",QQ94*Cotations!DE94)</f>
        <v/>
      </c>
      <c r="QT94" s="338" t="str">
        <f t="shared" si="773"/>
        <v/>
      </c>
      <c r="QU94" s="919" t="str">
        <f>IF(A94=FALSE,"",((QG94*TAXE)-(QG94*TAXE*QI94))+IF(QM94="N/A",0,IF(INDEX(LISTES!$F$105:$F$109,MATCH(QM94,LISTES!$C$105:$C$109,0))="FIX",QN94,QO94*QL94)))</f>
        <v/>
      </c>
      <c r="RA94" s="497" t="str">
        <f t="shared" si="774"/>
        <v/>
      </c>
      <c r="RB94" s="498" t="str">
        <f>IF(A94=FALSE,"",IF(LISTES!$A$17=1,Cotations!DF94,Cotations!$DG$4))</f>
        <v/>
      </c>
      <c r="RC94" s="499" t="str">
        <f t="shared" si="775"/>
        <v/>
      </c>
      <c r="RD94" s="499" t="str">
        <f t="shared" si="776"/>
        <v/>
      </c>
      <c r="RE94" s="500" t="str">
        <f t="shared" si="777"/>
        <v/>
      </c>
      <c r="RF94" s="501" t="str">
        <f>IF(A94=FALSE,"",Cotations!$DK$4*Y94)</f>
        <v/>
      </c>
      <c r="RG94" s="502" t="str">
        <f t="shared" si="778"/>
        <v/>
      </c>
      <c r="RH94" s="520" t="str">
        <f>IF(A94=FALSE,"",IF(Cotations!$DH$4="monthly",RG94/12*L94,RG94/365*M94))</f>
        <v/>
      </c>
      <c r="RI94" s="503" t="str">
        <f>IF(A94=FALSE,"",Cotations!$DL$4)</f>
        <v/>
      </c>
      <c r="RJ94" s="502" t="str">
        <f t="shared" si="779"/>
        <v/>
      </c>
      <c r="RK94" s="502" t="str">
        <f t="shared" si="780"/>
        <v/>
      </c>
      <c r="RL94" s="504" t="str">
        <f t="shared" si="781"/>
        <v/>
      </c>
      <c r="RM94" s="505" t="str">
        <f>IF(A94=FALSE,"",Cotations!$DM$4)</f>
        <v/>
      </c>
      <c r="RN94" s="520" t="str">
        <f>IF(A94=FALSE,"",Cotations!$DN$4)</f>
        <v/>
      </c>
      <c r="RO94" s="503" t="str">
        <f>IF(A94=FALSE,"",Cotations!$DO$4)</f>
        <v/>
      </c>
      <c r="RP94" s="505" t="str">
        <f>IF(A94=FALSE,"",IF(RM94="N/A",0,IF(INDEX(LISTES!$F$105:$F$109,MATCH(RM94,LISTES!$C$105:$C$109,0))="FIX",IF(INDEX(LISTES!$E$105:$E$109,MATCH(RM94,LISTES!$C$105:$C$109,0))=12,RN94/12*L94,RN94/365*M94),RO94*RL94)))</f>
        <v/>
      </c>
      <c r="RQ94" s="504" t="str">
        <f t="shared" si="782"/>
        <v/>
      </c>
      <c r="RR94" s="505" t="str">
        <f>IF(A94=FALSE,"",RQ94*Cotations!$DP$4)</f>
        <v/>
      </c>
      <c r="RS94" s="505" t="str">
        <f>IF(A94=FALSE,"",RQ94*Cotations!$DQ$4)</f>
        <v/>
      </c>
      <c r="RT94" s="506" t="str">
        <f t="shared" si="783"/>
        <v/>
      </c>
      <c r="RU94" s="919" t="str">
        <f>IF(A94=FALSE,"",((RG94*TAXE)-(RG94*TAXE*RI94))+IF(RM94="N/A",0,IF(INDEX(LISTES!$F$105:$F$109,MATCH(RM94,LISTES!$C$105:$C$109,0))="FIX",RN94,RO94*RL94)))</f>
        <v/>
      </c>
      <c r="SA94" s="492" t="str">
        <f t="shared" si="784"/>
        <v/>
      </c>
      <c r="SB94" s="491" t="str">
        <f>IF(A94=FALSE,"",IF(LISTES!$A$17=1,Cotations!DF94,Cotations!DG94))</f>
        <v/>
      </c>
      <c r="SC94" s="285" t="str">
        <f t="shared" si="785"/>
        <v/>
      </c>
      <c r="SD94" s="300"/>
      <c r="SE94" s="461" t="str">
        <f t="shared" si="786"/>
        <v/>
      </c>
      <c r="SF94" s="490" t="str">
        <f>IF(A94=FALSE,"",Cotations!DK94*AA94)</f>
        <v/>
      </c>
      <c r="SG94" s="300" t="str">
        <f t="shared" si="787"/>
        <v/>
      </c>
      <c r="SH94" s="522" t="str">
        <f>IF(A94=FALSE,"",IF(Cotations!DH94="monthly",SG94/12*L94,SG94/365*M94))</f>
        <v/>
      </c>
      <c r="SI94" s="489" t="str">
        <f>IF(A94=FALSE,"",IF(Cotations!DL94="","",Cotations!DL94))</f>
        <v/>
      </c>
      <c r="SJ94" s="300" t="str">
        <f t="shared" si="788"/>
        <v/>
      </c>
      <c r="SK94" s="300" t="str">
        <f t="shared" si="789"/>
        <v/>
      </c>
      <c r="SL94" s="919" t="str">
        <f t="shared" si="790"/>
        <v/>
      </c>
      <c r="SM94" s="285" t="str">
        <f>IF(A94=FALSE,"",Cotations!DM94)</f>
        <v/>
      </c>
      <c r="SN94" s="515" t="str">
        <f>IF(A94=FALSE,"",Cotations!DN94)</f>
        <v/>
      </c>
      <c r="SO94" s="493" t="str">
        <f>IF(A94=FALSE,"",Cotations!DO94)</f>
        <v/>
      </c>
      <c r="SP94" s="517" t="str">
        <f>IF(A94=FALSE,"",IF(SM94="N/A",0,IF(INDEX(LISTES!$F$105:$F$109,MATCH(SM94,LISTES!$C$105:$C$109,0))="FIX",IF(INDEX(LISTES!$E$105:$E$109,MATCH(SM94,LISTES!$C$105:$C$109,0))=12,SN94/12*L94,SN94/365*M94),SO94*SL94)))</f>
        <v/>
      </c>
      <c r="SQ94" s="294" t="str">
        <f t="shared" si="791"/>
        <v/>
      </c>
      <c r="SR94" s="494" t="str">
        <f>IF(A94=FALSE,"",SQ94*Cotations!DP94)</f>
        <v/>
      </c>
      <c r="SS94" s="494" t="str">
        <f>IF(A94=FALSE,"",SQ94*Cotations!DQ94)</f>
        <v/>
      </c>
      <c r="ST94" s="338" t="str">
        <f t="shared" si="792"/>
        <v/>
      </c>
      <c r="SU94" s="919" t="str">
        <f>IF(A94=FALSE,"",((SG94*TAXE)-(SG94*TAXE*SI94))+IF(SM94="N/A",0,IF(INDEX(LISTES!$F$105:$F$109,MATCH(SM94,LISTES!$C$105:$C$109,0))="FIX",SN94,SO94*SL94)))</f>
        <v/>
      </c>
      <c r="TA94" s="492" t="str">
        <f>IF(A94=FALSE,"",Cotations!D94)</f>
        <v/>
      </c>
      <c r="TB94" s="491" t="str">
        <f>IF(A94=FALSE,"",IF(LISTES!$A$17=1,Cotations!DR94,Cotations!DS94))</f>
        <v/>
      </c>
      <c r="TC94" s="285" t="str">
        <f t="shared" si="793"/>
        <v/>
      </c>
      <c r="TD94" s="300" t="str">
        <f>IF(A94=FALSE,"",Detail!CQ94)</f>
        <v/>
      </c>
      <c r="TE94" s="461" t="str">
        <f t="shared" si="794"/>
        <v/>
      </c>
      <c r="TF94" s="490" t="str">
        <f>IF(A94=FALSE,"",IF(TA94="FIXE",Cotations!DU94,Cotations!DV94*Y94))</f>
        <v/>
      </c>
      <c r="TG94" s="300" t="str">
        <f t="shared" si="795"/>
        <v/>
      </c>
      <c r="TH94" s="522" t="str">
        <f>IF(A94=FALSE,"",IF(Cotations!DT94="monthly",TG94/12*L94,TG94/365*M94))</f>
        <v/>
      </c>
      <c r="TI94" s="489" t="str">
        <f>IF(A94=FALSE,"",IF(Cotations!DW94="","",Cotations!DW94))</f>
        <v/>
      </c>
      <c r="TJ94" s="300" t="str">
        <f t="shared" si="796"/>
        <v/>
      </c>
      <c r="TK94" s="300" t="str">
        <f t="shared" si="797"/>
        <v/>
      </c>
      <c r="TL94" s="919" t="str">
        <f t="shared" si="798"/>
        <v/>
      </c>
      <c r="TM94" s="517" t="str">
        <f>IF(A94=FALSE,"",Cotations!DX94)</f>
        <v/>
      </c>
      <c r="TN94" s="517" t="str">
        <f>IF(A94=FALSE,"",Cotations!DY94)</f>
        <v/>
      </c>
      <c r="TO94" s="493" t="str">
        <f>IF(A94=FALSE,"",Cotations!DZ94)</f>
        <v/>
      </c>
      <c r="TP94" s="517" t="str">
        <f>IF(A94=FALSE,"",IF(TM94="N/A",0,IF(INDEX(LISTES!$F$105:$F$109,MATCH(TM94,LISTES!$C$105:$C$109,0))="FIX",IF(INDEX(LISTES!$E$105:$E$109,MATCH(TM94,LISTES!$C$105:$C$109,0))=12,TN94/12*L94,TN94/365*M94),TO94*TL94)))</f>
        <v/>
      </c>
      <c r="TQ94" s="294" t="str">
        <f t="shared" si="799"/>
        <v/>
      </c>
      <c r="TR94" s="494" t="str">
        <f>IF(A94=FALSE,"",TQ94*Cotations!EA94)</f>
        <v/>
      </c>
      <c r="TS94" s="494" t="str">
        <f>IF(A94=FALSE,"",TQ94*Cotations!EB94)</f>
        <v/>
      </c>
      <c r="TT94" s="338" t="str">
        <f t="shared" si="800"/>
        <v/>
      </c>
      <c r="TU94" s="919" t="str">
        <f>IF(A94=FALSE,"",((TG94*(1+TAXE)-(TG94*(1+TAXE)*TI94))+IF(TM94="N/A",0,IF(INDEX(LISTES!$F$105:$F$109,MATCH(TM94,LISTES!$C$105:$C$109,0))="FIX",TN94,TO94*TL94))))</f>
        <v/>
      </c>
      <c r="UA94" s="492" t="str">
        <f>IF(A94=FALSE,"",Cotations!D94)</f>
        <v/>
      </c>
      <c r="UB94" s="491" t="str">
        <f>IF(A94=FALSE,"",IF(LISTES!$A$17=1,Cotations!EC94,Cotations!ED94))</f>
        <v/>
      </c>
      <c r="UC94" s="285" t="str">
        <f t="shared" si="801"/>
        <v/>
      </c>
      <c r="UD94" s="300" t="str">
        <f>IF(A94=FALSE,"",Detail!CY94)</f>
        <v/>
      </c>
      <c r="UE94" s="461" t="str">
        <f t="shared" si="802"/>
        <v/>
      </c>
      <c r="UF94" s="490" t="str">
        <f>IF(A94=FALSE,"",IF(UA94="FIXE",Cotations!EF94,Cotations!EG94*Y94))</f>
        <v/>
      </c>
      <c r="UG94" s="300" t="str">
        <f t="shared" si="803"/>
        <v/>
      </c>
      <c r="UH94" s="522" t="str">
        <f>IF(A94=FALSE,"",IF(Cotations!EE94="monthly",UG94/12*L94,UG94/365*M94))</f>
        <v/>
      </c>
      <c r="UI94" s="489" t="str">
        <f>IF(A94=FALSE,"",IF(Cotations!EH94="","",Cotations!EH94))</f>
        <v/>
      </c>
      <c r="UJ94" s="300" t="str">
        <f t="shared" si="804"/>
        <v/>
      </c>
      <c r="UK94" s="300" t="str">
        <f t="shared" si="805"/>
        <v/>
      </c>
      <c r="UL94" s="919" t="str">
        <f t="shared" si="806"/>
        <v/>
      </c>
      <c r="UM94" s="517" t="str">
        <f>IF(A94=FALSE,"",Cotations!EI94)</f>
        <v/>
      </c>
      <c r="UN94" s="517" t="str">
        <f>IF(A94=FALSE,"",Cotations!EJ94)</f>
        <v/>
      </c>
      <c r="UO94" s="493" t="str">
        <f>IF(A94=FALSE,"",Cotations!EK94)</f>
        <v/>
      </c>
      <c r="UP94" s="517" t="str">
        <f>IF(A94=FALSE,"",IF(UM94="N/A",0,IF(INDEX(LISTES!$F$105:$F$109,MATCH(UM94,LISTES!$C$105:$C$109,0))="FIX",IF(INDEX(LISTES!$E$105:$E$109,MATCH(UM94,LISTES!$C$105:$C$109,0))=12,UN94/12*L94,UN94/365*M94),UO94*UL94)))</f>
        <v/>
      </c>
      <c r="UQ94" s="294" t="str">
        <f t="shared" si="807"/>
        <v/>
      </c>
      <c r="UR94" s="494" t="str">
        <f>IF(A94=FALSE,"",UQ94*Cotations!EL94)</f>
        <v/>
      </c>
      <c r="US94" s="494" t="str">
        <f>IF(A94=FALSE,"",UQ94*Cotations!EM94)</f>
        <v/>
      </c>
      <c r="UT94" s="338" t="str">
        <f t="shared" si="808"/>
        <v/>
      </c>
      <c r="UU94" s="919" t="str">
        <f>IF(A94=FALSE,"",((UG94*(1+TAXE)-(UG94*(1+TAXE)*UI94))+IF(UM94="N/A",0,IF(INDEX(LISTES!$F$105:$F$109,MATCH(UM94,LISTES!$C$105:$C$109,0))="FIX",UN94,UO94*UL94))))</f>
        <v/>
      </c>
      <c r="VA94" s="492" t="str">
        <f>IF(A94=FALSE,"",Cotations!D94)</f>
        <v/>
      </c>
      <c r="VB94" s="519" t="str">
        <f>IF(A94=FALSE,"",IF(LISTES!$A$17=1,Cotations!EN94,Cotations!EO94))</f>
        <v/>
      </c>
      <c r="VC94" s="291" t="str">
        <f t="shared" si="809"/>
        <v/>
      </c>
      <c r="VD94" s="291" t="str">
        <f t="shared" si="810"/>
        <v/>
      </c>
      <c r="VE94" s="291"/>
      <c r="VF94" s="463"/>
      <c r="VG94" s="463" t="str">
        <f t="shared" si="811"/>
        <v/>
      </c>
      <c r="VH94" s="522" t="str">
        <f>IF(A94=FALSE,"",IF(Cotations!$AQ$4="monthly",VG94/12*L94,VG94/365*M94))</f>
        <v/>
      </c>
      <c r="VI94" s="489" t="str">
        <f>IF(A94=FALSE,"",Cotations!$AR$4)</f>
        <v/>
      </c>
      <c r="VJ94" s="300" t="str">
        <f t="shared" si="812"/>
        <v/>
      </c>
      <c r="VK94" s="300" t="str">
        <f t="shared" si="813"/>
        <v/>
      </c>
      <c r="VL94" s="294" t="str">
        <f t="shared" si="814"/>
        <v/>
      </c>
      <c r="VM94" s="494" t="str">
        <f>IF(A94=FALSE,"",Cotations!$AS$4)</f>
        <v/>
      </c>
      <c r="VN94" s="494" t="str">
        <f>IF(A94=FALSE,"",Cotations!$AT$4)</f>
        <v/>
      </c>
      <c r="VO94" s="489" t="str">
        <f>IF(A94=FALSE,"",Cotations!$AU$4)</f>
        <v/>
      </c>
      <c r="VP94" s="494" t="str">
        <f>IF(A94=FALSE,"",IF(VM94="N/A",0,IF(INDEX(LISTES!$F$105:$F$109,MATCH(VM94,LISTES!$C$105:$C$109,0))="FIX",IF(INDEX(LISTES!$E$105:$E$109,MATCH(VM94,LISTES!$C$105:$C$109,0))=12,VN94/12*L94,VN94/365*M94),VO94*VL94)))</f>
        <v/>
      </c>
      <c r="VQ94" s="294" t="str">
        <f t="shared" si="815"/>
        <v/>
      </c>
      <c r="VR94" s="494" t="str">
        <f>IF(A94=FALSE,"",VQ94*Cotations!$AV$4)</f>
        <v/>
      </c>
      <c r="VS94" s="494" t="str">
        <f>IF(A94=FALSE,"",VQ94*Cotations!$AW$4)</f>
        <v/>
      </c>
      <c r="VT94" s="465" t="str">
        <f t="shared" si="816"/>
        <v/>
      </c>
      <c r="VU94" s="919" t="str">
        <f>IF(A94=FALSE,"",((VG94*TAXE)-(VG94*TAXE*VI94))+IF(VM94="N/A",0,IF(INDEX(LISTES!$F$105:$F$109,MATCH(VM94,LISTES!$C$105:$C$109,0))="FIX",VN94,VO94*VL94)))</f>
        <v/>
      </c>
      <c r="WA94" s="492" t="str">
        <f>IF(A94=FALSE,"",Cotations!D94)</f>
        <v/>
      </c>
      <c r="WB94" s="519" t="str">
        <f>IF(A94=FALSE,"",IF(LISTES!$A$17=1,Cotations!EW94,Cotations!EX94))</f>
        <v/>
      </c>
      <c r="WC94" s="291" t="str">
        <f t="shared" si="817"/>
        <v/>
      </c>
      <c r="WD94" s="291" t="str">
        <f t="shared" si="818"/>
        <v/>
      </c>
      <c r="WE94" s="291"/>
      <c r="WF94" s="463"/>
      <c r="WG94" s="463" t="str">
        <f t="shared" si="819"/>
        <v/>
      </c>
      <c r="WH94" s="522" t="str">
        <f>IF(A94=FALSE,"",IF(Cotations!$AQ$4="monthly",WG94/12*L94,WG94/365*M94))</f>
        <v/>
      </c>
      <c r="WI94" s="489" t="str">
        <f>IF(A94=FALSE,"",Cotations!$AR$4)</f>
        <v/>
      </c>
      <c r="WJ94" s="300" t="str">
        <f t="shared" si="820"/>
        <v/>
      </c>
      <c r="WK94" s="300" t="str">
        <f t="shared" si="821"/>
        <v/>
      </c>
      <c r="WL94" s="294" t="str">
        <f t="shared" si="822"/>
        <v/>
      </c>
      <c r="WM94" s="494" t="str">
        <f>IF(A94=FALSE,"",Cotations!$AS$4)</f>
        <v/>
      </c>
      <c r="WN94" s="494" t="str">
        <f>IF(A94=FALSE,"",Cotations!$AT$4)</f>
        <v/>
      </c>
      <c r="WO94" s="489" t="str">
        <f>IF(A94=FALSE,"",Cotations!$AU$4)</f>
        <v/>
      </c>
      <c r="WP94" s="494" t="str">
        <f>IF(A94=FALSE,"",IF(WM94="N/A",0,IF(INDEX(LISTES!$F$105:$F$109,MATCH(WM94,LISTES!$C$105:$C$109,0))="FIX",IF(INDEX(LISTES!$E$105:$E$109,MATCH(WM94,LISTES!$C$105:$C$109,0))=12,WN94/12*L94,WN94/365*M94),WO94*WL94)))</f>
        <v/>
      </c>
      <c r="WQ94" s="294" t="str">
        <f t="shared" si="823"/>
        <v/>
      </c>
      <c r="WR94" s="494" t="str">
        <f>IF(A94=FALSE,"",WQ94*Cotations!$AV$4)</f>
        <v/>
      </c>
      <c r="WS94" s="494" t="str">
        <f>IF(A94=FALSE,"",WQ94*Cotations!$AW$4)</f>
        <v/>
      </c>
      <c r="WT94" s="465" t="str">
        <f t="shared" si="824"/>
        <v/>
      </c>
      <c r="WU94" s="919" t="str">
        <f>IF(A94=FALSE,"",((WG94*TAXE)-(WG94*TAXE*WI94))+IF(WM94="N/A",0,IF(INDEX(LISTES!$F$105:$F$109,MATCH(WM94,LISTES!$C$105:$C$109,0))="FIX",WN94,WO94*WL94)))</f>
        <v/>
      </c>
    </row>
    <row r="95" spans="1:619">
      <c r="A95" s="942" t="b">
        <f t="shared" si="629"/>
        <v>0</v>
      </c>
      <c r="B95" s="942" t="b">
        <f>IF(NAMES!$B$9=TRUE,TRUE,FALSE)</f>
        <v>1</v>
      </c>
      <c r="C95" s="942" t="b">
        <f t="shared" si="825"/>
        <v>0</v>
      </c>
      <c r="D95" s="942" t="b">
        <f t="shared" si="826"/>
        <v>0</v>
      </c>
      <c r="E95" s="274" t="b">
        <f>IF(Cotations!C95="","",Cotations!C95)</f>
        <v>0</v>
      </c>
      <c r="F95" s="274" t="str">
        <f>IF(Cotations!D95="","",Cotations!D95)</f>
        <v>PROP</v>
      </c>
      <c r="G95" s="274" t="str">
        <f>IF(Cotations!E95="","",Cotations!E95)</f>
        <v>2016-2017!</v>
      </c>
      <c r="H95" s="274" t="str">
        <f>IF(Cotations!F95="","",Cotations!F95)</f>
        <v>SINGLE</v>
      </c>
      <c r="I95" s="274" t="str">
        <f>IF(Cotations!G95="","",Cotations!G95)</f>
        <v/>
      </c>
      <c r="J95" s="274" t="str">
        <f>IF(Cotations!H95="","",Cotations!H95)</f>
        <v/>
      </c>
      <c r="K95" s="274" t="str">
        <f>IF(Cotations!I95="","",Cotations!I95)</f>
        <v/>
      </c>
      <c r="L95" s="274" t="str">
        <f>IF(A95=FALSE,"",IF(Cotations!N95="","",Cotations!N95))</f>
        <v/>
      </c>
      <c r="M95" s="274" t="str">
        <f>IF(Cotations!P95="","",Cotations!P95)</f>
        <v/>
      </c>
      <c r="N95" s="724" t="str">
        <f>IF(NAMES!$B$10=TRUE,Cotations!J95,Cotations!L95)</f>
        <v/>
      </c>
      <c r="O95" s="724" t="str">
        <f>IF(NAMES!$B$10=TRUE,Cotations!K95,Cotations!M95)</f>
        <v/>
      </c>
      <c r="P95" s="943" t="str">
        <f t="shared" si="827"/>
        <v/>
      </c>
      <c r="Q95" s="724" t="str">
        <f>IF(A95=FALSE,"",IF(Crewlist!Y95="","",Crewlist!Y95))</f>
        <v/>
      </c>
      <c r="R95" s="78" t="str">
        <f>IF(Cotations!U95="","",Cotations!U95)</f>
        <v/>
      </c>
      <c r="S95" s="943" t="str">
        <f t="shared" si="828"/>
        <v/>
      </c>
      <c r="T95" s="919" t="str">
        <f>IF(A95=FALSE,"",VLOOKUP($U$15:$U$120,Currency!$A$2:$D$10,4,0)*Crewlist!N95)</f>
        <v/>
      </c>
      <c r="U95" s="1355" t="str">
        <f>IF(A95=FALSE,"",IF(IT95=0,Crewlist!M95&amp;"/"&amp;EX95,Crewlist!M95&amp;"/"&amp;IT95))</f>
        <v/>
      </c>
      <c r="V95" s="919" t="str">
        <f>IF(A95=FALSE,"",VLOOKUP($U$15:$U$120,Currency!$A$2:$D$10,4,0)*Detail!Q95)</f>
        <v/>
      </c>
      <c r="W95" s="1355" t="str">
        <f>IF(A95=FALSE,"",IF(IT95=0,Detail!R95&amp;"/"&amp;EX95,Detail!R95&amp;"/"&amp;IT95))</f>
        <v/>
      </c>
      <c r="X95" s="919" t="str">
        <f>IF(A95=FALSE,"",IF(LISTES!$C$17="Crewlist",Calcul!T95,Calcul!V95))</f>
        <v/>
      </c>
      <c r="Y95" s="758" t="str">
        <f t="shared" si="829"/>
        <v/>
      </c>
      <c r="Z95" s="758" t="str">
        <f>IF(A95=FALSE,"",IF(X95=0,0,IF((Cotations!BC95*12*X95)&lt;50000,50000,(12*X95))))</f>
        <v/>
      </c>
      <c r="AA95" s="758" t="str">
        <f t="shared" si="830"/>
        <v/>
      </c>
      <c r="AB95" s="758" t="str">
        <f>IF(A95=FALSE,"",IF(Crewlist!O95=0,"",Crewlist!O95))</f>
        <v/>
      </c>
      <c r="AC95" s="758" t="str">
        <f>IF(I95="","",VLOOKUP($AB$15:$AB$120,Currency!$A$15:$B$34,2,0))</f>
        <v/>
      </c>
      <c r="AD95" s="758" t="str">
        <f t="shared" si="831"/>
        <v/>
      </c>
      <c r="AE95" s="758" t="str">
        <f t="shared" si="832"/>
        <v/>
      </c>
      <c r="AF95" s="758" t="str">
        <f t="shared" si="833"/>
        <v/>
      </c>
      <c r="AG95" s="758" t="str">
        <f t="shared" si="834"/>
        <v/>
      </c>
      <c r="AH95" s="1355" t="str">
        <f t="shared" si="630"/>
        <v/>
      </c>
      <c r="AI95" s="919" t="str">
        <f t="shared" si="835"/>
        <v/>
      </c>
      <c r="AJ95" s="1382" t="str">
        <f t="shared" si="836"/>
        <v/>
      </c>
      <c r="AK95" s="1382" t="str">
        <f t="shared" si="837"/>
        <v/>
      </c>
      <c r="AL95" s="238" t="str">
        <f t="shared" si="631"/>
        <v/>
      </c>
      <c r="AM95" s="238" t="str">
        <f t="shared" si="632"/>
        <v/>
      </c>
      <c r="AN95" s="1374" t="str">
        <f t="shared" si="633"/>
        <v/>
      </c>
      <c r="AO95" s="238" t="str">
        <f t="shared" si="634"/>
        <v/>
      </c>
      <c r="AP95" s="342" t="str">
        <f>IF(A95=FALSE,"",INDEX(Rates!$Z$5:$Z$367,MATCH(EB95,colchoice,0)))</f>
        <v/>
      </c>
      <c r="AQ95" s="238" t="str">
        <f t="shared" si="635"/>
        <v/>
      </c>
      <c r="AR95" s="238" t="str">
        <f t="shared" si="636"/>
        <v/>
      </c>
      <c r="AS95" s="238" t="str">
        <f t="shared" si="637"/>
        <v/>
      </c>
      <c r="AT95" s="238" t="str">
        <f t="shared" si="638"/>
        <v/>
      </c>
      <c r="AU95" s="238" t="str">
        <f t="shared" si="639"/>
        <v/>
      </c>
      <c r="AV95" s="238" t="str">
        <f t="shared" si="838"/>
        <v/>
      </c>
      <c r="AW95" s="238" t="str">
        <f t="shared" si="640"/>
        <v/>
      </c>
      <c r="AX95" s="238" t="str">
        <f t="shared" si="641"/>
        <v/>
      </c>
      <c r="AY95" s="238" t="str">
        <f t="shared" si="642"/>
        <v/>
      </c>
      <c r="AZ95" s="238" t="str">
        <f t="shared" si="643"/>
        <v/>
      </c>
      <c r="BA95" s="238" t="str">
        <f t="shared" si="644"/>
        <v/>
      </c>
      <c r="BB95" s="552" t="str">
        <f t="shared" si="645"/>
        <v/>
      </c>
      <c r="BC95" s="347" t="str">
        <f t="shared" si="646"/>
        <v/>
      </c>
      <c r="BD95" s="239" t="str">
        <f t="shared" si="839"/>
        <v/>
      </c>
      <c r="BE95" s="239" t="str">
        <f>IF(A95=FALSE,"",IF(ALLTHESAME=TRUE,IF(DF95&lt;&gt;$BC$7,0,INDEX(DD95:DZ95,1,MATCH(Structure!$D$12,$DD$14:$DZ$14,0))),IF(EC95&lt;&gt;$BC$7,0,INDEX(EA95:EZ95,1,MATCH(Structure!$D$12,$EA$14:$EZ$14,0)))))</f>
        <v/>
      </c>
      <c r="BF95" s="239" t="str">
        <f>IF(A95=FALSE,"",IF(ALLTHESAME=TRUE,IF(FC95&lt;&gt;$BC$7,0,INDEX(FA95:FZ95,1,MATCH(Structure!$D$12,$FA$14:$FZ$14,0))),IF(GC95&lt;&gt;$BC$7,0,INDEX(GA95:GZ95,1,MATCH(Structure!$D$12,$GA$14:$GZ$14,0)))))</f>
        <v/>
      </c>
      <c r="BG95" s="239" t="str">
        <f>IF(A95=FALSE,"",IF(ALLTHESAME=TRUE,IF(VC95&lt;&gt;$BC$7,0,INDEX(VA95:VZ95,1,MATCH(Structure!$D$12,$VA$14:$VZ$14,0))),IF(VC95&lt;&gt;$BC$7,0,INDEX(VA95:VZ95,1,MATCH(Structure!$D$12,$VA$14:$VZ$14,0)))))</f>
        <v/>
      </c>
      <c r="BH95" s="239" t="str">
        <f>IF(A95=FALSE,"",IF(ALLTHESAME=TRUE,IF(WC95&lt;&gt;$BC$7,0,INDEX(WA95:WY95,1,MATCH(Structure!$D$12,$WA$14:$WZ$14,0))),IF(WC95&lt;&gt;$BC$7,0,INDEX(WA95:WZ95,1,MATCH(Structure!$D$12,$WA$14:$WZ$14,0)))))</f>
        <v/>
      </c>
      <c r="BI95" s="763" t="str">
        <f>IF(A95=FALSE,"",IF(ALLTHESAME=TRUE,IF(HC95&lt;&gt;$BC$7,0,INDEX(HA95:HZ95,1,MATCH(Structure!$D$12,$HA$14:$HZ$14,0)))+TK95,IF(IC95&lt;&gt;$BC$7,0,INDEX(IA95:IZ95,1,MATCH(Structure!$D$12,$IA$14:$IZ$14,0)))+TK95))</f>
        <v/>
      </c>
      <c r="BJ95" s="239" t="str">
        <f>IF(A95=FALSE,"",IF(ALLTHESAME=TRUE,IF(JC95&lt;&gt;$BC$7,0,INDEX(JA95:JZ95,1,MATCH(Structure!$D$12,$JA$14:$JZ$14,0))),IF(KC95&lt;&gt;$BC$7,0,INDEX(KA95:KZ95,1,MATCH(Structure!$D$12,$KA$14:$KZ$14,0)))))</f>
        <v/>
      </c>
      <c r="BK95" s="763" t="str">
        <f>IF(A95=FALSE,"",IF(ALLTHESAME=TRUE,IF(LC95&lt;&gt;$BC$7,0,INDEX(LA95:LZ95,1,MATCH(Structure!$D$12,$LA$14:$LZ$14,0)))+UK95,IF(MC95&lt;&gt;$BC$7,0,INDEX(MA95:MZ95,1,MATCH(Structure!$D$12,$MA$14:$MZ$14,0)))+UK95))</f>
        <v/>
      </c>
      <c r="BL95" s="239" t="str">
        <f>IF(A95=FALSE,"",IF(ALLTHESAME=TRUE,IF(NC95&lt;&gt;$BC$7,0,INDEX(NA95:NZ95,1,MATCH(Structure!$D$12,$NA$14:$NZ$14,0))),IF(OC95&lt;&gt;$BC$7,0,INDEX(OA95:OZ95,1,MATCH(Structure!$D$12,$OA$14:$OZ$14,0)))))</f>
        <v/>
      </c>
      <c r="BM95" s="239" t="str">
        <f>IF(A95=FALSE,"",IF(ALLTHESAME=TRUE,IF(PC95&lt;&gt;$BC$7,0,INDEX(PA95:PZ95,1,MATCH(Structure!$D$12,$PA$14:$PZ$14,0))),IF(QC95&lt;&gt;$BC$7,0,INDEX(QA95:QZ95,1,MATCH(Structure!$D$12,$QA$14:$QZ$14,0)))))</f>
        <v/>
      </c>
      <c r="BN95" s="341" t="str">
        <f>IF(A95=FALSE,"",IF(ALLTHESAME=TRUE,IF(RC95&lt;&gt;$BC$7,0,INDEX(RA95:RZ95,1,MATCH(Structure!$D$12,$RA$14:$RZ$14,0))),IF(SC95&lt;&gt;$BC$7,0,INDEX(SA95:TA95,1,MATCH(Structure!$D$12,$SA$14:$TA$14,0)))))</f>
        <v/>
      </c>
      <c r="BO95" s="507" t="str">
        <f t="shared" si="647"/>
        <v/>
      </c>
      <c r="BP95" s="239" t="str">
        <f t="shared" si="648"/>
        <v/>
      </c>
      <c r="BQ95" s="239" t="str">
        <f>IF(A95=FALSE,"",IF(ALLTHESAME=TRUE,IF(DF95&lt;&gt;$BO$7,0,INDEX(DD95:DZ95,1,MATCH(Structure!$D$12,$DD$14:$DZ$14,0))),IF(EC95&lt;&gt;$BO$7,0,INDEX(EA95:EZ95,1,MATCH(Structure!$D$12,$EA$14:$EZ$14,0)))))</f>
        <v/>
      </c>
      <c r="BR95" s="239" t="str">
        <f>IF(A95=FALSE,"",IF(ALLTHESAME=TRUE,IF(FC95&lt;&gt;$BO$7,0,INDEX(FA95:FZ95,1,MATCH(Structure!$D$12,$FA$14:$FZ$14,0))),IF(GC95&lt;&gt;$BO$7,0,INDEX(GA95:GZ95,1,MATCH(Structure!$D$12,$GA$14:$GZ$14,0)))))</f>
        <v/>
      </c>
      <c r="BS95" s="239" t="str">
        <f>IF(A95=FALSE,"",IF(ALLTHESAME=TRUE,IF(HC95&lt;&gt;$BO$7,0,INDEX(HA95:HZ95,1,MATCH(Structure!$D$12,$HA$14:$HZ$14,0))),IF(IC95&lt;&gt;$BO$7,0,INDEX(IA95:IZ95,1,MATCH(Structure!$D$12,$IA$14:$IZ$14,0)))))</f>
        <v/>
      </c>
      <c r="BT95" s="239" t="str">
        <f>IF(A95=FALSE,"",IF(ALLTHESAME=TRUE,IF(JC95&lt;&gt;$BO$7,0,INDEX(JA95:JZ95,1,MATCH(Structure!$D$12,$JA$14:$JZ$14,0))),IF(KC95&lt;&gt;$BO$7,0,INDEX(KA95:KZ95,1,MATCH(Structure!$D$12,$KA$14:$KZ$14,0)))))</f>
        <v/>
      </c>
      <c r="BU95" s="239" t="str">
        <f>IF(A95=FALSE,"",IF(ALLTHESAME=TRUE,IF(LC95&lt;&gt;$BO$7,0,INDEX(LA95:LZ95,1,MATCH(Structure!$D$12,$LA$14:$LZ$14,0))),IF(MC95&lt;&gt;$BO$7,0,INDEX(MA95:MZ95,1,MATCH(Structure!$D$12,$MA$14:$MZ$14,0)))))</f>
        <v/>
      </c>
      <c r="BV95" s="239" t="str">
        <f>IF(A95=FALSE,"",IF(ALLTHESAME=TRUE,IF(NC95&lt;&gt;$BO$7,0,INDEX(NA95:NZ95,1,MATCH(Structure!$D$12,$NA$14:$NZ$14,0))),IF(OC95&lt;&gt;$BO$7,0,INDEX(OA95:OZ95,1,MATCH(Structure!$D$12,$OA$14:$OZ$14,0)))))</f>
        <v/>
      </c>
      <c r="BW95" s="239" t="str">
        <f>IF(A95=FALSE,"",IF(ALLTHESAME=TRUE,IF(PC95&lt;&gt;$BO$7,0,INDEX(PA95:PZ95,1,MATCH(Structure!$D$12,$PA$14:$PZ$14,0))),IF(QC95&lt;&gt;$BO$7,0,INDEX(QA95:QZ95,1,MATCH(Structure!$D$12,$QA$14:$QZ$14,0)))))</f>
        <v/>
      </c>
      <c r="BX95" s="341" t="str">
        <f>IF(A95=FALSE,"",IF(ALLTHESAME=TRUE,IF(RC95&lt;&gt;$BO$7,0,INDEX(RA95:RZ95,1,MATCH(Structure!$D$12,$RA$14:$RZ$14,0))),IF(SC95&lt;&gt;$BO$7,0,INDEX(SA95:TA95,1,MATCH(Structure!$D$12,$SA$14:$TA$14,0)))))</f>
        <v/>
      </c>
      <c r="BY95" s="347" t="str">
        <f t="shared" si="649"/>
        <v/>
      </c>
      <c r="BZ95" s="507" t="str">
        <f t="shared" si="650"/>
        <v/>
      </c>
      <c r="CA95" s="239" t="str">
        <f t="shared" si="651"/>
        <v/>
      </c>
      <c r="CB95" s="239" t="str">
        <f>IF(A95=FALSE,"",IF(ALLTHESAME=TRUE,INDEX(DD95:DZ95,MATCH(DF95,DF95:DF200,0),MATCH(Structure!$D$17,$DD$14:$DZ$14,0)),INDEX(EA95:EZ95,MATCH(EC95,EC95:EC200,0),MATCH(Structure!$D$17,$EA$14:$EZ$14,0))))</f>
        <v/>
      </c>
      <c r="CC95" s="239" t="str">
        <f>IF(A95=FALSE,"",IF(ALLTHESAME=TRUE,INDEX(FA95:FZ95,MATCH(FC95,FC95:FC200,0),MATCH(Structure!$D$17,$FA$14:$FZ$14,0)),INDEX(GA95:GZ95,MATCH(GC95,GC95:GC200,0),MATCH(Structure!$D$17,$GA$14:$GZ$14,0))))</f>
        <v/>
      </c>
      <c r="CD95" s="239" t="str">
        <f>IF(A95=FALSE,"",IF(ALLTHESAME=TRUE,INDEX(HA95:HZ95,MATCH(HC95,HC95:HC200,0),MATCH(Structure!$D$17,$HA$14:$HZ$14,0)),INDEX(IA95:IZ95,MATCH(IC95,IC95:IC200,0),MATCH(Structure!$D$17,$IA$14:$IZ$14,0))))</f>
        <v/>
      </c>
      <c r="CE95" s="239" t="str">
        <f>IF(A95=FALSE,"",IF(ALLTHESAME=TRUE,INDEX(JA95:JZ95,MATCH(JC95,JC95:JC200,0),MATCH(Structure!$D$17,$JA$14:$JZ$14,0)),INDEX(KA95:KZ95,MATCH(KC95,KC95:KC200,0),MATCH(Structure!$D$17,$KA$14:$KZ$14,0))))</f>
        <v/>
      </c>
      <c r="CF95" s="239" t="str">
        <f>IF(A95=FALSE,"",IF(ALLTHESAME=TRUE,INDEX(LA95:LZ95,MATCH(LC95,LC95:LC200,0),MATCH(Structure!$D$17,$LA$14:$LZ$14,0)),INDEX(MA95:MZ95,MATCH(MC95,MC95:MC200,0),MATCH(Structure!$D$17,$MA$14:$MZ$14,0))))</f>
        <v/>
      </c>
      <c r="CG95" s="239" t="str">
        <f>IF(A95=FALSE,"",IF(ALLTHESAME=TRUE,INDEX(NA95:NZ95,MATCH(NC95,NC95:NC200,0),MATCH(Structure!$D$17,$NA$14:$NZ$14,0)),INDEX(OA95:OZ95,MATCH(OC95,OC95:OC200,0),MATCH(Structure!$D$17,$OA$14:$OZ$14,0))))</f>
        <v/>
      </c>
      <c r="CH95" s="239" t="str">
        <f>IF(A95=FALSE,"",IF(ALLTHESAME=TRUE,INDEX(PA95:PZ95,MATCH(PC95,PC95:PC200,0),MATCH(Structure!$D$17,$PA$14:$PZ$14,0)),INDEX(QA95:QZ95,MATCH(QC95,QC95:QC200,0),MATCH(Structure!$D$17,$QA$14:$QZ$14,0))))</f>
        <v/>
      </c>
      <c r="CI95" s="341" t="str">
        <f>IF(A95=FALSE,"",IF(ALLTHESAME=TRUE,INDEX(RA95:RZ95,MATCH(RC95,RC95:RC200,0),MATCH(Structure!$D$17,$RA$14:$RZ$14,0)),INDEX(SA95:TC95,MATCH(SC95,SC95:SC200,0),MATCH(Structure!$D$17,$SA$14:$TC$14,0))))</f>
        <v/>
      </c>
      <c r="CJ95" s="347"/>
      <c r="CK95" s="239" t="str">
        <f t="shared" si="652"/>
        <v/>
      </c>
      <c r="CL95" s="239" t="str">
        <f>IF(A95=FALSE,"",IF(ALLTHESAME=TRUE,INDEX(DD95:DZ95,MATCH(DF95,DF95:DF200,0),MATCH(Structure!$D$22,$DD$14:$DZ$14,0)),INDEX(EA95:EZ95,MATCH(EC95,EC95:EC200,0),MATCH(Structure!$D$22,$EA$14:$EZ$14,0))))</f>
        <v/>
      </c>
      <c r="CM95" s="239" t="str">
        <f>IF(A95=FALSE,"",IF(ALLTHESAME=TRUE,INDEX(FA95:FZ95,MATCH(FC95,FC95:FC200,0),MATCH(Structure!$D$22,$FA$14:$FZ$14,0)),INDEX(GA95:GZ95,MATCH(GC95,GC95:GC200,0),MATCH(Structure!$D$22,$GA$14:$GZ$14,0))))</f>
        <v/>
      </c>
      <c r="CN95" s="239" t="str">
        <f>IF(A95=FALSE,"",IF(ALLTHESAME=TRUE,INDEX(HA95:HZ95,MATCH(HC95,HC95:HC200,0),MATCH(Structure!$D$22,$HA$14:$HZ$14,0)),INDEX(IA95:IZ95,MATCH(IC95,IC95:IC200,0),MATCH(Structure!$D$22,$IA$14:$IZ$14,0))))</f>
        <v/>
      </c>
      <c r="CO95" s="239" t="str">
        <f>IF(A95=FALSE,"",IF(ALLTHESAME=TRUE,INDEX(JA95:JZ95,MATCH(JC95,JC95:JC200,0),MATCH(Structure!$D$22,$JA$14:$JZ$14,0)),INDEX(KA95:KZ95,MATCH(KC95,KC95:KC200,0),MATCH(Structure!$D$22,$KA$14:$KZ$14,0))))</f>
        <v/>
      </c>
      <c r="CP95" s="239" t="str">
        <f>IF(A95=FALSE,"",IF(ALLTHESAME=TRUE,INDEX(LA95:LZ95,MATCH(LC95,LC95:LC200,0),MATCH(Structure!$D$22,$LA$14:$LZ$14,0)),INDEX(MA95:MZ95,MATCH(MC95,MC95:MC200,0),MATCH(Structure!$D$22,$MA$14:$MZ$14,0))))</f>
        <v/>
      </c>
      <c r="CQ95" s="239" t="str">
        <f>IF(A95=FALSE,"",IF(ALLTHESAME=TRUE,INDEX(NA95:NZ95,MATCH(NC95,NC95:NC200,0),MATCH(Structure!$D$22,$NA$14:$NZ$14,0)),INDEX(OA95:OZ95,MATCH(OC95,OC95:OC200,0),MATCH(Structure!$D$22,$OA$14:$OZ$14,0))))</f>
        <v/>
      </c>
      <c r="CR95" s="239" t="str">
        <f>IF(A95=FALSE,"",IF(ALLTHESAME=TRUE,INDEX(PA95:PZ95,MATCH(PC95,PC95:PC200,0),MATCH(Structure!$D$22,$PA$14:$PZ$14,0)),INDEX(QA95:QZ95,MATCH(QC95,QC95:QC200,0),MATCH(Structure!$D$22,$QA$14:$QZ$14,0))))</f>
        <v/>
      </c>
      <c r="CS95" s="341" t="str">
        <f>IF(A95=FALSE,"",IF(ALLTHESAME=TRUE,INDEX(RA95:RZ95,MATCH(RC95,RC95:RC200,0),MATCH(Structure!$D$22,$RA$14:$RZ$14,0)),INDEX(SA95:TC95,MATCH(SC95,SC95:SC200,0),MATCH(Structure!$D$22,$SA$14:$TC$14,0))))</f>
        <v/>
      </c>
      <c r="CT95" s="347"/>
      <c r="CU95" s="239" t="str">
        <f t="shared" si="653"/>
        <v/>
      </c>
      <c r="CV95" s="239" t="str">
        <f>IF(A95=FALSE,"",IF(ALLTHESAME=TRUE,INDEX(DD95:DZ95,MATCH(DF95,DF95:DF200,0),MATCH(Structure!$D$8,$DD$14:$DZ$14,0)),INDEX(EA95:EZ95,MATCH(EC95,EC95:EC200,0),MATCH(Structure!$D$8,$EA$14:$EZ$14,0))))</f>
        <v/>
      </c>
      <c r="CW95" s="239" t="str">
        <f>IF(A95=FALSE,"",IF(ALLTHESAME=TRUE,INDEX(FA95:FZ95,MATCH(FC95,FC95:FC200,0),MATCH(Structure!$D$8,$FA$14:$FZ$14,0)),INDEX(GA95:GZ95,MATCH(GC95,GC95:GC200,0),MATCH(Structure!$D$8,$GA$14:$GZ$14,0))))</f>
        <v/>
      </c>
      <c r="CX95" s="239" t="str">
        <f>IF(A95=FALSE,"",IF(ALLTHESAME=TRUE,INDEX(HA95:HZ95,MATCH(HC95,HC95:HC200,0),MATCH(Structure!$D$8,$HA$14:$HZ$14,0)),INDEX(IA95:IZ95,MATCH(IC95,IC95:IC200,0),MATCH(Structure!$D$8,$IA$14:$IZ$14,0))))</f>
        <v/>
      </c>
      <c r="CY95" s="239" t="str">
        <f>IF(A95=FALSE,"",IF(ALLTHESAME=TRUE,INDEX(JA95:JZ95,MATCH(JC95,JC95:JC200,0),MATCH(Structure!$D$8,$JA$14:$JZ$14,0)),INDEX(KA95:KZ95,MATCH(KC95,KC95:KC200,0),MATCH(Structure!$D$8,$KA$14:$KZ$14,0))))</f>
        <v/>
      </c>
      <c r="CZ95" s="239" t="str">
        <f>IF(A95=FALSE,"",IF(ALLTHESAME=TRUE,INDEX(LA95:LZ95,MATCH(LC95,LC95:LC200,0),MATCH(Structure!$D$8,$LA$14:$LZ$14,0)),INDEX(MA95:MZ95,MATCH(MC95,MC95:MC200,0),MATCH(Structure!$D$8,$MA$14:$MZ$14,0))))</f>
        <v/>
      </c>
      <c r="DA95" s="239" t="str">
        <f>IF(A95=FALSE,"",IF(ALLTHESAME=TRUE,INDEX(NA95:NZ95,MATCH(NC95,NC95:NC200,0),MATCH(Structure!$D$8,$NA$14:$NZ$14,0)),INDEX(OA95:OZ95,MATCH(OC95,OC95:OC200,0),MATCH(Structure!$D$8,$OA$14:$OZ$14,0))))</f>
        <v/>
      </c>
      <c r="DB95" s="239" t="str">
        <f>IF(A95=FALSE,"",IF(ALLTHESAME=TRUE,INDEX(PA95:PZ95,MATCH(PC95,PC95:PC200,0),MATCH(Structure!$D$8,$PA$14:$PZ$14,0)),INDEX(QA95:QZ95,MATCH(QC95,QC95:QC200,0),MATCH(Structure!$D$8,$QA$14:$QZ$14,0))))</f>
        <v/>
      </c>
      <c r="DC95" s="341" t="str">
        <f>IF(A95=FALSE,"",IF(ALLTHESAME=TRUE,INDEX(RA95:RZ95,MATCH(RC95,RC95:RC200,0),MATCH(Structure!$D$8,$RA$14:$RZ$14,0)),INDEX(SA95:TC95,MATCH(SC95,SC95:SC200,0),MATCH(Structure!$D$8,$SA$14:$TC$14,0))))</f>
        <v/>
      </c>
      <c r="DD95" s="492" t="str">
        <f>IF(A95=FALSE,"",Cotations!D95)</f>
        <v/>
      </c>
      <c r="DE95" s="492" t="str">
        <f>IF(A95=FALSE,"",IF(LISTES!$A$17=1,Cotations!AF95,Cotations!$AG$4))</f>
        <v/>
      </c>
      <c r="DF95" s="291" t="str">
        <f t="shared" si="654"/>
        <v/>
      </c>
      <c r="DG95" s="291" t="str">
        <f t="shared" si="655"/>
        <v/>
      </c>
      <c r="DH95" s="291"/>
      <c r="DI95" s="463"/>
      <c r="DJ95" s="463" t="str">
        <f t="shared" si="656"/>
        <v/>
      </c>
      <c r="DK95" s="522" t="str">
        <f>IF(A95=FALSE,"",IF(Cotations!$AH$4="monthly",DJ95/12*L95,DJ95/365*M95))</f>
        <v/>
      </c>
      <c r="DL95" s="489" t="str">
        <f>IF(A95=FALSE,"",Cotations!$AI$4)</f>
        <v/>
      </c>
      <c r="DM95" s="300" t="str">
        <f t="shared" si="657"/>
        <v/>
      </c>
      <c r="DN95" s="300" t="str">
        <f t="shared" si="658"/>
        <v/>
      </c>
      <c r="DO95" s="294" t="str">
        <f t="shared" si="659"/>
        <v/>
      </c>
      <c r="DP95" s="494" t="str">
        <f>IF(A95=FALSE,"",Cotations!$AJ$4)</f>
        <v/>
      </c>
      <c r="DQ95" s="494" t="str">
        <f>IF(A95=FALSE,"",Cotations!$AK$4)</f>
        <v/>
      </c>
      <c r="DR95" s="489" t="str">
        <f>IF(A95=FALSE,"",Cotations!$AL$4)</f>
        <v/>
      </c>
      <c r="DS95" s="494" t="str">
        <f>IF(A95=FALSE,"",IF(DP95="N/A",0,IF(INDEX(LISTES!$F$105:$F$109,MATCH(DP95,LISTES!$C$105:$C$109,0))="FIX",IF(INDEX(LISTES!$E$105:$E$109,MATCH(DP95,LISTES!$C$105:$C$109,0))=12,DQ95/12*L95,DQ95/365*M95),DR95*DO95)))</f>
        <v/>
      </c>
      <c r="DT95" s="294" t="str">
        <f t="shared" si="660"/>
        <v/>
      </c>
      <c r="DU95" s="294" t="str">
        <f>IF(A95=FALSE,"",DT95*Cotations!$AM$4)</f>
        <v/>
      </c>
      <c r="DV95" s="294" t="str">
        <f>IF(A95=FALSE,"",DT95*Cotations!$AN$4)</f>
        <v/>
      </c>
      <c r="DW95" s="465" t="str">
        <f t="shared" si="661"/>
        <v/>
      </c>
      <c r="DX95" s="919" t="str">
        <f>IF(A95=FALSE,"",((DJ95*TAXE)-(DJ95*TAXE*DL95))+IF(DP95="N/A",0,IF(INDEX(LISTES!$F$105:$F$109,MATCH(DP95,LISTES!$C$105:$C$109,0))="FIX",DQ95,DR95*DO95)))</f>
        <v/>
      </c>
      <c r="DY95" s="466"/>
      <c r="DZ95" s="466"/>
      <c r="EA95" s="492" t="str">
        <f>IF(A95=FALSE,"",Cotations!D95)</f>
        <v/>
      </c>
      <c r="EB95" s="494" t="str">
        <f>IF(A95=FALSE,"",IF(LISTES!$A$17=1,Cotations!AF95,Cotations!AG95))</f>
        <v/>
      </c>
      <c r="EC95" s="284" t="str">
        <f t="shared" si="662"/>
        <v/>
      </c>
      <c r="ED95" s="284" t="str">
        <f t="shared" si="663"/>
        <v/>
      </c>
      <c r="EE95" s="284"/>
      <c r="EF95" s="284"/>
      <c r="EG95" s="284" t="str">
        <f t="shared" si="664"/>
        <v/>
      </c>
      <c r="EH95" s="1365" t="str">
        <f t="shared" si="665"/>
        <v/>
      </c>
      <c r="EI95" s="1365" t="str">
        <f t="shared" si="666"/>
        <v/>
      </c>
      <c r="EJ95" s="515" t="str">
        <f>IF(A95=FALSE,"",IF(Cotations!AH95="monthly",EG95/12*L95,EG95/365*M95))</f>
        <v/>
      </c>
      <c r="EK95" s="1364" t="str">
        <f>IF(A95=FALSE,"",IF(Cotations!AH95="monthly",EI95/12*L95,EI95/365*M95))</f>
        <v/>
      </c>
      <c r="EL95" s="493" t="str">
        <f>IF(A95=FALSE,"",IF(Cotations!AI95="","",Cotations!AI95))</f>
        <v/>
      </c>
      <c r="EM95" s="284" t="str">
        <f t="shared" si="667"/>
        <v/>
      </c>
      <c r="EN95" s="284" t="str">
        <f t="shared" si="668"/>
        <v/>
      </c>
      <c r="EO95" s="1365" t="str">
        <f t="shared" si="840"/>
        <v/>
      </c>
      <c r="EP95" s="284" t="str">
        <f t="shared" si="669"/>
        <v/>
      </c>
      <c r="EQ95" s="515" t="str">
        <f>IF(A95=FALSE,"",Cotations!AJ95)</f>
        <v/>
      </c>
      <c r="ER95" s="515" t="str">
        <f>IF(A95=FALSE,"",IF(Cotations!AK95="","",Cotations!AK95))</f>
        <v/>
      </c>
      <c r="ES95" s="493" t="str">
        <f>IF(A95=FALSE,"",Cotations!AL95)</f>
        <v/>
      </c>
      <c r="ET95" s="515" t="str">
        <f>IF(A95=FALSE,"",IF(EQ95="N/A",0,IF(INDEX(LISTES!$F$105:$F$109,MATCH(EQ95,LISTES!$C$105:$C$109,0))="FIX",IF(INDEX(LISTES!$E$105:$E$109,MATCH(EQ95,LISTES!$C$105:$C$109,0))=12,ER95/12*L95,ER95/365*M95),ES95*EP95)))</f>
        <v/>
      </c>
      <c r="EU95" s="294" t="str">
        <f t="shared" si="670"/>
        <v/>
      </c>
      <c r="EV95" s="494" t="str">
        <f>IF(A95=FALSE,"",EU95*Cotations!AM95)</f>
        <v/>
      </c>
      <c r="EW95" s="494" t="str">
        <f>IF(A95=FALSE,"",EU95*Cotations!AN95)</f>
        <v/>
      </c>
      <c r="EX95" s="334" t="str">
        <f t="shared" si="671"/>
        <v/>
      </c>
      <c r="EY95" s="919" t="str">
        <f>IF(A95=FALSE,"",((EG95*TAXE)-(EG95*TAXE*EL95)+EH95)+IF(EQ95="N/A",0,IF(INDEX(LISTES!$F$105:$F$109,MATCH(EQ95,LISTES!$C$105:$C$109,0))="FIX",ER95,ES95*EP95)))</f>
        <v/>
      </c>
      <c r="FA95" s="492" t="str">
        <f>IF(A95=FALSE,"",Cotations!D95)</f>
        <v/>
      </c>
      <c r="FB95" s="519" t="str">
        <f>IF(A95=FALSE,"",IF(LISTES!$A$17=1,Cotations!AO95,Cotations!$AP$4))</f>
        <v/>
      </c>
      <c r="FC95" s="291" t="str">
        <f t="shared" si="672"/>
        <v/>
      </c>
      <c r="FD95" s="291" t="str">
        <f t="shared" si="673"/>
        <v/>
      </c>
      <c r="FE95" s="291"/>
      <c r="FF95" s="463"/>
      <c r="FG95" s="463" t="str">
        <f t="shared" si="674"/>
        <v/>
      </c>
      <c r="FH95" s="522" t="str">
        <f>IF(A95=FALSE,"",IF(Cotations!$AQ$4="monthly",FG95/12*L95,FG95/365*M95))</f>
        <v/>
      </c>
      <c r="FI95" s="453" t="str">
        <f>IF(A95=FALSE,"",Cotations!$AR$4)</f>
        <v/>
      </c>
      <c r="FJ95" s="300" t="str">
        <f t="shared" si="675"/>
        <v/>
      </c>
      <c r="FK95" s="300" t="str">
        <f t="shared" si="676"/>
        <v/>
      </c>
      <c r="FL95" s="294" t="str">
        <f t="shared" si="677"/>
        <v/>
      </c>
      <c r="FM95" s="494" t="str">
        <f>IF(A95=FALSE,"",Cotations!$AS$4)</f>
        <v/>
      </c>
      <c r="FN95" s="494" t="str">
        <f>IF(A95=FALSE,"",Cotations!$AT$4)</f>
        <v/>
      </c>
      <c r="FO95" s="489" t="str">
        <f>IF(A95=FALSE,"",Cotations!$AU$4)</f>
        <v/>
      </c>
      <c r="FP95" s="494" t="str">
        <f>IF(A95=FALSE,"",IF(FM95="N/A",0,IF(INDEX(LISTES!$F$105:$F$109,MATCH(FM95,LISTES!$C$105:$C$109,0))="FIX",IF(INDEX(LISTES!$E$105:$E$109,MATCH(FM95,LISTES!$C$105:$C$109,0))=12,FN95/12*L95,FN95/365*M95),FO95*FL95)))</f>
        <v/>
      </c>
      <c r="FQ95" s="294" t="str">
        <f t="shared" si="678"/>
        <v/>
      </c>
      <c r="FR95" s="494" t="str">
        <f>IF(A95=FALSE,"",FQ95*Cotations!$AV$4)</f>
        <v/>
      </c>
      <c r="FS95" s="494" t="str">
        <f>IF(A95=FALSE,"",FQ95*Cotations!$AW$4)</f>
        <v/>
      </c>
      <c r="FT95" s="465" t="str">
        <f t="shared" si="679"/>
        <v/>
      </c>
      <c r="FU95" s="919" t="str">
        <f>IF(A95=FALSE,"",((FG95*TAXE)-(FG95*TAXE*FI95))+IF(FM95="N/A",0,IF(INDEX(LISTES!$F$105:$F$109,MATCH(FM95,LISTES!$C$105:$C$109,0))="FIX",FN95,FO95*FL95)))</f>
        <v/>
      </c>
      <c r="FV95" s="478"/>
      <c r="FW95" s="478"/>
      <c r="FX95" s="478"/>
      <c r="FY95" s="478"/>
      <c r="FZ95" s="478"/>
      <c r="GA95" s="492" t="str">
        <f>IF(A95=FALSE,"",Cotations!D95)</f>
        <v/>
      </c>
      <c r="GB95" s="494" t="str">
        <f>IF(A95=FALSE,"",IF(LISTES!$A$17=1,Cotations!AO95,Cotations!AP95))</f>
        <v/>
      </c>
      <c r="GC95" s="284" t="str">
        <f t="shared" si="680"/>
        <v/>
      </c>
      <c r="GD95" s="515" t="str">
        <f>IF(A95=FALSE,"",IF(Detail!AM95="","",Detail!AM95))</f>
        <v/>
      </c>
      <c r="GE95" s="284"/>
      <c r="GF95" s="284"/>
      <c r="GG95" s="284" t="str">
        <f t="shared" si="681"/>
        <v/>
      </c>
      <c r="GH95" s="515" t="str">
        <f>IF(A95=FALSE,"",IF(Cotations!AQ95="monthly",GG95/12*L95,GG95/365*M95))</f>
        <v/>
      </c>
      <c r="GI95" s="493" t="str">
        <f>IF(A95=FALSE,"",IF(Cotations!AR95="","",Cotations!AR95))</f>
        <v/>
      </c>
      <c r="GJ95" s="284" t="str">
        <f t="shared" si="682"/>
        <v/>
      </c>
      <c r="GK95" s="284" t="str">
        <f t="shared" si="683"/>
        <v/>
      </c>
      <c r="GL95" s="284" t="str">
        <f t="shared" si="684"/>
        <v/>
      </c>
      <c r="GM95" s="515" t="str">
        <f>IF(A95=FALSE,"",Cotations!AS95)</f>
        <v/>
      </c>
      <c r="GN95" s="515" t="str">
        <f>IF(A95=FALSE,"",Cotations!AT95)</f>
        <v/>
      </c>
      <c r="GO95" s="493" t="str">
        <f>IF(A95=FALSE,"",Cotations!AU95)</f>
        <v/>
      </c>
      <c r="GP95" s="515" t="str">
        <f>IF(A95=FALSE,"",IF(GM95="N/A",0,IF(INDEX(LISTES!$F$105:$F$109,MATCH(GM95,LISTES!$C$105:$C$109,0))="FIX",IF(INDEX(LISTES!$E$105:$E$109,MATCH(GM95,LISTES!$C$105:$C$109,0))=12,GN95/12*L95,GN95/365*M95),GO95*GL95)))</f>
        <v/>
      </c>
      <c r="GQ95" s="294" t="str">
        <f t="shared" si="685"/>
        <v/>
      </c>
      <c r="GR95" s="494" t="str">
        <f>IF(A95=FALSE,"",GQ95*Cotations!AV95)</f>
        <v/>
      </c>
      <c r="GS95" s="494" t="str">
        <f>IF(A95=FALSE,"",GQ95*Cotations!AW95)</f>
        <v/>
      </c>
      <c r="GT95" s="334" t="str">
        <f t="shared" si="686"/>
        <v/>
      </c>
      <c r="GU95" s="919" t="str">
        <f>IF(A95=FALSE,"",((GG95*TAXE)-(GG95*TAXE*GI95))+IF(GM95="N/A",0,IF(INDEX(LISTES!$F$105:$F$109,MATCH(GM95,LISTES!$C$105:$C$109,0))="FIX",GN95,GO95*GL95)))</f>
        <v/>
      </c>
      <c r="GV95" s="478"/>
      <c r="GW95" s="466"/>
      <c r="GX95" s="466"/>
      <c r="GY95" s="466"/>
      <c r="GZ95" s="466"/>
      <c r="HA95" s="492" t="str">
        <f>IF(A95=FALSE,"",Cotations!D95)</f>
        <v/>
      </c>
      <c r="HB95" s="495" t="str">
        <f>IF(A95=FALSE,"",IF(LISTES!$A$17=1,Cotations!AX95,Cotations!$AY$4))</f>
        <v/>
      </c>
      <c r="HC95" s="291" t="str">
        <f t="shared" si="687"/>
        <v/>
      </c>
      <c r="HD95" s="291" t="str">
        <f t="shared" si="688"/>
        <v/>
      </c>
      <c r="HE95" s="456" t="str">
        <f t="shared" si="689"/>
        <v/>
      </c>
      <c r="HF95" s="496" t="str">
        <f>IF(A95=FALSE,"",IF(HA95="POEA",Cotations!BA95,IF(HA95="FIXE",Cotations!$BA$4,Cotations!$BC$4*Y95)))</f>
        <v/>
      </c>
      <c r="HG95" s="300" t="str">
        <f t="shared" si="690"/>
        <v/>
      </c>
      <c r="HH95" s="522" t="str">
        <f>IF(A95=FALSE,"",IF(Cotations!$AZ$4="monthly",HG95/12*L95,HG95/365*M95))</f>
        <v/>
      </c>
      <c r="HI95" s="489" t="str">
        <f>IF(A95=FALSE,"",Cotations!$BD$4)</f>
        <v/>
      </c>
      <c r="HJ95" s="300" t="str">
        <f t="shared" si="691"/>
        <v/>
      </c>
      <c r="HK95" s="300" t="str">
        <f t="shared" si="692"/>
        <v/>
      </c>
      <c r="HL95" s="294" t="str">
        <f t="shared" si="693"/>
        <v/>
      </c>
      <c r="HM95" s="494" t="str">
        <f>IF(A95=FALSE,"",Cotations!$BE$4)</f>
        <v/>
      </c>
      <c r="HN95" s="522" t="str">
        <f>IF(A95=FALSE,"",Cotations!$BF$4)</f>
        <v/>
      </c>
      <c r="HO95" s="489" t="str">
        <f>IF(A95=FALSE,"",Cotations!$BG$4)</f>
        <v/>
      </c>
      <c r="HP95" s="494" t="str">
        <f>IF(A95=FALSE,"",IF(HM95="N/A",0,IF(INDEX(LISTES!$F$105:$F$109,MATCH(HM95,LISTES!$C$105:$C$109,0))="FIX",IF(INDEX(LISTES!$E$105:$E$109,MATCH(HM95,LISTES!$C$105:$C$109,0))=12,HN95/12*L95,HN95/365*M95),HO95*HL95)))</f>
        <v/>
      </c>
      <c r="HQ95" s="294" t="str">
        <f t="shared" si="694"/>
        <v/>
      </c>
      <c r="HR95" s="494" t="str">
        <f>IF(A95=FALSE,"",HQ95*Cotations!$BH$4)</f>
        <v/>
      </c>
      <c r="HS95" s="494" t="str">
        <f>IF(A95=FALSE,"",HQ95*Cotations!$BI$4)</f>
        <v/>
      </c>
      <c r="HT95" s="294" t="str">
        <f t="shared" si="695"/>
        <v/>
      </c>
      <c r="HU95" s="919" t="str">
        <f>IF(A95=FALSE,"",((HG95*TAXE)-(HG95*TAXE*HI95))+IF(HM95="N/A",0,IF(INDEX(LISTES!$F$105:$F$109,MATCH(HM95,LISTES!$C$105:$C$109,0))="FIX",HN95,HO95*HL95)))</f>
        <v/>
      </c>
      <c r="IA95" s="492" t="str">
        <f>IF(A95=FALSE,"",Cotations!D95)</f>
        <v/>
      </c>
      <c r="IB95" s="491" t="str">
        <f>IF(A95=FALSE,"",IF(LISTES!$A$17=1,Cotations!AX95,Cotations!AY95))</f>
        <v/>
      </c>
      <c r="IC95" s="285" t="str">
        <f t="shared" si="696"/>
        <v/>
      </c>
      <c r="ID95" s="300" t="str">
        <f>IF(A95=FALSE,"",IF(LISTES!$A$17=3,Detail!AU95,lig1_Formula_PREVOY))</f>
        <v/>
      </c>
      <c r="IE95" s="461" t="str">
        <f t="shared" si="697"/>
        <v/>
      </c>
      <c r="IF95" s="490" t="str">
        <f>IF(A95=FALSE,"",IF(IA95="POEA",Cotations!BA95,IF(HA95="FIXE",Cotations!BB95,IF(Cotations!BC95*Y95&lt;50000,Z95,Cotations!BC95*Y95))))</f>
        <v/>
      </c>
      <c r="IG95" s="300" t="str">
        <f t="shared" si="698"/>
        <v/>
      </c>
      <c r="IH95" s="522" t="str">
        <f>IF(A95=FALSE,"",IF(Cotations!AZ95="monthly",IG95/12*L95,IG95/365*M95))</f>
        <v/>
      </c>
      <c r="II95" s="489" t="str">
        <f>IF(A95=FALSE,"",IF(Cotations!BD95="","",Cotations!BD95))</f>
        <v/>
      </c>
      <c r="IJ95" s="300" t="str">
        <f t="shared" si="699"/>
        <v/>
      </c>
      <c r="IK95" s="300" t="str">
        <f t="shared" si="700"/>
        <v/>
      </c>
      <c r="IL95" s="919" t="str">
        <f t="shared" si="701"/>
        <v/>
      </c>
      <c r="IM95" s="517" t="str">
        <f>IF(A95=FALSE,"",Cotations!BE95)</f>
        <v/>
      </c>
      <c r="IN95" s="517" t="str">
        <f>IF(A95=FALSE,"",Cotations!BF95)</f>
        <v/>
      </c>
      <c r="IO95" s="493" t="str">
        <f>IF(A95=FALSE,"",Cotations!BG95)</f>
        <v/>
      </c>
      <c r="IP95" s="517" t="str">
        <f>IF(A95=FALSE,"",IF(IM95="N/A",0,IF(INDEX(LISTES!$F$105:$F$109,MATCH(IM95,LISTES!$C$105:$C$109,0))="FIX",IF(INDEX(LISTES!$E$105:$E$109,MATCH(IM95,LISTES!$C$105:$C$109,0))=12,IN95/12*L95,IN95/365*M95),IO95*IL95)))</f>
        <v/>
      </c>
      <c r="IQ95" s="294" t="str">
        <f t="shared" si="702"/>
        <v/>
      </c>
      <c r="IR95" s="494" t="str">
        <f>IF(A95=FALSE,"",IQ95*Cotations!BH95)</f>
        <v/>
      </c>
      <c r="IS95" s="494" t="str">
        <f>IF(A95=FALSE,"",IQ95*Cotations!BI95)</f>
        <v/>
      </c>
      <c r="IT95" s="338" t="str">
        <f t="shared" si="703"/>
        <v/>
      </c>
      <c r="IU95" s="919" t="str">
        <f>IF(A95=FALSE,"",((IG95*TAXE)-(IG95*TAXE*II95))+IF(IM95="N/A",0,IF(INDEX(LISTES!$F$105:$F$109,MATCH(IM95,LISTES!$C$105:$C$109,0))="FIX",IN95,IO95*IL95)))</f>
        <v/>
      </c>
      <c r="JA95" s="492" t="str">
        <f>IF(A95=FALSE,"",Cotations!D95)</f>
        <v/>
      </c>
      <c r="JB95" s="495" t="str">
        <f>IF(A95=FALSE,"",IF(LISTES!$A$17=1,Cotations!BJ95,Cotations!$BK$4))</f>
        <v/>
      </c>
      <c r="JC95" s="291" t="str">
        <f t="shared" si="704"/>
        <v/>
      </c>
      <c r="JD95" s="291" t="str">
        <f t="shared" si="705"/>
        <v/>
      </c>
      <c r="JE95" s="456" t="str">
        <f t="shared" si="706"/>
        <v/>
      </c>
      <c r="JF95" s="496" t="str">
        <f>IF(A95=FALSE,"",IF(JA95="POEA",Cotations!BM95,IF(JA95="FIXE",Cotations!$BM$4,Cotations!$BO$4*Y95)))</f>
        <v/>
      </c>
      <c r="JG95" s="300" t="str">
        <f t="shared" si="707"/>
        <v/>
      </c>
      <c r="JH95" s="522" t="str">
        <f>IF(A95=FALSE,"",IF(Cotations!$BL$4="monthly",JG95/12*L95,JG95/365*M95))</f>
        <v/>
      </c>
      <c r="JI95" s="489" t="str">
        <f>IF(A95=FALSE,"",Cotations!$BP$4)</f>
        <v/>
      </c>
      <c r="JJ95" s="300" t="str">
        <f t="shared" si="708"/>
        <v/>
      </c>
      <c r="JK95" s="300" t="str">
        <f t="shared" si="709"/>
        <v/>
      </c>
      <c r="JL95" s="294" t="str">
        <f t="shared" si="710"/>
        <v/>
      </c>
      <c r="JM95" s="494" t="str">
        <f>IF(A95=FALSE,"",Cotations!$BQ$4)</f>
        <v/>
      </c>
      <c r="JN95" s="522" t="str">
        <f>IF(A95=FALSE,"",Cotations!$BR$4)</f>
        <v/>
      </c>
      <c r="JO95" s="489" t="str">
        <f>IF(A95=FALSE,"",Cotations!$BS$4)</f>
        <v/>
      </c>
      <c r="JP95" s="494" t="str">
        <f>IF(A95=FALSE,"",IF(JM95="N/A",0,IF(INDEX(LISTES!$F$105:$F$109,MATCH(JM95,LISTES!$C$105:$C$109,0))="FIX",IF(INDEX(LISTES!$E$105:$E$109,MATCH(JM95,LISTES!$C$105:$C$109,0))=12,JN95/12*L95,JN95/365*M95),JO95*JL95)))</f>
        <v/>
      </c>
      <c r="JQ95" s="294" t="str">
        <f t="shared" si="711"/>
        <v/>
      </c>
      <c r="JR95" s="494" t="str">
        <f>IF(A95=FALSE,"",JQ95*Cotations!$BT$4)</f>
        <v/>
      </c>
      <c r="JS95" s="494" t="str">
        <f>IF(A95=FALSE,"",JQ95*Cotations!$BU$4)</f>
        <v/>
      </c>
      <c r="JT95" s="294" t="str">
        <f t="shared" si="712"/>
        <v/>
      </c>
      <c r="JU95" s="919" t="str">
        <f>IF(A95=FALSE,"",((JG95*TAXE)-(JG95*TAXE*JI95))+IF(JM95="N/A",0,IF(INDEX(LISTES!$F$105:$F$109,MATCH(JM95,LISTES!$C$105:$C$109,0))="FIX",JN95,JO95*JL95)))</f>
        <v/>
      </c>
      <c r="KA95" s="492" t="str">
        <f>IF(A95=FALSE,"",Cotations!D95)</f>
        <v/>
      </c>
      <c r="KB95" s="491" t="str">
        <f>IF(A95=FALSE,"",IF(LISTES!$A$17=1,Cotations!BJ95,Cotations!BK95))</f>
        <v/>
      </c>
      <c r="KC95" s="285" t="str">
        <f t="shared" si="713"/>
        <v/>
      </c>
      <c r="KD95" s="300"/>
      <c r="KE95" s="461" t="str">
        <f t="shared" si="714"/>
        <v/>
      </c>
      <c r="KF95" s="490" t="str">
        <f>IF(A95=FALSE,"",IF(KA95="POEA",Cotations!BM95,IF(KA95="FIXE",Cotations!BN95,IF(Cotations!BO95*Y95&lt;50000,Z95,Cotations!BO95*Y95))))</f>
        <v/>
      </c>
      <c r="KG95" s="300" t="str">
        <f t="shared" si="715"/>
        <v/>
      </c>
      <c r="KH95" s="522" t="str">
        <f>IF(A95=FALSE,"",IF(Cotations!BL95="monthly",KG95/12*L95,KG95/365*M95))</f>
        <v/>
      </c>
      <c r="KI95" s="489" t="str">
        <f>IF(A95=FALSE,"",IF(Cotations!BP95="","",Cotations!BP95))</f>
        <v/>
      </c>
      <c r="KJ95" s="300" t="str">
        <f t="shared" si="716"/>
        <v/>
      </c>
      <c r="KK95" s="300" t="str">
        <f t="shared" si="717"/>
        <v/>
      </c>
      <c r="KL95" s="919" t="str">
        <f t="shared" si="718"/>
        <v/>
      </c>
      <c r="KM95" s="517" t="str">
        <f>IF(A95=FALSE,"",Cotations!BQ95)</f>
        <v/>
      </c>
      <c r="KN95" s="515" t="str">
        <f>IF(A95=FALSE,"",Cotations!BR95)</f>
        <v/>
      </c>
      <c r="KO95" s="493" t="str">
        <f>IF(A95=FALSE,"",Cotations!BS95)</f>
        <v/>
      </c>
      <c r="KP95" s="517" t="str">
        <f>IF(A95=FALSE,"",IF(KM95="N/A",0,IF(INDEX(LISTES!$F$105:$F$109,MATCH(KM95,LISTES!$C$105:$C$109,0))="FIX",IF(INDEX(LISTES!$E$105:$E$109,MATCH(KM95,LISTES!$C$105:$C$109,0))=12,KN95/12*L95,KN95/365*M95),KO95*KL95)))</f>
        <v/>
      </c>
      <c r="KQ95" s="294" t="str">
        <f t="shared" si="719"/>
        <v/>
      </c>
      <c r="KR95" s="494" t="str">
        <f>IF(A95=FALSE,"",KQ95*Cotations!BT95)</f>
        <v/>
      </c>
      <c r="KS95" s="494" t="str">
        <f>IF(A95=FALSE,"",KQ95*Cotations!BU95)</f>
        <v/>
      </c>
      <c r="KT95" s="338" t="str">
        <f t="shared" si="720"/>
        <v/>
      </c>
      <c r="KU95" s="919" t="str">
        <f>IF(A95=FALSE,"",((KG95*TAXE)-(KG95*TAXE*KI95))+IF(KM95="N/A",0,IF(INDEX(LISTES!$F$105:$F$109,MATCH(KM95,LISTES!$C$105:$C$109,0))="FIX",KN95,KO95*KL95)))</f>
        <v/>
      </c>
      <c r="LA95" s="497" t="str">
        <f>IF(A95=FALSE,"",Cotations!D95)</f>
        <v/>
      </c>
      <c r="LB95" s="498" t="str">
        <f>IF(A95=FALSE,"",IF(LISTES!$A$17=1,Cotations!BV95,Cotations!$BW$4))</f>
        <v/>
      </c>
      <c r="LC95" s="499" t="str">
        <f t="shared" si="721"/>
        <v/>
      </c>
      <c r="LD95" s="499" t="str">
        <f t="shared" si="722"/>
        <v/>
      </c>
      <c r="LE95" s="500" t="str">
        <f t="shared" si="723"/>
        <v/>
      </c>
      <c r="LF95" s="501" t="str">
        <f>IF(A95=FALSE,"",IF(LA95="POEA",Cotations!EJ95,IF(LA95="FIXE",Cotations!$BY$4,Cotations!$CA$4*Y95)))</f>
        <v/>
      </c>
      <c r="LG95" s="502" t="str">
        <f t="shared" si="724"/>
        <v/>
      </c>
      <c r="LH95" s="520" t="str">
        <f>IF(A95=FALSE,"",IF(Cotations!$BX$4="monthly",LG95/12*L95,LG95/365*M95))</f>
        <v/>
      </c>
      <c r="LI95" s="503" t="str">
        <f>IF(A95=FALSE,"",Cotations!$CB$4)</f>
        <v/>
      </c>
      <c r="LJ95" s="502" t="str">
        <f t="shared" si="725"/>
        <v/>
      </c>
      <c r="LK95" s="502" t="str">
        <f t="shared" si="726"/>
        <v/>
      </c>
      <c r="LL95" s="504" t="str">
        <f t="shared" si="727"/>
        <v/>
      </c>
      <c r="LM95" s="505" t="str">
        <f>IF(A95=FALSE,"",Cotations!$CC$4)</f>
        <v/>
      </c>
      <c r="LN95" s="503" t="str">
        <f>IF(A95=FALSE,"",Cotations!$CD$4)</f>
        <v/>
      </c>
      <c r="LO95" s="503" t="str">
        <f>IF(A95=FALSE,"",Cotations!$CE$4)</f>
        <v/>
      </c>
      <c r="LP95" s="505" t="str">
        <f>IF(A95=FALSE,"",IF(LM95="N/A",0,IF(INDEX(LISTES!$F$105:$F$109,MATCH(LM95,LISTES!$C$105:$C$109,0))="FIX",IF(INDEX(LISTES!$E$105:$E$109,MATCH(LM95,LISTES!$C$105:$C$109,0))=12,LN95/12*L95,LN95/365*M95),LO95*LL95)))</f>
        <v/>
      </c>
      <c r="LQ95" s="504" t="str">
        <f t="shared" si="728"/>
        <v/>
      </c>
      <c r="LR95" s="505" t="str">
        <f>IF(A95=FALSE,"",LQ95*Cotations!$CF$4)</f>
        <v/>
      </c>
      <c r="LS95" s="505" t="str">
        <f>IF(A95=FALSE,"",LQ95*Cotations!$CG$4)</f>
        <v/>
      </c>
      <c r="LT95" s="506" t="str">
        <f t="shared" si="729"/>
        <v/>
      </c>
      <c r="LU95" s="919" t="str">
        <f>IF(A95=FALSE,"",((LG95*TAXE)-(LG95*TAXE*LI95))+IF(LM95="N/A",0,IF(INDEX(LISTES!$F$105:$F$109,MATCH(LM95,LISTES!$C$105:$C$109,0))="FIX",LN95,LO95*LL95)))</f>
        <v/>
      </c>
      <c r="MA95" s="492" t="str">
        <f>IF(A95=FALSE,"",Cotations!D95)</f>
        <v/>
      </c>
      <c r="MB95" s="491" t="str">
        <f>IF(A95=FALSE,"",IF(LISTES!$A$17=1,Cotations!BV95,Cotations!BW95))</f>
        <v/>
      </c>
      <c r="MC95" s="285" t="str">
        <f t="shared" si="730"/>
        <v/>
      </c>
      <c r="MD95" s="300"/>
      <c r="ME95" s="461" t="str">
        <f t="shared" si="731"/>
        <v/>
      </c>
      <c r="MF95" s="490" t="str">
        <f>IF(A95=FALSE,"",IF(MA95="POEA",Cotations!BY95,IF(MA95="FIXE",Cotations!BZ95,IF(Cotations!CA95*Y95&lt;50000,Z95,Cotations!CA95*Y95))))</f>
        <v/>
      </c>
      <c r="MG95" s="300" t="str">
        <f t="shared" si="732"/>
        <v/>
      </c>
      <c r="MH95" s="522" t="str">
        <f>IF(A95=FALSE,"",IF(Cotations!BX95="monthly",MG95/12*L95,MG95/365*M95))</f>
        <v/>
      </c>
      <c r="MI95" s="489" t="str">
        <f>IF(A95=FALSE,"",IF(Cotations!CB95="","",Cotations!CB95))</f>
        <v/>
      </c>
      <c r="MJ95" s="300" t="str">
        <f t="shared" si="733"/>
        <v/>
      </c>
      <c r="MK95" s="300" t="str">
        <f t="shared" si="734"/>
        <v/>
      </c>
      <c r="ML95" s="919" t="str">
        <f t="shared" si="735"/>
        <v/>
      </c>
      <c r="MM95" s="517" t="str">
        <f>IF(A95=FALSE,"",Cotations!CC95)</f>
        <v/>
      </c>
      <c r="MN95" s="515" t="str">
        <f>IF(A95=FALSE,"",Cotations!CD95)</f>
        <v/>
      </c>
      <c r="MO95" s="493" t="str">
        <f>IF(A95=FALSE,"",Cotations!CE95)</f>
        <v/>
      </c>
      <c r="MP95" s="517" t="str">
        <f>IF(A95=FALSE,"",IF(MM95="N/A",0,IF(INDEX(LISTES!$F$105:$F$109,MATCH(MM95,LISTES!$C$105:$C$109,0))="FIX",IF(INDEX(LISTES!$E$105:$E$109,MATCH(MM95,LISTES!$C$105:$C$109,0))=12,MN95/12*L95,MN95/365*M95),MO95*ML95)))</f>
        <v/>
      </c>
      <c r="MQ95" s="294" t="str">
        <f t="shared" si="736"/>
        <v/>
      </c>
      <c r="MR95" s="494" t="str">
        <f>IF(A95=FALSE,"",MQ95*Cotations!CF95)</f>
        <v/>
      </c>
      <c r="MS95" s="494" t="str">
        <f>IF(A95=FALSE,"",MQ95*Cotations!CG95)</f>
        <v/>
      </c>
      <c r="MT95" s="338" t="str">
        <f t="shared" si="737"/>
        <v/>
      </c>
      <c r="MU95" s="919" t="str">
        <f>IF(A95=FALSE,"",((MG95*TAXE)-(MG95*TAXE*MI95))+IF(MM95="N/A",0,IF(INDEX(LISTES!$F$105:$F$109,MATCH(MM95,LISTES!$C$105:$C$109,0))="FIX",MN95,MO95*ML95)))</f>
        <v/>
      </c>
      <c r="NA95" s="497" t="str">
        <f>IF(A95=FALSE,"",Cotations!D95)</f>
        <v/>
      </c>
      <c r="NB95" s="498" t="str">
        <f>IF(A95=FALSE,"",IF(LISTES!$A$17=1,Cotations!CH95,Cotations!$CI$4))</f>
        <v/>
      </c>
      <c r="NC95" s="499" t="str">
        <f t="shared" si="738"/>
        <v/>
      </c>
      <c r="ND95" s="499" t="str">
        <f t="shared" si="739"/>
        <v/>
      </c>
      <c r="NE95" s="500" t="str">
        <f t="shared" si="740"/>
        <v/>
      </c>
      <c r="NF95" s="501" t="str">
        <f>IF(A95=FALSE,"",IF(NA95="POEA",Cotations!CK95,IF(NA95="FIXE",Cotations!$CK$4,Cotations!$CM$4*Y95)))</f>
        <v/>
      </c>
      <c r="NG95" s="502" t="str">
        <f t="shared" si="741"/>
        <v/>
      </c>
      <c r="NH95" s="520" t="str">
        <f>IF(A95=FALSE,"",IF(Cotations!$CJ$4="monthly",NG95/12*L95,NG95/365*M95))</f>
        <v/>
      </c>
      <c r="NI95" s="503" t="str">
        <f>IF(A95=FALSE,"",Cotations!$CN$4)</f>
        <v/>
      </c>
      <c r="NJ95" s="502" t="str">
        <f t="shared" si="742"/>
        <v/>
      </c>
      <c r="NK95" s="502" t="str">
        <f t="shared" si="743"/>
        <v/>
      </c>
      <c r="NL95" s="504" t="str">
        <f t="shared" si="744"/>
        <v/>
      </c>
      <c r="NM95" s="505" t="str">
        <f>IF(A95=FALSE,"",Cotations!$CO$4)</f>
        <v/>
      </c>
      <c r="NN95" s="520" t="str">
        <f>IF(A95=FALSE,"",Cotations!$CP$4)</f>
        <v/>
      </c>
      <c r="NO95" s="503" t="str">
        <f>IF(A95=FALSE,"",Cotations!$CQ$4)</f>
        <v/>
      </c>
      <c r="NP95" s="505" t="str">
        <f>IF(A95=FALSE,"",IF(NM95="N/A",0,IF(INDEX(LISTES!$F$105:$F$109,MATCH(NM95,LISTES!$C$105:$C$109,0))="FIX",IF(INDEX(LISTES!$E$105:$E$109,MATCH(NM95,LISTES!$C$105:$C$109,0))=12,NN95/12*L95,NN95/365*M95),NO95*NL95)))</f>
        <v/>
      </c>
      <c r="NQ95" s="504" t="str">
        <f t="shared" si="745"/>
        <v/>
      </c>
      <c r="NR95" s="505" t="str">
        <f>IF(A95=FALSE,"",NQ95*Cotations!$CR$4)</f>
        <v/>
      </c>
      <c r="NS95" s="505" t="str">
        <f>IF(A95=FALSE,"",NQ95*Cotations!$CS$4)</f>
        <v/>
      </c>
      <c r="NT95" s="506" t="str">
        <f t="shared" si="746"/>
        <v/>
      </c>
      <c r="NU95" s="919" t="str">
        <f>IF(A95=FALSE,"",((NG95*TAXE)-(NG95*TAXE*NI95))+IF(NM95="N/A",0,IF(INDEX(LISTES!$F$105:$F$109,MATCH(NM95,LISTES!$C$105:$C$109,0))="FIX",NN95,NO95*NL95)))</f>
        <v/>
      </c>
      <c r="OA95" s="492" t="str">
        <f>IF(A95=FALSE,"",Cotations!D95)</f>
        <v/>
      </c>
      <c r="OB95" s="491" t="str">
        <f>IF(A95=FALSE,"",IF(LISTES!$A$17=1,Cotations!CH95,Cotations!CI95))</f>
        <v/>
      </c>
      <c r="OC95" s="285" t="str">
        <f t="shared" si="747"/>
        <v/>
      </c>
      <c r="OD95" s="300"/>
      <c r="OE95" s="461" t="str">
        <f t="shared" si="748"/>
        <v/>
      </c>
      <c r="OF95" s="490" t="str">
        <f>IF(A95=FALSE,"",IF(OA95="POEA",Cotations!CK95,IF(OA95="FIXE",Cotations!CL95,IF(Cotations!CM95*Y95&lt;50000,Z95,Cotations!CM95*Y95))))</f>
        <v/>
      </c>
      <c r="OG95" s="300" t="str">
        <f t="shared" si="749"/>
        <v/>
      </c>
      <c r="OH95" s="522" t="str">
        <f>IF(A95=FALSE,"",IF(Cotations!CJ95="monthly",OG95/12*L95,OG95/365*M95))</f>
        <v/>
      </c>
      <c r="OI95" s="489" t="str">
        <f>IF(A95=FALSE,"",IF(Cotations!CN95="","",Cotations!CN95))</f>
        <v/>
      </c>
      <c r="OJ95" s="300" t="str">
        <f t="shared" si="750"/>
        <v/>
      </c>
      <c r="OK95" s="300" t="str">
        <f t="shared" si="751"/>
        <v/>
      </c>
      <c r="OL95" s="919" t="str">
        <f t="shared" si="752"/>
        <v/>
      </c>
      <c r="OM95" s="517" t="str">
        <f>IF(A95=FALSE,"",Cotations!CO95)</f>
        <v/>
      </c>
      <c r="ON95" s="515" t="str">
        <f>IF(A95=FALSE,"",Cotations!CP95)</f>
        <v/>
      </c>
      <c r="OO95" s="493" t="str">
        <f>IF(A95=FALSE,"",Cotations!CQ95)</f>
        <v/>
      </c>
      <c r="OP95" s="517" t="str">
        <f>IF(A95=FALSE,"",IF(OM95="N/A",0,IF(INDEX(LISTES!$F$105:$F$109,MATCH(OM95,LISTES!$C$105:$C$109,0))="FIX",IF(INDEX(LISTES!$E$105:$E$109,MATCH(OM95,LISTES!$C$105:$C$109,0))=12,ON95/12*L95,ON95/365*M95),OO95*OL95)))</f>
        <v/>
      </c>
      <c r="OQ95" s="294" t="str">
        <f t="shared" si="753"/>
        <v/>
      </c>
      <c r="OR95" s="494" t="str">
        <f>IF(A95=FALSE,"",OQ95*Cotations!CR95)</f>
        <v/>
      </c>
      <c r="OS95" s="494" t="str">
        <f>IF(A95=FALSE,"",OQ95*Cotations!CS95)</f>
        <v/>
      </c>
      <c r="OT95" s="338" t="str">
        <f t="shared" si="754"/>
        <v/>
      </c>
      <c r="OU95" s="919" t="str">
        <f>IF(A95=FALSE,"",((OG95*TAXE)-(OG95*TAXE*OI95))+IF(OM95="N/A",0,IF(INDEX(LISTES!$F$105:$F$109,MATCH(OM95,LISTES!$C$105:$C$109,0))="FIX",ON95,OO95*OL95)))</f>
        <v/>
      </c>
      <c r="PA95" s="497" t="str">
        <f t="shared" si="755"/>
        <v/>
      </c>
      <c r="PB95" s="498" t="str">
        <f>IF(A95=FALSE,"",IF(LISTES!$A$17=1,Cotations!CT95,Cotations!$CU$4))</f>
        <v/>
      </c>
      <c r="PC95" s="499" t="str">
        <f t="shared" si="756"/>
        <v/>
      </c>
      <c r="PD95" s="499" t="str">
        <f t="shared" si="757"/>
        <v/>
      </c>
      <c r="PE95" s="500" t="str">
        <f t="shared" si="758"/>
        <v/>
      </c>
      <c r="PF95" s="501" t="str">
        <f>IF(A95=FALSE,"",Cotations!$CY$4*Y95)</f>
        <v/>
      </c>
      <c r="PG95" s="502" t="str">
        <f t="shared" si="759"/>
        <v/>
      </c>
      <c r="PH95" s="520" t="str">
        <f>IF(A95=FALSE,"",IF(Cotations!$CV$4="monthly",PG95/12*L95,PG95/365*M95))</f>
        <v/>
      </c>
      <c r="PI95" s="503" t="str">
        <f>IF(A95=FALSE,"",Cotations!$CZ$4)</f>
        <v/>
      </c>
      <c r="PJ95" s="502" t="str">
        <f t="shared" si="760"/>
        <v/>
      </c>
      <c r="PK95" s="502" t="str">
        <f t="shared" si="761"/>
        <v/>
      </c>
      <c r="PL95" s="504" t="str">
        <f t="shared" si="762"/>
        <v/>
      </c>
      <c r="PM95" s="505" t="str">
        <f>IF(A95=FALSE,"",Cotations!$DA$4)</f>
        <v/>
      </c>
      <c r="PN95" s="520" t="str">
        <f>IF(A95=FALSE,"",Cotations!$DB$4)</f>
        <v/>
      </c>
      <c r="PO95" s="503" t="str">
        <f>IF(A95=FALSE,"",Cotations!$DC$4)</f>
        <v/>
      </c>
      <c r="PP95" s="505" t="str">
        <f>IF(A95=FALSE,"",IF(PM95="N/A",0,IF(INDEX(LISTES!$F$105:$F$109,MATCH(PM95,LISTES!$C$105:$C$109,0))="FIX",IF(INDEX(LISTES!$E$105:$E$109,MATCH(PM95,LISTES!$C$105:$C$109,0))=12,PN95/12*L95,PN95/365*M95),PO95*PL95)))</f>
        <v/>
      </c>
      <c r="PQ95" s="504" t="str">
        <f t="shared" si="763"/>
        <v/>
      </c>
      <c r="PR95" s="505" t="str">
        <f>IF(A95=FALSE,"",PQ95*Cotations!$DD$4)</f>
        <v/>
      </c>
      <c r="PS95" s="505" t="str">
        <f>IF(A95=FALSE,"",PQ95*Cotations!$DE$4)</f>
        <v/>
      </c>
      <c r="PT95" s="506" t="str">
        <f t="shared" si="764"/>
        <v/>
      </c>
      <c r="PU95" s="919" t="str">
        <f>IF(A95=FALSE,"",((PG95*TAXE)-(PG95*TAXE*PI95))+IF(PM95="N/A",0,IF(INDEX(LISTES!$F$105:$F$109,MATCH(PM95,LISTES!$C$105:$C$109,0))="FIX",PN95,PO95*PL95)))</f>
        <v/>
      </c>
      <c r="QA95" s="492" t="str">
        <f t="shared" si="765"/>
        <v/>
      </c>
      <c r="QB95" s="491" t="str">
        <f>IF(A95=FALSE,"",IF(LISTES!$A$17=1,Cotations!CT95,Cotations!CU95))</f>
        <v/>
      </c>
      <c r="QC95" s="285" t="str">
        <f t="shared" si="766"/>
        <v/>
      </c>
      <c r="QD95" s="300"/>
      <c r="QE95" s="461" t="str">
        <f t="shared" si="767"/>
        <v/>
      </c>
      <c r="QF95" s="490" t="str">
        <f>IF(A95=FALSE,"",Cotations!CY95*AA95)</f>
        <v/>
      </c>
      <c r="QG95" s="300" t="str">
        <f t="shared" si="768"/>
        <v/>
      </c>
      <c r="QH95" s="522" t="str">
        <f>IF(A95=FALSE,"",IF(Cotations!CV95="monthly",QG95/12*L95,QG95/365*M95))</f>
        <v/>
      </c>
      <c r="QI95" s="489" t="str">
        <f>IF(A95=FALSE,"",IF(Cotations!CZ95="","",Cotations!CZ95))</f>
        <v/>
      </c>
      <c r="QJ95" s="300" t="str">
        <f t="shared" si="769"/>
        <v/>
      </c>
      <c r="QK95" s="300" t="str">
        <f t="shared" si="770"/>
        <v/>
      </c>
      <c r="QL95" s="919" t="str">
        <f t="shared" si="771"/>
        <v/>
      </c>
      <c r="QM95" s="517" t="str">
        <f>IF(A95=FALSE,"",Cotations!DA95)</f>
        <v/>
      </c>
      <c r="QN95" s="515" t="str">
        <f>IF(A95=FALSE,"",Cotations!DB95)</f>
        <v/>
      </c>
      <c r="QO95" s="493" t="str">
        <f>IF(A95=FALSE,"",Cotations!DC95)</f>
        <v/>
      </c>
      <c r="QP95" s="517" t="str">
        <f>IF(A95=FALSE,"",IF(QM95="N/A",0,IF(INDEX(LISTES!$F$105:$F$109,MATCH(QM95,LISTES!$C$105:$C$109,0))="FIX",IF(INDEX(LISTES!$E$105:$E$109,MATCH(QM95,LISTES!$C$105:$C$109,0))=12,QN95/12*L95,QN95/365*M95),QO95*QL95)))</f>
        <v/>
      </c>
      <c r="QQ95" s="294" t="str">
        <f t="shared" si="772"/>
        <v/>
      </c>
      <c r="QR95" s="494" t="str">
        <f>IF(A95=FALSE,"",QQ95*Cotations!DD95)</f>
        <v/>
      </c>
      <c r="QS95" s="494" t="str">
        <f>IF(A95=FALSE,"",QQ95*Cotations!DE95)</f>
        <v/>
      </c>
      <c r="QT95" s="338" t="str">
        <f t="shared" si="773"/>
        <v/>
      </c>
      <c r="QU95" s="919" t="str">
        <f>IF(A95=FALSE,"",((QG95*TAXE)-(QG95*TAXE*QI95))+IF(QM95="N/A",0,IF(INDEX(LISTES!$F$105:$F$109,MATCH(QM95,LISTES!$C$105:$C$109,0))="FIX",QN95,QO95*QL95)))</f>
        <v/>
      </c>
      <c r="RA95" s="497" t="str">
        <f t="shared" si="774"/>
        <v/>
      </c>
      <c r="RB95" s="498" t="str">
        <f>IF(A95=FALSE,"",IF(LISTES!$A$17=1,Cotations!DF95,Cotations!$DG$4))</f>
        <v/>
      </c>
      <c r="RC95" s="499" t="str">
        <f t="shared" si="775"/>
        <v/>
      </c>
      <c r="RD95" s="499" t="str">
        <f t="shared" si="776"/>
        <v/>
      </c>
      <c r="RE95" s="500" t="str">
        <f t="shared" si="777"/>
        <v/>
      </c>
      <c r="RF95" s="501" t="str">
        <f>IF(A95=FALSE,"",Cotations!$DK$4*Y95)</f>
        <v/>
      </c>
      <c r="RG95" s="502" t="str">
        <f t="shared" si="778"/>
        <v/>
      </c>
      <c r="RH95" s="520" t="str">
        <f>IF(A95=FALSE,"",IF(Cotations!$DH$4="monthly",RG95/12*L95,RG95/365*M95))</f>
        <v/>
      </c>
      <c r="RI95" s="503" t="str">
        <f>IF(A95=FALSE,"",Cotations!$DL$4)</f>
        <v/>
      </c>
      <c r="RJ95" s="502" t="str">
        <f t="shared" si="779"/>
        <v/>
      </c>
      <c r="RK95" s="502" t="str">
        <f t="shared" si="780"/>
        <v/>
      </c>
      <c r="RL95" s="504" t="str">
        <f t="shared" si="781"/>
        <v/>
      </c>
      <c r="RM95" s="505" t="str">
        <f>IF(A95=FALSE,"",Cotations!$DM$4)</f>
        <v/>
      </c>
      <c r="RN95" s="520" t="str">
        <f>IF(A95=FALSE,"",Cotations!$DN$4)</f>
        <v/>
      </c>
      <c r="RO95" s="503" t="str">
        <f>IF(A95=FALSE,"",Cotations!$DO$4)</f>
        <v/>
      </c>
      <c r="RP95" s="505" t="str">
        <f>IF(A95=FALSE,"",IF(RM95="N/A",0,IF(INDEX(LISTES!$F$105:$F$109,MATCH(RM95,LISTES!$C$105:$C$109,0))="FIX",IF(INDEX(LISTES!$E$105:$E$109,MATCH(RM95,LISTES!$C$105:$C$109,0))=12,RN95/12*L95,RN95/365*M95),RO95*RL95)))</f>
        <v/>
      </c>
      <c r="RQ95" s="504" t="str">
        <f t="shared" si="782"/>
        <v/>
      </c>
      <c r="RR95" s="505" t="str">
        <f>IF(A95=FALSE,"",RQ95*Cotations!$DP$4)</f>
        <v/>
      </c>
      <c r="RS95" s="505" t="str">
        <f>IF(A95=FALSE,"",RQ95*Cotations!$DQ$4)</f>
        <v/>
      </c>
      <c r="RT95" s="506" t="str">
        <f t="shared" si="783"/>
        <v/>
      </c>
      <c r="RU95" s="919" t="str">
        <f>IF(A95=FALSE,"",((RG95*TAXE)-(RG95*TAXE*RI95))+IF(RM95="N/A",0,IF(INDEX(LISTES!$F$105:$F$109,MATCH(RM95,LISTES!$C$105:$C$109,0))="FIX",RN95,RO95*RL95)))</f>
        <v/>
      </c>
      <c r="SA95" s="492" t="str">
        <f t="shared" si="784"/>
        <v/>
      </c>
      <c r="SB95" s="491" t="str">
        <f>IF(A95=FALSE,"",IF(LISTES!$A$17=1,Cotations!DF95,Cotations!DG95))</f>
        <v/>
      </c>
      <c r="SC95" s="285" t="str">
        <f t="shared" si="785"/>
        <v/>
      </c>
      <c r="SD95" s="300"/>
      <c r="SE95" s="461" t="str">
        <f t="shared" si="786"/>
        <v/>
      </c>
      <c r="SF95" s="490" t="str">
        <f>IF(A95=FALSE,"",Cotations!DK95*AA95)</f>
        <v/>
      </c>
      <c r="SG95" s="300" t="str">
        <f t="shared" si="787"/>
        <v/>
      </c>
      <c r="SH95" s="522" t="str">
        <f>IF(A95=FALSE,"",IF(Cotations!DH95="monthly",SG95/12*L95,SG95/365*M95))</f>
        <v/>
      </c>
      <c r="SI95" s="489" t="str">
        <f>IF(A95=FALSE,"",IF(Cotations!DL95="","",Cotations!DL95))</f>
        <v/>
      </c>
      <c r="SJ95" s="300" t="str">
        <f t="shared" si="788"/>
        <v/>
      </c>
      <c r="SK95" s="300" t="str">
        <f t="shared" si="789"/>
        <v/>
      </c>
      <c r="SL95" s="919" t="str">
        <f t="shared" si="790"/>
        <v/>
      </c>
      <c r="SM95" s="285" t="str">
        <f>IF(A95=FALSE,"",Cotations!DM95)</f>
        <v/>
      </c>
      <c r="SN95" s="515" t="str">
        <f>IF(A95=FALSE,"",Cotations!DN95)</f>
        <v/>
      </c>
      <c r="SO95" s="493" t="str">
        <f>IF(A95=FALSE,"",Cotations!DO95)</f>
        <v/>
      </c>
      <c r="SP95" s="517" t="str">
        <f>IF(A95=FALSE,"",IF(SM95="N/A",0,IF(INDEX(LISTES!$F$105:$F$109,MATCH(SM95,LISTES!$C$105:$C$109,0))="FIX",IF(INDEX(LISTES!$E$105:$E$109,MATCH(SM95,LISTES!$C$105:$C$109,0))=12,SN95/12*L95,SN95/365*M95),SO95*SL95)))</f>
        <v/>
      </c>
      <c r="SQ95" s="294" t="str">
        <f t="shared" si="791"/>
        <v/>
      </c>
      <c r="SR95" s="494" t="str">
        <f>IF(A95=FALSE,"",SQ95*Cotations!DP95)</f>
        <v/>
      </c>
      <c r="SS95" s="494" t="str">
        <f>IF(A95=FALSE,"",SQ95*Cotations!DQ95)</f>
        <v/>
      </c>
      <c r="ST95" s="338" t="str">
        <f t="shared" si="792"/>
        <v/>
      </c>
      <c r="SU95" s="919" t="str">
        <f>IF(A95=FALSE,"",((SG95*TAXE)-(SG95*TAXE*SI95))+IF(SM95="N/A",0,IF(INDEX(LISTES!$F$105:$F$109,MATCH(SM95,LISTES!$C$105:$C$109,0))="FIX",SN95,SO95*SL95)))</f>
        <v/>
      </c>
      <c r="TA95" s="492" t="str">
        <f>IF(A95=FALSE,"",Cotations!D95)</f>
        <v/>
      </c>
      <c r="TB95" s="491" t="str">
        <f>IF(A95=FALSE,"",IF(LISTES!$A$17=1,Cotations!DR95,Cotations!DS95))</f>
        <v/>
      </c>
      <c r="TC95" s="285" t="str">
        <f t="shared" si="793"/>
        <v/>
      </c>
      <c r="TD95" s="300" t="str">
        <f>IF(A95=FALSE,"",Detail!CQ95)</f>
        <v/>
      </c>
      <c r="TE95" s="461" t="str">
        <f t="shared" si="794"/>
        <v/>
      </c>
      <c r="TF95" s="490" t="str">
        <f>IF(A95=FALSE,"",IF(TA95="FIXE",Cotations!DU95,Cotations!DV95*Y95))</f>
        <v/>
      </c>
      <c r="TG95" s="300" t="str">
        <f t="shared" si="795"/>
        <v/>
      </c>
      <c r="TH95" s="522" t="str">
        <f>IF(A95=FALSE,"",IF(Cotations!DT95="monthly",TG95/12*L95,TG95/365*M95))</f>
        <v/>
      </c>
      <c r="TI95" s="489" t="str">
        <f>IF(A95=FALSE,"",IF(Cotations!DW95="","",Cotations!DW95))</f>
        <v/>
      </c>
      <c r="TJ95" s="300" t="str">
        <f t="shared" si="796"/>
        <v/>
      </c>
      <c r="TK95" s="300" t="str">
        <f t="shared" si="797"/>
        <v/>
      </c>
      <c r="TL95" s="919" t="str">
        <f t="shared" si="798"/>
        <v/>
      </c>
      <c r="TM95" s="517" t="str">
        <f>IF(A95=FALSE,"",Cotations!DX95)</f>
        <v/>
      </c>
      <c r="TN95" s="517" t="str">
        <f>IF(A95=FALSE,"",Cotations!DY95)</f>
        <v/>
      </c>
      <c r="TO95" s="493" t="str">
        <f>IF(A95=FALSE,"",Cotations!DZ95)</f>
        <v/>
      </c>
      <c r="TP95" s="517" t="str">
        <f>IF(A95=FALSE,"",IF(TM95="N/A",0,IF(INDEX(LISTES!$F$105:$F$109,MATCH(TM95,LISTES!$C$105:$C$109,0))="FIX",IF(INDEX(LISTES!$E$105:$E$109,MATCH(TM95,LISTES!$C$105:$C$109,0))=12,TN95/12*L95,TN95/365*M95),TO95*TL95)))</f>
        <v/>
      </c>
      <c r="TQ95" s="294" t="str">
        <f t="shared" si="799"/>
        <v/>
      </c>
      <c r="TR95" s="494" t="str">
        <f>IF(A95=FALSE,"",TQ95*Cotations!EA95)</f>
        <v/>
      </c>
      <c r="TS95" s="494" t="str">
        <f>IF(A95=FALSE,"",TQ95*Cotations!EB95)</f>
        <v/>
      </c>
      <c r="TT95" s="338" t="str">
        <f t="shared" si="800"/>
        <v/>
      </c>
      <c r="TU95" s="919" t="str">
        <f>IF(A95=FALSE,"",((TG95*(1+TAXE)-(TG95*(1+TAXE)*TI95))+IF(TM95="N/A",0,IF(INDEX(LISTES!$F$105:$F$109,MATCH(TM95,LISTES!$C$105:$C$109,0))="FIX",TN95,TO95*TL95))))</f>
        <v/>
      </c>
      <c r="UA95" s="492" t="str">
        <f>IF(A95=FALSE,"",Cotations!D95)</f>
        <v/>
      </c>
      <c r="UB95" s="491" t="str">
        <f>IF(A95=FALSE,"",IF(LISTES!$A$17=1,Cotations!EC95,Cotations!ED95))</f>
        <v/>
      </c>
      <c r="UC95" s="285" t="str">
        <f t="shared" si="801"/>
        <v/>
      </c>
      <c r="UD95" s="300" t="str">
        <f>IF(A95=FALSE,"",Detail!CY95)</f>
        <v/>
      </c>
      <c r="UE95" s="461" t="str">
        <f t="shared" si="802"/>
        <v/>
      </c>
      <c r="UF95" s="490" t="str">
        <f>IF(A95=FALSE,"",IF(UA95="FIXE",Cotations!EF95,Cotations!EG95*Y95))</f>
        <v/>
      </c>
      <c r="UG95" s="300" t="str">
        <f t="shared" si="803"/>
        <v/>
      </c>
      <c r="UH95" s="522" t="str">
        <f>IF(A95=FALSE,"",IF(Cotations!EE95="monthly",UG95/12*L95,UG95/365*M95))</f>
        <v/>
      </c>
      <c r="UI95" s="489" t="str">
        <f>IF(A95=FALSE,"",IF(Cotations!EH95="","",Cotations!EH95))</f>
        <v/>
      </c>
      <c r="UJ95" s="300" t="str">
        <f t="shared" si="804"/>
        <v/>
      </c>
      <c r="UK95" s="300" t="str">
        <f t="shared" si="805"/>
        <v/>
      </c>
      <c r="UL95" s="919" t="str">
        <f t="shared" si="806"/>
        <v/>
      </c>
      <c r="UM95" s="517" t="str">
        <f>IF(A95=FALSE,"",Cotations!EI95)</f>
        <v/>
      </c>
      <c r="UN95" s="517" t="str">
        <f>IF(A95=FALSE,"",Cotations!EJ95)</f>
        <v/>
      </c>
      <c r="UO95" s="493" t="str">
        <f>IF(A95=FALSE,"",Cotations!EK95)</f>
        <v/>
      </c>
      <c r="UP95" s="517" t="str">
        <f>IF(A95=FALSE,"",IF(UM95="N/A",0,IF(INDEX(LISTES!$F$105:$F$109,MATCH(UM95,LISTES!$C$105:$C$109,0))="FIX",IF(INDEX(LISTES!$E$105:$E$109,MATCH(UM95,LISTES!$C$105:$C$109,0))=12,UN95/12*L95,UN95/365*M95),UO95*UL95)))</f>
        <v/>
      </c>
      <c r="UQ95" s="294" t="str">
        <f t="shared" si="807"/>
        <v/>
      </c>
      <c r="UR95" s="494" t="str">
        <f>IF(A95=FALSE,"",UQ95*Cotations!EL95)</f>
        <v/>
      </c>
      <c r="US95" s="494" t="str">
        <f>IF(A95=FALSE,"",UQ95*Cotations!EM95)</f>
        <v/>
      </c>
      <c r="UT95" s="338" t="str">
        <f t="shared" si="808"/>
        <v/>
      </c>
      <c r="UU95" s="919" t="str">
        <f>IF(A95=FALSE,"",((UG95*(1+TAXE)-(UG95*(1+TAXE)*UI95))+IF(UM95="N/A",0,IF(INDEX(LISTES!$F$105:$F$109,MATCH(UM95,LISTES!$C$105:$C$109,0))="FIX",UN95,UO95*UL95))))</f>
        <v/>
      </c>
      <c r="VA95" s="492" t="str">
        <f>IF(A95=FALSE,"",Cotations!D95)</f>
        <v/>
      </c>
      <c r="VB95" s="519" t="str">
        <f>IF(A95=FALSE,"",IF(LISTES!$A$17=1,Cotations!EN95,Cotations!EO95))</f>
        <v/>
      </c>
      <c r="VC95" s="291" t="str">
        <f t="shared" si="809"/>
        <v/>
      </c>
      <c r="VD95" s="291" t="str">
        <f t="shared" si="810"/>
        <v/>
      </c>
      <c r="VE95" s="291"/>
      <c r="VF95" s="463"/>
      <c r="VG95" s="463" t="str">
        <f t="shared" si="811"/>
        <v/>
      </c>
      <c r="VH95" s="522" t="str">
        <f>IF(A95=FALSE,"",IF(Cotations!$AQ$4="monthly",VG95/12*L95,VG95/365*M95))</f>
        <v/>
      </c>
      <c r="VI95" s="489" t="str">
        <f>IF(A95=FALSE,"",Cotations!$AR$4)</f>
        <v/>
      </c>
      <c r="VJ95" s="300" t="str">
        <f t="shared" si="812"/>
        <v/>
      </c>
      <c r="VK95" s="300" t="str">
        <f t="shared" si="813"/>
        <v/>
      </c>
      <c r="VL95" s="294" t="str">
        <f t="shared" si="814"/>
        <v/>
      </c>
      <c r="VM95" s="494" t="str">
        <f>IF(A95=FALSE,"",Cotations!$AS$4)</f>
        <v/>
      </c>
      <c r="VN95" s="494" t="str">
        <f>IF(A95=FALSE,"",Cotations!$AT$4)</f>
        <v/>
      </c>
      <c r="VO95" s="489" t="str">
        <f>IF(A95=FALSE,"",Cotations!$AU$4)</f>
        <v/>
      </c>
      <c r="VP95" s="494" t="str">
        <f>IF(A95=FALSE,"",IF(VM95="N/A",0,IF(INDEX(LISTES!$F$105:$F$109,MATCH(VM95,LISTES!$C$105:$C$109,0))="FIX",IF(INDEX(LISTES!$E$105:$E$109,MATCH(VM95,LISTES!$C$105:$C$109,0))=12,VN95/12*L95,VN95/365*M95),VO95*VL95)))</f>
        <v/>
      </c>
      <c r="VQ95" s="294" t="str">
        <f t="shared" si="815"/>
        <v/>
      </c>
      <c r="VR95" s="494" t="str">
        <f>IF(A95=FALSE,"",VQ95*Cotations!$AV$4)</f>
        <v/>
      </c>
      <c r="VS95" s="494" t="str">
        <f>IF(A95=FALSE,"",VQ95*Cotations!$AW$4)</f>
        <v/>
      </c>
      <c r="VT95" s="465" t="str">
        <f t="shared" si="816"/>
        <v/>
      </c>
      <c r="VU95" s="919" t="str">
        <f>IF(A95=FALSE,"",((VG95*TAXE)-(VG95*TAXE*VI95))+IF(VM95="N/A",0,IF(INDEX(LISTES!$F$105:$F$109,MATCH(VM95,LISTES!$C$105:$C$109,0))="FIX",VN95,VO95*VL95)))</f>
        <v/>
      </c>
      <c r="WA95" s="492" t="str">
        <f>IF(A95=FALSE,"",Cotations!D95)</f>
        <v/>
      </c>
      <c r="WB95" s="519" t="str">
        <f>IF(A95=FALSE,"",IF(LISTES!$A$17=1,Cotations!EW95,Cotations!EX95))</f>
        <v/>
      </c>
      <c r="WC95" s="291" t="str">
        <f t="shared" si="817"/>
        <v/>
      </c>
      <c r="WD95" s="291" t="str">
        <f t="shared" si="818"/>
        <v/>
      </c>
      <c r="WE95" s="291"/>
      <c r="WF95" s="463"/>
      <c r="WG95" s="463" t="str">
        <f t="shared" si="819"/>
        <v/>
      </c>
      <c r="WH95" s="522" t="str">
        <f>IF(A95=FALSE,"",IF(Cotations!$AQ$4="monthly",WG95/12*L95,WG95/365*M95))</f>
        <v/>
      </c>
      <c r="WI95" s="489" t="str">
        <f>IF(A95=FALSE,"",Cotations!$AR$4)</f>
        <v/>
      </c>
      <c r="WJ95" s="300" t="str">
        <f t="shared" si="820"/>
        <v/>
      </c>
      <c r="WK95" s="300" t="str">
        <f t="shared" si="821"/>
        <v/>
      </c>
      <c r="WL95" s="294" t="str">
        <f t="shared" si="822"/>
        <v/>
      </c>
      <c r="WM95" s="494" t="str">
        <f>IF(A95=FALSE,"",Cotations!$AS$4)</f>
        <v/>
      </c>
      <c r="WN95" s="494" t="str">
        <f>IF(A95=FALSE,"",Cotations!$AT$4)</f>
        <v/>
      </c>
      <c r="WO95" s="489" t="str">
        <f>IF(A95=FALSE,"",Cotations!$AU$4)</f>
        <v/>
      </c>
      <c r="WP95" s="494" t="str">
        <f>IF(A95=FALSE,"",IF(WM95="N/A",0,IF(INDEX(LISTES!$F$105:$F$109,MATCH(WM95,LISTES!$C$105:$C$109,0))="FIX",IF(INDEX(LISTES!$E$105:$E$109,MATCH(WM95,LISTES!$C$105:$C$109,0))=12,WN95/12*L95,WN95/365*M95),WO95*WL95)))</f>
        <v/>
      </c>
      <c r="WQ95" s="294" t="str">
        <f t="shared" si="823"/>
        <v/>
      </c>
      <c r="WR95" s="494" t="str">
        <f>IF(A95=FALSE,"",WQ95*Cotations!$AV$4)</f>
        <v/>
      </c>
      <c r="WS95" s="494" t="str">
        <f>IF(A95=FALSE,"",WQ95*Cotations!$AW$4)</f>
        <v/>
      </c>
      <c r="WT95" s="465" t="str">
        <f t="shared" si="824"/>
        <v/>
      </c>
      <c r="WU95" s="919" t="str">
        <f>IF(A95=FALSE,"",((WG95*TAXE)-(WG95*TAXE*WI95))+IF(WM95="N/A",0,IF(INDEX(LISTES!$F$105:$F$109,MATCH(WM95,LISTES!$C$105:$C$109,0))="FIX",WN95,WO95*WL95)))</f>
        <v/>
      </c>
    </row>
    <row r="96" spans="1:619">
      <c r="A96" s="942" t="b">
        <f t="shared" si="629"/>
        <v>0</v>
      </c>
      <c r="B96" s="942" t="b">
        <f>IF(NAMES!$B$9=TRUE,TRUE,FALSE)</f>
        <v>1</v>
      </c>
      <c r="C96" s="942" t="b">
        <f t="shared" si="825"/>
        <v>0</v>
      </c>
      <c r="D96" s="942" t="b">
        <f t="shared" si="826"/>
        <v>0</v>
      </c>
      <c r="E96" s="274" t="b">
        <f>IF(Cotations!C96="","",Cotations!C96)</f>
        <v>0</v>
      </c>
      <c r="F96" s="274" t="str">
        <f>IF(Cotations!D96="","",Cotations!D96)</f>
        <v>PROP</v>
      </c>
      <c r="G96" s="274" t="str">
        <f>IF(Cotations!E96="","",Cotations!E96)</f>
        <v>2016-2017!</v>
      </c>
      <c r="H96" s="274" t="str">
        <f>IF(Cotations!F96="","",Cotations!F96)</f>
        <v>SINGLE</v>
      </c>
      <c r="I96" s="274" t="str">
        <f>IF(Cotations!G96="","",Cotations!G96)</f>
        <v/>
      </c>
      <c r="J96" s="274" t="str">
        <f>IF(Cotations!H96="","",Cotations!H96)</f>
        <v/>
      </c>
      <c r="K96" s="274" t="str">
        <f>IF(Cotations!I96="","",Cotations!I96)</f>
        <v/>
      </c>
      <c r="L96" s="274" t="str">
        <f>IF(A96=FALSE,"",IF(Cotations!N96="","",Cotations!N96))</f>
        <v/>
      </c>
      <c r="M96" s="274" t="str">
        <f>IF(Cotations!P96="","",Cotations!P96)</f>
        <v/>
      </c>
      <c r="N96" s="724" t="str">
        <f>IF(NAMES!$B$10=TRUE,Cotations!J96,Cotations!L96)</f>
        <v/>
      </c>
      <c r="O96" s="724" t="str">
        <f>IF(NAMES!$B$10=TRUE,Cotations!K96,Cotations!M96)</f>
        <v/>
      </c>
      <c r="P96" s="943" t="str">
        <f t="shared" si="827"/>
        <v/>
      </c>
      <c r="Q96" s="724" t="str">
        <f>IF(A96=FALSE,"",IF(Crewlist!Y96="","",Crewlist!Y96))</f>
        <v/>
      </c>
      <c r="R96" s="78" t="str">
        <f>IF(Cotations!U96="","",Cotations!U96)</f>
        <v/>
      </c>
      <c r="S96" s="943" t="str">
        <f t="shared" si="828"/>
        <v/>
      </c>
      <c r="T96" s="919" t="str">
        <f>IF(A96=FALSE,"",VLOOKUP($U$15:$U$120,Currency!$A$2:$D$10,4,0)*Crewlist!N96)</f>
        <v/>
      </c>
      <c r="U96" s="1355" t="str">
        <f>IF(A96=FALSE,"",IF(IT96=0,Crewlist!M96&amp;"/"&amp;EX96,Crewlist!M96&amp;"/"&amp;IT96))</f>
        <v/>
      </c>
      <c r="V96" s="919" t="str">
        <f>IF(A96=FALSE,"",VLOOKUP($U$15:$U$120,Currency!$A$2:$D$10,4,0)*Detail!Q96)</f>
        <v/>
      </c>
      <c r="W96" s="1355" t="str">
        <f>IF(A96=FALSE,"",IF(IT96=0,Detail!R96&amp;"/"&amp;EX96,Detail!R96&amp;"/"&amp;IT96))</f>
        <v/>
      </c>
      <c r="X96" s="919" t="str">
        <f>IF(A96=FALSE,"",IF(LISTES!$C$17="Crewlist",Calcul!T96,Calcul!V96))</f>
        <v/>
      </c>
      <c r="Y96" s="758" t="str">
        <f t="shared" si="829"/>
        <v/>
      </c>
      <c r="Z96" s="758" t="str">
        <f>IF(A96=FALSE,"",IF(X96=0,0,IF((Cotations!BC96*12*X96)&lt;50000,50000,(12*X96))))</f>
        <v/>
      </c>
      <c r="AA96" s="758" t="str">
        <f t="shared" si="830"/>
        <v/>
      </c>
      <c r="AB96" s="758" t="str">
        <f>IF(A96=FALSE,"",IF(Crewlist!O96=0,"",Crewlist!O96))</f>
        <v/>
      </c>
      <c r="AC96" s="758" t="str">
        <f>IF(I96="","",VLOOKUP($AB$15:$AB$120,Currency!$A$15:$B$34,2,0))</f>
        <v/>
      </c>
      <c r="AD96" s="758" t="str">
        <f t="shared" si="831"/>
        <v/>
      </c>
      <c r="AE96" s="758" t="str">
        <f t="shared" si="832"/>
        <v/>
      </c>
      <c r="AF96" s="758" t="str">
        <f t="shared" si="833"/>
        <v/>
      </c>
      <c r="AG96" s="758" t="str">
        <f t="shared" si="834"/>
        <v/>
      </c>
      <c r="AH96" s="1355" t="str">
        <f t="shared" si="630"/>
        <v/>
      </c>
      <c r="AI96" s="919" t="str">
        <f t="shared" si="835"/>
        <v/>
      </c>
      <c r="AJ96" s="1382" t="str">
        <f t="shared" si="836"/>
        <v/>
      </c>
      <c r="AK96" s="1382" t="str">
        <f t="shared" si="837"/>
        <v/>
      </c>
      <c r="AL96" s="238" t="str">
        <f t="shared" si="631"/>
        <v/>
      </c>
      <c r="AM96" s="238" t="str">
        <f t="shared" si="632"/>
        <v/>
      </c>
      <c r="AN96" s="1374" t="str">
        <f t="shared" si="633"/>
        <v/>
      </c>
      <c r="AO96" s="238" t="str">
        <f t="shared" si="634"/>
        <v/>
      </c>
      <c r="AP96" s="342" t="str">
        <f>IF(A96=FALSE,"",INDEX(Rates!$Z$5:$Z$367,MATCH(EB96,colchoice,0)))</f>
        <v/>
      </c>
      <c r="AQ96" s="238" t="str">
        <f t="shared" si="635"/>
        <v/>
      </c>
      <c r="AR96" s="238" t="str">
        <f t="shared" si="636"/>
        <v/>
      </c>
      <c r="AS96" s="238" t="str">
        <f t="shared" si="637"/>
        <v/>
      </c>
      <c r="AT96" s="238" t="str">
        <f t="shared" si="638"/>
        <v/>
      </c>
      <c r="AU96" s="238" t="str">
        <f t="shared" si="639"/>
        <v/>
      </c>
      <c r="AV96" s="238" t="str">
        <f t="shared" si="838"/>
        <v/>
      </c>
      <c r="AW96" s="238" t="str">
        <f t="shared" si="640"/>
        <v/>
      </c>
      <c r="AX96" s="238" t="str">
        <f t="shared" si="641"/>
        <v/>
      </c>
      <c r="AY96" s="238" t="str">
        <f t="shared" si="642"/>
        <v/>
      </c>
      <c r="AZ96" s="238" t="str">
        <f t="shared" si="643"/>
        <v/>
      </c>
      <c r="BA96" s="238" t="str">
        <f t="shared" si="644"/>
        <v/>
      </c>
      <c r="BB96" s="552" t="str">
        <f t="shared" si="645"/>
        <v/>
      </c>
      <c r="BC96" s="347" t="str">
        <f t="shared" si="646"/>
        <v/>
      </c>
      <c r="BD96" s="239" t="str">
        <f t="shared" si="839"/>
        <v/>
      </c>
      <c r="BE96" s="239" t="str">
        <f>IF(A96=FALSE,"",IF(ALLTHESAME=TRUE,IF(DF96&lt;&gt;$BC$7,0,INDEX(DD96:DZ96,1,MATCH(Structure!$D$12,$DD$14:$DZ$14,0))),IF(EC96&lt;&gt;$BC$7,0,INDEX(EA96:EZ96,1,MATCH(Structure!$D$12,$EA$14:$EZ$14,0)))))</f>
        <v/>
      </c>
      <c r="BF96" s="239" t="str">
        <f>IF(A96=FALSE,"",IF(ALLTHESAME=TRUE,IF(FC96&lt;&gt;$BC$7,0,INDEX(FA96:FZ96,1,MATCH(Structure!$D$12,$FA$14:$FZ$14,0))),IF(GC96&lt;&gt;$BC$7,0,INDEX(GA96:GZ96,1,MATCH(Structure!$D$12,$GA$14:$GZ$14,0)))))</f>
        <v/>
      </c>
      <c r="BG96" s="239" t="str">
        <f>IF(A96=FALSE,"",IF(ALLTHESAME=TRUE,IF(VC96&lt;&gt;$BC$7,0,INDEX(VA96:VZ96,1,MATCH(Structure!$D$12,$VA$14:$VZ$14,0))),IF(VC96&lt;&gt;$BC$7,0,INDEX(VA96:VZ96,1,MATCH(Structure!$D$12,$VA$14:$VZ$14,0)))))</f>
        <v/>
      </c>
      <c r="BH96" s="239" t="str">
        <f>IF(A96=FALSE,"",IF(ALLTHESAME=TRUE,IF(WC96&lt;&gt;$BC$7,0,INDEX(WA96:WY96,1,MATCH(Structure!$D$12,$WA$14:$WZ$14,0))),IF(WC96&lt;&gt;$BC$7,0,INDEX(WA96:WZ96,1,MATCH(Structure!$D$12,$WA$14:$WZ$14,0)))))</f>
        <v/>
      </c>
      <c r="BI96" s="763" t="str">
        <f>IF(A96=FALSE,"",IF(ALLTHESAME=TRUE,IF(HC96&lt;&gt;$BC$7,0,INDEX(HA96:HZ96,1,MATCH(Structure!$D$12,$HA$14:$HZ$14,0)))+TK96,IF(IC96&lt;&gt;$BC$7,0,INDEX(IA96:IZ96,1,MATCH(Structure!$D$12,$IA$14:$IZ$14,0)))+TK96))</f>
        <v/>
      </c>
      <c r="BJ96" s="239" t="str">
        <f>IF(A96=FALSE,"",IF(ALLTHESAME=TRUE,IF(JC96&lt;&gt;$BC$7,0,INDEX(JA96:JZ96,1,MATCH(Structure!$D$12,$JA$14:$JZ$14,0))),IF(KC96&lt;&gt;$BC$7,0,INDEX(KA96:KZ96,1,MATCH(Structure!$D$12,$KA$14:$KZ$14,0)))))</f>
        <v/>
      </c>
      <c r="BK96" s="763" t="str">
        <f>IF(A96=FALSE,"",IF(ALLTHESAME=TRUE,IF(LC96&lt;&gt;$BC$7,0,INDEX(LA96:LZ96,1,MATCH(Structure!$D$12,$LA$14:$LZ$14,0)))+UK96,IF(MC96&lt;&gt;$BC$7,0,INDEX(MA96:MZ96,1,MATCH(Structure!$D$12,$MA$14:$MZ$14,0)))+UK96))</f>
        <v/>
      </c>
      <c r="BL96" s="239" t="str">
        <f>IF(A96=FALSE,"",IF(ALLTHESAME=TRUE,IF(NC96&lt;&gt;$BC$7,0,INDEX(NA96:NZ96,1,MATCH(Structure!$D$12,$NA$14:$NZ$14,0))),IF(OC96&lt;&gt;$BC$7,0,INDEX(OA96:OZ96,1,MATCH(Structure!$D$12,$OA$14:$OZ$14,0)))))</f>
        <v/>
      </c>
      <c r="BM96" s="239" t="str">
        <f>IF(A96=FALSE,"",IF(ALLTHESAME=TRUE,IF(PC96&lt;&gt;$BC$7,0,INDEX(PA96:PZ96,1,MATCH(Structure!$D$12,$PA$14:$PZ$14,0))),IF(QC96&lt;&gt;$BC$7,0,INDEX(QA96:QZ96,1,MATCH(Structure!$D$12,$QA$14:$QZ$14,0)))))</f>
        <v/>
      </c>
      <c r="BN96" s="341" t="str">
        <f>IF(A96=FALSE,"",IF(ALLTHESAME=TRUE,IF(RC96&lt;&gt;$BC$7,0,INDEX(RA96:RZ96,1,MATCH(Structure!$D$12,$RA$14:$RZ$14,0))),IF(SC96&lt;&gt;$BC$7,0,INDEX(SA96:TA96,1,MATCH(Structure!$D$12,$SA$14:$TA$14,0)))))</f>
        <v/>
      </c>
      <c r="BO96" s="507" t="str">
        <f t="shared" si="647"/>
        <v/>
      </c>
      <c r="BP96" s="239" t="str">
        <f t="shared" si="648"/>
        <v/>
      </c>
      <c r="BQ96" s="239" t="str">
        <f>IF(A96=FALSE,"",IF(ALLTHESAME=TRUE,IF(DF96&lt;&gt;$BO$7,0,INDEX(DD96:DZ96,1,MATCH(Structure!$D$12,$DD$14:$DZ$14,0))),IF(EC96&lt;&gt;$BO$7,0,INDEX(EA96:EZ96,1,MATCH(Structure!$D$12,$EA$14:$EZ$14,0)))))</f>
        <v/>
      </c>
      <c r="BR96" s="239" t="str">
        <f>IF(A96=FALSE,"",IF(ALLTHESAME=TRUE,IF(FC96&lt;&gt;$BO$7,0,INDEX(FA96:FZ96,1,MATCH(Structure!$D$12,$FA$14:$FZ$14,0))),IF(GC96&lt;&gt;$BO$7,0,INDEX(GA96:GZ96,1,MATCH(Structure!$D$12,$GA$14:$GZ$14,0)))))</f>
        <v/>
      </c>
      <c r="BS96" s="239" t="str">
        <f>IF(A96=FALSE,"",IF(ALLTHESAME=TRUE,IF(HC96&lt;&gt;$BO$7,0,INDEX(HA96:HZ96,1,MATCH(Structure!$D$12,$HA$14:$HZ$14,0))),IF(IC96&lt;&gt;$BO$7,0,INDEX(IA96:IZ96,1,MATCH(Structure!$D$12,$IA$14:$IZ$14,0)))))</f>
        <v/>
      </c>
      <c r="BT96" s="239" t="str">
        <f>IF(A96=FALSE,"",IF(ALLTHESAME=TRUE,IF(JC96&lt;&gt;$BO$7,0,INDEX(JA96:JZ96,1,MATCH(Structure!$D$12,$JA$14:$JZ$14,0))),IF(KC96&lt;&gt;$BO$7,0,INDEX(KA96:KZ96,1,MATCH(Structure!$D$12,$KA$14:$KZ$14,0)))))</f>
        <v/>
      </c>
      <c r="BU96" s="239" t="str">
        <f>IF(A96=FALSE,"",IF(ALLTHESAME=TRUE,IF(LC96&lt;&gt;$BO$7,0,INDEX(LA96:LZ96,1,MATCH(Structure!$D$12,$LA$14:$LZ$14,0))),IF(MC96&lt;&gt;$BO$7,0,INDEX(MA96:MZ96,1,MATCH(Structure!$D$12,$MA$14:$MZ$14,0)))))</f>
        <v/>
      </c>
      <c r="BV96" s="239" t="str">
        <f>IF(A96=FALSE,"",IF(ALLTHESAME=TRUE,IF(NC96&lt;&gt;$BO$7,0,INDEX(NA96:NZ96,1,MATCH(Structure!$D$12,$NA$14:$NZ$14,0))),IF(OC96&lt;&gt;$BO$7,0,INDEX(OA96:OZ96,1,MATCH(Structure!$D$12,$OA$14:$OZ$14,0)))))</f>
        <v/>
      </c>
      <c r="BW96" s="239" t="str">
        <f>IF(A96=FALSE,"",IF(ALLTHESAME=TRUE,IF(PC96&lt;&gt;$BO$7,0,INDEX(PA96:PZ96,1,MATCH(Structure!$D$12,$PA$14:$PZ$14,0))),IF(QC96&lt;&gt;$BO$7,0,INDEX(QA96:QZ96,1,MATCH(Structure!$D$12,$QA$14:$QZ$14,0)))))</f>
        <v/>
      </c>
      <c r="BX96" s="341" t="str">
        <f>IF(A96=FALSE,"",IF(ALLTHESAME=TRUE,IF(RC96&lt;&gt;$BO$7,0,INDEX(RA96:RZ96,1,MATCH(Structure!$D$12,$RA$14:$RZ$14,0))),IF(SC96&lt;&gt;$BO$7,0,INDEX(SA96:TA96,1,MATCH(Structure!$D$12,$SA$14:$TA$14,0)))))</f>
        <v/>
      </c>
      <c r="BY96" s="347" t="str">
        <f t="shared" si="649"/>
        <v/>
      </c>
      <c r="BZ96" s="507" t="str">
        <f t="shared" si="650"/>
        <v/>
      </c>
      <c r="CA96" s="239" t="str">
        <f t="shared" si="651"/>
        <v/>
      </c>
      <c r="CB96" s="239" t="str">
        <f>IF(A96=FALSE,"",IF(ALLTHESAME=TRUE,INDEX(DD96:DZ96,MATCH(DF96,DF96:DF201,0),MATCH(Structure!$D$17,$DD$14:$DZ$14,0)),INDEX(EA96:EZ96,MATCH(EC96,EC96:EC201,0),MATCH(Structure!$D$17,$EA$14:$EZ$14,0))))</f>
        <v/>
      </c>
      <c r="CC96" s="239" t="str">
        <f>IF(A96=FALSE,"",IF(ALLTHESAME=TRUE,INDEX(FA96:FZ96,MATCH(FC96,FC96:FC201,0),MATCH(Structure!$D$17,$FA$14:$FZ$14,0)),INDEX(GA96:GZ96,MATCH(GC96,GC96:GC201,0),MATCH(Structure!$D$17,$GA$14:$GZ$14,0))))</f>
        <v/>
      </c>
      <c r="CD96" s="239" t="str">
        <f>IF(A96=FALSE,"",IF(ALLTHESAME=TRUE,INDEX(HA96:HZ96,MATCH(HC96,HC96:HC201,0),MATCH(Structure!$D$17,$HA$14:$HZ$14,0)),INDEX(IA96:IZ96,MATCH(IC96,IC96:IC201,0),MATCH(Structure!$D$17,$IA$14:$IZ$14,0))))</f>
        <v/>
      </c>
      <c r="CE96" s="239" t="str">
        <f>IF(A96=FALSE,"",IF(ALLTHESAME=TRUE,INDEX(JA96:JZ96,MATCH(JC96,JC96:JC201,0),MATCH(Structure!$D$17,$JA$14:$JZ$14,0)),INDEX(KA96:KZ96,MATCH(KC96,KC96:KC201,0),MATCH(Structure!$D$17,$KA$14:$KZ$14,0))))</f>
        <v/>
      </c>
      <c r="CF96" s="239" t="str">
        <f>IF(A96=FALSE,"",IF(ALLTHESAME=TRUE,INDEX(LA96:LZ96,MATCH(LC96,LC96:LC201,0),MATCH(Structure!$D$17,$LA$14:$LZ$14,0)),INDEX(MA96:MZ96,MATCH(MC96,MC96:MC201,0),MATCH(Structure!$D$17,$MA$14:$MZ$14,0))))</f>
        <v/>
      </c>
      <c r="CG96" s="239" t="str">
        <f>IF(A96=FALSE,"",IF(ALLTHESAME=TRUE,INDEX(NA96:NZ96,MATCH(NC96,NC96:NC201,0),MATCH(Structure!$D$17,$NA$14:$NZ$14,0)),INDEX(OA96:OZ96,MATCH(OC96,OC96:OC201,0),MATCH(Structure!$D$17,$OA$14:$OZ$14,0))))</f>
        <v/>
      </c>
      <c r="CH96" s="239" t="str">
        <f>IF(A96=FALSE,"",IF(ALLTHESAME=TRUE,INDEX(PA96:PZ96,MATCH(PC96,PC96:PC201,0),MATCH(Structure!$D$17,$PA$14:$PZ$14,0)),INDEX(QA96:QZ96,MATCH(QC96,QC96:QC201,0),MATCH(Structure!$D$17,$QA$14:$QZ$14,0))))</f>
        <v/>
      </c>
      <c r="CI96" s="341" t="str">
        <f>IF(A96=FALSE,"",IF(ALLTHESAME=TRUE,INDEX(RA96:RZ96,MATCH(RC96,RC96:RC201,0),MATCH(Structure!$D$17,$RA$14:$RZ$14,0)),INDEX(SA96:TC96,MATCH(SC96,SC96:SC201,0),MATCH(Structure!$D$17,$SA$14:$TC$14,0))))</f>
        <v/>
      </c>
      <c r="CJ96" s="347"/>
      <c r="CK96" s="239" t="str">
        <f t="shared" si="652"/>
        <v/>
      </c>
      <c r="CL96" s="239" t="str">
        <f>IF(A96=FALSE,"",IF(ALLTHESAME=TRUE,INDEX(DD96:DZ96,MATCH(DF96,DF96:DF201,0),MATCH(Structure!$D$22,$DD$14:$DZ$14,0)),INDEX(EA96:EZ96,MATCH(EC96,EC96:EC201,0),MATCH(Structure!$D$22,$EA$14:$EZ$14,0))))</f>
        <v/>
      </c>
      <c r="CM96" s="239" t="str">
        <f>IF(A96=FALSE,"",IF(ALLTHESAME=TRUE,INDEX(FA96:FZ96,MATCH(FC96,FC96:FC201,0),MATCH(Structure!$D$22,$FA$14:$FZ$14,0)),INDEX(GA96:GZ96,MATCH(GC96,GC96:GC201,0),MATCH(Structure!$D$22,$GA$14:$GZ$14,0))))</f>
        <v/>
      </c>
      <c r="CN96" s="239" t="str">
        <f>IF(A96=FALSE,"",IF(ALLTHESAME=TRUE,INDEX(HA96:HZ96,MATCH(HC96,HC96:HC201,0),MATCH(Structure!$D$22,$HA$14:$HZ$14,0)),INDEX(IA96:IZ96,MATCH(IC96,IC96:IC201,0),MATCH(Structure!$D$22,$IA$14:$IZ$14,0))))</f>
        <v/>
      </c>
      <c r="CO96" s="239" t="str">
        <f>IF(A96=FALSE,"",IF(ALLTHESAME=TRUE,INDEX(JA96:JZ96,MATCH(JC96,JC96:JC201,0),MATCH(Structure!$D$22,$JA$14:$JZ$14,0)),INDEX(KA96:KZ96,MATCH(KC96,KC96:KC201,0),MATCH(Structure!$D$22,$KA$14:$KZ$14,0))))</f>
        <v/>
      </c>
      <c r="CP96" s="239" t="str">
        <f>IF(A96=FALSE,"",IF(ALLTHESAME=TRUE,INDEX(LA96:LZ96,MATCH(LC96,LC96:LC201,0),MATCH(Structure!$D$22,$LA$14:$LZ$14,0)),INDEX(MA96:MZ96,MATCH(MC96,MC96:MC201,0),MATCH(Structure!$D$22,$MA$14:$MZ$14,0))))</f>
        <v/>
      </c>
      <c r="CQ96" s="239" t="str">
        <f>IF(A96=FALSE,"",IF(ALLTHESAME=TRUE,INDEX(NA96:NZ96,MATCH(NC96,NC96:NC201,0),MATCH(Structure!$D$22,$NA$14:$NZ$14,0)),INDEX(OA96:OZ96,MATCH(OC96,OC96:OC201,0),MATCH(Structure!$D$22,$OA$14:$OZ$14,0))))</f>
        <v/>
      </c>
      <c r="CR96" s="239" t="str">
        <f>IF(A96=FALSE,"",IF(ALLTHESAME=TRUE,INDEX(PA96:PZ96,MATCH(PC96,PC96:PC201,0),MATCH(Structure!$D$22,$PA$14:$PZ$14,0)),INDEX(QA96:QZ96,MATCH(QC96,QC96:QC201,0),MATCH(Structure!$D$22,$QA$14:$QZ$14,0))))</f>
        <v/>
      </c>
      <c r="CS96" s="341" t="str">
        <f>IF(A96=FALSE,"",IF(ALLTHESAME=TRUE,INDEX(RA96:RZ96,MATCH(RC96,RC96:RC201,0),MATCH(Structure!$D$22,$RA$14:$RZ$14,0)),INDEX(SA96:TC96,MATCH(SC96,SC96:SC201,0),MATCH(Structure!$D$22,$SA$14:$TC$14,0))))</f>
        <v/>
      </c>
      <c r="CT96" s="347"/>
      <c r="CU96" s="239" t="str">
        <f t="shared" si="653"/>
        <v/>
      </c>
      <c r="CV96" s="239" t="str">
        <f>IF(A96=FALSE,"",IF(ALLTHESAME=TRUE,INDEX(DD96:DZ96,MATCH(DF96,DF96:DF201,0),MATCH(Structure!$D$8,$DD$14:$DZ$14,0)),INDEX(EA96:EZ96,MATCH(EC96,EC96:EC201,0),MATCH(Structure!$D$8,$EA$14:$EZ$14,0))))</f>
        <v/>
      </c>
      <c r="CW96" s="239" t="str">
        <f>IF(A96=FALSE,"",IF(ALLTHESAME=TRUE,INDEX(FA96:FZ96,MATCH(FC96,FC96:FC201,0),MATCH(Structure!$D$8,$FA$14:$FZ$14,0)),INDEX(GA96:GZ96,MATCH(GC96,GC96:GC201,0),MATCH(Structure!$D$8,$GA$14:$GZ$14,0))))</f>
        <v/>
      </c>
      <c r="CX96" s="239" t="str">
        <f>IF(A96=FALSE,"",IF(ALLTHESAME=TRUE,INDEX(HA96:HZ96,MATCH(HC96,HC96:HC201,0),MATCH(Structure!$D$8,$HA$14:$HZ$14,0)),INDEX(IA96:IZ96,MATCH(IC96,IC96:IC201,0),MATCH(Structure!$D$8,$IA$14:$IZ$14,0))))</f>
        <v/>
      </c>
      <c r="CY96" s="239" t="str">
        <f>IF(A96=FALSE,"",IF(ALLTHESAME=TRUE,INDEX(JA96:JZ96,MATCH(JC96,JC96:JC201,0),MATCH(Structure!$D$8,$JA$14:$JZ$14,0)),INDEX(KA96:KZ96,MATCH(KC96,KC96:KC201,0),MATCH(Structure!$D$8,$KA$14:$KZ$14,0))))</f>
        <v/>
      </c>
      <c r="CZ96" s="239" t="str">
        <f>IF(A96=FALSE,"",IF(ALLTHESAME=TRUE,INDEX(LA96:LZ96,MATCH(LC96,LC96:LC201,0),MATCH(Structure!$D$8,$LA$14:$LZ$14,0)),INDEX(MA96:MZ96,MATCH(MC96,MC96:MC201,0),MATCH(Structure!$D$8,$MA$14:$MZ$14,0))))</f>
        <v/>
      </c>
      <c r="DA96" s="239" t="str">
        <f>IF(A96=FALSE,"",IF(ALLTHESAME=TRUE,INDEX(NA96:NZ96,MATCH(NC96,NC96:NC201,0),MATCH(Structure!$D$8,$NA$14:$NZ$14,0)),INDEX(OA96:OZ96,MATCH(OC96,OC96:OC201,0),MATCH(Structure!$D$8,$OA$14:$OZ$14,0))))</f>
        <v/>
      </c>
      <c r="DB96" s="239" t="str">
        <f>IF(A96=FALSE,"",IF(ALLTHESAME=TRUE,INDEX(PA96:PZ96,MATCH(PC96,PC96:PC201,0),MATCH(Structure!$D$8,$PA$14:$PZ$14,0)),INDEX(QA96:QZ96,MATCH(QC96,QC96:QC201,0),MATCH(Structure!$D$8,$QA$14:$QZ$14,0))))</f>
        <v/>
      </c>
      <c r="DC96" s="341" t="str">
        <f>IF(A96=FALSE,"",IF(ALLTHESAME=TRUE,INDEX(RA96:RZ96,MATCH(RC96,RC96:RC201,0),MATCH(Structure!$D$8,$RA$14:$RZ$14,0)),INDEX(SA96:TC96,MATCH(SC96,SC96:SC201,0),MATCH(Structure!$D$8,$SA$14:$TC$14,0))))</f>
        <v/>
      </c>
      <c r="DD96" s="492" t="str">
        <f>IF(A96=FALSE,"",Cotations!D96)</f>
        <v/>
      </c>
      <c r="DE96" s="492" t="str">
        <f>IF(A96=FALSE,"",IF(LISTES!$A$17=1,Cotations!AF96,Cotations!$AG$4))</f>
        <v/>
      </c>
      <c r="DF96" s="291" t="str">
        <f t="shared" si="654"/>
        <v/>
      </c>
      <c r="DG96" s="291" t="str">
        <f t="shared" si="655"/>
        <v/>
      </c>
      <c r="DH96" s="291"/>
      <c r="DI96" s="463"/>
      <c r="DJ96" s="463" t="str">
        <f t="shared" si="656"/>
        <v/>
      </c>
      <c r="DK96" s="522" t="str">
        <f>IF(A96=FALSE,"",IF(Cotations!$AH$4="monthly",DJ96/12*L96,DJ96/365*M96))</f>
        <v/>
      </c>
      <c r="DL96" s="489" t="str">
        <f>IF(A96=FALSE,"",Cotations!$AI$4)</f>
        <v/>
      </c>
      <c r="DM96" s="300" t="str">
        <f t="shared" si="657"/>
        <v/>
      </c>
      <c r="DN96" s="300" t="str">
        <f t="shared" si="658"/>
        <v/>
      </c>
      <c r="DO96" s="294" t="str">
        <f t="shared" si="659"/>
        <v/>
      </c>
      <c r="DP96" s="494" t="str">
        <f>IF(A96=FALSE,"",Cotations!$AJ$4)</f>
        <v/>
      </c>
      <c r="DQ96" s="494" t="str">
        <f>IF(A96=FALSE,"",Cotations!$AK$4)</f>
        <v/>
      </c>
      <c r="DR96" s="489" t="str">
        <f>IF(A96=FALSE,"",Cotations!$AL$4)</f>
        <v/>
      </c>
      <c r="DS96" s="494" t="str">
        <f>IF(A96=FALSE,"",IF(DP96="N/A",0,IF(INDEX(LISTES!$F$105:$F$109,MATCH(DP96,LISTES!$C$105:$C$109,0))="FIX",IF(INDEX(LISTES!$E$105:$E$109,MATCH(DP96,LISTES!$C$105:$C$109,0))=12,DQ96/12*L96,DQ96/365*M96),DR96*DO96)))</f>
        <v/>
      </c>
      <c r="DT96" s="294" t="str">
        <f t="shared" si="660"/>
        <v/>
      </c>
      <c r="DU96" s="294" t="str">
        <f>IF(A96=FALSE,"",DT96*Cotations!$AM$4)</f>
        <v/>
      </c>
      <c r="DV96" s="294" t="str">
        <f>IF(A96=FALSE,"",DT96*Cotations!$AN$4)</f>
        <v/>
      </c>
      <c r="DW96" s="465" t="str">
        <f t="shared" si="661"/>
        <v/>
      </c>
      <c r="DX96" s="919" t="str">
        <f>IF(A96=FALSE,"",((DJ96*TAXE)-(DJ96*TAXE*DL96))+IF(DP96="N/A",0,IF(INDEX(LISTES!$F$105:$F$109,MATCH(DP96,LISTES!$C$105:$C$109,0))="FIX",DQ96,DR96*DO96)))</f>
        <v/>
      </c>
      <c r="DY96" s="466"/>
      <c r="DZ96" s="466"/>
      <c r="EA96" s="492" t="str">
        <f>IF(A96=FALSE,"",Cotations!D96)</f>
        <v/>
      </c>
      <c r="EB96" s="494" t="str">
        <f>IF(A96=FALSE,"",IF(LISTES!$A$17=1,Cotations!AF96,Cotations!AG96))</f>
        <v/>
      </c>
      <c r="EC96" s="284" t="str">
        <f t="shared" si="662"/>
        <v/>
      </c>
      <c r="ED96" s="284" t="str">
        <f t="shared" si="663"/>
        <v/>
      </c>
      <c r="EE96" s="284"/>
      <c r="EF96" s="284"/>
      <c r="EG96" s="284" t="str">
        <f t="shared" si="664"/>
        <v/>
      </c>
      <c r="EH96" s="1365" t="str">
        <f t="shared" si="665"/>
        <v/>
      </c>
      <c r="EI96" s="1365" t="str">
        <f t="shared" si="666"/>
        <v/>
      </c>
      <c r="EJ96" s="515" t="str">
        <f>IF(A96=FALSE,"",IF(Cotations!AH96="monthly",EG96/12*L96,EG96/365*M96))</f>
        <v/>
      </c>
      <c r="EK96" s="1364" t="str">
        <f>IF(A96=FALSE,"",IF(Cotations!AH96="monthly",EI96/12*L96,EI96/365*M96))</f>
        <v/>
      </c>
      <c r="EL96" s="493" t="str">
        <f>IF(A96=FALSE,"",IF(Cotations!AI96="","",Cotations!AI96))</f>
        <v/>
      </c>
      <c r="EM96" s="284" t="str">
        <f t="shared" si="667"/>
        <v/>
      </c>
      <c r="EN96" s="284" t="str">
        <f t="shared" si="668"/>
        <v/>
      </c>
      <c r="EO96" s="1365" t="str">
        <f t="shared" si="840"/>
        <v/>
      </c>
      <c r="EP96" s="284" t="str">
        <f t="shared" si="669"/>
        <v/>
      </c>
      <c r="EQ96" s="515" t="str">
        <f>IF(A96=FALSE,"",Cotations!AJ96)</f>
        <v/>
      </c>
      <c r="ER96" s="515" t="str">
        <f>IF(A96=FALSE,"",IF(Cotations!AK96="","",Cotations!AK96))</f>
        <v/>
      </c>
      <c r="ES96" s="493" t="str">
        <f>IF(A96=FALSE,"",Cotations!AL96)</f>
        <v/>
      </c>
      <c r="ET96" s="515" t="str">
        <f>IF(A96=FALSE,"",IF(EQ96="N/A",0,IF(INDEX(LISTES!$F$105:$F$109,MATCH(EQ96,LISTES!$C$105:$C$109,0))="FIX",IF(INDEX(LISTES!$E$105:$E$109,MATCH(EQ96,LISTES!$C$105:$C$109,0))=12,ER96/12*L96,ER96/365*M96),ES96*EP96)))</f>
        <v/>
      </c>
      <c r="EU96" s="294" t="str">
        <f t="shared" si="670"/>
        <v/>
      </c>
      <c r="EV96" s="494" t="str">
        <f>IF(A96=FALSE,"",EU96*Cotations!AM96)</f>
        <v/>
      </c>
      <c r="EW96" s="494" t="str">
        <f>IF(A96=FALSE,"",EU96*Cotations!AN96)</f>
        <v/>
      </c>
      <c r="EX96" s="334" t="str">
        <f t="shared" si="671"/>
        <v/>
      </c>
      <c r="EY96" s="919" t="str">
        <f>IF(A96=FALSE,"",((EG96*TAXE)-(EG96*TAXE*EL96)+EH96)+IF(EQ96="N/A",0,IF(INDEX(LISTES!$F$105:$F$109,MATCH(EQ96,LISTES!$C$105:$C$109,0))="FIX",ER96,ES96*EP96)))</f>
        <v/>
      </c>
      <c r="FA96" s="492" t="str">
        <f>IF(A96=FALSE,"",Cotations!D96)</f>
        <v/>
      </c>
      <c r="FB96" s="519" t="str">
        <f>IF(A96=FALSE,"",IF(LISTES!$A$17=1,Cotations!AO96,Cotations!$AP$4))</f>
        <v/>
      </c>
      <c r="FC96" s="291" t="str">
        <f t="shared" si="672"/>
        <v/>
      </c>
      <c r="FD96" s="291" t="str">
        <f t="shared" si="673"/>
        <v/>
      </c>
      <c r="FE96" s="291"/>
      <c r="FF96" s="463"/>
      <c r="FG96" s="463" t="str">
        <f t="shared" si="674"/>
        <v/>
      </c>
      <c r="FH96" s="522" t="str">
        <f>IF(A96=FALSE,"",IF(Cotations!$AQ$4="monthly",FG96/12*L96,FG96/365*M96))</f>
        <v/>
      </c>
      <c r="FI96" s="453" t="str">
        <f>IF(A96=FALSE,"",Cotations!$AR$4)</f>
        <v/>
      </c>
      <c r="FJ96" s="300" t="str">
        <f t="shared" si="675"/>
        <v/>
      </c>
      <c r="FK96" s="300" t="str">
        <f t="shared" si="676"/>
        <v/>
      </c>
      <c r="FL96" s="294" t="str">
        <f t="shared" si="677"/>
        <v/>
      </c>
      <c r="FM96" s="494" t="str">
        <f>IF(A96=FALSE,"",Cotations!$AS$4)</f>
        <v/>
      </c>
      <c r="FN96" s="494" t="str">
        <f>IF(A96=FALSE,"",Cotations!$AT$4)</f>
        <v/>
      </c>
      <c r="FO96" s="489" t="str">
        <f>IF(A96=FALSE,"",Cotations!$AU$4)</f>
        <v/>
      </c>
      <c r="FP96" s="494" t="str">
        <f>IF(A96=FALSE,"",IF(FM96="N/A",0,IF(INDEX(LISTES!$F$105:$F$109,MATCH(FM96,LISTES!$C$105:$C$109,0))="FIX",IF(INDEX(LISTES!$E$105:$E$109,MATCH(FM96,LISTES!$C$105:$C$109,0))=12,FN96/12*L96,FN96/365*M96),FO96*FL96)))</f>
        <v/>
      </c>
      <c r="FQ96" s="294" t="str">
        <f t="shared" si="678"/>
        <v/>
      </c>
      <c r="FR96" s="494" t="str">
        <f>IF(A96=FALSE,"",FQ96*Cotations!$AV$4)</f>
        <v/>
      </c>
      <c r="FS96" s="494" t="str">
        <f>IF(A96=FALSE,"",FQ96*Cotations!$AW$4)</f>
        <v/>
      </c>
      <c r="FT96" s="465" t="str">
        <f t="shared" si="679"/>
        <v/>
      </c>
      <c r="FU96" s="919" t="str">
        <f>IF(A96=FALSE,"",((FG96*TAXE)-(FG96*TAXE*FI96))+IF(FM96="N/A",0,IF(INDEX(LISTES!$F$105:$F$109,MATCH(FM96,LISTES!$C$105:$C$109,0))="FIX",FN96,FO96*FL96)))</f>
        <v/>
      </c>
      <c r="FV96" s="478"/>
      <c r="FW96" s="478"/>
      <c r="FX96" s="478"/>
      <c r="FY96" s="478"/>
      <c r="FZ96" s="478"/>
      <c r="GA96" s="492" t="str">
        <f>IF(A96=FALSE,"",Cotations!D96)</f>
        <v/>
      </c>
      <c r="GB96" s="494" t="str">
        <f>IF(A96=FALSE,"",IF(LISTES!$A$17=1,Cotations!AO96,Cotations!AP96))</f>
        <v/>
      </c>
      <c r="GC96" s="284" t="str">
        <f t="shared" si="680"/>
        <v/>
      </c>
      <c r="GD96" s="515" t="str">
        <f>IF(A96=FALSE,"",IF(Detail!AM96="","",Detail!AM96))</f>
        <v/>
      </c>
      <c r="GE96" s="284"/>
      <c r="GF96" s="284"/>
      <c r="GG96" s="284" t="str">
        <f t="shared" si="681"/>
        <v/>
      </c>
      <c r="GH96" s="515" t="str">
        <f>IF(A96=FALSE,"",IF(Cotations!AQ96="monthly",GG96/12*L96,GG96/365*M96))</f>
        <v/>
      </c>
      <c r="GI96" s="493" t="str">
        <f>IF(A96=FALSE,"",IF(Cotations!AR96="","",Cotations!AR96))</f>
        <v/>
      </c>
      <c r="GJ96" s="284" t="str">
        <f t="shared" si="682"/>
        <v/>
      </c>
      <c r="GK96" s="284" t="str">
        <f t="shared" si="683"/>
        <v/>
      </c>
      <c r="GL96" s="284" t="str">
        <f t="shared" si="684"/>
        <v/>
      </c>
      <c r="GM96" s="515" t="str">
        <f>IF(A96=FALSE,"",Cotations!AS96)</f>
        <v/>
      </c>
      <c r="GN96" s="515" t="str">
        <f>IF(A96=FALSE,"",Cotations!AT96)</f>
        <v/>
      </c>
      <c r="GO96" s="493" t="str">
        <f>IF(A96=FALSE,"",Cotations!AU96)</f>
        <v/>
      </c>
      <c r="GP96" s="515" t="str">
        <f>IF(A96=FALSE,"",IF(GM96="N/A",0,IF(INDEX(LISTES!$F$105:$F$109,MATCH(GM96,LISTES!$C$105:$C$109,0))="FIX",IF(INDEX(LISTES!$E$105:$E$109,MATCH(GM96,LISTES!$C$105:$C$109,0))=12,GN96/12*L96,GN96/365*M96),GO96*GL96)))</f>
        <v/>
      </c>
      <c r="GQ96" s="294" t="str">
        <f t="shared" si="685"/>
        <v/>
      </c>
      <c r="GR96" s="494" t="str">
        <f>IF(A96=FALSE,"",GQ96*Cotations!AV96)</f>
        <v/>
      </c>
      <c r="GS96" s="494" t="str">
        <f>IF(A96=FALSE,"",GQ96*Cotations!AW96)</f>
        <v/>
      </c>
      <c r="GT96" s="334" t="str">
        <f t="shared" si="686"/>
        <v/>
      </c>
      <c r="GU96" s="919" t="str">
        <f>IF(A96=FALSE,"",((GG96*TAXE)-(GG96*TAXE*GI96))+IF(GM96="N/A",0,IF(INDEX(LISTES!$F$105:$F$109,MATCH(GM96,LISTES!$C$105:$C$109,0))="FIX",GN96,GO96*GL96)))</f>
        <v/>
      </c>
      <c r="GV96" s="478"/>
      <c r="GW96" s="466"/>
      <c r="GX96" s="466"/>
      <c r="GY96" s="466"/>
      <c r="GZ96" s="466"/>
      <c r="HA96" s="492" t="str">
        <f>IF(A96=FALSE,"",Cotations!D96)</f>
        <v/>
      </c>
      <c r="HB96" s="495" t="str">
        <f>IF(A96=FALSE,"",IF(LISTES!$A$17=1,Cotations!AX96,Cotations!$AY$4))</f>
        <v/>
      </c>
      <c r="HC96" s="291" t="str">
        <f t="shared" si="687"/>
        <v/>
      </c>
      <c r="HD96" s="291" t="str">
        <f t="shared" si="688"/>
        <v/>
      </c>
      <c r="HE96" s="456" t="str">
        <f t="shared" si="689"/>
        <v/>
      </c>
      <c r="HF96" s="496" t="str">
        <f>IF(A96=FALSE,"",IF(HA96="POEA",Cotations!BA96,IF(HA96="FIXE",Cotations!$BA$4,Cotations!$BC$4*Y96)))</f>
        <v/>
      </c>
      <c r="HG96" s="300" t="str">
        <f t="shared" si="690"/>
        <v/>
      </c>
      <c r="HH96" s="522" t="str">
        <f>IF(A96=FALSE,"",IF(Cotations!$AZ$4="monthly",HG96/12*L96,HG96/365*M96))</f>
        <v/>
      </c>
      <c r="HI96" s="489" t="str">
        <f>IF(A96=FALSE,"",Cotations!$BD$4)</f>
        <v/>
      </c>
      <c r="HJ96" s="300" t="str">
        <f t="shared" si="691"/>
        <v/>
      </c>
      <c r="HK96" s="300" t="str">
        <f t="shared" si="692"/>
        <v/>
      </c>
      <c r="HL96" s="294" t="str">
        <f t="shared" si="693"/>
        <v/>
      </c>
      <c r="HM96" s="494" t="str">
        <f>IF(A96=FALSE,"",Cotations!$BE$4)</f>
        <v/>
      </c>
      <c r="HN96" s="522" t="str">
        <f>IF(A96=FALSE,"",Cotations!$BF$4)</f>
        <v/>
      </c>
      <c r="HO96" s="489" t="str">
        <f>IF(A96=FALSE,"",Cotations!$BG$4)</f>
        <v/>
      </c>
      <c r="HP96" s="494" t="str">
        <f>IF(A96=FALSE,"",IF(HM96="N/A",0,IF(INDEX(LISTES!$F$105:$F$109,MATCH(HM96,LISTES!$C$105:$C$109,0))="FIX",IF(INDEX(LISTES!$E$105:$E$109,MATCH(HM96,LISTES!$C$105:$C$109,0))=12,HN96/12*L96,HN96/365*M96),HO96*HL96)))</f>
        <v/>
      </c>
      <c r="HQ96" s="294" t="str">
        <f t="shared" si="694"/>
        <v/>
      </c>
      <c r="HR96" s="494" t="str">
        <f>IF(A96=FALSE,"",HQ96*Cotations!$BH$4)</f>
        <v/>
      </c>
      <c r="HS96" s="494" t="str">
        <f>IF(A96=FALSE,"",HQ96*Cotations!$BI$4)</f>
        <v/>
      </c>
      <c r="HT96" s="294" t="str">
        <f t="shared" si="695"/>
        <v/>
      </c>
      <c r="HU96" s="919" t="str">
        <f>IF(A96=FALSE,"",((HG96*TAXE)-(HG96*TAXE*HI96))+IF(HM96="N/A",0,IF(INDEX(LISTES!$F$105:$F$109,MATCH(HM96,LISTES!$C$105:$C$109,0))="FIX",HN96,HO96*HL96)))</f>
        <v/>
      </c>
      <c r="IA96" s="492" t="str">
        <f>IF(A96=FALSE,"",Cotations!D96)</f>
        <v/>
      </c>
      <c r="IB96" s="491" t="str">
        <f>IF(A96=FALSE,"",IF(LISTES!$A$17=1,Cotations!AX96,Cotations!AY96))</f>
        <v/>
      </c>
      <c r="IC96" s="285" t="str">
        <f t="shared" si="696"/>
        <v/>
      </c>
      <c r="ID96" s="300" t="str">
        <f>IF(A96=FALSE,"",IF(LISTES!$A$17=3,Detail!AU96,lig1_Formula_PREVOY))</f>
        <v/>
      </c>
      <c r="IE96" s="461" t="str">
        <f t="shared" si="697"/>
        <v/>
      </c>
      <c r="IF96" s="490" t="str">
        <f>IF(A96=FALSE,"",IF(IA96="POEA",Cotations!BA96,IF(HA96="FIXE",Cotations!BB96,IF(Cotations!BC96*Y96&lt;50000,Z96,Cotations!BC96*Y96))))</f>
        <v/>
      </c>
      <c r="IG96" s="300" t="str">
        <f t="shared" si="698"/>
        <v/>
      </c>
      <c r="IH96" s="522" t="str">
        <f>IF(A96=FALSE,"",IF(Cotations!AZ96="monthly",IG96/12*L96,IG96/365*M96))</f>
        <v/>
      </c>
      <c r="II96" s="489" t="str">
        <f>IF(A96=FALSE,"",IF(Cotations!BD96="","",Cotations!BD96))</f>
        <v/>
      </c>
      <c r="IJ96" s="300" t="str">
        <f t="shared" si="699"/>
        <v/>
      </c>
      <c r="IK96" s="300" t="str">
        <f t="shared" si="700"/>
        <v/>
      </c>
      <c r="IL96" s="919" t="str">
        <f t="shared" si="701"/>
        <v/>
      </c>
      <c r="IM96" s="517" t="str">
        <f>IF(A96=FALSE,"",Cotations!BE96)</f>
        <v/>
      </c>
      <c r="IN96" s="517" t="str">
        <f>IF(A96=FALSE,"",Cotations!BF96)</f>
        <v/>
      </c>
      <c r="IO96" s="493" t="str">
        <f>IF(A96=FALSE,"",Cotations!BG96)</f>
        <v/>
      </c>
      <c r="IP96" s="517" t="str">
        <f>IF(A96=FALSE,"",IF(IM96="N/A",0,IF(INDEX(LISTES!$F$105:$F$109,MATCH(IM96,LISTES!$C$105:$C$109,0))="FIX",IF(INDEX(LISTES!$E$105:$E$109,MATCH(IM96,LISTES!$C$105:$C$109,0))=12,IN96/12*L96,IN96/365*M96),IO96*IL96)))</f>
        <v/>
      </c>
      <c r="IQ96" s="294" t="str">
        <f t="shared" si="702"/>
        <v/>
      </c>
      <c r="IR96" s="494" t="str">
        <f>IF(A96=FALSE,"",IQ96*Cotations!BH96)</f>
        <v/>
      </c>
      <c r="IS96" s="494" t="str">
        <f>IF(A96=FALSE,"",IQ96*Cotations!BI96)</f>
        <v/>
      </c>
      <c r="IT96" s="338" t="str">
        <f t="shared" si="703"/>
        <v/>
      </c>
      <c r="IU96" s="919" t="str">
        <f>IF(A96=FALSE,"",((IG96*TAXE)-(IG96*TAXE*II96))+IF(IM96="N/A",0,IF(INDEX(LISTES!$F$105:$F$109,MATCH(IM96,LISTES!$C$105:$C$109,0))="FIX",IN96,IO96*IL96)))</f>
        <v/>
      </c>
      <c r="JA96" s="492" t="str">
        <f>IF(A96=FALSE,"",Cotations!D96)</f>
        <v/>
      </c>
      <c r="JB96" s="495" t="str">
        <f>IF(A96=FALSE,"",IF(LISTES!$A$17=1,Cotations!BJ96,Cotations!$BK$4))</f>
        <v/>
      </c>
      <c r="JC96" s="291" t="str">
        <f t="shared" si="704"/>
        <v/>
      </c>
      <c r="JD96" s="291" t="str">
        <f t="shared" si="705"/>
        <v/>
      </c>
      <c r="JE96" s="456" t="str">
        <f t="shared" si="706"/>
        <v/>
      </c>
      <c r="JF96" s="496" t="str">
        <f>IF(A96=FALSE,"",IF(JA96="POEA",Cotations!BM96,IF(JA96="FIXE",Cotations!$BM$4,Cotations!$BO$4*Y96)))</f>
        <v/>
      </c>
      <c r="JG96" s="300" t="str">
        <f t="shared" si="707"/>
        <v/>
      </c>
      <c r="JH96" s="522" t="str">
        <f>IF(A96=FALSE,"",IF(Cotations!$BL$4="monthly",JG96/12*L96,JG96/365*M96))</f>
        <v/>
      </c>
      <c r="JI96" s="489" t="str">
        <f>IF(A96=FALSE,"",Cotations!$BP$4)</f>
        <v/>
      </c>
      <c r="JJ96" s="300" t="str">
        <f t="shared" si="708"/>
        <v/>
      </c>
      <c r="JK96" s="300" t="str">
        <f t="shared" si="709"/>
        <v/>
      </c>
      <c r="JL96" s="294" t="str">
        <f t="shared" si="710"/>
        <v/>
      </c>
      <c r="JM96" s="494" t="str">
        <f>IF(A96=FALSE,"",Cotations!$BQ$4)</f>
        <v/>
      </c>
      <c r="JN96" s="522" t="str">
        <f>IF(A96=FALSE,"",Cotations!$BR$4)</f>
        <v/>
      </c>
      <c r="JO96" s="489" t="str">
        <f>IF(A96=FALSE,"",Cotations!$BS$4)</f>
        <v/>
      </c>
      <c r="JP96" s="494" t="str">
        <f>IF(A96=FALSE,"",IF(JM96="N/A",0,IF(INDEX(LISTES!$F$105:$F$109,MATCH(JM96,LISTES!$C$105:$C$109,0))="FIX",IF(INDEX(LISTES!$E$105:$E$109,MATCH(JM96,LISTES!$C$105:$C$109,0))=12,JN96/12*L96,JN96/365*M96),JO96*JL96)))</f>
        <v/>
      </c>
      <c r="JQ96" s="294" t="str">
        <f t="shared" si="711"/>
        <v/>
      </c>
      <c r="JR96" s="494" t="str">
        <f>IF(A96=FALSE,"",JQ96*Cotations!$BT$4)</f>
        <v/>
      </c>
      <c r="JS96" s="494" t="str">
        <f>IF(A96=FALSE,"",JQ96*Cotations!$BU$4)</f>
        <v/>
      </c>
      <c r="JT96" s="294" t="str">
        <f t="shared" si="712"/>
        <v/>
      </c>
      <c r="JU96" s="919" t="str">
        <f>IF(A96=FALSE,"",((JG96*TAXE)-(JG96*TAXE*JI96))+IF(JM96="N/A",0,IF(INDEX(LISTES!$F$105:$F$109,MATCH(JM96,LISTES!$C$105:$C$109,0))="FIX",JN96,JO96*JL96)))</f>
        <v/>
      </c>
      <c r="KA96" s="492" t="str">
        <f>IF(A96=FALSE,"",Cotations!D96)</f>
        <v/>
      </c>
      <c r="KB96" s="491" t="str">
        <f>IF(A96=FALSE,"",IF(LISTES!$A$17=1,Cotations!BJ96,Cotations!BK96))</f>
        <v/>
      </c>
      <c r="KC96" s="285" t="str">
        <f t="shared" si="713"/>
        <v/>
      </c>
      <c r="KD96" s="300"/>
      <c r="KE96" s="461" t="str">
        <f t="shared" si="714"/>
        <v/>
      </c>
      <c r="KF96" s="490" t="str">
        <f>IF(A96=FALSE,"",IF(KA96="POEA",Cotations!BM96,IF(KA96="FIXE",Cotations!BN96,IF(Cotations!BO96*Y96&lt;50000,Z96,Cotations!BO96*Y96))))</f>
        <v/>
      </c>
      <c r="KG96" s="300" t="str">
        <f t="shared" si="715"/>
        <v/>
      </c>
      <c r="KH96" s="522" t="str">
        <f>IF(A96=FALSE,"",IF(Cotations!BL96="monthly",KG96/12*L96,KG96/365*M96))</f>
        <v/>
      </c>
      <c r="KI96" s="489" t="str">
        <f>IF(A96=FALSE,"",IF(Cotations!BP96="","",Cotations!BP96))</f>
        <v/>
      </c>
      <c r="KJ96" s="300" t="str">
        <f t="shared" si="716"/>
        <v/>
      </c>
      <c r="KK96" s="300" t="str">
        <f t="shared" si="717"/>
        <v/>
      </c>
      <c r="KL96" s="919" t="str">
        <f t="shared" si="718"/>
        <v/>
      </c>
      <c r="KM96" s="517" t="str">
        <f>IF(A96=FALSE,"",Cotations!BQ96)</f>
        <v/>
      </c>
      <c r="KN96" s="515" t="str">
        <f>IF(A96=FALSE,"",Cotations!BR96)</f>
        <v/>
      </c>
      <c r="KO96" s="493" t="str">
        <f>IF(A96=FALSE,"",Cotations!BS96)</f>
        <v/>
      </c>
      <c r="KP96" s="517" t="str">
        <f>IF(A96=FALSE,"",IF(KM96="N/A",0,IF(INDEX(LISTES!$F$105:$F$109,MATCH(KM96,LISTES!$C$105:$C$109,0))="FIX",IF(INDEX(LISTES!$E$105:$E$109,MATCH(KM96,LISTES!$C$105:$C$109,0))=12,KN96/12*L96,KN96/365*M96),KO96*KL96)))</f>
        <v/>
      </c>
      <c r="KQ96" s="294" t="str">
        <f t="shared" si="719"/>
        <v/>
      </c>
      <c r="KR96" s="494" t="str">
        <f>IF(A96=FALSE,"",KQ96*Cotations!BT96)</f>
        <v/>
      </c>
      <c r="KS96" s="494" t="str">
        <f>IF(A96=FALSE,"",KQ96*Cotations!BU96)</f>
        <v/>
      </c>
      <c r="KT96" s="338" t="str">
        <f t="shared" si="720"/>
        <v/>
      </c>
      <c r="KU96" s="919" t="str">
        <f>IF(A96=FALSE,"",((KG96*TAXE)-(KG96*TAXE*KI96))+IF(KM96="N/A",0,IF(INDEX(LISTES!$F$105:$F$109,MATCH(KM96,LISTES!$C$105:$C$109,0))="FIX",KN96,KO96*KL96)))</f>
        <v/>
      </c>
      <c r="LA96" s="497" t="str">
        <f>IF(A96=FALSE,"",Cotations!D96)</f>
        <v/>
      </c>
      <c r="LB96" s="498" t="str">
        <f>IF(A96=FALSE,"",IF(LISTES!$A$17=1,Cotations!BV96,Cotations!$BW$4))</f>
        <v/>
      </c>
      <c r="LC96" s="499" t="str">
        <f t="shared" si="721"/>
        <v/>
      </c>
      <c r="LD96" s="499" t="str">
        <f t="shared" si="722"/>
        <v/>
      </c>
      <c r="LE96" s="500" t="str">
        <f t="shared" si="723"/>
        <v/>
      </c>
      <c r="LF96" s="501" t="str">
        <f>IF(A96=FALSE,"",IF(LA96="POEA",Cotations!EJ96,IF(LA96="FIXE",Cotations!$BY$4,Cotations!$CA$4*Y96)))</f>
        <v/>
      </c>
      <c r="LG96" s="502" t="str">
        <f t="shared" si="724"/>
        <v/>
      </c>
      <c r="LH96" s="520" t="str">
        <f>IF(A96=FALSE,"",IF(Cotations!$BX$4="monthly",LG96/12*L96,LG96/365*M96))</f>
        <v/>
      </c>
      <c r="LI96" s="503" t="str">
        <f>IF(A96=FALSE,"",Cotations!$CB$4)</f>
        <v/>
      </c>
      <c r="LJ96" s="502" t="str">
        <f t="shared" si="725"/>
        <v/>
      </c>
      <c r="LK96" s="502" t="str">
        <f t="shared" si="726"/>
        <v/>
      </c>
      <c r="LL96" s="504" t="str">
        <f t="shared" si="727"/>
        <v/>
      </c>
      <c r="LM96" s="505" t="str">
        <f>IF(A96=FALSE,"",Cotations!$CC$4)</f>
        <v/>
      </c>
      <c r="LN96" s="503" t="str">
        <f>IF(A96=FALSE,"",Cotations!$CD$4)</f>
        <v/>
      </c>
      <c r="LO96" s="503" t="str">
        <f>IF(A96=FALSE,"",Cotations!$CE$4)</f>
        <v/>
      </c>
      <c r="LP96" s="505" t="str">
        <f>IF(A96=FALSE,"",IF(LM96="N/A",0,IF(INDEX(LISTES!$F$105:$F$109,MATCH(LM96,LISTES!$C$105:$C$109,0))="FIX",IF(INDEX(LISTES!$E$105:$E$109,MATCH(LM96,LISTES!$C$105:$C$109,0))=12,LN96/12*L96,LN96/365*M96),LO96*LL96)))</f>
        <v/>
      </c>
      <c r="LQ96" s="504" t="str">
        <f t="shared" si="728"/>
        <v/>
      </c>
      <c r="LR96" s="505" t="str">
        <f>IF(A96=FALSE,"",LQ96*Cotations!$CF$4)</f>
        <v/>
      </c>
      <c r="LS96" s="505" t="str">
        <f>IF(A96=FALSE,"",LQ96*Cotations!$CG$4)</f>
        <v/>
      </c>
      <c r="LT96" s="506" t="str">
        <f t="shared" si="729"/>
        <v/>
      </c>
      <c r="LU96" s="919" t="str">
        <f>IF(A96=FALSE,"",((LG96*TAXE)-(LG96*TAXE*LI96))+IF(LM96="N/A",0,IF(INDEX(LISTES!$F$105:$F$109,MATCH(LM96,LISTES!$C$105:$C$109,0))="FIX",LN96,LO96*LL96)))</f>
        <v/>
      </c>
      <c r="MA96" s="492" t="str">
        <f>IF(A96=FALSE,"",Cotations!D96)</f>
        <v/>
      </c>
      <c r="MB96" s="491" t="str">
        <f>IF(A96=FALSE,"",IF(LISTES!$A$17=1,Cotations!BV96,Cotations!BW96))</f>
        <v/>
      </c>
      <c r="MC96" s="285" t="str">
        <f t="shared" si="730"/>
        <v/>
      </c>
      <c r="MD96" s="300"/>
      <c r="ME96" s="461" t="str">
        <f t="shared" si="731"/>
        <v/>
      </c>
      <c r="MF96" s="490" t="str">
        <f>IF(A96=FALSE,"",IF(MA96="POEA",Cotations!BY96,IF(MA96="FIXE",Cotations!BZ96,IF(Cotations!CA96*Y96&lt;50000,Z96,Cotations!CA96*Y96))))</f>
        <v/>
      </c>
      <c r="MG96" s="300" t="str">
        <f t="shared" si="732"/>
        <v/>
      </c>
      <c r="MH96" s="522" t="str">
        <f>IF(A96=FALSE,"",IF(Cotations!BX96="monthly",MG96/12*L96,MG96/365*M96))</f>
        <v/>
      </c>
      <c r="MI96" s="489" t="str">
        <f>IF(A96=FALSE,"",IF(Cotations!CB96="","",Cotations!CB96))</f>
        <v/>
      </c>
      <c r="MJ96" s="300" t="str">
        <f t="shared" si="733"/>
        <v/>
      </c>
      <c r="MK96" s="300" t="str">
        <f t="shared" si="734"/>
        <v/>
      </c>
      <c r="ML96" s="919" t="str">
        <f t="shared" si="735"/>
        <v/>
      </c>
      <c r="MM96" s="517" t="str">
        <f>IF(A96=FALSE,"",Cotations!CC96)</f>
        <v/>
      </c>
      <c r="MN96" s="515" t="str">
        <f>IF(A96=FALSE,"",Cotations!CD96)</f>
        <v/>
      </c>
      <c r="MO96" s="493" t="str">
        <f>IF(A96=FALSE,"",Cotations!CE96)</f>
        <v/>
      </c>
      <c r="MP96" s="517" t="str">
        <f>IF(A96=FALSE,"",IF(MM96="N/A",0,IF(INDEX(LISTES!$F$105:$F$109,MATCH(MM96,LISTES!$C$105:$C$109,0))="FIX",IF(INDEX(LISTES!$E$105:$E$109,MATCH(MM96,LISTES!$C$105:$C$109,0))=12,MN96/12*L96,MN96/365*M96),MO96*ML96)))</f>
        <v/>
      </c>
      <c r="MQ96" s="294" t="str">
        <f t="shared" si="736"/>
        <v/>
      </c>
      <c r="MR96" s="494" t="str">
        <f>IF(A96=FALSE,"",MQ96*Cotations!CF96)</f>
        <v/>
      </c>
      <c r="MS96" s="494" t="str">
        <f>IF(A96=FALSE,"",MQ96*Cotations!CG96)</f>
        <v/>
      </c>
      <c r="MT96" s="338" t="str">
        <f t="shared" si="737"/>
        <v/>
      </c>
      <c r="MU96" s="919" t="str">
        <f>IF(A96=FALSE,"",((MG96*TAXE)-(MG96*TAXE*MI96))+IF(MM96="N/A",0,IF(INDEX(LISTES!$F$105:$F$109,MATCH(MM96,LISTES!$C$105:$C$109,0))="FIX",MN96,MO96*ML96)))</f>
        <v/>
      </c>
      <c r="NA96" s="497" t="str">
        <f>IF(A96=FALSE,"",Cotations!D96)</f>
        <v/>
      </c>
      <c r="NB96" s="498" t="str">
        <f>IF(A96=FALSE,"",IF(LISTES!$A$17=1,Cotations!CH96,Cotations!$CI$4))</f>
        <v/>
      </c>
      <c r="NC96" s="499" t="str">
        <f t="shared" si="738"/>
        <v/>
      </c>
      <c r="ND96" s="499" t="str">
        <f t="shared" si="739"/>
        <v/>
      </c>
      <c r="NE96" s="500" t="str">
        <f t="shared" si="740"/>
        <v/>
      </c>
      <c r="NF96" s="501" t="str">
        <f>IF(A96=FALSE,"",IF(NA96="POEA",Cotations!CK96,IF(NA96="FIXE",Cotations!$CK$4,Cotations!$CM$4*Y96)))</f>
        <v/>
      </c>
      <c r="NG96" s="502" t="str">
        <f t="shared" si="741"/>
        <v/>
      </c>
      <c r="NH96" s="520" t="str">
        <f>IF(A96=FALSE,"",IF(Cotations!$CJ$4="monthly",NG96/12*L96,NG96/365*M96))</f>
        <v/>
      </c>
      <c r="NI96" s="503" t="str">
        <f>IF(A96=FALSE,"",Cotations!$CN$4)</f>
        <v/>
      </c>
      <c r="NJ96" s="502" t="str">
        <f t="shared" si="742"/>
        <v/>
      </c>
      <c r="NK96" s="502" t="str">
        <f t="shared" si="743"/>
        <v/>
      </c>
      <c r="NL96" s="504" t="str">
        <f t="shared" si="744"/>
        <v/>
      </c>
      <c r="NM96" s="505" t="str">
        <f>IF(A96=FALSE,"",Cotations!$CO$4)</f>
        <v/>
      </c>
      <c r="NN96" s="520" t="str">
        <f>IF(A96=FALSE,"",Cotations!$CP$4)</f>
        <v/>
      </c>
      <c r="NO96" s="503" t="str">
        <f>IF(A96=FALSE,"",Cotations!$CQ$4)</f>
        <v/>
      </c>
      <c r="NP96" s="505" t="str">
        <f>IF(A96=FALSE,"",IF(NM96="N/A",0,IF(INDEX(LISTES!$F$105:$F$109,MATCH(NM96,LISTES!$C$105:$C$109,0))="FIX",IF(INDEX(LISTES!$E$105:$E$109,MATCH(NM96,LISTES!$C$105:$C$109,0))=12,NN96/12*L96,NN96/365*M96),NO96*NL96)))</f>
        <v/>
      </c>
      <c r="NQ96" s="504" t="str">
        <f t="shared" si="745"/>
        <v/>
      </c>
      <c r="NR96" s="505" t="str">
        <f>IF(A96=FALSE,"",NQ96*Cotations!$CR$4)</f>
        <v/>
      </c>
      <c r="NS96" s="505" t="str">
        <f>IF(A96=FALSE,"",NQ96*Cotations!$CS$4)</f>
        <v/>
      </c>
      <c r="NT96" s="506" t="str">
        <f t="shared" si="746"/>
        <v/>
      </c>
      <c r="NU96" s="919" t="str">
        <f>IF(A96=FALSE,"",((NG96*TAXE)-(NG96*TAXE*NI96))+IF(NM96="N/A",0,IF(INDEX(LISTES!$F$105:$F$109,MATCH(NM96,LISTES!$C$105:$C$109,0))="FIX",NN96,NO96*NL96)))</f>
        <v/>
      </c>
      <c r="OA96" s="492" t="str">
        <f>IF(A96=FALSE,"",Cotations!D96)</f>
        <v/>
      </c>
      <c r="OB96" s="491" t="str">
        <f>IF(A96=FALSE,"",IF(LISTES!$A$17=1,Cotations!CH96,Cotations!CI96))</f>
        <v/>
      </c>
      <c r="OC96" s="285" t="str">
        <f t="shared" si="747"/>
        <v/>
      </c>
      <c r="OD96" s="300"/>
      <c r="OE96" s="461" t="str">
        <f t="shared" si="748"/>
        <v/>
      </c>
      <c r="OF96" s="490" t="str">
        <f>IF(A96=FALSE,"",IF(OA96="POEA",Cotations!CK96,IF(OA96="FIXE",Cotations!CL96,IF(Cotations!CM96*Y96&lt;50000,Z96,Cotations!CM96*Y96))))</f>
        <v/>
      </c>
      <c r="OG96" s="300" t="str">
        <f t="shared" si="749"/>
        <v/>
      </c>
      <c r="OH96" s="522" t="str">
        <f>IF(A96=FALSE,"",IF(Cotations!CJ96="monthly",OG96/12*L96,OG96/365*M96))</f>
        <v/>
      </c>
      <c r="OI96" s="489" t="str">
        <f>IF(A96=FALSE,"",IF(Cotations!CN96="","",Cotations!CN96))</f>
        <v/>
      </c>
      <c r="OJ96" s="300" t="str">
        <f t="shared" si="750"/>
        <v/>
      </c>
      <c r="OK96" s="300" t="str">
        <f t="shared" si="751"/>
        <v/>
      </c>
      <c r="OL96" s="919" t="str">
        <f t="shared" si="752"/>
        <v/>
      </c>
      <c r="OM96" s="517" t="str">
        <f>IF(A96=FALSE,"",Cotations!CO96)</f>
        <v/>
      </c>
      <c r="ON96" s="515" t="str">
        <f>IF(A96=FALSE,"",Cotations!CP96)</f>
        <v/>
      </c>
      <c r="OO96" s="493" t="str">
        <f>IF(A96=FALSE,"",Cotations!CQ96)</f>
        <v/>
      </c>
      <c r="OP96" s="517" t="str">
        <f>IF(A96=FALSE,"",IF(OM96="N/A",0,IF(INDEX(LISTES!$F$105:$F$109,MATCH(OM96,LISTES!$C$105:$C$109,0))="FIX",IF(INDEX(LISTES!$E$105:$E$109,MATCH(OM96,LISTES!$C$105:$C$109,0))=12,ON96/12*L96,ON96/365*M96),OO96*OL96)))</f>
        <v/>
      </c>
      <c r="OQ96" s="294" t="str">
        <f t="shared" si="753"/>
        <v/>
      </c>
      <c r="OR96" s="494" t="str">
        <f>IF(A96=FALSE,"",OQ96*Cotations!CR96)</f>
        <v/>
      </c>
      <c r="OS96" s="494" t="str">
        <f>IF(A96=FALSE,"",OQ96*Cotations!CS96)</f>
        <v/>
      </c>
      <c r="OT96" s="338" t="str">
        <f t="shared" si="754"/>
        <v/>
      </c>
      <c r="OU96" s="919" t="str">
        <f>IF(A96=FALSE,"",((OG96*TAXE)-(OG96*TAXE*OI96))+IF(OM96="N/A",0,IF(INDEX(LISTES!$F$105:$F$109,MATCH(OM96,LISTES!$C$105:$C$109,0))="FIX",ON96,OO96*OL96)))</f>
        <v/>
      </c>
      <c r="PA96" s="497" t="str">
        <f t="shared" si="755"/>
        <v/>
      </c>
      <c r="PB96" s="498" t="str">
        <f>IF(A96=FALSE,"",IF(LISTES!$A$17=1,Cotations!CT96,Cotations!$CU$4))</f>
        <v/>
      </c>
      <c r="PC96" s="499" t="str">
        <f t="shared" si="756"/>
        <v/>
      </c>
      <c r="PD96" s="499" t="str">
        <f t="shared" si="757"/>
        <v/>
      </c>
      <c r="PE96" s="500" t="str">
        <f t="shared" si="758"/>
        <v/>
      </c>
      <c r="PF96" s="501" t="str">
        <f>IF(A96=FALSE,"",Cotations!$CY$4*Y96)</f>
        <v/>
      </c>
      <c r="PG96" s="502" t="str">
        <f t="shared" si="759"/>
        <v/>
      </c>
      <c r="PH96" s="520" t="str">
        <f>IF(A96=FALSE,"",IF(Cotations!$CV$4="monthly",PG96/12*L96,PG96/365*M96))</f>
        <v/>
      </c>
      <c r="PI96" s="503" t="str">
        <f>IF(A96=FALSE,"",Cotations!$CZ$4)</f>
        <v/>
      </c>
      <c r="PJ96" s="502" t="str">
        <f t="shared" si="760"/>
        <v/>
      </c>
      <c r="PK96" s="502" t="str">
        <f t="shared" si="761"/>
        <v/>
      </c>
      <c r="PL96" s="504" t="str">
        <f t="shared" si="762"/>
        <v/>
      </c>
      <c r="PM96" s="505" t="str">
        <f>IF(A96=FALSE,"",Cotations!$DA$4)</f>
        <v/>
      </c>
      <c r="PN96" s="520" t="str">
        <f>IF(A96=FALSE,"",Cotations!$DB$4)</f>
        <v/>
      </c>
      <c r="PO96" s="503" t="str">
        <f>IF(A96=FALSE,"",Cotations!$DC$4)</f>
        <v/>
      </c>
      <c r="PP96" s="505" t="str">
        <f>IF(A96=FALSE,"",IF(PM96="N/A",0,IF(INDEX(LISTES!$F$105:$F$109,MATCH(PM96,LISTES!$C$105:$C$109,0))="FIX",IF(INDEX(LISTES!$E$105:$E$109,MATCH(PM96,LISTES!$C$105:$C$109,0))=12,PN96/12*L96,PN96/365*M96),PO96*PL96)))</f>
        <v/>
      </c>
      <c r="PQ96" s="504" t="str">
        <f t="shared" si="763"/>
        <v/>
      </c>
      <c r="PR96" s="505" t="str">
        <f>IF(A96=FALSE,"",PQ96*Cotations!$DD$4)</f>
        <v/>
      </c>
      <c r="PS96" s="505" t="str">
        <f>IF(A96=FALSE,"",PQ96*Cotations!$DE$4)</f>
        <v/>
      </c>
      <c r="PT96" s="506" t="str">
        <f t="shared" si="764"/>
        <v/>
      </c>
      <c r="PU96" s="919" t="str">
        <f>IF(A96=FALSE,"",((PG96*TAXE)-(PG96*TAXE*PI96))+IF(PM96="N/A",0,IF(INDEX(LISTES!$F$105:$F$109,MATCH(PM96,LISTES!$C$105:$C$109,0))="FIX",PN96,PO96*PL96)))</f>
        <v/>
      </c>
      <c r="QA96" s="492" t="str">
        <f t="shared" si="765"/>
        <v/>
      </c>
      <c r="QB96" s="491" t="str">
        <f>IF(A96=FALSE,"",IF(LISTES!$A$17=1,Cotations!CT96,Cotations!CU96))</f>
        <v/>
      </c>
      <c r="QC96" s="285" t="str">
        <f t="shared" si="766"/>
        <v/>
      </c>
      <c r="QD96" s="300"/>
      <c r="QE96" s="461" t="str">
        <f t="shared" si="767"/>
        <v/>
      </c>
      <c r="QF96" s="490" t="str">
        <f>IF(A96=FALSE,"",Cotations!CY96*AA96)</f>
        <v/>
      </c>
      <c r="QG96" s="300" t="str">
        <f t="shared" si="768"/>
        <v/>
      </c>
      <c r="QH96" s="522" t="str">
        <f>IF(A96=FALSE,"",IF(Cotations!CV96="monthly",QG96/12*L96,QG96/365*M96))</f>
        <v/>
      </c>
      <c r="QI96" s="489" t="str">
        <f>IF(A96=FALSE,"",IF(Cotations!CZ96="","",Cotations!CZ96))</f>
        <v/>
      </c>
      <c r="QJ96" s="300" t="str">
        <f t="shared" si="769"/>
        <v/>
      </c>
      <c r="QK96" s="300" t="str">
        <f t="shared" si="770"/>
        <v/>
      </c>
      <c r="QL96" s="919" t="str">
        <f t="shared" si="771"/>
        <v/>
      </c>
      <c r="QM96" s="517" t="str">
        <f>IF(A96=FALSE,"",Cotations!DA96)</f>
        <v/>
      </c>
      <c r="QN96" s="515" t="str">
        <f>IF(A96=FALSE,"",Cotations!DB96)</f>
        <v/>
      </c>
      <c r="QO96" s="493" t="str">
        <f>IF(A96=FALSE,"",Cotations!DC96)</f>
        <v/>
      </c>
      <c r="QP96" s="517" t="str">
        <f>IF(A96=FALSE,"",IF(QM96="N/A",0,IF(INDEX(LISTES!$F$105:$F$109,MATCH(QM96,LISTES!$C$105:$C$109,0))="FIX",IF(INDEX(LISTES!$E$105:$E$109,MATCH(QM96,LISTES!$C$105:$C$109,0))=12,QN96/12*L96,QN96/365*M96),QO96*QL96)))</f>
        <v/>
      </c>
      <c r="QQ96" s="294" t="str">
        <f t="shared" si="772"/>
        <v/>
      </c>
      <c r="QR96" s="494" t="str">
        <f>IF(A96=FALSE,"",QQ96*Cotations!DD96)</f>
        <v/>
      </c>
      <c r="QS96" s="494" t="str">
        <f>IF(A96=FALSE,"",QQ96*Cotations!DE96)</f>
        <v/>
      </c>
      <c r="QT96" s="338" t="str">
        <f t="shared" si="773"/>
        <v/>
      </c>
      <c r="QU96" s="919" t="str">
        <f>IF(A96=FALSE,"",((QG96*TAXE)-(QG96*TAXE*QI96))+IF(QM96="N/A",0,IF(INDEX(LISTES!$F$105:$F$109,MATCH(QM96,LISTES!$C$105:$C$109,0))="FIX",QN96,QO96*QL96)))</f>
        <v/>
      </c>
      <c r="RA96" s="497" t="str">
        <f t="shared" si="774"/>
        <v/>
      </c>
      <c r="RB96" s="498" t="str">
        <f>IF(A96=FALSE,"",IF(LISTES!$A$17=1,Cotations!DF96,Cotations!$DG$4))</f>
        <v/>
      </c>
      <c r="RC96" s="499" t="str">
        <f t="shared" si="775"/>
        <v/>
      </c>
      <c r="RD96" s="499" t="str">
        <f t="shared" si="776"/>
        <v/>
      </c>
      <c r="RE96" s="500" t="str">
        <f t="shared" si="777"/>
        <v/>
      </c>
      <c r="RF96" s="501" t="str">
        <f>IF(A96=FALSE,"",Cotations!$DK$4*Y96)</f>
        <v/>
      </c>
      <c r="RG96" s="502" t="str">
        <f t="shared" si="778"/>
        <v/>
      </c>
      <c r="RH96" s="520" t="str">
        <f>IF(A96=FALSE,"",IF(Cotations!$DH$4="monthly",RG96/12*L96,RG96/365*M96))</f>
        <v/>
      </c>
      <c r="RI96" s="503" t="str">
        <f>IF(A96=FALSE,"",Cotations!$DL$4)</f>
        <v/>
      </c>
      <c r="RJ96" s="502" t="str">
        <f t="shared" si="779"/>
        <v/>
      </c>
      <c r="RK96" s="502" t="str">
        <f t="shared" si="780"/>
        <v/>
      </c>
      <c r="RL96" s="504" t="str">
        <f t="shared" si="781"/>
        <v/>
      </c>
      <c r="RM96" s="505" t="str">
        <f>IF(A96=FALSE,"",Cotations!$DM$4)</f>
        <v/>
      </c>
      <c r="RN96" s="520" t="str">
        <f>IF(A96=FALSE,"",Cotations!$DN$4)</f>
        <v/>
      </c>
      <c r="RO96" s="503" t="str">
        <f>IF(A96=FALSE,"",Cotations!$DO$4)</f>
        <v/>
      </c>
      <c r="RP96" s="505" t="str">
        <f>IF(A96=FALSE,"",IF(RM96="N/A",0,IF(INDEX(LISTES!$F$105:$F$109,MATCH(RM96,LISTES!$C$105:$C$109,0))="FIX",IF(INDEX(LISTES!$E$105:$E$109,MATCH(RM96,LISTES!$C$105:$C$109,0))=12,RN96/12*L96,RN96/365*M96),RO96*RL96)))</f>
        <v/>
      </c>
      <c r="RQ96" s="504" t="str">
        <f t="shared" si="782"/>
        <v/>
      </c>
      <c r="RR96" s="505" t="str">
        <f>IF(A96=FALSE,"",RQ96*Cotations!$DP$4)</f>
        <v/>
      </c>
      <c r="RS96" s="505" t="str">
        <f>IF(A96=FALSE,"",RQ96*Cotations!$DQ$4)</f>
        <v/>
      </c>
      <c r="RT96" s="506" t="str">
        <f t="shared" si="783"/>
        <v/>
      </c>
      <c r="RU96" s="919" t="str">
        <f>IF(A96=FALSE,"",((RG96*TAXE)-(RG96*TAXE*RI96))+IF(RM96="N/A",0,IF(INDEX(LISTES!$F$105:$F$109,MATCH(RM96,LISTES!$C$105:$C$109,0))="FIX",RN96,RO96*RL96)))</f>
        <v/>
      </c>
      <c r="SA96" s="492" t="str">
        <f t="shared" si="784"/>
        <v/>
      </c>
      <c r="SB96" s="491" t="str">
        <f>IF(A96=FALSE,"",IF(LISTES!$A$17=1,Cotations!DF96,Cotations!DG96))</f>
        <v/>
      </c>
      <c r="SC96" s="285" t="str">
        <f t="shared" si="785"/>
        <v/>
      </c>
      <c r="SD96" s="300"/>
      <c r="SE96" s="461" t="str">
        <f t="shared" si="786"/>
        <v/>
      </c>
      <c r="SF96" s="490" t="str">
        <f>IF(A96=FALSE,"",Cotations!DK96*AA96)</f>
        <v/>
      </c>
      <c r="SG96" s="300" t="str">
        <f t="shared" si="787"/>
        <v/>
      </c>
      <c r="SH96" s="522" t="str">
        <f>IF(A96=FALSE,"",IF(Cotations!DH96="monthly",SG96/12*L96,SG96/365*M96))</f>
        <v/>
      </c>
      <c r="SI96" s="489" t="str">
        <f>IF(A96=FALSE,"",IF(Cotations!DL96="","",Cotations!DL96))</f>
        <v/>
      </c>
      <c r="SJ96" s="300" t="str">
        <f t="shared" si="788"/>
        <v/>
      </c>
      <c r="SK96" s="300" t="str">
        <f t="shared" si="789"/>
        <v/>
      </c>
      <c r="SL96" s="919" t="str">
        <f t="shared" si="790"/>
        <v/>
      </c>
      <c r="SM96" s="285" t="str">
        <f>IF(A96=FALSE,"",Cotations!DM96)</f>
        <v/>
      </c>
      <c r="SN96" s="515" t="str">
        <f>IF(A96=FALSE,"",Cotations!DN96)</f>
        <v/>
      </c>
      <c r="SO96" s="493" t="str">
        <f>IF(A96=FALSE,"",Cotations!DO96)</f>
        <v/>
      </c>
      <c r="SP96" s="517" t="str">
        <f>IF(A96=FALSE,"",IF(SM96="N/A",0,IF(INDEX(LISTES!$F$105:$F$109,MATCH(SM96,LISTES!$C$105:$C$109,0))="FIX",IF(INDEX(LISTES!$E$105:$E$109,MATCH(SM96,LISTES!$C$105:$C$109,0))=12,SN96/12*L96,SN96/365*M96),SO96*SL96)))</f>
        <v/>
      </c>
      <c r="SQ96" s="294" t="str">
        <f t="shared" si="791"/>
        <v/>
      </c>
      <c r="SR96" s="494" t="str">
        <f>IF(A96=FALSE,"",SQ96*Cotations!DP96)</f>
        <v/>
      </c>
      <c r="SS96" s="494" t="str">
        <f>IF(A96=FALSE,"",SQ96*Cotations!DQ96)</f>
        <v/>
      </c>
      <c r="ST96" s="338" t="str">
        <f t="shared" si="792"/>
        <v/>
      </c>
      <c r="SU96" s="919" t="str">
        <f>IF(A96=FALSE,"",((SG96*TAXE)-(SG96*TAXE*SI96))+IF(SM96="N/A",0,IF(INDEX(LISTES!$F$105:$F$109,MATCH(SM96,LISTES!$C$105:$C$109,0))="FIX",SN96,SO96*SL96)))</f>
        <v/>
      </c>
      <c r="TA96" s="492" t="str">
        <f>IF(A96=FALSE,"",Cotations!D96)</f>
        <v/>
      </c>
      <c r="TB96" s="491" t="str">
        <f>IF(A96=FALSE,"",IF(LISTES!$A$17=1,Cotations!DR96,Cotations!DS96))</f>
        <v/>
      </c>
      <c r="TC96" s="285" t="str">
        <f t="shared" si="793"/>
        <v/>
      </c>
      <c r="TD96" s="300" t="str">
        <f>IF(A96=FALSE,"",Detail!CQ96)</f>
        <v/>
      </c>
      <c r="TE96" s="461" t="str">
        <f t="shared" si="794"/>
        <v/>
      </c>
      <c r="TF96" s="490" t="str">
        <f>IF(A96=FALSE,"",IF(TA96="FIXE",Cotations!DU96,Cotations!DV96*Y96))</f>
        <v/>
      </c>
      <c r="TG96" s="300" t="str">
        <f t="shared" si="795"/>
        <v/>
      </c>
      <c r="TH96" s="522" t="str">
        <f>IF(A96=FALSE,"",IF(Cotations!DT96="monthly",TG96/12*L96,TG96/365*M96))</f>
        <v/>
      </c>
      <c r="TI96" s="489" t="str">
        <f>IF(A96=FALSE,"",IF(Cotations!DW96="","",Cotations!DW96))</f>
        <v/>
      </c>
      <c r="TJ96" s="300" t="str">
        <f t="shared" si="796"/>
        <v/>
      </c>
      <c r="TK96" s="300" t="str">
        <f t="shared" si="797"/>
        <v/>
      </c>
      <c r="TL96" s="919" t="str">
        <f t="shared" si="798"/>
        <v/>
      </c>
      <c r="TM96" s="517" t="str">
        <f>IF(A96=FALSE,"",Cotations!DX96)</f>
        <v/>
      </c>
      <c r="TN96" s="517" t="str">
        <f>IF(A96=FALSE,"",Cotations!DY96)</f>
        <v/>
      </c>
      <c r="TO96" s="493" t="str">
        <f>IF(A96=FALSE,"",Cotations!DZ96)</f>
        <v/>
      </c>
      <c r="TP96" s="517" t="str">
        <f>IF(A96=FALSE,"",IF(TM96="N/A",0,IF(INDEX(LISTES!$F$105:$F$109,MATCH(TM96,LISTES!$C$105:$C$109,0))="FIX",IF(INDEX(LISTES!$E$105:$E$109,MATCH(TM96,LISTES!$C$105:$C$109,0))=12,TN96/12*L96,TN96/365*M96),TO96*TL96)))</f>
        <v/>
      </c>
      <c r="TQ96" s="294" t="str">
        <f t="shared" si="799"/>
        <v/>
      </c>
      <c r="TR96" s="494" t="str">
        <f>IF(A96=FALSE,"",TQ96*Cotations!EA96)</f>
        <v/>
      </c>
      <c r="TS96" s="494" t="str">
        <f>IF(A96=FALSE,"",TQ96*Cotations!EB96)</f>
        <v/>
      </c>
      <c r="TT96" s="338" t="str">
        <f t="shared" si="800"/>
        <v/>
      </c>
      <c r="TU96" s="919" t="str">
        <f>IF(A96=FALSE,"",((TG96*(1+TAXE)-(TG96*(1+TAXE)*TI96))+IF(TM96="N/A",0,IF(INDEX(LISTES!$F$105:$F$109,MATCH(TM96,LISTES!$C$105:$C$109,0))="FIX",TN96,TO96*TL96))))</f>
        <v/>
      </c>
      <c r="UA96" s="492" t="str">
        <f>IF(A96=FALSE,"",Cotations!D96)</f>
        <v/>
      </c>
      <c r="UB96" s="491" t="str">
        <f>IF(A96=FALSE,"",IF(LISTES!$A$17=1,Cotations!EC96,Cotations!ED96))</f>
        <v/>
      </c>
      <c r="UC96" s="285" t="str">
        <f t="shared" si="801"/>
        <v/>
      </c>
      <c r="UD96" s="300" t="str">
        <f>IF(A96=FALSE,"",Detail!CY96)</f>
        <v/>
      </c>
      <c r="UE96" s="461" t="str">
        <f t="shared" si="802"/>
        <v/>
      </c>
      <c r="UF96" s="490" t="str">
        <f>IF(A96=FALSE,"",IF(UA96="FIXE",Cotations!EF96,Cotations!EG96*Y96))</f>
        <v/>
      </c>
      <c r="UG96" s="300" t="str">
        <f t="shared" si="803"/>
        <v/>
      </c>
      <c r="UH96" s="522" t="str">
        <f>IF(A96=FALSE,"",IF(Cotations!EE96="monthly",UG96/12*L96,UG96/365*M96))</f>
        <v/>
      </c>
      <c r="UI96" s="489" t="str">
        <f>IF(A96=FALSE,"",IF(Cotations!EH96="","",Cotations!EH96))</f>
        <v/>
      </c>
      <c r="UJ96" s="300" t="str">
        <f t="shared" si="804"/>
        <v/>
      </c>
      <c r="UK96" s="300" t="str">
        <f t="shared" si="805"/>
        <v/>
      </c>
      <c r="UL96" s="919" t="str">
        <f t="shared" si="806"/>
        <v/>
      </c>
      <c r="UM96" s="517" t="str">
        <f>IF(A96=FALSE,"",Cotations!EI96)</f>
        <v/>
      </c>
      <c r="UN96" s="517" t="str">
        <f>IF(A96=FALSE,"",Cotations!EJ96)</f>
        <v/>
      </c>
      <c r="UO96" s="493" t="str">
        <f>IF(A96=FALSE,"",Cotations!EK96)</f>
        <v/>
      </c>
      <c r="UP96" s="517" t="str">
        <f>IF(A96=FALSE,"",IF(UM96="N/A",0,IF(INDEX(LISTES!$F$105:$F$109,MATCH(UM96,LISTES!$C$105:$C$109,0))="FIX",IF(INDEX(LISTES!$E$105:$E$109,MATCH(UM96,LISTES!$C$105:$C$109,0))=12,UN96/12*L96,UN96/365*M96),UO96*UL96)))</f>
        <v/>
      </c>
      <c r="UQ96" s="294" t="str">
        <f t="shared" si="807"/>
        <v/>
      </c>
      <c r="UR96" s="494" t="str">
        <f>IF(A96=FALSE,"",UQ96*Cotations!EL96)</f>
        <v/>
      </c>
      <c r="US96" s="494" t="str">
        <f>IF(A96=FALSE,"",UQ96*Cotations!EM96)</f>
        <v/>
      </c>
      <c r="UT96" s="338" t="str">
        <f t="shared" si="808"/>
        <v/>
      </c>
      <c r="UU96" s="919" t="str">
        <f>IF(A96=FALSE,"",((UG96*(1+TAXE)-(UG96*(1+TAXE)*UI96))+IF(UM96="N/A",0,IF(INDEX(LISTES!$F$105:$F$109,MATCH(UM96,LISTES!$C$105:$C$109,0))="FIX",UN96,UO96*UL96))))</f>
        <v/>
      </c>
      <c r="VA96" s="492" t="str">
        <f>IF(A96=FALSE,"",Cotations!D96)</f>
        <v/>
      </c>
      <c r="VB96" s="519" t="str">
        <f>IF(A96=FALSE,"",IF(LISTES!$A$17=1,Cotations!EN96,Cotations!EO96))</f>
        <v/>
      </c>
      <c r="VC96" s="291" t="str">
        <f t="shared" si="809"/>
        <v/>
      </c>
      <c r="VD96" s="291" t="str">
        <f t="shared" si="810"/>
        <v/>
      </c>
      <c r="VE96" s="291"/>
      <c r="VF96" s="463"/>
      <c r="VG96" s="463" t="str">
        <f t="shared" si="811"/>
        <v/>
      </c>
      <c r="VH96" s="522" t="str">
        <f>IF(A96=FALSE,"",IF(Cotations!$AQ$4="monthly",VG96/12*L96,VG96/365*M96))</f>
        <v/>
      </c>
      <c r="VI96" s="489" t="str">
        <f>IF(A96=FALSE,"",Cotations!$AR$4)</f>
        <v/>
      </c>
      <c r="VJ96" s="300" t="str">
        <f t="shared" si="812"/>
        <v/>
      </c>
      <c r="VK96" s="300" t="str">
        <f t="shared" si="813"/>
        <v/>
      </c>
      <c r="VL96" s="294" t="str">
        <f t="shared" si="814"/>
        <v/>
      </c>
      <c r="VM96" s="494" t="str">
        <f>IF(A96=FALSE,"",Cotations!$AS$4)</f>
        <v/>
      </c>
      <c r="VN96" s="494" t="str">
        <f>IF(A96=FALSE,"",Cotations!$AT$4)</f>
        <v/>
      </c>
      <c r="VO96" s="489" t="str">
        <f>IF(A96=FALSE,"",Cotations!$AU$4)</f>
        <v/>
      </c>
      <c r="VP96" s="494" t="str">
        <f>IF(A96=FALSE,"",IF(VM96="N/A",0,IF(INDEX(LISTES!$F$105:$F$109,MATCH(VM96,LISTES!$C$105:$C$109,0))="FIX",IF(INDEX(LISTES!$E$105:$E$109,MATCH(VM96,LISTES!$C$105:$C$109,0))=12,VN96/12*L96,VN96/365*M96),VO96*VL96)))</f>
        <v/>
      </c>
      <c r="VQ96" s="294" t="str">
        <f t="shared" si="815"/>
        <v/>
      </c>
      <c r="VR96" s="494" t="str">
        <f>IF(A96=FALSE,"",VQ96*Cotations!$AV$4)</f>
        <v/>
      </c>
      <c r="VS96" s="494" t="str">
        <f>IF(A96=FALSE,"",VQ96*Cotations!$AW$4)</f>
        <v/>
      </c>
      <c r="VT96" s="465" t="str">
        <f t="shared" si="816"/>
        <v/>
      </c>
      <c r="VU96" s="919" t="str">
        <f>IF(A96=FALSE,"",((VG96*TAXE)-(VG96*TAXE*VI96))+IF(VM96="N/A",0,IF(INDEX(LISTES!$F$105:$F$109,MATCH(VM96,LISTES!$C$105:$C$109,0))="FIX",VN96,VO96*VL96)))</f>
        <v/>
      </c>
      <c r="WA96" s="492" t="str">
        <f>IF(A96=FALSE,"",Cotations!D96)</f>
        <v/>
      </c>
      <c r="WB96" s="519" t="str">
        <f>IF(A96=FALSE,"",IF(LISTES!$A$17=1,Cotations!EW96,Cotations!EX96))</f>
        <v/>
      </c>
      <c r="WC96" s="291" t="str">
        <f t="shared" si="817"/>
        <v/>
      </c>
      <c r="WD96" s="291" t="str">
        <f t="shared" si="818"/>
        <v/>
      </c>
      <c r="WE96" s="291"/>
      <c r="WF96" s="463"/>
      <c r="WG96" s="463" t="str">
        <f t="shared" si="819"/>
        <v/>
      </c>
      <c r="WH96" s="522" t="str">
        <f>IF(A96=FALSE,"",IF(Cotations!$AQ$4="monthly",WG96/12*L96,WG96/365*M96))</f>
        <v/>
      </c>
      <c r="WI96" s="489" t="str">
        <f>IF(A96=FALSE,"",Cotations!$AR$4)</f>
        <v/>
      </c>
      <c r="WJ96" s="300" t="str">
        <f t="shared" si="820"/>
        <v/>
      </c>
      <c r="WK96" s="300" t="str">
        <f t="shared" si="821"/>
        <v/>
      </c>
      <c r="WL96" s="294" t="str">
        <f t="shared" si="822"/>
        <v/>
      </c>
      <c r="WM96" s="494" t="str">
        <f>IF(A96=FALSE,"",Cotations!$AS$4)</f>
        <v/>
      </c>
      <c r="WN96" s="494" t="str">
        <f>IF(A96=FALSE,"",Cotations!$AT$4)</f>
        <v/>
      </c>
      <c r="WO96" s="489" t="str">
        <f>IF(A96=FALSE,"",Cotations!$AU$4)</f>
        <v/>
      </c>
      <c r="WP96" s="494" t="str">
        <f>IF(A96=FALSE,"",IF(WM96="N/A",0,IF(INDEX(LISTES!$F$105:$F$109,MATCH(WM96,LISTES!$C$105:$C$109,0))="FIX",IF(INDEX(LISTES!$E$105:$E$109,MATCH(WM96,LISTES!$C$105:$C$109,0))=12,WN96/12*L96,WN96/365*M96),WO96*WL96)))</f>
        <v/>
      </c>
      <c r="WQ96" s="294" t="str">
        <f t="shared" si="823"/>
        <v/>
      </c>
      <c r="WR96" s="494" t="str">
        <f>IF(A96=FALSE,"",WQ96*Cotations!$AV$4)</f>
        <v/>
      </c>
      <c r="WS96" s="494" t="str">
        <f>IF(A96=FALSE,"",WQ96*Cotations!$AW$4)</f>
        <v/>
      </c>
      <c r="WT96" s="465" t="str">
        <f t="shared" si="824"/>
        <v/>
      </c>
      <c r="WU96" s="919" t="str">
        <f>IF(A96=FALSE,"",((WG96*TAXE)-(WG96*TAXE*WI96))+IF(WM96="N/A",0,IF(INDEX(LISTES!$F$105:$F$109,MATCH(WM96,LISTES!$C$105:$C$109,0))="FIX",WN96,WO96*WL96)))</f>
        <v/>
      </c>
    </row>
    <row r="97" spans="1:619">
      <c r="A97" s="942" t="b">
        <f t="shared" si="629"/>
        <v>0</v>
      </c>
      <c r="B97" s="942" t="b">
        <f>IF(NAMES!$B$9=TRUE,TRUE,FALSE)</f>
        <v>1</v>
      </c>
      <c r="C97" s="942" t="b">
        <f t="shared" si="825"/>
        <v>0</v>
      </c>
      <c r="D97" s="942" t="b">
        <f t="shared" si="826"/>
        <v>0</v>
      </c>
      <c r="E97" s="274" t="b">
        <f>IF(Cotations!C97="","",Cotations!C97)</f>
        <v>0</v>
      </c>
      <c r="F97" s="274" t="str">
        <f>IF(Cotations!D97="","",Cotations!D97)</f>
        <v>PROP</v>
      </c>
      <c r="G97" s="274" t="str">
        <f>IF(Cotations!E97="","",Cotations!E97)</f>
        <v>2016-2017!</v>
      </c>
      <c r="H97" s="274" t="str">
        <f>IF(Cotations!F97="","",Cotations!F97)</f>
        <v>SINGLE</v>
      </c>
      <c r="I97" s="274" t="str">
        <f>IF(Cotations!G97="","",Cotations!G97)</f>
        <v/>
      </c>
      <c r="J97" s="274" t="str">
        <f>IF(Cotations!H97="","",Cotations!H97)</f>
        <v/>
      </c>
      <c r="K97" s="274" t="str">
        <f>IF(Cotations!I97="","",Cotations!I97)</f>
        <v/>
      </c>
      <c r="L97" s="274" t="str">
        <f>IF(A97=FALSE,"",IF(Cotations!N97="","",Cotations!N97))</f>
        <v/>
      </c>
      <c r="M97" s="274" t="str">
        <f>IF(Cotations!P97="","",Cotations!P97)</f>
        <v/>
      </c>
      <c r="N97" s="724" t="str">
        <f>IF(NAMES!$B$10=TRUE,Cotations!J97,Cotations!L97)</f>
        <v/>
      </c>
      <c r="O97" s="724" t="str">
        <f>IF(NAMES!$B$10=TRUE,Cotations!K97,Cotations!M97)</f>
        <v/>
      </c>
      <c r="P97" s="943" t="str">
        <f t="shared" si="827"/>
        <v/>
      </c>
      <c r="Q97" s="724" t="str">
        <f>IF(A97=FALSE,"",IF(Crewlist!Y97="","",Crewlist!Y97))</f>
        <v/>
      </c>
      <c r="R97" s="78" t="str">
        <f>IF(Cotations!U97="","",Cotations!U97)</f>
        <v/>
      </c>
      <c r="S97" s="943" t="str">
        <f t="shared" si="828"/>
        <v/>
      </c>
      <c r="T97" s="919" t="str">
        <f>IF(A97=FALSE,"",VLOOKUP($U$15:$U$120,Currency!$A$2:$D$10,4,0)*Crewlist!N97)</f>
        <v/>
      </c>
      <c r="U97" s="1355" t="str">
        <f>IF(A97=FALSE,"",IF(IT97=0,Crewlist!M97&amp;"/"&amp;EX97,Crewlist!M97&amp;"/"&amp;IT97))</f>
        <v/>
      </c>
      <c r="V97" s="919" t="str">
        <f>IF(A97=FALSE,"",VLOOKUP($U$15:$U$120,Currency!$A$2:$D$10,4,0)*Detail!Q97)</f>
        <v/>
      </c>
      <c r="W97" s="1355" t="str">
        <f>IF(A97=FALSE,"",IF(IT97=0,Detail!R97&amp;"/"&amp;EX97,Detail!R97&amp;"/"&amp;IT97))</f>
        <v/>
      </c>
      <c r="X97" s="919" t="str">
        <f>IF(A97=FALSE,"",IF(LISTES!$C$17="Crewlist",Calcul!T97,Calcul!V97))</f>
        <v/>
      </c>
      <c r="Y97" s="758" t="str">
        <f t="shared" si="829"/>
        <v/>
      </c>
      <c r="Z97" s="758" t="str">
        <f>IF(A97=FALSE,"",IF(X97=0,0,IF((Cotations!BC97*12*X97)&lt;50000,50000,(12*X97))))</f>
        <v/>
      </c>
      <c r="AA97" s="758" t="str">
        <f t="shared" si="830"/>
        <v/>
      </c>
      <c r="AB97" s="758" t="str">
        <f>IF(A97=FALSE,"",IF(Crewlist!O97=0,"",Crewlist!O97))</f>
        <v/>
      </c>
      <c r="AC97" s="758" t="str">
        <f>IF(I97="","",VLOOKUP($AB$15:$AB$120,Currency!$A$15:$B$34,2,0))</f>
        <v/>
      </c>
      <c r="AD97" s="758" t="str">
        <f t="shared" si="831"/>
        <v/>
      </c>
      <c r="AE97" s="758" t="str">
        <f t="shared" si="832"/>
        <v/>
      </c>
      <c r="AF97" s="758" t="str">
        <f t="shared" si="833"/>
        <v/>
      </c>
      <c r="AG97" s="758" t="str">
        <f t="shared" si="834"/>
        <v/>
      </c>
      <c r="AH97" s="1355" t="str">
        <f t="shared" si="630"/>
        <v/>
      </c>
      <c r="AI97" s="919" t="str">
        <f t="shared" si="835"/>
        <v/>
      </c>
      <c r="AJ97" s="1382" t="str">
        <f t="shared" si="836"/>
        <v/>
      </c>
      <c r="AK97" s="1382" t="str">
        <f t="shared" si="837"/>
        <v/>
      </c>
      <c r="AL97" s="238" t="str">
        <f t="shared" si="631"/>
        <v/>
      </c>
      <c r="AM97" s="238" t="str">
        <f t="shared" si="632"/>
        <v/>
      </c>
      <c r="AN97" s="1374" t="str">
        <f t="shared" si="633"/>
        <v/>
      </c>
      <c r="AO97" s="238" t="str">
        <f t="shared" si="634"/>
        <v/>
      </c>
      <c r="AP97" s="342" t="str">
        <f>IF(A97=FALSE,"",INDEX(Rates!$Z$5:$Z$367,MATCH(EB97,colchoice,0)))</f>
        <v/>
      </c>
      <c r="AQ97" s="238" t="str">
        <f t="shared" si="635"/>
        <v/>
      </c>
      <c r="AR97" s="238" t="str">
        <f t="shared" si="636"/>
        <v/>
      </c>
      <c r="AS97" s="238" t="str">
        <f t="shared" si="637"/>
        <v/>
      </c>
      <c r="AT97" s="238" t="str">
        <f t="shared" si="638"/>
        <v/>
      </c>
      <c r="AU97" s="238" t="str">
        <f t="shared" si="639"/>
        <v/>
      </c>
      <c r="AV97" s="238" t="str">
        <f t="shared" si="838"/>
        <v/>
      </c>
      <c r="AW97" s="238" t="str">
        <f t="shared" si="640"/>
        <v/>
      </c>
      <c r="AX97" s="238" t="str">
        <f t="shared" si="641"/>
        <v/>
      </c>
      <c r="AY97" s="238" t="str">
        <f t="shared" si="642"/>
        <v/>
      </c>
      <c r="AZ97" s="238" t="str">
        <f t="shared" si="643"/>
        <v/>
      </c>
      <c r="BA97" s="238" t="str">
        <f t="shared" si="644"/>
        <v/>
      </c>
      <c r="BB97" s="552" t="str">
        <f t="shared" si="645"/>
        <v/>
      </c>
      <c r="BC97" s="347" t="str">
        <f t="shared" si="646"/>
        <v/>
      </c>
      <c r="BD97" s="239" t="str">
        <f t="shared" si="839"/>
        <v/>
      </c>
      <c r="BE97" s="239" t="str">
        <f>IF(A97=FALSE,"",IF(ALLTHESAME=TRUE,IF(DF97&lt;&gt;$BC$7,0,INDEX(DD97:DZ97,1,MATCH(Structure!$D$12,$DD$14:$DZ$14,0))),IF(EC97&lt;&gt;$BC$7,0,INDEX(EA97:EZ97,1,MATCH(Structure!$D$12,$EA$14:$EZ$14,0)))))</f>
        <v/>
      </c>
      <c r="BF97" s="239" t="str">
        <f>IF(A97=FALSE,"",IF(ALLTHESAME=TRUE,IF(FC97&lt;&gt;$BC$7,0,INDEX(FA97:FZ97,1,MATCH(Structure!$D$12,$FA$14:$FZ$14,0))),IF(GC97&lt;&gt;$BC$7,0,INDEX(GA97:GZ97,1,MATCH(Structure!$D$12,$GA$14:$GZ$14,0)))))</f>
        <v/>
      </c>
      <c r="BG97" s="239" t="str">
        <f>IF(A97=FALSE,"",IF(ALLTHESAME=TRUE,IF(VC97&lt;&gt;$BC$7,0,INDEX(VA97:VZ97,1,MATCH(Structure!$D$12,$VA$14:$VZ$14,0))),IF(VC97&lt;&gt;$BC$7,0,INDEX(VA97:VZ97,1,MATCH(Structure!$D$12,$VA$14:$VZ$14,0)))))</f>
        <v/>
      </c>
      <c r="BH97" s="239" t="str">
        <f>IF(A97=FALSE,"",IF(ALLTHESAME=TRUE,IF(WC97&lt;&gt;$BC$7,0,INDEX(WA97:WY97,1,MATCH(Structure!$D$12,$WA$14:$WZ$14,0))),IF(WC97&lt;&gt;$BC$7,0,INDEX(WA97:WZ97,1,MATCH(Structure!$D$12,$WA$14:$WZ$14,0)))))</f>
        <v/>
      </c>
      <c r="BI97" s="763" t="str">
        <f>IF(A97=FALSE,"",IF(ALLTHESAME=TRUE,IF(HC97&lt;&gt;$BC$7,0,INDEX(HA97:HZ97,1,MATCH(Structure!$D$12,$HA$14:$HZ$14,0)))+TK97,IF(IC97&lt;&gt;$BC$7,0,INDEX(IA97:IZ97,1,MATCH(Structure!$D$12,$IA$14:$IZ$14,0)))+TK97))</f>
        <v/>
      </c>
      <c r="BJ97" s="239" t="str">
        <f>IF(A97=FALSE,"",IF(ALLTHESAME=TRUE,IF(JC97&lt;&gt;$BC$7,0,INDEX(JA97:JZ97,1,MATCH(Structure!$D$12,$JA$14:$JZ$14,0))),IF(KC97&lt;&gt;$BC$7,0,INDEX(KA97:KZ97,1,MATCH(Structure!$D$12,$KA$14:$KZ$14,0)))))</f>
        <v/>
      </c>
      <c r="BK97" s="763" t="str">
        <f>IF(A97=FALSE,"",IF(ALLTHESAME=TRUE,IF(LC97&lt;&gt;$BC$7,0,INDEX(LA97:LZ97,1,MATCH(Structure!$D$12,$LA$14:$LZ$14,0)))+UK97,IF(MC97&lt;&gt;$BC$7,0,INDEX(MA97:MZ97,1,MATCH(Structure!$D$12,$MA$14:$MZ$14,0)))+UK97))</f>
        <v/>
      </c>
      <c r="BL97" s="239" t="str">
        <f>IF(A97=FALSE,"",IF(ALLTHESAME=TRUE,IF(NC97&lt;&gt;$BC$7,0,INDEX(NA97:NZ97,1,MATCH(Structure!$D$12,$NA$14:$NZ$14,0))),IF(OC97&lt;&gt;$BC$7,0,INDEX(OA97:OZ97,1,MATCH(Structure!$D$12,$OA$14:$OZ$14,0)))))</f>
        <v/>
      </c>
      <c r="BM97" s="239" t="str">
        <f>IF(A97=FALSE,"",IF(ALLTHESAME=TRUE,IF(PC97&lt;&gt;$BC$7,0,INDEX(PA97:PZ97,1,MATCH(Structure!$D$12,$PA$14:$PZ$14,0))),IF(QC97&lt;&gt;$BC$7,0,INDEX(QA97:QZ97,1,MATCH(Structure!$D$12,$QA$14:$QZ$14,0)))))</f>
        <v/>
      </c>
      <c r="BN97" s="341" t="str">
        <f>IF(A97=FALSE,"",IF(ALLTHESAME=TRUE,IF(RC97&lt;&gt;$BC$7,0,INDEX(RA97:RZ97,1,MATCH(Structure!$D$12,$RA$14:$RZ$14,0))),IF(SC97&lt;&gt;$BC$7,0,INDEX(SA97:TA97,1,MATCH(Structure!$D$12,$SA$14:$TA$14,0)))))</f>
        <v/>
      </c>
      <c r="BO97" s="507" t="str">
        <f t="shared" si="647"/>
        <v/>
      </c>
      <c r="BP97" s="239" t="str">
        <f t="shared" si="648"/>
        <v/>
      </c>
      <c r="BQ97" s="239" t="str">
        <f>IF(A97=FALSE,"",IF(ALLTHESAME=TRUE,IF(DF97&lt;&gt;$BO$7,0,INDEX(DD97:DZ97,1,MATCH(Structure!$D$12,$DD$14:$DZ$14,0))),IF(EC97&lt;&gt;$BO$7,0,INDEX(EA97:EZ97,1,MATCH(Structure!$D$12,$EA$14:$EZ$14,0)))))</f>
        <v/>
      </c>
      <c r="BR97" s="239" t="str">
        <f>IF(A97=FALSE,"",IF(ALLTHESAME=TRUE,IF(FC97&lt;&gt;$BO$7,0,INDEX(FA97:FZ97,1,MATCH(Structure!$D$12,$FA$14:$FZ$14,0))),IF(GC97&lt;&gt;$BO$7,0,INDEX(GA97:GZ97,1,MATCH(Structure!$D$12,$GA$14:$GZ$14,0)))))</f>
        <v/>
      </c>
      <c r="BS97" s="239" t="str">
        <f>IF(A97=FALSE,"",IF(ALLTHESAME=TRUE,IF(HC97&lt;&gt;$BO$7,0,INDEX(HA97:HZ97,1,MATCH(Structure!$D$12,$HA$14:$HZ$14,0))),IF(IC97&lt;&gt;$BO$7,0,INDEX(IA97:IZ97,1,MATCH(Structure!$D$12,$IA$14:$IZ$14,0)))))</f>
        <v/>
      </c>
      <c r="BT97" s="239" t="str">
        <f>IF(A97=FALSE,"",IF(ALLTHESAME=TRUE,IF(JC97&lt;&gt;$BO$7,0,INDEX(JA97:JZ97,1,MATCH(Structure!$D$12,$JA$14:$JZ$14,0))),IF(KC97&lt;&gt;$BO$7,0,INDEX(KA97:KZ97,1,MATCH(Structure!$D$12,$KA$14:$KZ$14,0)))))</f>
        <v/>
      </c>
      <c r="BU97" s="239" t="str">
        <f>IF(A97=FALSE,"",IF(ALLTHESAME=TRUE,IF(LC97&lt;&gt;$BO$7,0,INDEX(LA97:LZ97,1,MATCH(Structure!$D$12,$LA$14:$LZ$14,0))),IF(MC97&lt;&gt;$BO$7,0,INDEX(MA97:MZ97,1,MATCH(Structure!$D$12,$MA$14:$MZ$14,0)))))</f>
        <v/>
      </c>
      <c r="BV97" s="239" t="str">
        <f>IF(A97=FALSE,"",IF(ALLTHESAME=TRUE,IF(NC97&lt;&gt;$BO$7,0,INDEX(NA97:NZ97,1,MATCH(Structure!$D$12,$NA$14:$NZ$14,0))),IF(OC97&lt;&gt;$BO$7,0,INDEX(OA97:OZ97,1,MATCH(Structure!$D$12,$OA$14:$OZ$14,0)))))</f>
        <v/>
      </c>
      <c r="BW97" s="239" t="str">
        <f>IF(A97=FALSE,"",IF(ALLTHESAME=TRUE,IF(PC97&lt;&gt;$BO$7,0,INDEX(PA97:PZ97,1,MATCH(Structure!$D$12,$PA$14:$PZ$14,0))),IF(QC97&lt;&gt;$BO$7,0,INDEX(QA97:QZ97,1,MATCH(Structure!$D$12,$QA$14:$QZ$14,0)))))</f>
        <v/>
      </c>
      <c r="BX97" s="341" t="str">
        <f>IF(A97=FALSE,"",IF(ALLTHESAME=TRUE,IF(RC97&lt;&gt;$BO$7,0,INDEX(RA97:RZ97,1,MATCH(Structure!$D$12,$RA$14:$RZ$14,0))),IF(SC97&lt;&gt;$BO$7,0,INDEX(SA97:TA97,1,MATCH(Structure!$D$12,$SA$14:$TA$14,0)))))</f>
        <v/>
      </c>
      <c r="BY97" s="347" t="str">
        <f t="shared" si="649"/>
        <v/>
      </c>
      <c r="BZ97" s="507" t="str">
        <f t="shared" si="650"/>
        <v/>
      </c>
      <c r="CA97" s="239" t="str">
        <f t="shared" si="651"/>
        <v/>
      </c>
      <c r="CB97" s="239" t="str">
        <f>IF(A97=FALSE,"",IF(ALLTHESAME=TRUE,INDEX(DD97:DZ97,MATCH(DF97,DF97:DF202,0),MATCH(Structure!$D$17,$DD$14:$DZ$14,0)),INDEX(EA97:EZ97,MATCH(EC97,EC97:EC202,0),MATCH(Structure!$D$17,$EA$14:$EZ$14,0))))</f>
        <v/>
      </c>
      <c r="CC97" s="239" t="str">
        <f>IF(A97=FALSE,"",IF(ALLTHESAME=TRUE,INDEX(FA97:FZ97,MATCH(FC97,FC97:FC202,0),MATCH(Structure!$D$17,$FA$14:$FZ$14,0)),INDEX(GA97:GZ97,MATCH(GC97,GC97:GC202,0),MATCH(Structure!$D$17,$GA$14:$GZ$14,0))))</f>
        <v/>
      </c>
      <c r="CD97" s="239" t="str">
        <f>IF(A97=FALSE,"",IF(ALLTHESAME=TRUE,INDEX(HA97:HZ97,MATCH(HC97,HC97:HC202,0),MATCH(Structure!$D$17,$HA$14:$HZ$14,0)),INDEX(IA97:IZ97,MATCH(IC97,IC97:IC202,0),MATCH(Structure!$D$17,$IA$14:$IZ$14,0))))</f>
        <v/>
      </c>
      <c r="CE97" s="239" t="str">
        <f>IF(A97=FALSE,"",IF(ALLTHESAME=TRUE,INDEX(JA97:JZ97,MATCH(JC97,JC97:JC202,0),MATCH(Structure!$D$17,$JA$14:$JZ$14,0)),INDEX(KA97:KZ97,MATCH(KC97,KC97:KC202,0),MATCH(Structure!$D$17,$KA$14:$KZ$14,0))))</f>
        <v/>
      </c>
      <c r="CF97" s="239" t="str">
        <f>IF(A97=FALSE,"",IF(ALLTHESAME=TRUE,INDEX(LA97:LZ97,MATCH(LC97,LC97:LC202,0),MATCH(Structure!$D$17,$LA$14:$LZ$14,0)),INDEX(MA97:MZ97,MATCH(MC97,MC97:MC202,0),MATCH(Structure!$D$17,$MA$14:$MZ$14,0))))</f>
        <v/>
      </c>
      <c r="CG97" s="239" t="str">
        <f>IF(A97=FALSE,"",IF(ALLTHESAME=TRUE,INDEX(NA97:NZ97,MATCH(NC97,NC97:NC202,0),MATCH(Structure!$D$17,$NA$14:$NZ$14,0)),INDEX(OA97:OZ97,MATCH(OC97,OC97:OC202,0),MATCH(Structure!$D$17,$OA$14:$OZ$14,0))))</f>
        <v/>
      </c>
      <c r="CH97" s="239" t="str">
        <f>IF(A97=FALSE,"",IF(ALLTHESAME=TRUE,INDEX(PA97:PZ97,MATCH(PC97,PC97:PC202,0),MATCH(Structure!$D$17,$PA$14:$PZ$14,0)),INDEX(QA97:QZ97,MATCH(QC97,QC97:QC202,0),MATCH(Structure!$D$17,$QA$14:$QZ$14,0))))</f>
        <v/>
      </c>
      <c r="CI97" s="341" t="str">
        <f>IF(A97=FALSE,"",IF(ALLTHESAME=TRUE,INDEX(RA97:RZ97,MATCH(RC97,RC97:RC202,0),MATCH(Structure!$D$17,$RA$14:$RZ$14,0)),INDEX(SA97:TC97,MATCH(SC97,SC97:SC202,0),MATCH(Structure!$D$17,$SA$14:$TC$14,0))))</f>
        <v/>
      </c>
      <c r="CJ97" s="347"/>
      <c r="CK97" s="239" t="str">
        <f t="shared" si="652"/>
        <v/>
      </c>
      <c r="CL97" s="239" t="str">
        <f>IF(A97=FALSE,"",IF(ALLTHESAME=TRUE,INDEX(DD97:DZ97,MATCH(DF97,DF97:DF202,0),MATCH(Structure!$D$22,$DD$14:$DZ$14,0)),INDEX(EA97:EZ97,MATCH(EC97,EC97:EC202,0),MATCH(Structure!$D$22,$EA$14:$EZ$14,0))))</f>
        <v/>
      </c>
      <c r="CM97" s="239" t="str">
        <f>IF(A97=FALSE,"",IF(ALLTHESAME=TRUE,INDEX(FA97:FZ97,MATCH(FC97,FC97:FC202,0),MATCH(Structure!$D$22,$FA$14:$FZ$14,0)),INDEX(GA97:GZ97,MATCH(GC97,GC97:GC202,0),MATCH(Structure!$D$22,$GA$14:$GZ$14,0))))</f>
        <v/>
      </c>
      <c r="CN97" s="239" t="str">
        <f>IF(A97=FALSE,"",IF(ALLTHESAME=TRUE,INDEX(HA97:HZ97,MATCH(HC97,HC97:HC202,0),MATCH(Structure!$D$22,$HA$14:$HZ$14,0)),INDEX(IA97:IZ97,MATCH(IC97,IC97:IC202,0),MATCH(Structure!$D$22,$IA$14:$IZ$14,0))))</f>
        <v/>
      </c>
      <c r="CO97" s="239" t="str">
        <f>IF(A97=FALSE,"",IF(ALLTHESAME=TRUE,INDEX(JA97:JZ97,MATCH(JC97,JC97:JC202,0),MATCH(Structure!$D$22,$JA$14:$JZ$14,0)),INDEX(KA97:KZ97,MATCH(KC97,KC97:KC202,0),MATCH(Structure!$D$22,$KA$14:$KZ$14,0))))</f>
        <v/>
      </c>
      <c r="CP97" s="239" t="str">
        <f>IF(A97=FALSE,"",IF(ALLTHESAME=TRUE,INDEX(LA97:LZ97,MATCH(LC97,LC97:LC202,0),MATCH(Structure!$D$22,$LA$14:$LZ$14,0)),INDEX(MA97:MZ97,MATCH(MC97,MC97:MC202,0),MATCH(Structure!$D$22,$MA$14:$MZ$14,0))))</f>
        <v/>
      </c>
      <c r="CQ97" s="239" t="str">
        <f>IF(A97=FALSE,"",IF(ALLTHESAME=TRUE,INDEX(NA97:NZ97,MATCH(NC97,NC97:NC202,0),MATCH(Structure!$D$22,$NA$14:$NZ$14,0)),INDEX(OA97:OZ97,MATCH(OC97,OC97:OC202,0),MATCH(Structure!$D$22,$OA$14:$OZ$14,0))))</f>
        <v/>
      </c>
      <c r="CR97" s="239" t="str">
        <f>IF(A97=FALSE,"",IF(ALLTHESAME=TRUE,INDEX(PA97:PZ97,MATCH(PC97,PC97:PC202,0),MATCH(Structure!$D$22,$PA$14:$PZ$14,0)),INDEX(QA97:QZ97,MATCH(QC97,QC97:QC202,0),MATCH(Structure!$D$22,$QA$14:$QZ$14,0))))</f>
        <v/>
      </c>
      <c r="CS97" s="341" t="str">
        <f>IF(A97=FALSE,"",IF(ALLTHESAME=TRUE,INDEX(RA97:RZ97,MATCH(RC97,RC97:RC202,0),MATCH(Structure!$D$22,$RA$14:$RZ$14,0)),INDEX(SA97:TC97,MATCH(SC97,SC97:SC202,0),MATCH(Structure!$D$22,$SA$14:$TC$14,0))))</f>
        <v/>
      </c>
      <c r="CT97" s="347"/>
      <c r="CU97" s="239" t="str">
        <f t="shared" si="653"/>
        <v/>
      </c>
      <c r="CV97" s="239" t="str">
        <f>IF(A97=FALSE,"",IF(ALLTHESAME=TRUE,INDEX(DD97:DZ97,MATCH(DF97,DF97:DF202,0),MATCH(Structure!$D$8,$DD$14:$DZ$14,0)),INDEX(EA97:EZ97,MATCH(EC97,EC97:EC202,0),MATCH(Structure!$D$8,$EA$14:$EZ$14,0))))</f>
        <v/>
      </c>
      <c r="CW97" s="239" t="str">
        <f>IF(A97=FALSE,"",IF(ALLTHESAME=TRUE,INDEX(FA97:FZ97,MATCH(FC97,FC97:FC202,0),MATCH(Structure!$D$8,$FA$14:$FZ$14,0)),INDEX(GA97:GZ97,MATCH(GC97,GC97:GC202,0),MATCH(Structure!$D$8,$GA$14:$GZ$14,0))))</f>
        <v/>
      </c>
      <c r="CX97" s="239" t="str">
        <f>IF(A97=FALSE,"",IF(ALLTHESAME=TRUE,INDEX(HA97:HZ97,MATCH(HC97,HC97:HC202,0),MATCH(Structure!$D$8,$HA$14:$HZ$14,0)),INDEX(IA97:IZ97,MATCH(IC97,IC97:IC202,0),MATCH(Structure!$D$8,$IA$14:$IZ$14,0))))</f>
        <v/>
      </c>
      <c r="CY97" s="239" t="str">
        <f>IF(A97=FALSE,"",IF(ALLTHESAME=TRUE,INDEX(JA97:JZ97,MATCH(JC97,JC97:JC202,0),MATCH(Structure!$D$8,$JA$14:$JZ$14,0)),INDEX(KA97:KZ97,MATCH(KC97,KC97:KC202,0),MATCH(Structure!$D$8,$KA$14:$KZ$14,0))))</f>
        <v/>
      </c>
      <c r="CZ97" s="239" t="str">
        <f>IF(A97=FALSE,"",IF(ALLTHESAME=TRUE,INDEX(LA97:LZ97,MATCH(LC97,LC97:LC202,0),MATCH(Structure!$D$8,$LA$14:$LZ$14,0)),INDEX(MA97:MZ97,MATCH(MC97,MC97:MC202,0),MATCH(Structure!$D$8,$MA$14:$MZ$14,0))))</f>
        <v/>
      </c>
      <c r="DA97" s="239" t="str">
        <f>IF(A97=FALSE,"",IF(ALLTHESAME=TRUE,INDEX(NA97:NZ97,MATCH(NC97,NC97:NC202,0),MATCH(Structure!$D$8,$NA$14:$NZ$14,0)),INDEX(OA97:OZ97,MATCH(OC97,OC97:OC202,0),MATCH(Structure!$D$8,$OA$14:$OZ$14,0))))</f>
        <v/>
      </c>
      <c r="DB97" s="239" t="str">
        <f>IF(A97=FALSE,"",IF(ALLTHESAME=TRUE,INDEX(PA97:PZ97,MATCH(PC97,PC97:PC202,0),MATCH(Structure!$D$8,$PA$14:$PZ$14,0)),INDEX(QA97:QZ97,MATCH(QC97,QC97:QC202,0),MATCH(Structure!$D$8,$QA$14:$QZ$14,0))))</f>
        <v/>
      </c>
      <c r="DC97" s="341" t="str">
        <f>IF(A97=FALSE,"",IF(ALLTHESAME=TRUE,INDEX(RA97:RZ97,MATCH(RC97,RC97:RC202,0),MATCH(Structure!$D$8,$RA$14:$RZ$14,0)),INDEX(SA97:TC97,MATCH(SC97,SC97:SC202,0),MATCH(Structure!$D$8,$SA$14:$TC$14,0))))</f>
        <v/>
      </c>
      <c r="DD97" s="492" t="str">
        <f>IF(A97=FALSE,"",Cotations!D97)</f>
        <v/>
      </c>
      <c r="DE97" s="492" t="str">
        <f>IF(A97=FALSE,"",IF(LISTES!$A$17=1,Cotations!AF97,Cotations!$AG$4))</f>
        <v/>
      </c>
      <c r="DF97" s="291" t="str">
        <f t="shared" si="654"/>
        <v/>
      </c>
      <c r="DG97" s="291" t="str">
        <f t="shared" si="655"/>
        <v/>
      </c>
      <c r="DH97" s="291"/>
      <c r="DI97" s="463"/>
      <c r="DJ97" s="463" t="str">
        <f t="shared" si="656"/>
        <v/>
      </c>
      <c r="DK97" s="522" t="str">
        <f>IF(A97=FALSE,"",IF(Cotations!$AH$4="monthly",DJ97/12*L97,DJ97/365*M97))</f>
        <v/>
      </c>
      <c r="DL97" s="489" t="str">
        <f>IF(A97=FALSE,"",Cotations!$AI$4)</f>
        <v/>
      </c>
      <c r="DM97" s="300" t="str">
        <f t="shared" si="657"/>
        <v/>
      </c>
      <c r="DN97" s="300" t="str">
        <f t="shared" si="658"/>
        <v/>
      </c>
      <c r="DO97" s="294" t="str">
        <f t="shared" si="659"/>
        <v/>
      </c>
      <c r="DP97" s="494" t="str">
        <f>IF(A97=FALSE,"",Cotations!$AJ$4)</f>
        <v/>
      </c>
      <c r="DQ97" s="494" t="str">
        <f>IF(A97=FALSE,"",Cotations!$AK$4)</f>
        <v/>
      </c>
      <c r="DR97" s="489" t="str">
        <f>IF(A97=FALSE,"",Cotations!$AL$4)</f>
        <v/>
      </c>
      <c r="DS97" s="494" t="str">
        <f>IF(A97=FALSE,"",IF(DP97="N/A",0,IF(INDEX(LISTES!$F$105:$F$109,MATCH(DP97,LISTES!$C$105:$C$109,0))="FIX",IF(INDEX(LISTES!$E$105:$E$109,MATCH(DP97,LISTES!$C$105:$C$109,0))=12,DQ97/12*L97,DQ97/365*M97),DR97*DO97)))</f>
        <v/>
      </c>
      <c r="DT97" s="294" t="str">
        <f t="shared" si="660"/>
        <v/>
      </c>
      <c r="DU97" s="294" t="str">
        <f>IF(A97=FALSE,"",DT97*Cotations!$AM$4)</f>
        <v/>
      </c>
      <c r="DV97" s="294" t="str">
        <f>IF(A97=FALSE,"",DT97*Cotations!$AN$4)</f>
        <v/>
      </c>
      <c r="DW97" s="465" t="str">
        <f t="shared" si="661"/>
        <v/>
      </c>
      <c r="DX97" s="919" t="str">
        <f>IF(A97=FALSE,"",((DJ97*TAXE)-(DJ97*TAXE*DL97))+IF(DP97="N/A",0,IF(INDEX(LISTES!$F$105:$F$109,MATCH(DP97,LISTES!$C$105:$C$109,0))="FIX",DQ97,DR97*DO97)))</f>
        <v/>
      </c>
      <c r="DY97" s="466"/>
      <c r="DZ97" s="466"/>
      <c r="EA97" s="492" t="str">
        <f>IF(A97=FALSE,"",Cotations!D97)</f>
        <v/>
      </c>
      <c r="EB97" s="494" t="str">
        <f>IF(A97=FALSE,"",IF(LISTES!$A$17=1,Cotations!AF97,Cotations!AG97))</f>
        <v/>
      </c>
      <c r="EC97" s="284" t="str">
        <f t="shared" si="662"/>
        <v/>
      </c>
      <c r="ED97" s="284" t="str">
        <f t="shared" si="663"/>
        <v/>
      </c>
      <c r="EE97" s="284"/>
      <c r="EF97" s="284"/>
      <c r="EG97" s="284" t="str">
        <f t="shared" si="664"/>
        <v/>
      </c>
      <c r="EH97" s="1365" t="str">
        <f t="shared" si="665"/>
        <v/>
      </c>
      <c r="EI97" s="1365" t="str">
        <f t="shared" si="666"/>
        <v/>
      </c>
      <c r="EJ97" s="515" t="str">
        <f>IF(A97=FALSE,"",IF(Cotations!AH97="monthly",EG97/12*L97,EG97/365*M97))</f>
        <v/>
      </c>
      <c r="EK97" s="1364" t="str">
        <f>IF(A97=FALSE,"",IF(Cotations!AH97="monthly",EI97/12*L97,EI97/365*M97))</f>
        <v/>
      </c>
      <c r="EL97" s="493" t="str">
        <f>IF(A97=FALSE,"",IF(Cotations!AI97="","",Cotations!AI97))</f>
        <v/>
      </c>
      <c r="EM97" s="284" t="str">
        <f t="shared" si="667"/>
        <v/>
      </c>
      <c r="EN97" s="284" t="str">
        <f t="shared" si="668"/>
        <v/>
      </c>
      <c r="EO97" s="1365" t="str">
        <f t="shared" si="840"/>
        <v/>
      </c>
      <c r="EP97" s="284" t="str">
        <f t="shared" si="669"/>
        <v/>
      </c>
      <c r="EQ97" s="515" t="str">
        <f>IF(A97=FALSE,"",Cotations!AJ97)</f>
        <v/>
      </c>
      <c r="ER97" s="515" t="str">
        <f>IF(A97=FALSE,"",IF(Cotations!AK97="","",Cotations!AK97))</f>
        <v/>
      </c>
      <c r="ES97" s="493" t="str">
        <f>IF(A97=FALSE,"",Cotations!AL97)</f>
        <v/>
      </c>
      <c r="ET97" s="515" t="str">
        <f>IF(A97=FALSE,"",IF(EQ97="N/A",0,IF(INDEX(LISTES!$F$105:$F$109,MATCH(EQ97,LISTES!$C$105:$C$109,0))="FIX",IF(INDEX(LISTES!$E$105:$E$109,MATCH(EQ97,LISTES!$C$105:$C$109,0))=12,ER97/12*L97,ER97/365*M97),ES97*EP97)))</f>
        <v/>
      </c>
      <c r="EU97" s="294" t="str">
        <f t="shared" si="670"/>
        <v/>
      </c>
      <c r="EV97" s="494" t="str">
        <f>IF(A97=FALSE,"",EU97*Cotations!AM97)</f>
        <v/>
      </c>
      <c r="EW97" s="494" t="str">
        <f>IF(A97=FALSE,"",EU97*Cotations!AN97)</f>
        <v/>
      </c>
      <c r="EX97" s="334" t="str">
        <f t="shared" si="671"/>
        <v/>
      </c>
      <c r="EY97" s="919" t="str">
        <f>IF(A97=FALSE,"",((EG97*TAXE)-(EG97*TAXE*EL97)+EH97)+IF(EQ97="N/A",0,IF(INDEX(LISTES!$F$105:$F$109,MATCH(EQ97,LISTES!$C$105:$C$109,0))="FIX",ER97,ES97*EP97)))</f>
        <v/>
      </c>
      <c r="FA97" s="492" t="str">
        <f>IF(A97=FALSE,"",Cotations!D97)</f>
        <v/>
      </c>
      <c r="FB97" s="519" t="str">
        <f>IF(A97=FALSE,"",IF(LISTES!$A$17=1,Cotations!AO97,Cotations!$AP$4))</f>
        <v/>
      </c>
      <c r="FC97" s="291" t="str">
        <f t="shared" si="672"/>
        <v/>
      </c>
      <c r="FD97" s="291" t="str">
        <f t="shared" si="673"/>
        <v/>
      </c>
      <c r="FE97" s="291"/>
      <c r="FF97" s="463"/>
      <c r="FG97" s="463" t="str">
        <f t="shared" si="674"/>
        <v/>
      </c>
      <c r="FH97" s="522" t="str">
        <f>IF(A97=FALSE,"",IF(Cotations!$AQ$4="monthly",FG97/12*L97,FG97/365*M97))</f>
        <v/>
      </c>
      <c r="FI97" s="453" t="str">
        <f>IF(A97=FALSE,"",Cotations!$AR$4)</f>
        <v/>
      </c>
      <c r="FJ97" s="300" t="str">
        <f t="shared" si="675"/>
        <v/>
      </c>
      <c r="FK97" s="300" t="str">
        <f t="shared" si="676"/>
        <v/>
      </c>
      <c r="FL97" s="294" t="str">
        <f t="shared" si="677"/>
        <v/>
      </c>
      <c r="FM97" s="494" t="str">
        <f>IF(A97=FALSE,"",Cotations!$AS$4)</f>
        <v/>
      </c>
      <c r="FN97" s="494" t="str">
        <f>IF(A97=FALSE,"",Cotations!$AT$4)</f>
        <v/>
      </c>
      <c r="FO97" s="489" t="str">
        <f>IF(A97=FALSE,"",Cotations!$AU$4)</f>
        <v/>
      </c>
      <c r="FP97" s="494" t="str">
        <f>IF(A97=FALSE,"",IF(FM97="N/A",0,IF(INDEX(LISTES!$F$105:$F$109,MATCH(FM97,LISTES!$C$105:$C$109,0))="FIX",IF(INDEX(LISTES!$E$105:$E$109,MATCH(FM97,LISTES!$C$105:$C$109,0))=12,FN97/12*L97,FN97/365*M97),FO97*FL97)))</f>
        <v/>
      </c>
      <c r="FQ97" s="294" t="str">
        <f t="shared" si="678"/>
        <v/>
      </c>
      <c r="FR97" s="494" t="str">
        <f>IF(A97=FALSE,"",FQ97*Cotations!$AV$4)</f>
        <v/>
      </c>
      <c r="FS97" s="494" t="str">
        <f>IF(A97=FALSE,"",FQ97*Cotations!$AW$4)</f>
        <v/>
      </c>
      <c r="FT97" s="465" t="str">
        <f t="shared" si="679"/>
        <v/>
      </c>
      <c r="FU97" s="919" t="str">
        <f>IF(A97=FALSE,"",((FG97*TAXE)-(FG97*TAXE*FI97))+IF(FM97="N/A",0,IF(INDEX(LISTES!$F$105:$F$109,MATCH(FM97,LISTES!$C$105:$C$109,0))="FIX",FN97,FO97*FL97)))</f>
        <v/>
      </c>
      <c r="FV97" s="478"/>
      <c r="FW97" s="478"/>
      <c r="FX97" s="478"/>
      <c r="FY97" s="478"/>
      <c r="FZ97" s="478"/>
      <c r="GA97" s="492" t="str">
        <f>IF(A97=FALSE,"",Cotations!D97)</f>
        <v/>
      </c>
      <c r="GB97" s="494" t="str">
        <f>IF(A97=FALSE,"",IF(LISTES!$A$17=1,Cotations!AO97,Cotations!AP97))</f>
        <v/>
      </c>
      <c r="GC97" s="284" t="str">
        <f t="shared" si="680"/>
        <v/>
      </c>
      <c r="GD97" s="515" t="str">
        <f>IF(A97=FALSE,"",IF(Detail!AM97="","",Detail!AM97))</f>
        <v/>
      </c>
      <c r="GE97" s="284"/>
      <c r="GF97" s="284"/>
      <c r="GG97" s="284" t="str">
        <f t="shared" si="681"/>
        <v/>
      </c>
      <c r="GH97" s="515" t="str">
        <f>IF(A97=FALSE,"",IF(Cotations!AQ97="monthly",GG97/12*L97,GG97/365*M97))</f>
        <v/>
      </c>
      <c r="GI97" s="493" t="str">
        <f>IF(A97=FALSE,"",IF(Cotations!AR97="","",Cotations!AR97))</f>
        <v/>
      </c>
      <c r="GJ97" s="284" t="str">
        <f t="shared" si="682"/>
        <v/>
      </c>
      <c r="GK97" s="284" t="str">
        <f t="shared" si="683"/>
        <v/>
      </c>
      <c r="GL97" s="284" t="str">
        <f t="shared" si="684"/>
        <v/>
      </c>
      <c r="GM97" s="515" t="str">
        <f>IF(A97=FALSE,"",Cotations!AS97)</f>
        <v/>
      </c>
      <c r="GN97" s="515" t="str">
        <f>IF(A97=FALSE,"",Cotations!AT97)</f>
        <v/>
      </c>
      <c r="GO97" s="493" t="str">
        <f>IF(A97=FALSE,"",Cotations!AU97)</f>
        <v/>
      </c>
      <c r="GP97" s="515" t="str">
        <f>IF(A97=FALSE,"",IF(GM97="N/A",0,IF(INDEX(LISTES!$F$105:$F$109,MATCH(GM97,LISTES!$C$105:$C$109,0))="FIX",IF(INDEX(LISTES!$E$105:$E$109,MATCH(GM97,LISTES!$C$105:$C$109,0))=12,GN97/12*L97,GN97/365*M97),GO97*GL97)))</f>
        <v/>
      </c>
      <c r="GQ97" s="294" t="str">
        <f t="shared" si="685"/>
        <v/>
      </c>
      <c r="GR97" s="494" t="str">
        <f>IF(A97=FALSE,"",GQ97*Cotations!AV97)</f>
        <v/>
      </c>
      <c r="GS97" s="494" t="str">
        <f>IF(A97=FALSE,"",GQ97*Cotations!AW97)</f>
        <v/>
      </c>
      <c r="GT97" s="334" t="str">
        <f t="shared" si="686"/>
        <v/>
      </c>
      <c r="GU97" s="919" t="str">
        <f>IF(A97=FALSE,"",((GG97*TAXE)-(GG97*TAXE*GI97))+IF(GM97="N/A",0,IF(INDEX(LISTES!$F$105:$F$109,MATCH(GM97,LISTES!$C$105:$C$109,0))="FIX",GN97,GO97*GL97)))</f>
        <v/>
      </c>
      <c r="GV97" s="478"/>
      <c r="GW97" s="466"/>
      <c r="GX97" s="466"/>
      <c r="GY97" s="466"/>
      <c r="GZ97" s="466"/>
      <c r="HA97" s="492" t="str">
        <f>IF(A97=FALSE,"",Cotations!D97)</f>
        <v/>
      </c>
      <c r="HB97" s="495" t="str">
        <f>IF(A97=FALSE,"",IF(LISTES!$A$17=1,Cotations!AX97,Cotations!$AY$4))</f>
        <v/>
      </c>
      <c r="HC97" s="291" t="str">
        <f t="shared" si="687"/>
        <v/>
      </c>
      <c r="HD97" s="291" t="str">
        <f t="shared" si="688"/>
        <v/>
      </c>
      <c r="HE97" s="456" t="str">
        <f t="shared" si="689"/>
        <v/>
      </c>
      <c r="HF97" s="496" t="str">
        <f>IF(A97=FALSE,"",IF(HA97="POEA",Cotations!BA97,IF(HA97="FIXE",Cotations!$BA$4,Cotations!$BC$4*Y97)))</f>
        <v/>
      </c>
      <c r="HG97" s="300" t="str">
        <f t="shared" si="690"/>
        <v/>
      </c>
      <c r="HH97" s="522" t="str">
        <f>IF(A97=FALSE,"",IF(Cotations!$AZ$4="monthly",HG97/12*L97,HG97/365*M97))</f>
        <v/>
      </c>
      <c r="HI97" s="489" t="str">
        <f>IF(A97=FALSE,"",Cotations!$BD$4)</f>
        <v/>
      </c>
      <c r="HJ97" s="300" t="str">
        <f t="shared" si="691"/>
        <v/>
      </c>
      <c r="HK97" s="300" t="str">
        <f t="shared" si="692"/>
        <v/>
      </c>
      <c r="HL97" s="294" t="str">
        <f t="shared" si="693"/>
        <v/>
      </c>
      <c r="HM97" s="494" t="str">
        <f>IF(A97=FALSE,"",Cotations!$BE$4)</f>
        <v/>
      </c>
      <c r="HN97" s="522" t="str">
        <f>IF(A97=FALSE,"",Cotations!$BF$4)</f>
        <v/>
      </c>
      <c r="HO97" s="489" t="str">
        <f>IF(A97=FALSE,"",Cotations!$BG$4)</f>
        <v/>
      </c>
      <c r="HP97" s="494" t="str">
        <f>IF(A97=FALSE,"",IF(HM97="N/A",0,IF(INDEX(LISTES!$F$105:$F$109,MATCH(HM97,LISTES!$C$105:$C$109,0))="FIX",IF(INDEX(LISTES!$E$105:$E$109,MATCH(HM97,LISTES!$C$105:$C$109,0))=12,HN97/12*L97,HN97/365*M97),HO97*HL97)))</f>
        <v/>
      </c>
      <c r="HQ97" s="294" t="str">
        <f t="shared" si="694"/>
        <v/>
      </c>
      <c r="HR97" s="494" t="str">
        <f>IF(A97=FALSE,"",HQ97*Cotations!$BH$4)</f>
        <v/>
      </c>
      <c r="HS97" s="494" t="str">
        <f>IF(A97=FALSE,"",HQ97*Cotations!$BI$4)</f>
        <v/>
      </c>
      <c r="HT97" s="294" t="str">
        <f t="shared" si="695"/>
        <v/>
      </c>
      <c r="HU97" s="919" t="str">
        <f>IF(A97=FALSE,"",((HG97*TAXE)-(HG97*TAXE*HI97))+IF(HM97="N/A",0,IF(INDEX(LISTES!$F$105:$F$109,MATCH(HM97,LISTES!$C$105:$C$109,0))="FIX",HN97,HO97*HL97)))</f>
        <v/>
      </c>
      <c r="IA97" s="492" t="str">
        <f>IF(A97=FALSE,"",Cotations!D97)</f>
        <v/>
      </c>
      <c r="IB97" s="491" t="str">
        <f>IF(A97=FALSE,"",IF(LISTES!$A$17=1,Cotations!AX97,Cotations!AY97))</f>
        <v/>
      </c>
      <c r="IC97" s="285" t="str">
        <f t="shared" si="696"/>
        <v/>
      </c>
      <c r="ID97" s="300" t="str">
        <f>IF(A97=FALSE,"",IF(LISTES!$A$17=3,Detail!AU97,lig1_Formula_PREVOY))</f>
        <v/>
      </c>
      <c r="IE97" s="461" t="str">
        <f t="shared" si="697"/>
        <v/>
      </c>
      <c r="IF97" s="490" t="str">
        <f>IF(A97=FALSE,"",IF(IA97="POEA",Cotations!BA97,IF(HA97="FIXE",Cotations!BB97,IF(Cotations!BC97*Y97&lt;50000,Z97,Cotations!BC97*Y97))))</f>
        <v/>
      </c>
      <c r="IG97" s="300" t="str">
        <f t="shared" si="698"/>
        <v/>
      </c>
      <c r="IH97" s="522" t="str">
        <f>IF(A97=FALSE,"",IF(Cotations!AZ97="monthly",IG97/12*L97,IG97/365*M97))</f>
        <v/>
      </c>
      <c r="II97" s="489" t="str">
        <f>IF(A97=FALSE,"",IF(Cotations!BD97="","",Cotations!BD97))</f>
        <v/>
      </c>
      <c r="IJ97" s="300" t="str">
        <f t="shared" si="699"/>
        <v/>
      </c>
      <c r="IK97" s="300" t="str">
        <f t="shared" si="700"/>
        <v/>
      </c>
      <c r="IL97" s="919" t="str">
        <f t="shared" si="701"/>
        <v/>
      </c>
      <c r="IM97" s="517" t="str">
        <f>IF(A97=FALSE,"",Cotations!BE97)</f>
        <v/>
      </c>
      <c r="IN97" s="517" t="str">
        <f>IF(A97=FALSE,"",Cotations!BF97)</f>
        <v/>
      </c>
      <c r="IO97" s="493" t="str">
        <f>IF(A97=FALSE,"",Cotations!BG97)</f>
        <v/>
      </c>
      <c r="IP97" s="517" t="str">
        <f>IF(A97=FALSE,"",IF(IM97="N/A",0,IF(INDEX(LISTES!$F$105:$F$109,MATCH(IM97,LISTES!$C$105:$C$109,0))="FIX",IF(INDEX(LISTES!$E$105:$E$109,MATCH(IM97,LISTES!$C$105:$C$109,0))=12,IN97/12*L97,IN97/365*M97),IO97*IL97)))</f>
        <v/>
      </c>
      <c r="IQ97" s="294" t="str">
        <f t="shared" si="702"/>
        <v/>
      </c>
      <c r="IR97" s="494" t="str">
        <f>IF(A97=FALSE,"",IQ97*Cotations!BH97)</f>
        <v/>
      </c>
      <c r="IS97" s="494" t="str">
        <f>IF(A97=FALSE,"",IQ97*Cotations!BI97)</f>
        <v/>
      </c>
      <c r="IT97" s="338" t="str">
        <f t="shared" si="703"/>
        <v/>
      </c>
      <c r="IU97" s="919" t="str">
        <f>IF(A97=FALSE,"",((IG97*TAXE)-(IG97*TAXE*II97))+IF(IM97="N/A",0,IF(INDEX(LISTES!$F$105:$F$109,MATCH(IM97,LISTES!$C$105:$C$109,0))="FIX",IN97,IO97*IL97)))</f>
        <v/>
      </c>
      <c r="JA97" s="492" t="str">
        <f>IF(A97=FALSE,"",Cotations!D97)</f>
        <v/>
      </c>
      <c r="JB97" s="495" t="str">
        <f>IF(A97=FALSE,"",IF(LISTES!$A$17=1,Cotations!BJ97,Cotations!$BK$4))</f>
        <v/>
      </c>
      <c r="JC97" s="291" t="str">
        <f t="shared" si="704"/>
        <v/>
      </c>
      <c r="JD97" s="291" t="str">
        <f t="shared" si="705"/>
        <v/>
      </c>
      <c r="JE97" s="456" t="str">
        <f t="shared" si="706"/>
        <v/>
      </c>
      <c r="JF97" s="496" t="str">
        <f>IF(A97=FALSE,"",IF(JA97="POEA",Cotations!BM97,IF(JA97="FIXE",Cotations!$BM$4,Cotations!$BO$4*Y97)))</f>
        <v/>
      </c>
      <c r="JG97" s="300" t="str">
        <f t="shared" si="707"/>
        <v/>
      </c>
      <c r="JH97" s="522" t="str">
        <f>IF(A97=FALSE,"",IF(Cotations!$BL$4="monthly",JG97/12*L97,JG97/365*M97))</f>
        <v/>
      </c>
      <c r="JI97" s="489" t="str">
        <f>IF(A97=FALSE,"",Cotations!$BP$4)</f>
        <v/>
      </c>
      <c r="JJ97" s="300" t="str">
        <f t="shared" si="708"/>
        <v/>
      </c>
      <c r="JK97" s="300" t="str">
        <f t="shared" si="709"/>
        <v/>
      </c>
      <c r="JL97" s="294" t="str">
        <f t="shared" si="710"/>
        <v/>
      </c>
      <c r="JM97" s="494" t="str">
        <f>IF(A97=FALSE,"",Cotations!$BQ$4)</f>
        <v/>
      </c>
      <c r="JN97" s="522" t="str">
        <f>IF(A97=FALSE,"",Cotations!$BR$4)</f>
        <v/>
      </c>
      <c r="JO97" s="489" t="str">
        <f>IF(A97=FALSE,"",Cotations!$BS$4)</f>
        <v/>
      </c>
      <c r="JP97" s="494" t="str">
        <f>IF(A97=FALSE,"",IF(JM97="N/A",0,IF(INDEX(LISTES!$F$105:$F$109,MATCH(JM97,LISTES!$C$105:$C$109,0))="FIX",IF(INDEX(LISTES!$E$105:$E$109,MATCH(JM97,LISTES!$C$105:$C$109,0))=12,JN97/12*L97,JN97/365*M97),JO97*JL97)))</f>
        <v/>
      </c>
      <c r="JQ97" s="294" t="str">
        <f t="shared" si="711"/>
        <v/>
      </c>
      <c r="JR97" s="494" t="str">
        <f>IF(A97=FALSE,"",JQ97*Cotations!$BT$4)</f>
        <v/>
      </c>
      <c r="JS97" s="494" t="str">
        <f>IF(A97=FALSE,"",JQ97*Cotations!$BU$4)</f>
        <v/>
      </c>
      <c r="JT97" s="294" t="str">
        <f t="shared" si="712"/>
        <v/>
      </c>
      <c r="JU97" s="919" t="str">
        <f>IF(A97=FALSE,"",((JG97*TAXE)-(JG97*TAXE*JI97))+IF(JM97="N/A",0,IF(INDEX(LISTES!$F$105:$F$109,MATCH(JM97,LISTES!$C$105:$C$109,0))="FIX",JN97,JO97*JL97)))</f>
        <v/>
      </c>
      <c r="KA97" s="492" t="str">
        <f>IF(A97=FALSE,"",Cotations!D97)</f>
        <v/>
      </c>
      <c r="KB97" s="491" t="str">
        <f>IF(A97=FALSE,"",IF(LISTES!$A$17=1,Cotations!BJ97,Cotations!BK97))</f>
        <v/>
      </c>
      <c r="KC97" s="285" t="str">
        <f t="shared" si="713"/>
        <v/>
      </c>
      <c r="KD97" s="300"/>
      <c r="KE97" s="461" t="str">
        <f t="shared" si="714"/>
        <v/>
      </c>
      <c r="KF97" s="490" t="str">
        <f>IF(A97=FALSE,"",IF(KA97="POEA",Cotations!BM97,IF(KA97="FIXE",Cotations!BN97,IF(Cotations!BO97*Y97&lt;50000,Z97,Cotations!BO97*Y97))))</f>
        <v/>
      </c>
      <c r="KG97" s="300" t="str">
        <f t="shared" si="715"/>
        <v/>
      </c>
      <c r="KH97" s="522" t="str">
        <f>IF(A97=FALSE,"",IF(Cotations!BL97="monthly",KG97/12*L97,KG97/365*M97))</f>
        <v/>
      </c>
      <c r="KI97" s="489" t="str">
        <f>IF(A97=FALSE,"",IF(Cotations!BP97="","",Cotations!BP97))</f>
        <v/>
      </c>
      <c r="KJ97" s="300" t="str">
        <f t="shared" si="716"/>
        <v/>
      </c>
      <c r="KK97" s="300" t="str">
        <f t="shared" si="717"/>
        <v/>
      </c>
      <c r="KL97" s="919" t="str">
        <f t="shared" si="718"/>
        <v/>
      </c>
      <c r="KM97" s="517" t="str">
        <f>IF(A97=FALSE,"",Cotations!BQ97)</f>
        <v/>
      </c>
      <c r="KN97" s="515" t="str">
        <f>IF(A97=FALSE,"",Cotations!BR97)</f>
        <v/>
      </c>
      <c r="KO97" s="493" t="str">
        <f>IF(A97=FALSE,"",Cotations!BS97)</f>
        <v/>
      </c>
      <c r="KP97" s="517" t="str">
        <f>IF(A97=FALSE,"",IF(KM97="N/A",0,IF(INDEX(LISTES!$F$105:$F$109,MATCH(KM97,LISTES!$C$105:$C$109,0))="FIX",IF(INDEX(LISTES!$E$105:$E$109,MATCH(KM97,LISTES!$C$105:$C$109,0))=12,KN97/12*L97,KN97/365*M97),KO97*KL97)))</f>
        <v/>
      </c>
      <c r="KQ97" s="294" t="str">
        <f t="shared" si="719"/>
        <v/>
      </c>
      <c r="KR97" s="494" t="str">
        <f>IF(A97=FALSE,"",KQ97*Cotations!BT97)</f>
        <v/>
      </c>
      <c r="KS97" s="494" t="str">
        <f>IF(A97=FALSE,"",KQ97*Cotations!BU97)</f>
        <v/>
      </c>
      <c r="KT97" s="338" t="str">
        <f t="shared" si="720"/>
        <v/>
      </c>
      <c r="KU97" s="919" t="str">
        <f>IF(A97=FALSE,"",((KG97*TAXE)-(KG97*TAXE*KI97))+IF(KM97="N/A",0,IF(INDEX(LISTES!$F$105:$F$109,MATCH(KM97,LISTES!$C$105:$C$109,0))="FIX",KN97,KO97*KL97)))</f>
        <v/>
      </c>
      <c r="LA97" s="497" t="str">
        <f>IF(A97=FALSE,"",Cotations!D97)</f>
        <v/>
      </c>
      <c r="LB97" s="498" t="str">
        <f>IF(A97=FALSE,"",IF(LISTES!$A$17=1,Cotations!BV97,Cotations!$BW$4))</f>
        <v/>
      </c>
      <c r="LC97" s="499" t="str">
        <f t="shared" si="721"/>
        <v/>
      </c>
      <c r="LD97" s="499" t="str">
        <f t="shared" si="722"/>
        <v/>
      </c>
      <c r="LE97" s="500" t="str">
        <f t="shared" si="723"/>
        <v/>
      </c>
      <c r="LF97" s="501" t="str">
        <f>IF(A97=FALSE,"",IF(LA97="POEA",Cotations!EJ97,IF(LA97="FIXE",Cotations!$BY$4,Cotations!$CA$4*Y97)))</f>
        <v/>
      </c>
      <c r="LG97" s="502" t="str">
        <f t="shared" si="724"/>
        <v/>
      </c>
      <c r="LH97" s="520" t="str">
        <f>IF(A97=FALSE,"",IF(Cotations!$BX$4="monthly",LG97/12*L97,LG97/365*M97))</f>
        <v/>
      </c>
      <c r="LI97" s="503" t="str">
        <f>IF(A97=FALSE,"",Cotations!$CB$4)</f>
        <v/>
      </c>
      <c r="LJ97" s="502" t="str">
        <f t="shared" si="725"/>
        <v/>
      </c>
      <c r="LK97" s="502" t="str">
        <f t="shared" si="726"/>
        <v/>
      </c>
      <c r="LL97" s="504" t="str">
        <f t="shared" si="727"/>
        <v/>
      </c>
      <c r="LM97" s="505" t="str">
        <f>IF(A97=FALSE,"",Cotations!$CC$4)</f>
        <v/>
      </c>
      <c r="LN97" s="503" t="str">
        <f>IF(A97=FALSE,"",Cotations!$CD$4)</f>
        <v/>
      </c>
      <c r="LO97" s="503" t="str">
        <f>IF(A97=FALSE,"",Cotations!$CE$4)</f>
        <v/>
      </c>
      <c r="LP97" s="505" t="str">
        <f>IF(A97=FALSE,"",IF(LM97="N/A",0,IF(INDEX(LISTES!$F$105:$F$109,MATCH(LM97,LISTES!$C$105:$C$109,0))="FIX",IF(INDEX(LISTES!$E$105:$E$109,MATCH(LM97,LISTES!$C$105:$C$109,0))=12,LN97/12*L97,LN97/365*M97),LO97*LL97)))</f>
        <v/>
      </c>
      <c r="LQ97" s="504" t="str">
        <f t="shared" si="728"/>
        <v/>
      </c>
      <c r="LR97" s="505" t="str">
        <f>IF(A97=FALSE,"",LQ97*Cotations!$CF$4)</f>
        <v/>
      </c>
      <c r="LS97" s="505" t="str">
        <f>IF(A97=FALSE,"",LQ97*Cotations!$CG$4)</f>
        <v/>
      </c>
      <c r="LT97" s="506" t="str">
        <f t="shared" si="729"/>
        <v/>
      </c>
      <c r="LU97" s="919" t="str">
        <f>IF(A97=FALSE,"",((LG97*TAXE)-(LG97*TAXE*LI97))+IF(LM97="N/A",0,IF(INDEX(LISTES!$F$105:$F$109,MATCH(LM97,LISTES!$C$105:$C$109,0))="FIX",LN97,LO97*LL97)))</f>
        <v/>
      </c>
      <c r="MA97" s="492" t="str">
        <f>IF(A97=FALSE,"",Cotations!D97)</f>
        <v/>
      </c>
      <c r="MB97" s="491" t="str">
        <f>IF(A97=FALSE,"",IF(LISTES!$A$17=1,Cotations!BV97,Cotations!BW97))</f>
        <v/>
      </c>
      <c r="MC97" s="285" t="str">
        <f t="shared" si="730"/>
        <v/>
      </c>
      <c r="MD97" s="300"/>
      <c r="ME97" s="461" t="str">
        <f t="shared" si="731"/>
        <v/>
      </c>
      <c r="MF97" s="490" t="str">
        <f>IF(A97=FALSE,"",IF(MA97="POEA",Cotations!BY97,IF(MA97="FIXE",Cotations!BZ97,IF(Cotations!CA97*Y97&lt;50000,Z97,Cotations!CA97*Y97))))</f>
        <v/>
      </c>
      <c r="MG97" s="300" t="str">
        <f t="shared" si="732"/>
        <v/>
      </c>
      <c r="MH97" s="522" t="str">
        <f>IF(A97=FALSE,"",IF(Cotations!BX97="monthly",MG97/12*L97,MG97/365*M97))</f>
        <v/>
      </c>
      <c r="MI97" s="489" t="str">
        <f>IF(A97=FALSE,"",IF(Cotations!CB97="","",Cotations!CB97))</f>
        <v/>
      </c>
      <c r="MJ97" s="300" t="str">
        <f t="shared" si="733"/>
        <v/>
      </c>
      <c r="MK97" s="300" t="str">
        <f t="shared" si="734"/>
        <v/>
      </c>
      <c r="ML97" s="919" t="str">
        <f t="shared" si="735"/>
        <v/>
      </c>
      <c r="MM97" s="517" t="str">
        <f>IF(A97=FALSE,"",Cotations!CC97)</f>
        <v/>
      </c>
      <c r="MN97" s="515" t="str">
        <f>IF(A97=FALSE,"",Cotations!CD97)</f>
        <v/>
      </c>
      <c r="MO97" s="493" t="str">
        <f>IF(A97=FALSE,"",Cotations!CE97)</f>
        <v/>
      </c>
      <c r="MP97" s="517" t="str">
        <f>IF(A97=FALSE,"",IF(MM97="N/A",0,IF(INDEX(LISTES!$F$105:$F$109,MATCH(MM97,LISTES!$C$105:$C$109,0))="FIX",IF(INDEX(LISTES!$E$105:$E$109,MATCH(MM97,LISTES!$C$105:$C$109,0))=12,MN97/12*L97,MN97/365*M97),MO97*ML97)))</f>
        <v/>
      </c>
      <c r="MQ97" s="294" t="str">
        <f t="shared" si="736"/>
        <v/>
      </c>
      <c r="MR97" s="494" t="str">
        <f>IF(A97=FALSE,"",MQ97*Cotations!CF97)</f>
        <v/>
      </c>
      <c r="MS97" s="494" t="str">
        <f>IF(A97=FALSE,"",MQ97*Cotations!CG97)</f>
        <v/>
      </c>
      <c r="MT97" s="338" t="str">
        <f t="shared" si="737"/>
        <v/>
      </c>
      <c r="MU97" s="919" t="str">
        <f>IF(A97=FALSE,"",((MG97*TAXE)-(MG97*TAXE*MI97))+IF(MM97="N/A",0,IF(INDEX(LISTES!$F$105:$F$109,MATCH(MM97,LISTES!$C$105:$C$109,0))="FIX",MN97,MO97*ML97)))</f>
        <v/>
      </c>
      <c r="NA97" s="497" t="str">
        <f>IF(A97=FALSE,"",Cotations!D97)</f>
        <v/>
      </c>
      <c r="NB97" s="498" t="str">
        <f>IF(A97=FALSE,"",IF(LISTES!$A$17=1,Cotations!CH97,Cotations!$CI$4))</f>
        <v/>
      </c>
      <c r="NC97" s="499" t="str">
        <f t="shared" si="738"/>
        <v/>
      </c>
      <c r="ND97" s="499" t="str">
        <f t="shared" si="739"/>
        <v/>
      </c>
      <c r="NE97" s="500" t="str">
        <f t="shared" si="740"/>
        <v/>
      </c>
      <c r="NF97" s="501" t="str">
        <f>IF(A97=FALSE,"",IF(NA97="POEA",Cotations!CK97,IF(NA97="FIXE",Cotations!$CK$4,Cotations!$CM$4*Y97)))</f>
        <v/>
      </c>
      <c r="NG97" s="502" t="str">
        <f t="shared" si="741"/>
        <v/>
      </c>
      <c r="NH97" s="520" t="str">
        <f>IF(A97=FALSE,"",IF(Cotations!$CJ$4="monthly",NG97/12*L97,NG97/365*M97))</f>
        <v/>
      </c>
      <c r="NI97" s="503" t="str">
        <f>IF(A97=FALSE,"",Cotations!$CN$4)</f>
        <v/>
      </c>
      <c r="NJ97" s="502" t="str">
        <f t="shared" si="742"/>
        <v/>
      </c>
      <c r="NK97" s="502" t="str">
        <f t="shared" si="743"/>
        <v/>
      </c>
      <c r="NL97" s="504" t="str">
        <f t="shared" si="744"/>
        <v/>
      </c>
      <c r="NM97" s="505" t="str">
        <f>IF(A97=FALSE,"",Cotations!$CO$4)</f>
        <v/>
      </c>
      <c r="NN97" s="520" t="str">
        <f>IF(A97=FALSE,"",Cotations!$CP$4)</f>
        <v/>
      </c>
      <c r="NO97" s="503" t="str">
        <f>IF(A97=FALSE,"",Cotations!$CQ$4)</f>
        <v/>
      </c>
      <c r="NP97" s="505" t="str">
        <f>IF(A97=FALSE,"",IF(NM97="N/A",0,IF(INDEX(LISTES!$F$105:$F$109,MATCH(NM97,LISTES!$C$105:$C$109,0))="FIX",IF(INDEX(LISTES!$E$105:$E$109,MATCH(NM97,LISTES!$C$105:$C$109,0))=12,NN97/12*L97,NN97/365*M97),NO97*NL97)))</f>
        <v/>
      </c>
      <c r="NQ97" s="504" t="str">
        <f t="shared" si="745"/>
        <v/>
      </c>
      <c r="NR97" s="505" t="str">
        <f>IF(A97=FALSE,"",NQ97*Cotations!$CR$4)</f>
        <v/>
      </c>
      <c r="NS97" s="505" t="str">
        <f>IF(A97=FALSE,"",NQ97*Cotations!$CS$4)</f>
        <v/>
      </c>
      <c r="NT97" s="506" t="str">
        <f t="shared" si="746"/>
        <v/>
      </c>
      <c r="NU97" s="919" t="str">
        <f>IF(A97=FALSE,"",((NG97*TAXE)-(NG97*TAXE*NI97))+IF(NM97="N/A",0,IF(INDEX(LISTES!$F$105:$F$109,MATCH(NM97,LISTES!$C$105:$C$109,0))="FIX",NN97,NO97*NL97)))</f>
        <v/>
      </c>
      <c r="OA97" s="492" t="str">
        <f>IF(A97=FALSE,"",Cotations!D97)</f>
        <v/>
      </c>
      <c r="OB97" s="491" t="str">
        <f>IF(A97=FALSE,"",IF(LISTES!$A$17=1,Cotations!CH97,Cotations!CI97))</f>
        <v/>
      </c>
      <c r="OC97" s="285" t="str">
        <f t="shared" si="747"/>
        <v/>
      </c>
      <c r="OD97" s="300"/>
      <c r="OE97" s="461" t="str">
        <f t="shared" si="748"/>
        <v/>
      </c>
      <c r="OF97" s="490" t="str">
        <f>IF(A97=FALSE,"",IF(OA97="POEA",Cotations!CK97,IF(OA97="FIXE",Cotations!CL97,IF(Cotations!CM97*Y97&lt;50000,Z97,Cotations!CM97*Y97))))</f>
        <v/>
      </c>
      <c r="OG97" s="300" t="str">
        <f t="shared" si="749"/>
        <v/>
      </c>
      <c r="OH97" s="522" t="str">
        <f>IF(A97=FALSE,"",IF(Cotations!CJ97="monthly",OG97/12*L97,OG97/365*M97))</f>
        <v/>
      </c>
      <c r="OI97" s="489" t="str">
        <f>IF(A97=FALSE,"",IF(Cotations!CN97="","",Cotations!CN97))</f>
        <v/>
      </c>
      <c r="OJ97" s="300" t="str">
        <f t="shared" si="750"/>
        <v/>
      </c>
      <c r="OK97" s="300" t="str">
        <f t="shared" si="751"/>
        <v/>
      </c>
      <c r="OL97" s="919" t="str">
        <f t="shared" si="752"/>
        <v/>
      </c>
      <c r="OM97" s="517" t="str">
        <f>IF(A97=FALSE,"",Cotations!CO97)</f>
        <v/>
      </c>
      <c r="ON97" s="515" t="str">
        <f>IF(A97=FALSE,"",Cotations!CP97)</f>
        <v/>
      </c>
      <c r="OO97" s="493" t="str">
        <f>IF(A97=FALSE,"",Cotations!CQ97)</f>
        <v/>
      </c>
      <c r="OP97" s="517" t="str">
        <f>IF(A97=FALSE,"",IF(OM97="N/A",0,IF(INDEX(LISTES!$F$105:$F$109,MATCH(OM97,LISTES!$C$105:$C$109,0))="FIX",IF(INDEX(LISTES!$E$105:$E$109,MATCH(OM97,LISTES!$C$105:$C$109,0))=12,ON97/12*L97,ON97/365*M97),OO97*OL97)))</f>
        <v/>
      </c>
      <c r="OQ97" s="294" t="str">
        <f t="shared" si="753"/>
        <v/>
      </c>
      <c r="OR97" s="494" t="str">
        <f>IF(A97=FALSE,"",OQ97*Cotations!CR97)</f>
        <v/>
      </c>
      <c r="OS97" s="494" t="str">
        <f>IF(A97=FALSE,"",OQ97*Cotations!CS97)</f>
        <v/>
      </c>
      <c r="OT97" s="338" t="str">
        <f t="shared" si="754"/>
        <v/>
      </c>
      <c r="OU97" s="919" t="str">
        <f>IF(A97=FALSE,"",((OG97*TAXE)-(OG97*TAXE*OI97))+IF(OM97="N/A",0,IF(INDEX(LISTES!$F$105:$F$109,MATCH(OM97,LISTES!$C$105:$C$109,0))="FIX",ON97,OO97*OL97)))</f>
        <v/>
      </c>
      <c r="PA97" s="497" t="str">
        <f t="shared" si="755"/>
        <v/>
      </c>
      <c r="PB97" s="498" t="str">
        <f>IF(A97=FALSE,"",IF(LISTES!$A$17=1,Cotations!CT97,Cotations!$CU$4))</f>
        <v/>
      </c>
      <c r="PC97" s="499" t="str">
        <f t="shared" si="756"/>
        <v/>
      </c>
      <c r="PD97" s="499" t="str">
        <f t="shared" si="757"/>
        <v/>
      </c>
      <c r="PE97" s="500" t="str">
        <f t="shared" si="758"/>
        <v/>
      </c>
      <c r="PF97" s="501" t="str">
        <f>IF(A97=FALSE,"",Cotations!$CY$4*Y97)</f>
        <v/>
      </c>
      <c r="PG97" s="502" t="str">
        <f t="shared" si="759"/>
        <v/>
      </c>
      <c r="PH97" s="520" t="str">
        <f>IF(A97=FALSE,"",IF(Cotations!$CV$4="monthly",PG97/12*L97,PG97/365*M97))</f>
        <v/>
      </c>
      <c r="PI97" s="503" t="str">
        <f>IF(A97=FALSE,"",Cotations!$CZ$4)</f>
        <v/>
      </c>
      <c r="PJ97" s="502" t="str">
        <f t="shared" si="760"/>
        <v/>
      </c>
      <c r="PK97" s="502" t="str">
        <f t="shared" si="761"/>
        <v/>
      </c>
      <c r="PL97" s="504" t="str">
        <f t="shared" si="762"/>
        <v/>
      </c>
      <c r="PM97" s="505" t="str">
        <f>IF(A97=FALSE,"",Cotations!$DA$4)</f>
        <v/>
      </c>
      <c r="PN97" s="520" t="str">
        <f>IF(A97=FALSE,"",Cotations!$DB$4)</f>
        <v/>
      </c>
      <c r="PO97" s="503" t="str">
        <f>IF(A97=FALSE,"",Cotations!$DC$4)</f>
        <v/>
      </c>
      <c r="PP97" s="505" t="str">
        <f>IF(A97=FALSE,"",IF(PM97="N/A",0,IF(INDEX(LISTES!$F$105:$F$109,MATCH(PM97,LISTES!$C$105:$C$109,0))="FIX",IF(INDEX(LISTES!$E$105:$E$109,MATCH(PM97,LISTES!$C$105:$C$109,0))=12,PN97/12*L97,PN97/365*M97),PO97*PL97)))</f>
        <v/>
      </c>
      <c r="PQ97" s="504" t="str">
        <f t="shared" si="763"/>
        <v/>
      </c>
      <c r="PR97" s="505" t="str">
        <f>IF(A97=FALSE,"",PQ97*Cotations!$DD$4)</f>
        <v/>
      </c>
      <c r="PS97" s="505" t="str">
        <f>IF(A97=FALSE,"",PQ97*Cotations!$DE$4)</f>
        <v/>
      </c>
      <c r="PT97" s="506" t="str">
        <f t="shared" si="764"/>
        <v/>
      </c>
      <c r="PU97" s="919" t="str">
        <f>IF(A97=FALSE,"",((PG97*TAXE)-(PG97*TAXE*PI97))+IF(PM97="N/A",0,IF(INDEX(LISTES!$F$105:$F$109,MATCH(PM97,LISTES!$C$105:$C$109,0))="FIX",PN97,PO97*PL97)))</f>
        <v/>
      </c>
      <c r="QA97" s="492" t="str">
        <f t="shared" si="765"/>
        <v/>
      </c>
      <c r="QB97" s="491" t="str">
        <f>IF(A97=FALSE,"",IF(LISTES!$A$17=1,Cotations!CT97,Cotations!CU97))</f>
        <v/>
      </c>
      <c r="QC97" s="285" t="str">
        <f t="shared" si="766"/>
        <v/>
      </c>
      <c r="QD97" s="300"/>
      <c r="QE97" s="461" t="str">
        <f t="shared" si="767"/>
        <v/>
      </c>
      <c r="QF97" s="490" t="str">
        <f>IF(A97=FALSE,"",Cotations!CY97*AA97)</f>
        <v/>
      </c>
      <c r="QG97" s="300" t="str">
        <f t="shared" si="768"/>
        <v/>
      </c>
      <c r="QH97" s="522" t="str">
        <f>IF(A97=FALSE,"",IF(Cotations!CV97="monthly",QG97/12*L97,QG97/365*M97))</f>
        <v/>
      </c>
      <c r="QI97" s="489" t="str">
        <f>IF(A97=FALSE,"",IF(Cotations!CZ97="","",Cotations!CZ97))</f>
        <v/>
      </c>
      <c r="QJ97" s="300" t="str">
        <f t="shared" si="769"/>
        <v/>
      </c>
      <c r="QK97" s="300" t="str">
        <f t="shared" si="770"/>
        <v/>
      </c>
      <c r="QL97" s="919" t="str">
        <f t="shared" si="771"/>
        <v/>
      </c>
      <c r="QM97" s="517" t="str">
        <f>IF(A97=FALSE,"",Cotations!DA97)</f>
        <v/>
      </c>
      <c r="QN97" s="515" t="str">
        <f>IF(A97=FALSE,"",Cotations!DB97)</f>
        <v/>
      </c>
      <c r="QO97" s="493" t="str">
        <f>IF(A97=FALSE,"",Cotations!DC97)</f>
        <v/>
      </c>
      <c r="QP97" s="517" t="str">
        <f>IF(A97=FALSE,"",IF(QM97="N/A",0,IF(INDEX(LISTES!$F$105:$F$109,MATCH(QM97,LISTES!$C$105:$C$109,0))="FIX",IF(INDEX(LISTES!$E$105:$E$109,MATCH(QM97,LISTES!$C$105:$C$109,0))=12,QN97/12*L97,QN97/365*M97),QO97*QL97)))</f>
        <v/>
      </c>
      <c r="QQ97" s="294" t="str">
        <f t="shared" si="772"/>
        <v/>
      </c>
      <c r="QR97" s="494" t="str">
        <f>IF(A97=FALSE,"",QQ97*Cotations!DD97)</f>
        <v/>
      </c>
      <c r="QS97" s="494" t="str">
        <f>IF(A97=FALSE,"",QQ97*Cotations!DE97)</f>
        <v/>
      </c>
      <c r="QT97" s="338" t="str">
        <f t="shared" si="773"/>
        <v/>
      </c>
      <c r="QU97" s="919" t="str">
        <f>IF(A97=FALSE,"",((QG97*TAXE)-(QG97*TAXE*QI97))+IF(QM97="N/A",0,IF(INDEX(LISTES!$F$105:$F$109,MATCH(QM97,LISTES!$C$105:$C$109,0))="FIX",QN97,QO97*QL97)))</f>
        <v/>
      </c>
      <c r="RA97" s="497" t="str">
        <f t="shared" si="774"/>
        <v/>
      </c>
      <c r="RB97" s="498" t="str">
        <f>IF(A97=FALSE,"",IF(LISTES!$A$17=1,Cotations!DF97,Cotations!$DG$4))</f>
        <v/>
      </c>
      <c r="RC97" s="499" t="str">
        <f t="shared" si="775"/>
        <v/>
      </c>
      <c r="RD97" s="499" t="str">
        <f t="shared" si="776"/>
        <v/>
      </c>
      <c r="RE97" s="500" t="str">
        <f t="shared" si="777"/>
        <v/>
      </c>
      <c r="RF97" s="501" t="str">
        <f>IF(A97=FALSE,"",Cotations!$DK$4*Y97)</f>
        <v/>
      </c>
      <c r="RG97" s="502" t="str">
        <f t="shared" si="778"/>
        <v/>
      </c>
      <c r="RH97" s="520" t="str">
        <f>IF(A97=FALSE,"",IF(Cotations!$DH$4="monthly",RG97/12*L97,RG97/365*M97))</f>
        <v/>
      </c>
      <c r="RI97" s="503" t="str">
        <f>IF(A97=FALSE,"",Cotations!$DL$4)</f>
        <v/>
      </c>
      <c r="RJ97" s="502" t="str">
        <f t="shared" si="779"/>
        <v/>
      </c>
      <c r="RK97" s="502" t="str">
        <f t="shared" si="780"/>
        <v/>
      </c>
      <c r="RL97" s="504" t="str">
        <f t="shared" si="781"/>
        <v/>
      </c>
      <c r="RM97" s="505" t="str">
        <f>IF(A97=FALSE,"",Cotations!$DM$4)</f>
        <v/>
      </c>
      <c r="RN97" s="520" t="str">
        <f>IF(A97=FALSE,"",Cotations!$DN$4)</f>
        <v/>
      </c>
      <c r="RO97" s="503" t="str">
        <f>IF(A97=FALSE,"",Cotations!$DO$4)</f>
        <v/>
      </c>
      <c r="RP97" s="505" t="str">
        <f>IF(A97=FALSE,"",IF(RM97="N/A",0,IF(INDEX(LISTES!$F$105:$F$109,MATCH(RM97,LISTES!$C$105:$C$109,0))="FIX",IF(INDEX(LISTES!$E$105:$E$109,MATCH(RM97,LISTES!$C$105:$C$109,0))=12,RN97/12*L97,RN97/365*M97),RO97*RL97)))</f>
        <v/>
      </c>
      <c r="RQ97" s="504" t="str">
        <f t="shared" si="782"/>
        <v/>
      </c>
      <c r="RR97" s="505" t="str">
        <f>IF(A97=FALSE,"",RQ97*Cotations!$DP$4)</f>
        <v/>
      </c>
      <c r="RS97" s="505" t="str">
        <f>IF(A97=FALSE,"",RQ97*Cotations!$DQ$4)</f>
        <v/>
      </c>
      <c r="RT97" s="506" t="str">
        <f t="shared" si="783"/>
        <v/>
      </c>
      <c r="RU97" s="919" t="str">
        <f>IF(A97=FALSE,"",((RG97*TAXE)-(RG97*TAXE*RI97))+IF(RM97="N/A",0,IF(INDEX(LISTES!$F$105:$F$109,MATCH(RM97,LISTES!$C$105:$C$109,0))="FIX",RN97,RO97*RL97)))</f>
        <v/>
      </c>
      <c r="SA97" s="492" t="str">
        <f t="shared" si="784"/>
        <v/>
      </c>
      <c r="SB97" s="491" t="str">
        <f>IF(A97=FALSE,"",IF(LISTES!$A$17=1,Cotations!DF97,Cotations!DG97))</f>
        <v/>
      </c>
      <c r="SC97" s="285" t="str">
        <f t="shared" si="785"/>
        <v/>
      </c>
      <c r="SD97" s="300"/>
      <c r="SE97" s="461" t="str">
        <f t="shared" si="786"/>
        <v/>
      </c>
      <c r="SF97" s="490" t="str">
        <f>IF(A97=FALSE,"",Cotations!DK97*AA97)</f>
        <v/>
      </c>
      <c r="SG97" s="300" t="str">
        <f t="shared" si="787"/>
        <v/>
      </c>
      <c r="SH97" s="522" t="str">
        <f>IF(A97=FALSE,"",IF(Cotations!DH97="monthly",SG97/12*L97,SG97/365*M97))</f>
        <v/>
      </c>
      <c r="SI97" s="489" t="str">
        <f>IF(A97=FALSE,"",IF(Cotations!DL97="","",Cotations!DL97))</f>
        <v/>
      </c>
      <c r="SJ97" s="300" t="str">
        <f t="shared" si="788"/>
        <v/>
      </c>
      <c r="SK97" s="300" t="str">
        <f t="shared" si="789"/>
        <v/>
      </c>
      <c r="SL97" s="919" t="str">
        <f t="shared" si="790"/>
        <v/>
      </c>
      <c r="SM97" s="285" t="str">
        <f>IF(A97=FALSE,"",Cotations!DM97)</f>
        <v/>
      </c>
      <c r="SN97" s="515" t="str">
        <f>IF(A97=FALSE,"",Cotations!DN97)</f>
        <v/>
      </c>
      <c r="SO97" s="493" t="str">
        <f>IF(A97=FALSE,"",Cotations!DO97)</f>
        <v/>
      </c>
      <c r="SP97" s="517" t="str">
        <f>IF(A97=FALSE,"",IF(SM97="N/A",0,IF(INDEX(LISTES!$F$105:$F$109,MATCH(SM97,LISTES!$C$105:$C$109,0))="FIX",IF(INDEX(LISTES!$E$105:$E$109,MATCH(SM97,LISTES!$C$105:$C$109,0))=12,SN97/12*L97,SN97/365*M97),SO97*SL97)))</f>
        <v/>
      </c>
      <c r="SQ97" s="294" t="str">
        <f t="shared" si="791"/>
        <v/>
      </c>
      <c r="SR97" s="494" t="str">
        <f>IF(A97=FALSE,"",SQ97*Cotations!DP97)</f>
        <v/>
      </c>
      <c r="SS97" s="494" t="str">
        <f>IF(A97=FALSE,"",SQ97*Cotations!DQ97)</f>
        <v/>
      </c>
      <c r="ST97" s="338" t="str">
        <f t="shared" si="792"/>
        <v/>
      </c>
      <c r="SU97" s="919" t="str">
        <f>IF(A97=FALSE,"",((SG97*TAXE)-(SG97*TAXE*SI97))+IF(SM97="N/A",0,IF(INDEX(LISTES!$F$105:$F$109,MATCH(SM97,LISTES!$C$105:$C$109,0))="FIX",SN97,SO97*SL97)))</f>
        <v/>
      </c>
      <c r="TA97" s="492" t="str">
        <f>IF(A97=FALSE,"",Cotations!D97)</f>
        <v/>
      </c>
      <c r="TB97" s="491" t="str">
        <f>IF(A97=FALSE,"",IF(LISTES!$A$17=1,Cotations!DR97,Cotations!DS97))</f>
        <v/>
      </c>
      <c r="TC97" s="285" t="str">
        <f t="shared" si="793"/>
        <v/>
      </c>
      <c r="TD97" s="300" t="str">
        <f>IF(A97=FALSE,"",Detail!CQ97)</f>
        <v/>
      </c>
      <c r="TE97" s="461" t="str">
        <f t="shared" si="794"/>
        <v/>
      </c>
      <c r="TF97" s="490" t="str">
        <f>IF(A97=FALSE,"",IF(TA97="FIXE",Cotations!DU97,Cotations!DV97*Y97))</f>
        <v/>
      </c>
      <c r="TG97" s="300" t="str">
        <f t="shared" si="795"/>
        <v/>
      </c>
      <c r="TH97" s="522" t="str">
        <f>IF(A97=FALSE,"",IF(Cotations!DT97="monthly",TG97/12*L97,TG97/365*M97))</f>
        <v/>
      </c>
      <c r="TI97" s="489" t="str">
        <f>IF(A97=FALSE,"",IF(Cotations!DW97="","",Cotations!DW97))</f>
        <v/>
      </c>
      <c r="TJ97" s="300" t="str">
        <f t="shared" si="796"/>
        <v/>
      </c>
      <c r="TK97" s="300" t="str">
        <f t="shared" si="797"/>
        <v/>
      </c>
      <c r="TL97" s="919" t="str">
        <f t="shared" si="798"/>
        <v/>
      </c>
      <c r="TM97" s="517" t="str">
        <f>IF(A97=FALSE,"",Cotations!DX97)</f>
        <v/>
      </c>
      <c r="TN97" s="517" t="str">
        <f>IF(A97=FALSE,"",Cotations!DY97)</f>
        <v/>
      </c>
      <c r="TO97" s="493" t="str">
        <f>IF(A97=FALSE,"",Cotations!DZ97)</f>
        <v/>
      </c>
      <c r="TP97" s="517" t="str">
        <f>IF(A97=FALSE,"",IF(TM97="N/A",0,IF(INDEX(LISTES!$F$105:$F$109,MATCH(TM97,LISTES!$C$105:$C$109,0))="FIX",IF(INDEX(LISTES!$E$105:$E$109,MATCH(TM97,LISTES!$C$105:$C$109,0))=12,TN97/12*L97,TN97/365*M97),TO97*TL97)))</f>
        <v/>
      </c>
      <c r="TQ97" s="294" t="str">
        <f t="shared" si="799"/>
        <v/>
      </c>
      <c r="TR97" s="494" t="str">
        <f>IF(A97=FALSE,"",TQ97*Cotations!EA97)</f>
        <v/>
      </c>
      <c r="TS97" s="494" t="str">
        <f>IF(A97=FALSE,"",TQ97*Cotations!EB97)</f>
        <v/>
      </c>
      <c r="TT97" s="338" t="str">
        <f t="shared" si="800"/>
        <v/>
      </c>
      <c r="TU97" s="919" t="str">
        <f>IF(A97=FALSE,"",((TG97*(1+TAXE)-(TG97*(1+TAXE)*TI97))+IF(TM97="N/A",0,IF(INDEX(LISTES!$F$105:$F$109,MATCH(TM97,LISTES!$C$105:$C$109,0))="FIX",TN97,TO97*TL97))))</f>
        <v/>
      </c>
      <c r="UA97" s="492" t="str">
        <f>IF(A97=FALSE,"",Cotations!D97)</f>
        <v/>
      </c>
      <c r="UB97" s="491" t="str">
        <f>IF(A97=FALSE,"",IF(LISTES!$A$17=1,Cotations!EC97,Cotations!ED97))</f>
        <v/>
      </c>
      <c r="UC97" s="285" t="str">
        <f t="shared" si="801"/>
        <v/>
      </c>
      <c r="UD97" s="300" t="str">
        <f>IF(A97=FALSE,"",Detail!CY97)</f>
        <v/>
      </c>
      <c r="UE97" s="461" t="str">
        <f t="shared" si="802"/>
        <v/>
      </c>
      <c r="UF97" s="490" t="str">
        <f>IF(A97=FALSE,"",IF(UA97="FIXE",Cotations!EF97,Cotations!EG97*Y97))</f>
        <v/>
      </c>
      <c r="UG97" s="300" t="str">
        <f t="shared" si="803"/>
        <v/>
      </c>
      <c r="UH97" s="522" t="str">
        <f>IF(A97=FALSE,"",IF(Cotations!EE97="monthly",UG97/12*L97,UG97/365*M97))</f>
        <v/>
      </c>
      <c r="UI97" s="489" t="str">
        <f>IF(A97=FALSE,"",IF(Cotations!EH97="","",Cotations!EH97))</f>
        <v/>
      </c>
      <c r="UJ97" s="300" t="str">
        <f t="shared" si="804"/>
        <v/>
      </c>
      <c r="UK97" s="300" t="str">
        <f t="shared" si="805"/>
        <v/>
      </c>
      <c r="UL97" s="919" t="str">
        <f t="shared" si="806"/>
        <v/>
      </c>
      <c r="UM97" s="517" t="str">
        <f>IF(A97=FALSE,"",Cotations!EI97)</f>
        <v/>
      </c>
      <c r="UN97" s="517" t="str">
        <f>IF(A97=FALSE,"",Cotations!EJ97)</f>
        <v/>
      </c>
      <c r="UO97" s="493" t="str">
        <f>IF(A97=FALSE,"",Cotations!EK97)</f>
        <v/>
      </c>
      <c r="UP97" s="517" t="str">
        <f>IF(A97=FALSE,"",IF(UM97="N/A",0,IF(INDEX(LISTES!$F$105:$F$109,MATCH(UM97,LISTES!$C$105:$C$109,0))="FIX",IF(INDEX(LISTES!$E$105:$E$109,MATCH(UM97,LISTES!$C$105:$C$109,0))=12,UN97/12*L97,UN97/365*M97),UO97*UL97)))</f>
        <v/>
      </c>
      <c r="UQ97" s="294" t="str">
        <f t="shared" si="807"/>
        <v/>
      </c>
      <c r="UR97" s="494" t="str">
        <f>IF(A97=FALSE,"",UQ97*Cotations!EL97)</f>
        <v/>
      </c>
      <c r="US97" s="494" t="str">
        <f>IF(A97=FALSE,"",UQ97*Cotations!EM97)</f>
        <v/>
      </c>
      <c r="UT97" s="338" t="str">
        <f t="shared" si="808"/>
        <v/>
      </c>
      <c r="UU97" s="919" t="str">
        <f>IF(A97=FALSE,"",((UG97*(1+TAXE)-(UG97*(1+TAXE)*UI97))+IF(UM97="N/A",0,IF(INDEX(LISTES!$F$105:$F$109,MATCH(UM97,LISTES!$C$105:$C$109,0))="FIX",UN97,UO97*UL97))))</f>
        <v/>
      </c>
      <c r="VA97" s="492" t="str">
        <f>IF(A97=FALSE,"",Cotations!D97)</f>
        <v/>
      </c>
      <c r="VB97" s="519" t="str">
        <f>IF(A97=FALSE,"",IF(LISTES!$A$17=1,Cotations!EN97,Cotations!EO97))</f>
        <v/>
      </c>
      <c r="VC97" s="291" t="str">
        <f t="shared" si="809"/>
        <v/>
      </c>
      <c r="VD97" s="291" t="str">
        <f t="shared" si="810"/>
        <v/>
      </c>
      <c r="VE97" s="291"/>
      <c r="VF97" s="463"/>
      <c r="VG97" s="463" t="str">
        <f t="shared" si="811"/>
        <v/>
      </c>
      <c r="VH97" s="522" t="str">
        <f>IF(A97=FALSE,"",IF(Cotations!$AQ$4="monthly",VG97/12*L97,VG97/365*M97))</f>
        <v/>
      </c>
      <c r="VI97" s="489" t="str">
        <f>IF(A97=FALSE,"",Cotations!$AR$4)</f>
        <v/>
      </c>
      <c r="VJ97" s="300" t="str">
        <f t="shared" si="812"/>
        <v/>
      </c>
      <c r="VK97" s="300" t="str">
        <f t="shared" si="813"/>
        <v/>
      </c>
      <c r="VL97" s="294" t="str">
        <f t="shared" si="814"/>
        <v/>
      </c>
      <c r="VM97" s="494" t="str">
        <f>IF(A97=FALSE,"",Cotations!$AS$4)</f>
        <v/>
      </c>
      <c r="VN97" s="494" t="str">
        <f>IF(A97=FALSE,"",Cotations!$AT$4)</f>
        <v/>
      </c>
      <c r="VO97" s="489" t="str">
        <f>IF(A97=FALSE,"",Cotations!$AU$4)</f>
        <v/>
      </c>
      <c r="VP97" s="494" t="str">
        <f>IF(A97=FALSE,"",IF(VM97="N/A",0,IF(INDEX(LISTES!$F$105:$F$109,MATCH(VM97,LISTES!$C$105:$C$109,0))="FIX",IF(INDEX(LISTES!$E$105:$E$109,MATCH(VM97,LISTES!$C$105:$C$109,0))=12,VN97/12*L97,VN97/365*M97),VO97*VL97)))</f>
        <v/>
      </c>
      <c r="VQ97" s="294" t="str">
        <f t="shared" si="815"/>
        <v/>
      </c>
      <c r="VR97" s="494" t="str">
        <f>IF(A97=FALSE,"",VQ97*Cotations!$AV$4)</f>
        <v/>
      </c>
      <c r="VS97" s="494" t="str">
        <f>IF(A97=FALSE,"",VQ97*Cotations!$AW$4)</f>
        <v/>
      </c>
      <c r="VT97" s="465" t="str">
        <f t="shared" si="816"/>
        <v/>
      </c>
      <c r="VU97" s="919" t="str">
        <f>IF(A97=FALSE,"",((VG97*TAXE)-(VG97*TAXE*VI97))+IF(VM97="N/A",0,IF(INDEX(LISTES!$F$105:$F$109,MATCH(VM97,LISTES!$C$105:$C$109,0))="FIX",VN97,VO97*VL97)))</f>
        <v/>
      </c>
      <c r="WA97" s="492" t="str">
        <f>IF(A97=FALSE,"",Cotations!D97)</f>
        <v/>
      </c>
      <c r="WB97" s="519" t="str">
        <f>IF(A97=FALSE,"",IF(LISTES!$A$17=1,Cotations!EW97,Cotations!EX97))</f>
        <v/>
      </c>
      <c r="WC97" s="291" t="str">
        <f t="shared" si="817"/>
        <v/>
      </c>
      <c r="WD97" s="291" t="str">
        <f t="shared" si="818"/>
        <v/>
      </c>
      <c r="WE97" s="291"/>
      <c r="WF97" s="463"/>
      <c r="WG97" s="463" t="str">
        <f t="shared" si="819"/>
        <v/>
      </c>
      <c r="WH97" s="522" t="str">
        <f>IF(A97=FALSE,"",IF(Cotations!$AQ$4="monthly",WG97/12*L97,WG97/365*M97))</f>
        <v/>
      </c>
      <c r="WI97" s="489" t="str">
        <f>IF(A97=FALSE,"",Cotations!$AR$4)</f>
        <v/>
      </c>
      <c r="WJ97" s="300" t="str">
        <f t="shared" si="820"/>
        <v/>
      </c>
      <c r="WK97" s="300" t="str">
        <f t="shared" si="821"/>
        <v/>
      </c>
      <c r="WL97" s="294" t="str">
        <f t="shared" si="822"/>
        <v/>
      </c>
      <c r="WM97" s="494" t="str">
        <f>IF(A97=FALSE,"",Cotations!$AS$4)</f>
        <v/>
      </c>
      <c r="WN97" s="494" t="str">
        <f>IF(A97=FALSE,"",Cotations!$AT$4)</f>
        <v/>
      </c>
      <c r="WO97" s="489" t="str">
        <f>IF(A97=FALSE,"",Cotations!$AU$4)</f>
        <v/>
      </c>
      <c r="WP97" s="494" t="str">
        <f>IF(A97=FALSE,"",IF(WM97="N/A",0,IF(INDEX(LISTES!$F$105:$F$109,MATCH(WM97,LISTES!$C$105:$C$109,0))="FIX",IF(INDEX(LISTES!$E$105:$E$109,MATCH(WM97,LISTES!$C$105:$C$109,0))=12,WN97/12*L97,WN97/365*M97),WO97*WL97)))</f>
        <v/>
      </c>
      <c r="WQ97" s="294" t="str">
        <f t="shared" si="823"/>
        <v/>
      </c>
      <c r="WR97" s="494" t="str">
        <f>IF(A97=FALSE,"",WQ97*Cotations!$AV$4)</f>
        <v/>
      </c>
      <c r="WS97" s="494" t="str">
        <f>IF(A97=FALSE,"",WQ97*Cotations!$AW$4)</f>
        <v/>
      </c>
      <c r="WT97" s="465" t="str">
        <f t="shared" si="824"/>
        <v/>
      </c>
      <c r="WU97" s="919" t="str">
        <f>IF(A97=FALSE,"",((WG97*TAXE)-(WG97*TAXE*WI97))+IF(WM97="N/A",0,IF(INDEX(LISTES!$F$105:$F$109,MATCH(WM97,LISTES!$C$105:$C$109,0))="FIX",WN97,WO97*WL97)))</f>
        <v/>
      </c>
    </row>
    <row r="98" spans="1:619">
      <c r="A98" s="942" t="b">
        <f t="shared" si="629"/>
        <v>0</v>
      </c>
      <c r="B98" s="942" t="b">
        <f>IF(NAMES!$B$9=TRUE,TRUE,FALSE)</f>
        <v>1</v>
      </c>
      <c r="C98" s="942" t="b">
        <f t="shared" si="825"/>
        <v>0</v>
      </c>
      <c r="D98" s="942" t="b">
        <f t="shared" si="826"/>
        <v>0</v>
      </c>
      <c r="E98" s="274" t="b">
        <f>IF(Cotations!C98="","",Cotations!C98)</f>
        <v>0</v>
      </c>
      <c r="F98" s="274" t="str">
        <f>IF(Cotations!D98="","",Cotations!D98)</f>
        <v>PROP</v>
      </c>
      <c r="G98" s="274" t="str">
        <f>IF(Cotations!E98="","",Cotations!E98)</f>
        <v>2016-2017!</v>
      </c>
      <c r="H98" s="274" t="str">
        <f>IF(Cotations!F98="","",Cotations!F98)</f>
        <v>SINGLE</v>
      </c>
      <c r="I98" s="274" t="str">
        <f>IF(Cotations!G98="","",Cotations!G98)</f>
        <v/>
      </c>
      <c r="J98" s="274" t="str">
        <f>IF(Cotations!H98="","",Cotations!H98)</f>
        <v/>
      </c>
      <c r="K98" s="274" t="str">
        <f>IF(Cotations!I98="","",Cotations!I98)</f>
        <v/>
      </c>
      <c r="L98" s="274" t="str">
        <f>IF(A98=FALSE,"",IF(Cotations!N98="","",Cotations!N98))</f>
        <v/>
      </c>
      <c r="M98" s="274" t="str">
        <f>IF(Cotations!P98="","",Cotations!P98)</f>
        <v/>
      </c>
      <c r="N98" s="724" t="str">
        <f>IF(NAMES!$B$10=TRUE,Cotations!J98,Cotations!L98)</f>
        <v/>
      </c>
      <c r="O98" s="724" t="str">
        <f>IF(NAMES!$B$10=TRUE,Cotations!K98,Cotations!M98)</f>
        <v/>
      </c>
      <c r="P98" s="943" t="str">
        <f t="shared" si="827"/>
        <v/>
      </c>
      <c r="Q98" s="724" t="str">
        <f>IF(A98=FALSE,"",IF(Crewlist!Y98="","",Crewlist!Y98))</f>
        <v/>
      </c>
      <c r="R98" s="78" t="str">
        <f>IF(Cotations!U98="","",Cotations!U98)</f>
        <v/>
      </c>
      <c r="S98" s="943" t="str">
        <f t="shared" si="828"/>
        <v/>
      </c>
      <c r="T98" s="919" t="str">
        <f>IF(A98=FALSE,"",VLOOKUP($U$15:$U$120,Currency!$A$2:$D$10,4,0)*Crewlist!N98)</f>
        <v/>
      </c>
      <c r="U98" s="1355" t="str">
        <f>IF(A98=FALSE,"",IF(IT98=0,Crewlist!M98&amp;"/"&amp;EX98,Crewlist!M98&amp;"/"&amp;IT98))</f>
        <v/>
      </c>
      <c r="V98" s="919" t="str">
        <f>IF(A98=FALSE,"",VLOOKUP($U$15:$U$120,Currency!$A$2:$D$10,4,0)*Detail!Q98)</f>
        <v/>
      </c>
      <c r="W98" s="1355" t="str">
        <f>IF(A98=FALSE,"",IF(IT98=0,Detail!R98&amp;"/"&amp;EX98,Detail!R98&amp;"/"&amp;IT98))</f>
        <v/>
      </c>
      <c r="X98" s="919" t="str">
        <f>IF(A98=FALSE,"",IF(LISTES!$C$17="Crewlist",Calcul!T98,Calcul!V98))</f>
        <v/>
      </c>
      <c r="Y98" s="758" t="str">
        <f t="shared" si="829"/>
        <v/>
      </c>
      <c r="Z98" s="758" t="str">
        <f>IF(A98=FALSE,"",IF(X98=0,0,IF((Cotations!BC98*12*X98)&lt;50000,50000,(12*X98))))</f>
        <v/>
      </c>
      <c r="AA98" s="758" t="str">
        <f t="shared" si="830"/>
        <v/>
      </c>
      <c r="AB98" s="758" t="str">
        <f>IF(A98=FALSE,"",IF(Crewlist!O98=0,"",Crewlist!O98))</f>
        <v/>
      </c>
      <c r="AC98" s="758" t="str">
        <f>IF(I98="","",VLOOKUP($AB$15:$AB$120,Currency!$A$15:$B$34,2,0))</f>
        <v/>
      </c>
      <c r="AD98" s="758" t="str">
        <f t="shared" si="831"/>
        <v/>
      </c>
      <c r="AE98" s="758" t="str">
        <f t="shared" si="832"/>
        <v/>
      </c>
      <c r="AF98" s="758" t="str">
        <f t="shared" si="833"/>
        <v/>
      </c>
      <c r="AG98" s="758" t="str">
        <f t="shared" si="834"/>
        <v/>
      </c>
      <c r="AH98" s="1355" t="str">
        <f t="shared" si="630"/>
        <v/>
      </c>
      <c r="AI98" s="919" t="str">
        <f t="shared" si="835"/>
        <v/>
      </c>
      <c r="AJ98" s="1382" t="str">
        <f t="shared" si="836"/>
        <v/>
      </c>
      <c r="AK98" s="1382" t="str">
        <f t="shared" si="837"/>
        <v/>
      </c>
      <c r="AL98" s="238" t="str">
        <f t="shared" si="631"/>
        <v/>
      </c>
      <c r="AM98" s="238" t="str">
        <f t="shared" si="632"/>
        <v/>
      </c>
      <c r="AN98" s="1374" t="str">
        <f t="shared" si="633"/>
        <v/>
      </c>
      <c r="AO98" s="238" t="str">
        <f t="shared" si="634"/>
        <v/>
      </c>
      <c r="AP98" s="342" t="str">
        <f>IF(A98=FALSE,"",INDEX(Rates!$Z$5:$Z$367,MATCH(EB98,colchoice,0)))</f>
        <v/>
      </c>
      <c r="AQ98" s="238" t="str">
        <f t="shared" si="635"/>
        <v/>
      </c>
      <c r="AR98" s="238" t="str">
        <f t="shared" si="636"/>
        <v/>
      </c>
      <c r="AS98" s="238" t="str">
        <f t="shared" si="637"/>
        <v/>
      </c>
      <c r="AT98" s="238" t="str">
        <f t="shared" si="638"/>
        <v/>
      </c>
      <c r="AU98" s="238" t="str">
        <f t="shared" si="639"/>
        <v/>
      </c>
      <c r="AV98" s="238" t="str">
        <f t="shared" si="838"/>
        <v/>
      </c>
      <c r="AW98" s="238" t="str">
        <f t="shared" si="640"/>
        <v/>
      </c>
      <c r="AX98" s="238" t="str">
        <f t="shared" si="641"/>
        <v/>
      </c>
      <c r="AY98" s="238" t="str">
        <f t="shared" si="642"/>
        <v/>
      </c>
      <c r="AZ98" s="238" t="str">
        <f t="shared" si="643"/>
        <v/>
      </c>
      <c r="BA98" s="238" t="str">
        <f t="shared" si="644"/>
        <v/>
      </c>
      <c r="BB98" s="552" t="str">
        <f t="shared" si="645"/>
        <v/>
      </c>
      <c r="BC98" s="347" t="str">
        <f t="shared" si="646"/>
        <v/>
      </c>
      <c r="BD98" s="239" t="str">
        <f t="shared" si="839"/>
        <v/>
      </c>
      <c r="BE98" s="239" t="str">
        <f>IF(A98=FALSE,"",IF(ALLTHESAME=TRUE,IF(DF98&lt;&gt;$BC$7,0,INDEX(DD98:DZ98,1,MATCH(Structure!$D$12,$DD$14:$DZ$14,0))),IF(EC98&lt;&gt;$BC$7,0,INDEX(EA98:EZ98,1,MATCH(Structure!$D$12,$EA$14:$EZ$14,0)))))</f>
        <v/>
      </c>
      <c r="BF98" s="239" t="str">
        <f>IF(A98=FALSE,"",IF(ALLTHESAME=TRUE,IF(FC98&lt;&gt;$BC$7,0,INDEX(FA98:FZ98,1,MATCH(Structure!$D$12,$FA$14:$FZ$14,0))),IF(GC98&lt;&gt;$BC$7,0,INDEX(GA98:GZ98,1,MATCH(Structure!$D$12,$GA$14:$GZ$14,0)))))</f>
        <v/>
      </c>
      <c r="BG98" s="239" t="str">
        <f>IF(A98=FALSE,"",IF(ALLTHESAME=TRUE,IF(VC98&lt;&gt;$BC$7,0,INDEX(VA98:VZ98,1,MATCH(Structure!$D$12,$VA$14:$VZ$14,0))),IF(VC98&lt;&gt;$BC$7,0,INDEX(VA98:VZ98,1,MATCH(Structure!$D$12,$VA$14:$VZ$14,0)))))</f>
        <v/>
      </c>
      <c r="BH98" s="239" t="str">
        <f>IF(A98=FALSE,"",IF(ALLTHESAME=TRUE,IF(WC98&lt;&gt;$BC$7,0,INDEX(WA98:WY98,1,MATCH(Structure!$D$12,$WA$14:$WZ$14,0))),IF(WC98&lt;&gt;$BC$7,0,INDEX(WA98:WZ98,1,MATCH(Structure!$D$12,$WA$14:$WZ$14,0)))))</f>
        <v/>
      </c>
      <c r="BI98" s="763" t="str">
        <f>IF(A98=FALSE,"",IF(ALLTHESAME=TRUE,IF(HC98&lt;&gt;$BC$7,0,INDEX(HA98:HZ98,1,MATCH(Structure!$D$12,$HA$14:$HZ$14,0)))+TK98,IF(IC98&lt;&gt;$BC$7,0,INDEX(IA98:IZ98,1,MATCH(Structure!$D$12,$IA$14:$IZ$14,0)))+TK98))</f>
        <v/>
      </c>
      <c r="BJ98" s="239" t="str">
        <f>IF(A98=FALSE,"",IF(ALLTHESAME=TRUE,IF(JC98&lt;&gt;$BC$7,0,INDEX(JA98:JZ98,1,MATCH(Structure!$D$12,$JA$14:$JZ$14,0))),IF(KC98&lt;&gt;$BC$7,0,INDEX(KA98:KZ98,1,MATCH(Structure!$D$12,$KA$14:$KZ$14,0)))))</f>
        <v/>
      </c>
      <c r="BK98" s="763" t="str">
        <f>IF(A98=FALSE,"",IF(ALLTHESAME=TRUE,IF(LC98&lt;&gt;$BC$7,0,INDEX(LA98:LZ98,1,MATCH(Structure!$D$12,$LA$14:$LZ$14,0)))+UK98,IF(MC98&lt;&gt;$BC$7,0,INDEX(MA98:MZ98,1,MATCH(Structure!$D$12,$MA$14:$MZ$14,0)))+UK98))</f>
        <v/>
      </c>
      <c r="BL98" s="239" t="str">
        <f>IF(A98=FALSE,"",IF(ALLTHESAME=TRUE,IF(NC98&lt;&gt;$BC$7,0,INDEX(NA98:NZ98,1,MATCH(Structure!$D$12,$NA$14:$NZ$14,0))),IF(OC98&lt;&gt;$BC$7,0,INDEX(OA98:OZ98,1,MATCH(Structure!$D$12,$OA$14:$OZ$14,0)))))</f>
        <v/>
      </c>
      <c r="BM98" s="239" t="str">
        <f>IF(A98=FALSE,"",IF(ALLTHESAME=TRUE,IF(PC98&lt;&gt;$BC$7,0,INDEX(PA98:PZ98,1,MATCH(Structure!$D$12,$PA$14:$PZ$14,0))),IF(QC98&lt;&gt;$BC$7,0,INDEX(QA98:QZ98,1,MATCH(Structure!$D$12,$QA$14:$QZ$14,0)))))</f>
        <v/>
      </c>
      <c r="BN98" s="341" t="str">
        <f>IF(A98=FALSE,"",IF(ALLTHESAME=TRUE,IF(RC98&lt;&gt;$BC$7,0,INDEX(RA98:RZ98,1,MATCH(Structure!$D$12,$RA$14:$RZ$14,0))),IF(SC98&lt;&gt;$BC$7,0,INDEX(SA98:TA98,1,MATCH(Structure!$D$12,$SA$14:$TA$14,0)))))</f>
        <v/>
      </c>
      <c r="BO98" s="507" t="str">
        <f t="shared" si="647"/>
        <v/>
      </c>
      <c r="BP98" s="239" t="str">
        <f t="shared" si="648"/>
        <v/>
      </c>
      <c r="BQ98" s="239" t="str">
        <f>IF(A98=FALSE,"",IF(ALLTHESAME=TRUE,IF(DF98&lt;&gt;$BO$7,0,INDEX(DD98:DZ98,1,MATCH(Structure!$D$12,$DD$14:$DZ$14,0))),IF(EC98&lt;&gt;$BO$7,0,INDEX(EA98:EZ98,1,MATCH(Structure!$D$12,$EA$14:$EZ$14,0)))))</f>
        <v/>
      </c>
      <c r="BR98" s="239" t="str">
        <f>IF(A98=FALSE,"",IF(ALLTHESAME=TRUE,IF(FC98&lt;&gt;$BO$7,0,INDEX(FA98:FZ98,1,MATCH(Structure!$D$12,$FA$14:$FZ$14,0))),IF(GC98&lt;&gt;$BO$7,0,INDEX(GA98:GZ98,1,MATCH(Structure!$D$12,$GA$14:$GZ$14,0)))))</f>
        <v/>
      </c>
      <c r="BS98" s="239" t="str">
        <f>IF(A98=FALSE,"",IF(ALLTHESAME=TRUE,IF(HC98&lt;&gt;$BO$7,0,INDEX(HA98:HZ98,1,MATCH(Structure!$D$12,$HA$14:$HZ$14,0))),IF(IC98&lt;&gt;$BO$7,0,INDEX(IA98:IZ98,1,MATCH(Structure!$D$12,$IA$14:$IZ$14,0)))))</f>
        <v/>
      </c>
      <c r="BT98" s="239" t="str">
        <f>IF(A98=FALSE,"",IF(ALLTHESAME=TRUE,IF(JC98&lt;&gt;$BO$7,0,INDEX(JA98:JZ98,1,MATCH(Structure!$D$12,$JA$14:$JZ$14,0))),IF(KC98&lt;&gt;$BO$7,0,INDEX(KA98:KZ98,1,MATCH(Structure!$D$12,$KA$14:$KZ$14,0)))))</f>
        <v/>
      </c>
      <c r="BU98" s="239" t="str">
        <f>IF(A98=FALSE,"",IF(ALLTHESAME=TRUE,IF(LC98&lt;&gt;$BO$7,0,INDEX(LA98:LZ98,1,MATCH(Structure!$D$12,$LA$14:$LZ$14,0))),IF(MC98&lt;&gt;$BO$7,0,INDEX(MA98:MZ98,1,MATCH(Structure!$D$12,$MA$14:$MZ$14,0)))))</f>
        <v/>
      </c>
      <c r="BV98" s="239" t="str">
        <f>IF(A98=FALSE,"",IF(ALLTHESAME=TRUE,IF(NC98&lt;&gt;$BO$7,0,INDEX(NA98:NZ98,1,MATCH(Structure!$D$12,$NA$14:$NZ$14,0))),IF(OC98&lt;&gt;$BO$7,0,INDEX(OA98:OZ98,1,MATCH(Structure!$D$12,$OA$14:$OZ$14,0)))))</f>
        <v/>
      </c>
      <c r="BW98" s="239" t="str">
        <f>IF(A98=FALSE,"",IF(ALLTHESAME=TRUE,IF(PC98&lt;&gt;$BO$7,0,INDEX(PA98:PZ98,1,MATCH(Structure!$D$12,$PA$14:$PZ$14,0))),IF(QC98&lt;&gt;$BO$7,0,INDEX(QA98:QZ98,1,MATCH(Structure!$D$12,$QA$14:$QZ$14,0)))))</f>
        <v/>
      </c>
      <c r="BX98" s="341" t="str">
        <f>IF(A98=FALSE,"",IF(ALLTHESAME=TRUE,IF(RC98&lt;&gt;$BO$7,0,INDEX(RA98:RZ98,1,MATCH(Structure!$D$12,$RA$14:$RZ$14,0))),IF(SC98&lt;&gt;$BO$7,0,INDEX(SA98:TA98,1,MATCH(Structure!$D$12,$SA$14:$TA$14,0)))))</f>
        <v/>
      </c>
      <c r="BY98" s="347" t="str">
        <f t="shared" si="649"/>
        <v/>
      </c>
      <c r="BZ98" s="507" t="str">
        <f t="shared" si="650"/>
        <v/>
      </c>
      <c r="CA98" s="239" t="str">
        <f t="shared" si="651"/>
        <v/>
      </c>
      <c r="CB98" s="239" t="str">
        <f>IF(A98=FALSE,"",IF(ALLTHESAME=TRUE,INDEX(DD98:DZ98,MATCH(DF98,DF98:DF203,0),MATCH(Structure!$D$17,$DD$14:$DZ$14,0)),INDEX(EA98:EZ98,MATCH(EC98,EC98:EC203,0),MATCH(Structure!$D$17,$EA$14:$EZ$14,0))))</f>
        <v/>
      </c>
      <c r="CC98" s="239" t="str">
        <f>IF(A98=FALSE,"",IF(ALLTHESAME=TRUE,INDEX(FA98:FZ98,MATCH(FC98,FC98:FC203,0),MATCH(Structure!$D$17,$FA$14:$FZ$14,0)),INDEX(GA98:GZ98,MATCH(GC98,GC98:GC203,0),MATCH(Structure!$D$17,$GA$14:$GZ$14,0))))</f>
        <v/>
      </c>
      <c r="CD98" s="239" t="str">
        <f>IF(A98=FALSE,"",IF(ALLTHESAME=TRUE,INDEX(HA98:HZ98,MATCH(HC98,HC98:HC203,0),MATCH(Structure!$D$17,$HA$14:$HZ$14,0)),INDEX(IA98:IZ98,MATCH(IC98,IC98:IC203,0),MATCH(Structure!$D$17,$IA$14:$IZ$14,0))))</f>
        <v/>
      </c>
      <c r="CE98" s="239" t="str">
        <f>IF(A98=FALSE,"",IF(ALLTHESAME=TRUE,INDEX(JA98:JZ98,MATCH(JC98,JC98:JC203,0),MATCH(Structure!$D$17,$JA$14:$JZ$14,0)),INDEX(KA98:KZ98,MATCH(KC98,KC98:KC203,0),MATCH(Structure!$D$17,$KA$14:$KZ$14,0))))</f>
        <v/>
      </c>
      <c r="CF98" s="239" t="str">
        <f>IF(A98=FALSE,"",IF(ALLTHESAME=TRUE,INDEX(LA98:LZ98,MATCH(LC98,LC98:LC203,0),MATCH(Structure!$D$17,$LA$14:$LZ$14,0)),INDEX(MA98:MZ98,MATCH(MC98,MC98:MC203,0),MATCH(Structure!$D$17,$MA$14:$MZ$14,0))))</f>
        <v/>
      </c>
      <c r="CG98" s="239" t="str">
        <f>IF(A98=FALSE,"",IF(ALLTHESAME=TRUE,INDEX(NA98:NZ98,MATCH(NC98,NC98:NC203,0),MATCH(Structure!$D$17,$NA$14:$NZ$14,0)),INDEX(OA98:OZ98,MATCH(OC98,OC98:OC203,0),MATCH(Structure!$D$17,$OA$14:$OZ$14,0))))</f>
        <v/>
      </c>
      <c r="CH98" s="239" t="str">
        <f>IF(A98=FALSE,"",IF(ALLTHESAME=TRUE,INDEX(PA98:PZ98,MATCH(PC98,PC98:PC203,0),MATCH(Structure!$D$17,$PA$14:$PZ$14,0)),INDEX(QA98:QZ98,MATCH(QC98,QC98:QC203,0),MATCH(Structure!$D$17,$QA$14:$QZ$14,0))))</f>
        <v/>
      </c>
      <c r="CI98" s="341" t="str">
        <f>IF(A98=FALSE,"",IF(ALLTHESAME=TRUE,INDEX(RA98:RZ98,MATCH(RC98,RC98:RC203,0),MATCH(Structure!$D$17,$RA$14:$RZ$14,0)),INDEX(SA98:TC98,MATCH(SC98,SC98:SC203,0),MATCH(Structure!$D$17,$SA$14:$TC$14,0))))</f>
        <v/>
      </c>
      <c r="CJ98" s="347"/>
      <c r="CK98" s="239" t="str">
        <f t="shared" si="652"/>
        <v/>
      </c>
      <c r="CL98" s="239" t="str">
        <f>IF(A98=FALSE,"",IF(ALLTHESAME=TRUE,INDEX(DD98:DZ98,MATCH(DF98,DF98:DF203,0),MATCH(Structure!$D$22,$DD$14:$DZ$14,0)),INDEX(EA98:EZ98,MATCH(EC98,EC98:EC203,0),MATCH(Structure!$D$22,$EA$14:$EZ$14,0))))</f>
        <v/>
      </c>
      <c r="CM98" s="239" t="str">
        <f>IF(A98=FALSE,"",IF(ALLTHESAME=TRUE,INDEX(FA98:FZ98,MATCH(FC98,FC98:FC203,0),MATCH(Structure!$D$22,$FA$14:$FZ$14,0)),INDEX(GA98:GZ98,MATCH(GC98,GC98:GC203,0),MATCH(Structure!$D$22,$GA$14:$GZ$14,0))))</f>
        <v/>
      </c>
      <c r="CN98" s="239" t="str">
        <f>IF(A98=FALSE,"",IF(ALLTHESAME=TRUE,INDEX(HA98:HZ98,MATCH(HC98,HC98:HC203,0),MATCH(Structure!$D$22,$HA$14:$HZ$14,0)),INDEX(IA98:IZ98,MATCH(IC98,IC98:IC203,0),MATCH(Structure!$D$22,$IA$14:$IZ$14,0))))</f>
        <v/>
      </c>
      <c r="CO98" s="239" t="str">
        <f>IF(A98=FALSE,"",IF(ALLTHESAME=TRUE,INDEX(JA98:JZ98,MATCH(JC98,JC98:JC203,0),MATCH(Structure!$D$22,$JA$14:$JZ$14,0)),INDEX(KA98:KZ98,MATCH(KC98,KC98:KC203,0),MATCH(Structure!$D$22,$KA$14:$KZ$14,0))))</f>
        <v/>
      </c>
      <c r="CP98" s="239" t="str">
        <f>IF(A98=FALSE,"",IF(ALLTHESAME=TRUE,INDEX(LA98:LZ98,MATCH(LC98,LC98:LC203,0),MATCH(Structure!$D$22,$LA$14:$LZ$14,0)),INDEX(MA98:MZ98,MATCH(MC98,MC98:MC203,0),MATCH(Structure!$D$22,$MA$14:$MZ$14,0))))</f>
        <v/>
      </c>
      <c r="CQ98" s="239" t="str">
        <f>IF(A98=FALSE,"",IF(ALLTHESAME=TRUE,INDEX(NA98:NZ98,MATCH(NC98,NC98:NC203,0),MATCH(Structure!$D$22,$NA$14:$NZ$14,0)),INDEX(OA98:OZ98,MATCH(OC98,OC98:OC203,0),MATCH(Structure!$D$22,$OA$14:$OZ$14,0))))</f>
        <v/>
      </c>
      <c r="CR98" s="239" t="str">
        <f>IF(A98=FALSE,"",IF(ALLTHESAME=TRUE,INDEX(PA98:PZ98,MATCH(PC98,PC98:PC203,0),MATCH(Structure!$D$22,$PA$14:$PZ$14,0)),INDEX(QA98:QZ98,MATCH(QC98,QC98:QC203,0),MATCH(Structure!$D$22,$QA$14:$QZ$14,0))))</f>
        <v/>
      </c>
      <c r="CS98" s="341" t="str">
        <f>IF(A98=FALSE,"",IF(ALLTHESAME=TRUE,INDEX(RA98:RZ98,MATCH(RC98,RC98:RC203,0),MATCH(Structure!$D$22,$RA$14:$RZ$14,0)),INDEX(SA98:TC98,MATCH(SC98,SC98:SC203,0),MATCH(Structure!$D$22,$SA$14:$TC$14,0))))</f>
        <v/>
      </c>
      <c r="CT98" s="347"/>
      <c r="CU98" s="239" t="str">
        <f t="shared" si="653"/>
        <v/>
      </c>
      <c r="CV98" s="239" t="str">
        <f>IF(A98=FALSE,"",IF(ALLTHESAME=TRUE,INDEX(DD98:DZ98,MATCH(DF98,DF98:DF203,0),MATCH(Structure!$D$8,$DD$14:$DZ$14,0)),INDEX(EA98:EZ98,MATCH(EC98,EC98:EC203,0),MATCH(Structure!$D$8,$EA$14:$EZ$14,0))))</f>
        <v/>
      </c>
      <c r="CW98" s="239" t="str">
        <f>IF(A98=FALSE,"",IF(ALLTHESAME=TRUE,INDEX(FA98:FZ98,MATCH(FC98,FC98:FC203,0),MATCH(Structure!$D$8,$FA$14:$FZ$14,0)),INDEX(GA98:GZ98,MATCH(GC98,GC98:GC203,0),MATCH(Structure!$D$8,$GA$14:$GZ$14,0))))</f>
        <v/>
      </c>
      <c r="CX98" s="239" t="str">
        <f>IF(A98=FALSE,"",IF(ALLTHESAME=TRUE,INDEX(HA98:HZ98,MATCH(HC98,HC98:HC203,0),MATCH(Structure!$D$8,$HA$14:$HZ$14,0)),INDEX(IA98:IZ98,MATCH(IC98,IC98:IC203,0),MATCH(Structure!$D$8,$IA$14:$IZ$14,0))))</f>
        <v/>
      </c>
      <c r="CY98" s="239" t="str">
        <f>IF(A98=FALSE,"",IF(ALLTHESAME=TRUE,INDEX(JA98:JZ98,MATCH(JC98,JC98:JC203,0),MATCH(Structure!$D$8,$JA$14:$JZ$14,0)),INDEX(KA98:KZ98,MATCH(KC98,KC98:KC203,0),MATCH(Structure!$D$8,$KA$14:$KZ$14,0))))</f>
        <v/>
      </c>
      <c r="CZ98" s="239" t="str">
        <f>IF(A98=FALSE,"",IF(ALLTHESAME=TRUE,INDEX(LA98:LZ98,MATCH(LC98,LC98:LC203,0),MATCH(Structure!$D$8,$LA$14:$LZ$14,0)),INDEX(MA98:MZ98,MATCH(MC98,MC98:MC203,0),MATCH(Structure!$D$8,$MA$14:$MZ$14,0))))</f>
        <v/>
      </c>
      <c r="DA98" s="239" t="str">
        <f>IF(A98=FALSE,"",IF(ALLTHESAME=TRUE,INDEX(NA98:NZ98,MATCH(NC98,NC98:NC203,0),MATCH(Structure!$D$8,$NA$14:$NZ$14,0)),INDEX(OA98:OZ98,MATCH(OC98,OC98:OC203,0),MATCH(Structure!$D$8,$OA$14:$OZ$14,0))))</f>
        <v/>
      </c>
      <c r="DB98" s="239" t="str">
        <f>IF(A98=FALSE,"",IF(ALLTHESAME=TRUE,INDEX(PA98:PZ98,MATCH(PC98,PC98:PC203,0),MATCH(Structure!$D$8,$PA$14:$PZ$14,0)),INDEX(QA98:QZ98,MATCH(QC98,QC98:QC203,0),MATCH(Structure!$D$8,$QA$14:$QZ$14,0))))</f>
        <v/>
      </c>
      <c r="DC98" s="341" t="str">
        <f>IF(A98=FALSE,"",IF(ALLTHESAME=TRUE,INDEX(RA98:RZ98,MATCH(RC98,RC98:RC203,0),MATCH(Structure!$D$8,$RA$14:$RZ$14,0)),INDEX(SA98:TC98,MATCH(SC98,SC98:SC203,0),MATCH(Structure!$D$8,$SA$14:$TC$14,0))))</f>
        <v/>
      </c>
      <c r="DD98" s="492" t="str">
        <f>IF(A98=FALSE,"",Cotations!D98)</f>
        <v/>
      </c>
      <c r="DE98" s="492" t="str">
        <f>IF(A98=FALSE,"",IF(LISTES!$A$17=1,Cotations!AF98,Cotations!$AG$4))</f>
        <v/>
      </c>
      <c r="DF98" s="291" t="str">
        <f t="shared" si="654"/>
        <v/>
      </c>
      <c r="DG98" s="291" t="str">
        <f t="shared" si="655"/>
        <v/>
      </c>
      <c r="DH98" s="291"/>
      <c r="DI98" s="463"/>
      <c r="DJ98" s="463" t="str">
        <f t="shared" si="656"/>
        <v/>
      </c>
      <c r="DK98" s="522" t="str">
        <f>IF(A98=FALSE,"",IF(Cotations!$AH$4="monthly",DJ98/12*L98,DJ98/365*M98))</f>
        <v/>
      </c>
      <c r="DL98" s="489" t="str">
        <f>IF(A98=FALSE,"",Cotations!$AI$4)</f>
        <v/>
      </c>
      <c r="DM98" s="300" t="str">
        <f t="shared" si="657"/>
        <v/>
      </c>
      <c r="DN98" s="300" t="str">
        <f t="shared" si="658"/>
        <v/>
      </c>
      <c r="DO98" s="294" t="str">
        <f t="shared" si="659"/>
        <v/>
      </c>
      <c r="DP98" s="494" t="str">
        <f>IF(A98=FALSE,"",Cotations!$AJ$4)</f>
        <v/>
      </c>
      <c r="DQ98" s="494" t="str">
        <f>IF(A98=FALSE,"",Cotations!$AK$4)</f>
        <v/>
      </c>
      <c r="DR98" s="489" t="str">
        <f>IF(A98=FALSE,"",Cotations!$AL$4)</f>
        <v/>
      </c>
      <c r="DS98" s="494" t="str">
        <f>IF(A98=FALSE,"",IF(DP98="N/A",0,IF(INDEX(LISTES!$F$105:$F$109,MATCH(DP98,LISTES!$C$105:$C$109,0))="FIX",IF(INDEX(LISTES!$E$105:$E$109,MATCH(DP98,LISTES!$C$105:$C$109,0))=12,DQ98/12*L98,DQ98/365*M98),DR98*DO98)))</f>
        <v/>
      </c>
      <c r="DT98" s="294" t="str">
        <f t="shared" si="660"/>
        <v/>
      </c>
      <c r="DU98" s="294" t="str">
        <f>IF(A98=FALSE,"",DT98*Cotations!$AM$4)</f>
        <v/>
      </c>
      <c r="DV98" s="294" t="str">
        <f>IF(A98=FALSE,"",DT98*Cotations!$AN$4)</f>
        <v/>
      </c>
      <c r="DW98" s="465" t="str">
        <f t="shared" si="661"/>
        <v/>
      </c>
      <c r="DX98" s="919" t="str">
        <f>IF(A98=FALSE,"",((DJ98*TAXE)-(DJ98*TAXE*DL98))+IF(DP98="N/A",0,IF(INDEX(LISTES!$F$105:$F$109,MATCH(DP98,LISTES!$C$105:$C$109,0))="FIX",DQ98,DR98*DO98)))</f>
        <v/>
      </c>
      <c r="DY98" s="466"/>
      <c r="DZ98" s="466"/>
      <c r="EA98" s="492" t="str">
        <f>IF(A98=FALSE,"",Cotations!D98)</f>
        <v/>
      </c>
      <c r="EB98" s="494" t="str">
        <f>IF(A98=FALSE,"",IF(LISTES!$A$17=1,Cotations!AF98,Cotations!AG98))</f>
        <v/>
      </c>
      <c r="EC98" s="284" t="str">
        <f t="shared" si="662"/>
        <v/>
      </c>
      <c r="ED98" s="284" t="str">
        <f t="shared" si="663"/>
        <v/>
      </c>
      <c r="EE98" s="284"/>
      <c r="EF98" s="284"/>
      <c r="EG98" s="284" t="str">
        <f t="shared" si="664"/>
        <v/>
      </c>
      <c r="EH98" s="1365" t="str">
        <f t="shared" si="665"/>
        <v/>
      </c>
      <c r="EI98" s="1365" t="str">
        <f t="shared" si="666"/>
        <v/>
      </c>
      <c r="EJ98" s="515" t="str">
        <f>IF(A98=FALSE,"",IF(Cotations!AH98="monthly",EG98/12*L98,EG98/365*M98))</f>
        <v/>
      </c>
      <c r="EK98" s="1364" t="str">
        <f>IF(A98=FALSE,"",IF(Cotations!AH98="monthly",EI98/12*L98,EI98/365*M98))</f>
        <v/>
      </c>
      <c r="EL98" s="493" t="str">
        <f>IF(A98=FALSE,"",IF(Cotations!AI98="","",Cotations!AI98))</f>
        <v/>
      </c>
      <c r="EM98" s="284" t="str">
        <f t="shared" si="667"/>
        <v/>
      </c>
      <c r="EN98" s="284" t="str">
        <f t="shared" si="668"/>
        <v/>
      </c>
      <c r="EO98" s="1365" t="str">
        <f t="shared" si="840"/>
        <v/>
      </c>
      <c r="EP98" s="284" t="str">
        <f t="shared" si="669"/>
        <v/>
      </c>
      <c r="EQ98" s="515" t="str">
        <f>IF(A98=FALSE,"",Cotations!AJ98)</f>
        <v/>
      </c>
      <c r="ER98" s="515" t="str">
        <f>IF(A98=FALSE,"",IF(Cotations!AK98="","",Cotations!AK98))</f>
        <v/>
      </c>
      <c r="ES98" s="493" t="str">
        <f>IF(A98=FALSE,"",Cotations!AL98)</f>
        <v/>
      </c>
      <c r="ET98" s="515" t="str">
        <f>IF(A98=FALSE,"",IF(EQ98="N/A",0,IF(INDEX(LISTES!$F$105:$F$109,MATCH(EQ98,LISTES!$C$105:$C$109,0))="FIX",IF(INDEX(LISTES!$E$105:$E$109,MATCH(EQ98,LISTES!$C$105:$C$109,0))=12,ER98/12*L98,ER98/365*M98),ES98*EP98)))</f>
        <v/>
      </c>
      <c r="EU98" s="294" t="str">
        <f t="shared" si="670"/>
        <v/>
      </c>
      <c r="EV98" s="494" t="str">
        <f>IF(A98=FALSE,"",EU98*Cotations!AM98)</f>
        <v/>
      </c>
      <c r="EW98" s="494" t="str">
        <f>IF(A98=FALSE,"",EU98*Cotations!AN98)</f>
        <v/>
      </c>
      <c r="EX98" s="334" t="str">
        <f t="shared" si="671"/>
        <v/>
      </c>
      <c r="EY98" s="919" t="str">
        <f>IF(A98=FALSE,"",((EG98*TAXE)-(EG98*TAXE*EL98)+EH98)+IF(EQ98="N/A",0,IF(INDEX(LISTES!$F$105:$F$109,MATCH(EQ98,LISTES!$C$105:$C$109,0))="FIX",ER98,ES98*EP98)))</f>
        <v/>
      </c>
      <c r="FA98" s="492" t="str">
        <f>IF(A98=FALSE,"",Cotations!D98)</f>
        <v/>
      </c>
      <c r="FB98" s="519" t="str">
        <f>IF(A98=FALSE,"",IF(LISTES!$A$17=1,Cotations!AO98,Cotations!$AP$4))</f>
        <v/>
      </c>
      <c r="FC98" s="291" t="str">
        <f t="shared" si="672"/>
        <v/>
      </c>
      <c r="FD98" s="291" t="str">
        <f t="shared" si="673"/>
        <v/>
      </c>
      <c r="FE98" s="291"/>
      <c r="FF98" s="463"/>
      <c r="FG98" s="463" t="str">
        <f t="shared" si="674"/>
        <v/>
      </c>
      <c r="FH98" s="522" t="str">
        <f>IF(A98=FALSE,"",IF(Cotations!$AQ$4="monthly",FG98/12*L98,FG98/365*M98))</f>
        <v/>
      </c>
      <c r="FI98" s="453" t="str">
        <f>IF(A98=FALSE,"",Cotations!$AR$4)</f>
        <v/>
      </c>
      <c r="FJ98" s="300" t="str">
        <f t="shared" si="675"/>
        <v/>
      </c>
      <c r="FK98" s="300" t="str">
        <f t="shared" si="676"/>
        <v/>
      </c>
      <c r="FL98" s="294" t="str">
        <f t="shared" si="677"/>
        <v/>
      </c>
      <c r="FM98" s="494" t="str">
        <f>IF(A98=FALSE,"",Cotations!$AS$4)</f>
        <v/>
      </c>
      <c r="FN98" s="494" t="str">
        <f>IF(A98=FALSE,"",Cotations!$AT$4)</f>
        <v/>
      </c>
      <c r="FO98" s="489" t="str">
        <f>IF(A98=FALSE,"",Cotations!$AU$4)</f>
        <v/>
      </c>
      <c r="FP98" s="494" t="str">
        <f>IF(A98=FALSE,"",IF(FM98="N/A",0,IF(INDEX(LISTES!$F$105:$F$109,MATCH(FM98,LISTES!$C$105:$C$109,0))="FIX",IF(INDEX(LISTES!$E$105:$E$109,MATCH(FM98,LISTES!$C$105:$C$109,0))=12,FN98/12*L98,FN98/365*M98),FO98*FL98)))</f>
        <v/>
      </c>
      <c r="FQ98" s="294" t="str">
        <f t="shared" si="678"/>
        <v/>
      </c>
      <c r="FR98" s="494" t="str">
        <f>IF(A98=FALSE,"",FQ98*Cotations!$AV$4)</f>
        <v/>
      </c>
      <c r="FS98" s="494" t="str">
        <f>IF(A98=FALSE,"",FQ98*Cotations!$AW$4)</f>
        <v/>
      </c>
      <c r="FT98" s="465" t="str">
        <f t="shared" si="679"/>
        <v/>
      </c>
      <c r="FU98" s="919" t="str">
        <f>IF(A98=FALSE,"",((FG98*TAXE)-(FG98*TAXE*FI98))+IF(FM98="N/A",0,IF(INDEX(LISTES!$F$105:$F$109,MATCH(FM98,LISTES!$C$105:$C$109,0))="FIX",FN98,FO98*FL98)))</f>
        <v/>
      </c>
      <c r="FV98" s="478"/>
      <c r="FW98" s="478"/>
      <c r="FX98" s="478"/>
      <c r="FY98" s="478"/>
      <c r="FZ98" s="478"/>
      <c r="GA98" s="492" t="str">
        <f>IF(A98=FALSE,"",Cotations!D98)</f>
        <v/>
      </c>
      <c r="GB98" s="494" t="str">
        <f>IF(A98=FALSE,"",IF(LISTES!$A$17=1,Cotations!AO98,Cotations!AP98))</f>
        <v/>
      </c>
      <c r="GC98" s="284" t="str">
        <f t="shared" si="680"/>
        <v/>
      </c>
      <c r="GD98" s="515" t="str">
        <f>IF(A98=FALSE,"",IF(Detail!AM98="","",Detail!AM98))</f>
        <v/>
      </c>
      <c r="GE98" s="284"/>
      <c r="GF98" s="284"/>
      <c r="GG98" s="284" t="str">
        <f t="shared" si="681"/>
        <v/>
      </c>
      <c r="GH98" s="515" t="str">
        <f>IF(A98=FALSE,"",IF(Cotations!AQ98="monthly",GG98/12*L98,GG98/365*M98))</f>
        <v/>
      </c>
      <c r="GI98" s="493" t="str">
        <f>IF(A98=FALSE,"",IF(Cotations!AR98="","",Cotations!AR98))</f>
        <v/>
      </c>
      <c r="GJ98" s="284" t="str">
        <f t="shared" si="682"/>
        <v/>
      </c>
      <c r="GK98" s="284" t="str">
        <f t="shared" si="683"/>
        <v/>
      </c>
      <c r="GL98" s="284" t="str">
        <f t="shared" si="684"/>
        <v/>
      </c>
      <c r="GM98" s="515" t="str">
        <f>IF(A98=FALSE,"",Cotations!AS98)</f>
        <v/>
      </c>
      <c r="GN98" s="515" t="str">
        <f>IF(A98=FALSE,"",Cotations!AT98)</f>
        <v/>
      </c>
      <c r="GO98" s="493" t="str">
        <f>IF(A98=FALSE,"",Cotations!AU98)</f>
        <v/>
      </c>
      <c r="GP98" s="515" t="str">
        <f>IF(A98=FALSE,"",IF(GM98="N/A",0,IF(INDEX(LISTES!$F$105:$F$109,MATCH(GM98,LISTES!$C$105:$C$109,0))="FIX",IF(INDEX(LISTES!$E$105:$E$109,MATCH(GM98,LISTES!$C$105:$C$109,0))=12,GN98/12*L98,GN98/365*M98),GO98*GL98)))</f>
        <v/>
      </c>
      <c r="GQ98" s="294" t="str">
        <f t="shared" si="685"/>
        <v/>
      </c>
      <c r="GR98" s="494" t="str">
        <f>IF(A98=FALSE,"",GQ98*Cotations!AV98)</f>
        <v/>
      </c>
      <c r="GS98" s="494" t="str">
        <f>IF(A98=FALSE,"",GQ98*Cotations!AW98)</f>
        <v/>
      </c>
      <c r="GT98" s="334" t="str">
        <f t="shared" si="686"/>
        <v/>
      </c>
      <c r="GU98" s="919" t="str">
        <f>IF(A98=FALSE,"",((GG98*TAXE)-(GG98*TAXE*GI98))+IF(GM98="N/A",0,IF(INDEX(LISTES!$F$105:$F$109,MATCH(GM98,LISTES!$C$105:$C$109,0))="FIX",GN98,GO98*GL98)))</f>
        <v/>
      </c>
      <c r="GV98" s="478"/>
      <c r="GW98" s="466"/>
      <c r="GX98" s="466"/>
      <c r="GY98" s="466"/>
      <c r="GZ98" s="466"/>
      <c r="HA98" s="492" t="str">
        <f>IF(A98=FALSE,"",Cotations!D98)</f>
        <v/>
      </c>
      <c r="HB98" s="495" t="str">
        <f>IF(A98=FALSE,"",IF(LISTES!$A$17=1,Cotations!AX98,Cotations!$AY$4))</f>
        <v/>
      </c>
      <c r="HC98" s="291" t="str">
        <f t="shared" si="687"/>
        <v/>
      </c>
      <c r="HD98" s="291" t="str">
        <f t="shared" si="688"/>
        <v/>
      </c>
      <c r="HE98" s="456" t="str">
        <f t="shared" si="689"/>
        <v/>
      </c>
      <c r="HF98" s="496" t="str">
        <f>IF(A98=FALSE,"",IF(HA98="POEA",Cotations!BA98,IF(HA98="FIXE",Cotations!$BA$4,Cotations!$BC$4*Y98)))</f>
        <v/>
      </c>
      <c r="HG98" s="300" t="str">
        <f t="shared" si="690"/>
        <v/>
      </c>
      <c r="HH98" s="522" t="str">
        <f>IF(A98=FALSE,"",IF(Cotations!$AZ$4="monthly",HG98/12*L98,HG98/365*M98))</f>
        <v/>
      </c>
      <c r="HI98" s="489" t="str">
        <f>IF(A98=FALSE,"",Cotations!$BD$4)</f>
        <v/>
      </c>
      <c r="HJ98" s="300" t="str">
        <f t="shared" si="691"/>
        <v/>
      </c>
      <c r="HK98" s="300" t="str">
        <f t="shared" si="692"/>
        <v/>
      </c>
      <c r="HL98" s="294" t="str">
        <f t="shared" si="693"/>
        <v/>
      </c>
      <c r="HM98" s="494" t="str">
        <f>IF(A98=FALSE,"",Cotations!$BE$4)</f>
        <v/>
      </c>
      <c r="HN98" s="522" t="str">
        <f>IF(A98=FALSE,"",Cotations!$BF$4)</f>
        <v/>
      </c>
      <c r="HO98" s="489" t="str">
        <f>IF(A98=FALSE,"",Cotations!$BG$4)</f>
        <v/>
      </c>
      <c r="HP98" s="494" t="str">
        <f>IF(A98=FALSE,"",IF(HM98="N/A",0,IF(INDEX(LISTES!$F$105:$F$109,MATCH(HM98,LISTES!$C$105:$C$109,0))="FIX",IF(INDEX(LISTES!$E$105:$E$109,MATCH(HM98,LISTES!$C$105:$C$109,0))=12,HN98/12*L98,HN98/365*M98),HO98*HL98)))</f>
        <v/>
      </c>
      <c r="HQ98" s="294" t="str">
        <f t="shared" si="694"/>
        <v/>
      </c>
      <c r="HR98" s="494" t="str">
        <f>IF(A98=FALSE,"",HQ98*Cotations!$BH$4)</f>
        <v/>
      </c>
      <c r="HS98" s="494" t="str">
        <f>IF(A98=FALSE,"",HQ98*Cotations!$BI$4)</f>
        <v/>
      </c>
      <c r="HT98" s="294" t="str">
        <f t="shared" si="695"/>
        <v/>
      </c>
      <c r="HU98" s="919" t="str">
        <f>IF(A98=FALSE,"",((HG98*TAXE)-(HG98*TAXE*HI98))+IF(HM98="N/A",0,IF(INDEX(LISTES!$F$105:$F$109,MATCH(HM98,LISTES!$C$105:$C$109,0))="FIX",HN98,HO98*HL98)))</f>
        <v/>
      </c>
      <c r="IA98" s="492" t="str">
        <f>IF(A98=FALSE,"",Cotations!D98)</f>
        <v/>
      </c>
      <c r="IB98" s="491" t="str">
        <f>IF(A98=FALSE,"",IF(LISTES!$A$17=1,Cotations!AX98,Cotations!AY98))</f>
        <v/>
      </c>
      <c r="IC98" s="285" t="str">
        <f t="shared" si="696"/>
        <v/>
      </c>
      <c r="ID98" s="300" t="str">
        <f>IF(A98=FALSE,"",IF(LISTES!$A$17=3,Detail!AU98,lig1_Formula_PREVOY))</f>
        <v/>
      </c>
      <c r="IE98" s="461" t="str">
        <f t="shared" si="697"/>
        <v/>
      </c>
      <c r="IF98" s="490" t="str">
        <f>IF(A98=FALSE,"",IF(IA98="POEA",Cotations!BA98,IF(HA98="FIXE",Cotations!BB98,IF(Cotations!BC98*Y98&lt;50000,Z98,Cotations!BC98*Y98))))</f>
        <v/>
      </c>
      <c r="IG98" s="300" t="str">
        <f t="shared" si="698"/>
        <v/>
      </c>
      <c r="IH98" s="522" t="str">
        <f>IF(A98=FALSE,"",IF(Cotations!AZ98="monthly",IG98/12*L98,IG98/365*M98))</f>
        <v/>
      </c>
      <c r="II98" s="489" t="str">
        <f>IF(A98=FALSE,"",IF(Cotations!BD98="","",Cotations!BD98))</f>
        <v/>
      </c>
      <c r="IJ98" s="300" t="str">
        <f t="shared" si="699"/>
        <v/>
      </c>
      <c r="IK98" s="300" t="str">
        <f t="shared" si="700"/>
        <v/>
      </c>
      <c r="IL98" s="919" t="str">
        <f t="shared" si="701"/>
        <v/>
      </c>
      <c r="IM98" s="517" t="str">
        <f>IF(A98=FALSE,"",Cotations!BE98)</f>
        <v/>
      </c>
      <c r="IN98" s="517" t="str">
        <f>IF(A98=FALSE,"",Cotations!BF98)</f>
        <v/>
      </c>
      <c r="IO98" s="493" t="str">
        <f>IF(A98=FALSE,"",Cotations!BG98)</f>
        <v/>
      </c>
      <c r="IP98" s="517" t="str">
        <f>IF(A98=FALSE,"",IF(IM98="N/A",0,IF(INDEX(LISTES!$F$105:$F$109,MATCH(IM98,LISTES!$C$105:$C$109,0))="FIX",IF(INDEX(LISTES!$E$105:$E$109,MATCH(IM98,LISTES!$C$105:$C$109,0))=12,IN98/12*L98,IN98/365*M98),IO98*IL98)))</f>
        <v/>
      </c>
      <c r="IQ98" s="294" t="str">
        <f t="shared" si="702"/>
        <v/>
      </c>
      <c r="IR98" s="494" t="str">
        <f>IF(A98=FALSE,"",IQ98*Cotations!BH98)</f>
        <v/>
      </c>
      <c r="IS98" s="494" t="str">
        <f>IF(A98=FALSE,"",IQ98*Cotations!BI98)</f>
        <v/>
      </c>
      <c r="IT98" s="338" t="str">
        <f t="shared" si="703"/>
        <v/>
      </c>
      <c r="IU98" s="919" t="str">
        <f>IF(A98=FALSE,"",((IG98*TAXE)-(IG98*TAXE*II98))+IF(IM98="N/A",0,IF(INDEX(LISTES!$F$105:$F$109,MATCH(IM98,LISTES!$C$105:$C$109,0))="FIX",IN98,IO98*IL98)))</f>
        <v/>
      </c>
      <c r="JA98" s="492" t="str">
        <f>IF(A98=FALSE,"",Cotations!D98)</f>
        <v/>
      </c>
      <c r="JB98" s="495" t="str">
        <f>IF(A98=FALSE,"",IF(LISTES!$A$17=1,Cotations!BJ98,Cotations!$BK$4))</f>
        <v/>
      </c>
      <c r="JC98" s="291" t="str">
        <f t="shared" si="704"/>
        <v/>
      </c>
      <c r="JD98" s="291" t="str">
        <f t="shared" si="705"/>
        <v/>
      </c>
      <c r="JE98" s="456" t="str">
        <f t="shared" si="706"/>
        <v/>
      </c>
      <c r="JF98" s="496" t="str">
        <f>IF(A98=FALSE,"",IF(JA98="POEA",Cotations!BM98,IF(JA98="FIXE",Cotations!$BM$4,Cotations!$BO$4*Y98)))</f>
        <v/>
      </c>
      <c r="JG98" s="300" t="str">
        <f t="shared" si="707"/>
        <v/>
      </c>
      <c r="JH98" s="522" t="str">
        <f>IF(A98=FALSE,"",IF(Cotations!$BL$4="monthly",JG98/12*L98,JG98/365*M98))</f>
        <v/>
      </c>
      <c r="JI98" s="489" t="str">
        <f>IF(A98=FALSE,"",Cotations!$BP$4)</f>
        <v/>
      </c>
      <c r="JJ98" s="300" t="str">
        <f t="shared" si="708"/>
        <v/>
      </c>
      <c r="JK98" s="300" t="str">
        <f t="shared" si="709"/>
        <v/>
      </c>
      <c r="JL98" s="294" t="str">
        <f t="shared" si="710"/>
        <v/>
      </c>
      <c r="JM98" s="494" t="str">
        <f>IF(A98=FALSE,"",Cotations!$BQ$4)</f>
        <v/>
      </c>
      <c r="JN98" s="522" t="str">
        <f>IF(A98=FALSE,"",Cotations!$BR$4)</f>
        <v/>
      </c>
      <c r="JO98" s="489" t="str">
        <f>IF(A98=FALSE,"",Cotations!$BS$4)</f>
        <v/>
      </c>
      <c r="JP98" s="494" t="str">
        <f>IF(A98=FALSE,"",IF(JM98="N/A",0,IF(INDEX(LISTES!$F$105:$F$109,MATCH(JM98,LISTES!$C$105:$C$109,0))="FIX",IF(INDEX(LISTES!$E$105:$E$109,MATCH(JM98,LISTES!$C$105:$C$109,0))=12,JN98/12*L98,JN98/365*M98),JO98*JL98)))</f>
        <v/>
      </c>
      <c r="JQ98" s="294" t="str">
        <f t="shared" si="711"/>
        <v/>
      </c>
      <c r="JR98" s="494" t="str">
        <f>IF(A98=FALSE,"",JQ98*Cotations!$BT$4)</f>
        <v/>
      </c>
      <c r="JS98" s="494" t="str">
        <f>IF(A98=FALSE,"",JQ98*Cotations!$BU$4)</f>
        <v/>
      </c>
      <c r="JT98" s="294" t="str">
        <f t="shared" si="712"/>
        <v/>
      </c>
      <c r="JU98" s="919" t="str">
        <f>IF(A98=FALSE,"",((JG98*TAXE)-(JG98*TAXE*JI98))+IF(JM98="N/A",0,IF(INDEX(LISTES!$F$105:$F$109,MATCH(JM98,LISTES!$C$105:$C$109,0))="FIX",JN98,JO98*JL98)))</f>
        <v/>
      </c>
      <c r="KA98" s="492" t="str">
        <f>IF(A98=FALSE,"",Cotations!D98)</f>
        <v/>
      </c>
      <c r="KB98" s="491" t="str">
        <f>IF(A98=FALSE,"",IF(LISTES!$A$17=1,Cotations!BJ98,Cotations!BK98))</f>
        <v/>
      </c>
      <c r="KC98" s="285" t="str">
        <f t="shared" si="713"/>
        <v/>
      </c>
      <c r="KD98" s="300"/>
      <c r="KE98" s="461" t="str">
        <f t="shared" si="714"/>
        <v/>
      </c>
      <c r="KF98" s="490" t="str">
        <f>IF(A98=FALSE,"",IF(KA98="POEA",Cotations!BM98,IF(KA98="FIXE",Cotations!BN98,IF(Cotations!BO98*Y98&lt;50000,Z98,Cotations!BO98*Y98))))</f>
        <v/>
      </c>
      <c r="KG98" s="300" t="str">
        <f t="shared" si="715"/>
        <v/>
      </c>
      <c r="KH98" s="522" t="str">
        <f>IF(A98=FALSE,"",IF(Cotations!BL98="monthly",KG98/12*L98,KG98/365*M98))</f>
        <v/>
      </c>
      <c r="KI98" s="489" t="str">
        <f>IF(A98=FALSE,"",IF(Cotations!BP98="","",Cotations!BP98))</f>
        <v/>
      </c>
      <c r="KJ98" s="300" t="str">
        <f t="shared" si="716"/>
        <v/>
      </c>
      <c r="KK98" s="300" t="str">
        <f t="shared" si="717"/>
        <v/>
      </c>
      <c r="KL98" s="919" t="str">
        <f t="shared" si="718"/>
        <v/>
      </c>
      <c r="KM98" s="517" t="str">
        <f>IF(A98=FALSE,"",Cotations!BQ98)</f>
        <v/>
      </c>
      <c r="KN98" s="515" t="str">
        <f>IF(A98=FALSE,"",Cotations!BR98)</f>
        <v/>
      </c>
      <c r="KO98" s="493" t="str">
        <f>IF(A98=FALSE,"",Cotations!BS98)</f>
        <v/>
      </c>
      <c r="KP98" s="517" t="str">
        <f>IF(A98=FALSE,"",IF(KM98="N/A",0,IF(INDEX(LISTES!$F$105:$F$109,MATCH(KM98,LISTES!$C$105:$C$109,0))="FIX",IF(INDEX(LISTES!$E$105:$E$109,MATCH(KM98,LISTES!$C$105:$C$109,0))=12,KN98/12*L98,KN98/365*M98),KO98*KL98)))</f>
        <v/>
      </c>
      <c r="KQ98" s="294" t="str">
        <f t="shared" si="719"/>
        <v/>
      </c>
      <c r="KR98" s="494" t="str">
        <f>IF(A98=FALSE,"",KQ98*Cotations!BT98)</f>
        <v/>
      </c>
      <c r="KS98" s="494" t="str">
        <f>IF(A98=FALSE,"",KQ98*Cotations!BU98)</f>
        <v/>
      </c>
      <c r="KT98" s="338" t="str">
        <f t="shared" si="720"/>
        <v/>
      </c>
      <c r="KU98" s="919" t="str">
        <f>IF(A98=FALSE,"",((KG98*TAXE)-(KG98*TAXE*KI98))+IF(KM98="N/A",0,IF(INDEX(LISTES!$F$105:$F$109,MATCH(KM98,LISTES!$C$105:$C$109,0))="FIX",KN98,KO98*KL98)))</f>
        <v/>
      </c>
      <c r="LA98" s="497" t="str">
        <f>IF(A98=FALSE,"",Cotations!D98)</f>
        <v/>
      </c>
      <c r="LB98" s="498" t="str">
        <f>IF(A98=FALSE,"",IF(LISTES!$A$17=1,Cotations!BV98,Cotations!$BW$4))</f>
        <v/>
      </c>
      <c r="LC98" s="499" t="str">
        <f t="shared" si="721"/>
        <v/>
      </c>
      <c r="LD98" s="499" t="str">
        <f t="shared" si="722"/>
        <v/>
      </c>
      <c r="LE98" s="500" t="str">
        <f t="shared" si="723"/>
        <v/>
      </c>
      <c r="LF98" s="501" t="str">
        <f>IF(A98=FALSE,"",IF(LA98="POEA",Cotations!EJ98,IF(LA98="FIXE",Cotations!$BY$4,Cotations!$CA$4*Y98)))</f>
        <v/>
      </c>
      <c r="LG98" s="502" t="str">
        <f t="shared" si="724"/>
        <v/>
      </c>
      <c r="LH98" s="520" t="str">
        <f>IF(A98=FALSE,"",IF(Cotations!$BX$4="monthly",LG98/12*L98,LG98/365*M98))</f>
        <v/>
      </c>
      <c r="LI98" s="503" t="str">
        <f>IF(A98=FALSE,"",Cotations!$CB$4)</f>
        <v/>
      </c>
      <c r="LJ98" s="502" t="str">
        <f t="shared" si="725"/>
        <v/>
      </c>
      <c r="LK98" s="502" t="str">
        <f t="shared" si="726"/>
        <v/>
      </c>
      <c r="LL98" s="504" t="str">
        <f t="shared" si="727"/>
        <v/>
      </c>
      <c r="LM98" s="505" t="str">
        <f>IF(A98=FALSE,"",Cotations!$CC$4)</f>
        <v/>
      </c>
      <c r="LN98" s="503" t="str">
        <f>IF(A98=FALSE,"",Cotations!$CD$4)</f>
        <v/>
      </c>
      <c r="LO98" s="503" t="str">
        <f>IF(A98=FALSE,"",Cotations!$CE$4)</f>
        <v/>
      </c>
      <c r="LP98" s="505" t="str">
        <f>IF(A98=FALSE,"",IF(LM98="N/A",0,IF(INDEX(LISTES!$F$105:$F$109,MATCH(LM98,LISTES!$C$105:$C$109,0))="FIX",IF(INDEX(LISTES!$E$105:$E$109,MATCH(LM98,LISTES!$C$105:$C$109,0))=12,LN98/12*L98,LN98/365*M98),LO98*LL98)))</f>
        <v/>
      </c>
      <c r="LQ98" s="504" t="str">
        <f t="shared" si="728"/>
        <v/>
      </c>
      <c r="LR98" s="505" t="str">
        <f>IF(A98=FALSE,"",LQ98*Cotations!$CF$4)</f>
        <v/>
      </c>
      <c r="LS98" s="505" t="str">
        <f>IF(A98=FALSE,"",LQ98*Cotations!$CG$4)</f>
        <v/>
      </c>
      <c r="LT98" s="506" t="str">
        <f t="shared" si="729"/>
        <v/>
      </c>
      <c r="LU98" s="919" t="str">
        <f>IF(A98=FALSE,"",((LG98*TAXE)-(LG98*TAXE*LI98))+IF(LM98="N/A",0,IF(INDEX(LISTES!$F$105:$F$109,MATCH(LM98,LISTES!$C$105:$C$109,0))="FIX",LN98,LO98*LL98)))</f>
        <v/>
      </c>
      <c r="MA98" s="492" t="str">
        <f>IF(A98=FALSE,"",Cotations!D98)</f>
        <v/>
      </c>
      <c r="MB98" s="491" t="str">
        <f>IF(A98=FALSE,"",IF(LISTES!$A$17=1,Cotations!BV98,Cotations!BW98))</f>
        <v/>
      </c>
      <c r="MC98" s="285" t="str">
        <f t="shared" si="730"/>
        <v/>
      </c>
      <c r="MD98" s="300"/>
      <c r="ME98" s="461" t="str">
        <f t="shared" si="731"/>
        <v/>
      </c>
      <c r="MF98" s="490" t="str">
        <f>IF(A98=FALSE,"",IF(MA98="POEA",Cotations!BY98,IF(MA98="FIXE",Cotations!BZ98,IF(Cotations!CA98*Y98&lt;50000,Z98,Cotations!CA98*Y98))))</f>
        <v/>
      </c>
      <c r="MG98" s="300" t="str">
        <f t="shared" si="732"/>
        <v/>
      </c>
      <c r="MH98" s="522" t="str">
        <f>IF(A98=FALSE,"",IF(Cotations!BX98="monthly",MG98/12*L98,MG98/365*M98))</f>
        <v/>
      </c>
      <c r="MI98" s="489" t="str">
        <f>IF(A98=FALSE,"",IF(Cotations!CB98="","",Cotations!CB98))</f>
        <v/>
      </c>
      <c r="MJ98" s="300" t="str">
        <f t="shared" si="733"/>
        <v/>
      </c>
      <c r="MK98" s="300" t="str">
        <f t="shared" si="734"/>
        <v/>
      </c>
      <c r="ML98" s="919" t="str">
        <f t="shared" si="735"/>
        <v/>
      </c>
      <c r="MM98" s="517" t="str">
        <f>IF(A98=FALSE,"",Cotations!CC98)</f>
        <v/>
      </c>
      <c r="MN98" s="515" t="str">
        <f>IF(A98=FALSE,"",Cotations!CD98)</f>
        <v/>
      </c>
      <c r="MO98" s="493" t="str">
        <f>IF(A98=FALSE,"",Cotations!CE98)</f>
        <v/>
      </c>
      <c r="MP98" s="517" t="str">
        <f>IF(A98=FALSE,"",IF(MM98="N/A",0,IF(INDEX(LISTES!$F$105:$F$109,MATCH(MM98,LISTES!$C$105:$C$109,0))="FIX",IF(INDEX(LISTES!$E$105:$E$109,MATCH(MM98,LISTES!$C$105:$C$109,0))=12,MN98/12*L98,MN98/365*M98),MO98*ML98)))</f>
        <v/>
      </c>
      <c r="MQ98" s="294" t="str">
        <f t="shared" si="736"/>
        <v/>
      </c>
      <c r="MR98" s="494" t="str">
        <f>IF(A98=FALSE,"",MQ98*Cotations!CF98)</f>
        <v/>
      </c>
      <c r="MS98" s="494" t="str">
        <f>IF(A98=FALSE,"",MQ98*Cotations!CG98)</f>
        <v/>
      </c>
      <c r="MT98" s="338" t="str">
        <f t="shared" si="737"/>
        <v/>
      </c>
      <c r="MU98" s="919" t="str">
        <f>IF(A98=FALSE,"",((MG98*TAXE)-(MG98*TAXE*MI98))+IF(MM98="N/A",0,IF(INDEX(LISTES!$F$105:$F$109,MATCH(MM98,LISTES!$C$105:$C$109,0))="FIX",MN98,MO98*ML98)))</f>
        <v/>
      </c>
      <c r="NA98" s="497" t="str">
        <f>IF(A98=FALSE,"",Cotations!D98)</f>
        <v/>
      </c>
      <c r="NB98" s="498" t="str">
        <f>IF(A98=FALSE,"",IF(LISTES!$A$17=1,Cotations!CH98,Cotations!$CI$4))</f>
        <v/>
      </c>
      <c r="NC98" s="499" t="str">
        <f t="shared" si="738"/>
        <v/>
      </c>
      <c r="ND98" s="499" t="str">
        <f t="shared" si="739"/>
        <v/>
      </c>
      <c r="NE98" s="500" t="str">
        <f t="shared" si="740"/>
        <v/>
      </c>
      <c r="NF98" s="501" t="str">
        <f>IF(A98=FALSE,"",IF(NA98="POEA",Cotations!CK98,IF(NA98="FIXE",Cotations!$CK$4,Cotations!$CM$4*Y98)))</f>
        <v/>
      </c>
      <c r="NG98" s="502" t="str">
        <f t="shared" si="741"/>
        <v/>
      </c>
      <c r="NH98" s="520" t="str">
        <f>IF(A98=FALSE,"",IF(Cotations!$CJ$4="monthly",NG98/12*L98,NG98/365*M98))</f>
        <v/>
      </c>
      <c r="NI98" s="503" t="str">
        <f>IF(A98=FALSE,"",Cotations!$CN$4)</f>
        <v/>
      </c>
      <c r="NJ98" s="502" t="str">
        <f t="shared" si="742"/>
        <v/>
      </c>
      <c r="NK98" s="502" t="str">
        <f t="shared" si="743"/>
        <v/>
      </c>
      <c r="NL98" s="504" t="str">
        <f t="shared" si="744"/>
        <v/>
      </c>
      <c r="NM98" s="505" t="str">
        <f>IF(A98=FALSE,"",Cotations!$CO$4)</f>
        <v/>
      </c>
      <c r="NN98" s="520" t="str">
        <f>IF(A98=FALSE,"",Cotations!$CP$4)</f>
        <v/>
      </c>
      <c r="NO98" s="503" t="str">
        <f>IF(A98=FALSE,"",Cotations!$CQ$4)</f>
        <v/>
      </c>
      <c r="NP98" s="505" t="str">
        <f>IF(A98=FALSE,"",IF(NM98="N/A",0,IF(INDEX(LISTES!$F$105:$F$109,MATCH(NM98,LISTES!$C$105:$C$109,0))="FIX",IF(INDEX(LISTES!$E$105:$E$109,MATCH(NM98,LISTES!$C$105:$C$109,0))=12,NN98/12*L98,NN98/365*M98),NO98*NL98)))</f>
        <v/>
      </c>
      <c r="NQ98" s="504" t="str">
        <f t="shared" si="745"/>
        <v/>
      </c>
      <c r="NR98" s="505" t="str">
        <f>IF(A98=FALSE,"",NQ98*Cotations!$CR$4)</f>
        <v/>
      </c>
      <c r="NS98" s="505" t="str">
        <f>IF(A98=FALSE,"",NQ98*Cotations!$CS$4)</f>
        <v/>
      </c>
      <c r="NT98" s="506" t="str">
        <f t="shared" si="746"/>
        <v/>
      </c>
      <c r="NU98" s="919" t="str">
        <f>IF(A98=FALSE,"",((NG98*TAXE)-(NG98*TAXE*NI98))+IF(NM98="N/A",0,IF(INDEX(LISTES!$F$105:$F$109,MATCH(NM98,LISTES!$C$105:$C$109,0))="FIX",NN98,NO98*NL98)))</f>
        <v/>
      </c>
      <c r="OA98" s="492" t="str">
        <f>IF(A98=FALSE,"",Cotations!D98)</f>
        <v/>
      </c>
      <c r="OB98" s="491" t="str">
        <f>IF(A98=FALSE,"",IF(LISTES!$A$17=1,Cotations!CH98,Cotations!CI98))</f>
        <v/>
      </c>
      <c r="OC98" s="285" t="str">
        <f t="shared" si="747"/>
        <v/>
      </c>
      <c r="OD98" s="300"/>
      <c r="OE98" s="461" t="str">
        <f t="shared" si="748"/>
        <v/>
      </c>
      <c r="OF98" s="490" t="str">
        <f>IF(A98=FALSE,"",IF(OA98="POEA",Cotations!CK98,IF(OA98="FIXE",Cotations!CL98,IF(Cotations!CM98*Y98&lt;50000,Z98,Cotations!CM98*Y98))))</f>
        <v/>
      </c>
      <c r="OG98" s="300" t="str">
        <f t="shared" si="749"/>
        <v/>
      </c>
      <c r="OH98" s="522" t="str">
        <f>IF(A98=FALSE,"",IF(Cotations!CJ98="monthly",OG98/12*L98,OG98/365*M98))</f>
        <v/>
      </c>
      <c r="OI98" s="489" t="str">
        <f>IF(A98=FALSE,"",IF(Cotations!CN98="","",Cotations!CN98))</f>
        <v/>
      </c>
      <c r="OJ98" s="300" t="str">
        <f t="shared" si="750"/>
        <v/>
      </c>
      <c r="OK98" s="300" t="str">
        <f t="shared" si="751"/>
        <v/>
      </c>
      <c r="OL98" s="919" t="str">
        <f t="shared" si="752"/>
        <v/>
      </c>
      <c r="OM98" s="517" t="str">
        <f>IF(A98=FALSE,"",Cotations!CO98)</f>
        <v/>
      </c>
      <c r="ON98" s="515" t="str">
        <f>IF(A98=FALSE,"",Cotations!CP98)</f>
        <v/>
      </c>
      <c r="OO98" s="493" t="str">
        <f>IF(A98=FALSE,"",Cotations!CQ98)</f>
        <v/>
      </c>
      <c r="OP98" s="517" t="str">
        <f>IF(A98=FALSE,"",IF(OM98="N/A",0,IF(INDEX(LISTES!$F$105:$F$109,MATCH(OM98,LISTES!$C$105:$C$109,0))="FIX",IF(INDEX(LISTES!$E$105:$E$109,MATCH(OM98,LISTES!$C$105:$C$109,0))=12,ON98/12*L98,ON98/365*M98),OO98*OL98)))</f>
        <v/>
      </c>
      <c r="OQ98" s="294" t="str">
        <f t="shared" si="753"/>
        <v/>
      </c>
      <c r="OR98" s="494" t="str">
        <f>IF(A98=FALSE,"",OQ98*Cotations!CR98)</f>
        <v/>
      </c>
      <c r="OS98" s="494" t="str">
        <f>IF(A98=FALSE,"",OQ98*Cotations!CS98)</f>
        <v/>
      </c>
      <c r="OT98" s="338" t="str">
        <f t="shared" si="754"/>
        <v/>
      </c>
      <c r="OU98" s="919" t="str">
        <f>IF(A98=FALSE,"",((OG98*TAXE)-(OG98*TAXE*OI98))+IF(OM98="N/A",0,IF(INDEX(LISTES!$F$105:$F$109,MATCH(OM98,LISTES!$C$105:$C$109,0))="FIX",ON98,OO98*OL98)))</f>
        <v/>
      </c>
      <c r="PA98" s="497" t="str">
        <f t="shared" si="755"/>
        <v/>
      </c>
      <c r="PB98" s="498" t="str">
        <f>IF(A98=FALSE,"",IF(LISTES!$A$17=1,Cotations!CT98,Cotations!$CU$4))</f>
        <v/>
      </c>
      <c r="PC98" s="499" t="str">
        <f t="shared" si="756"/>
        <v/>
      </c>
      <c r="PD98" s="499" t="str">
        <f t="shared" si="757"/>
        <v/>
      </c>
      <c r="PE98" s="500" t="str">
        <f t="shared" si="758"/>
        <v/>
      </c>
      <c r="PF98" s="501" t="str">
        <f>IF(A98=FALSE,"",Cotations!$CY$4*Y98)</f>
        <v/>
      </c>
      <c r="PG98" s="502" t="str">
        <f t="shared" si="759"/>
        <v/>
      </c>
      <c r="PH98" s="520" t="str">
        <f>IF(A98=FALSE,"",IF(Cotations!$CV$4="monthly",PG98/12*L98,PG98/365*M98))</f>
        <v/>
      </c>
      <c r="PI98" s="503" t="str">
        <f>IF(A98=FALSE,"",Cotations!$CZ$4)</f>
        <v/>
      </c>
      <c r="PJ98" s="502" t="str">
        <f t="shared" si="760"/>
        <v/>
      </c>
      <c r="PK98" s="502" t="str">
        <f t="shared" si="761"/>
        <v/>
      </c>
      <c r="PL98" s="504" t="str">
        <f t="shared" si="762"/>
        <v/>
      </c>
      <c r="PM98" s="505" t="str">
        <f>IF(A98=FALSE,"",Cotations!$DA$4)</f>
        <v/>
      </c>
      <c r="PN98" s="520" t="str">
        <f>IF(A98=FALSE,"",Cotations!$DB$4)</f>
        <v/>
      </c>
      <c r="PO98" s="503" t="str">
        <f>IF(A98=FALSE,"",Cotations!$DC$4)</f>
        <v/>
      </c>
      <c r="PP98" s="505" t="str">
        <f>IF(A98=FALSE,"",IF(PM98="N/A",0,IF(INDEX(LISTES!$F$105:$F$109,MATCH(PM98,LISTES!$C$105:$C$109,0))="FIX",IF(INDEX(LISTES!$E$105:$E$109,MATCH(PM98,LISTES!$C$105:$C$109,0))=12,PN98/12*L98,PN98/365*M98),PO98*PL98)))</f>
        <v/>
      </c>
      <c r="PQ98" s="504" t="str">
        <f t="shared" si="763"/>
        <v/>
      </c>
      <c r="PR98" s="505" t="str">
        <f>IF(A98=FALSE,"",PQ98*Cotations!$DD$4)</f>
        <v/>
      </c>
      <c r="PS98" s="505" t="str">
        <f>IF(A98=FALSE,"",PQ98*Cotations!$DE$4)</f>
        <v/>
      </c>
      <c r="PT98" s="506" t="str">
        <f t="shared" si="764"/>
        <v/>
      </c>
      <c r="PU98" s="919" t="str">
        <f>IF(A98=FALSE,"",((PG98*TAXE)-(PG98*TAXE*PI98))+IF(PM98="N/A",0,IF(INDEX(LISTES!$F$105:$F$109,MATCH(PM98,LISTES!$C$105:$C$109,0))="FIX",PN98,PO98*PL98)))</f>
        <v/>
      </c>
      <c r="QA98" s="492" t="str">
        <f t="shared" si="765"/>
        <v/>
      </c>
      <c r="QB98" s="491" t="str">
        <f>IF(A98=FALSE,"",IF(LISTES!$A$17=1,Cotations!CT98,Cotations!CU98))</f>
        <v/>
      </c>
      <c r="QC98" s="285" t="str">
        <f t="shared" si="766"/>
        <v/>
      </c>
      <c r="QD98" s="300"/>
      <c r="QE98" s="461" t="str">
        <f t="shared" si="767"/>
        <v/>
      </c>
      <c r="QF98" s="490" t="str">
        <f>IF(A98=FALSE,"",Cotations!CY98*AA98)</f>
        <v/>
      </c>
      <c r="QG98" s="300" t="str">
        <f t="shared" si="768"/>
        <v/>
      </c>
      <c r="QH98" s="522" t="str">
        <f>IF(A98=FALSE,"",IF(Cotations!CV98="monthly",QG98/12*L98,QG98/365*M98))</f>
        <v/>
      </c>
      <c r="QI98" s="489" t="str">
        <f>IF(A98=FALSE,"",IF(Cotations!CZ98="","",Cotations!CZ98))</f>
        <v/>
      </c>
      <c r="QJ98" s="300" t="str">
        <f t="shared" si="769"/>
        <v/>
      </c>
      <c r="QK98" s="300" t="str">
        <f t="shared" si="770"/>
        <v/>
      </c>
      <c r="QL98" s="919" t="str">
        <f t="shared" si="771"/>
        <v/>
      </c>
      <c r="QM98" s="517" t="str">
        <f>IF(A98=FALSE,"",Cotations!DA98)</f>
        <v/>
      </c>
      <c r="QN98" s="515" t="str">
        <f>IF(A98=FALSE,"",Cotations!DB98)</f>
        <v/>
      </c>
      <c r="QO98" s="493" t="str">
        <f>IF(A98=FALSE,"",Cotations!DC98)</f>
        <v/>
      </c>
      <c r="QP98" s="517" t="str">
        <f>IF(A98=FALSE,"",IF(QM98="N/A",0,IF(INDEX(LISTES!$F$105:$F$109,MATCH(QM98,LISTES!$C$105:$C$109,0))="FIX",IF(INDEX(LISTES!$E$105:$E$109,MATCH(QM98,LISTES!$C$105:$C$109,0))=12,QN98/12*L98,QN98/365*M98),QO98*QL98)))</f>
        <v/>
      </c>
      <c r="QQ98" s="294" t="str">
        <f t="shared" si="772"/>
        <v/>
      </c>
      <c r="QR98" s="494" t="str">
        <f>IF(A98=FALSE,"",QQ98*Cotations!DD98)</f>
        <v/>
      </c>
      <c r="QS98" s="494" t="str">
        <f>IF(A98=FALSE,"",QQ98*Cotations!DE98)</f>
        <v/>
      </c>
      <c r="QT98" s="338" t="str">
        <f t="shared" si="773"/>
        <v/>
      </c>
      <c r="QU98" s="919" t="str">
        <f>IF(A98=FALSE,"",((QG98*TAXE)-(QG98*TAXE*QI98))+IF(QM98="N/A",0,IF(INDEX(LISTES!$F$105:$F$109,MATCH(QM98,LISTES!$C$105:$C$109,0))="FIX",QN98,QO98*QL98)))</f>
        <v/>
      </c>
      <c r="RA98" s="497" t="str">
        <f t="shared" si="774"/>
        <v/>
      </c>
      <c r="RB98" s="498" t="str">
        <f>IF(A98=FALSE,"",IF(LISTES!$A$17=1,Cotations!DF98,Cotations!$DG$4))</f>
        <v/>
      </c>
      <c r="RC98" s="499" t="str">
        <f t="shared" si="775"/>
        <v/>
      </c>
      <c r="RD98" s="499" t="str">
        <f t="shared" si="776"/>
        <v/>
      </c>
      <c r="RE98" s="500" t="str">
        <f t="shared" si="777"/>
        <v/>
      </c>
      <c r="RF98" s="501" t="str">
        <f>IF(A98=FALSE,"",Cotations!$DK$4*Y98)</f>
        <v/>
      </c>
      <c r="RG98" s="502" t="str">
        <f t="shared" si="778"/>
        <v/>
      </c>
      <c r="RH98" s="520" t="str">
        <f>IF(A98=FALSE,"",IF(Cotations!$DH$4="monthly",RG98/12*L98,RG98/365*M98))</f>
        <v/>
      </c>
      <c r="RI98" s="503" t="str">
        <f>IF(A98=FALSE,"",Cotations!$DL$4)</f>
        <v/>
      </c>
      <c r="RJ98" s="502" t="str">
        <f t="shared" si="779"/>
        <v/>
      </c>
      <c r="RK98" s="502" t="str">
        <f t="shared" si="780"/>
        <v/>
      </c>
      <c r="RL98" s="504" t="str">
        <f t="shared" si="781"/>
        <v/>
      </c>
      <c r="RM98" s="505" t="str">
        <f>IF(A98=FALSE,"",Cotations!$DM$4)</f>
        <v/>
      </c>
      <c r="RN98" s="520" t="str">
        <f>IF(A98=FALSE,"",Cotations!$DN$4)</f>
        <v/>
      </c>
      <c r="RO98" s="503" t="str">
        <f>IF(A98=FALSE,"",Cotations!$DO$4)</f>
        <v/>
      </c>
      <c r="RP98" s="505" t="str">
        <f>IF(A98=FALSE,"",IF(RM98="N/A",0,IF(INDEX(LISTES!$F$105:$F$109,MATCH(RM98,LISTES!$C$105:$C$109,0))="FIX",IF(INDEX(LISTES!$E$105:$E$109,MATCH(RM98,LISTES!$C$105:$C$109,0))=12,RN98/12*L98,RN98/365*M98),RO98*RL98)))</f>
        <v/>
      </c>
      <c r="RQ98" s="504" t="str">
        <f t="shared" si="782"/>
        <v/>
      </c>
      <c r="RR98" s="505" t="str">
        <f>IF(A98=FALSE,"",RQ98*Cotations!$DP$4)</f>
        <v/>
      </c>
      <c r="RS98" s="505" t="str">
        <f>IF(A98=FALSE,"",RQ98*Cotations!$DQ$4)</f>
        <v/>
      </c>
      <c r="RT98" s="506" t="str">
        <f t="shared" si="783"/>
        <v/>
      </c>
      <c r="RU98" s="919" t="str">
        <f>IF(A98=FALSE,"",((RG98*TAXE)-(RG98*TAXE*RI98))+IF(RM98="N/A",0,IF(INDEX(LISTES!$F$105:$F$109,MATCH(RM98,LISTES!$C$105:$C$109,0))="FIX",RN98,RO98*RL98)))</f>
        <v/>
      </c>
      <c r="SA98" s="492" t="str">
        <f t="shared" si="784"/>
        <v/>
      </c>
      <c r="SB98" s="491" t="str">
        <f>IF(A98=FALSE,"",IF(LISTES!$A$17=1,Cotations!DF98,Cotations!DG98))</f>
        <v/>
      </c>
      <c r="SC98" s="285" t="str">
        <f t="shared" si="785"/>
        <v/>
      </c>
      <c r="SD98" s="300"/>
      <c r="SE98" s="461" t="str">
        <f t="shared" si="786"/>
        <v/>
      </c>
      <c r="SF98" s="490" t="str">
        <f>IF(A98=FALSE,"",Cotations!DK98*AA98)</f>
        <v/>
      </c>
      <c r="SG98" s="300" t="str">
        <f t="shared" si="787"/>
        <v/>
      </c>
      <c r="SH98" s="522" t="str">
        <f>IF(A98=FALSE,"",IF(Cotations!DH98="monthly",SG98/12*L98,SG98/365*M98))</f>
        <v/>
      </c>
      <c r="SI98" s="489" t="str">
        <f>IF(A98=FALSE,"",IF(Cotations!DL98="","",Cotations!DL98))</f>
        <v/>
      </c>
      <c r="SJ98" s="300" t="str">
        <f t="shared" si="788"/>
        <v/>
      </c>
      <c r="SK98" s="300" t="str">
        <f t="shared" si="789"/>
        <v/>
      </c>
      <c r="SL98" s="919" t="str">
        <f t="shared" si="790"/>
        <v/>
      </c>
      <c r="SM98" s="285" t="str">
        <f>IF(A98=FALSE,"",Cotations!DM98)</f>
        <v/>
      </c>
      <c r="SN98" s="515" t="str">
        <f>IF(A98=FALSE,"",Cotations!DN98)</f>
        <v/>
      </c>
      <c r="SO98" s="493" t="str">
        <f>IF(A98=FALSE,"",Cotations!DO98)</f>
        <v/>
      </c>
      <c r="SP98" s="517" t="str">
        <f>IF(A98=FALSE,"",IF(SM98="N/A",0,IF(INDEX(LISTES!$F$105:$F$109,MATCH(SM98,LISTES!$C$105:$C$109,0))="FIX",IF(INDEX(LISTES!$E$105:$E$109,MATCH(SM98,LISTES!$C$105:$C$109,0))=12,SN98/12*L98,SN98/365*M98),SO98*SL98)))</f>
        <v/>
      </c>
      <c r="SQ98" s="294" t="str">
        <f t="shared" si="791"/>
        <v/>
      </c>
      <c r="SR98" s="494" t="str">
        <f>IF(A98=FALSE,"",SQ98*Cotations!DP98)</f>
        <v/>
      </c>
      <c r="SS98" s="494" t="str">
        <f>IF(A98=FALSE,"",SQ98*Cotations!DQ98)</f>
        <v/>
      </c>
      <c r="ST98" s="338" t="str">
        <f t="shared" si="792"/>
        <v/>
      </c>
      <c r="SU98" s="919" t="str">
        <f>IF(A98=FALSE,"",((SG98*TAXE)-(SG98*TAXE*SI98))+IF(SM98="N/A",0,IF(INDEX(LISTES!$F$105:$F$109,MATCH(SM98,LISTES!$C$105:$C$109,0))="FIX",SN98,SO98*SL98)))</f>
        <v/>
      </c>
      <c r="TA98" s="492" t="str">
        <f>IF(A98=FALSE,"",Cotations!D98)</f>
        <v/>
      </c>
      <c r="TB98" s="491" t="str">
        <f>IF(A98=FALSE,"",IF(LISTES!$A$17=1,Cotations!DR98,Cotations!DS98))</f>
        <v/>
      </c>
      <c r="TC98" s="285" t="str">
        <f t="shared" si="793"/>
        <v/>
      </c>
      <c r="TD98" s="300" t="str">
        <f>IF(A98=FALSE,"",Detail!CQ98)</f>
        <v/>
      </c>
      <c r="TE98" s="461" t="str">
        <f t="shared" si="794"/>
        <v/>
      </c>
      <c r="TF98" s="490" t="str">
        <f>IF(A98=FALSE,"",IF(TA98="FIXE",Cotations!DU98,Cotations!DV98*Y98))</f>
        <v/>
      </c>
      <c r="TG98" s="300" t="str">
        <f t="shared" si="795"/>
        <v/>
      </c>
      <c r="TH98" s="522" t="str">
        <f>IF(A98=FALSE,"",IF(Cotations!DT98="monthly",TG98/12*L98,TG98/365*M98))</f>
        <v/>
      </c>
      <c r="TI98" s="489" t="str">
        <f>IF(A98=FALSE,"",IF(Cotations!DW98="","",Cotations!DW98))</f>
        <v/>
      </c>
      <c r="TJ98" s="300" t="str">
        <f t="shared" si="796"/>
        <v/>
      </c>
      <c r="TK98" s="300" t="str">
        <f t="shared" si="797"/>
        <v/>
      </c>
      <c r="TL98" s="919" t="str">
        <f t="shared" si="798"/>
        <v/>
      </c>
      <c r="TM98" s="517" t="str">
        <f>IF(A98=FALSE,"",Cotations!DX98)</f>
        <v/>
      </c>
      <c r="TN98" s="517" t="str">
        <f>IF(A98=FALSE,"",Cotations!DY98)</f>
        <v/>
      </c>
      <c r="TO98" s="493" t="str">
        <f>IF(A98=FALSE,"",Cotations!DZ98)</f>
        <v/>
      </c>
      <c r="TP98" s="517" t="str">
        <f>IF(A98=FALSE,"",IF(TM98="N/A",0,IF(INDEX(LISTES!$F$105:$F$109,MATCH(TM98,LISTES!$C$105:$C$109,0))="FIX",IF(INDEX(LISTES!$E$105:$E$109,MATCH(TM98,LISTES!$C$105:$C$109,0))=12,TN98/12*L98,TN98/365*M98),TO98*TL98)))</f>
        <v/>
      </c>
      <c r="TQ98" s="294" t="str">
        <f t="shared" si="799"/>
        <v/>
      </c>
      <c r="TR98" s="494" t="str">
        <f>IF(A98=FALSE,"",TQ98*Cotations!EA98)</f>
        <v/>
      </c>
      <c r="TS98" s="494" t="str">
        <f>IF(A98=FALSE,"",TQ98*Cotations!EB98)</f>
        <v/>
      </c>
      <c r="TT98" s="338" t="str">
        <f t="shared" si="800"/>
        <v/>
      </c>
      <c r="TU98" s="919" t="str">
        <f>IF(A98=FALSE,"",((TG98*(1+TAXE)-(TG98*(1+TAXE)*TI98))+IF(TM98="N/A",0,IF(INDEX(LISTES!$F$105:$F$109,MATCH(TM98,LISTES!$C$105:$C$109,0))="FIX",TN98,TO98*TL98))))</f>
        <v/>
      </c>
      <c r="UA98" s="492" t="str">
        <f>IF(A98=FALSE,"",Cotations!D98)</f>
        <v/>
      </c>
      <c r="UB98" s="491" t="str">
        <f>IF(A98=FALSE,"",IF(LISTES!$A$17=1,Cotations!EC98,Cotations!ED98))</f>
        <v/>
      </c>
      <c r="UC98" s="285" t="str">
        <f t="shared" si="801"/>
        <v/>
      </c>
      <c r="UD98" s="300" t="str">
        <f>IF(A98=FALSE,"",Detail!CY98)</f>
        <v/>
      </c>
      <c r="UE98" s="461" t="str">
        <f t="shared" si="802"/>
        <v/>
      </c>
      <c r="UF98" s="490" t="str">
        <f>IF(A98=FALSE,"",IF(UA98="FIXE",Cotations!EF98,Cotations!EG98*Y98))</f>
        <v/>
      </c>
      <c r="UG98" s="300" t="str">
        <f t="shared" si="803"/>
        <v/>
      </c>
      <c r="UH98" s="522" t="str">
        <f>IF(A98=FALSE,"",IF(Cotations!EE98="monthly",UG98/12*L98,UG98/365*M98))</f>
        <v/>
      </c>
      <c r="UI98" s="489" t="str">
        <f>IF(A98=FALSE,"",IF(Cotations!EH98="","",Cotations!EH98))</f>
        <v/>
      </c>
      <c r="UJ98" s="300" t="str">
        <f t="shared" si="804"/>
        <v/>
      </c>
      <c r="UK98" s="300" t="str">
        <f t="shared" si="805"/>
        <v/>
      </c>
      <c r="UL98" s="919" t="str">
        <f t="shared" si="806"/>
        <v/>
      </c>
      <c r="UM98" s="517" t="str">
        <f>IF(A98=FALSE,"",Cotations!EI98)</f>
        <v/>
      </c>
      <c r="UN98" s="517" t="str">
        <f>IF(A98=FALSE,"",Cotations!EJ98)</f>
        <v/>
      </c>
      <c r="UO98" s="493" t="str">
        <f>IF(A98=FALSE,"",Cotations!EK98)</f>
        <v/>
      </c>
      <c r="UP98" s="517" t="str">
        <f>IF(A98=FALSE,"",IF(UM98="N/A",0,IF(INDEX(LISTES!$F$105:$F$109,MATCH(UM98,LISTES!$C$105:$C$109,0))="FIX",IF(INDEX(LISTES!$E$105:$E$109,MATCH(UM98,LISTES!$C$105:$C$109,0))=12,UN98/12*L98,UN98/365*M98),UO98*UL98)))</f>
        <v/>
      </c>
      <c r="UQ98" s="294" t="str">
        <f t="shared" si="807"/>
        <v/>
      </c>
      <c r="UR98" s="494" t="str">
        <f>IF(A98=FALSE,"",UQ98*Cotations!EL98)</f>
        <v/>
      </c>
      <c r="US98" s="494" t="str">
        <f>IF(A98=FALSE,"",UQ98*Cotations!EM98)</f>
        <v/>
      </c>
      <c r="UT98" s="338" t="str">
        <f t="shared" si="808"/>
        <v/>
      </c>
      <c r="UU98" s="919" t="str">
        <f>IF(A98=FALSE,"",((UG98*(1+TAXE)-(UG98*(1+TAXE)*UI98))+IF(UM98="N/A",0,IF(INDEX(LISTES!$F$105:$F$109,MATCH(UM98,LISTES!$C$105:$C$109,0))="FIX",UN98,UO98*UL98))))</f>
        <v/>
      </c>
      <c r="VA98" s="492" t="str">
        <f>IF(A98=FALSE,"",Cotations!D98)</f>
        <v/>
      </c>
      <c r="VB98" s="519" t="str">
        <f>IF(A98=FALSE,"",IF(LISTES!$A$17=1,Cotations!EN98,Cotations!EO98))</f>
        <v/>
      </c>
      <c r="VC98" s="291" t="str">
        <f t="shared" si="809"/>
        <v/>
      </c>
      <c r="VD98" s="291" t="str">
        <f t="shared" si="810"/>
        <v/>
      </c>
      <c r="VE98" s="291"/>
      <c r="VF98" s="463"/>
      <c r="VG98" s="463" t="str">
        <f t="shared" si="811"/>
        <v/>
      </c>
      <c r="VH98" s="522" t="str">
        <f>IF(A98=FALSE,"",IF(Cotations!$AQ$4="monthly",VG98/12*L98,VG98/365*M98))</f>
        <v/>
      </c>
      <c r="VI98" s="489" t="str">
        <f>IF(A98=FALSE,"",Cotations!$AR$4)</f>
        <v/>
      </c>
      <c r="VJ98" s="300" t="str">
        <f t="shared" si="812"/>
        <v/>
      </c>
      <c r="VK98" s="300" t="str">
        <f t="shared" si="813"/>
        <v/>
      </c>
      <c r="VL98" s="294" t="str">
        <f t="shared" si="814"/>
        <v/>
      </c>
      <c r="VM98" s="494" t="str">
        <f>IF(A98=FALSE,"",Cotations!$AS$4)</f>
        <v/>
      </c>
      <c r="VN98" s="494" t="str">
        <f>IF(A98=FALSE,"",Cotations!$AT$4)</f>
        <v/>
      </c>
      <c r="VO98" s="489" t="str">
        <f>IF(A98=FALSE,"",Cotations!$AU$4)</f>
        <v/>
      </c>
      <c r="VP98" s="494" t="str">
        <f>IF(A98=FALSE,"",IF(VM98="N/A",0,IF(INDEX(LISTES!$F$105:$F$109,MATCH(VM98,LISTES!$C$105:$C$109,0))="FIX",IF(INDEX(LISTES!$E$105:$E$109,MATCH(VM98,LISTES!$C$105:$C$109,0))=12,VN98/12*L98,VN98/365*M98),VO98*VL98)))</f>
        <v/>
      </c>
      <c r="VQ98" s="294" t="str">
        <f t="shared" si="815"/>
        <v/>
      </c>
      <c r="VR98" s="494" t="str">
        <f>IF(A98=FALSE,"",VQ98*Cotations!$AV$4)</f>
        <v/>
      </c>
      <c r="VS98" s="494" t="str">
        <f>IF(A98=FALSE,"",VQ98*Cotations!$AW$4)</f>
        <v/>
      </c>
      <c r="VT98" s="465" t="str">
        <f t="shared" si="816"/>
        <v/>
      </c>
      <c r="VU98" s="919" t="str">
        <f>IF(A98=FALSE,"",((VG98*TAXE)-(VG98*TAXE*VI98))+IF(VM98="N/A",0,IF(INDEX(LISTES!$F$105:$F$109,MATCH(VM98,LISTES!$C$105:$C$109,0))="FIX",VN98,VO98*VL98)))</f>
        <v/>
      </c>
      <c r="WA98" s="492" t="str">
        <f>IF(A98=FALSE,"",Cotations!D98)</f>
        <v/>
      </c>
      <c r="WB98" s="519" t="str">
        <f>IF(A98=FALSE,"",IF(LISTES!$A$17=1,Cotations!EW98,Cotations!EX98))</f>
        <v/>
      </c>
      <c r="WC98" s="291" t="str">
        <f t="shared" si="817"/>
        <v/>
      </c>
      <c r="WD98" s="291" t="str">
        <f t="shared" si="818"/>
        <v/>
      </c>
      <c r="WE98" s="291"/>
      <c r="WF98" s="463"/>
      <c r="WG98" s="463" t="str">
        <f t="shared" si="819"/>
        <v/>
      </c>
      <c r="WH98" s="522" t="str">
        <f>IF(A98=FALSE,"",IF(Cotations!$AQ$4="monthly",WG98/12*L98,WG98/365*M98))</f>
        <v/>
      </c>
      <c r="WI98" s="489" t="str">
        <f>IF(A98=FALSE,"",Cotations!$AR$4)</f>
        <v/>
      </c>
      <c r="WJ98" s="300" t="str">
        <f t="shared" si="820"/>
        <v/>
      </c>
      <c r="WK98" s="300" t="str">
        <f t="shared" si="821"/>
        <v/>
      </c>
      <c r="WL98" s="294" t="str">
        <f t="shared" si="822"/>
        <v/>
      </c>
      <c r="WM98" s="494" t="str">
        <f>IF(A98=FALSE,"",Cotations!$AS$4)</f>
        <v/>
      </c>
      <c r="WN98" s="494" t="str">
        <f>IF(A98=FALSE,"",Cotations!$AT$4)</f>
        <v/>
      </c>
      <c r="WO98" s="489" t="str">
        <f>IF(A98=FALSE,"",Cotations!$AU$4)</f>
        <v/>
      </c>
      <c r="WP98" s="494" t="str">
        <f>IF(A98=FALSE,"",IF(WM98="N/A",0,IF(INDEX(LISTES!$F$105:$F$109,MATCH(WM98,LISTES!$C$105:$C$109,0))="FIX",IF(INDEX(LISTES!$E$105:$E$109,MATCH(WM98,LISTES!$C$105:$C$109,0))=12,WN98/12*L98,WN98/365*M98),WO98*WL98)))</f>
        <v/>
      </c>
      <c r="WQ98" s="294" t="str">
        <f t="shared" si="823"/>
        <v/>
      </c>
      <c r="WR98" s="494" t="str">
        <f>IF(A98=FALSE,"",WQ98*Cotations!$AV$4)</f>
        <v/>
      </c>
      <c r="WS98" s="494" t="str">
        <f>IF(A98=FALSE,"",WQ98*Cotations!$AW$4)</f>
        <v/>
      </c>
      <c r="WT98" s="465" t="str">
        <f t="shared" si="824"/>
        <v/>
      </c>
      <c r="WU98" s="919" t="str">
        <f>IF(A98=FALSE,"",((WG98*TAXE)-(WG98*TAXE*WI98))+IF(WM98="N/A",0,IF(INDEX(LISTES!$F$105:$F$109,MATCH(WM98,LISTES!$C$105:$C$109,0))="FIX",WN98,WO98*WL98)))</f>
        <v/>
      </c>
    </row>
    <row r="99" spans="1:619">
      <c r="A99" s="942" t="b">
        <f t="shared" si="629"/>
        <v>0</v>
      </c>
      <c r="B99" s="942" t="b">
        <f>IF(NAMES!$B$9=TRUE,TRUE,FALSE)</f>
        <v>1</v>
      </c>
      <c r="C99" s="942" t="b">
        <f t="shared" si="825"/>
        <v>0</v>
      </c>
      <c r="D99" s="942" t="b">
        <f t="shared" si="826"/>
        <v>0</v>
      </c>
      <c r="E99" s="274" t="b">
        <f>IF(Cotations!C99="","",Cotations!C99)</f>
        <v>0</v>
      </c>
      <c r="F99" s="274" t="str">
        <f>IF(Cotations!D99="","",Cotations!D99)</f>
        <v>PROP</v>
      </c>
      <c r="G99" s="274" t="str">
        <f>IF(Cotations!E99="","",Cotations!E99)</f>
        <v>2016-2017!</v>
      </c>
      <c r="H99" s="274" t="str">
        <f>IF(Cotations!F99="","",Cotations!F99)</f>
        <v>SINGLE</v>
      </c>
      <c r="I99" s="274" t="str">
        <f>IF(Cotations!G99="","",Cotations!G99)</f>
        <v/>
      </c>
      <c r="J99" s="274" t="str">
        <f>IF(Cotations!H99="","",Cotations!H99)</f>
        <v/>
      </c>
      <c r="K99" s="274" t="str">
        <f>IF(Cotations!I99="","",Cotations!I99)</f>
        <v/>
      </c>
      <c r="L99" s="274" t="str">
        <f>IF(A99=FALSE,"",IF(Cotations!N99="","",Cotations!N99))</f>
        <v/>
      </c>
      <c r="M99" s="274" t="str">
        <f>IF(Cotations!P99="","",Cotations!P99)</f>
        <v/>
      </c>
      <c r="N99" s="724" t="str">
        <f>IF(NAMES!$B$10=TRUE,Cotations!J99,Cotations!L99)</f>
        <v/>
      </c>
      <c r="O99" s="724" t="str">
        <f>IF(NAMES!$B$10=TRUE,Cotations!K99,Cotations!M99)</f>
        <v/>
      </c>
      <c r="P99" s="943" t="str">
        <f t="shared" si="827"/>
        <v/>
      </c>
      <c r="Q99" s="724" t="str">
        <f>IF(A99=FALSE,"",IF(Crewlist!Y99="","",Crewlist!Y99))</f>
        <v/>
      </c>
      <c r="R99" s="78" t="str">
        <f>IF(Cotations!U99="","",Cotations!U99)</f>
        <v/>
      </c>
      <c r="S99" s="943" t="str">
        <f t="shared" si="828"/>
        <v/>
      </c>
      <c r="T99" s="919" t="str">
        <f>IF(A99=FALSE,"",VLOOKUP($U$15:$U$120,Currency!$A$2:$D$10,4,0)*Crewlist!N99)</f>
        <v/>
      </c>
      <c r="U99" s="1355" t="str">
        <f>IF(A99=FALSE,"",IF(IT99=0,Crewlist!M99&amp;"/"&amp;EX99,Crewlist!M99&amp;"/"&amp;IT99))</f>
        <v/>
      </c>
      <c r="V99" s="919" t="str">
        <f>IF(A99=FALSE,"",VLOOKUP($U$15:$U$120,Currency!$A$2:$D$10,4,0)*Detail!Q99)</f>
        <v/>
      </c>
      <c r="W99" s="1355" t="str">
        <f>IF(A99=FALSE,"",IF(IT99=0,Detail!R99&amp;"/"&amp;EX99,Detail!R99&amp;"/"&amp;IT99))</f>
        <v/>
      </c>
      <c r="X99" s="919" t="str">
        <f>IF(A99=FALSE,"",IF(LISTES!$C$17="Crewlist",Calcul!T99,Calcul!V99))</f>
        <v/>
      </c>
      <c r="Y99" s="758" t="str">
        <f t="shared" si="829"/>
        <v/>
      </c>
      <c r="Z99" s="758" t="str">
        <f>IF(A99=FALSE,"",IF(X99=0,0,IF((Cotations!BC99*12*X99)&lt;50000,50000,(12*X99))))</f>
        <v/>
      </c>
      <c r="AA99" s="758" t="str">
        <f t="shared" si="830"/>
        <v/>
      </c>
      <c r="AB99" s="758" t="str">
        <f>IF(A99=FALSE,"",IF(Crewlist!O99=0,"",Crewlist!O99))</f>
        <v/>
      </c>
      <c r="AC99" s="758" t="str">
        <f>IF(I99="","",VLOOKUP($AB$15:$AB$120,Currency!$A$15:$B$34,2,0))</f>
        <v/>
      </c>
      <c r="AD99" s="758" t="str">
        <f t="shared" si="831"/>
        <v/>
      </c>
      <c r="AE99" s="758" t="str">
        <f t="shared" si="832"/>
        <v/>
      </c>
      <c r="AF99" s="758" t="str">
        <f t="shared" si="833"/>
        <v/>
      </c>
      <c r="AG99" s="758" t="str">
        <f t="shared" si="834"/>
        <v/>
      </c>
      <c r="AH99" s="1355" t="str">
        <f t="shared" si="630"/>
        <v/>
      </c>
      <c r="AI99" s="919" t="str">
        <f t="shared" si="835"/>
        <v/>
      </c>
      <c r="AJ99" s="1382" t="str">
        <f t="shared" si="836"/>
        <v/>
      </c>
      <c r="AK99" s="1382" t="str">
        <f t="shared" si="837"/>
        <v/>
      </c>
      <c r="AL99" s="238" t="str">
        <f t="shared" si="631"/>
        <v/>
      </c>
      <c r="AM99" s="238" t="str">
        <f t="shared" si="632"/>
        <v/>
      </c>
      <c r="AN99" s="1374" t="str">
        <f t="shared" si="633"/>
        <v/>
      </c>
      <c r="AO99" s="238" t="str">
        <f t="shared" si="634"/>
        <v/>
      </c>
      <c r="AP99" s="342" t="str">
        <f>IF(A99=FALSE,"",INDEX(Rates!$Z$5:$Z$367,MATCH(EB99,colchoice,0)))</f>
        <v/>
      </c>
      <c r="AQ99" s="238" t="str">
        <f t="shared" si="635"/>
        <v/>
      </c>
      <c r="AR99" s="238" t="str">
        <f t="shared" si="636"/>
        <v/>
      </c>
      <c r="AS99" s="238" t="str">
        <f t="shared" si="637"/>
        <v/>
      </c>
      <c r="AT99" s="238" t="str">
        <f t="shared" si="638"/>
        <v/>
      </c>
      <c r="AU99" s="238" t="str">
        <f t="shared" si="639"/>
        <v/>
      </c>
      <c r="AV99" s="238" t="str">
        <f t="shared" si="838"/>
        <v/>
      </c>
      <c r="AW99" s="238" t="str">
        <f t="shared" si="640"/>
        <v/>
      </c>
      <c r="AX99" s="238" t="str">
        <f t="shared" si="641"/>
        <v/>
      </c>
      <c r="AY99" s="238" t="str">
        <f t="shared" si="642"/>
        <v/>
      </c>
      <c r="AZ99" s="238" t="str">
        <f t="shared" si="643"/>
        <v/>
      </c>
      <c r="BA99" s="238" t="str">
        <f t="shared" si="644"/>
        <v/>
      </c>
      <c r="BB99" s="552" t="str">
        <f t="shared" si="645"/>
        <v/>
      </c>
      <c r="BC99" s="347" t="str">
        <f t="shared" si="646"/>
        <v/>
      </c>
      <c r="BD99" s="239" t="str">
        <f t="shared" si="839"/>
        <v/>
      </c>
      <c r="BE99" s="239" t="str">
        <f>IF(A99=FALSE,"",IF(ALLTHESAME=TRUE,IF(DF99&lt;&gt;$BC$7,0,INDEX(DD99:DZ99,1,MATCH(Structure!$D$12,$DD$14:$DZ$14,0))),IF(EC99&lt;&gt;$BC$7,0,INDEX(EA99:EZ99,1,MATCH(Structure!$D$12,$EA$14:$EZ$14,0)))))</f>
        <v/>
      </c>
      <c r="BF99" s="239" t="str">
        <f>IF(A99=FALSE,"",IF(ALLTHESAME=TRUE,IF(FC99&lt;&gt;$BC$7,0,INDEX(FA99:FZ99,1,MATCH(Structure!$D$12,$FA$14:$FZ$14,0))),IF(GC99&lt;&gt;$BC$7,0,INDEX(GA99:GZ99,1,MATCH(Structure!$D$12,$GA$14:$GZ$14,0)))))</f>
        <v/>
      </c>
      <c r="BG99" s="239" t="str">
        <f>IF(A99=FALSE,"",IF(ALLTHESAME=TRUE,IF(VC99&lt;&gt;$BC$7,0,INDEX(VA99:VZ99,1,MATCH(Structure!$D$12,$VA$14:$VZ$14,0))),IF(VC99&lt;&gt;$BC$7,0,INDEX(VA99:VZ99,1,MATCH(Structure!$D$12,$VA$14:$VZ$14,0)))))</f>
        <v/>
      </c>
      <c r="BH99" s="239" t="str">
        <f>IF(A99=FALSE,"",IF(ALLTHESAME=TRUE,IF(WC99&lt;&gt;$BC$7,0,INDEX(WA99:WY99,1,MATCH(Structure!$D$12,$WA$14:$WZ$14,0))),IF(WC99&lt;&gt;$BC$7,0,INDEX(WA99:WZ99,1,MATCH(Structure!$D$12,$WA$14:$WZ$14,0)))))</f>
        <v/>
      </c>
      <c r="BI99" s="763" t="str">
        <f>IF(A99=FALSE,"",IF(ALLTHESAME=TRUE,IF(HC99&lt;&gt;$BC$7,0,INDEX(HA99:HZ99,1,MATCH(Structure!$D$12,$HA$14:$HZ$14,0)))+TK99,IF(IC99&lt;&gt;$BC$7,0,INDEX(IA99:IZ99,1,MATCH(Structure!$D$12,$IA$14:$IZ$14,0)))+TK99))</f>
        <v/>
      </c>
      <c r="BJ99" s="239" t="str">
        <f>IF(A99=FALSE,"",IF(ALLTHESAME=TRUE,IF(JC99&lt;&gt;$BC$7,0,INDEX(JA99:JZ99,1,MATCH(Structure!$D$12,$JA$14:$JZ$14,0))),IF(KC99&lt;&gt;$BC$7,0,INDEX(KA99:KZ99,1,MATCH(Structure!$D$12,$KA$14:$KZ$14,0)))))</f>
        <v/>
      </c>
      <c r="BK99" s="763" t="str">
        <f>IF(A99=FALSE,"",IF(ALLTHESAME=TRUE,IF(LC99&lt;&gt;$BC$7,0,INDEX(LA99:LZ99,1,MATCH(Structure!$D$12,$LA$14:$LZ$14,0)))+UK99,IF(MC99&lt;&gt;$BC$7,0,INDEX(MA99:MZ99,1,MATCH(Structure!$D$12,$MA$14:$MZ$14,0)))+UK99))</f>
        <v/>
      </c>
      <c r="BL99" s="239" t="str">
        <f>IF(A99=FALSE,"",IF(ALLTHESAME=TRUE,IF(NC99&lt;&gt;$BC$7,0,INDEX(NA99:NZ99,1,MATCH(Structure!$D$12,$NA$14:$NZ$14,0))),IF(OC99&lt;&gt;$BC$7,0,INDEX(OA99:OZ99,1,MATCH(Structure!$D$12,$OA$14:$OZ$14,0)))))</f>
        <v/>
      </c>
      <c r="BM99" s="239" t="str">
        <f>IF(A99=FALSE,"",IF(ALLTHESAME=TRUE,IF(PC99&lt;&gt;$BC$7,0,INDEX(PA99:PZ99,1,MATCH(Structure!$D$12,$PA$14:$PZ$14,0))),IF(QC99&lt;&gt;$BC$7,0,INDEX(QA99:QZ99,1,MATCH(Structure!$D$12,$QA$14:$QZ$14,0)))))</f>
        <v/>
      </c>
      <c r="BN99" s="341" t="str">
        <f>IF(A99=FALSE,"",IF(ALLTHESAME=TRUE,IF(RC99&lt;&gt;$BC$7,0,INDEX(RA99:RZ99,1,MATCH(Structure!$D$12,$RA$14:$RZ$14,0))),IF(SC99&lt;&gt;$BC$7,0,INDEX(SA99:TA99,1,MATCH(Structure!$D$12,$SA$14:$TA$14,0)))))</f>
        <v/>
      </c>
      <c r="BO99" s="507" t="str">
        <f t="shared" si="647"/>
        <v/>
      </c>
      <c r="BP99" s="239" t="str">
        <f t="shared" si="648"/>
        <v/>
      </c>
      <c r="BQ99" s="239" t="str">
        <f>IF(A99=FALSE,"",IF(ALLTHESAME=TRUE,IF(DF99&lt;&gt;$BO$7,0,INDEX(DD99:DZ99,1,MATCH(Structure!$D$12,$DD$14:$DZ$14,0))),IF(EC99&lt;&gt;$BO$7,0,INDEX(EA99:EZ99,1,MATCH(Structure!$D$12,$EA$14:$EZ$14,0)))))</f>
        <v/>
      </c>
      <c r="BR99" s="239" t="str">
        <f>IF(A99=FALSE,"",IF(ALLTHESAME=TRUE,IF(FC99&lt;&gt;$BO$7,0,INDEX(FA99:FZ99,1,MATCH(Structure!$D$12,$FA$14:$FZ$14,0))),IF(GC99&lt;&gt;$BO$7,0,INDEX(GA99:GZ99,1,MATCH(Structure!$D$12,$GA$14:$GZ$14,0)))))</f>
        <v/>
      </c>
      <c r="BS99" s="239" t="str">
        <f>IF(A99=FALSE,"",IF(ALLTHESAME=TRUE,IF(HC99&lt;&gt;$BO$7,0,INDEX(HA99:HZ99,1,MATCH(Structure!$D$12,$HA$14:$HZ$14,0))),IF(IC99&lt;&gt;$BO$7,0,INDEX(IA99:IZ99,1,MATCH(Structure!$D$12,$IA$14:$IZ$14,0)))))</f>
        <v/>
      </c>
      <c r="BT99" s="239" t="str">
        <f>IF(A99=FALSE,"",IF(ALLTHESAME=TRUE,IF(JC99&lt;&gt;$BO$7,0,INDEX(JA99:JZ99,1,MATCH(Structure!$D$12,$JA$14:$JZ$14,0))),IF(KC99&lt;&gt;$BO$7,0,INDEX(KA99:KZ99,1,MATCH(Structure!$D$12,$KA$14:$KZ$14,0)))))</f>
        <v/>
      </c>
      <c r="BU99" s="239" t="str">
        <f>IF(A99=FALSE,"",IF(ALLTHESAME=TRUE,IF(LC99&lt;&gt;$BO$7,0,INDEX(LA99:LZ99,1,MATCH(Structure!$D$12,$LA$14:$LZ$14,0))),IF(MC99&lt;&gt;$BO$7,0,INDEX(MA99:MZ99,1,MATCH(Structure!$D$12,$MA$14:$MZ$14,0)))))</f>
        <v/>
      </c>
      <c r="BV99" s="239" t="str">
        <f>IF(A99=FALSE,"",IF(ALLTHESAME=TRUE,IF(NC99&lt;&gt;$BO$7,0,INDEX(NA99:NZ99,1,MATCH(Structure!$D$12,$NA$14:$NZ$14,0))),IF(OC99&lt;&gt;$BO$7,0,INDEX(OA99:OZ99,1,MATCH(Structure!$D$12,$OA$14:$OZ$14,0)))))</f>
        <v/>
      </c>
      <c r="BW99" s="239" t="str">
        <f>IF(A99=FALSE,"",IF(ALLTHESAME=TRUE,IF(PC99&lt;&gt;$BO$7,0,INDEX(PA99:PZ99,1,MATCH(Structure!$D$12,$PA$14:$PZ$14,0))),IF(QC99&lt;&gt;$BO$7,0,INDEX(QA99:QZ99,1,MATCH(Structure!$D$12,$QA$14:$QZ$14,0)))))</f>
        <v/>
      </c>
      <c r="BX99" s="341" t="str">
        <f>IF(A99=FALSE,"",IF(ALLTHESAME=TRUE,IF(RC99&lt;&gt;$BO$7,0,INDEX(RA99:RZ99,1,MATCH(Structure!$D$12,$RA$14:$RZ$14,0))),IF(SC99&lt;&gt;$BO$7,0,INDEX(SA99:TA99,1,MATCH(Structure!$D$12,$SA$14:$TA$14,0)))))</f>
        <v/>
      </c>
      <c r="BY99" s="347" t="str">
        <f t="shared" si="649"/>
        <v/>
      </c>
      <c r="BZ99" s="507" t="str">
        <f t="shared" si="650"/>
        <v/>
      </c>
      <c r="CA99" s="239" t="str">
        <f t="shared" si="651"/>
        <v/>
      </c>
      <c r="CB99" s="239" t="str">
        <f>IF(A99=FALSE,"",IF(ALLTHESAME=TRUE,INDEX(DD99:DZ99,MATCH(DF99,DF99:DF204,0),MATCH(Structure!$D$17,$DD$14:$DZ$14,0)),INDEX(EA99:EZ99,MATCH(EC99,EC99:EC204,0),MATCH(Structure!$D$17,$EA$14:$EZ$14,0))))</f>
        <v/>
      </c>
      <c r="CC99" s="239" t="str">
        <f>IF(A99=FALSE,"",IF(ALLTHESAME=TRUE,INDEX(FA99:FZ99,MATCH(FC99,FC99:FC204,0),MATCH(Structure!$D$17,$FA$14:$FZ$14,0)),INDEX(GA99:GZ99,MATCH(GC99,GC99:GC204,0),MATCH(Structure!$D$17,$GA$14:$GZ$14,0))))</f>
        <v/>
      </c>
      <c r="CD99" s="239" t="str">
        <f>IF(A99=FALSE,"",IF(ALLTHESAME=TRUE,INDEX(HA99:HZ99,MATCH(HC99,HC99:HC204,0),MATCH(Structure!$D$17,$HA$14:$HZ$14,0)),INDEX(IA99:IZ99,MATCH(IC99,IC99:IC204,0),MATCH(Structure!$D$17,$IA$14:$IZ$14,0))))</f>
        <v/>
      </c>
      <c r="CE99" s="239" t="str">
        <f>IF(A99=FALSE,"",IF(ALLTHESAME=TRUE,INDEX(JA99:JZ99,MATCH(JC99,JC99:JC204,0),MATCH(Structure!$D$17,$JA$14:$JZ$14,0)),INDEX(KA99:KZ99,MATCH(KC99,KC99:KC204,0),MATCH(Structure!$D$17,$KA$14:$KZ$14,0))))</f>
        <v/>
      </c>
      <c r="CF99" s="239" t="str">
        <f>IF(A99=FALSE,"",IF(ALLTHESAME=TRUE,INDEX(LA99:LZ99,MATCH(LC99,LC99:LC204,0),MATCH(Structure!$D$17,$LA$14:$LZ$14,0)),INDEX(MA99:MZ99,MATCH(MC99,MC99:MC204,0),MATCH(Structure!$D$17,$MA$14:$MZ$14,0))))</f>
        <v/>
      </c>
      <c r="CG99" s="239" t="str">
        <f>IF(A99=FALSE,"",IF(ALLTHESAME=TRUE,INDEX(NA99:NZ99,MATCH(NC99,NC99:NC204,0),MATCH(Structure!$D$17,$NA$14:$NZ$14,0)),INDEX(OA99:OZ99,MATCH(OC99,OC99:OC204,0),MATCH(Structure!$D$17,$OA$14:$OZ$14,0))))</f>
        <v/>
      </c>
      <c r="CH99" s="239" t="str">
        <f>IF(A99=FALSE,"",IF(ALLTHESAME=TRUE,INDEX(PA99:PZ99,MATCH(PC99,PC99:PC204,0),MATCH(Structure!$D$17,$PA$14:$PZ$14,0)),INDEX(QA99:QZ99,MATCH(QC99,QC99:QC204,0),MATCH(Structure!$D$17,$QA$14:$QZ$14,0))))</f>
        <v/>
      </c>
      <c r="CI99" s="341" t="str">
        <f>IF(A99=FALSE,"",IF(ALLTHESAME=TRUE,INDEX(RA99:RZ99,MATCH(RC99,RC99:RC204,0),MATCH(Structure!$D$17,$RA$14:$RZ$14,0)),INDEX(SA99:TC99,MATCH(SC99,SC99:SC204,0),MATCH(Structure!$D$17,$SA$14:$TC$14,0))))</f>
        <v/>
      </c>
      <c r="CJ99" s="347"/>
      <c r="CK99" s="239" t="str">
        <f t="shared" si="652"/>
        <v/>
      </c>
      <c r="CL99" s="239" t="str">
        <f>IF(A99=FALSE,"",IF(ALLTHESAME=TRUE,INDEX(DD99:DZ99,MATCH(DF99,DF99:DF204,0),MATCH(Structure!$D$22,$DD$14:$DZ$14,0)),INDEX(EA99:EZ99,MATCH(EC99,EC99:EC204,0),MATCH(Structure!$D$22,$EA$14:$EZ$14,0))))</f>
        <v/>
      </c>
      <c r="CM99" s="239" t="str">
        <f>IF(A99=FALSE,"",IF(ALLTHESAME=TRUE,INDEX(FA99:FZ99,MATCH(FC99,FC99:FC204,0),MATCH(Structure!$D$22,$FA$14:$FZ$14,0)),INDEX(GA99:GZ99,MATCH(GC99,GC99:GC204,0),MATCH(Structure!$D$22,$GA$14:$GZ$14,0))))</f>
        <v/>
      </c>
      <c r="CN99" s="239" t="str">
        <f>IF(A99=FALSE,"",IF(ALLTHESAME=TRUE,INDEX(HA99:HZ99,MATCH(HC99,HC99:HC204,0),MATCH(Structure!$D$22,$HA$14:$HZ$14,0)),INDEX(IA99:IZ99,MATCH(IC99,IC99:IC204,0),MATCH(Structure!$D$22,$IA$14:$IZ$14,0))))</f>
        <v/>
      </c>
      <c r="CO99" s="239" t="str">
        <f>IF(A99=FALSE,"",IF(ALLTHESAME=TRUE,INDEX(JA99:JZ99,MATCH(JC99,JC99:JC204,0),MATCH(Structure!$D$22,$JA$14:$JZ$14,0)),INDEX(KA99:KZ99,MATCH(KC99,KC99:KC204,0),MATCH(Structure!$D$22,$KA$14:$KZ$14,0))))</f>
        <v/>
      </c>
      <c r="CP99" s="239" t="str">
        <f>IF(A99=FALSE,"",IF(ALLTHESAME=TRUE,INDEX(LA99:LZ99,MATCH(LC99,LC99:LC204,0),MATCH(Structure!$D$22,$LA$14:$LZ$14,0)),INDEX(MA99:MZ99,MATCH(MC99,MC99:MC204,0),MATCH(Structure!$D$22,$MA$14:$MZ$14,0))))</f>
        <v/>
      </c>
      <c r="CQ99" s="239" t="str">
        <f>IF(A99=FALSE,"",IF(ALLTHESAME=TRUE,INDEX(NA99:NZ99,MATCH(NC99,NC99:NC204,0),MATCH(Structure!$D$22,$NA$14:$NZ$14,0)),INDEX(OA99:OZ99,MATCH(OC99,OC99:OC204,0),MATCH(Structure!$D$22,$OA$14:$OZ$14,0))))</f>
        <v/>
      </c>
      <c r="CR99" s="239" t="str">
        <f>IF(A99=FALSE,"",IF(ALLTHESAME=TRUE,INDEX(PA99:PZ99,MATCH(PC99,PC99:PC204,0),MATCH(Structure!$D$22,$PA$14:$PZ$14,0)),INDEX(QA99:QZ99,MATCH(QC99,QC99:QC204,0),MATCH(Structure!$D$22,$QA$14:$QZ$14,0))))</f>
        <v/>
      </c>
      <c r="CS99" s="341" t="str">
        <f>IF(A99=FALSE,"",IF(ALLTHESAME=TRUE,INDEX(RA99:RZ99,MATCH(RC99,RC99:RC204,0),MATCH(Structure!$D$22,$RA$14:$RZ$14,0)),INDEX(SA99:TC99,MATCH(SC99,SC99:SC204,0),MATCH(Structure!$D$22,$SA$14:$TC$14,0))))</f>
        <v/>
      </c>
      <c r="CT99" s="347"/>
      <c r="CU99" s="239" t="str">
        <f t="shared" si="653"/>
        <v/>
      </c>
      <c r="CV99" s="239" t="str">
        <f>IF(A99=FALSE,"",IF(ALLTHESAME=TRUE,INDEX(DD99:DZ99,MATCH(DF99,DF99:DF204,0),MATCH(Structure!$D$8,$DD$14:$DZ$14,0)),INDEX(EA99:EZ99,MATCH(EC99,EC99:EC204,0),MATCH(Structure!$D$8,$EA$14:$EZ$14,0))))</f>
        <v/>
      </c>
      <c r="CW99" s="239" t="str">
        <f>IF(A99=FALSE,"",IF(ALLTHESAME=TRUE,INDEX(FA99:FZ99,MATCH(FC99,FC99:FC204,0),MATCH(Structure!$D$8,$FA$14:$FZ$14,0)),INDEX(GA99:GZ99,MATCH(GC99,GC99:GC204,0),MATCH(Structure!$D$8,$GA$14:$GZ$14,0))))</f>
        <v/>
      </c>
      <c r="CX99" s="239" t="str">
        <f>IF(A99=FALSE,"",IF(ALLTHESAME=TRUE,INDEX(HA99:HZ99,MATCH(HC99,HC99:HC204,0),MATCH(Structure!$D$8,$HA$14:$HZ$14,0)),INDEX(IA99:IZ99,MATCH(IC99,IC99:IC204,0),MATCH(Structure!$D$8,$IA$14:$IZ$14,0))))</f>
        <v/>
      </c>
      <c r="CY99" s="239" t="str">
        <f>IF(A99=FALSE,"",IF(ALLTHESAME=TRUE,INDEX(JA99:JZ99,MATCH(JC99,JC99:JC204,0),MATCH(Structure!$D$8,$JA$14:$JZ$14,0)),INDEX(KA99:KZ99,MATCH(KC99,KC99:KC204,0),MATCH(Structure!$D$8,$KA$14:$KZ$14,0))))</f>
        <v/>
      </c>
      <c r="CZ99" s="239" t="str">
        <f>IF(A99=FALSE,"",IF(ALLTHESAME=TRUE,INDEX(LA99:LZ99,MATCH(LC99,LC99:LC204,0),MATCH(Structure!$D$8,$LA$14:$LZ$14,0)),INDEX(MA99:MZ99,MATCH(MC99,MC99:MC204,0),MATCH(Structure!$D$8,$MA$14:$MZ$14,0))))</f>
        <v/>
      </c>
      <c r="DA99" s="239" t="str">
        <f>IF(A99=FALSE,"",IF(ALLTHESAME=TRUE,INDEX(NA99:NZ99,MATCH(NC99,NC99:NC204,0),MATCH(Structure!$D$8,$NA$14:$NZ$14,0)),INDEX(OA99:OZ99,MATCH(OC99,OC99:OC204,0),MATCH(Structure!$D$8,$OA$14:$OZ$14,0))))</f>
        <v/>
      </c>
      <c r="DB99" s="239" t="str">
        <f>IF(A99=FALSE,"",IF(ALLTHESAME=TRUE,INDEX(PA99:PZ99,MATCH(PC99,PC99:PC204,0),MATCH(Structure!$D$8,$PA$14:$PZ$14,0)),INDEX(QA99:QZ99,MATCH(QC99,QC99:QC204,0),MATCH(Structure!$D$8,$QA$14:$QZ$14,0))))</f>
        <v/>
      </c>
      <c r="DC99" s="341" t="str">
        <f>IF(A99=FALSE,"",IF(ALLTHESAME=TRUE,INDEX(RA99:RZ99,MATCH(RC99,RC99:RC204,0),MATCH(Structure!$D$8,$RA$14:$RZ$14,0)),INDEX(SA99:TC99,MATCH(SC99,SC99:SC204,0),MATCH(Structure!$D$8,$SA$14:$TC$14,0))))</f>
        <v/>
      </c>
      <c r="DD99" s="492" t="str">
        <f>IF(A99=FALSE,"",Cotations!D99)</f>
        <v/>
      </c>
      <c r="DE99" s="492" t="str">
        <f>IF(A99=FALSE,"",IF(LISTES!$A$17=1,Cotations!AF99,Cotations!$AG$4))</f>
        <v/>
      </c>
      <c r="DF99" s="291" t="str">
        <f t="shared" si="654"/>
        <v/>
      </c>
      <c r="DG99" s="291" t="str">
        <f t="shared" si="655"/>
        <v/>
      </c>
      <c r="DH99" s="291"/>
      <c r="DI99" s="463"/>
      <c r="DJ99" s="463" t="str">
        <f t="shared" si="656"/>
        <v/>
      </c>
      <c r="DK99" s="522" t="str">
        <f>IF(A99=FALSE,"",IF(Cotations!$AH$4="monthly",DJ99/12*L99,DJ99/365*M99))</f>
        <v/>
      </c>
      <c r="DL99" s="489" t="str">
        <f>IF(A99=FALSE,"",Cotations!$AI$4)</f>
        <v/>
      </c>
      <c r="DM99" s="300" t="str">
        <f t="shared" si="657"/>
        <v/>
      </c>
      <c r="DN99" s="300" t="str">
        <f t="shared" si="658"/>
        <v/>
      </c>
      <c r="DO99" s="294" t="str">
        <f t="shared" si="659"/>
        <v/>
      </c>
      <c r="DP99" s="494" t="str">
        <f>IF(A99=FALSE,"",Cotations!$AJ$4)</f>
        <v/>
      </c>
      <c r="DQ99" s="494" t="str">
        <f>IF(A99=FALSE,"",Cotations!$AK$4)</f>
        <v/>
      </c>
      <c r="DR99" s="489" t="str">
        <f>IF(A99=FALSE,"",Cotations!$AL$4)</f>
        <v/>
      </c>
      <c r="DS99" s="494" t="str">
        <f>IF(A99=FALSE,"",IF(DP99="N/A",0,IF(INDEX(LISTES!$F$105:$F$109,MATCH(DP99,LISTES!$C$105:$C$109,0))="FIX",IF(INDEX(LISTES!$E$105:$E$109,MATCH(DP99,LISTES!$C$105:$C$109,0))=12,DQ99/12*L99,DQ99/365*M99),DR99*DO99)))</f>
        <v/>
      </c>
      <c r="DT99" s="294" t="str">
        <f t="shared" si="660"/>
        <v/>
      </c>
      <c r="DU99" s="294" t="str">
        <f>IF(A99=FALSE,"",DT99*Cotations!$AM$4)</f>
        <v/>
      </c>
      <c r="DV99" s="294" t="str">
        <f>IF(A99=FALSE,"",DT99*Cotations!$AN$4)</f>
        <v/>
      </c>
      <c r="DW99" s="465" t="str">
        <f t="shared" si="661"/>
        <v/>
      </c>
      <c r="DX99" s="919" t="str">
        <f>IF(A99=FALSE,"",((DJ99*TAXE)-(DJ99*TAXE*DL99))+IF(DP99="N/A",0,IF(INDEX(LISTES!$F$105:$F$109,MATCH(DP99,LISTES!$C$105:$C$109,0))="FIX",DQ99,DR99*DO99)))</f>
        <v/>
      </c>
      <c r="DY99" s="466"/>
      <c r="DZ99" s="466"/>
      <c r="EA99" s="492" t="str">
        <f>IF(A99=FALSE,"",Cotations!D99)</f>
        <v/>
      </c>
      <c r="EB99" s="494" t="str">
        <f>IF(A99=FALSE,"",IF(LISTES!$A$17=1,Cotations!AF99,Cotations!AG99))</f>
        <v/>
      </c>
      <c r="EC99" s="284" t="str">
        <f t="shared" si="662"/>
        <v/>
      </c>
      <c r="ED99" s="284" t="str">
        <f t="shared" si="663"/>
        <v/>
      </c>
      <c r="EE99" s="284"/>
      <c r="EF99" s="284"/>
      <c r="EG99" s="284" t="str">
        <f t="shared" si="664"/>
        <v/>
      </c>
      <c r="EH99" s="1365" t="str">
        <f t="shared" si="665"/>
        <v/>
      </c>
      <c r="EI99" s="1365" t="str">
        <f t="shared" si="666"/>
        <v/>
      </c>
      <c r="EJ99" s="515" t="str">
        <f>IF(A99=FALSE,"",IF(Cotations!AH99="monthly",EG99/12*L99,EG99/365*M99))</f>
        <v/>
      </c>
      <c r="EK99" s="1364" t="str">
        <f>IF(A99=FALSE,"",IF(Cotations!AH99="monthly",EI99/12*L99,EI99/365*M99))</f>
        <v/>
      </c>
      <c r="EL99" s="493" t="str">
        <f>IF(A99=FALSE,"",IF(Cotations!AI99="","",Cotations!AI99))</f>
        <v/>
      </c>
      <c r="EM99" s="284" t="str">
        <f t="shared" si="667"/>
        <v/>
      </c>
      <c r="EN99" s="284" t="str">
        <f t="shared" si="668"/>
        <v/>
      </c>
      <c r="EO99" s="1365" t="str">
        <f t="shared" si="840"/>
        <v/>
      </c>
      <c r="EP99" s="284" t="str">
        <f t="shared" si="669"/>
        <v/>
      </c>
      <c r="EQ99" s="515" t="str">
        <f>IF(A99=FALSE,"",Cotations!AJ99)</f>
        <v/>
      </c>
      <c r="ER99" s="515" t="str">
        <f>IF(A99=FALSE,"",IF(Cotations!AK99="","",Cotations!AK99))</f>
        <v/>
      </c>
      <c r="ES99" s="493" t="str">
        <f>IF(A99=FALSE,"",Cotations!AL99)</f>
        <v/>
      </c>
      <c r="ET99" s="515" t="str">
        <f>IF(A99=FALSE,"",IF(EQ99="N/A",0,IF(INDEX(LISTES!$F$105:$F$109,MATCH(EQ99,LISTES!$C$105:$C$109,0))="FIX",IF(INDEX(LISTES!$E$105:$E$109,MATCH(EQ99,LISTES!$C$105:$C$109,0))=12,ER99/12*L99,ER99/365*M99),ES99*EP99)))</f>
        <v/>
      </c>
      <c r="EU99" s="294" t="str">
        <f t="shared" si="670"/>
        <v/>
      </c>
      <c r="EV99" s="494" t="str">
        <f>IF(A99=FALSE,"",EU99*Cotations!AM99)</f>
        <v/>
      </c>
      <c r="EW99" s="494" t="str">
        <f>IF(A99=FALSE,"",EU99*Cotations!AN99)</f>
        <v/>
      </c>
      <c r="EX99" s="334" t="str">
        <f t="shared" si="671"/>
        <v/>
      </c>
      <c r="EY99" s="919" t="str">
        <f>IF(A99=FALSE,"",((EG99*TAXE)-(EG99*TAXE*EL99)+EH99)+IF(EQ99="N/A",0,IF(INDEX(LISTES!$F$105:$F$109,MATCH(EQ99,LISTES!$C$105:$C$109,0))="FIX",ER99,ES99*EP99)))</f>
        <v/>
      </c>
      <c r="FA99" s="492" t="str">
        <f>IF(A99=FALSE,"",Cotations!D99)</f>
        <v/>
      </c>
      <c r="FB99" s="519" t="str">
        <f>IF(A99=FALSE,"",IF(LISTES!$A$17=1,Cotations!AO99,Cotations!$AP$4))</f>
        <v/>
      </c>
      <c r="FC99" s="291" t="str">
        <f t="shared" si="672"/>
        <v/>
      </c>
      <c r="FD99" s="291" t="str">
        <f t="shared" si="673"/>
        <v/>
      </c>
      <c r="FE99" s="291"/>
      <c r="FF99" s="463"/>
      <c r="FG99" s="463" t="str">
        <f t="shared" si="674"/>
        <v/>
      </c>
      <c r="FH99" s="522" t="str">
        <f>IF(A99=FALSE,"",IF(Cotations!$AQ$4="monthly",FG99/12*L99,FG99/365*M99))</f>
        <v/>
      </c>
      <c r="FI99" s="453" t="str">
        <f>IF(A99=FALSE,"",Cotations!$AR$4)</f>
        <v/>
      </c>
      <c r="FJ99" s="300" t="str">
        <f t="shared" si="675"/>
        <v/>
      </c>
      <c r="FK99" s="300" t="str">
        <f t="shared" si="676"/>
        <v/>
      </c>
      <c r="FL99" s="294" t="str">
        <f t="shared" si="677"/>
        <v/>
      </c>
      <c r="FM99" s="494" t="str">
        <f>IF(A99=FALSE,"",Cotations!$AS$4)</f>
        <v/>
      </c>
      <c r="FN99" s="494" t="str">
        <f>IF(A99=FALSE,"",Cotations!$AT$4)</f>
        <v/>
      </c>
      <c r="FO99" s="489" t="str">
        <f>IF(A99=FALSE,"",Cotations!$AU$4)</f>
        <v/>
      </c>
      <c r="FP99" s="494" t="str">
        <f>IF(A99=FALSE,"",IF(FM99="N/A",0,IF(INDEX(LISTES!$F$105:$F$109,MATCH(FM99,LISTES!$C$105:$C$109,0))="FIX",IF(INDEX(LISTES!$E$105:$E$109,MATCH(FM99,LISTES!$C$105:$C$109,0))=12,FN99/12*L99,FN99/365*M99),FO99*FL99)))</f>
        <v/>
      </c>
      <c r="FQ99" s="294" t="str">
        <f t="shared" si="678"/>
        <v/>
      </c>
      <c r="FR99" s="494" t="str">
        <f>IF(A99=FALSE,"",FQ99*Cotations!$AV$4)</f>
        <v/>
      </c>
      <c r="FS99" s="494" t="str">
        <f>IF(A99=FALSE,"",FQ99*Cotations!$AW$4)</f>
        <v/>
      </c>
      <c r="FT99" s="465" t="str">
        <f t="shared" si="679"/>
        <v/>
      </c>
      <c r="FU99" s="919" t="str">
        <f>IF(A99=FALSE,"",((FG99*TAXE)-(FG99*TAXE*FI99))+IF(FM99="N/A",0,IF(INDEX(LISTES!$F$105:$F$109,MATCH(FM99,LISTES!$C$105:$C$109,0))="FIX",FN99,FO99*FL99)))</f>
        <v/>
      </c>
      <c r="FV99" s="478"/>
      <c r="FW99" s="478"/>
      <c r="FX99" s="478"/>
      <c r="FY99" s="478"/>
      <c r="FZ99" s="478"/>
      <c r="GA99" s="492" t="str">
        <f>IF(A99=FALSE,"",Cotations!D99)</f>
        <v/>
      </c>
      <c r="GB99" s="494" t="str">
        <f>IF(A99=FALSE,"",IF(LISTES!$A$17=1,Cotations!AO99,Cotations!AP99))</f>
        <v/>
      </c>
      <c r="GC99" s="284" t="str">
        <f t="shared" si="680"/>
        <v/>
      </c>
      <c r="GD99" s="515" t="str">
        <f>IF(A99=FALSE,"",IF(Detail!AM99="","",Detail!AM99))</f>
        <v/>
      </c>
      <c r="GE99" s="284"/>
      <c r="GF99" s="284"/>
      <c r="GG99" s="284" t="str">
        <f t="shared" si="681"/>
        <v/>
      </c>
      <c r="GH99" s="515" t="str">
        <f>IF(A99=FALSE,"",IF(Cotations!AQ99="monthly",GG99/12*L99,GG99/365*M99))</f>
        <v/>
      </c>
      <c r="GI99" s="493" t="str">
        <f>IF(A99=FALSE,"",IF(Cotations!AR99="","",Cotations!AR99))</f>
        <v/>
      </c>
      <c r="GJ99" s="284" t="str">
        <f t="shared" si="682"/>
        <v/>
      </c>
      <c r="GK99" s="284" t="str">
        <f t="shared" si="683"/>
        <v/>
      </c>
      <c r="GL99" s="284" t="str">
        <f t="shared" si="684"/>
        <v/>
      </c>
      <c r="GM99" s="515" t="str">
        <f>IF(A99=FALSE,"",Cotations!AS99)</f>
        <v/>
      </c>
      <c r="GN99" s="515" t="str">
        <f>IF(A99=FALSE,"",Cotations!AT99)</f>
        <v/>
      </c>
      <c r="GO99" s="493" t="str">
        <f>IF(A99=FALSE,"",Cotations!AU99)</f>
        <v/>
      </c>
      <c r="GP99" s="515" t="str">
        <f>IF(A99=FALSE,"",IF(GM99="N/A",0,IF(INDEX(LISTES!$F$105:$F$109,MATCH(GM99,LISTES!$C$105:$C$109,0))="FIX",IF(INDEX(LISTES!$E$105:$E$109,MATCH(GM99,LISTES!$C$105:$C$109,0))=12,GN99/12*L99,GN99/365*M99),GO99*GL99)))</f>
        <v/>
      </c>
      <c r="GQ99" s="294" t="str">
        <f t="shared" si="685"/>
        <v/>
      </c>
      <c r="GR99" s="494" t="str">
        <f>IF(A99=FALSE,"",GQ99*Cotations!AV99)</f>
        <v/>
      </c>
      <c r="GS99" s="494" t="str">
        <f>IF(A99=FALSE,"",GQ99*Cotations!AW99)</f>
        <v/>
      </c>
      <c r="GT99" s="334" t="str">
        <f t="shared" si="686"/>
        <v/>
      </c>
      <c r="GU99" s="919" t="str">
        <f>IF(A99=FALSE,"",((GG99*TAXE)-(GG99*TAXE*GI99))+IF(GM99="N/A",0,IF(INDEX(LISTES!$F$105:$F$109,MATCH(GM99,LISTES!$C$105:$C$109,0))="FIX",GN99,GO99*GL99)))</f>
        <v/>
      </c>
      <c r="GV99" s="478"/>
      <c r="GW99" s="466"/>
      <c r="GX99" s="466"/>
      <c r="GY99" s="466"/>
      <c r="GZ99" s="466"/>
      <c r="HA99" s="492" t="str">
        <f>IF(A99=FALSE,"",Cotations!D99)</f>
        <v/>
      </c>
      <c r="HB99" s="495" t="str">
        <f>IF(A99=FALSE,"",IF(LISTES!$A$17=1,Cotations!AX99,Cotations!$AY$4))</f>
        <v/>
      </c>
      <c r="HC99" s="291" t="str">
        <f t="shared" si="687"/>
        <v/>
      </c>
      <c r="HD99" s="291" t="str">
        <f t="shared" si="688"/>
        <v/>
      </c>
      <c r="HE99" s="456" t="str">
        <f t="shared" si="689"/>
        <v/>
      </c>
      <c r="HF99" s="496" t="str">
        <f>IF(A99=FALSE,"",IF(HA99="POEA",Cotations!BA99,IF(HA99="FIXE",Cotations!$BA$4,Cotations!$BC$4*Y99)))</f>
        <v/>
      </c>
      <c r="HG99" s="300" t="str">
        <f t="shared" si="690"/>
        <v/>
      </c>
      <c r="HH99" s="522" t="str">
        <f>IF(A99=FALSE,"",IF(Cotations!$AZ$4="monthly",HG99/12*L99,HG99/365*M99))</f>
        <v/>
      </c>
      <c r="HI99" s="489" t="str">
        <f>IF(A99=FALSE,"",Cotations!$BD$4)</f>
        <v/>
      </c>
      <c r="HJ99" s="300" t="str">
        <f t="shared" si="691"/>
        <v/>
      </c>
      <c r="HK99" s="300" t="str">
        <f t="shared" si="692"/>
        <v/>
      </c>
      <c r="HL99" s="294" t="str">
        <f t="shared" si="693"/>
        <v/>
      </c>
      <c r="HM99" s="494" t="str">
        <f>IF(A99=FALSE,"",Cotations!$BE$4)</f>
        <v/>
      </c>
      <c r="HN99" s="522" t="str">
        <f>IF(A99=FALSE,"",Cotations!$BF$4)</f>
        <v/>
      </c>
      <c r="HO99" s="489" t="str">
        <f>IF(A99=FALSE,"",Cotations!$BG$4)</f>
        <v/>
      </c>
      <c r="HP99" s="494" t="str">
        <f>IF(A99=FALSE,"",IF(HM99="N/A",0,IF(INDEX(LISTES!$F$105:$F$109,MATCH(HM99,LISTES!$C$105:$C$109,0))="FIX",IF(INDEX(LISTES!$E$105:$E$109,MATCH(HM99,LISTES!$C$105:$C$109,0))=12,HN99/12*L99,HN99/365*M99),HO99*HL99)))</f>
        <v/>
      </c>
      <c r="HQ99" s="294" t="str">
        <f t="shared" si="694"/>
        <v/>
      </c>
      <c r="HR99" s="494" t="str">
        <f>IF(A99=FALSE,"",HQ99*Cotations!$BH$4)</f>
        <v/>
      </c>
      <c r="HS99" s="494" t="str">
        <f>IF(A99=FALSE,"",HQ99*Cotations!$BI$4)</f>
        <v/>
      </c>
      <c r="HT99" s="294" t="str">
        <f t="shared" si="695"/>
        <v/>
      </c>
      <c r="HU99" s="919" t="str">
        <f>IF(A99=FALSE,"",((HG99*TAXE)-(HG99*TAXE*HI99))+IF(HM99="N/A",0,IF(INDEX(LISTES!$F$105:$F$109,MATCH(HM99,LISTES!$C$105:$C$109,0))="FIX",HN99,HO99*HL99)))</f>
        <v/>
      </c>
      <c r="IA99" s="492" t="str">
        <f>IF(A99=FALSE,"",Cotations!D99)</f>
        <v/>
      </c>
      <c r="IB99" s="491" t="str">
        <f>IF(A99=FALSE,"",IF(LISTES!$A$17=1,Cotations!AX99,Cotations!AY99))</f>
        <v/>
      </c>
      <c r="IC99" s="285" t="str">
        <f t="shared" si="696"/>
        <v/>
      </c>
      <c r="ID99" s="300" t="str">
        <f>IF(A99=FALSE,"",IF(LISTES!$A$17=3,Detail!AU99,lig1_Formula_PREVOY))</f>
        <v/>
      </c>
      <c r="IE99" s="461" t="str">
        <f t="shared" si="697"/>
        <v/>
      </c>
      <c r="IF99" s="490" t="str">
        <f>IF(A99=FALSE,"",IF(IA99="POEA",Cotations!BA99,IF(HA99="FIXE",Cotations!BB99,IF(Cotations!BC99*Y99&lt;50000,Z99,Cotations!BC99*Y99))))</f>
        <v/>
      </c>
      <c r="IG99" s="300" t="str">
        <f t="shared" si="698"/>
        <v/>
      </c>
      <c r="IH99" s="522" t="str">
        <f>IF(A99=FALSE,"",IF(Cotations!AZ99="monthly",IG99/12*L99,IG99/365*M99))</f>
        <v/>
      </c>
      <c r="II99" s="489" t="str">
        <f>IF(A99=FALSE,"",IF(Cotations!BD99="","",Cotations!BD99))</f>
        <v/>
      </c>
      <c r="IJ99" s="300" t="str">
        <f t="shared" si="699"/>
        <v/>
      </c>
      <c r="IK99" s="300" t="str">
        <f t="shared" si="700"/>
        <v/>
      </c>
      <c r="IL99" s="919" t="str">
        <f t="shared" si="701"/>
        <v/>
      </c>
      <c r="IM99" s="517" t="str">
        <f>IF(A99=FALSE,"",Cotations!BE99)</f>
        <v/>
      </c>
      <c r="IN99" s="517" t="str">
        <f>IF(A99=FALSE,"",Cotations!BF99)</f>
        <v/>
      </c>
      <c r="IO99" s="493" t="str">
        <f>IF(A99=FALSE,"",Cotations!BG99)</f>
        <v/>
      </c>
      <c r="IP99" s="517" t="str">
        <f>IF(A99=FALSE,"",IF(IM99="N/A",0,IF(INDEX(LISTES!$F$105:$F$109,MATCH(IM99,LISTES!$C$105:$C$109,0))="FIX",IF(INDEX(LISTES!$E$105:$E$109,MATCH(IM99,LISTES!$C$105:$C$109,0))=12,IN99/12*L99,IN99/365*M99),IO99*IL99)))</f>
        <v/>
      </c>
      <c r="IQ99" s="294" t="str">
        <f t="shared" si="702"/>
        <v/>
      </c>
      <c r="IR99" s="494" t="str">
        <f>IF(A99=FALSE,"",IQ99*Cotations!BH99)</f>
        <v/>
      </c>
      <c r="IS99" s="494" t="str">
        <f>IF(A99=FALSE,"",IQ99*Cotations!BI99)</f>
        <v/>
      </c>
      <c r="IT99" s="338" t="str">
        <f t="shared" si="703"/>
        <v/>
      </c>
      <c r="IU99" s="919" t="str">
        <f>IF(A99=FALSE,"",((IG99*TAXE)-(IG99*TAXE*II99))+IF(IM99="N/A",0,IF(INDEX(LISTES!$F$105:$F$109,MATCH(IM99,LISTES!$C$105:$C$109,0))="FIX",IN99,IO99*IL99)))</f>
        <v/>
      </c>
      <c r="JA99" s="492" t="str">
        <f>IF(A99=FALSE,"",Cotations!D99)</f>
        <v/>
      </c>
      <c r="JB99" s="495" t="str">
        <f>IF(A99=FALSE,"",IF(LISTES!$A$17=1,Cotations!BJ99,Cotations!$BK$4))</f>
        <v/>
      </c>
      <c r="JC99" s="291" t="str">
        <f t="shared" si="704"/>
        <v/>
      </c>
      <c r="JD99" s="291" t="str">
        <f t="shared" si="705"/>
        <v/>
      </c>
      <c r="JE99" s="456" t="str">
        <f t="shared" si="706"/>
        <v/>
      </c>
      <c r="JF99" s="496" t="str">
        <f>IF(A99=FALSE,"",IF(JA99="POEA",Cotations!BM99,IF(JA99="FIXE",Cotations!$BM$4,Cotations!$BO$4*Y99)))</f>
        <v/>
      </c>
      <c r="JG99" s="300" t="str">
        <f t="shared" si="707"/>
        <v/>
      </c>
      <c r="JH99" s="522" t="str">
        <f>IF(A99=FALSE,"",IF(Cotations!$BL$4="monthly",JG99/12*L99,JG99/365*M99))</f>
        <v/>
      </c>
      <c r="JI99" s="489" t="str">
        <f>IF(A99=FALSE,"",Cotations!$BP$4)</f>
        <v/>
      </c>
      <c r="JJ99" s="300" t="str">
        <f t="shared" si="708"/>
        <v/>
      </c>
      <c r="JK99" s="300" t="str">
        <f t="shared" si="709"/>
        <v/>
      </c>
      <c r="JL99" s="294" t="str">
        <f t="shared" si="710"/>
        <v/>
      </c>
      <c r="JM99" s="494" t="str">
        <f>IF(A99=FALSE,"",Cotations!$BQ$4)</f>
        <v/>
      </c>
      <c r="JN99" s="522" t="str">
        <f>IF(A99=FALSE,"",Cotations!$BR$4)</f>
        <v/>
      </c>
      <c r="JO99" s="489" t="str">
        <f>IF(A99=FALSE,"",Cotations!$BS$4)</f>
        <v/>
      </c>
      <c r="JP99" s="494" t="str">
        <f>IF(A99=FALSE,"",IF(JM99="N/A",0,IF(INDEX(LISTES!$F$105:$F$109,MATCH(JM99,LISTES!$C$105:$C$109,0))="FIX",IF(INDEX(LISTES!$E$105:$E$109,MATCH(JM99,LISTES!$C$105:$C$109,0))=12,JN99/12*L99,JN99/365*M99),JO99*JL99)))</f>
        <v/>
      </c>
      <c r="JQ99" s="294" t="str">
        <f t="shared" si="711"/>
        <v/>
      </c>
      <c r="JR99" s="494" t="str">
        <f>IF(A99=FALSE,"",JQ99*Cotations!$BT$4)</f>
        <v/>
      </c>
      <c r="JS99" s="494" t="str">
        <f>IF(A99=FALSE,"",JQ99*Cotations!$BU$4)</f>
        <v/>
      </c>
      <c r="JT99" s="294" t="str">
        <f t="shared" si="712"/>
        <v/>
      </c>
      <c r="JU99" s="919" t="str">
        <f>IF(A99=FALSE,"",((JG99*TAXE)-(JG99*TAXE*JI99))+IF(JM99="N/A",0,IF(INDEX(LISTES!$F$105:$F$109,MATCH(JM99,LISTES!$C$105:$C$109,0))="FIX",JN99,JO99*JL99)))</f>
        <v/>
      </c>
      <c r="KA99" s="492" t="str">
        <f>IF(A99=FALSE,"",Cotations!D99)</f>
        <v/>
      </c>
      <c r="KB99" s="491" t="str">
        <f>IF(A99=FALSE,"",IF(LISTES!$A$17=1,Cotations!BJ99,Cotations!BK99))</f>
        <v/>
      </c>
      <c r="KC99" s="285" t="str">
        <f t="shared" si="713"/>
        <v/>
      </c>
      <c r="KD99" s="300"/>
      <c r="KE99" s="461" t="str">
        <f t="shared" si="714"/>
        <v/>
      </c>
      <c r="KF99" s="490" t="str">
        <f>IF(A99=FALSE,"",IF(KA99="POEA",Cotations!BM99,IF(KA99="FIXE",Cotations!BN99,IF(Cotations!BO99*Y99&lt;50000,Z99,Cotations!BO99*Y99))))</f>
        <v/>
      </c>
      <c r="KG99" s="300" t="str">
        <f t="shared" si="715"/>
        <v/>
      </c>
      <c r="KH99" s="522" t="str">
        <f>IF(A99=FALSE,"",IF(Cotations!BL99="monthly",KG99/12*L99,KG99/365*M99))</f>
        <v/>
      </c>
      <c r="KI99" s="489" t="str">
        <f>IF(A99=FALSE,"",IF(Cotations!BP99="","",Cotations!BP99))</f>
        <v/>
      </c>
      <c r="KJ99" s="300" t="str">
        <f t="shared" si="716"/>
        <v/>
      </c>
      <c r="KK99" s="300" t="str">
        <f t="shared" si="717"/>
        <v/>
      </c>
      <c r="KL99" s="919" t="str">
        <f t="shared" si="718"/>
        <v/>
      </c>
      <c r="KM99" s="517" t="str">
        <f>IF(A99=FALSE,"",Cotations!BQ99)</f>
        <v/>
      </c>
      <c r="KN99" s="515" t="str">
        <f>IF(A99=FALSE,"",Cotations!BR99)</f>
        <v/>
      </c>
      <c r="KO99" s="493" t="str">
        <f>IF(A99=FALSE,"",Cotations!BS99)</f>
        <v/>
      </c>
      <c r="KP99" s="517" t="str">
        <f>IF(A99=FALSE,"",IF(KM99="N/A",0,IF(INDEX(LISTES!$F$105:$F$109,MATCH(KM99,LISTES!$C$105:$C$109,0))="FIX",IF(INDEX(LISTES!$E$105:$E$109,MATCH(KM99,LISTES!$C$105:$C$109,0))=12,KN99/12*L99,KN99/365*M99),KO99*KL99)))</f>
        <v/>
      </c>
      <c r="KQ99" s="294" t="str">
        <f t="shared" si="719"/>
        <v/>
      </c>
      <c r="KR99" s="494" t="str">
        <f>IF(A99=FALSE,"",KQ99*Cotations!BT99)</f>
        <v/>
      </c>
      <c r="KS99" s="494" t="str">
        <f>IF(A99=FALSE,"",KQ99*Cotations!BU99)</f>
        <v/>
      </c>
      <c r="KT99" s="338" t="str">
        <f t="shared" si="720"/>
        <v/>
      </c>
      <c r="KU99" s="919" t="str">
        <f>IF(A99=FALSE,"",((KG99*TAXE)-(KG99*TAXE*KI99))+IF(KM99="N/A",0,IF(INDEX(LISTES!$F$105:$F$109,MATCH(KM99,LISTES!$C$105:$C$109,0))="FIX",KN99,KO99*KL99)))</f>
        <v/>
      </c>
      <c r="LA99" s="497" t="str">
        <f>IF(A99=FALSE,"",Cotations!D99)</f>
        <v/>
      </c>
      <c r="LB99" s="498" t="str">
        <f>IF(A99=FALSE,"",IF(LISTES!$A$17=1,Cotations!BV99,Cotations!$BW$4))</f>
        <v/>
      </c>
      <c r="LC99" s="499" t="str">
        <f t="shared" si="721"/>
        <v/>
      </c>
      <c r="LD99" s="499" t="str">
        <f t="shared" si="722"/>
        <v/>
      </c>
      <c r="LE99" s="500" t="str">
        <f t="shared" si="723"/>
        <v/>
      </c>
      <c r="LF99" s="501" t="str">
        <f>IF(A99=FALSE,"",IF(LA99="POEA",Cotations!EJ99,IF(LA99="FIXE",Cotations!$BY$4,Cotations!$CA$4*Y99)))</f>
        <v/>
      </c>
      <c r="LG99" s="502" t="str">
        <f t="shared" si="724"/>
        <v/>
      </c>
      <c r="LH99" s="520" t="str">
        <f>IF(A99=FALSE,"",IF(Cotations!$BX$4="monthly",LG99/12*L99,LG99/365*M99))</f>
        <v/>
      </c>
      <c r="LI99" s="503" t="str">
        <f>IF(A99=FALSE,"",Cotations!$CB$4)</f>
        <v/>
      </c>
      <c r="LJ99" s="502" t="str">
        <f t="shared" si="725"/>
        <v/>
      </c>
      <c r="LK99" s="502" t="str">
        <f t="shared" si="726"/>
        <v/>
      </c>
      <c r="LL99" s="504" t="str">
        <f t="shared" si="727"/>
        <v/>
      </c>
      <c r="LM99" s="505" t="str">
        <f>IF(A99=FALSE,"",Cotations!$CC$4)</f>
        <v/>
      </c>
      <c r="LN99" s="503" t="str">
        <f>IF(A99=FALSE,"",Cotations!$CD$4)</f>
        <v/>
      </c>
      <c r="LO99" s="503" t="str">
        <f>IF(A99=FALSE,"",Cotations!$CE$4)</f>
        <v/>
      </c>
      <c r="LP99" s="505" t="str">
        <f>IF(A99=FALSE,"",IF(LM99="N/A",0,IF(INDEX(LISTES!$F$105:$F$109,MATCH(LM99,LISTES!$C$105:$C$109,0))="FIX",IF(INDEX(LISTES!$E$105:$E$109,MATCH(LM99,LISTES!$C$105:$C$109,0))=12,LN99/12*L99,LN99/365*M99),LO99*LL99)))</f>
        <v/>
      </c>
      <c r="LQ99" s="504" t="str">
        <f t="shared" si="728"/>
        <v/>
      </c>
      <c r="LR99" s="505" t="str">
        <f>IF(A99=FALSE,"",LQ99*Cotations!$CF$4)</f>
        <v/>
      </c>
      <c r="LS99" s="505" t="str">
        <f>IF(A99=FALSE,"",LQ99*Cotations!$CG$4)</f>
        <v/>
      </c>
      <c r="LT99" s="506" t="str">
        <f t="shared" si="729"/>
        <v/>
      </c>
      <c r="LU99" s="919" t="str">
        <f>IF(A99=FALSE,"",((LG99*TAXE)-(LG99*TAXE*LI99))+IF(LM99="N/A",0,IF(INDEX(LISTES!$F$105:$F$109,MATCH(LM99,LISTES!$C$105:$C$109,0))="FIX",LN99,LO99*LL99)))</f>
        <v/>
      </c>
      <c r="MA99" s="492" t="str">
        <f>IF(A99=FALSE,"",Cotations!D99)</f>
        <v/>
      </c>
      <c r="MB99" s="491" t="str">
        <f>IF(A99=FALSE,"",IF(LISTES!$A$17=1,Cotations!BV99,Cotations!BW99))</f>
        <v/>
      </c>
      <c r="MC99" s="285" t="str">
        <f t="shared" si="730"/>
        <v/>
      </c>
      <c r="MD99" s="300"/>
      <c r="ME99" s="461" t="str">
        <f t="shared" si="731"/>
        <v/>
      </c>
      <c r="MF99" s="490" t="str">
        <f>IF(A99=FALSE,"",IF(MA99="POEA",Cotations!BY99,IF(MA99="FIXE",Cotations!BZ99,IF(Cotations!CA99*Y99&lt;50000,Z99,Cotations!CA99*Y99))))</f>
        <v/>
      </c>
      <c r="MG99" s="300" t="str">
        <f t="shared" si="732"/>
        <v/>
      </c>
      <c r="MH99" s="522" t="str">
        <f>IF(A99=FALSE,"",IF(Cotations!BX99="monthly",MG99/12*L99,MG99/365*M99))</f>
        <v/>
      </c>
      <c r="MI99" s="489" t="str">
        <f>IF(A99=FALSE,"",IF(Cotations!CB99="","",Cotations!CB99))</f>
        <v/>
      </c>
      <c r="MJ99" s="300" t="str">
        <f t="shared" si="733"/>
        <v/>
      </c>
      <c r="MK99" s="300" t="str">
        <f t="shared" si="734"/>
        <v/>
      </c>
      <c r="ML99" s="919" t="str">
        <f t="shared" si="735"/>
        <v/>
      </c>
      <c r="MM99" s="517" t="str">
        <f>IF(A99=FALSE,"",Cotations!CC99)</f>
        <v/>
      </c>
      <c r="MN99" s="515" t="str">
        <f>IF(A99=FALSE,"",Cotations!CD99)</f>
        <v/>
      </c>
      <c r="MO99" s="493" t="str">
        <f>IF(A99=FALSE,"",Cotations!CE99)</f>
        <v/>
      </c>
      <c r="MP99" s="517" t="str">
        <f>IF(A99=FALSE,"",IF(MM99="N/A",0,IF(INDEX(LISTES!$F$105:$F$109,MATCH(MM99,LISTES!$C$105:$C$109,0))="FIX",IF(INDEX(LISTES!$E$105:$E$109,MATCH(MM99,LISTES!$C$105:$C$109,0))=12,MN99/12*L99,MN99/365*M99),MO99*ML99)))</f>
        <v/>
      </c>
      <c r="MQ99" s="294" t="str">
        <f t="shared" si="736"/>
        <v/>
      </c>
      <c r="MR99" s="494" t="str">
        <f>IF(A99=FALSE,"",MQ99*Cotations!CF99)</f>
        <v/>
      </c>
      <c r="MS99" s="494" t="str">
        <f>IF(A99=FALSE,"",MQ99*Cotations!CG99)</f>
        <v/>
      </c>
      <c r="MT99" s="338" t="str">
        <f t="shared" si="737"/>
        <v/>
      </c>
      <c r="MU99" s="919" t="str">
        <f>IF(A99=FALSE,"",((MG99*TAXE)-(MG99*TAXE*MI99))+IF(MM99="N/A",0,IF(INDEX(LISTES!$F$105:$F$109,MATCH(MM99,LISTES!$C$105:$C$109,0))="FIX",MN99,MO99*ML99)))</f>
        <v/>
      </c>
      <c r="NA99" s="497" t="str">
        <f>IF(A99=FALSE,"",Cotations!D99)</f>
        <v/>
      </c>
      <c r="NB99" s="498" t="str">
        <f>IF(A99=FALSE,"",IF(LISTES!$A$17=1,Cotations!CH99,Cotations!$CI$4))</f>
        <v/>
      </c>
      <c r="NC99" s="499" t="str">
        <f t="shared" si="738"/>
        <v/>
      </c>
      <c r="ND99" s="499" t="str">
        <f t="shared" si="739"/>
        <v/>
      </c>
      <c r="NE99" s="500" t="str">
        <f t="shared" si="740"/>
        <v/>
      </c>
      <c r="NF99" s="501" t="str">
        <f>IF(A99=FALSE,"",IF(NA99="POEA",Cotations!CK99,IF(NA99="FIXE",Cotations!$CK$4,Cotations!$CM$4*Y99)))</f>
        <v/>
      </c>
      <c r="NG99" s="502" t="str">
        <f t="shared" si="741"/>
        <v/>
      </c>
      <c r="NH99" s="520" t="str">
        <f>IF(A99=FALSE,"",IF(Cotations!$CJ$4="monthly",NG99/12*L99,NG99/365*M99))</f>
        <v/>
      </c>
      <c r="NI99" s="503" t="str">
        <f>IF(A99=FALSE,"",Cotations!$CN$4)</f>
        <v/>
      </c>
      <c r="NJ99" s="502" t="str">
        <f t="shared" si="742"/>
        <v/>
      </c>
      <c r="NK99" s="502" t="str">
        <f t="shared" si="743"/>
        <v/>
      </c>
      <c r="NL99" s="504" t="str">
        <f t="shared" si="744"/>
        <v/>
      </c>
      <c r="NM99" s="505" t="str">
        <f>IF(A99=FALSE,"",Cotations!$CO$4)</f>
        <v/>
      </c>
      <c r="NN99" s="520" t="str">
        <f>IF(A99=FALSE,"",Cotations!$CP$4)</f>
        <v/>
      </c>
      <c r="NO99" s="503" t="str">
        <f>IF(A99=FALSE,"",Cotations!$CQ$4)</f>
        <v/>
      </c>
      <c r="NP99" s="505" t="str">
        <f>IF(A99=FALSE,"",IF(NM99="N/A",0,IF(INDEX(LISTES!$F$105:$F$109,MATCH(NM99,LISTES!$C$105:$C$109,0))="FIX",IF(INDEX(LISTES!$E$105:$E$109,MATCH(NM99,LISTES!$C$105:$C$109,0))=12,NN99/12*L99,NN99/365*M99),NO99*NL99)))</f>
        <v/>
      </c>
      <c r="NQ99" s="504" t="str">
        <f t="shared" si="745"/>
        <v/>
      </c>
      <c r="NR99" s="505" t="str">
        <f>IF(A99=FALSE,"",NQ99*Cotations!$CR$4)</f>
        <v/>
      </c>
      <c r="NS99" s="505" t="str">
        <f>IF(A99=FALSE,"",NQ99*Cotations!$CS$4)</f>
        <v/>
      </c>
      <c r="NT99" s="506" t="str">
        <f t="shared" si="746"/>
        <v/>
      </c>
      <c r="NU99" s="919" t="str">
        <f>IF(A99=FALSE,"",((NG99*TAXE)-(NG99*TAXE*NI99))+IF(NM99="N/A",0,IF(INDEX(LISTES!$F$105:$F$109,MATCH(NM99,LISTES!$C$105:$C$109,0))="FIX",NN99,NO99*NL99)))</f>
        <v/>
      </c>
      <c r="OA99" s="492" t="str">
        <f>IF(A99=FALSE,"",Cotations!D99)</f>
        <v/>
      </c>
      <c r="OB99" s="491" t="str">
        <f>IF(A99=FALSE,"",IF(LISTES!$A$17=1,Cotations!CH99,Cotations!CI99))</f>
        <v/>
      </c>
      <c r="OC99" s="285" t="str">
        <f t="shared" si="747"/>
        <v/>
      </c>
      <c r="OD99" s="300"/>
      <c r="OE99" s="461" t="str">
        <f t="shared" si="748"/>
        <v/>
      </c>
      <c r="OF99" s="490" t="str">
        <f>IF(A99=FALSE,"",IF(OA99="POEA",Cotations!CK99,IF(OA99="FIXE",Cotations!CL99,IF(Cotations!CM99*Y99&lt;50000,Z99,Cotations!CM99*Y99))))</f>
        <v/>
      </c>
      <c r="OG99" s="300" t="str">
        <f t="shared" si="749"/>
        <v/>
      </c>
      <c r="OH99" s="522" t="str">
        <f>IF(A99=FALSE,"",IF(Cotations!CJ99="monthly",OG99/12*L99,OG99/365*M99))</f>
        <v/>
      </c>
      <c r="OI99" s="489" t="str">
        <f>IF(A99=FALSE,"",IF(Cotations!CN99="","",Cotations!CN99))</f>
        <v/>
      </c>
      <c r="OJ99" s="300" t="str">
        <f t="shared" si="750"/>
        <v/>
      </c>
      <c r="OK99" s="300" t="str">
        <f t="shared" si="751"/>
        <v/>
      </c>
      <c r="OL99" s="919" t="str">
        <f t="shared" si="752"/>
        <v/>
      </c>
      <c r="OM99" s="517" t="str">
        <f>IF(A99=FALSE,"",Cotations!CO99)</f>
        <v/>
      </c>
      <c r="ON99" s="515" t="str">
        <f>IF(A99=FALSE,"",Cotations!CP99)</f>
        <v/>
      </c>
      <c r="OO99" s="493" t="str">
        <f>IF(A99=FALSE,"",Cotations!CQ99)</f>
        <v/>
      </c>
      <c r="OP99" s="517" t="str">
        <f>IF(A99=FALSE,"",IF(OM99="N/A",0,IF(INDEX(LISTES!$F$105:$F$109,MATCH(OM99,LISTES!$C$105:$C$109,0))="FIX",IF(INDEX(LISTES!$E$105:$E$109,MATCH(OM99,LISTES!$C$105:$C$109,0))=12,ON99/12*L99,ON99/365*M99),OO99*OL99)))</f>
        <v/>
      </c>
      <c r="OQ99" s="294" t="str">
        <f t="shared" si="753"/>
        <v/>
      </c>
      <c r="OR99" s="494" t="str">
        <f>IF(A99=FALSE,"",OQ99*Cotations!CR99)</f>
        <v/>
      </c>
      <c r="OS99" s="494" t="str">
        <f>IF(A99=FALSE,"",OQ99*Cotations!CS99)</f>
        <v/>
      </c>
      <c r="OT99" s="338" t="str">
        <f t="shared" si="754"/>
        <v/>
      </c>
      <c r="OU99" s="919" t="str">
        <f>IF(A99=FALSE,"",((OG99*TAXE)-(OG99*TAXE*OI99))+IF(OM99="N/A",0,IF(INDEX(LISTES!$F$105:$F$109,MATCH(OM99,LISTES!$C$105:$C$109,0))="FIX",ON99,OO99*OL99)))</f>
        <v/>
      </c>
      <c r="PA99" s="497" t="str">
        <f t="shared" si="755"/>
        <v/>
      </c>
      <c r="PB99" s="498" t="str">
        <f>IF(A99=FALSE,"",IF(LISTES!$A$17=1,Cotations!CT99,Cotations!$CU$4))</f>
        <v/>
      </c>
      <c r="PC99" s="499" t="str">
        <f t="shared" si="756"/>
        <v/>
      </c>
      <c r="PD99" s="499" t="str">
        <f t="shared" si="757"/>
        <v/>
      </c>
      <c r="PE99" s="500" t="str">
        <f t="shared" si="758"/>
        <v/>
      </c>
      <c r="PF99" s="501" t="str">
        <f>IF(A99=FALSE,"",Cotations!$CY$4*Y99)</f>
        <v/>
      </c>
      <c r="PG99" s="502" t="str">
        <f t="shared" si="759"/>
        <v/>
      </c>
      <c r="PH99" s="520" t="str">
        <f>IF(A99=FALSE,"",IF(Cotations!$CV$4="monthly",PG99/12*L99,PG99/365*M99))</f>
        <v/>
      </c>
      <c r="PI99" s="503" t="str">
        <f>IF(A99=FALSE,"",Cotations!$CZ$4)</f>
        <v/>
      </c>
      <c r="PJ99" s="502" t="str">
        <f t="shared" si="760"/>
        <v/>
      </c>
      <c r="PK99" s="502" t="str">
        <f t="shared" si="761"/>
        <v/>
      </c>
      <c r="PL99" s="504" t="str">
        <f t="shared" si="762"/>
        <v/>
      </c>
      <c r="PM99" s="505" t="str">
        <f>IF(A99=FALSE,"",Cotations!$DA$4)</f>
        <v/>
      </c>
      <c r="PN99" s="520" t="str">
        <f>IF(A99=FALSE,"",Cotations!$DB$4)</f>
        <v/>
      </c>
      <c r="PO99" s="503" t="str">
        <f>IF(A99=FALSE,"",Cotations!$DC$4)</f>
        <v/>
      </c>
      <c r="PP99" s="505" t="str">
        <f>IF(A99=FALSE,"",IF(PM99="N/A",0,IF(INDEX(LISTES!$F$105:$F$109,MATCH(PM99,LISTES!$C$105:$C$109,0))="FIX",IF(INDEX(LISTES!$E$105:$E$109,MATCH(PM99,LISTES!$C$105:$C$109,0))=12,PN99/12*L99,PN99/365*M99),PO99*PL99)))</f>
        <v/>
      </c>
      <c r="PQ99" s="504" t="str">
        <f t="shared" si="763"/>
        <v/>
      </c>
      <c r="PR99" s="505" t="str">
        <f>IF(A99=FALSE,"",PQ99*Cotations!$DD$4)</f>
        <v/>
      </c>
      <c r="PS99" s="505" t="str">
        <f>IF(A99=FALSE,"",PQ99*Cotations!$DE$4)</f>
        <v/>
      </c>
      <c r="PT99" s="506" t="str">
        <f t="shared" si="764"/>
        <v/>
      </c>
      <c r="PU99" s="919" t="str">
        <f>IF(A99=FALSE,"",((PG99*TAXE)-(PG99*TAXE*PI99))+IF(PM99="N/A",0,IF(INDEX(LISTES!$F$105:$F$109,MATCH(PM99,LISTES!$C$105:$C$109,0))="FIX",PN99,PO99*PL99)))</f>
        <v/>
      </c>
      <c r="QA99" s="492" t="str">
        <f t="shared" si="765"/>
        <v/>
      </c>
      <c r="QB99" s="491" t="str">
        <f>IF(A99=FALSE,"",IF(LISTES!$A$17=1,Cotations!CT99,Cotations!CU99))</f>
        <v/>
      </c>
      <c r="QC99" s="285" t="str">
        <f t="shared" si="766"/>
        <v/>
      </c>
      <c r="QD99" s="300"/>
      <c r="QE99" s="461" t="str">
        <f t="shared" si="767"/>
        <v/>
      </c>
      <c r="QF99" s="490" t="str">
        <f>IF(A99=FALSE,"",Cotations!CY99*AA99)</f>
        <v/>
      </c>
      <c r="QG99" s="300" t="str">
        <f t="shared" si="768"/>
        <v/>
      </c>
      <c r="QH99" s="522" t="str">
        <f>IF(A99=FALSE,"",IF(Cotations!CV99="monthly",QG99/12*L99,QG99/365*M99))</f>
        <v/>
      </c>
      <c r="QI99" s="489" t="str">
        <f>IF(A99=FALSE,"",IF(Cotations!CZ99="","",Cotations!CZ99))</f>
        <v/>
      </c>
      <c r="QJ99" s="300" t="str">
        <f t="shared" si="769"/>
        <v/>
      </c>
      <c r="QK99" s="300" t="str">
        <f t="shared" si="770"/>
        <v/>
      </c>
      <c r="QL99" s="919" t="str">
        <f t="shared" si="771"/>
        <v/>
      </c>
      <c r="QM99" s="517" t="str">
        <f>IF(A99=FALSE,"",Cotations!DA99)</f>
        <v/>
      </c>
      <c r="QN99" s="515" t="str">
        <f>IF(A99=FALSE,"",Cotations!DB99)</f>
        <v/>
      </c>
      <c r="QO99" s="493" t="str">
        <f>IF(A99=FALSE,"",Cotations!DC99)</f>
        <v/>
      </c>
      <c r="QP99" s="517" t="str">
        <f>IF(A99=FALSE,"",IF(QM99="N/A",0,IF(INDEX(LISTES!$F$105:$F$109,MATCH(QM99,LISTES!$C$105:$C$109,0))="FIX",IF(INDEX(LISTES!$E$105:$E$109,MATCH(QM99,LISTES!$C$105:$C$109,0))=12,QN99/12*L99,QN99/365*M99),QO99*QL99)))</f>
        <v/>
      </c>
      <c r="QQ99" s="294" t="str">
        <f t="shared" si="772"/>
        <v/>
      </c>
      <c r="QR99" s="494" t="str">
        <f>IF(A99=FALSE,"",QQ99*Cotations!DD99)</f>
        <v/>
      </c>
      <c r="QS99" s="494" t="str">
        <f>IF(A99=FALSE,"",QQ99*Cotations!DE99)</f>
        <v/>
      </c>
      <c r="QT99" s="338" t="str">
        <f t="shared" si="773"/>
        <v/>
      </c>
      <c r="QU99" s="919" t="str">
        <f>IF(A99=FALSE,"",((QG99*TAXE)-(QG99*TAXE*QI99))+IF(QM99="N/A",0,IF(INDEX(LISTES!$F$105:$F$109,MATCH(QM99,LISTES!$C$105:$C$109,0))="FIX",QN99,QO99*QL99)))</f>
        <v/>
      </c>
      <c r="RA99" s="497" t="str">
        <f t="shared" si="774"/>
        <v/>
      </c>
      <c r="RB99" s="498" t="str">
        <f>IF(A99=FALSE,"",IF(LISTES!$A$17=1,Cotations!DF99,Cotations!$DG$4))</f>
        <v/>
      </c>
      <c r="RC99" s="499" t="str">
        <f t="shared" si="775"/>
        <v/>
      </c>
      <c r="RD99" s="499" t="str">
        <f t="shared" si="776"/>
        <v/>
      </c>
      <c r="RE99" s="500" t="str">
        <f t="shared" si="777"/>
        <v/>
      </c>
      <c r="RF99" s="501" t="str">
        <f>IF(A99=FALSE,"",Cotations!$DK$4*Y99)</f>
        <v/>
      </c>
      <c r="RG99" s="502" t="str">
        <f t="shared" si="778"/>
        <v/>
      </c>
      <c r="RH99" s="520" t="str">
        <f>IF(A99=FALSE,"",IF(Cotations!$DH$4="monthly",RG99/12*L99,RG99/365*M99))</f>
        <v/>
      </c>
      <c r="RI99" s="503" t="str">
        <f>IF(A99=FALSE,"",Cotations!$DL$4)</f>
        <v/>
      </c>
      <c r="RJ99" s="502" t="str">
        <f t="shared" si="779"/>
        <v/>
      </c>
      <c r="RK99" s="502" t="str">
        <f t="shared" si="780"/>
        <v/>
      </c>
      <c r="RL99" s="504" t="str">
        <f t="shared" si="781"/>
        <v/>
      </c>
      <c r="RM99" s="505" t="str">
        <f>IF(A99=FALSE,"",Cotations!$DM$4)</f>
        <v/>
      </c>
      <c r="RN99" s="520" t="str">
        <f>IF(A99=FALSE,"",Cotations!$DN$4)</f>
        <v/>
      </c>
      <c r="RO99" s="503" t="str">
        <f>IF(A99=FALSE,"",Cotations!$DO$4)</f>
        <v/>
      </c>
      <c r="RP99" s="505" t="str">
        <f>IF(A99=FALSE,"",IF(RM99="N/A",0,IF(INDEX(LISTES!$F$105:$F$109,MATCH(RM99,LISTES!$C$105:$C$109,0))="FIX",IF(INDEX(LISTES!$E$105:$E$109,MATCH(RM99,LISTES!$C$105:$C$109,0))=12,RN99/12*L99,RN99/365*M99),RO99*RL99)))</f>
        <v/>
      </c>
      <c r="RQ99" s="504" t="str">
        <f t="shared" si="782"/>
        <v/>
      </c>
      <c r="RR99" s="505" t="str">
        <f>IF(A99=FALSE,"",RQ99*Cotations!$DP$4)</f>
        <v/>
      </c>
      <c r="RS99" s="505" t="str">
        <f>IF(A99=FALSE,"",RQ99*Cotations!$DQ$4)</f>
        <v/>
      </c>
      <c r="RT99" s="506" t="str">
        <f t="shared" si="783"/>
        <v/>
      </c>
      <c r="RU99" s="919" t="str">
        <f>IF(A99=FALSE,"",((RG99*TAXE)-(RG99*TAXE*RI99))+IF(RM99="N/A",0,IF(INDEX(LISTES!$F$105:$F$109,MATCH(RM99,LISTES!$C$105:$C$109,0))="FIX",RN99,RO99*RL99)))</f>
        <v/>
      </c>
      <c r="SA99" s="492" t="str">
        <f t="shared" si="784"/>
        <v/>
      </c>
      <c r="SB99" s="491" t="str">
        <f>IF(A99=FALSE,"",IF(LISTES!$A$17=1,Cotations!DF99,Cotations!DG99))</f>
        <v/>
      </c>
      <c r="SC99" s="285" t="str">
        <f t="shared" si="785"/>
        <v/>
      </c>
      <c r="SD99" s="300"/>
      <c r="SE99" s="461" t="str">
        <f t="shared" si="786"/>
        <v/>
      </c>
      <c r="SF99" s="490" t="str">
        <f>IF(A99=FALSE,"",Cotations!DK99*AA99)</f>
        <v/>
      </c>
      <c r="SG99" s="300" t="str">
        <f t="shared" si="787"/>
        <v/>
      </c>
      <c r="SH99" s="522" t="str">
        <f>IF(A99=FALSE,"",IF(Cotations!DH99="monthly",SG99/12*L99,SG99/365*M99))</f>
        <v/>
      </c>
      <c r="SI99" s="489" t="str">
        <f>IF(A99=FALSE,"",IF(Cotations!DL99="","",Cotations!DL99))</f>
        <v/>
      </c>
      <c r="SJ99" s="300" t="str">
        <f t="shared" si="788"/>
        <v/>
      </c>
      <c r="SK99" s="300" t="str">
        <f t="shared" si="789"/>
        <v/>
      </c>
      <c r="SL99" s="919" t="str">
        <f t="shared" si="790"/>
        <v/>
      </c>
      <c r="SM99" s="285" t="str">
        <f>IF(A99=FALSE,"",Cotations!DM99)</f>
        <v/>
      </c>
      <c r="SN99" s="515" t="str">
        <f>IF(A99=FALSE,"",Cotations!DN99)</f>
        <v/>
      </c>
      <c r="SO99" s="493" t="str">
        <f>IF(A99=FALSE,"",Cotations!DO99)</f>
        <v/>
      </c>
      <c r="SP99" s="517" t="str">
        <f>IF(A99=FALSE,"",IF(SM99="N/A",0,IF(INDEX(LISTES!$F$105:$F$109,MATCH(SM99,LISTES!$C$105:$C$109,0))="FIX",IF(INDEX(LISTES!$E$105:$E$109,MATCH(SM99,LISTES!$C$105:$C$109,0))=12,SN99/12*L99,SN99/365*M99),SO99*SL99)))</f>
        <v/>
      </c>
      <c r="SQ99" s="294" t="str">
        <f t="shared" si="791"/>
        <v/>
      </c>
      <c r="SR99" s="494" t="str">
        <f>IF(A99=FALSE,"",SQ99*Cotations!DP99)</f>
        <v/>
      </c>
      <c r="SS99" s="494" t="str">
        <f>IF(A99=FALSE,"",SQ99*Cotations!DQ99)</f>
        <v/>
      </c>
      <c r="ST99" s="338" t="str">
        <f t="shared" si="792"/>
        <v/>
      </c>
      <c r="SU99" s="919" t="str">
        <f>IF(A99=FALSE,"",((SG99*TAXE)-(SG99*TAXE*SI99))+IF(SM99="N/A",0,IF(INDEX(LISTES!$F$105:$F$109,MATCH(SM99,LISTES!$C$105:$C$109,0))="FIX",SN99,SO99*SL99)))</f>
        <v/>
      </c>
      <c r="TA99" s="492" t="str">
        <f>IF(A99=FALSE,"",Cotations!D99)</f>
        <v/>
      </c>
      <c r="TB99" s="491" t="str">
        <f>IF(A99=FALSE,"",IF(LISTES!$A$17=1,Cotations!DR99,Cotations!DS99))</f>
        <v/>
      </c>
      <c r="TC99" s="285" t="str">
        <f t="shared" si="793"/>
        <v/>
      </c>
      <c r="TD99" s="300" t="str">
        <f>IF(A99=FALSE,"",Detail!CQ99)</f>
        <v/>
      </c>
      <c r="TE99" s="461" t="str">
        <f t="shared" si="794"/>
        <v/>
      </c>
      <c r="TF99" s="490" t="str">
        <f>IF(A99=FALSE,"",IF(TA99="FIXE",Cotations!DU99,Cotations!DV99*Y99))</f>
        <v/>
      </c>
      <c r="TG99" s="300" t="str">
        <f t="shared" si="795"/>
        <v/>
      </c>
      <c r="TH99" s="522" t="str">
        <f>IF(A99=FALSE,"",IF(Cotations!DT99="monthly",TG99/12*L99,TG99/365*M99))</f>
        <v/>
      </c>
      <c r="TI99" s="489" t="str">
        <f>IF(A99=FALSE,"",IF(Cotations!DW99="","",Cotations!DW99))</f>
        <v/>
      </c>
      <c r="TJ99" s="300" t="str">
        <f t="shared" si="796"/>
        <v/>
      </c>
      <c r="TK99" s="300" t="str">
        <f t="shared" si="797"/>
        <v/>
      </c>
      <c r="TL99" s="919" t="str">
        <f t="shared" si="798"/>
        <v/>
      </c>
      <c r="TM99" s="517" t="str">
        <f>IF(A99=FALSE,"",Cotations!DX99)</f>
        <v/>
      </c>
      <c r="TN99" s="517" t="str">
        <f>IF(A99=FALSE,"",Cotations!DY99)</f>
        <v/>
      </c>
      <c r="TO99" s="493" t="str">
        <f>IF(A99=FALSE,"",Cotations!DZ99)</f>
        <v/>
      </c>
      <c r="TP99" s="517" t="str">
        <f>IF(A99=FALSE,"",IF(TM99="N/A",0,IF(INDEX(LISTES!$F$105:$F$109,MATCH(TM99,LISTES!$C$105:$C$109,0))="FIX",IF(INDEX(LISTES!$E$105:$E$109,MATCH(TM99,LISTES!$C$105:$C$109,0))=12,TN99/12*L99,TN99/365*M99),TO99*TL99)))</f>
        <v/>
      </c>
      <c r="TQ99" s="294" t="str">
        <f t="shared" si="799"/>
        <v/>
      </c>
      <c r="TR99" s="494" t="str">
        <f>IF(A99=FALSE,"",TQ99*Cotations!EA99)</f>
        <v/>
      </c>
      <c r="TS99" s="494" t="str">
        <f>IF(A99=FALSE,"",TQ99*Cotations!EB99)</f>
        <v/>
      </c>
      <c r="TT99" s="338" t="str">
        <f t="shared" si="800"/>
        <v/>
      </c>
      <c r="TU99" s="919" t="str">
        <f>IF(A99=FALSE,"",((TG99*(1+TAXE)-(TG99*(1+TAXE)*TI99))+IF(TM99="N/A",0,IF(INDEX(LISTES!$F$105:$F$109,MATCH(TM99,LISTES!$C$105:$C$109,0))="FIX",TN99,TO99*TL99))))</f>
        <v/>
      </c>
      <c r="UA99" s="492" t="str">
        <f>IF(A99=FALSE,"",Cotations!D99)</f>
        <v/>
      </c>
      <c r="UB99" s="491" t="str">
        <f>IF(A99=FALSE,"",IF(LISTES!$A$17=1,Cotations!EC99,Cotations!ED99))</f>
        <v/>
      </c>
      <c r="UC99" s="285" t="str">
        <f t="shared" si="801"/>
        <v/>
      </c>
      <c r="UD99" s="300" t="str">
        <f>IF(A99=FALSE,"",Detail!CY99)</f>
        <v/>
      </c>
      <c r="UE99" s="461" t="str">
        <f t="shared" si="802"/>
        <v/>
      </c>
      <c r="UF99" s="490" t="str">
        <f>IF(A99=FALSE,"",IF(UA99="FIXE",Cotations!EF99,Cotations!EG99*Y99))</f>
        <v/>
      </c>
      <c r="UG99" s="300" t="str">
        <f t="shared" si="803"/>
        <v/>
      </c>
      <c r="UH99" s="522" t="str">
        <f>IF(A99=FALSE,"",IF(Cotations!EE99="monthly",UG99/12*L99,UG99/365*M99))</f>
        <v/>
      </c>
      <c r="UI99" s="489" t="str">
        <f>IF(A99=FALSE,"",IF(Cotations!EH99="","",Cotations!EH99))</f>
        <v/>
      </c>
      <c r="UJ99" s="300" t="str">
        <f t="shared" si="804"/>
        <v/>
      </c>
      <c r="UK99" s="300" t="str">
        <f t="shared" si="805"/>
        <v/>
      </c>
      <c r="UL99" s="919" t="str">
        <f t="shared" si="806"/>
        <v/>
      </c>
      <c r="UM99" s="517" t="str">
        <f>IF(A99=FALSE,"",Cotations!EI99)</f>
        <v/>
      </c>
      <c r="UN99" s="517" t="str">
        <f>IF(A99=FALSE,"",Cotations!EJ99)</f>
        <v/>
      </c>
      <c r="UO99" s="493" t="str">
        <f>IF(A99=FALSE,"",Cotations!EK99)</f>
        <v/>
      </c>
      <c r="UP99" s="517" t="str">
        <f>IF(A99=FALSE,"",IF(UM99="N/A",0,IF(INDEX(LISTES!$F$105:$F$109,MATCH(UM99,LISTES!$C$105:$C$109,0))="FIX",IF(INDEX(LISTES!$E$105:$E$109,MATCH(UM99,LISTES!$C$105:$C$109,0))=12,UN99/12*L99,UN99/365*M99),UO99*UL99)))</f>
        <v/>
      </c>
      <c r="UQ99" s="294" t="str">
        <f t="shared" si="807"/>
        <v/>
      </c>
      <c r="UR99" s="494" t="str">
        <f>IF(A99=FALSE,"",UQ99*Cotations!EL99)</f>
        <v/>
      </c>
      <c r="US99" s="494" t="str">
        <f>IF(A99=FALSE,"",UQ99*Cotations!EM99)</f>
        <v/>
      </c>
      <c r="UT99" s="338" t="str">
        <f t="shared" si="808"/>
        <v/>
      </c>
      <c r="UU99" s="919" t="str">
        <f>IF(A99=FALSE,"",((UG99*(1+TAXE)-(UG99*(1+TAXE)*UI99))+IF(UM99="N/A",0,IF(INDEX(LISTES!$F$105:$F$109,MATCH(UM99,LISTES!$C$105:$C$109,0))="FIX",UN99,UO99*UL99))))</f>
        <v/>
      </c>
      <c r="VA99" s="492" t="str">
        <f>IF(A99=FALSE,"",Cotations!D99)</f>
        <v/>
      </c>
      <c r="VB99" s="519" t="str">
        <f>IF(A99=FALSE,"",IF(LISTES!$A$17=1,Cotations!EN99,Cotations!EO99))</f>
        <v/>
      </c>
      <c r="VC99" s="291" t="str">
        <f t="shared" si="809"/>
        <v/>
      </c>
      <c r="VD99" s="291" t="str">
        <f t="shared" si="810"/>
        <v/>
      </c>
      <c r="VE99" s="291"/>
      <c r="VF99" s="463"/>
      <c r="VG99" s="463" t="str">
        <f t="shared" si="811"/>
        <v/>
      </c>
      <c r="VH99" s="522" t="str">
        <f>IF(A99=FALSE,"",IF(Cotations!$AQ$4="monthly",VG99/12*L99,VG99/365*M99))</f>
        <v/>
      </c>
      <c r="VI99" s="489" t="str">
        <f>IF(A99=FALSE,"",Cotations!$AR$4)</f>
        <v/>
      </c>
      <c r="VJ99" s="300" t="str">
        <f t="shared" si="812"/>
        <v/>
      </c>
      <c r="VK99" s="300" t="str">
        <f t="shared" si="813"/>
        <v/>
      </c>
      <c r="VL99" s="294" t="str">
        <f t="shared" si="814"/>
        <v/>
      </c>
      <c r="VM99" s="494" t="str">
        <f>IF(A99=FALSE,"",Cotations!$AS$4)</f>
        <v/>
      </c>
      <c r="VN99" s="494" t="str">
        <f>IF(A99=FALSE,"",Cotations!$AT$4)</f>
        <v/>
      </c>
      <c r="VO99" s="489" t="str">
        <f>IF(A99=FALSE,"",Cotations!$AU$4)</f>
        <v/>
      </c>
      <c r="VP99" s="494" t="str">
        <f>IF(A99=FALSE,"",IF(VM99="N/A",0,IF(INDEX(LISTES!$F$105:$F$109,MATCH(VM99,LISTES!$C$105:$C$109,0))="FIX",IF(INDEX(LISTES!$E$105:$E$109,MATCH(VM99,LISTES!$C$105:$C$109,0))=12,VN99/12*L99,VN99/365*M99),VO99*VL99)))</f>
        <v/>
      </c>
      <c r="VQ99" s="294" t="str">
        <f t="shared" si="815"/>
        <v/>
      </c>
      <c r="VR99" s="494" t="str">
        <f>IF(A99=FALSE,"",VQ99*Cotations!$AV$4)</f>
        <v/>
      </c>
      <c r="VS99" s="494" t="str">
        <f>IF(A99=FALSE,"",VQ99*Cotations!$AW$4)</f>
        <v/>
      </c>
      <c r="VT99" s="465" t="str">
        <f t="shared" si="816"/>
        <v/>
      </c>
      <c r="VU99" s="919" t="str">
        <f>IF(A99=FALSE,"",((VG99*TAXE)-(VG99*TAXE*VI99))+IF(VM99="N/A",0,IF(INDEX(LISTES!$F$105:$F$109,MATCH(VM99,LISTES!$C$105:$C$109,0))="FIX",VN99,VO99*VL99)))</f>
        <v/>
      </c>
      <c r="WA99" s="492" t="str">
        <f>IF(A99=FALSE,"",Cotations!D99)</f>
        <v/>
      </c>
      <c r="WB99" s="519" t="str">
        <f>IF(A99=FALSE,"",IF(LISTES!$A$17=1,Cotations!EW99,Cotations!EX99))</f>
        <v/>
      </c>
      <c r="WC99" s="291" t="str">
        <f t="shared" si="817"/>
        <v/>
      </c>
      <c r="WD99" s="291" t="str">
        <f t="shared" si="818"/>
        <v/>
      </c>
      <c r="WE99" s="291"/>
      <c r="WF99" s="463"/>
      <c r="WG99" s="463" t="str">
        <f t="shared" si="819"/>
        <v/>
      </c>
      <c r="WH99" s="522" t="str">
        <f>IF(A99=FALSE,"",IF(Cotations!$AQ$4="monthly",WG99/12*L99,WG99/365*M99))</f>
        <v/>
      </c>
      <c r="WI99" s="489" t="str">
        <f>IF(A99=FALSE,"",Cotations!$AR$4)</f>
        <v/>
      </c>
      <c r="WJ99" s="300" t="str">
        <f t="shared" si="820"/>
        <v/>
      </c>
      <c r="WK99" s="300" t="str">
        <f t="shared" si="821"/>
        <v/>
      </c>
      <c r="WL99" s="294" t="str">
        <f t="shared" si="822"/>
        <v/>
      </c>
      <c r="WM99" s="494" t="str">
        <f>IF(A99=FALSE,"",Cotations!$AS$4)</f>
        <v/>
      </c>
      <c r="WN99" s="494" t="str">
        <f>IF(A99=FALSE,"",Cotations!$AT$4)</f>
        <v/>
      </c>
      <c r="WO99" s="489" t="str">
        <f>IF(A99=FALSE,"",Cotations!$AU$4)</f>
        <v/>
      </c>
      <c r="WP99" s="494" t="str">
        <f>IF(A99=FALSE,"",IF(WM99="N/A",0,IF(INDEX(LISTES!$F$105:$F$109,MATCH(WM99,LISTES!$C$105:$C$109,0))="FIX",IF(INDEX(LISTES!$E$105:$E$109,MATCH(WM99,LISTES!$C$105:$C$109,0))=12,WN99/12*L99,WN99/365*M99),WO99*WL99)))</f>
        <v/>
      </c>
      <c r="WQ99" s="294" t="str">
        <f t="shared" si="823"/>
        <v/>
      </c>
      <c r="WR99" s="494" t="str">
        <f>IF(A99=FALSE,"",WQ99*Cotations!$AV$4)</f>
        <v/>
      </c>
      <c r="WS99" s="494" t="str">
        <f>IF(A99=FALSE,"",WQ99*Cotations!$AW$4)</f>
        <v/>
      </c>
      <c r="WT99" s="465" t="str">
        <f t="shared" si="824"/>
        <v/>
      </c>
      <c r="WU99" s="919" t="str">
        <f>IF(A99=FALSE,"",((WG99*TAXE)-(WG99*TAXE*WI99))+IF(WM99="N/A",0,IF(INDEX(LISTES!$F$105:$F$109,MATCH(WM99,LISTES!$C$105:$C$109,0))="FIX",WN99,WO99*WL99)))</f>
        <v/>
      </c>
    </row>
    <row r="100" spans="1:619">
      <c r="A100" s="942" t="b">
        <f t="shared" si="629"/>
        <v>0</v>
      </c>
      <c r="B100" s="942" t="b">
        <f>IF(NAMES!$B$9=TRUE,TRUE,FALSE)</f>
        <v>1</v>
      </c>
      <c r="C100" s="942" t="b">
        <f t="shared" si="825"/>
        <v>0</v>
      </c>
      <c r="D100" s="942" t="b">
        <f t="shared" si="826"/>
        <v>0</v>
      </c>
      <c r="E100" s="274" t="b">
        <f>IF(Cotations!C100="","",Cotations!C100)</f>
        <v>0</v>
      </c>
      <c r="F100" s="274" t="str">
        <f>IF(Cotations!D100="","",Cotations!D100)</f>
        <v>PROP</v>
      </c>
      <c r="G100" s="274" t="str">
        <f>IF(Cotations!E100="","",Cotations!E100)</f>
        <v>2016-2017!</v>
      </c>
      <c r="H100" s="274" t="str">
        <f>IF(Cotations!F100="","",Cotations!F100)</f>
        <v>SINGLE</v>
      </c>
      <c r="I100" s="274" t="str">
        <f>IF(Cotations!G100="","",Cotations!G100)</f>
        <v/>
      </c>
      <c r="J100" s="274" t="str">
        <f>IF(Cotations!H100="","",Cotations!H100)</f>
        <v/>
      </c>
      <c r="K100" s="274" t="str">
        <f>IF(Cotations!I100="","",Cotations!I100)</f>
        <v/>
      </c>
      <c r="L100" s="274" t="str">
        <f>IF(A100=FALSE,"",IF(Cotations!N100="","",Cotations!N100))</f>
        <v/>
      </c>
      <c r="M100" s="274" t="str">
        <f>IF(Cotations!P100="","",Cotations!P100)</f>
        <v/>
      </c>
      <c r="N100" s="724" t="str">
        <f>IF(NAMES!$B$10=TRUE,Cotations!J100,Cotations!L100)</f>
        <v/>
      </c>
      <c r="O100" s="724" t="str">
        <f>IF(NAMES!$B$10=TRUE,Cotations!K100,Cotations!M100)</f>
        <v/>
      </c>
      <c r="P100" s="943" t="str">
        <f t="shared" si="827"/>
        <v/>
      </c>
      <c r="Q100" s="724" t="str">
        <f>IF(A100=FALSE,"",IF(Crewlist!Y100="","",Crewlist!Y100))</f>
        <v/>
      </c>
      <c r="R100" s="78" t="str">
        <f>IF(Cotations!U100="","",Cotations!U100)</f>
        <v/>
      </c>
      <c r="S100" s="943" t="str">
        <f t="shared" si="828"/>
        <v/>
      </c>
      <c r="T100" s="919" t="str">
        <f>IF(A100=FALSE,"",VLOOKUP($U$15:$U$120,Currency!$A$2:$D$10,4,0)*Crewlist!N100)</f>
        <v/>
      </c>
      <c r="U100" s="1355" t="str">
        <f>IF(A100=FALSE,"",IF(IT100=0,Crewlist!M100&amp;"/"&amp;EX100,Crewlist!M100&amp;"/"&amp;IT100))</f>
        <v/>
      </c>
      <c r="V100" s="919" t="str">
        <f>IF(A100=FALSE,"",VLOOKUP($U$15:$U$120,Currency!$A$2:$D$10,4,0)*Detail!Q100)</f>
        <v/>
      </c>
      <c r="W100" s="1355" t="str">
        <f>IF(A100=FALSE,"",IF(IT100=0,Detail!R100&amp;"/"&amp;EX100,Detail!R100&amp;"/"&amp;IT100))</f>
        <v/>
      </c>
      <c r="X100" s="919" t="str">
        <f>IF(A100=FALSE,"",IF(LISTES!$C$17="Crewlist",Calcul!T100,Calcul!V100))</f>
        <v/>
      </c>
      <c r="Y100" s="758" t="str">
        <f t="shared" si="829"/>
        <v/>
      </c>
      <c r="Z100" s="758" t="str">
        <f>IF(A100=FALSE,"",IF(X100=0,0,IF((Cotations!BC100*12*X100)&lt;50000,50000,(12*X100))))</f>
        <v/>
      </c>
      <c r="AA100" s="758" t="str">
        <f t="shared" si="830"/>
        <v/>
      </c>
      <c r="AB100" s="758" t="str">
        <f>IF(A100=FALSE,"",IF(Crewlist!O100=0,"",Crewlist!O100))</f>
        <v/>
      </c>
      <c r="AC100" s="758" t="str">
        <f>IF(I100="","",VLOOKUP($AB$15:$AB$120,Currency!$A$15:$B$34,2,0))</f>
        <v/>
      </c>
      <c r="AD100" s="758" t="str">
        <f t="shared" si="831"/>
        <v/>
      </c>
      <c r="AE100" s="758" t="str">
        <f t="shared" si="832"/>
        <v/>
      </c>
      <c r="AF100" s="758" t="str">
        <f t="shared" si="833"/>
        <v/>
      </c>
      <c r="AG100" s="758" t="str">
        <f t="shared" si="834"/>
        <v/>
      </c>
      <c r="AH100" s="1355" t="str">
        <f t="shared" si="630"/>
        <v/>
      </c>
      <c r="AI100" s="919" t="str">
        <f t="shared" si="835"/>
        <v/>
      </c>
      <c r="AJ100" s="1382" t="str">
        <f t="shared" si="836"/>
        <v/>
      </c>
      <c r="AK100" s="1382" t="str">
        <f t="shared" si="837"/>
        <v/>
      </c>
      <c r="AL100" s="238" t="str">
        <f t="shared" si="631"/>
        <v/>
      </c>
      <c r="AM100" s="238" t="str">
        <f t="shared" si="632"/>
        <v/>
      </c>
      <c r="AN100" s="1374" t="str">
        <f t="shared" si="633"/>
        <v/>
      </c>
      <c r="AO100" s="238" t="str">
        <f t="shared" si="634"/>
        <v/>
      </c>
      <c r="AP100" s="342" t="str">
        <f>IF(A100=FALSE,"",INDEX(Rates!$Z$5:$Z$367,MATCH(EB100,colchoice,0)))</f>
        <v/>
      </c>
      <c r="AQ100" s="238" t="str">
        <f t="shared" si="635"/>
        <v/>
      </c>
      <c r="AR100" s="238" t="str">
        <f t="shared" si="636"/>
        <v/>
      </c>
      <c r="AS100" s="238" t="str">
        <f t="shared" si="637"/>
        <v/>
      </c>
      <c r="AT100" s="238" t="str">
        <f t="shared" si="638"/>
        <v/>
      </c>
      <c r="AU100" s="238" t="str">
        <f t="shared" si="639"/>
        <v/>
      </c>
      <c r="AV100" s="238" t="str">
        <f t="shared" si="838"/>
        <v/>
      </c>
      <c r="AW100" s="238" t="str">
        <f t="shared" si="640"/>
        <v/>
      </c>
      <c r="AX100" s="238" t="str">
        <f t="shared" si="641"/>
        <v/>
      </c>
      <c r="AY100" s="238" t="str">
        <f t="shared" si="642"/>
        <v/>
      </c>
      <c r="AZ100" s="238" t="str">
        <f t="shared" si="643"/>
        <v/>
      </c>
      <c r="BA100" s="238" t="str">
        <f t="shared" si="644"/>
        <v/>
      </c>
      <c r="BB100" s="552" t="str">
        <f t="shared" si="645"/>
        <v/>
      </c>
      <c r="BC100" s="347" t="str">
        <f t="shared" si="646"/>
        <v/>
      </c>
      <c r="BD100" s="239" t="str">
        <f t="shared" si="839"/>
        <v/>
      </c>
      <c r="BE100" s="239" t="str">
        <f>IF(A100=FALSE,"",IF(ALLTHESAME=TRUE,IF(DF100&lt;&gt;$BC$7,0,INDEX(DD100:DZ100,1,MATCH(Structure!$D$12,$DD$14:$DZ$14,0))),IF(EC100&lt;&gt;$BC$7,0,INDEX(EA100:EZ100,1,MATCH(Structure!$D$12,$EA$14:$EZ$14,0)))))</f>
        <v/>
      </c>
      <c r="BF100" s="239" t="str">
        <f>IF(A100=FALSE,"",IF(ALLTHESAME=TRUE,IF(FC100&lt;&gt;$BC$7,0,INDEX(FA100:FZ100,1,MATCH(Structure!$D$12,$FA$14:$FZ$14,0))),IF(GC100&lt;&gt;$BC$7,0,INDEX(GA100:GZ100,1,MATCH(Structure!$D$12,$GA$14:$GZ$14,0)))))</f>
        <v/>
      </c>
      <c r="BG100" s="239" t="str">
        <f>IF(A100=FALSE,"",IF(ALLTHESAME=TRUE,IF(VC100&lt;&gt;$BC$7,0,INDEX(VA100:VZ100,1,MATCH(Structure!$D$12,$VA$14:$VZ$14,0))),IF(VC100&lt;&gt;$BC$7,0,INDEX(VA100:VZ100,1,MATCH(Structure!$D$12,$VA$14:$VZ$14,0)))))</f>
        <v/>
      </c>
      <c r="BH100" s="239" t="str">
        <f>IF(A100=FALSE,"",IF(ALLTHESAME=TRUE,IF(WC100&lt;&gt;$BC$7,0,INDEX(WA100:WY100,1,MATCH(Structure!$D$12,$WA$14:$WZ$14,0))),IF(WC100&lt;&gt;$BC$7,0,INDEX(WA100:WZ100,1,MATCH(Structure!$D$12,$WA$14:$WZ$14,0)))))</f>
        <v/>
      </c>
      <c r="BI100" s="763" t="str">
        <f>IF(A100=FALSE,"",IF(ALLTHESAME=TRUE,IF(HC100&lt;&gt;$BC$7,0,INDEX(HA100:HZ100,1,MATCH(Structure!$D$12,$HA$14:$HZ$14,0)))+TK100,IF(IC100&lt;&gt;$BC$7,0,INDEX(IA100:IZ100,1,MATCH(Structure!$D$12,$IA$14:$IZ$14,0)))+TK100))</f>
        <v/>
      </c>
      <c r="BJ100" s="239" t="str">
        <f>IF(A100=FALSE,"",IF(ALLTHESAME=TRUE,IF(JC100&lt;&gt;$BC$7,0,INDEX(JA100:JZ100,1,MATCH(Structure!$D$12,$JA$14:$JZ$14,0))),IF(KC100&lt;&gt;$BC$7,0,INDEX(KA100:KZ100,1,MATCH(Structure!$D$12,$KA$14:$KZ$14,0)))))</f>
        <v/>
      </c>
      <c r="BK100" s="763" t="str">
        <f>IF(A100=FALSE,"",IF(ALLTHESAME=TRUE,IF(LC100&lt;&gt;$BC$7,0,INDEX(LA100:LZ100,1,MATCH(Structure!$D$12,$LA$14:$LZ$14,0)))+UK100,IF(MC100&lt;&gt;$BC$7,0,INDEX(MA100:MZ100,1,MATCH(Structure!$D$12,$MA$14:$MZ$14,0)))+UK100))</f>
        <v/>
      </c>
      <c r="BL100" s="239" t="str">
        <f>IF(A100=FALSE,"",IF(ALLTHESAME=TRUE,IF(NC100&lt;&gt;$BC$7,0,INDEX(NA100:NZ100,1,MATCH(Structure!$D$12,$NA$14:$NZ$14,0))),IF(OC100&lt;&gt;$BC$7,0,INDEX(OA100:OZ100,1,MATCH(Structure!$D$12,$OA$14:$OZ$14,0)))))</f>
        <v/>
      </c>
      <c r="BM100" s="239" t="str">
        <f>IF(A100=FALSE,"",IF(ALLTHESAME=TRUE,IF(PC100&lt;&gt;$BC$7,0,INDEX(PA100:PZ100,1,MATCH(Structure!$D$12,$PA$14:$PZ$14,0))),IF(QC100&lt;&gt;$BC$7,0,INDEX(QA100:QZ100,1,MATCH(Structure!$D$12,$QA$14:$QZ$14,0)))))</f>
        <v/>
      </c>
      <c r="BN100" s="341" t="str">
        <f>IF(A100=FALSE,"",IF(ALLTHESAME=TRUE,IF(RC100&lt;&gt;$BC$7,0,INDEX(RA100:RZ100,1,MATCH(Structure!$D$12,$RA$14:$RZ$14,0))),IF(SC100&lt;&gt;$BC$7,0,INDEX(SA100:TA100,1,MATCH(Structure!$D$12,$SA$14:$TA$14,0)))))</f>
        <v/>
      </c>
      <c r="BO100" s="507" t="str">
        <f t="shared" si="647"/>
        <v/>
      </c>
      <c r="BP100" s="239" t="str">
        <f t="shared" si="648"/>
        <v/>
      </c>
      <c r="BQ100" s="239" t="str">
        <f>IF(A100=FALSE,"",IF(ALLTHESAME=TRUE,IF(DF100&lt;&gt;$BO$7,0,INDEX(DD100:DZ100,1,MATCH(Structure!$D$12,$DD$14:$DZ$14,0))),IF(EC100&lt;&gt;$BO$7,0,INDEX(EA100:EZ100,1,MATCH(Structure!$D$12,$EA$14:$EZ$14,0)))))</f>
        <v/>
      </c>
      <c r="BR100" s="239" t="str">
        <f>IF(A100=FALSE,"",IF(ALLTHESAME=TRUE,IF(FC100&lt;&gt;$BO$7,0,INDEX(FA100:FZ100,1,MATCH(Structure!$D$12,$FA$14:$FZ$14,0))),IF(GC100&lt;&gt;$BO$7,0,INDEX(GA100:GZ100,1,MATCH(Structure!$D$12,$GA$14:$GZ$14,0)))))</f>
        <v/>
      </c>
      <c r="BS100" s="239" t="str">
        <f>IF(A100=FALSE,"",IF(ALLTHESAME=TRUE,IF(HC100&lt;&gt;$BO$7,0,INDEX(HA100:HZ100,1,MATCH(Structure!$D$12,$HA$14:$HZ$14,0))),IF(IC100&lt;&gt;$BO$7,0,INDEX(IA100:IZ100,1,MATCH(Structure!$D$12,$IA$14:$IZ$14,0)))))</f>
        <v/>
      </c>
      <c r="BT100" s="239" t="str">
        <f>IF(A100=FALSE,"",IF(ALLTHESAME=TRUE,IF(JC100&lt;&gt;$BO$7,0,INDEX(JA100:JZ100,1,MATCH(Structure!$D$12,$JA$14:$JZ$14,0))),IF(KC100&lt;&gt;$BO$7,0,INDEX(KA100:KZ100,1,MATCH(Structure!$D$12,$KA$14:$KZ$14,0)))))</f>
        <v/>
      </c>
      <c r="BU100" s="239" t="str">
        <f>IF(A100=FALSE,"",IF(ALLTHESAME=TRUE,IF(LC100&lt;&gt;$BO$7,0,INDEX(LA100:LZ100,1,MATCH(Structure!$D$12,$LA$14:$LZ$14,0))),IF(MC100&lt;&gt;$BO$7,0,INDEX(MA100:MZ100,1,MATCH(Structure!$D$12,$MA$14:$MZ$14,0)))))</f>
        <v/>
      </c>
      <c r="BV100" s="239" t="str">
        <f>IF(A100=FALSE,"",IF(ALLTHESAME=TRUE,IF(NC100&lt;&gt;$BO$7,0,INDEX(NA100:NZ100,1,MATCH(Structure!$D$12,$NA$14:$NZ$14,0))),IF(OC100&lt;&gt;$BO$7,0,INDEX(OA100:OZ100,1,MATCH(Structure!$D$12,$OA$14:$OZ$14,0)))))</f>
        <v/>
      </c>
      <c r="BW100" s="239" t="str">
        <f>IF(A100=FALSE,"",IF(ALLTHESAME=TRUE,IF(PC100&lt;&gt;$BO$7,0,INDEX(PA100:PZ100,1,MATCH(Structure!$D$12,$PA$14:$PZ$14,0))),IF(QC100&lt;&gt;$BO$7,0,INDEX(QA100:QZ100,1,MATCH(Structure!$D$12,$QA$14:$QZ$14,0)))))</f>
        <v/>
      </c>
      <c r="BX100" s="341" t="str">
        <f>IF(A100=FALSE,"",IF(ALLTHESAME=TRUE,IF(RC100&lt;&gt;$BO$7,0,INDEX(RA100:RZ100,1,MATCH(Structure!$D$12,$RA$14:$RZ$14,0))),IF(SC100&lt;&gt;$BO$7,0,INDEX(SA100:TA100,1,MATCH(Structure!$D$12,$SA$14:$TA$14,0)))))</f>
        <v/>
      </c>
      <c r="BY100" s="347" t="str">
        <f t="shared" si="649"/>
        <v/>
      </c>
      <c r="BZ100" s="507" t="str">
        <f t="shared" si="650"/>
        <v/>
      </c>
      <c r="CA100" s="239" t="str">
        <f t="shared" si="651"/>
        <v/>
      </c>
      <c r="CB100" s="239" t="str">
        <f>IF(A100=FALSE,"",IF(ALLTHESAME=TRUE,INDEX(DD100:DZ100,MATCH(DF100,DF100:DF205,0),MATCH(Structure!$D$17,$DD$14:$DZ$14,0)),INDEX(EA100:EZ100,MATCH(EC100,EC100:EC205,0),MATCH(Structure!$D$17,$EA$14:$EZ$14,0))))</f>
        <v/>
      </c>
      <c r="CC100" s="239" t="str">
        <f>IF(A100=FALSE,"",IF(ALLTHESAME=TRUE,INDEX(FA100:FZ100,MATCH(FC100,FC100:FC205,0),MATCH(Structure!$D$17,$FA$14:$FZ$14,0)),INDEX(GA100:GZ100,MATCH(GC100,GC100:GC205,0),MATCH(Structure!$D$17,$GA$14:$GZ$14,0))))</f>
        <v/>
      </c>
      <c r="CD100" s="239" t="str">
        <f>IF(A100=FALSE,"",IF(ALLTHESAME=TRUE,INDEX(HA100:HZ100,MATCH(HC100,HC100:HC205,0),MATCH(Structure!$D$17,$HA$14:$HZ$14,0)),INDEX(IA100:IZ100,MATCH(IC100,IC100:IC205,0),MATCH(Structure!$D$17,$IA$14:$IZ$14,0))))</f>
        <v/>
      </c>
      <c r="CE100" s="239" t="str">
        <f>IF(A100=FALSE,"",IF(ALLTHESAME=TRUE,INDEX(JA100:JZ100,MATCH(JC100,JC100:JC205,0),MATCH(Structure!$D$17,$JA$14:$JZ$14,0)),INDEX(KA100:KZ100,MATCH(KC100,KC100:KC205,0),MATCH(Structure!$D$17,$KA$14:$KZ$14,0))))</f>
        <v/>
      </c>
      <c r="CF100" s="239" t="str">
        <f>IF(A100=FALSE,"",IF(ALLTHESAME=TRUE,INDEX(LA100:LZ100,MATCH(LC100,LC100:LC205,0),MATCH(Structure!$D$17,$LA$14:$LZ$14,0)),INDEX(MA100:MZ100,MATCH(MC100,MC100:MC205,0),MATCH(Structure!$D$17,$MA$14:$MZ$14,0))))</f>
        <v/>
      </c>
      <c r="CG100" s="239" t="str">
        <f>IF(A100=FALSE,"",IF(ALLTHESAME=TRUE,INDEX(NA100:NZ100,MATCH(NC100,NC100:NC205,0),MATCH(Structure!$D$17,$NA$14:$NZ$14,0)),INDEX(OA100:OZ100,MATCH(OC100,OC100:OC205,0),MATCH(Structure!$D$17,$OA$14:$OZ$14,0))))</f>
        <v/>
      </c>
      <c r="CH100" s="239" t="str">
        <f>IF(A100=FALSE,"",IF(ALLTHESAME=TRUE,INDEX(PA100:PZ100,MATCH(PC100,PC100:PC205,0),MATCH(Structure!$D$17,$PA$14:$PZ$14,0)),INDEX(QA100:QZ100,MATCH(QC100,QC100:QC205,0),MATCH(Structure!$D$17,$QA$14:$QZ$14,0))))</f>
        <v/>
      </c>
      <c r="CI100" s="341" t="str">
        <f>IF(A100=FALSE,"",IF(ALLTHESAME=TRUE,INDEX(RA100:RZ100,MATCH(RC100,RC100:RC205,0),MATCH(Structure!$D$17,$RA$14:$RZ$14,0)),INDEX(SA100:TC100,MATCH(SC100,SC100:SC205,0),MATCH(Structure!$D$17,$SA$14:$TC$14,0))))</f>
        <v/>
      </c>
      <c r="CJ100" s="347"/>
      <c r="CK100" s="239" t="str">
        <f t="shared" si="652"/>
        <v/>
      </c>
      <c r="CL100" s="239" t="str">
        <f>IF(A100=FALSE,"",IF(ALLTHESAME=TRUE,INDEX(DD100:DZ100,MATCH(DF100,DF100:DF205,0),MATCH(Structure!$D$22,$DD$14:$DZ$14,0)),INDEX(EA100:EZ100,MATCH(EC100,EC100:EC205,0),MATCH(Structure!$D$22,$EA$14:$EZ$14,0))))</f>
        <v/>
      </c>
      <c r="CM100" s="239" t="str">
        <f>IF(A100=FALSE,"",IF(ALLTHESAME=TRUE,INDEX(FA100:FZ100,MATCH(FC100,FC100:FC205,0),MATCH(Structure!$D$22,$FA$14:$FZ$14,0)),INDEX(GA100:GZ100,MATCH(GC100,GC100:GC205,0),MATCH(Structure!$D$22,$GA$14:$GZ$14,0))))</f>
        <v/>
      </c>
      <c r="CN100" s="239" t="str">
        <f>IF(A100=FALSE,"",IF(ALLTHESAME=TRUE,INDEX(HA100:HZ100,MATCH(HC100,HC100:HC205,0),MATCH(Structure!$D$22,$HA$14:$HZ$14,0)),INDEX(IA100:IZ100,MATCH(IC100,IC100:IC205,0),MATCH(Structure!$D$22,$IA$14:$IZ$14,0))))</f>
        <v/>
      </c>
      <c r="CO100" s="239" t="str">
        <f>IF(A100=FALSE,"",IF(ALLTHESAME=TRUE,INDEX(JA100:JZ100,MATCH(JC100,JC100:JC205,0),MATCH(Structure!$D$22,$JA$14:$JZ$14,0)),INDEX(KA100:KZ100,MATCH(KC100,KC100:KC205,0),MATCH(Structure!$D$22,$KA$14:$KZ$14,0))))</f>
        <v/>
      </c>
      <c r="CP100" s="239" t="str">
        <f>IF(A100=FALSE,"",IF(ALLTHESAME=TRUE,INDEX(LA100:LZ100,MATCH(LC100,LC100:LC205,0),MATCH(Structure!$D$22,$LA$14:$LZ$14,0)),INDEX(MA100:MZ100,MATCH(MC100,MC100:MC205,0),MATCH(Structure!$D$22,$MA$14:$MZ$14,0))))</f>
        <v/>
      </c>
      <c r="CQ100" s="239" t="str">
        <f>IF(A100=FALSE,"",IF(ALLTHESAME=TRUE,INDEX(NA100:NZ100,MATCH(NC100,NC100:NC205,0),MATCH(Structure!$D$22,$NA$14:$NZ$14,0)),INDEX(OA100:OZ100,MATCH(OC100,OC100:OC205,0),MATCH(Structure!$D$22,$OA$14:$OZ$14,0))))</f>
        <v/>
      </c>
      <c r="CR100" s="239" t="str">
        <f>IF(A100=FALSE,"",IF(ALLTHESAME=TRUE,INDEX(PA100:PZ100,MATCH(PC100,PC100:PC205,0),MATCH(Structure!$D$22,$PA$14:$PZ$14,0)),INDEX(QA100:QZ100,MATCH(QC100,QC100:QC205,0),MATCH(Structure!$D$22,$QA$14:$QZ$14,0))))</f>
        <v/>
      </c>
      <c r="CS100" s="341" t="str">
        <f>IF(A100=FALSE,"",IF(ALLTHESAME=TRUE,INDEX(RA100:RZ100,MATCH(RC100,RC100:RC205,0),MATCH(Structure!$D$22,$RA$14:$RZ$14,0)),INDEX(SA100:TC100,MATCH(SC100,SC100:SC205,0),MATCH(Structure!$D$22,$SA$14:$TC$14,0))))</f>
        <v/>
      </c>
      <c r="CT100" s="347"/>
      <c r="CU100" s="239" t="str">
        <f t="shared" si="653"/>
        <v/>
      </c>
      <c r="CV100" s="239" t="str">
        <f>IF(A100=FALSE,"",IF(ALLTHESAME=TRUE,INDEX(DD100:DZ100,MATCH(DF100,DF100:DF205,0),MATCH(Structure!$D$8,$DD$14:$DZ$14,0)),INDEX(EA100:EZ100,MATCH(EC100,EC100:EC205,0),MATCH(Structure!$D$8,$EA$14:$EZ$14,0))))</f>
        <v/>
      </c>
      <c r="CW100" s="239" t="str">
        <f>IF(A100=FALSE,"",IF(ALLTHESAME=TRUE,INDEX(FA100:FZ100,MATCH(FC100,FC100:FC205,0),MATCH(Structure!$D$8,$FA$14:$FZ$14,0)),INDEX(GA100:GZ100,MATCH(GC100,GC100:GC205,0),MATCH(Structure!$D$8,$GA$14:$GZ$14,0))))</f>
        <v/>
      </c>
      <c r="CX100" s="239" t="str">
        <f>IF(A100=FALSE,"",IF(ALLTHESAME=TRUE,INDEX(HA100:HZ100,MATCH(HC100,HC100:HC205,0),MATCH(Structure!$D$8,$HA$14:$HZ$14,0)),INDEX(IA100:IZ100,MATCH(IC100,IC100:IC205,0),MATCH(Structure!$D$8,$IA$14:$IZ$14,0))))</f>
        <v/>
      </c>
      <c r="CY100" s="239" t="str">
        <f>IF(A100=FALSE,"",IF(ALLTHESAME=TRUE,INDEX(JA100:JZ100,MATCH(JC100,JC100:JC205,0),MATCH(Structure!$D$8,$JA$14:$JZ$14,0)),INDEX(KA100:KZ100,MATCH(KC100,KC100:KC205,0),MATCH(Structure!$D$8,$KA$14:$KZ$14,0))))</f>
        <v/>
      </c>
      <c r="CZ100" s="239" t="str">
        <f>IF(A100=FALSE,"",IF(ALLTHESAME=TRUE,INDEX(LA100:LZ100,MATCH(LC100,LC100:LC205,0),MATCH(Structure!$D$8,$LA$14:$LZ$14,0)),INDEX(MA100:MZ100,MATCH(MC100,MC100:MC205,0),MATCH(Structure!$D$8,$MA$14:$MZ$14,0))))</f>
        <v/>
      </c>
      <c r="DA100" s="239" t="str">
        <f>IF(A100=FALSE,"",IF(ALLTHESAME=TRUE,INDEX(NA100:NZ100,MATCH(NC100,NC100:NC205,0),MATCH(Structure!$D$8,$NA$14:$NZ$14,0)),INDEX(OA100:OZ100,MATCH(OC100,OC100:OC205,0),MATCH(Structure!$D$8,$OA$14:$OZ$14,0))))</f>
        <v/>
      </c>
      <c r="DB100" s="239" t="str">
        <f>IF(A100=FALSE,"",IF(ALLTHESAME=TRUE,INDEX(PA100:PZ100,MATCH(PC100,PC100:PC205,0),MATCH(Structure!$D$8,$PA$14:$PZ$14,0)),INDEX(QA100:QZ100,MATCH(QC100,QC100:QC205,0),MATCH(Structure!$D$8,$QA$14:$QZ$14,0))))</f>
        <v/>
      </c>
      <c r="DC100" s="341" t="str">
        <f>IF(A100=FALSE,"",IF(ALLTHESAME=TRUE,INDEX(RA100:RZ100,MATCH(RC100,RC100:RC205,0),MATCH(Structure!$D$8,$RA$14:$RZ$14,0)),INDEX(SA100:TC100,MATCH(SC100,SC100:SC205,0),MATCH(Structure!$D$8,$SA$14:$TC$14,0))))</f>
        <v/>
      </c>
      <c r="DD100" s="492" t="str">
        <f>IF(A100=FALSE,"",Cotations!D100)</f>
        <v/>
      </c>
      <c r="DE100" s="492" t="str">
        <f>IF(A100=FALSE,"",IF(LISTES!$A$17=1,Cotations!AF100,Cotations!$AG$4))</f>
        <v/>
      </c>
      <c r="DF100" s="291" t="str">
        <f t="shared" si="654"/>
        <v/>
      </c>
      <c r="DG100" s="291" t="str">
        <f t="shared" si="655"/>
        <v/>
      </c>
      <c r="DH100" s="291"/>
      <c r="DI100" s="463"/>
      <c r="DJ100" s="463" t="str">
        <f t="shared" si="656"/>
        <v/>
      </c>
      <c r="DK100" s="522" t="str">
        <f>IF(A100=FALSE,"",IF(Cotations!$AH$4="monthly",DJ100/12*L100,DJ100/365*M100))</f>
        <v/>
      </c>
      <c r="DL100" s="489" t="str">
        <f>IF(A100=FALSE,"",Cotations!$AI$4)</f>
        <v/>
      </c>
      <c r="DM100" s="300" t="str">
        <f t="shared" si="657"/>
        <v/>
      </c>
      <c r="DN100" s="300" t="str">
        <f t="shared" si="658"/>
        <v/>
      </c>
      <c r="DO100" s="294" t="str">
        <f t="shared" si="659"/>
        <v/>
      </c>
      <c r="DP100" s="494" t="str">
        <f>IF(A100=FALSE,"",Cotations!$AJ$4)</f>
        <v/>
      </c>
      <c r="DQ100" s="494" t="str">
        <f>IF(A100=FALSE,"",Cotations!$AK$4)</f>
        <v/>
      </c>
      <c r="DR100" s="489" t="str">
        <f>IF(A100=FALSE,"",Cotations!$AL$4)</f>
        <v/>
      </c>
      <c r="DS100" s="494" t="str">
        <f>IF(A100=FALSE,"",IF(DP100="N/A",0,IF(INDEX(LISTES!$F$105:$F$109,MATCH(DP100,LISTES!$C$105:$C$109,0))="FIX",IF(INDEX(LISTES!$E$105:$E$109,MATCH(DP100,LISTES!$C$105:$C$109,0))=12,DQ100/12*L100,DQ100/365*M100),DR100*DO100)))</f>
        <v/>
      </c>
      <c r="DT100" s="294" t="str">
        <f t="shared" si="660"/>
        <v/>
      </c>
      <c r="DU100" s="294" t="str">
        <f>IF(A100=FALSE,"",DT100*Cotations!$AM$4)</f>
        <v/>
      </c>
      <c r="DV100" s="294" t="str">
        <f>IF(A100=FALSE,"",DT100*Cotations!$AN$4)</f>
        <v/>
      </c>
      <c r="DW100" s="465" t="str">
        <f t="shared" si="661"/>
        <v/>
      </c>
      <c r="DX100" s="919" t="str">
        <f>IF(A100=FALSE,"",((DJ100*TAXE)-(DJ100*TAXE*DL100))+IF(DP100="N/A",0,IF(INDEX(LISTES!$F$105:$F$109,MATCH(DP100,LISTES!$C$105:$C$109,0))="FIX",DQ100,DR100*DO100)))</f>
        <v/>
      </c>
      <c r="DY100" s="466"/>
      <c r="DZ100" s="466"/>
      <c r="EA100" s="492" t="str">
        <f>IF(A100=FALSE,"",Cotations!D100)</f>
        <v/>
      </c>
      <c r="EB100" s="494" t="str">
        <f>IF(A100=FALSE,"",IF(LISTES!$A$17=1,Cotations!AF100,Cotations!AG100))</f>
        <v/>
      </c>
      <c r="EC100" s="284" t="str">
        <f t="shared" si="662"/>
        <v/>
      </c>
      <c r="ED100" s="284" t="str">
        <f t="shared" si="663"/>
        <v/>
      </c>
      <c r="EE100" s="284"/>
      <c r="EF100" s="284"/>
      <c r="EG100" s="284" t="str">
        <f t="shared" si="664"/>
        <v/>
      </c>
      <c r="EH100" s="1365" t="str">
        <f t="shared" si="665"/>
        <v/>
      </c>
      <c r="EI100" s="1365" t="str">
        <f t="shared" si="666"/>
        <v/>
      </c>
      <c r="EJ100" s="515" t="str">
        <f>IF(A100=FALSE,"",IF(Cotations!AH100="monthly",EG100/12*L100,EG100/365*M100))</f>
        <v/>
      </c>
      <c r="EK100" s="1364" t="str">
        <f>IF(A100=FALSE,"",IF(Cotations!AH100="monthly",EI100/12*L100,EI100/365*M100))</f>
        <v/>
      </c>
      <c r="EL100" s="493" t="str">
        <f>IF(A100=FALSE,"",IF(Cotations!AI100="","",Cotations!AI100))</f>
        <v/>
      </c>
      <c r="EM100" s="284" t="str">
        <f t="shared" si="667"/>
        <v/>
      </c>
      <c r="EN100" s="284" t="str">
        <f t="shared" si="668"/>
        <v/>
      </c>
      <c r="EO100" s="1365" t="str">
        <f t="shared" si="840"/>
        <v/>
      </c>
      <c r="EP100" s="284" t="str">
        <f t="shared" si="669"/>
        <v/>
      </c>
      <c r="EQ100" s="515" t="str">
        <f>IF(A100=FALSE,"",Cotations!AJ100)</f>
        <v/>
      </c>
      <c r="ER100" s="515" t="str">
        <f>IF(A100=FALSE,"",IF(Cotations!AK100="","",Cotations!AK100))</f>
        <v/>
      </c>
      <c r="ES100" s="493" t="str">
        <f>IF(A100=FALSE,"",Cotations!AL100)</f>
        <v/>
      </c>
      <c r="ET100" s="515" t="str">
        <f>IF(A100=FALSE,"",IF(EQ100="N/A",0,IF(INDEX(LISTES!$F$105:$F$109,MATCH(EQ100,LISTES!$C$105:$C$109,0))="FIX",IF(INDEX(LISTES!$E$105:$E$109,MATCH(EQ100,LISTES!$C$105:$C$109,0))=12,ER100/12*L100,ER100/365*M100),ES100*EP100)))</f>
        <v/>
      </c>
      <c r="EU100" s="294" t="str">
        <f t="shared" si="670"/>
        <v/>
      </c>
      <c r="EV100" s="494" t="str">
        <f>IF(A100=FALSE,"",EU100*Cotations!AM100)</f>
        <v/>
      </c>
      <c r="EW100" s="494" t="str">
        <f>IF(A100=FALSE,"",EU100*Cotations!AN100)</f>
        <v/>
      </c>
      <c r="EX100" s="334" t="str">
        <f t="shared" si="671"/>
        <v/>
      </c>
      <c r="EY100" s="919" t="str">
        <f>IF(A100=FALSE,"",((EG100*TAXE)-(EG100*TAXE*EL100)+EH100)+IF(EQ100="N/A",0,IF(INDEX(LISTES!$F$105:$F$109,MATCH(EQ100,LISTES!$C$105:$C$109,0))="FIX",ER100,ES100*EP100)))</f>
        <v/>
      </c>
      <c r="FA100" s="492" t="str">
        <f>IF(A100=FALSE,"",Cotations!D100)</f>
        <v/>
      </c>
      <c r="FB100" s="519" t="str">
        <f>IF(A100=FALSE,"",IF(LISTES!$A$17=1,Cotations!AO100,Cotations!$AP$4))</f>
        <v/>
      </c>
      <c r="FC100" s="291" t="str">
        <f t="shared" si="672"/>
        <v/>
      </c>
      <c r="FD100" s="291" t="str">
        <f t="shared" si="673"/>
        <v/>
      </c>
      <c r="FE100" s="291"/>
      <c r="FF100" s="463"/>
      <c r="FG100" s="463" t="str">
        <f t="shared" si="674"/>
        <v/>
      </c>
      <c r="FH100" s="522" t="str">
        <f>IF(A100=FALSE,"",IF(Cotations!$AQ$4="monthly",FG100/12*L100,FG100/365*M100))</f>
        <v/>
      </c>
      <c r="FI100" s="453" t="str">
        <f>IF(A100=FALSE,"",Cotations!$AR$4)</f>
        <v/>
      </c>
      <c r="FJ100" s="300" t="str">
        <f t="shared" si="675"/>
        <v/>
      </c>
      <c r="FK100" s="300" t="str">
        <f t="shared" si="676"/>
        <v/>
      </c>
      <c r="FL100" s="294" t="str">
        <f t="shared" si="677"/>
        <v/>
      </c>
      <c r="FM100" s="494" t="str">
        <f>IF(A100=FALSE,"",Cotations!$AS$4)</f>
        <v/>
      </c>
      <c r="FN100" s="494" t="str">
        <f>IF(A100=FALSE,"",Cotations!$AT$4)</f>
        <v/>
      </c>
      <c r="FO100" s="489" t="str">
        <f>IF(A100=FALSE,"",Cotations!$AU$4)</f>
        <v/>
      </c>
      <c r="FP100" s="494" t="str">
        <f>IF(A100=FALSE,"",IF(FM100="N/A",0,IF(INDEX(LISTES!$F$105:$F$109,MATCH(FM100,LISTES!$C$105:$C$109,0))="FIX",IF(INDEX(LISTES!$E$105:$E$109,MATCH(FM100,LISTES!$C$105:$C$109,0))=12,FN100/12*L100,FN100/365*M100),FO100*FL100)))</f>
        <v/>
      </c>
      <c r="FQ100" s="294" t="str">
        <f t="shared" si="678"/>
        <v/>
      </c>
      <c r="FR100" s="494" t="str">
        <f>IF(A100=FALSE,"",FQ100*Cotations!$AV$4)</f>
        <v/>
      </c>
      <c r="FS100" s="494" t="str">
        <f>IF(A100=FALSE,"",FQ100*Cotations!$AW$4)</f>
        <v/>
      </c>
      <c r="FT100" s="465" t="str">
        <f t="shared" si="679"/>
        <v/>
      </c>
      <c r="FU100" s="919" t="str">
        <f>IF(A100=FALSE,"",((FG100*TAXE)-(FG100*TAXE*FI100))+IF(FM100="N/A",0,IF(INDEX(LISTES!$F$105:$F$109,MATCH(FM100,LISTES!$C$105:$C$109,0))="FIX",FN100,FO100*FL100)))</f>
        <v/>
      </c>
      <c r="FV100" s="478"/>
      <c r="FW100" s="478"/>
      <c r="FX100" s="478"/>
      <c r="FY100" s="478"/>
      <c r="FZ100" s="478"/>
      <c r="GA100" s="492" t="str">
        <f>IF(A100=FALSE,"",Cotations!D100)</f>
        <v/>
      </c>
      <c r="GB100" s="494" t="str">
        <f>IF(A100=FALSE,"",IF(LISTES!$A$17=1,Cotations!AO100,Cotations!AP100))</f>
        <v/>
      </c>
      <c r="GC100" s="284" t="str">
        <f t="shared" si="680"/>
        <v/>
      </c>
      <c r="GD100" s="515" t="str">
        <f>IF(A100=FALSE,"",IF(Detail!AM100="","",Detail!AM100))</f>
        <v/>
      </c>
      <c r="GE100" s="284"/>
      <c r="GF100" s="284"/>
      <c r="GG100" s="284" t="str">
        <f t="shared" si="681"/>
        <v/>
      </c>
      <c r="GH100" s="515" t="str">
        <f>IF(A100=FALSE,"",IF(Cotations!AQ100="monthly",GG100/12*L100,GG100/365*M100))</f>
        <v/>
      </c>
      <c r="GI100" s="493" t="str">
        <f>IF(A100=FALSE,"",IF(Cotations!AR100="","",Cotations!AR100))</f>
        <v/>
      </c>
      <c r="GJ100" s="284" t="str">
        <f t="shared" si="682"/>
        <v/>
      </c>
      <c r="GK100" s="284" t="str">
        <f t="shared" si="683"/>
        <v/>
      </c>
      <c r="GL100" s="284" t="str">
        <f t="shared" si="684"/>
        <v/>
      </c>
      <c r="GM100" s="515" t="str">
        <f>IF(A100=FALSE,"",Cotations!AS100)</f>
        <v/>
      </c>
      <c r="GN100" s="515" t="str">
        <f>IF(A100=FALSE,"",Cotations!AT100)</f>
        <v/>
      </c>
      <c r="GO100" s="493" t="str">
        <f>IF(A100=FALSE,"",Cotations!AU100)</f>
        <v/>
      </c>
      <c r="GP100" s="515" t="str">
        <f>IF(A100=FALSE,"",IF(GM100="N/A",0,IF(INDEX(LISTES!$F$105:$F$109,MATCH(GM100,LISTES!$C$105:$C$109,0))="FIX",IF(INDEX(LISTES!$E$105:$E$109,MATCH(GM100,LISTES!$C$105:$C$109,0))=12,GN100/12*L100,GN100/365*M100),GO100*GL100)))</f>
        <v/>
      </c>
      <c r="GQ100" s="294" t="str">
        <f t="shared" si="685"/>
        <v/>
      </c>
      <c r="GR100" s="494" t="str">
        <f>IF(A100=FALSE,"",GQ100*Cotations!AV100)</f>
        <v/>
      </c>
      <c r="GS100" s="494" t="str">
        <f>IF(A100=FALSE,"",GQ100*Cotations!AW100)</f>
        <v/>
      </c>
      <c r="GT100" s="334" t="str">
        <f t="shared" si="686"/>
        <v/>
      </c>
      <c r="GU100" s="919" t="str">
        <f>IF(A100=FALSE,"",((GG100*TAXE)-(GG100*TAXE*GI100))+IF(GM100="N/A",0,IF(INDEX(LISTES!$F$105:$F$109,MATCH(GM100,LISTES!$C$105:$C$109,0))="FIX",GN100,GO100*GL100)))</f>
        <v/>
      </c>
      <c r="GV100" s="478"/>
      <c r="GW100" s="466"/>
      <c r="GX100" s="466"/>
      <c r="GY100" s="466"/>
      <c r="GZ100" s="466"/>
      <c r="HA100" s="492" t="str">
        <f>IF(A100=FALSE,"",Cotations!D100)</f>
        <v/>
      </c>
      <c r="HB100" s="495" t="str">
        <f>IF(A100=FALSE,"",IF(LISTES!$A$17=1,Cotations!AX100,Cotations!$AY$4))</f>
        <v/>
      </c>
      <c r="HC100" s="291" t="str">
        <f t="shared" si="687"/>
        <v/>
      </c>
      <c r="HD100" s="291" t="str">
        <f t="shared" si="688"/>
        <v/>
      </c>
      <c r="HE100" s="456" t="str">
        <f t="shared" si="689"/>
        <v/>
      </c>
      <c r="HF100" s="496" t="str">
        <f>IF(A100=FALSE,"",IF(HA100="POEA",Cotations!BA100,IF(HA100="FIXE",Cotations!$BA$4,Cotations!$BC$4*Y100)))</f>
        <v/>
      </c>
      <c r="HG100" s="300" t="str">
        <f t="shared" si="690"/>
        <v/>
      </c>
      <c r="HH100" s="522" t="str">
        <f>IF(A100=FALSE,"",IF(Cotations!$AZ$4="monthly",HG100/12*L100,HG100/365*M100))</f>
        <v/>
      </c>
      <c r="HI100" s="489" t="str">
        <f>IF(A100=FALSE,"",Cotations!$BD$4)</f>
        <v/>
      </c>
      <c r="HJ100" s="300" t="str">
        <f t="shared" si="691"/>
        <v/>
      </c>
      <c r="HK100" s="300" t="str">
        <f t="shared" si="692"/>
        <v/>
      </c>
      <c r="HL100" s="294" t="str">
        <f t="shared" si="693"/>
        <v/>
      </c>
      <c r="HM100" s="494" t="str">
        <f>IF(A100=FALSE,"",Cotations!$BE$4)</f>
        <v/>
      </c>
      <c r="HN100" s="522" t="str">
        <f>IF(A100=FALSE,"",Cotations!$BF$4)</f>
        <v/>
      </c>
      <c r="HO100" s="489" t="str">
        <f>IF(A100=FALSE,"",Cotations!$BG$4)</f>
        <v/>
      </c>
      <c r="HP100" s="494" t="str">
        <f>IF(A100=FALSE,"",IF(HM100="N/A",0,IF(INDEX(LISTES!$F$105:$F$109,MATCH(HM100,LISTES!$C$105:$C$109,0))="FIX",IF(INDEX(LISTES!$E$105:$E$109,MATCH(HM100,LISTES!$C$105:$C$109,0))=12,HN100/12*L100,HN100/365*M100),HO100*HL100)))</f>
        <v/>
      </c>
      <c r="HQ100" s="294" t="str">
        <f t="shared" si="694"/>
        <v/>
      </c>
      <c r="HR100" s="494" t="str">
        <f>IF(A100=FALSE,"",HQ100*Cotations!$BH$4)</f>
        <v/>
      </c>
      <c r="HS100" s="494" t="str">
        <f>IF(A100=FALSE,"",HQ100*Cotations!$BI$4)</f>
        <v/>
      </c>
      <c r="HT100" s="294" t="str">
        <f t="shared" si="695"/>
        <v/>
      </c>
      <c r="HU100" s="919" t="str">
        <f>IF(A100=FALSE,"",((HG100*TAXE)-(HG100*TAXE*HI100))+IF(HM100="N/A",0,IF(INDEX(LISTES!$F$105:$F$109,MATCH(HM100,LISTES!$C$105:$C$109,0))="FIX",HN100,HO100*HL100)))</f>
        <v/>
      </c>
      <c r="IA100" s="492" t="str">
        <f>IF(A100=FALSE,"",Cotations!D100)</f>
        <v/>
      </c>
      <c r="IB100" s="491" t="str">
        <f>IF(A100=FALSE,"",IF(LISTES!$A$17=1,Cotations!AX100,Cotations!AY100))</f>
        <v/>
      </c>
      <c r="IC100" s="285" t="str">
        <f t="shared" si="696"/>
        <v/>
      </c>
      <c r="ID100" s="300" t="str">
        <f>IF(A100=FALSE,"",IF(LISTES!$A$17=3,Detail!AU100,lig1_Formula_PREVOY))</f>
        <v/>
      </c>
      <c r="IE100" s="461" t="str">
        <f t="shared" si="697"/>
        <v/>
      </c>
      <c r="IF100" s="490" t="str">
        <f>IF(A100=FALSE,"",IF(IA100="POEA",Cotations!BA100,IF(HA100="FIXE",Cotations!BB100,IF(Cotations!BC100*Y100&lt;50000,Z100,Cotations!BC100*Y100))))</f>
        <v/>
      </c>
      <c r="IG100" s="300" t="str">
        <f t="shared" si="698"/>
        <v/>
      </c>
      <c r="IH100" s="522" t="str">
        <f>IF(A100=FALSE,"",IF(Cotations!AZ100="monthly",IG100/12*L100,IG100/365*M100))</f>
        <v/>
      </c>
      <c r="II100" s="489" t="str">
        <f>IF(A100=FALSE,"",IF(Cotations!BD100="","",Cotations!BD100))</f>
        <v/>
      </c>
      <c r="IJ100" s="300" t="str">
        <f t="shared" si="699"/>
        <v/>
      </c>
      <c r="IK100" s="300" t="str">
        <f t="shared" si="700"/>
        <v/>
      </c>
      <c r="IL100" s="919" t="str">
        <f t="shared" si="701"/>
        <v/>
      </c>
      <c r="IM100" s="517" t="str">
        <f>IF(A100=FALSE,"",Cotations!BE100)</f>
        <v/>
      </c>
      <c r="IN100" s="517" t="str">
        <f>IF(A100=FALSE,"",Cotations!BF100)</f>
        <v/>
      </c>
      <c r="IO100" s="493" t="str">
        <f>IF(A100=FALSE,"",Cotations!BG100)</f>
        <v/>
      </c>
      <c r="IP100" s="517" t="str">
        <f>IF(A100=FALSE,"",IF(IM100="N/A",0,IF(INDEX(LISTES!$F$105:$F$109,MATCH(IM100,LISTES!$C$105:$C$109,0))="FIX",IF(INDEX(LISTES!$E$105:$E$109,MATCH(IM100,LISTES!$C$105:$C$109,0))=12,IN100/12*L100,IN100/365*M100),IO100*IL100)))</f>
        <v/>
      </c>
      <c r="IQ100" s="294" t="str">
        <f t="shared" si="702"/>
        <v/>
      </c>
      <c r="IR100" s="494" t="str">
        <f>IF(A100=FALSE,"",IQ100*Cotations!BH100)</f>
        <v/>
      </c>
      <c r="IS100" s="494" t="str">
        <f>IF(A100=FALSE,"",IQ100*Cotations!BI100)</f>
        <v/>
      </c>
      <c r="IT100" s="338" t="str">
        <f t="shared" si="703"/>
        <v/>
      </c>
      <c r="IU100" s="919" t="str">
        <f>IF(A100=FALSE,"",((IG100*TAXE)-(IG100*TAXE*II100))+IF(IM100="N/A",0,IF(INDEX(LISTES!$F$105:$F$109,MATCH(IM100,LISTES!$C$105:$C$109,0))="FIX",IN100,IO100*IL100)))</f>
        <v/>
      </c>
      <c r="JA100" s="492" t="str">
        <f>IF(A100=FALSE,"",Cotations!D100)</f>
        <v/>
      </c>
      <c r="JB100" s="495" t="str">
        <f>IF(A100=FALSE,"",IF(LISTES!$A$17=1,Cotations!BJ100,Cotations!$BK$4))</f>
        <v/>
      </c>
      <c r="JC100" s="291" t="str">
        <f t="shared" si="704"/>
        <v/>
      </c>
      <c r="JD100" s="291" t="str">
        <f t="shared" si="705"/>
        <v/>
      </c>
      <c r="JE100" s="456" t="str">
        <f t="shared" si="706"/>
        <v/>
      </c>
      <c r="JF100" s="496" t="str">
        <f>IF(A100=FALSE,"",IF(JA100="POEA",Cotations!BM100,IF(JA100="FIXE",Cotations!$BM$4,Cotations!$BO$4*Y100)))</f>
        <v/>
      </c>
      <c r="JG100" s="300" t="str">
        <f t="shared" si="707"/>
        <v/>
      </c>
      <c r="JH100" s="522" t="str">
        <f>IF(A100=FALSE,"",IF(Cotations!$BL$4="monthly",JG100/12*L100,JG100/365*M100))</f>
        <v/>
      </c>
      <c r="JI100" s="489" t="str">
        <f>IF(A100=FALSE,"",Cotations!$BP$4)</f>
        <v/>
      </c>
      <c r="JJ100" s="300" t="str">
        <f t="shared" si="708"/>
        <v/>
      </c>
      <c r="JK100" s="300" t="str">
        <f t="shared" si="709"/>
        <v/>
      </c>
      <c r="JL100" s="294" t="str">
        <f t="shared" si="710"/>
        <v/>
      </c>
      <c r="JM100" s="494" t="str">
        <f>IF(A100=FALSE,"",Cotations!$BQ$4)</f>
        <v/>
      </c>
      <c r="JN100" s="522" t="str">
        <f>IF(A100=FALSE,"",Cotations!$BR$4)</f>
        <v/>
      </c>
      <c r="JO100" s="489" t="str">
        <f>IF(A100=FALSE,"",Cotations!$BS$4)</f>
        <v/>
      </c>
      <c r="JP100" s="494" t="str">
        <f>IF(A100=FALSE,"",IF(JM100="N/A",0,IF(INDEX(LISTES!$F$105:$F$109,MATCH(JM100,LISTES!$C$105:$C$109,0))="FIX",IF(INDEX(LISTES!$E$105:$E$109,MATCH(JM100,LISTES!$C$105:$C$109,0))=12,JN100/12*L100,JN100/365*M100),JO100*JL100)))</f>
        <v/>
      </c>
      <c r="JQ100" s="294" t="str">
        <f t="shared" si="711"/>
        <v/>
      </c>
      <c r="JR100" s="494" t="str">
        <f>IF(A100=FALSE,"",JQ100*Cotations!$BT$4)</f>
        <v/>
      </c>
      <c r="JS100" s="494" t="str">
        <f>IF(A100=FALSE,"",JQ100*Cotations!$BU$4)</f>
        <v/>
      </c>
      <c r="JT100" s="294" t="str">
        <f t="shared" si="712"/>
        <v/>
      </c>
      <c r="JU100" s="919" t="str">
        <f>IF(A100=FALSE,"",((JG100*TAXE)-(JG100*TAXE*JI100))+IF(JM100="N/A",0,IF(INDEX(LISTES!$F$105:$F$109,MATCH(JM100,LISTES!$C$105:$C$109,0))="FIX",JN100,JO100*JL100)))</f>
        <v/>
      </c>
      <c r="KA100" s="492" t="str">
        <f>IF(A100=FALSE,"",Cotations!D100)</f>
        <v/>
      </c>
      <c r="KB100" s="491" t="str">
        <f>IF(A100=FALSE,"",IF(LISTES!$A$17=1,Cotations!BJ100,Cotations!BK100))</f>
        <v/>
      </c>
      <c r="KC100" s="285" t="str">
        <f t="shared" si="713"/>
        <v/>
      </c>
      <c r="KD100" s="300"/>
      <c r="KE100" s="461" t="str">
        <f t="shared" si="714"/>
        <v/>
      </c>
      <c r="KF100" s="490" t="str">
        <f>IF(A100=FALSE,"",IF(KA100="POEA",Cotations!BM100,IF(KA100="FIXE",Cotations!BN100,IF(Cotations!BO100*Y100&lt;50000,Z100,Cotations!BO100*Y100))))</f>
        <v/>
      </c>
      <c r="KG100" s="300" t="str">
        <f t="shared" si="715"/>
        <v/>
      </c>
      <c r="KH100" s="522" t="str">
        <f>IF(A100=FALSE,"",IF(Cotations!BL100="monthly",KG100/12*L100,KG100/365*M100))</f>
        <v/>
      </c>
      <c r="KI100" s="489" t="str">
        <f>IF(A100=FALSE,"",IF(Cotations!BP100="","",Cotations!BP100))</f>
        <v/>
      </c>
      <c r="KJ100" s="300" t="str">
        <f t="shared" si="716"/>
        <v/>
      </c>
      <c r="KK100" s="300" t="str">
        <f t="shared" si="717"/>
        <v/>
      </c>
      <c r="KL100" s="919" t="str">
        <f t="shared" si="718"/>
        <v/>
      </c>
      <c r="KM100" s="517" t="str">
        <f>IF(A100=FALSE,"",Cotations!BQ100)</f>
        <v/>
      </c>
      <c r="KN100" s="515" t="str">
        <f>IF(A100=FALSE,"",Cotations!BR100)</f>
        <v/>
      </c>
      <c r="KO100" s="493" t="str">
        <f>IF(A100=FALSE,"",Cotations!BS100)</f>
        <v/>
      </c>
      <c r="KP100" s="517" t="str">
        <f>IF(A100=FALSE,"",IF(KM100="N/A",0,IF(INDEX(LISTES!$F$105:$F$109,MATCH(KM100,LISTES!$C$105:$C$109,0))="FIX",IF(INDEX(LISTES!$E$105:$E$109,MATCH(KM100,LISTES!$C$105:$C$109,0))=12,KN100/12*L100,KN100/365*M100),KO100*KL100)))</f>
        <v/>
      </c>
      <c r="KQ100" s="294" t="str">
        <f t="shared" si="719"/>
        <v/>
      </c>
      <c r="KR100" s="494" t="str">
        <f>IF(A100=FALSE,"",KQ100*Cotations!BT100)</f>
        <v/>
      </c>
      <c r="KS100" s="494" t="str">
        <f>IF(A100=FALSE,"",KQ100*Cotations!BU100)</f>
        <v/>
      </c>
      <c r="KT100" s="338" t="str">
        <f t="shared" si="720"/>
        <v/>
      </c>
      <c r="KU100" s="919" t="str">
        <f>IF(A100=FALSE,"",((KG100*TAXE)-(KG100*TAXE*KI100))+IF(KM100="N/A",0,IF(INDEX(LISTES!$F$105:$F$109,MATCH(KM100,LISTES!$C$105:$C$109,0))="FIX",KN100,KO100*KL100)))</f>
        <v/>
      </c>
      <c r="LA100" s="497" t="str">
        <f>IF(A100=FALSE,"",Cotations!D100)</f>
        <v/>
      </c>
      <c r="LB100" s="498" t="str">
        <f>IF(A100=FALSE,"",IF(LISTES!$A$17=1,Cotations!BV100,Cotations!$BW$4))</f>
        <v/>
      </c>
      <c r="LC100" s="499" t="str">
        <f t="shared" si="721"/>
        <v/>
      </c>
      <c r="LD100" s="499" t="str">
        <f t="shared" si="722"/>
        <v/>
      </c>
      <c r="LE100" s="500" t="str">
        <f t="shared" si="723"/>
        <v/>
      </c>
      <c r="LF100" s="501" t="str">
        <f>IF(A100=FALSE,"",IF(LA100="POEA",Cotations!EJ100,IF(LA100="FIXE",Cotations!$BY$4,Cotations!$CA$4*Y100)))</f>
        <v/>
      </c>
      <c r="LG100" s="502" t="str">
        <f t="shared" si="724"/>
        <v/>
      </c>
      <c r="LH100" s="520" t="str">
        <f>IF(A100=FALSE,"",IF(Cotations!$BX$4="monthly",LG100/12*L100,LG100/365*M100))</f>
        <v/>
      </c>
      <c r="LI100" s="503" t="str">
        <f>IF(A100=FALSE,"",Cotations!$CB$4)</f>
        <v/>
      </c>
      <c r="LJ100" s="502" t="str">
        <f t="shared" si="725"/>
        <v/>
      </c>
      <c r="LK100" s="502" t="str">
        <f t="shared" si="726"/>
        <v/>
      </c>
      <c r="LL100" s="504" t="str">
        <f t="shared" si="727"/>
        <v/>
      </c>
      <c r="LM100" s="505" t="str">
        <f>IF(A100=FALSE,"",Cotations!$CC$4)</f>
        <v/>
      </c>
      <c r="LN100" s="503" t="str">
        <f>IF(A100=FALSE,"",Cotations!$CD$4)</f>
        <v/>
      </c>
      <c r="LO100" s="503" t="str">
        <f>IF(A100=FALSE,"",Cotations!$CE$4)</f>
        <v/>
      </c>
      <c r="LP100" s="505" t="str">
        <f>IF(A100=FALSE,"",IF(LM100="N/A",0,IF(INDEX(LISTES!$F$105:$F$109,MATCH(LM100,LISTES!$C$105:$C$109,0))="FIX",IF(INDEX(LISTES!$E$105:$E$109,MATCH(LM100,LISTES!$C$105:$C$109,0))=12,LN100/12*L100,LN100/365*M100),LO100*LL100)))</f>
        <v/>
      </c>
      <c r="LQ100" s="504" t="str">
        <f t="shared" si="728"/>
        <v/>
      </c>
      <c r="LR100" s="505" t="str">
        <f>IF(A100=FALSE,"",LQ100*Cotations!$CF$4)</f>
        <v/>
      </c>
      <c r="LS100" s="505" t="str">
        <f>IF(A100=FALSE,"",LQ100*Cotations!$CG$4)</f>
        <v/>
      </c>
      <c r="LT100" s="506" t="str">
        <f t="shared" si="729"/>
        <v/>
      </c>
      <c r="LU100" s="919" t="str">
        <f>IF(A100=FALSE,"",((LG100*TAXE)-(LG100*TAXE*LI100))+IF(LM100="N/A",0,IF(INDEX(LISTES!$F$105:$F$109,MATCH(LM100,LISTES!$C$105:$C$109,0))="FIX",LN100,LO100*LL100)))</f>
        <v/>
      </c>
      <c r="MA100" s="492" t="str">
        <f>IF(A100=FALSE,"",Cotations!D100)</f>
        <v/>
      </c>
      <c r="MB100" s="491" t="str">
        <f>IF(A100=FALSE,"",IF(LISTES!$A$17=1,Cotations!BV100,Cotations!BW100))</f>
        <v/>
      </c>
      <c r="MC100" s="285" t="str">
        <f t="shared" si="730"/>
        <v/>
      </c>
      <c r="MD100" s="300"/>
      <c r="ME100" s="461" t="str">
        <f t="shared" si="731"/>
        <v/>
      </c>
      <c r="MF100" s="490" t="str">
        <f>IF(A100=FALSE,"",IF(MA100="POEA",Cotations!BY100,IF(MA100="FIXE",Cotations!BZ100,IF(Cotations!CA100*Y100&lt;50000,Z100,Cotations!CA100*Y100))))</f>
        <v/>
      </c>
      <c r="MG100" s="300" t="str">
        <f t="shared" si="732"/>
        <v/>
      </c>
      <c r="MH100" s="522" t="str">
        <f>IF(A100=FALSE,"",IF(Cotations!BX100="monthly",MG100/12*L100,MG100/365*M100))</f>
        <v/>
      </c>
      <c r="MI100" s="489" t="str">
        <f>IF(A100=FALSE,"",IF(Cotations!CB100="","",Cotations!CB100))</f>
        <v/>
      </c>
      <c r="MJ100" s="300" t="str">
        <f t="shared" si="733"/>
        <v/>
      </c>
      <c r="MK100" s="300" t="str">
        <f t="shared" si="734"/>
        <v/>
      </c>
      <c r="ML100" s="919" t="str">
        <f t="shared" si="735"/>
        <v/>
      </c>
      <c r="MM100" s="517" t="str">
        <f>IF(A100=FALSE,"",Cotations!CC100)</f>
        <v/>
      </c>
      <c r="MN100" s="515" t="str">
        <f>IF(A100=FALSE,"",Cotations!CD100)</f>
        <v/>
      </c>
      <c r="MO100" s="493" t="str">
        <f>IF(A100=FALSE,"",Cotations!CE100)</f>
        <v/>
      </c>
      <c r="MP100" s="517" t="str">
        <f>IF(A100=FALSE,"",IF(MM100="N/A",0,IF(INDEX(LISTES!$F$105:$F$109,MATCH(MM100,LISTES!$C$105:$C$109,0))="FIX",IF(INDEX(LISTES!$E$105:$E$109,MATCH(MM100,LISTES!$C$105:$C$109,0))=12,MN100/12*L100,MN100/365*M100),MO100*ML100)))</f>
        <v/>
      </c>
      <c r="MQ100" s="294" t="str">
        <f t="shared" si="736"/>
        <v/>
      </c>
      <c r="MR100" s="494" t="str">
        <f>IF(A100=FALSE,"",MQ100*Cotations!CF100)</f>
        <v/>
      </c>
      <c r="MS100" s="494" t="str">
        <f>IF(A100=FALSE,"",MQ100*Cotations!CG100)</f>
        <v/>
      </c>
      <c r="MT100" s="338" t="str">
        <f t="shared" si="737"/>
        <v/>
      </c>
      <c r="MU100" s="919" t="str">
        <f>IF(A100=FALSE,"",((MG100*TAXE)-(MG100*TAXE*MI100))+IF(MM100="N/A",0,IF(INDEX(LISTES!$F$105:$F$109,MATCH(MM100,LISTES!$C$105:$C$109,0))="FIX",MN100,MO100*ML100)))</f>
        <v/>
      </c>
      <c r="NA100" s="497" t="str">
        <f>IF(A100=FALSE,"",Cotations!D100)</f>
        <v/>
      </c>
      <c r="NB100" s="498" t="str">
        <f>IF(A100=FALSE,"",IF(LISTES!$A$17=1,Cotations!CH100,Cotations!$CI$4))</f>
        <v/>
      </c>
      <c r="NC100" s="499" t="str">
        <f t="shared" si="738"/>
        <v/>
      </c>
      <c r="ND100" s="499" t="str">
        <f t="shared" si="739"/>
        <v/>
      </c>
      <c r="NE100" s="500" t="str">
        <f t="shared" si="740"/>
        <v/>
      </c>
      <c r="NF100" s="501" t="str">
        <f>IF(A100=FALSE,"",IF(NA100="POEA",Cotations!CK100,IF(NA100="FIXE",Cotations!$CK$4,Cotations!$CM$4*Y100)))</f>
        <v/>
      </c>
      <c r="NG100" s="502" t="str">
        <f t="shared" si="741"/>
        <v/>
      </c>
      <c r="NH100" s="520" t="str">
        <f>IF(A100=FALSE,"",IF(Cotations!$CJ$4="monthly",NG100/12*L100,NG100/365*M100))</f>
        <v/>
      </c>
      <c r="NI100" s="503" t="str">
        <f>IF(A100=FALSE,"",Cotations!$CN$4)</f>
        <v/>
      </c>
      <c r="NJ100" s="502" t="str">
        <f t="shared" si="742"/>
        <v/>
      </c>
      <c r="NK100" s="502" t="str">
        <f t="shared" si="743"/>
        <v/>
      </c>
      <c r="NL100" s="504" t="str">
        <f t="shared" si="744"/>
        <v/>
      </c>
      <c r="NM100" s="505" t="str">
        <f>IF(A100=FALSE,"",Cotations!$CO$4)</f>
        <v/>
      </c>
      <c r="NN100" s="520" t="str">
        <f>IF(A100=FALSE,"",Cotations!$CP$4)</f>
        <v/>
      </c>
      <c r="NO100" s="503" t="str">
        <f>IF(A100=FALSE,"",Cotations!$CQ$4)</f>
        <v/>
      </c>
      <c r="NP100" s="505" t="str">
        <f>IF(A100=FALSE,"",IF(NM100="N/A",0,IF(INDEX(LISTES!$F$105:$F$109,MATCH(NM100,LISTES!$C$105:$C$109,0))="FIX",IF(INDEX(LISTES!$E$105:$E$109,MATCH(NM100,LISTES!$C$105:$C$109,0))=12,NN100/12*L100,NN100/365*M100),NO100*NL100)))</f>
        <v/>
      </c>
      <c r="NQ100" s="504" t="str">
        <f t="shared" si="745"/>
        <v/>
      </c>
      <c r="NR100" s="505" t="str">
        <f>IF(A100=FALSE,"",NQ100*Cotations!$CR$4)</f>
        <v/>
      </c>
      <c r="NS100" s="505" t="str">
        <f>IF(A100=FALSE,"",NQ100*Cotations!$CS$4)</f>
        <v/>
      </c>
      <c r="NT100" s="506" t="str">
        <f t="shared" si="746"/>
        <v/>
      </c>
      <c r="NU100" s="919" t="str">
        <f>IF(A100=FALSE,"",((NG100*TAXE)-(NG100*TAXE*NI100))+IF(NM100="N/A",0,IF(INDEX(LISTES!$F$105:$F$109,MATCH(NM100,LISTES!$C$105:$C$109,0))="FIX",NN100,NO100*NL100)))</f>
        <v/>
      </c>
      <c r="OA100" s="492" t="str">
        <f>IF(A100=FALSE,"",Cotations!D100)</f>
        <v/>
      </c>
      <c r="OB100" s="491" t="str">
        <f>IF(A100=FALSE,"",IF(LISTES!$A$17=1,Cotations!CH100,Cotations!CI100))</f>
        <v/>
      </c>
      <c r="OC100" s="285" t="str">
        <f t="shared" si="747"/>
        <v/>
      </c>
      <c r="OD100" s="300"/>
      <c r="OE100" s="461" t="str">
        <f t="shared" si="748"/>
        <v/>
      </c>
      <c r="OF100" s="490" t="str">
        <f>IF(A100=FALSE,"",IF(OA100="POEA",Cotations!CK100,IF(OA100="FIXE",Cotations!CL100,IF(Cotations!CM100*Y100&lt;50000,Z100,Cotations!CM100*Y100))))</f>
        <v/>
      </c>
      <c r="OG100" s="300" t="str">
        <f t="shared" si="749"/>
        <v/>
      </c>
      <c r="OH100" s="522" t="str">
        <f>IF(A100=FALSE,"",IF(Cotations!CJ100="monthly",OG100/12*L100,OG100/365*M100))</f>
        <v/>
      </c>
      <c r="OI100" s="489" t="str">
        <f>IF(A100=FALSE,"",IF(Cotations!CN100="","",Cotations!CN100))</f>
        <v/>
      </c>
      <c r="OJ100" s="300" t="str">
        <f t="shared" si="750"/>
        <v/>
      </c>
      <c r="OK100" s="300" t="str">
        <f t="shared" si="751"/>
        <v/>
      </c>
      <c r="OL100" s="919" t="str">
        <f t="shared" si="752"/>
        <v/>
      </c>
      <c r="OM100" s="517" t="str">
        <f>IF(A100=FALSE,"",Cotations!CO100)</f>
        <v/>
      </c>
      <c r="ON100" s="515" t="str">
        <f>IF(A100=FALSE,"",Cotations!CP100)</f>
        <v/>
      </c>
      <c r="OO100" s="493" t="str">
        <f>IF(A100=FALSE,"",Cotations!CQ100)</f>
        <v/>
      </c>
      <c r="OP100" s="517" t="str">
        <f>IF(A100=FALSE,"",IF(OM100="N/A",0,IF(INDEX(LISTES!$F$105:$F$109,MATCH(OM100,LISTES!$C$105:$C$109,0))="FIX",IF(INDEX(LISTES!$E$105:$E$109,MATCH(OM100,LISTES!$C$105:$C$109,0))=12,ON100/12*L100,ON100/365*M100),OO100*OL100)))</f>
        <v/>
      </c>
      <c r="OQ100" s="294" t="str">
        <f t="shared" si="753"/>
        <v/>
      </c>
      <c r="OR100" s="494" t="str">
        <f>IF(A100=FALSE,"",OQ100*Cotations!CR100)</f>
        <v/>
      </c>
      <c r="OS100" s="494" t="str">
        <f>IF(A100=FALSE,"",OQ100*Cotations!CS100)</f>
        <v/>
      </c>
      <c r="OT100" s="338" t="str">
        <f t="shared" si="754"/>
        <v/>
      </c>
      <c r="OU100" s="919" t="str">
        <f>IF(A100=FALSE,"",((OG100*TAXE)-(OG100*TAXE*OI100))+IF(OM100="N/A",0,IF(INDEX(LISTES!$F$105:$F$109,MATCH(OM100,LISTES!$C$105:$C$109,0))="FIX",ON100,OO100*OL100)))</f>
        <v/>
      </c>
      <c r="PA100" s="497" t="str">
        <f t="shared" si="755"/>
        <v/>
      </c>
      <c r="PB100" s="498" t="str">
        <f>IF(A100=FALSE,"",IF(LISTES!$A$17=1,Cotations!CT100,Cotations!$CU$4))</f>
        <v/>
      </c>
      <c r="PC100" s="499" t="str">
        <f t="shared" si="756"/>
        <v/>
      </c>
      <c r="PD100" s="499" t="str">
        <f t="shared" si="757"/>
        <v/>
      </c>
      <c r="PE100" s="500" t="str">
        <f t="shared" si="758"/>
        <v/>
      </c>
      <c r="PF100" s="501" t="str">
        <f>IF(A100=FALSE,"",Cotations!$CY$4*Y100)</f>
        <v/>
      </c>
      <c r="PG100" s="502" t="str">
        <f t="shared" si="759"/>
        <v/>
      </c>
      <c r="PH100" s="520" t="str">
        <f>IF(A100=FALSE,"",IF(Cotations!$CV$4="monthly",PG100/12*L100,PG100/365*M100))</f>
        <v/>
      </c>
      <c r="PI100" s="503" t="str">
        <f>IF(A100=FALSE,"",Cotations!$CZ$4)</f>
        <v/>
      </c>
      <c r="PJ100" s="502" t="str">
        <f t="shared" si="760"/>
        <v/>
      </c>
      <c r="PK100" s="502" t="str">
        <f t="shared" si="761"/>
        <v/>
      </c>
      <c r="PL100" s="504" t="str">
        <f t="shared" si="762"/>
        <v/>
      </c>
      <c r="PM100" s="505" t="str">
        <f>IF(A100=FALSE,"",Cotations!$DA$4)</f>
        <v/>
      </c>
      <c r="PN100" s="520" t="str">
        <f>IF(A100=FALSE,"",Cotations!$DB$4)</f>
        <v/>
      </c>
      <c r="PO100" s="503" t="str">
        <f>IF(A100=FALSE,"",Cotations!$DC$4)</f>
        <v/>
      </c>
      <c r="PP100" s="505" t="str">
        <f>IF(A100=FALSE,"",IF(PM100="N/A",0,IF(INDEX(LISTES!$F$105:$F$109,MATCH(PM100,LISTES!$C$105:$C$109,0))="FIX",IF(INDEX(LISTES!$E$105:$E$109,MATCH(PM100,LISTES!$C$105:$C$109,0))=12,PN100/12*L100,PN100/365*M100),PO100*PL100)))</f>
        <v/>
      </c>
      <c r="PQ100" s="504" t="str">
        <f t="shared" si="763"/>
        <v/>
      </c>
      <c r="PR100" s="505" t="str">
        <f>IF(A100=FALSE,"",PQ100*Cotations!$DD$4)</f>
        <v/>
      </c>
      <c r="PS100" s="505" t="str">
        <f>IF(A100=FALSE,"",PQ100*Cotations!$DE$4)</f>
        <v/>
      </c>
      <c r="PT100" s="506" t="str">
        <f t="shared" si="764"/>
        <v/>
      </c>
      <c r="PU100" s="919" t="str">
        <f>IF(A100=FALSE,"",((PG100*TAXE)-(PG100*TAXE*PI100))+IF(PM100="N/A",0,IF(INDEX(LISTES!$F$105:$F$109,MATCH(PM100,LISTES!$C$105:$C$109,0))="FIX",PN100,PO100*PL100)))</f>
        <v/>
      </c>
      <c r="QA100" s="492" t="str">
        <f t="shared" si="765"/>
        <v/>
      </c>
      <c r="QB100" s="491" t="str">
        <f>IF(A100=FALSE,"",IF(LISTES!$A$17=1,Cotations!CT100,Cotations!CU100))</f>
        <v/>
      </c>
      <c r="QC100" s="285" t="str">
        <f t="shared" si="766"/>
        <v/>
      </c>
      <c r="QD100" s="300"/>
      <c r="QE100" s="461" t="str">
        <f t="shared" si="767"/>
        <v/>
      </c>
      <c r="QF100" s="490" t="str">
        <f>IF(A100=FALSE,"",Cotations!CY100*AA100)</f>
        <v/>
      </c>
      <c r="QG100" s="300" t="str">
        <f t="shared" si="768"/>
        <v/>
      </c>
      <c r="QH100" s="522" t="str">
        <f>IF(A100=FALSE,"",IF(Cotations!CV100="monthly",QG100/12*L100,QG100/365*M100))</f>
        <v/>
      </c>
      <c r="QI100" s="489" t="str">
        <f>IF(A100=FALSE,"",IF(Cotations!CZ100="","",Cotations!CZ100))</f>
        <v/>
      </c>
      <c r="QJ100" s="300" t="str">
        <f t="shared" si="769"/>
        <v/>
      </c>
      <c r="QK100" s="300" t="str">
        <f t="shared" si="770"/>
        <v/>
      </c>
      <c r="QL100" s="919" t="str">
        <f t="shared" si="771"/>
        <v/>
      </c>
      <c r="QM100" s="517" t="str">
        <f>IF(A100=FALSE,"",Cotations!DA100)</f>
        <v/>
      </c>
      <c r="QN100" s="515" t="str">
        <f>IF(A100=FALSE,"",Cotations!DB100)</f>
        <v/>
      </c>
      <c r="QO100" s="493" t="str">
        <f>IF(A100=FALSE,"",Cotations!DC100)</f>
        <v/>
      </c>
      <c r="QP100" s="517" t="str">
        <f>IF(A100=FALSE,"",IF(QM100="N/A",0,IF(INDEX(LISTES!$F$105:$F$109,MATCH(QM100,LISTES!$C$105:$C$109,0))="FIX",IF(INDEX(LISTES!$E$105:$E$109,MATCH(QM100,LISTES!$C$105:$C$109,0))=12,QN100/12*L100,QN100/365*M100),QO100*QL100)))</f>
        <v/>
      </c>
      <c r="QQ100" s="294" t="str">
        <f t="shared" si="772"/>
        <v/>
      </c>
      <c r="QR100" s="494" t="str">
        <f>IF(A100=FALSE,"",QQ100*Cotations!DD100)</f>
        <v/>
      </c>
      <c r="QS100" s="494" t="str">
        <f>IF(A100=FALSE,"",QQ100*Cotations!DE100)</f>
        <v/>
      </c>
      <c r="QT100" s="338" t="str">
        <f t="shared" si="773"/>
        <v/>
      </c>
      <c r="QU100" s="919" t="str">
        <f>IF(A100=FALSE,"",((QG100*TAXE)-(QG100*TAXE*QI100))+IF(QM100="N/A",0,IF(INDEX(LISTES!$F$105:$F$109,MATCH(QM100,LISTES!$C$105:$C$109,0))="FIX",QN100,QO100*QL100)))</f>
        <v/>
      </c>
      <c r="RA100" s="497" t="str">
        <f t="shared" si="774"/>
        <v/>
      </c>
      <c r="RB100" s="498" t="str">
        <f>IF(A100=FALSE,"",IF(LISTES!$A$17=1,Cotations!DF100,Cotations!$DG$4))</f>
        <v/>
      </c>
      <c r="RC100" s="499" t="str">
        <f t="shared" si="775"/>
        <v/>
      </c>
      <c r="RD100" s="499" t="str">
        <f t="shared" si="776"/>
        <v/>
      </c>
      <c r="RE100" s="500" t="str">
        <f t="shared" si="777"/>
        <v/>
      </c>
      <c r="RF100" s="501" t="str">
        <f>IF(A100=FALSE,"",Cotations!$DK$4*Y100)</f>
        <v/>
      </c>
      <c r="RG100" s="502" t="str">
        <f t="shared" si="778"/>
        <v/>
      </c>
      <c r="RH100" s="520" t="str">
        <f>IF(A100=FALSE,"",IF(Cotations!$DH$4="monthly",RG100/12*L100,RG100/365*M100))</f>
        <v/>
      </c>
      <c r="RI100" s="503" t="str">
        <f>IF(A100=FALSE,"",Cotations!$DL$4)</f>
        <v/>
      </c>
      <c r="RJ100" s="502" t="str">
        <f t="shared" si="779"/>
        <v/>
      </c>
      <c r="RK100" s="502" t="str">
        <f t="shared" si="780"/>
        <v/>
      </c>
      <c r="RL100" s="504" t="str">
        <f t="shared" si="781"/>
        <v/>
      </c>
      <c r="RM100" s="505" t="str">
        <f>IF(A100=FALSE,"",Cotations!$DM$4)</f>
        <v/>
      </c>
      <c r="RN100" s="520" t="str">
        <f>IF(A100=FALSE,"",Cotations!$DN$4)</f>
        <v/>
      </c>
      <c r="RO100" s="503" t="str">
        <f>IF(A100=FALSE,"",Cotations!$DO$4)</f>
        <v/>
      </c>
      <c r="RP100" s="505" t="str">
        <f>IF(A100=FALSE,"",IF(RM100="N/A",0,IF(INDEX(LISTES!$F$105:$F$109,MATCH(RM100,LISTES!$C$105:$C$109,0))="FIX",IF(INDEX(LISTES!$E$105:$E$109,MATCH(RM100,LISTES!$C$105:$C$109,0))=12,RN100/12*L100,RN100/365*M100),RO100*RL100)))</f>
        <v/>
      </c>
      <c r="RQ100" s="504" t="str">
        <f t="shared" si="782"/>
        <v/>
      </c>
      <c r="RR100" s="505" t="str">
        <f>IF(A100=FALSE,"",RQ100*Cotations!$DP$4)</f>
        <v/>
      </c>
      <c r="RS100" s="505" t="str">
        <f>IF(A100=FALSE,"",RQ100*Cotations!$DQ$4)</f>
        <v/>
      </c>
      <c r="RT100" s="506" t="str">
        <f t="shared" si="783"/>
        <v/>
      </c>
      <c r="RU100" s="919" t="str">
        <f>IF(A100=FALSE,"",((RG100*TAXE)-(RG100*TAXE*RI100))+IF(RM100="N/A",0,IF(INDEX(LISTES!$F$105:$F$109,MATCH(RM100,LISTES!$C$105:$C$109,0))="FIX",RN100,RO100*RL100)))</f>
        <v/>
      </c>
      <c r="SA100" s="492" t="str">
        <f t="shared" si="784"/>
        <v/>
      </c>
      <c r="SB100" s="491" t="str">
        <f>IF(A100=FALSE,"",IF(LISTES!$A$17=1,Cotations!DF100,Cotations!DG100))</f>
        <v/>
      </c>
      <c r="SC100" s="285" t="str">
        <f t="shared" si="785"/>
        <v/>
      </c>
      <c r="SD100" s="300"/>
      <c r="SE100" s="461" t="str">
        <f t="shared" si="786"/>
        <v/>
      </c>
      <c r="SF100" s="490" t="str">
        <f>IF(A100=FALSE,"",Cotations!DK100*AA100)</f>
        <v/>
      </c>
      <c r="SG100" s="300" t="str">
        <f t="shared" si="787"/>
        <v/>
      </c>
      <c r="SH100" s="522" t="str">
        <f>IF(A100=FALSE,"",IF(Cotations!DH100="monthly",SG100/12*L100,SG100/365*M100))</f>
        <v/>
      </c>
      <c r="SI100" s="489" t="str">
        <f>IF(A100=FALSE,"",IF(Cotations!DL100="","",Cotations!DL100))</f>
        <v/>
      </c>
      <c r="SJ100" s="300" t="str">
        <f t="shared" si="788"/>
        <v/>
      </c>
      <c r="SK100" s="300" t="str">
        <f t="shared" si="789"/>
        <v/>
      </c>
      <c r="SL100" s="919" t="str">
        <f t="shared" si="790"/>
        <v/>
      </c>
      <c r="SM100" s="285" t="str">
        <f>IF(A100=FALSE,"",Cotations!DM100)</f>
        <v/>
      </c>
      <c r="SN100" s="515" t="str">
        <f>IF(A100=FALSE,"",Cotations!DN100)</f>
        <v/>
      </c>
      <c r="SO100" s="493" t="str">
        <f>IF(A100=FALSE,"",Cotations!DO100)</f>
        <v/>
      </c>
      <c r="SP100" s="517" t="str">
        <f>IF(A100=FALSE,"",IF(SM100="N/A",0,IF(INDEX(LISTES!$F$105:$F$109,MATCH(SM100,LISTES!$C$105:$C$109,0))="FIX",IF(INDEX(LISTES!$E$105:$E$109,MATCH(SM100,LISTES!$C$105:$C$109,0))=12,SN100/12*L100,SN100/365*M100),SO100*SL100)))</f>
        <v/>
      </c>
      <c r="SQ100" s="294" t="str">
        <f t="shared" si="791"/>
        <v/>
      </c>
      <c r="SR100" s="494" t="str">
        <f>IF(A100=FALSE,"",SQ100*Cotations!DP100)</f>
        <v/>
      </c>
      <c r="SS100" s="494" t="str">
        <f>IF(A100=FALSE,"",SQ100*Cotations!DQ100)</f>
        <v/>
      </c>
      <c r="ST100" s="338" t="str">
        <f t="shared" si="792"/>
        <v/>
      </c>
      <c r="SU100" s="919" t="str">
        <f>IF(A100=FALSE,"",((SG100*TAXE)-(SG100*TAXE*SI100))+IF(SM100="N/A",0,IF(INDEX(LISTES!$F$105:$F$109,MATCH(SM100,LISTES!$C$105:$C$109,0))="FIX",SN100,SO100*SL100)))</f>
        <v/>
      </c>
      <c r="TA100" s="492" t="str">
        <f>IF(A100=FALSE,"",Cotations!D100)</f>
        <v/>
      </c>
      <c r="TB100" s="491" t="str">
        <f>IF(A100=FALSE,"",IF(LISTES!$A$17=1,Cotations!DR100,Cotations!DS100))</f>
        <v/>
      </c>
      <c r="TC100" s="285" t="str">
        <f t="shared" si="793"/>
        <v/>
      </c>
      <c r="TD100" s="300" t="str">
        <f>IF(A100=FALSE,"",Detail!CQ100)</f>
        <v/>
      </c>
      <c r="TE100" s="461" t="str">
        <f t="shared" si="794"/>
        <v/>
      </c>
      <c r="TF100" s="490" t="str">
        <f>IF(A100=FALSE,"",IF(TA100="FIXE",Cotations!DU100,Cotations!DV100*Y100))</f>
        <v/>
      </c>
      <c r="TG100" s="300" t="str">
        <f t="shared" si="795"/>
        <v/>
      </c>
      <c r="TH100" s="522" t="str">
        <f>IF(A100=FALSE,"",IF(Cotations!DT100="monthly",TG100/12*L100,TG100/365*M100))</f>
        <v/>
      </c>
      <c r="TI100" s="489" t="str">
        <f>IF(A100=FALSE,"",IF(Cotations!DW100="","",Cotations!DW100))</f>
        <v/>
      </c>
      <c r="TJ100" s="300" t="str">
        <f t="shared" si="796"/>
        <v/>
      </c>
      <c r="TK100" s="300" t="str">
        <f t="shared" si="797"/>
        <v/>
      </c>
      <c r="TL100" s="919" t="str">
        <f t="shared" si="798"/>
        <v/>
      </c>
      <c r="TM100" s="517" t="str">
        <f>IF(A100=FALSE,"",Cotations!DX100)</f>
        <v/>
      </c>
      <c r="TN100" s="517" t="str">
        <f>IF(A100=FALSE,"",Cotations!DY100)</f>
        <v/>
      </c>
      <c r="TO100" s="493" t="str">
        <f>IF(A100=FALSE,"",Cotations!DZ100)</f>
        <v/>
      </c>
      <c r="TP100" s="517" t="str">
        <f>IF(A100=FALSE,"",IF(TM100="N/A",0,IF(INDEX(LISTES!$F$105:$F$109,MATCH(TM100,LISTES!$C$105:$C$109,0))="FIX",IF(INDEX(LISTES!$E$105:$E$109,MATCH(TM100,LISTES!$C$105:$C$109,0))=12,TN100/12*L100,TN100/365*M100),TO100*TL100)))</f>
        <v/>
      </c>
      <c r="TQ100" s="294" t="str">
        <f t="shared" si="799"/>
        <v/>
      </c>
      <c r="TR100" s="494" t="str">
        <f>IF(A100=FALSE,"",TQ100*Cotations!EA100)</f>
        <v/>
      </c>
      <c r="TS100" s="494" t="str">
        <f>IF(A100=FALSE,"",TQ100*Cotations!EB100)</f>
        <v/>
      </c>
      <c r="TT100" s="338" t="str">
        <f t="shared" si="800"/>
        <v/>
      </c>
      <c r="TU100" s="919" t="str">
        <f>IF(A100=FALSE,"",((TG100*(1+TAXE)-(TG100*(1+TAXE)*TI100))+IF(TM100="N/A",0,IF(INDEX(LISTES!$F$105:$F$109,MATCH(TM100,LISTES!$C$105:$C$109,0))="FIX",TN100,TO100*TL100))))</f>
        <v/>
      </c>
      <c r="UA100" s="492" t="str">
        <f>IF(A100=FALSE,"",Cotations!D100)</f>
        <v/>
      </c>
      <c r="UB100" s="491" t="str">
        <f>IF(A100=FALSE,"",IF(LISTES!$A$17=1,Cotations!EC100,Cotations!ED100))</f>
        <v/>
      </c>
      <c r="UC100" s="285" t="str">
        <f t="shared" si="801"/>
        <v/>
      </c>
      <c r="UD100" s="300" t="str">
        <f>IF(A100=FALSE,"",Detail!CY100)</f>
        <v/>
      </c>
      <c r="UE100" s="461" t="str">
        <f t="shared" si="802"/>
        <v/>
      </c>
      <c r="UF100" s="490" t="str">
        <f>IF(A100=FALSE,"",IF(UA100="FIXE",Cotations!EF100,Cotations!EG100*Y100))</f>
        <v/>
      </c>
      <c r="UG100" s="300" t="str">
        <f t="shared" si="803"/>
        <v/>
      </c>
      <c r="UH100" s="522" t="str">
        <f>IF(A100=FALSE,"",IF(Cotations!EE100="monthly",UG100/12*L100,UG100/365*M100))</f>
        <v/>
      </c>
      <c r="UI100" s="489" t="str">
        <f>IF(A100=FALSE,"",IF(Cotations!EH100="","",Cotations!EH100))</f>
        <v/>
      </c>
      <c r="UJ100" s="300" t="str">
        <f t="shared" si="804"/>
        <v/>
      </c>
      <c r="UK100" s="300" t="str">
        <f t="shared" si="805"/>
        <v/>
      </c>
      <c r="UL100" s="919" t="str">
        <f t="shared" si="806"/>
        <v/>
      </c>
      <c r="UM100" s="517" t="str">
        <f>IF(A100=FALSE,"",Cotations!EI100)</f>
        <v/>
      </c>
      <c r="UN100" s="517" t="str">
        <f>IF(A100=FALSE,"",Cotations!EJ100)</f>
        <v/>
      </c>
      <c r="UO100" s="493" t="str">
        <f>IF(A100=FALSE,"",Cotations!EK100)</f>
        <v/>
      </c>
      <c r="UP100" s="517" t="str">
        <f>IF(A100=FALSE,"",IF(UM100="N/A",0,IF(INDEX(LISTES!$F$105:$F$109,MATCH(UM100,LISTES!$C$105:$C$109,0))="FIX",IF(INDEX(LISTES!$E$105:$E$109,MATCH(UM100,LISTES!$C$105:$C$109,0))=12,UN100/12*L100,UN100/365*M100),UO100*UL100)))</f>
        <v/>
      </c>
      <c r="UQ100" s="294" t="str">
        <f t="shared" si="807"/>
        <v/>
      </c>
      <c r="UR100" s="494" t="str">
        <f>IF(A100=FALSE,"",UQ100*Cotations!EL100)</f>
        <v/>
      </c>
      <c r="US100" s="494" t="str">
        <f>IF(A100=FALSE,"",UQ100*Cotations!EM100)</f>
        <v/>
      </c>
      <c r="UT100" s="338" t="str">
        <f t="shared" si="808"/>
        <v/>
      </c>
      <c r="UU100" s="919" t="str">
        <f>IF(A100=FALSE,"",((UG100*(1+TAXE)-(UG100*(1+TAXE)*UI100))+IF(UM100="N/A",0,IF(INDEX(LISTES!$F$105:$F$109,MATCH(UM100,LISTES!$C$105:$C$109,0))="FIX",UN100,UO100*UL100))))</f>
        <v/>
      </c>
      <c r="VA100" s="492" t="str">
        <f>IF(A100=FALSE,"",Cotations!D100)</f>
        <v/>
      </c>
      <c r="VB100" s="519" t="str">
        <f>IF(A100=FALSE,"",IF(LISTES!$A$17=1,Cotations!EN100,Cotations!EO100))</f>
        <v/>
      </c>
      <c r="VC100" s="291" t="str">
        <f t="shared" si="809"/>
        <v/>
      </c>
      <c r="VD100" s="291" t="str">
        <f t="shared" si="810"/>
        <v/>
      </c>
      <c r="VE100" s="291"/>
      <c r="VF100" s="463"/>
      <c r="VG100" s="463" t="str">
        <f t="shared" si="811"/>
        <v/>
      </c>
      <c r="VH100" s="522" t="str">
        <f>IF(A100=FALSE,"",IF(Cotations!$AQ$4="monthly",VG100/12*L100,VG100/365*M100))</f>
        <v/>
      </c>
      <c r="VI100" s="489" t="str">
        <f>IF(A100=FALSE,"",Cotations!$AR$4)</f>
        <v/>
      </c>
      <c r="VJ100" s="300" t="str">
        <f t="shared" si="812"/>
        <v/>
      </c>
      <c r="VK100" s="300" t="str">
        <f t="shared" si="813"/>
        <v/>
      </c>
      <c r="VL100" s="294" t="str">
        <f t="shared" si="814"/>
        <v/>
      </c>
      <c r="VM100" s="494" t="str">
        <f>IF(A100=FALSE,"",Cotations!$AS$4)</f>
        <v/>
      </c>
      <c r="VN100" s="494" t="str">
        <f>IF(A100=FALSE,"",Cotations!$AT$4)</f>
        <v/>
      </c>
      <c r="VO100" s="489" t="str">
        <f>IF(A100=FALSE,"",Cotations!$AU$4)</f>
        <v/>
      </c>
      <c r="VP100" s="494" t="str">
        <f>IF(A100=FALSE,"",IF(VM100="N/A",0,IF(INDEX(LISTES!$F$105:$F$109,MATCH(VM100,LISTES!$C$105:$C$109,0))="FIX",IF(INDEX(LISTES!$E$105:$E$109,MATCH(VM100,LISTES!$C$105:$C$109,0))=12,VN100/12*L100,VN100/365*M100),VO100*VL100)))</f>
        <v/>
      </c>
      <c r="VQ100" s="294" t="str">
        <f t="shared" si="815"/>
        <v/>
      </c>
      <c r="VR100" s="494" t="str">
        <f>IF(A100=FALSE,"",VQ100*Cotations!$AV$4)</f>
        <v/>
      </c>
      <c r="VS100" s="494" t="str">
        <f>IF(A100=FALSE,"",VQ100*Cotations!$AW$4)</f>
        <v/>
      </c>
      <c r="VT100" s="465" t="str">
        <f t="shared" si="816"/>
        <v/>
      </c>
      <c r="VU100" s="919" t="str">
        <f>IF(A100=FALSE,"",((VG100*TAXE)-(VG100*TAXE*VI100))+IF(VM100="N/A",0,IF(INDEX(LISTES!$F$105:$F$109,MATCH(VM100,LISTES!$C$105:$C$109,0))="FIX",VN100,VO100*VL100)))</f>
        <v/>
      </c>
      <c r="WA100" s="492" t="str">
        <f>IF(A100=FALSE,"",Cotations!D100)</f>
        <v/>
      </c>
      <c r="WB100" s="519" t="str">
        <f>IF(A100=FALSE,"",IF(LISTES!$A$17=1,Cotations!EW100,Cotations!EX100))</f>
        <v/>
      </c>
      <c r="WC100" s="291" t="str">
        <f t="shared" si="817"/>
        <v/>
      </c>
      <c r="WD100" s="291" t="str">
        <f t="shared" si="818"/>
        <v/>
      </c>
      <c r="WE100" s="291"/>
      <c r="WF100" s="463"/>
      <c r="WG100" s="463" t="str">
        <f t="shared" si="819"/>
        <v/>
      </c>
      <c r="WH100" s="522" t="str">
        <f>IF(A100=FALSE,"",IF(Cotations!$AQ$4="monthly",WG100/12*L100,WG100/365*M100))</f>
        <v/>
      </c>
      <c r="WI100" s="489" t="str">
        <f>IF(A100=FALSE,"",Cotations!$AR$4)</f>
        <v/>
      </c>
      <c r="WJ100" s="300" t="str">
        <f t="shared" si="820"/>
        <v/>
      </c>
      <c r="WK100" s="300" t="str">
        <f t="shared" si="821"/>
        <v/>
      </c>
      <c r="WL100" s="294" t="str">
        <f t="shared" si="822"/>
        <v/>
      </c>
      <c r="WM100" s="494" t="str">
        <f>IF(A100=FALSE,"",Cotations!$AS$4)</f>
        <v/>
      </c>
      <c r="WN100" s="494" t="str">
        <f>IF(A100=FALSE,"",Cotations!$AT$4)</f>
        <v/>
      </c>
      <c r="WO100" s="489" t="str">
        <f>IF(A100=FALSE,"",Cotations!$AU$4)</f>
        <v/>
      </c>
      <c r="WP100" s="494" t="str">
        <f>IF(A100=FALSE,"",IF(WM100="N/A",0,IF(INDEX(LISTES!$F$105:$F$109,MATCH(WM100,LISTES!$C$105:$C$109,0))="FIX",IF(INDEX(LISTES!$E$105:$E$109,MATCH(WM100,LISTES!$C$105:$C$109,0))=12,WN100/12*L100,WN100/365*M100),WO100*WL100)))</f>
        <v/>
      </c>
      <c r="WQ100" s="294" t="str">
        <f t="shared" si="823"/>
        <v/>
      </c>
      <c r="WR100" s="494" t="str">
        <f>IF(A100=FALSE,"",WQ100*Cotations!$AV$4)</f>
        <v/>
      </c>
      <c r="WS100" s="494" t="str">
        <f>IF(A100=FALSE,"",WQ100*Cotations!$AW$4)</f>
        <v/>
      </c>
      <c r="WT100" s="465" t="str">
        <f t="shared" si="824"/>
        <v/>
      </c>
      <c r="WU100" s="919" t="str">
        <f>IF(A100=FALSE,"",((WG100*TAXE)-(WG100*TAXE*WI100))+IF(WM100="N/A",0,IF(INDEX(LISTES!$F$105:$F$109,MATCH(WM100,LISTES!$C$105:$C$109,0))="FIX",WN100,WO100*WL100)))</f>
        <v/>
      </c>
    </row>
    <row r="101" spans="1:619">
      <c r="A101" s="942" t="b">
        <f t="shared" si="629"/>
        <v>0</v>
      </c>
      <c r="B101" s="942" t="b">
        <f>IF(NAMES!$B$9=TRUE,TRUE,FALSE)</f>
        <v>1</v>
      </c>
      <c r="C101" s="942" t="b">
        <f t="shared" si="825"/>
        <v>0</v>
      </c>
      <c r="D101" s="942" t="b">
        <f t="shared" si="826"/>
        <v>0</v>
      </c>
      <c r="E101" s="274" t="b">
        <f>IF(Cotations!C101="","",Cotations!C101)</f>
        <v>0</v>
      </c>
      <c r="F101" s="274" t="str">
        <f>IF(Cotations!D101="","",Cotations!D101)</f>
        <v>PROP</v>
      </c>
      <c r="G101" s="274" t="str">
        <f>IF(Cotations!E101="","",Cotations!E101)</f>
        <v>2016-2017!</v>
      </c>
      <c r="H101" s="274" t="str">
        <f>IF(Cotations!F101="","",Cotations!F101)</f>
        <v>SINGLE</v>
      </c>
      <c r="I101" s="274" t="str">
        <f>IF(Cotations!G101="","",Cotations!G101)</f>
        <v/>
      </c>
      <c r="J101" s="274" t="str">
        <f>IF(Cotations!H101="","",Cotations!H101)</f>
        <v/>
      </c>
      <c r="K101" s="274" t="str">
        <f>IF(Cotations!I101="","",Cotations!I101)</f>
        <v/>
      </c>
      <c r="L101" s="274" t="str">
        <f>IF(A101=FALSE,"",IF(Cotations!N101="","",Cotations!N101))</f>
        <v/>
      </c>
      <c r="M101" s="274" t="str">
        <f>IF(Cotations!P101="","",Cotations!P101)</f>
        <v/>
      </c>
      <c r="N101" s="724" t="str">
        <f>IF(NAMES!$B$10=TRUE,Cotations!J101,Cotations!L101)</f>
        <v/>
      </c>
      <c r="O101" s="724" t="str">
        <f>IF(NAMES!$B$10=TRUE,Cotations!K101,Cotations!M101)</f>
        <v/>
      </c>
      <c r="P101" s="943" t="str">
        <f t="shared" si="827"/>
        <v/>
      </c>
      <c r="Q101" s="724" t="str">
        <f>IF(A101=FALSE,"",IF(Crewlist!Y101="","",Crewlist!Y101))</f>
        <v/>
      </c>
      <c r="R101" s="78" t="str">
        <f>IF(Cotations!U101="","",Cotations!U101)</f>
        <v/>
      </c>
      <c r="S101" s="943" t="str">
        <f t="shared" si="828"/>
        <v/>
      </c>
      <c r="T101" s="919" t="str">
        <f>IF(A101=FALSE,"",VLOOKUP($U$15:$U$120,Currency!$A$2:$D$10,4,0)*Crewlist!N101)</f>
        <v/>
      </c>
      <c r="U101" s="1355" t="str">
        <f>IF(A101=FALSE,"",IF(IT101=0,Crewlist!M101&amp;"/"&amp;EX101,Crewlist!M101&amp;"/"&amp;IT101))</f>
        <v/>
      </c>
      <c r="V101" s="919" t="str">
        <f>IF(A101=FALSE,"",VLOOKUP($U$15:$U$120,Currency!$A$2:$D$10,4,0)*Detail!Q101)</f>
        <v/>
      </c>
      <c r="W101" s="1355" t="str">
        <f>IF(A101=FALSE,"",IF(IT101=0,Detail!R101&amp;"/"&amp;EX101,Detail!R101&amp;"/"&amp;IT101))</f>
        <v/>
      </c>
      <c r="X101" s="919" t="str">
        <f>IF(A101=FALSE,"",IF(LISTES!$C$17="Crewlist",Calcul!T101,Calcul!V101))</f>
        <v/>
      </c>
      <c r="Y101" s="758" t="str">
        <f t="shared" si="829"/>
        <v/>
      </c>
      <c r="Z101" s="758" t="str">
        <f>IF(A101=FALSE,"",IF(X101=0,0,IF((Cotations!BC101*12*X101)&lt;50000,50000,(12*X101))))</f>
        <v/>
      </c>
      <c r="AA101" s="758" t="str">
        <f t="shared" si="830"/>
        <v/>
      </c>
      <c r="AB101" s="758" t="str">
        <f>IF(A101=FALSE,"",IF(Crewlist!O101=0,"",Crewlist!O101))</f>
        <v/>
      </c>
      <c r="AC101" s="758" t="str">
        <f>IF(I101="","",VLOOKUP($AB$15:$AB$120,Currency!$A$15:$B$34,2,0))</f>
        <v/>
      </c>
      <c r="AD101" s="758" t="str">
        <f t="shared" si="831"/>
        <v/>
      </c>
      <c r="AE101" s="758" t="str">
        <f t="shared" si="832"/>
        <v/>
      </c>
      <c r="AF101" s="758" t="str">
        <f t="shared" si="833"/>
        <v/>
      </c>
      <c r="AG101" s="758" t="str">
        <f t="shared" si="834"/>
        <v/>
      </c>
      <c r="AH101" s="1355" t="str">
        <f t="shared" si="630"/>
        <v/>
      </c>
      <c r="AI101" s="919" t="str">
        <f t="shared" si="835"/>
        <v/>
      </c>
      <c r="AJ101" s="1382" t="str">
        <f t="shared" si="836"/>
        <v/>
      </c>
      <c r="AK101" s="1382" t="str">
        <f t="shared" si="837"/>
        <v/>
      </c>
      <c r="AL101" s="238" t="str">
        <f t="shared" si="631"/>
        <v/>
      </c>
      <c r="AM101" s="238" t="str">
        <f t="shared" si="632"/>
        <v/>
      </c>
      <c r="AN101" s="1374" t="str">
        <f t="shared" si="633"/>
        <v/>
      </c>
      <c r="AO101" s="238" t="str">
        <f t="shared" si="634"/>
        <v/>
      </c>
      <c r="AP101" s="342" t="str">
        <f>IF(A101=FALSE,"",INDEX(Rates!$Z$5:$Z$367,MATCH(EB101,colchoice,0)))</f>
        <v/>
      </c>
      <c r="AQ101" s="238" t="str">
        <f t="shared" si="635"/>
        <v/>
      </c>
      <c r="AR101" s="238" t="str">
        <f t="shared" si="636"/>
        <v/>
      </c>
      <c r="AS101" s="238" t="str">
        <f t="shared" si="637"/>
        <v/>
      </c>
      <c r="AT101" s="238" t="str">
        <f t="shared" si="638"/>
        <v/>
      </c>
      <c r="AU101" s="238" t="str">
        <f t="shared" si="639"/>
        <v/>
      </c>
      <c r="AV101" s="238" t="str">
        <f t="shared" si="838"/>
        <v/>
      </c>
      <c r="AW101" s="238" t="str">
        <f t="shared" si="640"/>
        <v/>
      </c>
      <c r="AX101" s="238" t="str">
        <f t="shared" si="641"/>
        <v/>
      </c>
      <c r="AY101" s="238" t="str">
        <f t="shared" si="642"/>
        <v/>
      </c>
      <c r="AZ101" s="238" t="str">
        <f t="shared" si="643"/>
        <v/>
      </c>
      <c r="BA101" s="238" t="str">
        <f t="shared" si="644"/>
        <v/>
      </c>
      <c r="BB101" s="552" t="str">
        <f t="shared" si="645"/>
        <v/>
      </c>
      <c r="BC101" s="347" t="str">
        <f t="shared" si="646"/>
        <v/>
      </c>
      <c r="BD101" s="239" t="str">
        <f t="shared" si="839"/>
        <v/>
      </c>
      <c r="BE101" s="239" t="str">
        <f>IF(A101=FALSE,"",IF(ALLTHESAME=TRUE,IF(DF101&lt;&gt;$BC$7,0,INDEX(DD101:DZ101,1,MATCH(Structure!$D$12,$DD$14:$DZ$14,0))),IF(EC101&lt;&gt;$BC$7,0,INDEX(EA101:EZ101,1,MATCH(Structure!$D$12,$EA$14:$EZ$14,0)))))</f>
        <v/>
      </c>
      <c r="BF101" s="239" t="str">
        <f>IF(A101=FALSE,"",IF(ALLTHESAME=TRUE,IF(FC101&lt;&gt;$BC$7,0,INDEX(FA101:FZ101,1,MATCH(Structure!$D$12,$FA$14:$FZ$14,0))),IF(GC101&lt;&gt;$BC$7,0,INDEX(GA101:GZ101,1,MATCH(Structure!$D$12,$GA$14:$GZ$14,0)))))</f>
        <v/>
      </c>
      <c r="BG101" s="239" t="str">
        <f>IF(A101=FALSE,"",IF(ALLTHESAME=TRUE,IF(VC101&lt;&gt;$BC$7,0,INDEX(VA101:VZ101,1,MATCH(Structure!$D$12,$VA$14:$VZ$14,0))),IF(VC101&lt;&gt;$BC$7,0,INDEX(VA101:VZ101,1,MATCH(Structure!$D$12,$VA$14:$VZ$14,0)))))</f>
        <v/>
      </c>
      <c r="BH101" s="239" t="str">
        <f>IF(A101=FALSE,"",IF(ALLTHESAME=TRUE,IF(WC101&lt;&gt;$BC$7,0,INDEX(WA101:WY101,1,MATCH(Structure!$D$12,$WA$14:$WZ$14,0))),IF(WC101&lt;&gt;$BC$7,0,INDEX(WA101:WZ101,1,MATCH(Structure!$D$12,$WA$14:$WZ$14,0)))))</f>
        <v/>
      </c>
      <c r="BI101" s="763" t="str">
        <f>IF(A101=FALSE,"",IF(ALLTHESAME=TRUE,IF(HC101&lt;&gt;$BC$7,0,INDEX(HA101:HZ101,1,MATCH(Structure!$D$12,$HA$14:$HZ$14,0)))+TK101,IF(IC101&lt;&gt;$BC$7,0,INDEX(IA101:IZ101,1,MATCH(Structure!$D$12,$IA$14:$IZ$14,0)))+TK101))</f>
        <v/>
      </c>
      <c r="BJ101" s="239" t="str">
        <f>IF(A101=FALSE,"",IF(ALLTHESAME=TRUE,IF(JC101&lt;&gt;$BC$7,0,INDEX(JA101:JZ101,1,MATCH(Structure!$D$12,$JA$14:$JZ$14,0))),IF(KC101&lt;&gt;$BC$7,0,INDEX(KA101:KZ101,1,MATCH(Structure!$D$12,$KA$14:$KZ$14,0)))))</f>
        <v/>
      </c>
      <c r="BK101" s="763" t="str">
        <f>IF(A101=FALSE,"",IF(ALLTHESAME=TRUE,IF(LC101&lt;&gt;$BC$7,0,INDEX(LA101:LZ101,1,MATCH(Structure!$D$12,$LA$14:$LZ$14,0)))+UK101,IF(MC101&lt;&gt;$BC$7,0,INDEX(MA101:MZ101,1,MATCH(Structure!$D$12,$MA$14:$MZ$14,0)))+UK101))</f>
        <v/>
      </c>
      <c r="BL101" s="239" t="str">
        <f>IF(A101=FALSE,"",IF(ALLTHESAME=TRUE,IF(NC101&lt;&gt;$BC$7,0,INDEX(NA101:NZ101,1,MATCH(Structure!$D$12,$NA$14:$NZ$14,0))),IF(OC101&lt;&gt;$BC$7,0,INDEX(OA101:OZ101,1,MATCH(Structure!$D$12,$OA$14:$OZ$14,0)))))</f>
        <v/>
      </c>
      <c r="BM101" s="239" t="str">
        <f>IF(A101=FALSE,"",IF(ALLTHESAME=TRUE,IF(PC101&lt;&gt;$BC$7,0,INDEX(PA101:PZ101,1,MATCH(Structure!$D$12,$PA$14:$PZ$14,0))),IF(QC101&lt;&gt;$BC$7,0,INDEX(QA101:QZ101,1,MATCH(Structure!$D$12,$QA$14:$QZ$14,0)))))</f>
        <v/>
      </c>
      <c r="BN101" s="341" t="str">
        <f>IF(A101=FALSE,"",IF(ALLTHESAME=TRUE,IF(RC101&lt;&gt;$BC$7,0,INDEX(RA101:RZ101,1,MATCH(Structure!$D$12,$RA$14:$RZ$14,0))),IF(SC101&lt;&gt;$BC$7,0,INDEX(SA101:TA101,1,MATCH(Structure!$D$12,$SA$14:$TA$14,0)))))</f>
        <v/>
      </c>
      <c r="BO101" s="507" t="str">
        <f t="shared" si="647"/>
        <v/>
      </c>
      <c r="BP101" s="239" t="str">
        <f t="shared" si="648"/>
        <v/>
      </c>
      <c r="BQ101" s="239" t="str">
        <f>IF(A101=FALSE,"",IF(ALLTHESAME=TRUE,IF(DF101&lt;&gt;$BO$7,0,INDEX(DD101:DZ101,1,MATCH(Structure!$D$12,$DD$14:$DZ$14,0))),IF(EC101&lt;&gt;$BO$7,0,INDEX(EA101:EZ101,1,MATCH(Structure!$D$12,$EA$14:$EZ$14,0)))))</f>
        <v/>
      </c>
      <c r="BR101" s="239" t="str">
        <f>IF(A101=FALSE,"",IF(ALLTHESAME=TRUE,IF(FC101&lt;&gt;$BO$7,0,INDEX(FA101:FZ101,1,MATCH(Structure!$D$12,$FA$14:$FZ$14,0))),IF(GC101&lt;&gt;$BO$7,0,INDEX(GA101:GZ101,1,MATCH(Structure!$D$12,$GA$14:$GZ$14,0)))))</f>
        <v/>
      </c>
      <c r="BS101" s="239" t="str">
        <f>IF(A101=FALSE,"",IF(ALLTHESAME=TRUE,IF(HC101&lt;&gt;$BO$7,0,INDEX(HA101:HZ101,1,MATCH(Structure!$D$12,$HA$14:$HZ$14,0))),IF(IC101&lt;&gt;$BO$7,0,INDEX(IA101:IZ101,1,MATCH(Structure!$D$12,$IA$14:$IZ$14,0)))))</f>
        <v/>
      </c>
      <c r="BT101" s="239" t="str">
        <f>IF(A101=FALSE,"",IF(ALLTHESAME=TRUE,IF(JC101&lt;&gt;$BO$7,0,INDEX(JA101:JZ101,1,MATCH(Structure!$D$12,$JA$14:$JZ$14,0))),IF(KC101&lt;&gt;$BO$7,0,INDEX(KA101:KZ101,1,MATCH(Structure!$D$12,$KA$14:$KZ$14,0)))))</f>
        <v/>
      </c>
      <c r="BU101" s="239" t="str">
        <f>IF(A101=FALSE,"",IF(ALLTHESAME=TRUE,IF(LC101&lt;&gt;$BO$7,0,INDEX(LA101:LZ101,1,MATCH(Structure!$D$12,$LA$14:$LZ$14,0))),IF(MC101&lt;&gt;$BO$7,0,INDEX(MA101:MZ101,1,MATCH(Structure!$D$12,$MA$14:$MZ$14,0)))))</f>
        <v/>
      </c>
      <c r="BV101" s="239" t="str">
        <f>IF(A101=FALSE,"",IF(ALLTHESAME=TRUE,IF(NC101&lt;&gt;$BO$7,0,INDEX(NA101:NZ101,1,MATCH(Structure!$D$12,$NA$14:$NZ$14,0))),IF(OC101&lt;&gt;$BO$7,0,INDEX(OA101:OZ101,1,MATCH(Structure!$D$12,$OA$14:$OZ$14,0)))))</f>
        <v/>
      </c>
      <c r="BW101" s="239" t="str">
        <f>IF(A101=FALSE,"",IF(ALLTHESAME=TRUE,IF(PC101&lt;&gt;$BO$7,0,INDEX(PA101:PZ101,1,MATCH(Structure!$D$12,$PA$14:$PZ$14,0))),IF(QC101&lt;&gt;$BO$7,0,INDEX(QA101:QZ101,1,MATCH(Structure!$D$12,$QA$14:$QZ$14,0)))))</f>
        <v/>
      </c>
      <c r="BX101" s="341" t="str">
        <f>IF(A101=FALSE,"",IF(ALLTHESAME=TRUE,IF(RC101&lt;&gt;$BO$7,0,INDEX(RA101:RZ101,1,MATCH(Structure!$D$12,$RA$14:$RZ$14,0))),IF(SC101&lt;&gt;$BO$7,0,INDEX(SA101:TA101,1,MATCH(Structure!$D$12,$SA$14:$TA$14,0)))))</f>
        <v/>
      </c>
      <c r="BY101" s="347" t="str">
        <f t="shared" si="649"/>
        <v/>
      </c>
      <c r="BZ101" s="507" t="str">
        <f t="shared" si="650"/>
        <v/>
      </c>
      <c r="CA101" s="239" t="str">
        <f t="shared" si="651"/>
        <v/>
      </c>
      <c r="CB101" s="239" t="str">
        <f>IF(A101=FALSE,"",IF(ALLTHESAME=TRUE,INDEX(DD101:DZ101,MATCH(DF101,DF101:DF206,0),MATCH(Structure!$D$17,$DD$14:$DZ$14,0)),INDEX(EA101:EZ101,MATCH(EC101,EC101:EC206,0),MATCH(Structure!$D$17,$EA$14:$EZ$14,0))))</f>
        <v/>
      </c>
      <c r="CC101" s="239" t="str">
        <f>IF(A101=FALSE,"",IF(ALLTHESAME=TRUE,INDEX(FA101:FZ101,MATCH(FC101,FC101:FC206,0),MATCH(Structure!$D$17,$FA$14:$FZ$14,0)),INDEX(GA101:GZ101,MATCH(GC101,GC101:GC206,0),MATCH(Structure!$D$17,$GA$14:$GZ$14,0))))</f>
        <v/>
      </c>
      <c r="CD101" s="239" t="str">
        <f>IF(A101=FALSE,"",IF(ALLTHESAME=TRUE,INDEX(HA101:HZ101,MATCH(HC101,HC101:HC206,0),MATCH(Structure!$D$17,$HA$14:$HZ$14,0)),INDEX(IA101:IZ101,MATCH(IC101,IC101:IC206,0),MATCH(Structure!$D$17,$IA$14:$IZ$14,0))))</f>
        <v/>
      </c>
      <c r="CE101" s="239" t="str">
        <f>IF(A101=FALSE,"",IF(ALLTHESAME=TRUE,INDEX(JA101:JZ101,MATCH(JC101,JC101:JC206,0),MATCH(Structure!$D$17,$JA$14:$JZ$14,0)),INDEX(KA101:KZ101,MATCH(KC101,KC101:KC206,0),MATCH(Structure!$D$17,$KA$14:$KZ$14,0))))</f>
        <v/>
      </c>
      <c r="CF101" s="239" t="str">
        <f>IF(A101=FALSE,"",IF(ALLTHESAME=TRUE,INDEX(LA101:LZ101,MATCH(LC101,LC101:LC206,0),MATCH(Structure!$D$17,$LA$14:$LZ$14,0)),INDEX(MA101:MZ101,MATCH(MC101,MC101:MC206,0),MATCH(Structure!$D$17,$MA$14:$MZ$14,0))))</f>
        <v/>
      </c>
      <c r="CG101" s="239" t="str">
        <f>IF(A101=FALSE,"",IF(ALLTHESAME=TRUE,INDEX(NA101:NZ101,MATCH(NC101,NC101:NC206,0),MATCH(Structure!$D$17,$NA$14:$NZ$14,0)),INDEX(OA101:OZ101,MATCH(OC101,OC101:OC206,0),MATCH(Structure!$D$17,$OA$14:$OZ$14,0))))</f>
        <v/>
      </c>
      <c r="CH101" s="239" t="str">
        <f>IF(A101=FALSE,"",IF(ALLTHESAME=TRUE,INDEX(PA101:PZ101,MATCH(PC101,PC101:PC206,0),MATCH(Structure!$D$17,$PA$14:$PZ$14,0)),INDEX(QA101:QZ101,MATCH(QC101,QC101:QC206,0),MATCH(Structure!$D$17,$QA$14:$QZ$14,0))))</f>
        <v/>
      </c>
      <c r="CI101" s="341" t="str">
        <f>IF(A101=FALSE,"",IF(ALLTHESAME=TRUE,INDEX(RA101:RZ101,MATCH(RC101,RC101:RC206,0),MATCH(Structure!$D$17,$RA$14:$RZ$14,0)),INDEX(SA101:TC101,MATCH(SC101,SC101:SC206,0),MATCH(Structure!$D$17,$SA$14:$TC$14,0))))</f>
        <v/>
      </c>
      <c r="CJ101" s="347"/>
      <c r="CK101" s="239" t="str">
        <f t="shared" si="652"/>
        <v/>
      </c>
      <c r="CL101" s="239" t="str">
        <f>IF(A101=FALSE,"",IF(ALLTHESAME=TRUE,INDEX(DD101:DZ101,MATCH(DF101,DF101:DF206,0),MATCH(Structure!$D$22,$DD$14:$DZ$14,0)),INDEX(EA101:EZ101,MATCH(EC101,EC101:EC206,0),MATCH(Structure!$D$22,$EA$14:$EZ$14,0))))</f>
        <v/>
      </c>
      <c r="CM101" s="239" t="str">
        <f>IF(A101=FALSE,"",IF(ALLTHESAME=TRUE,INDEX(FA101:FZ101,MATCH(FC101,FC101:FC206,0),MATCH(Structure!$D$22,$FA$14:$FZ$14,0)),INDEX(GA101:GZ101,MATCH(GC101,GC101:GC206,0),MATCH(Structure!$D$22,$GA$14:$GZ$14,0))))</f>
        <v/>
      </c>
      <c r="CN101" s="239" t="str">
        <f>IF(A101=FALSE,"",IF(ALLTHESAME=TRUE,INDEX(HA101:HZ101,MATCH(HC101,HC101:HC206,0),MATCH(Structure!$D$22,$HA$14:$HZ$14,0)),INDEX(IA101:IZ101,MATCH(IC101,IC101:IC206,0),MATCH(Structure!$D$22,$IA$14:$IZ$14,0))))</f>
        <v/>
      </c>
      <c r="CO101" s="239" t="str">
        <f>IF(A101=FALSE,"",IF(ALLTHESAME=TRUE,INDEX(JA101:JZ101,MATCH(JC101,JC101:JC206,0),MATCH(Structure!$D$22,$JA$14:$JZ$14,0)),INDEX(KA101:KZ101,MATCH(KC101,KC101:KC206,0),MATCH(Structure!$D$22,$KA$14:$KZ$14,0))))</f>
        <v/>
      </c>
      <c r="CP101" s="239" t="str">
        <f>IF(A101=FALSE,"",IF(ALLTHESAME=TRUE,INDEX(LA101:LZ101,MATCH(LC101,LC101:LC206,0),MATCH(Structure!$D$22,$LA$14:$LZ$14,0)),INDEX(MA101:MZ101,MATCH(MC101,MC101:MC206,0),MATCH(Structure!$D$22,$MA$14:$MZ$14,0))))</f>
        <v/>
      </c>
      <c r="CQ101" s="239" t="str">
        <f>IF(A101=FALSE,"",IF(ALLTHESAME=TRUE,INDEX(NA101:NZ101,MATCH(NC101,NC101:NC206,0),MATCH(Structure!$D$22,$NA$14:$NZ$14,0)),INDEX(OA101:OZ101,MATCH(OC101,OC101:OC206,0),MATCH(Structure!$D$22,$OA$14:$OZ$14,0))))</f>
        <v/>
      </c>
      <c r="CR101" s="239" t="str">
        <f>IF(A101=FALSE,"",IF(ALLTHESAME=TRUE,INDEX(PA101:PZ101,MATCH(PC101,PC101:PC206,0),MATCH(Structure!$D$22,$PA$14:$PZ$14,0)),INDEX(QA101:QZ101,MATCH(QC101,QC101:QC206,0),MATCH(Structure!$D$22,$QA$14:$QZ$14,0))))</f>
        <v/>
      </c>
      <c r="CS101" s="341" t="str">
        <f>IF(A101=FALSE,"",IF(ALLTHESAME=TRUE,INDEX(RA101:RZ101,MATCH(RC101,RC101:RC206,0),MATCH(Structure!$D$22,$RA$14:$RZ$14,0)),INDEX(SA101:TC101,MATCH(SC101,SC101:SC206,0),MATCH(Structure!$D$22,$SA$14:$TC$14,0))))</f>
        <v/>
      </c>
      <c r="CT101" s="347"/>
      <c r="CU101" s="239" t="str">
        <f t="shared" si="653"/>
        <v/>
      </c>
      <c r="CV101" s="239" t="str">
        <f>IF(A101=FALSE,"",IF(ALLTHESAME=TRUE,INDEX(DD101:DZ101,MATCH(DF101,DF101:DF206,0),MATCH(Structure!$D$8,$DD$14:$DZ$14,0)),INDEX(EA101:EZ101,MATCH(EC101,EC101:EC206,0),MATCH(Structure!$D$8,$EA$14:$EZ$14,0))))</f>
        <v/>
      </c>
      <c r="CW101" s="239" t="str">
        <f>IF(A101=FALSE,"",IF(ALLTHESAME=TRUE,INDEX(FA101:FZ101,MATCH(FC101,FC101:FC206,0),MATCH(Structure!$D$8,$FA$14:$FZ$14,0)),INDEX(GA101:GZ101,MATCH(GC101,GC101:GC206,0),MATCH(Structure!$D$8,$GA$14:$GZ$14,0))))</f>
        <v/>
      </c>
      <c r="CX101" s="239" t="str">
        <f>IF(A101=FALSE,"",IF(ALLTHESAME=TRUE,INDEX(HA101:HZ101,MATCH(HC101,HC101:HC206,0),MATCH(Structure!$D$8,$HA$14:$HZ$14,0)),INDEX(IA101:IZ101,MATCH(IC101,IC101:IC206,0),MATCH(Structure!$D$8,$IA$14:$IZ$14,0))))</f>
        <v/>
      </c>
      <c r="CY101" s="239" t="str">
        <f>IF(A101=FALSE,"",IF(ALLTHESAME=TRUE,INDEX(JA101:JZ101,MATCH(JC101,JC101:JC206,0),MATCH(Structure!$D$8,$JA$14:$JZ$14,0)),INDEX(KA101:KZ101,MATCH(KC101,KC101:KC206,0),MATCH(Structure!$D$8,$KA$14:$KZ$14,0))))</f>
        <v/>
      </c>
      <c r="CZ101" s="239" t="str">
        <f>IF(A101=FALSE,"",IF(ALLTHESAME=TRUE,INDEX(LA101:LZ101,MATCH(LC101,LC101:LC206,0),MATCH(Structure!$D$8,$LA$14:$LZ$14,0)),INDEX(MA101:MZ101,MATCH(MC101,MC101:MC206,0),MATCH(Structure!$D$8,$MA$14:$MZ$14,0))))</f>
        <v/>
      </c>
      <c r="DA101" s="239" t="str">
        <f>IF(A101=FALSE,"",IF(ALLTHESAME=TRUE,INDEX(NA101:NZ101,MATCH(NC101,NC101:NC206,0),MATCH(Structure!$D$8,$NA$14:$NZ$14,0)),INDEX(OA101:OZ101,MATCH(OC101,OC101:OC206,0),MATCH(Structure!$D$8,$OA$14:$OZ$14,0))))</f>
        <v/>
      </c>
      <c r="DB101" s="239" t="str">
        <f>IF(A101=FALSE,"",IF(ALLTHESAME=TRUE,INDEX(PA101:PZ101,MATCH(PC101,PC101:PC206,0),MATCH(Structure!$D$8,$PA$14:$PZ$14,0)),INDEX(QA101:QZ101,MATCH(QC101,QC101:QC206,0),MATCH(Structure!$D$8,$QA$14:$QZ$14,0))))</f>
        <v/>
      </c>
      <c r="DC101" s="341" t="str">
        <f>IF(A101=FALSE,"",IF(ALLTHESAME=TRUE,INDEX(RA101:RZ101,MATCH(RC101,RC101:RC206,0),MATCH(Structure!$D$8,$RA$14:$RZ$14,0)),INDEX(SA101:TC101,MATCH(SC101,SC101:SC206,0),MATCH(Structure!$D$8,$SA$14:$TC$14,0))))</f>
        <v/>
      </c>
      <c r="DD101" s="492" t="str">
        <f>IF(A101=FALSE,"",Cotations!D101)</f>
        <v/>
      </c>
      <c r="DE101" s="492" t="str">
        <f>IF(A101=FALSE,"",IF(LISTES!$A$17=1,Cotations!AF101,Cotations!$AG$4))</f>
        <v/>
      </c>
      <c r="DF101" s="291" t="str">
        <f t="shared" si="654"/>
        <v/>
      </c>
      <c r="DG101" s="291" t="str">
        <f t="shared" si="655"/>
        <v/>
      </c>
      <c r="DH101" s="291"/>
      <c r="DI101" s="463"/>
      <c r="DJ101" s="463" t="str">
        <f t="shared" si="656"/>
        <v/>
      </c>
      <c r="DK101" s="522" t="str">
        <f>IF(A101=FALSE,"",IF(Cotations!$AH$4="monthly",DJ101/12*L101,DJ101/365*M101))</f>
        <v/>
      </c>
      <c r="DL101" s="489" t="str">
        <f>IF(A101=FALSE,"",Cotations!$AI$4)</f>
        <v/>
      </c>
      <c r="DM101" s="300" t="str">
        <f t="shared" si="657"/>
        <v/>
      </c>
      <c r="DN101" s="300" t="str">
        <f t="shared" si="658"/>
        <v/>
      </c>
      <c r="DO101" s="294" t="str">
        <f t="shared" si="659"/>
        <v/>
      </c>
      <c r="DP101" s="494" t="str">
        <f>IF(A101=FALSE,"",Cotations!$AJ$4)</f>
        <v/>
      </c>
      <c r="DQ101" s="494" t="str">
        <f>IF(A101=FALSE,"",Cotations!$AK$4)</f>
        <v/>
      </c>
      <c r="DR101" s="489" t="str">
        <f>IF(A101=FALSE,"",Cotations!$AL$4)</f>
        <v/>
      </c>
      <c r="DS101" s="494" t="str">
        <f>IF(A101=FALSE,"",IF(DP101="N/A",0,IF(INDEX(LISTES!$F$105:$F$109,MATCH(DP101,LISTES!$C$105:$C$109,0))="FIX",IF(INDEX(LISTES!$E$105:$E$109,MATCH(DP101,LISTES!$C$105:$C$109,0))=12,DQ101/12*L101,DQ101/365*M101),DR101*DO101)))</f>
        <v/>
      </c>
      <c r="DT101" s="294" t="str">
        <f t="shared" si="660"/>
        <v/>
      </c>
      <c r="DU101" s="294" t="str">
        <f>IF(A101=FALSE,"",DT101*Cotations!$AM$4)</f>
        <v/>
      </c>
      <c r="DV101" s="294" t="str">
        <f>IF(A101=FALSE,"",DT101*Cotations!$AN$4)</f>
        <v/>
      </c>
      <c r="DW101" s="465" t="str">
        <f t="shared" si="661"/>
        <v/>
      </c>
      <c r="DX101" s="919" t="str">
        <f>IF(A101=FALSE,"",((DJ101*TAXE)-(DJ101*TAXE*DL101))+IF(DP101="N/A",0,IF(INDEX(LISTES!$F$105:$F$109,MATCH(DP101,LISTES!$C$105:$C$109,0))="FIX",DQ101,DR101*DO101)))</f>
        <v/>
      </c>
      <c r="DY101" s="466"/>
      <c r="DZ101" s="466"/>
      <c r="EA101" s="492" t="str">
        <f>IF(A101=FALSE,"",Cotations!D101)</f>
        <v/>
      </c>
      <c r="EB101" s="494" t="str">
        <f>IF(A101=FALSE,"",IF(LISTES!$A$17=1,Cotations!AF101,Cotations!AG101))</f>
        <v/>
      </c>
      <c r="EC101" s="284" t="str">
        <f t="shared" si="662"/>
        <v/>
      </c>
      <c r="ED101" s="284" t="str">
        <f t="shared" si="663"/>
        <v/>
      </c>
      <c r="EE101" s="284"/>
      <c r="EF101" s="284"/>
      <c r="EG101" s="284" t="str">
        <f t="shared" si="664"/>
        <v/>
      </c>
      <c r="EH101" s="1365" t="str">
        <f t="shared" si="665"/>
        <v/>
      </c>
      <c r="EI101" s="1365" t="str">
        <f t="shared" si="666"/>
        <v/>
      </c>
      <c r="EJ101" s="515" t="str">
        <f>IF(A101=FALSE,"",IF(Cotations!AH101="monthly",EG101/12*L101,EG101/365*M101))</f>
        <v/>
      </c>
      <c r="EK101" s="1364" t="str">
        <f>IF(A101=FALSE,"",IF(Cotations!AH101="monthly",EI101/12*L101,EI101/365*M101))</f>
        <v/>
      </c>
      <c r="EL101" s="493" t="str">
        <f>IF(A101=FALSE,"",IF(Cotations!AI101="","",Cotations!AI101))</f>
        <v/>
      </c>
      <c r="EM101" s="284" t="str">
        <f t="shared" si="667"/>
        <v/>
      </c>
      <c r="EN101" s="284" t="str">
        <f t="shared" si="668"/>
        <v/>
      </c>
      <c r="EO101" s="1365" t="str">
        <f t="shared" si="840"/>
        <v/>
      </c>
      <c r="EP101" s="284" t="str">
        <f t="shared" si="669"/>
        <v/>
      </c>
      <c r="EQ101" s="515" t="str">
        <f>IF(A101=FALSE,"",Cotations!AJ101)</f>
        <v/>
      </c>
      <c r="ER101" s="515" t="str">
        <f>IF(A101=FALSE,"",IF(Cotations!AK101="","",Cotations!AK101))</f>
        <v/>
      </c>
      <c r="ES101" s="493" t="str">
        <f>IF(A101=FALSE,"",Cotations!AL101)</f>
        <v/>
      </c>
      <c r="ET101" s="515" t="str">
        <f>IF(A101=FALSE,"",IF(EQ101="N/A",0,IF(INDEX(LISTES!$F$105:$F$109,MATCH(EQ101,LISTES!$C$105:$C$109,0))="FIX",IF(INDEX(LISTES!$E$105:$E$109,MATCH(EQ101,LISTES!$C$105:$C$109,0))=12,ER101/12*L101,ER101/365*M101),ES101*EP101)))</f>
        <v/>
      </c>
      <c r="EU101" s="294" t="str">
        <f t="shared" si="670"/>
        <v/>
      </c>
      <c r="EV101" s="494" t="str">
        <f>IF(A101=FALSE,"",EU101*Cotations!AM101)</f>
        <v/>
      </c>
      <c r="EW101" s="494" t="str">
        <f>IF(A101=FALSE,"",EU101*Cotations!AN101)</f>
        <v/>
      </c>
      <c r="EX101" s="334" t="str">
        <f t="shared" si="671"/>
        <v/>
      </c>
      <c r="EY101" s="919" t="str">
        <f>IF(A101=FALSE,"",((EG101*TAXE)-(EG101*TAXE*EL101)+EH101)+IF(EQ101="N/A",0,IF(INDEX(LISTES!$F$105:$F$109,MATCH(EQ101,LISTES!$C$105:$C$109,0))="FIX",ER101,ES101*EP101)))</f>
        <v/>
      </c>
      <c r="FA101" s="492" t="str">
        <f>IF(A101=FALSE,"",Cotations!D101)</f>
        <v/>
      </c>
      <c r="FB101" s="519" t="str">
        <f>IF(A101=FALSE,"",IF(LISTES!$A$17=1,Cotations!AO101,Cotations!$AP$4))</f>
        <v/>
      </c>
      <c r="FC101" s="291" t="str">
        <f t="shared" si="672"/>
        <v/>
      </c>
      <c r="FD101" s="291" t="str">
        <f t="shared" si="673"/>
        <v/>
      </c>
      <c r="FE101" s="291"/>
      <c r="FF101" s="463"/>
      <c r="FG101" s="463" t="str">
        <f t="shared" si="674"/>
        <v/>
      </c>
      <c r="FH101" s="522" t="str">
        <f>IF(A101=FALSE,"",IF(Cotations!$AQ$4="monthly",FG101/12*L101,FG101/365*M101))</f>
        <v/>
      </c>
      <c r="FI101" s="453" t="str">
        <f>IF(A101=FALSE,"",Cotations!$AR$4)</f>
        <v/>
      </c>
      <c r="FJ101" s="300" t="str">
        <f t="shared" si="675"/>
        <v/>
      </c>
      <c r="FK101" s="300" t="str">
        <f t="shared" si="676"/>
        <v/>
      </c>
      <c r="FL101" s="294" t="str">
        <f t="shared" si="677"/>
        <v/>
      </c>
      <c r="FM101" s="494" t="str">
        <f>IF(A101=FALSE,"",Cotations!$AS$4)</f>
        <v/>
      </c>
      <c r="FN101" s="494" t="str">
        <f>IF(A101=FALSE,"",Cotations!$AT$4)</f>
        <v/>
      </c>
      <c r="FO101" s="489" t="str">
        <f>IF(A101=FALSE,"",Cotations!$AU$4)</f>
        <v/>
      </c>
      <c r="FP101" s="494" t="str">
        <f>IF(A101=FALSE,"",IF(FM101="N/A",0,IF(INDEX(LISTES!$F$105:$F$109,MATCH(FM101,LISTES!$C$105:$C$109,0))="FIX",IF(INDEX(LISTES!$E$105:$E$109,MATCH(FM101,LISTES!$C$105:$C$109,0))=12,FN101/12*L101,FN101/365*M101),FO101*FL101)))</f>
        <v/>
      </c>
      <c r="FQ101" s="294" t="str">
        <f t="shared" si="678"/>
        <v/>
      </c>
      <c r="FR101" s="494" t="str">
        <f>IF(A101=FALSE,"",FQ101*Cotations!$AV$4)</f>
        <v/>
      </c>
      <c r="FS101" s="494" t="str">
        <f>IF(A101=FALSE,"",FQ101*Cotations!$AW$4)</f>
        <v/>
      </c>
      <c r="FT101" s="465" t="str">
        <f t="shared" si="679"/>
        <v/>
      </c>
      <c r="FU101" s="919" t="str">
        <f>IF(A101=FALSE,"",((FG101*TAXE)-(FG101*TAXE*FI101))+IF(FM101="N/A",0,IF(INDEX(LISTES!$F$105:$F$109,MATCH(FM101,LISTES!$C$105:$C$109,0))="FIX",FN101,FO101*FL101)))</f>
        <v/>
      </c>
      <c r="FV101" s="478"/>
      <c r="FW101" s="478"/>
      <c r="FX101" s="478"/>
      <c r="FY101" s="478"/>
      <c r="FZ101" s="478"/>
      <c r="GA101" s="492" t="str">
        <f>IF(A101=FALSE,"",Cotations!D101)</f>
        <v/>
      </c>
      <c r="GB101" s="494" t="str">
        <f>IF(A101=FALSE,"",IF(LISTES!$A$17=1,Cotations!AO101,Cotations!AP101))</f>
        <v/>
      </c>
      <c r="GC101" s="284" t="str">
        <f t="shared" si="680"/>
        <v/>
      </c>
      <c r="GD101" s="515" t="str">
        <f>IF(A101=FALSE,"",IF(Detail!AM101="","",Detail!AM101))</f>
        <v/>
      </c>
      <c r="GE101" s="284"/>
      <c r="GF101" s="284"/>
      <c r="GG101" s="284" t="str">
        <f t="shared" si="681"/>
        <v/>
      </c>
      <c r="GH101" s="515" t="str">
        <f>IF(A101=FALSE,"",IF(Cotations!AQ101="monthly",GG101/12*L101,GG101/365*M101))</f>
        <v/>
      </c>
      <c r="GI101" s="493" t="str">
        <f>IF(A101=FALSE,"",IF(Cotations!AR101="","",Cotations!AR101))</f>
        <v/>
      </c>
      <c r="GJ101" s="284" t="str">
        <f t="shared" si="682"/>
        <v/>
      </c>
      <c r="GK101" s="284" t="str">
        <f t="shared" si="683"/>
        <v/>
      </c>
      <c r="GL101" s="284" t="str">
        <f t="shared" si="684"/>
        <v/>
      </c>
      <c r="GM101" s="515" t="str">
        <f>IF(A101=FALSE,"",Cotations!AS101)</f>
        <v/>
      </c>
      <c r="GN101" s="515" t="str">
        <f>IF(A101=FALSE,"",Cotations!AT101)</f>
        <v/>
      </c>
      <c r="GO101" s="493" t="str">
        <f>IF(A101=FALSE,"",Cotations!AU101)</f>
        <v/>
      </c>
      <c r="GP101" s="515" t="str">
        <f>IF(A101=FALSE,"",IF(GM101="N/A",0,IF(INDEX(LISTES!$F$105:$F$109,MATCH(GM101,LISTES!$C$105:$C$109,0))="FIX",IF(INDEX(LISTES!$E$105:$E$109,MATCH(GM101,LISTES!$C$105:$C$109,0))=12,GN101/12*L101,GN101/365*M101),GO101*GL101)))</f>
        <v/>
      </c>
      <c r="GQ101" s="294" t="str">
        <f t="shared" si="685"/>
        <v/>
      </c>
      <c r="GR101" s="494" t="str">
        <f>IF(A101=FALSE,"",GQ101*Cotations!AV101)</f>
        <v/>
      </c>
      <c r="GS101" s="494" t="str">
        <f>IF(A101=FALSE,"",GQ101*Cotations!AW101)</f>
        <v/>
      </c>
      <c r="GT101" s="334" t="str">
        <f t="shared" si="686"/>
        <v/>
      </c>
      <c r="GU101" s="919" t="str">
        <f>IF(A101=FALSE,"",((GG101*TAXE)-(GG101*TAXE*GI101))+IF(GM101="N/A",0,IF(INDEX(LISTES!$F$105:$F$109,MATCH(GM101,LISTES!$C$105:$C$109,0))="FIX",GN101,GO101*GL101)))</f>
        <v/>
      </c>
      <c r="GV101" s="478"/>
      <c r="GW101" s="466"/>
      <c r="GX101" s="466"/>
      <c r="GY101" s="466"/>
      <c r="GZ101" s="466"/>
      <c r="HA101" s="492" t="str">
        <f>IF(A101=FALSE,"",Cotations!D101)</f>
        <v/>
      </c>
      <c r="HB101" s="495" t="str">
        <f>IF(A101=FALSE,"",IF(LISTES!$A$17=1,Cotations!AX101,Cotations!$AY$4))</f>
        <v/>
      </c>
      <c r="HC101" s="291" t="str">
        <f t="shared" si="687"/>
        <v/>
      </c>
      <c r="HD101" s="291" t="str">
        <f t="shared" si="688"/>
        <v/>
      </c>
      <c r="HE101" s="456" t="str">
        <f t="shared" si="689"/>
        <v/>
      </c>
      <c r="HF101" s="496" t="str">
        <f>IF(A101=FALSE,"",IF(HA101="POEA",Cotations!BA101,IF(HA101="FIXE",Cotations!$BA$4,Cotations!$BC$4*Y101)))</f>
        <v/>
      </c>
      <c r="HG101" s="300" t="str">
        <f t="shared" si="690"/>
        <v/>
      </c>
      <c r="HH101" s="522" t="str">
        <f>IF(A101=FALSE,"",IF(Cotations!$AZ$4="monthly",HG101/12*L101,HG101/365*M101))</f>
        <v/>
      </c>
      <c r="HI101" s="489" t="str">
        <f>IF(A101=FALSE,"",Cotations!$BD$4)</f>
        <v/>
      </c>
      <c r="HJ101" s="300" t="str">
        <f t="shared" si="691"/>
        <v/>
      </c>
      <c r="HK101" s="300" t="str">
        <f t="shared" si="692"/>
        <v/>
      </c>
      <c r="HL101" s="294" t="str">
        <f t="shared" si="693"/>
        <v/>
      </c>
      <c r="HM101" s="494" t="str">
        <f>IF(A101=FALSE,"",Cotations!$BE$4)</f>
        <v/>
      </c>
      <c r="HN101" s="522" t="str">
        <f>IF(A101=FALSE,"",Cotations!$BF$4)</f>
        <v/>
      </c>
      <c r="HO101" s="489" t="str">
        <f>IF(A101=FALSE,"",Cotations!$BG$4)</f>
        <v/>
      </c>
      <c r="HP101" s="494" t="str">
        <f>IF(A101=FALSE,"",IF(HM101="N/A",0,IF(INDEX(LISTES!$F$105:$F$109,MATCH(HM101,LISTES!$C$105:$C$109,0))="FIX",IF(INDEX(LISTES!$E$105:$E$109,MATCH(HM101,LISTES!$C$105:$C$109,0))=12,HN101/12*L101,HN101/365*M101),HO101*HL101)))</f>
        <v/>
      </c>
      <c r="HQ101" s="294" t="str">
        <f t="shared" si="694"/>
        <v/>
      </c>
      <c r="HR101" s="494" t="str">
        <f>IF(A101=FALSE,"",HQ101*Cotations!$BH$4)</f>
        <v/>
      </c>
      <c r="HS101" s="494" t="str">
        <f>IF(A101=FALSE,"",HQ101*Cotations!$BI$4)</f>
        <v/>
      </c>
      <c r="HT101" s="294" t="str">
        <f t="shared" si="695"/>
        <v/>
      </c>
      <c r="HU101" s="919" t="str">
        <f>IF(A101=FALSE,"",((HG101*TAXE)-(HG101*TAXE*HI101))+IF(HM101="N/A",0,IF(INDEX(LISTES!$F$105:$F$109,MATCH(HM101,LISTES!$C$105:$C$109,0))="FIX",HN101,HO101*HL101)))</f>
        <v/>
      </c>
      <c r="IA101" s="492" t="str">
        <f>IF(A101=FALSE,"",Cotations!D101)</f>
        <v/>
      </c>
      <c r="IB101" s="491" t="str">
        <f>IF(A101=FALSE,"",IF(LISTES!$A$17=1,Cotations!AX101,Cotations!AY101))</f>
        <v/>
      </c>
      <c r="IC101" s="285" t="str">
        <f t="shared" si="696"/>
        <v/>
      </c>
      <c r="ID101" s="300" t="str">
        <f>IF(A101=FALSE,"",IF(LISTES!$A$17=3,Detail!AU101,lig1_Formula_PREVOY))</f>
        <v/>
      </c>
      <c r="IE101" s="461" t="str">
        <f t="shared" si="697"/>
        <v/>
      </c>
      <c r="IF101" s="490" t="str">
        <f>IF(A101=FALSE,"",IF(IA101="POEA",Cotations!BA101,IF(HA101="FIXE",Cotations!BB101,IF(Cotations!BC101*Y101&lt;50000,Z101,Cotations!BC101*Y101))))</f>
        <v/>
      </c>
      <c r="IG101" s="300" t="str">
        <f t="shared" si="698"/>
        <v/>
      </c>
      <c r="IH101" s="522" t="str">
        <f>IF(A101=FALSE,"",IF(Cotations!AZ101="monthly",IG101/12*L101,IG101/365*M101))</f>
        <v/>
      </c>
      <c r="II101" s="489" t="str">
        <f>IF(A101=FALSE,"",IF(Cotations!BD101="","",Cotations!BD101))</f>
        <v/>
      </c>
      <c r="IJ101" s="300" t="str">
        <f t="shared" si="699"/>
        <v/>
      </c>
      <c r="IK101" s="300" t="str">
        <f t="shared" si="700"/>
        <v/>
      </c>
      <c r="IL101" s="919" t="str">
        <f t="shared" si="701"/>
        <v/>
      </c>
      <c r="IM101" s="517" t="str">
        <f>IF(A101=FALSE,"",Cotations!BE101)</f>
        <v/>
      </c>
      <c r="IN101" s="517" t="str">
        <f>IF(A101=FALSE,"",Cotations!BF101)</f>
        <v/>
      </c>
      <c r="IO101" s="493" t="str">
        <f>IF(A101=FALSE,"",Cotations!BG101)</f>
        <v/>
      </c>
      <c r="IP101" s="517" t="str">
        <f>IF(A101=FALSE,"",IF(IM101="N/A",0,IF(INDEX(LISTES!$F$105:$F$109,MATCH(IM101,LISTES!$C$105:$C$109,0))="FIX",IF(INDEX(LISTES!$E$105:$E$109,MATCH(IM101,LISTES!$C$105:$C$109,0))=12,IN101/12*L101,IN101/365*M101),IO101*IL101)))</f>
        <v/>
      </c>
      <c r="IQ101" s="294" t="str">
        <f t="shared" si="702"/>
        <v/>
      </c>
      <c r="IR101" s="494" t="str">
        <f>IF(A101=FALSE,"",IQ101*Cotations!BH101)</f>
        <v/>
      </c>
      <c r="IS101" s="494" t="str">
        <f>IF(A101=FALSE,"",IQ101*Cotations!BI101)</f>
        <v/>
      </c>
      <c r="IT101" s="338" t="str">
        <f t="shared" si="703"/>
        <v/>
      </c>
      <c r="IU101" s="919" t="str">
        <f>IF(A101=FALSE,"",((IG101*TAXE)-(IG101*TAXE*II101))+IF(IM101="N/A",0,IF(INDEX(LISTES!$F$105:$F$109,MATCH(IM101,LISTES!$C$105:$C$109,0))="FIX",IN101,IO101*IL101)))</f>
        <v/>
      </c>
      <c r="JA101" s="492" t="str">
        <f>IF(A101=FALSE,"",Cotations!D101)</f>
        <v/>
      </c>
      <c r="JB101" s="495" t="str">
        <f>IF(A101=FALSE,"",IF(LISTES!$A$17=1,Cotations!BJ101,Cotations!$BK$4))</f>
        <v/>
      </c>
      <c r="JC101" s="291" t="str">
        <f t="shared" si="704"/>
        <v/>
      </c>
      <c r="JD101" s="291" t="str">
        <f t="shared" si="705"/>
        <v/>
      </c>
      <c r="JE101" s="456" t="str">
        <f t="shared" si="706"/>
        <v/>
      </c>
      <c r="JF101" s="496" t="str">
        <f>IF(A101=FALSE,"",IF(JA101="POEA",Cotations!BM101,IF(JA101="FIXE",Cotations!$BM$4,Cotations!$BO$4*Y101)))</f>
        <v/>
      </c>
      <c r="JG101" s="300" t="str">
        <f t="shared" si="707"/>
        <v/>
      </c>
      <c r="JH101" s="522" t="str">
        <f>IF(A101=FALSE,"",IF(Cotations!$BL$4="monthly",JG101/12*L101,JG101/365*M101))</f>
        <v/>
      </c>
      <c r="JI101" s="489" t="str">
        <f>IF(A101=FALSE,"",Cotations!$BP$4)</f>
        <v/>
      </c>
      <c r="JJ101" s="300" t="str">
        <f t="shared" si="708"/>
        <v/>
      </c>
      <c r="JK101" s="300" t="str">
        <f t="shared" si="709"/>
        <v/>
      </c>
      <c r="JL101" s="294" t="str">
        <f t="shared" si="710"/>
        <v/>
      </c>
      <c r="JM101" s="494" t="str">
        <f>IF(A101=FALSE,"",Cotations!$BQ$4)</f>
        <v/>
      </c>
      <c r="JN101" s="522" t="str">
        <f>IF(A101=FALSE,"",Cotations!$BR$4)</f>
        <v/>
      </c>
      <c r="JO101" s="489" t="str">
        <f>IF(A101=FALSE,"",Cotations!$BS$4)</f>
        <v/>
      </c>
      <c r="JP101" s="494" t="str">
        <f>IF(A101=FALSE,"",IF(JM101="N/A",0,IF(INDEX(LISTES!$F$105:$F$109,MATCH(JM101,LISTES!$C$105:$C$109,0))="FIX",IF(INDEX(LISTES!$E$105:$E$109,MATCH(JM101,LISTES!$C$105:$C$109,0))=12,JN101/12*L101,JN101/365*M101),JO101*JL101)))</f>
        <v/>
      </c>
      <c r="JQ101" s="294" t="str">
        <f t="shared" si="711"/>
        <v/>
      </c>
      <c r="JR101" s="494" t="str">
        <f>IF(A101=FALSE,"",JQ101*Cotations!$BT$4)</f>
        <v/>
      </c>
      <c r="JS101" s="494" t="str">
        <f>IF(A101=FALSE,"",JQ101*Cotations!$BU$4)</f>
        <v/>
      </c>
      <c r="JT101" s="294" t="str">
        <f t="shared" si="712"/>
        <v/>
      </c>
      <c r="JU101" s="919" t="str">
        <f>IF(A101=FALSE,"",((JG101*TAXE)-(JG101*TAXE*JI101))+IF(JM101="N/A",0,IF(INDEX(LISTES!$F$105:$F$109,MATCH(JM101,LISTES!$C$105:$C$109,0))="FIX",JN101,JO101*JL101)))</f>
        <v/>
      </c>
      <c r="KA101" s="492" t="str">
        <f>IF(A101=FALSE,"",Cotations!D101)</f>
        <v/>
      </c>
      <c r="KB101" s="491" t="str">
        <f>IF(A101=FALSE,"",IF(LISTES!$A$17=1,Cotations!BJ101,Cotations!BK101))</f>
        <v/>
      </c>
      <c r="KC101" s="285" t="str">
        <f t="shared" si="713"/>
        <v/>
      </c>
      <c r="KD101" s="300"/>
      <c r="KE101" s="461" t="str">
        <f t="shared" si="714"/>
        <v/>
      </c>
      <c r="KF101" s="490" t="str">
        <f>IF(A101=FALSE,"",IF(KA101="POEA",Cotations!BM101,IF(KA101="FIXE",Cotations!BN101,IF(Cotations!BO101*Y101&lt;50000,Z101,Cotations!BO101*Y101))))</f>
        <v/>
      </c>
      <c r="KG101" s="300" t="str">
        <f t="shared" si="715"/>
        <v/>
      </c>
      <c r="KH101" s="522" t="str">
        <f>IF(A101=FALSE,"",IF(Cotations!BL101="monthly",KG101/12*L101,KG101/365*M101))</f>
        <v/>
      </c>
      <c r="KI101" s="489" t="str">
        <f>IF(A101=FALSE,"",IF(Cotations!BP101="","",Cotations!BP101))</f>
        <v/>
      </c>
      <c r="KJ101" s="300" t="str">
        <f t="shared" si="716"/>
        <v/>
      </c>
      <c r="KK101" s="300" t="str">
        <f t="shared" si="717"/>
        <v/>
      </c>
      <c r="KL101" s="919" t="str">
        <f t="shared" si="718"/>
        <v/>
      </c>
      <c r="KM101" s="517" t="str">
        <f>IF(A101=FALSE,"",Cotations!BQ101)</f>
        <v/>
      </c>
      <c r="KN101" s="515" t="str">
        <f>IF(A101=FALSE,"",Cotations!BR101)</f>
        <v/>
      </c>
      <c r="KO101" s="493" t="str">
        <f>IF(A101=FALSE,"",Cotations!BS101)</f>
        <v/>
      </c>
      <c r="KP101" s="517" t="str">
        <f>IF(A101=FALSE,"",IF(KM101="N/A",0,IF(INDEX(LISTES!$F$105:$F$109,MATCH(KM101,LISTES!$C$105:$C$109,0))="FIX",IF(INDEX(LISTES!$E$105:$E$109,MATCH(KM101,LISTES!$C$105:$C$109,0))=12,KN101/12*L101,KN101/365*M101),KO101*KL101)))</f>
        <v/>
      </c>
      <c r="KQ101" s="294" t="str">
        <f t="shared" si="719"/>
        <v/>
      </c>
      <c r="KR101" s="494" t="str">
        <f>IF(A101=FALSE,"",KQ101*Cotations!BT101)</f>
        <v/>
      </c>
      <c r="KS101" s="494" t="str">
        <f>IF(A101=FALSE,"",KQ101*Cotations!BU101)</f>
        <v/>
      </c>
      <c r="KT101" s="338" t="str">
        <f t="shared" si="720"/>
        <v/>
      </c>
      <c r="KU101" s="919" t="str">
        <f>IF(A101=FALSE,"",((KG101*TAXE)-(KG101*TAXE*KI101))+IF(KM101="N/A",0,IF(INDEX(LISTES!$F$105:$F$109,MATCH(KM101,LISTES!$C$105:$C$109,0))="FIX",KN101,KO101*KL101)))</f>
        <v/>
      </c>
      <c r="LA101" s="497" t="str">
        <f>IF(A101=FALSE,"",Cotations!D101)</f>
        <v/>
      </c>
      <c r="LB101" s="498" t="str">
        <f>IF(A101=FALSE,"",IF(LISTES!$A$17=1,Cotations!BV101,Cotations!$BW$4))</f>
        <v/>
      </c>
      <c r="LC101" s="499" t="str">
        <f t="shared" si="721"/>
        <v/>
      </c>
      <c r="LD101" s="499" t="str">
        <f t="shared" si="722"/>
        <v/>
      </c>
      <c r="LE101" s="500" t="str">
        <f t="shared" si="723"/>
        <v/>
      </c>
      <c r="LF101" s="501" t="str">
        <f>IF(A101=FALSE,"",IF(LA101="POEA",Cotations!EJ101,IF(LA101="FIXE",Cotations!$BY$4,Cotations!$CA$4*Y101)))</f>
        <v/>
      </c>
      <c r="LG101" s="502" t="str">
        <f t="shared" si="724"/>
        <v/>
      </c>
      <c r="LH101" s="520" t="str">
        <f>IF(A101=FALSE,"",IF(Cotations!$BX$4="monthly",LG101/12*L101,LG101/365*M101))</f>
        <v/>
      </c>
      <c r="LI101" s="503" t="str">
        <f>IF(A101=FALSE,"",Cotations!$CB$4)</f>
        <v/>
      </c>
      <c r="LJ101" s="502" t="str">
        <f t="shared" si="725"/>
        <v/>
      </c>
      <c r="LK101" s="502" t="str">
        <f t="shared" si="726"/>
        <v/>
      </c>
      <c r="LL101" s="504" t="str">
        <f t="shared" si="727"/>
        <v/>
      </c>
      <c r="LM101" s="505" t="str">
        <f>IF(A101=FALSE,"",Cotations!$CC$4)</f>
        <v/>
      </c>
      <c r="LN101" s="503" t="str">
        <f>IF(A101=FALSE,"",Cotations!$CD$4)</f>
        <v/>
      </c>
      <c r="LO101" s="503" t="str">
        <f>IF(A101=FALSE,"",Cotations!$CE$4)</f>
        <v/>
      </c>
      <c r="LP101" s="505" t="str">
        <f>IF(A101=FALSE,"",IF(LM101="N/A",0,IF(INDEX(LISTES!$F$105:$F$109,MATCH(LM101,LISTES!$C$105:$C$109,0))="FIX",IF(INDEX(LISTES!$E$105:$E$109,MATCH(LM101,LISTES!$C$105:$C$109,0))=12,LN101/12*L101,LN101/365*M101),LO101*LL101)))</f>
        <v/>
      </c>
      <c r="LQ101" s="504" t="str">
        <f t="shared" si="728"/>
        <v/>
      </c>
      <c r="LR101" s="505" t="str">
        <f>IF(A101=FALSE,"",LQ101*Cotations!$CF$4)</f>
        <v/>
      </c>
      <c r="LS101" s="505" t="str">
        <f>IF(A101=FALSE,"",LQ101*Cotations!$CG$4)</f>
        <v/>
      </c>
      <c r="LT101" s="506" t="str">
        <f t="shared" si="729"/>
        <v/>
      </c>
      <c r="LU101" s="919" t="str">
        <f>IF(A101=FALSE,"",((LG101*TAXE)-(LG101*TAXE*LI101))+IF(LM101="N/A",0,IF(INDEX(LISTES!$F$105:$F$109,MATCH(LM101,LISTES!$C$105:$C$109,0))="FIX",LN101,LO101*LL101)))</f>
        <v/>
      </c>
      <c r="MA101" s="492" t="str">
        <f>IF(A101=FALSE,"",Cotations!D101)</f>
        <v/>
      </c>
      <c r="MB101" s="491" t="str">
        <f>IF(A101=FALSE,"",IF(LISTES!$A$17=1,Cotations!BV101,Cotations!BW101))</f>
        <v/>
      </c>
      <c r="MC101" s="285" t="str">
        <f t="shared" si="730"/>
        <v/>
      </c>
      <c r="MD101" s="300"/>
      <c r="ME101" s="461" t="str">
        <f t="shared" si="731"/>
        <v/>
      </c>
      <c r="MF101" s="490" t="str">
        <f>IF(A101=FALSE,"",IF(MA101="POEA",Cotations!BY101,IF(MA101="FIXE",Cotations!BZ101,IF(Cotations!CA101*Y101&lt;50000,Z101,Cotations!CA101*Y101))))</f>
        <v/>
      </c>
      <c r="MG101" s="300" t="str">
        <f t="shared" si="732"/>
        <v/>
      </c>
      <c r="MH101" s="522" t="str">
        <f>IF(A101=FALSE,"",IF(Cotations!BX101="monthly",MG101/12*L101,MG101/365*M101))</f>
        <v/>
      </c>
      <c r="MI101" s="489" t="str">
        <f>IF(A101=FALSE,"",IF(Cotations!CB101="","",Cotations!CB101))</f>
        <v/>
      </c>
      <c r="MJ101" s="300" t="str">
        <f t="shared" si="733"/>
        <v/>
      </c>
      <c r="MK101" s="300" t="str">
        <f t="shared" si="734"/>
        <v/>
      </c>
      <c r="ML101" s="919" t="str">
        <f t="shared" si="735"/>
        <v/>
      </c>
      <c r="MM101" s="517" t="str">
        <f>IF(A101=FALSE,"",Cotations!CC101)</f>
        <v/>
      </c>
      <c r="MN101" s="515" t="str">
        <f>IF(A101=FALSE,"",Cotations!CD101)</f>
        <v/>
      </c>
      <c r="MO101" s="493" t="str">
        <f>IF(A101=FALSE,"",Cotations!CE101)</f>
        <v/>
      </c>
      <c r="MP101" s="517" t="str">
        <f>IF(A101=FALSE,"",IF(MM101="N/A",0,IF(INDEX(LISTES!$F$105:$F$109,MATCH(MM101,LISTES!$C$105:$C$109,0))="FIX",IF(INDEX(LISTES!$E$105:$E$109,MATCH(MM101,LISTES!$C$105:$C$109,0))=12,MN101/12*L101,MN101/365*M101),MO101*ML101)))</f>
        <v/>
      </c>
      <c r="MQ101" s="294" t="str">
        <f t="shared" si="736"/>
        <v/>
      </c>
      <c r="MR101" s="494" t="str">
        <f>IF(A101=FALSE,"",MQ101*Cotations!CF101)</f>
        <v/>
      </c>
      <c r="MS101" s="494" t="str">
        <f>IF(A101=FALSE,"",MQ101*Cotations!CG101)</f>
        <v/>
      </c>
      <c r="MT101" s="338" t="str">
        <f t="shared" si="737"/>
        <v/>
      </c>
      <c r="MU101" s="919" t="str">
        <f>IF(A101=FALSE,"",((MG101*TAXE)-(MG101*TAXE*MI101))+IF(MM101="N/A",0,IF(INDEX(LISTES!$F$105:$F$109,MATCH(MM101,LISTES!$C$105:$C$109,0))="FIX",MN101,MO101*ML101)))</f>
        <v/>
      </c>
      <c r="NA101" s="497" t="str">
        <f>IF(A101=FALSE,"",Cotations!D101)</f>
        <v/>
      </c>
      <c r="NB101" s="498" t="str">
        <f>IF(A101=FALSE,"",IF(LISTES!$A$17=1,Cotations!CH101,Cotations!$CI$4))</f>
        <v/>
      </c>
      <c r="NC101" s="499" t="str">
        <f t="shared" si="738"/>
        <v/>
      </c>
      <c r="ND101" s="499" t="str">
        <f t="shared" si="739"/>
        <v/>
      </c>
      <c r="NE101" s="500" t="str">
        <f t="shared" si="740"/>
        <v/>
      </c>
      <c r="NF101" s="501" t="str">
        <f>IF(A101=FALSE,"",IF(NA101="POEA",Cotations!CK101,IF(NA101="FIXE",Cotations!$CK$4,Cotations!$CM$4*Y101)))</f>
        <v/>
      </c>
      <c r="NG101" s="502" t="str">
        <f t="shared" si="741"/>
        <v/>
      </c>
      <c r="NH101" s="520" t="str">
        <f>IF(A101=FALSE,"",IF(Cotations!$CJ$4="monthly",NG101/12*L101,NG101/365*M101))</f>
        <v/>
      </c>
      <c r="NI101" s="503" t="str">
        <f>IF(A101=FALSE,"",Cotations!$CN$4)</f>
        <v/>
      </c>
      <c r="NJ101" s="502" t="str">
        <f t="shared" si="742"/>
        <v/>
      </c>
      <c r="NK101" s="502" t="str">
        <f t="shared" si="743"/>
        <v/>
      </c>
      <c r="NL101" s="504" t="str">
        <f t="shared" si="744"/>
        <v/>
      </c>
      <c r="NM101" s="505" t="str">
        <f>IF(A101=FALSE,"",Cotations!$CO$4)</f>
        <v/>
      </c>
      <c r="NN101" s="520" t="str">
        <f>IF(A101=FALSE,"",Cotations!$CP$4)</f>
        <v/>
      </c>
      <c r="NO101" s="503" t="str">
        <f>IF(A101=FALSE,"",Cotations!$CQ$4)</f>
        <v/>
      </c>
      <c r="NP101" s="505" t="str">
        <f>IF(A101=FALSE,"",IF(NM101="N/A",0,IF(INDEX(LISTES!$F$105:$F$109,MATCH(NM101,LISTES!$C$105:$C$109,0))="FIX",IF(INDEX(LISTES!$E$105:$E$109,MATCH(NM101,LISTES!$C$105:$C$109,0))=12,NN101/12*L101,NN101/365*M101),NO101*NL101)))</f>
        <v/>
      </c>
      <c r="NQ101" s="504" t="str">
        <f t="shared" si="745"/>
        <v/>
      </c>
      <c r="NR101" s="505" t="str">
        <f>IF(A101=FALSE,"",NQ101*Cotations!$CR$4)</f>
        <v/>
      </c>
      <c r="NS101" s="505" t="str">
        <f>IF(A101=FALSE,"",NQ101*Cotations!$CS$4)</f>
        <v/>
      </c>
      <c r="NT101" s="506" t="str">
        <f t="shared" si="746"/>
        <v/>
      </c>
      <c r="NU101" s="919" t="str">
        <f>IF(A101=FALSE,"",((NG101*TAXE)-(NG101*TAXE*NI101))+IF(NM101="N/A",0,IF(INDEX(LISTES!$F$105:$F$109,MATCH(NM101,LISTES!$C$105:$C$109,0))="FIX",NN101,NO101*NL101)))</f>
        <v/>
      </c>
      <c r="OA101" s="492" t="str">
        <f>IF(A101=FALSE,"",Cotations!D101)</f>
        <v/>
      </c>
      <c r="OB101" s="491" t="str">
        <f>IF(A101=FALSE,"",IF(LISTES!$A$17=1,Cotations!CH101,Cotations!CI101))</f>
        <v/>
      </c>
      <c r="OC101" s="285" t="str">
        <f t="shared" si="747"/>
        <v/>
      </c>
      <c r="OD101" s="300"/>
      <c r="OE101" s="461" t="str">
        <f t="shared" si="748"/>
        <v/>
      </c>
      <c r="OF101" s="490" t="str">
        <f>IF(A101=FALSE,"",IF(OA101="POEA",Cotations!CK101,IF(OA101="FIXE",Cotations!CL101,IF(Cotations!CM101*Y101&lt;50000,Z101,Cotations!CM101*Y101))))</f>
        <v/>
      </c>
      <c r="OG101" s="300" t="str">
        <f t="shared" si="749"/>
        <v/>
      </c>
      <c r="OH101" s="522" t="str">
        <f>IF(A101=FALSE,"",IF(Cotations!CJ101="monthly",OG101/12*L101,OG101/365*M101))</f>
        <v/>
      </c>
      <c r="OI101" s="489" t="str">
        <f>IF(A101=FALSE,"",IF(Cotations!CN101="","",Cotations!CN101))</f>
        <v/>
      </c>
      <c r="OJ101" s="300" t="str">
        <f t="shared" si="750"/>
        <v/>
      </c>
      <c r="OK101" s="300" t="str">
        <f t="shared" si="751"/>
        <v/>
      </c>
      <c r="OL101" s="919" t="str">
        <f t="shared" si="752"/>
        <v/>
      </c>
      <c r="OM101" s="517" t="str">
        <f>IF(A101=FALSE,"",Cotations!CO101)</f>
        <v/>
      </c>
      <c r="ON101" s="515" t="str">
        <f>IF(A101=FALSE,"",Cotations!CP101)</f>
        <v/>
      </c>
      <c r="OO101" s="493" t="str">
        <f>IF(A101=FALSE,"",Cotations!CQ101)</f>
        <v/>
      </c>
      <c r="OP101" s="517" t="str">
        <f>IF(A101=FALSE,"",IF(OM101="N/A",0,IF(INDEX(LISTES!$F$105:$F$109,MATCH(OM101,LISTES!$C$105:$C$109,0))="FIX",IF(INDEX(LISTES!$E$105:$E$109,MATCH(OM101,LISTES!$C$105:$C$109,0))=12,ON101/12*L101,ON101/365*M101),OO101*OL101)))</f>
        <v/>
      </c>
      <c r="OQ101" s="294" t="str">
        <f t="shared" si="753"/>
        <v/>
      </c>
      <c r="OR101" s="494" t="str">
        <f>IF(A101=FALSE,"",OQ101*Cotations!CR101)</f>
        <v/>
      </c>
      <c r="OS101" s="494" t="str">
        <f>IF(A101=FALSE,"",OQ101*Cotations!CS101)</f>
        <v/>
      </c>
      <c r="OT101" s="338" t="str">
        <f t="shared" si="754"/>
        <v/>
      </c>
      <c r="OU101" s="919" t="str">
        <f>IF(A101=FALSE,"",((OG101*TAXE)-(OG101*TAXE*OI101))+IF(OM101="N/A",0,IF(INDEX(LISTES!$F$105:$F$109,MATCH(OM101,LISTES!$C$105:$C$109,0))="FIX",ON101,OO101*OL101)))</f>
        <v/>
      </c>
      <c r="PA101" s="497" t="str">
        <f t="shared" si="755"/>
        <v/>
      </c>
      <c r="PB101" s="498" t="str">
        <f>IF(A101=FALSE,"",IF(LISTES!$A$17=1,Cotations!CT101,Cotations!$CU$4))</f>
        <v/>
      </c>
      <c r="PC101" s="499" t="str">
        <f t="shared" si="756"/>
        <v/>
      </c>
      <c r="PD101" s="499" t="str">
        <f t="shared" si="757"/>
        <v/>
      </c>
      <c r="PE101" s="500" t="str">
        <f t="shared" si="758"/>
        <v/>
      </c>
      <c r="PF101" s="501" t="str">
        <f>IF(A101=FALSE,"",Cotations!$CY$4*Y101)</f>
        <v/>
      </c>
      <c r="PG101" s="502" t="str">
        <f t="shared" si="759"/>
        <v/>
      </c>
      <c r="PH101" s="520" t="str">
        <f>IF(A101=FALSE,"",IF(Cotations!$CV$4="monthly",PG101/12*L101,PG101/365*M101))</f>
        <v/>
      </c>
      <c r="PI101" s="503" t="str">
        <f>IF(A101=FALSE,"",Cotations!$CZ$4)</f>
        <v/>
      </c>
      <c r="PJ101" s="502" t="str">
        <f t="shared" si="760"/>
        <v/>
      </c>
      <c r="PK101" s="502" t="str">
        <f t="shared" si="761"/>
        <v/>
      </c>
      <c r="PL101" s="504" t="str">
        <f t="shared" si="762"/>
        <v/>
      </c>
      <c r="PM101" s="505" t="str">
        <f>IF(A101=FALSE,"",Cotations!$DA$4)</f>
        <v/>
      </c>
      <c r="PN101" s="520" t="str">
        <f>IF(A101=FALSE,"",Cotations!$DB$4)</f>
        <v/>
      </c>
      <c r="PO101" s="503" t="str">
        <f>IF(A101=FALSE,"",Cotations!$DC$4)</f>
        <v/>
      </c>
      <c r="PP101" s="505" t="str">
        <f>IF(A101=FALSE,"",IF(PM101="N/A",0,IF(INDEX(LISTES!$F$105:$F$109,MATCH(PM101,LISTES!$C$105:$C$109,0))="FIX",IF(INDEX(LISTES!$E$105:$E$109,MATCH(PM101,LISTES!$C$105:$C$109,0))=12,PN101/12*L101,PN101/365*M101),PO101*PL101)))</f>
        <v/>
      </c>
      <c r="PQ101" s="504" t="str">
        <f t="shared" si="763"/>
        <v/>
      </c>
      <c r="PR101" s="505" t="str">
        <f>IF(A101=FALSE,"",PQ101*Cotations!$DD$4)</f>
        <v/>
      </c>
      <c r="PS101" s="505" t="str">
        <f>IF(A101=FALSE,"",PQ101*Cotations!$DE$4)</f>
        <v/>
      </c>
      <c r="PT101" s="506" t="str">
        <f t="shared" si="764"/>
        <v/>
      </c>
      <c r="PU101" s="919" t="str">
        <f>IF(A101=FALSE,"",((PG101*TAXE)-(PG101*TAXE*PI101))+IF(PM101="N/A",0,IF(INDEX(LISTES!$F$105:$F$109,MATCH(PM101,LISTES!$C$105:$C$109,0))="FIX",PN101,PO101*PL101)))</f>
        <v/>
      </c>
      <c r="QA101" s="492" t="str">
        <f t="shared" si="765"/>
        <v/>
      </c>
      <c r="QB101" s="491" t="str">
        <f>IF(A101=FALSE,"",IF(LISTES!$A$17=1,Cotations!CT101,Cotations!CU101))</f>
        <v/>
      </c>
      <c r="QC101" s="285" t="str">
        <f t="shared" si="766"/>
        <v/>
      </c>
      <c r="QD101" s="300"/>
      <c r="QE101" s="461" t="str">
        <f t="shared" si="767"/>
        <v/>
      </c>
      <c r="QF101" s="490" t="str">
        <f>IF(A101=FALSE,"",Cotations!CY101*AA101)</f>
        <v/>
      </c>
      <c r="QG101" s="300" t="str">
        <f t="shared" si="768"/>
        <v/>
      </c>
      <c r="QH101" s="522" t="str">
        <f>IF(A101=FALSE,"",IF(Cotations!CV101="monthly",QG101/12*L101,QG101/365*M101))</f>
        <v/>
      </c>
      <c r="QI101" s="489" t="str">
        <f>IF(A101=FALSE,"",IF(Cotations!CZ101="","",Cotations!CZ101))</f>
        <v/>
      </c>
      <c r="QJ101" s="300" t="str">
        <f t="shared" si="769"/>
        <v/>
      </c>
      <c r="QK101" s="300" t="str">
        <f t="shared" si="770"/>
        <v/>
      </c>
      <c r="QL101" s="919" t="str">
        <f t="shared" si="771"/>
        <v/>
      </c>
      <c r="QM101" s="517" t="str">
        <f>IF(A101=FALSE,"",Cotations!DA101)</f>
        <v/>
      </c>
      <c r="QN101" s="515" t="str">
        <f>IF(A101=FALSE,"",Cotations!DB101)</f>
        <v/>
      </c>
      <c r="QO101" s="493" t="str">
        <f>IF(A101=FALSE,"",Cotations!DC101)</f>
        <v/>
      </c>
      <c r="QP101" s="517" t="str">
        <f>IF(A101=FALSE,"",IF(QM101="N/A",0,IF(INDEX(LISTES!$F$105:$F$109,MATCH(QM101,LISTES!$C$105:$C$109,0))="FIX",IF(INDEX(LISTES!$E$105:$E$109,MATCH(QM101,LISTES!$C$105:$C$109,0))=12,QN101/12*L101,QN101/365*M101),QO101*QL101)))</f>
        <v/>
      </c>
      <c r="QQ101" s="294" t="str">
        <f t="shared" si="772"/>
        <v/>
      </c>
      <c r="QR101" s="494" t="str">
        <f>IF(A101=FALSE,"",QQ101*Cotations!DD101)</f>
        <v/>
      </c>
      <c r="QS101" s="494" t="str">
        <f>IF(A101=FALSE,"",QQ101*Cotations!DE101)</f>
        <v/>
      </c>
      <c r="QT101" s="338" t="str">
        <f t="shared" si="773"/>
        <v/>
      </c>
      <c r="QU101" s="919" t="str">
        <f>IF(A101=FALSE,"",((QG101*TAXE)-(QG101*TAXE*QI101))+IF(QM101="N/A",0,IF(INDEX(LISTES!$F$105:$F$109,MATCH(QM101,LISTES!$C$105:$C$109,0))="FIX",QN101,QO101*QL101)))</f>
        <v/>
      </c>
      <c r="RA101" s="497" t="str">
        <f t="shared" si="774"/>
        <v/>
      </c>
      <c r="RB101" s="498" t="str">
        <f>IF(A101=FALSE,"",IF(LISTES!$A$17=1,Cotations!DF101,Cotations!$DG$4))</f>
        <v/>
      </c>
      <c r="RC101" s="499" t="str">
        <f t="shared" si="775"/>
        <v/>
      </c>
      <c r="RD101" s="499" t="str">
        <f t="shared" si="776"/>
        <v/>
      </c>
      <c r="RE101" s="500" t="str">
        <f t="shared" si="777"/>
        <v/>
      </c>
      <c r="RF101" s="501" t="str">
        <f>IF(A101=FALSE,"",Cotations!$DK$4*Y101)</f>
        <v/>
      </c>
      <c r="RG101" s="502" t="str">
        <f t="shared" si="778"/>
        <v/>
      </c>
      <c r="RH101" s="520" t="str">
        <f>IF(A101=FALSE,"",IF(Cotations!$DH$4="monthly",RG101/12*L101,RG101/365*M101))</f>
        <v/>
      </c>
      <c r="RI101" s="503" t="str">
        <f>IF(A101=FALSE,"",Cotations!$DL$4)</f>
        <v/>
      </c>
      <c r="RJ101" s="502" t="str">
        <f t="shared" si="779"/>
        <v/>
      </c>
      <c r="RK101" s="502" t="str">
        <f t="shared" si="780"/>
        <v/>
      </c>
      <c r="RL101" s="504" t="str">
        <f t="shared" si="781"/>
        <v/>
      </c>
      <c r="RM101" s="505" t="str">
        <f>IF(A101=FALSE,"",Cotations!$DM$4)</f>
        <v/>
      </c>
      <c r="RN101" s="520" t="str">
        <f>IF(A101=FALSE,"",Cotations!$DN$4)</f>
        <v/>
      </c>
      <c r="RO101" s="503" t="str">
        <f>IF(A101=FALSE,"",Cotations!$DO$4)</f>
        <v/>
      </c>
      <c r="RP101" s="505" t="str">
        <f>IF(A101=FALSE,"",IF(RM101="N/A",0,IF(INDEX(LISTES!$F$105:$F$109,MATCH(RM101,LISTES!$C$105:$C$109,0))="FIX",IF(INDEX(LISTES!$E$105:$E$109,MATCH(RM101,LISTES!$C$105:$C$109,0))=12,RN101/12*L101,RN101/365*M101),RO101*RL101)))</f>
        <v/>
      </c>
      <c r="RQ101" s="504" t="str">
        <f t="shared" si="782"/>
        <v/>
      </c>
      <c r="RR101" s="505" t="str">
        <f>IF(A101=FALSE,"",RQ101*Cotations!$DP$4)</f>
        <v/>
      </c>
      <c r="RS101" s="505" t="str">
        <f>IF(A101=FALSE,"",RQ101*Cotations!$DQ$4)</f>
        <v/>
      </c>
      <c r="RT101" s="506" t="str">
        <f t="shared" si="783"/>
        <v/>
      </c>
      <c r="RU101" s="919" t="str">
        <f>IF(A101=FALSE,"",((RG101*TAXE)-(RG101*TAXE*RI101))+IF(RM101="N/A",0,IF(INDEX(LISTES!$F$105:$F$109,MATCH(RM101,LISTES!$C$105:$C$109,0))="FIX",RN101,RO101*RL101)))</f>
        <v/>
      </c>
      <c r="SA101" s="492" t="str">
        <f t="shared" si="784"/>
        <v/>
      </c>
      <c r="SB101" s="491" t="str">
        <f>IF(A101=FALSE,"",IF(LISTES!$A$17=1,Cotations!DF101,Cotations!DG101))</f>
        <v/>
      </c>
      <c r="SC101" s="285" t="str">
        <f t="shared" si="785"/>
        <v/>
      </c>
      <c r="SD101" s="300"/>
      <c r="SE101" s="461" t="str">
        <f t="shared" si="786"/>
        <v/>
      </c>
      <c r="SF101" s="490" t="str">
        <f>IF(A101=FALSE,"",Cotations!DK101*AA101)</f>
        <v/>
      </c>
      <c r="SG101" s="300" t="str">
        <f t="shared" si="787"/>
        <v/>
      </c>
      <c r="SH101" s="522" t="str">
        <f>IF(A101=FALSE,"",IF(Cotations!DH101="monthly",SG101/12*L101,SG101/365*M101))</f>
        <v/>
      </c>
      <c r="SI101" s="489" t="str">
        <f>IF(A101=FALSE,"",IF(Cotations!DL101="","",Cotations!DL101))</f>
        <v/>
      </c>
      <c r="SJ101" s="300" t="str">
        <f t="shared" si="788"/>
        <v/>
      </c>
      <c r="SK101" s="300" t="str">
        <f t="shared" si="789"/>
        <v/>
      </c>
      <c r="SL101" s="919" t="str">
        <f t="shared" si="790"/>
        <v/>
      </c>
      <c r="SM101" s="285" t="str">
        <f>IF(A101=FALSE,"",Cotations!DM101)</f>
        <v/>
      </c>
      <c r="SN101" s="515" t="str">
        <f>IF(A101=FALSE,"",Cotations!DN101)</f>
        <v/>
      </c>
      <c r="SO101" s="493" t="str">
        <f>IF(A101=FALSE,"",Cotations!DO101)</f>
        <v/>
      </c>
      <c r="SP101" s="517" t="str">
        <f>IF(A101=FALSE,"",IF(SM101="N/A",0,IF(INDEX(LISTES!$F$105:$F$109,MATCH(SM101,LISTES!$C$105:$C$109,0))="FIX",IF(INDEX(LISTES!$E$105:$E$109,MATCH(SM101,LISTES!$C$105:$C$109,0))=12,SN101/12*L101,SN101/365*M101),SO101*SL101)))</f>
        <v/>
      </c>
      <c r="SQ101" s="294" t="str">
        <f t="shared" si="791"/>
        <v/>
      </c>
      <c r="SR101" s="494" t="str">
        <f>IF(A101=FALSE,"",SQ101*Cotations!DP101)</f>
        <v/>
      </c>
      <c r="SS101" s="494" t="str">
        <f>IF(A101=FALSE,"",SQ101*Cotations!DQ101)</f>
        <v/>
      </c>
      <c r="ST101" s="338" t="str">
        <f t="shared" si="792"/>
        <v/>
      </c>
      <c r="SU101" s="919" t="str">
        <f>IF(A101=FALSE,"",((SG101*TAXE)-(SG101*TAXE*SI101))+IF(SM101="N/A",0,IF(INDEX(LISTES!$F$105:$F$109,MATCH(SM101,LISTES!$C$105:$C$109,0))="FIX",SN101,SO101*SL101)))</f>
        <v/>
      </c>
      <c r="TA101" s="492" t="str">
        <f>IF(A101=FALSE,"",Cotations!D101)</f>
        <v/>
      </c>
      <c r="TB101" s="491" t="str">
        <f>IF(A101=FALSE,"",IF(LISTES!$A$17=1,Cotations!DR101,Cotations!DS101))</f>
        <v/>
      </c>
      <c r="TC101" s="285" t="str">
        <f t="shared" si="793"/>
        <v/>
      </c>
      <c r="TD101" s="300" t="str">
        <f>IF(A101=FALSE,"",Detail!CQ101)</f>
        <v/>
      </c>
      <c r="TE101" s="461" t="str">
        <f t="shared" si="794"/>
        <v/>
      </c>
      <c r="TF101" s="490" t="str">
        <f>IF(A101=FALSE,"",IF(TA101="FIXE",Cotations!DU101,Cotations!DV101*Y101))</f>
        <v/>
      </c>
      <c r="TG101" s="300" t="str">
        <f t="shared" si="795"/>
        <v/>
      </c>
      <c r="TH101" s="522" t="str">
        <f>IF(A101=FALSE,"",IF(Cotations!DT101="monthly",TG101/12*L101,TG101/365*M101))</f>
        <v/>
      </c>
      <c r="TI101" s="489" t="str">
        <f>IF(A101=FALSE,"",IF(Cotations!DW101="","",Cotations!DW101))</f>
        <v/>
      </c>
      <c r="TJ101" s="300" t="str">
        <f t="shared" si="796"/>
        <v/>
      </c>
      <c r="TK101" s="300" t="str">
        <f t="shared" si="797"/>
        <v/>
      </c>
      <c r="TL101" s="919" t="str">
        <f t="shared" si="798"/>
        <v/>
      </c>
      <c r="TM101" s="517" t="str">
        <f>IF(A101=FALSE,"",Cotations!DX101)</f>
        <v/>
      </c>
      <c r="TN101" s="517" t="str">
        <f>IF(A101=FALSE,"",Cotations!DY101)</f>
        <v/>
      </c>
      <c r="TO101" s="493" t="str">
        <f>IF(A101=FALSE,"",Cotations!DZ101)</f>
        <v/>
      </c>
      <c r="TP101" s="517" t="str">
        <f>IF(A101=FALSE,"",IF(TM101="N/A",0,IF(INDEX(LISTES!$F$105:$F$109,MATCH(TM101,LISTES!$C$105:$C$109,0))="FIX",IF(INDEX(LISTES!$E$105:$E$109,MATCH(TM101,LISTES!$C$105:$C$109,0))=12,TN101/12*L101,TN101/365*M101),TO101*TL101)))</f>
        <v/>
      </c>
      <c r="TQ101" s="294" t="str">
        <f t="shared" si="799"/>
        <v/>
      </c>
      <c r="TR101" s="494" t="str">
        <f>IF(A101=FALSE,"",TQ101*Cotations!EA101)</f>
        <v/>
      </c>
      <c r="TS101" s="494" t="str">
        <f>IF(A101=FALSE,"",TQ101*Cotations!EB101)</f>
        <v/>
      </c>
      <c r="TT101" s="338" t="str">
        <f t="shared" si="800"/>
        <v/>
      </c>
      <c r="TU101" s="919" t="str">
        <f>IF(A101=FALSE,"",((TG101*(1+TAXE)-(TG101*(1+TAXE)*TI101))+IF(TM101="N/A",0,IF(INDEX(LISTES!$F$105:$F$109,MATCH(TM101,LISTES!$C$105:$C$109,0))="FIX",TN101,TO101*TL101))))</f>
        <v/>
      </c>
      <c r="UA101" s="492" t="str">
        <f>IF(A101=FALSE,"",Cotations!D101)</f>
        <v/>
      </c>
      <c r="UB101" s="491" t="str">
        <f>IF(A101=FALSE,"",IF(LISTES!$A$17=1,Cotations!EC101,Cotations!ED101))</f>
        <v/>
      </c>
      <c r="UC101" s="285" t="str">
        <f t="shared" si="801"/>
        <v/>
      </c>
      <c r="UD101" s="300" t="str">
        <f>IF(A101=FALSE,"",Detail!CY101)</f>
        <v/>
      </c>
      <c r="UE101" s="461" t="str">
        <f t="shared" si="802"/>
        <v/>
      </c>
      <c r="UF101" s="490" t="str">
        <f>IF(A101=FALSE,"",IF(UA101="FIXE",Cotations!EF101,Cotations!EG101*Y101))</f>
        <v/>
      </c>
      <c r="UG101" s="300" t="str">
        <f t="shared" si="803"/>
        <v/>
      </c>
      <c r="UH101" s="522" t="str">
        <f>IF(A101=FALSE,"",IF(Cotations!EE101="monthly",UG101/12*L101,UG101/365*M101))</f>
        <v/>
      </c>
      <c r="UI101" s="489" t="str">
        <f>IF(A101=FALSE,"",IF(Cotations!EH101="","",Cotations!EH101))</f>
        <v/>
      </c>
      <c r="UJ101" s="300" t="str">
        <f t="shared" si="804"/>
        <v/>
      </c>
      <c r="UK101" s="300" t="str">
        <f t="shared" si="805"/>
        <v/>
      </c>
      <c r="UL101" s="919" t="str">
        <f t="shared" si="806"/>
        <v/>
      </c>
      <c r="UM101" s="517" t="str">
        <f>IF(A101=FALSE,"",Cotations!EI101)</f>
        <v/>
      </c>
      <c r="UN101" s="517" t="str">
        <f>IF(A101=FALSE,"",Cotations!EJ101)</f>
        <v/>
      </c>
      <c r="UO101" s="493" t="str">
        <f>IF(A101=FALSE,"",Cotations!EK101)</f>
        <v/>
      </c>
      <c r="UP101" s="517" t="str">
        <f>IF(A101=FALSE,"",IF(UM101="N/A",0,IF(INDEX(LISTES!$F$105:$F$109,MATCH(UM101,LISTES!$C$105:$C$109,0))="FIX",IF(INDEX(LISTES!$E$105:$E$109,MATCH(UM101,LISTES!$C$105:$C$109,0))=12,UN101/12*L101,UN101/365*M101),UO101*UL101)))</f>
        <v/>
      </c>
      <c r="UQ101" s="294" t="str">
        <f t="shared" si="807"/>
        <v/>
      </c>
      <c r="UR101" s="494" t="str">
        <f>IF(A101=FALSE,"",UQ101*Cotations!EL101)</f>
        <v/>
      </c>
      <c r="US101" s="494" t="str">
        <f>IF(A101=FALSE,"",UQ101*Cotations!EM101)</f>
        <v/>
      </c>
      <c r="UT101" s="338" t="str">
        <f t="shared" si="808"/>
        <v/>
      </c>
      <c r="UU101" s="919" t="str">
        <f>IF(A101=FALSE,"",((UG101*(1+TAXE)-(UG101*(1+TAXE)*UI101))+IF(UM101="N/A",0,IF(INDEX(LISTES!$F$105:$F$109,MATCH(UM101,LISTES!$C$105:$C$109,0))="FIX",UN101,UO101*UL101))))</f>
        <v/>
      </c>
      <c r="VA101" s="492" t="str">
        <f>IF(A101=FALSE,"",Cotations!D101)</f>
        <v/>
      </c>
      <c r="VB101" s="519" t="str">
        <f>IF(A101=FALSE,"",IF(LISTES!$A$17=1,Cotations!EN101,Cotations!EO101))</f>
        <v/>
      </c>
      <c r="VC101" s="291" t="str">
        <f t="shared" si="809"/>
        <v/>
      </c>
      <c r="VD101" s="291" t="str">
        <f t="shared" si="810"/>
        <v/>
      </c>
      <c r="VE101" s="291"/>
      <c r="VF101" s="463"/>
      <c r="VG101" s="463" t="str">
        <f t="shared" si="811"/>
        <v/>
      </c>
      <c r="VH101" s="522" t="str">
        <f>IF(A101=FALSE,"",IF(Cotations!$AQ$4="monthly",VG101/12*L101,VG101/365*M101))</f>
        <v/>
      </c>
      <c r="VI101" s="489" t="str">
        <f>IF(A101=FALSE,"",Cotations!$AR$4)</f>
        <v/>
      </c>
      <c r="VJ101" s="300" t="str">
        <f t="shared" si="812"/>
        <v/>
      </c>
      <c r="VK101" s="300" t="str">
        <f t="shared" si="813"/>
        <v/>
      </c>
      <c r="VL101" s="294" t="str">
        <f t="shared" si="814"/>
        <v/>
      </c>
      <c r="VM101" s="494" t="str">
        <f>IF(A101=FALSE,"",Cotations!$AS$4)</f>
        <v/>
      </c>
      <c r="VN101" s="494" t="str">
        <f>IF(A101=FALSE,"",Cotations!$AT$4)</f>
        <v/>
      </c>
      <c r="VO101" s="489" t="str">
        <f>IF(A101=FALSE,"",Cotations!$AU$4)</f>
        <v/>
      </c>
      <c r="VP101" s="494" t="str">
        <f>IF(A101=FALSE,"",IF(VM101="N/A",0,IF(INDEX(LISTES!$F$105:$F$109,MATCH(VM101,LISTES!$C$105:$C$109,0))="FIX",IF(INDEX(LISTES!$E$105:$E$109,MATCH(VM101,LISTES!$C$105:$C$109,0))=12,VN101/12*L101,VN101/365*M101),VO101*VL101)))</f>
        <v/>
      </c>
      <c r="VQ101" s="294" t="str">
        <f t="shared" si="815"/>
        <v/>
      </c>
      <c r="VR101" s="494" t="str">
        <f>IF(A101=FALSE,"",VQ101*Cotations!$AV$4)</f>
        <v/>
      </c>
      <c r="VS101" s="494" t="str">
        <f>IF(A101=FALSE,"",VQ101*Cotations!$AW$4)</f>
        <v/>
      </c>
      <c r="VT101" s="465" t="str">
        <f t="shared" si="816"/>
        <v/>
      </c>
      <c r="VU101" s="919" t="str">
        <f>IF(A101=FALSE,"",((VG101*TAXE)-(VG101*TAXE*VI101))+IF(VM101="N/A",0,IF(INDEX(LISTES!$F$105:$F$109,MATCH(VM101,LISTES!$C$105:$C$109,0))="FIX",VN101,VO101*VL101)))</f>
        <v/>
      </c>
      <c r="WA101" s="492" t="str">
        <f>IF(A101=FALSE,"",Cotations!D101)</f>
        <v/>
      </c>
      <c r="WB101" s="519" t="str">
        <f>IF(A101=FALSE,"",IF(LISTES!$A$17=1,Cotations!EW101,Cotations!EX101))</f>
        <v/>
      </c>
      <c r="WC101" s="291" t="str">
        <f t="shared" si="817"/>
        <v/>
      </c>
      <c r="WD101" s="291" t="str">
        <f t="shared" si="818"/>
        <v/>
      </c>
      <c r="WE101" s="291"/>
      <c r="WF101" s="463"/>
      <c r="WG101" s="463" t="str">
        <f t="shared" si="819"/>
        <v/>
      </c>
      <c r="WH101" s="522" t="str">
        <f>IF(A101=FALSE,"",IF(Cotations!$AQ$4="monthly",WG101/12*L101,WG101/365*M101))</f>
        <v/>
      </c>
      <c r="WI101" s="489" t="str">
        <f>IF(A101=FALSE,"",Cotations!$AR$4)</f>
        <v/>
      </c>
      <c r="WJ101" s="300" t="str">
        <f t="shared" si="820"/>
        <v/>
      </c>
      <c r="WK101" s="300" t="str">
        <f t="shared" si="821"/>
        <v/>
      </c>
      <c r="WL101" s="294" t="str">
        <f t="shared" si="822"/>
        <v/>
      </c>
      <c r="WM101" s="494" t="str">
        <f>IF(A101=FALSE,"",Cotations!$AS$4)</f>
        <v/>
      </c>
      <c r="WN101" s="494" t="str">
        <f>IF(A101=FALSE,"",Cotations!$AT$4)</f>
        <v/>
      </c>
      <c r="WO101" s="489" t="str">
        <f>IF(A101=FALSE,"",Cotations!$AU$4)</f>
        <v/>
      </c>
      <c r="WP101" s="494" t="str">
        <f>IF(A101=FALSE,"",IF(WM101="N/A",0,IF(INDEX(LISTES!$F$105:$F$109,MATCH(WM101,LISTES!$C$105:$C$109,0))="FIX",IF(INDEX(LISTES!$E$105:$E$109,MATCH(WM101,LISTES!$C$105:$C$109,0))=12,WN101/12*L101,WN101/365*M101),WO101*WL101)))</f>
        <v/>
      </c>
      <c r="WQ101" s="294" t="str">
        <f t="shared" si="823"/>
        <v/>
      </c>
      <c r="WR101" s="494" t="str">
        <f>IF(A101=FALSE,"",WQ101*Cotations!$AV$4)</f>
        <v/>
      </c>
      <c r="WS101" s="494" t="str">
        <f>IF(A101=FALSE,"",WQ101*Cotations!$AW$4)</f>
        <v/>
      </c>
      <c r="WT101" s="465" t="str">
        <f t="shared" si="824"/>
        <v/>
      </c>
      <c r="WU101" s="919" t="str">
        <f>IF(A101=FALSE,"",((WG101*TAXE)-(WG101*TAXE*WI101))+IF(WM101="N/A",0,IF(INDEX(LISTES!$F$105:$F$109,MATCH(WM101,LISTES!$C$105:$C$109,0))="FIX",WN101,WO101*WL101)))</f>
        <v/>
      </c>
    </row>
    <row r="102" spans="1:619">
      <c r="A102" s="942" t="b">
        <f t="shared" si="629"/>
        <v>0</v>
      </c>
      <c r="B102" s="942" t="b">
        <f>IF(NAMES!$B$9=TRUE,TRUE,FALSE)</f>
        <v>1</v>
      </c>
      <c r="C102" s="942" t="b">
        <f t="shared" si="825"/>
        <v>0</v>
      </c>
      <c r="D102" s="942" t="b">
        <f t="shared" si="826"/>
        <v>0</v>
      </c>
      <c r="E102" s="274" t="b">
        <f>IF(Cotations!C102="","",Cotations!C102)</f>
        <v>0</v>
      </c>
      <c r="F102" s="274" t="str">
        <f>IF(Cotations!D102="","",Cotations!D102)</f>
        <v>PROP</v>
      </c>
      <c r="G102" s="274" t="str">
        <f>IF(Cotations!E102="","",Cotations!E102)</f>
        <v>2016-2017!</v>
      </c>
      <c r="H102" s="274" t="str">
        <f>IF(Cotations!F102="","",Cotations!F102)</f>
        <v>SINGLE</v>
      </c>
      <c r="I102" s="274" t="str">
        <f>IF(Cotations!G102="","",Cotations!G102)</f>
        <v/>
      </c>
      <c r="J102" s="274" t="str">
        <f>IF(Cotations!H102="","",Cotations!H102)</f>
        <v/>
      </c>
      <c r="K102" s="274" t="str">
        <f>IF(Cotations!I102="","",Cotations!I102)</f>
        <v/>
      </c>
      <c r="L102" s="274" t="str">
        <f>IF(A102=FALSE,"",IF(Cotations!N102="","",Cotations!N102))</f>
        <v/>
      </c>
      <c r="M102" s="274" t="str">
        <f>IF(Cotations!P102="","",Cotations!P102)</f>
        <v/>
      </c>
      <c r="N102" s="724" t="str">
        <f>IF(NAMES!$B$10=TRUE,Cotations!J102,Cotations!L102)</f>
        <v/>
      </c>
      <c r="O102" s="724" t="str">
        <f>IF(NAMES!$B$10=TRUE,Cotations!K102,Cotations!M102)</f>
        <v/>
      </c>
      <c r="P102" s="943" t="str">
        <f t="shared" si="827"/>
        <v/>
      </c>
      <c r="Q102" s="724" t="str">
        <f>IF(A102=FALSE,"",IF(Crewlist!Y102="","",Crewlist!Y102))</f>
        <v/>
      </c>
      <c r="R102" s="78" t="str">
        <f>IF(Cotations!U102="","",Cotations!U102)</f>
        <v/>
      </c>
      <c r="S102" s="943" t="str">
        <f t="shared" si="828"/>
        <v/>
      </c>
      <c r="T102" s="919" t="str">
        <f>IF(A102=FALSE,"",VLOOKUP($U$15:$U$120,Currency!$A$2:$D$10,4,0)*Crewlist!N102)</f>
        <v/>
      </c>
      <c r="U102" s="1355" t="str">
        <f>IF(A102=FALSE,"",IF(IT102=0,Crewlist!M102&amp;"/"&amp;EX102,Crewlist!M102&amp;"/"&amp;IT102))</f>
        <v/>
      </c>
      <c r="V102" s="919" t="str">
        <f>IF(A102=FALSE,"",VLOOKUP($U$15:$U$120,Currency!$A$2:$D$10,4,0)*Detail!Q102)</f>
        <v/>
      </c>
      <c r="W102" s="1355" t="str">
        <f>IF(A102=FALSE,"",IF(IT102=0,Detail!R102&amp;"/"&amp;EX102,Detail!R102&amp;"/"&amp;IT102))</f>
        <v/>
      </c>
      <c r="X102" s="919" t="str">
        <f>IF(A102=FALSE,"",IF(LISTES!$C$17="Crewlist",Calcul!T102,Calcul!V102))</f>
        <v/>
      </c>
      <c r="Y102" s="758" t="str">
        <f t="shared" si="829"/>
        <v/>
      </c>
      <c r="Z102" s="758" t="str">
        <f>IF(A102=FALSE,"",IF(X102=0,0,IF((Cotations!BC102*12*X102)&lt;50000,50000,(12*X102))))</f>
        <v/>
      </c>
      <c r="AA102" s="758" t="str">
        <f t="shared" si="830"/>
        <v/>
      </c>
      <c r="AB102" s="758" t="str">
        <f>IF(A102=FALSE,"",IF(Crewlist!O102=0,"",Crewlist!O102))</f>
        <v/>
      </c>
      <c r="AC102" s="758" t="str">
        <f>IF(I102="","",VLOOKUP($AB$15:$AB$120,Currency!$A$15:$B$34,2,0))</f>
        <v/>
      </c>
      <c r="AD102" s="758" t="str">
        <f t="shared" si="831"/>
        <v/>
      </c>
      <c r="AE102" s="758" t="str">
        <f t="shared" si="832"/>
        <v/>
      </c>
      <c r="AF102" s="758" t="str">
        <f t="shared" si="833"/>
        <v/>
      </c>
      <c r="AG102" s="758" t="str">
        <f t="shared" si="834"/>
        <v/>
      </c>
      <c r="AH102" s="1355" t="str">
        <f t="shared" si="630"/>
        <v/>
      </c>
      <c r="AI102" s="919" t="str">
        <f t="shared" si="835"/>
        <v/>
      </c>
      <c r="AJ102" s="1382" t="str">
        <f t="shared" si="836"/>
        <v/>
      </c>
      <c r="AK102" s="1382" t="str">
        <f t="shared" si="837"/>
        <v/>
      </c>
      <c r="AL102" s="238" t="str">
        <f t="shared" si="631"/>
        <v/>
      </c>
      <c r="AM102" s="238" t="str">
        <f t="shared" si="632"/>
        <v/>
      </c>
      <c r="AN102" s="1374" t="str">
        <f t="shared" si="633"/>
        <v/>
      </c>
      <c r="AO102" s="238" t="str">
        <f t="shared" si="634"/>
        <v/>
      </c>
      <c r="AP102" s="342" t="str">
        <f>IF(A102=FALSE,"",INDEX(Rates!$Z$5:$Z$367,MATCH(EB102,colchoice,0)))</f>
        <v/>
      </c>
      <c r="AQ102" s="238" t="str">
        <f t="shared" si="635"/>
        <v/>
      </c>
      <c r="AR102" s="238" t="str">
        <f t="shared" si="636"/>
        <v/>
      </c>
      <c r="AS102" s="238" t="str">
        <f t="shared" si="637"/>
        <v/>
      </c>
      <c r="AT102" s="238" t="str">
        <f t="shared" si="638"/>
        <v/>
      </c>
      <c r="AU102" s="238" t="str">
        <f t="shared" si="639"/>
        <v/>
      </c>
      <c r="AV102" s="238" t="str">
        <f t="shared" si="838"/>
        <v/>
      </c>
      <c r="AW102" s="238" t="str">
        <f t="shared" si="640"/>
        <v/>
      </c>
      <c r="AX102" s="238" t="str">
        <f t="shared" si="641"/>
        <v/>
      </c>
      <c r="AY102" s="238" t="str">
        <f t="shared" si="642"/>
        <v/>
      </c>
      <c r="AZ102" s="238" t="str">
        <f t="shared" si="643"/>
        <v/>
      </c>
      <c r="BA102" s="238" t="str">
        <f t="shared" si="644"/>
        <v/>
      </c>
      <c r="BB102" s="552" t="str">
        <f t="shared" si="645"/>
        <v/>
      </c>
      <c r="BC102" s="347" t="str">
        <f t="shared" si="646"/>
        <v/>
      </c>
      <c r="BD102" s="239" t="str">
        <f t="shared" si="839"/>
        <v/>
      </c>
      <c r="BE102" s="239" t="str">
        <f>IF(A102=FALSE,"",IF(ALLTHESAME=TRUE,IF(DF102&lt;&gt;$BC$7,0,INDEX(DD102:DZ102,1,MATCH(Structure!$D$12,$DD$14:$DZ$14,0))),IF(EC102&lt;&gt;$BC$7,0,INDEX(EA102:EZ102,1,MATCH(Structure!$D$12,$EA$14:$EZ$14,0)))))</f>
        <v/>
      </c>
      <c r="BF102" s="239" t="str">
        <f>IF(A102=FALSE,"",IF(ALLTHESAME=TRUE,IF(FC102&lt;&gt;$BC$7,0,INDEX(FA102:FZ102,1,MATCH(Structure!$D$12,$FA$14:$FZ$14,0))),IF(GC102&lt;&gt;$BC$7,0,INDEX(GA102:GZ102,1,MATCH(Structure!$D$12,$GA$14:$GZ$14,0)))))</f>
        <v/>
      </c>
      <c r="BG102" s="239" t="str">
        <f>IF(A102=FALSE,"",IF(ALLTHESAME=TRUE,IF(VC102&lt;&gt;$BC$7,0,INDEX(VA102:VZ102,1,MATCH(Structure!$D$12,$VA$14:$VZ$14,0))),IF(VC102&lt;&gt;$BC$7,0,INDEX(VA102:VZ102,1,MATCH(Structure!$D$12,$VA$14:$VZ$14,0)))))</f>
        <v/>
      </c>
      <c r="BH102" s="239" t="str">
        <f>IF(A102=FALSE,"",IF(ALLTHESAME=TRUE,IF(WC102&lt;&gt;$BC$7,0,INDEX(WA102:WY102,1,MATCH(Structure!$D$12,$WA$14:$WZ$14,0))),IF(WC102&lt;&gt;$BC$7,0,INDEX(WA102:WZ102,1,MATCH(Structure!$D$12,$WA$14:$WZ$14,0)))))</f>
        <v/>
      </c>
      <c r="BI102" s="763" t="str">
        <f>IF(A102=FALSE,"",IF(ALLTHESAME=TRUE,IF(HC102&lt;&gt;$BC$7,0,INDEX(HA102:HZ102,1,MATCH(Structure!$D$12,$HA$14:$HZ$14,0)))+TK102,IF(IC102&lt;&gt;$BC$7,0,INDEX(IA102:IZ102,1,MATCH(Structure!$D$12,$IA$14:$IZ$14,0)))+TK102))</f>
        <v/>
      </c>
      <c r="BJ102" s="239" t="str">
        <f>IF(A102=FALSE,"",IF(ALLTHESAME=TRUE,IF(JC102&lt;&gt;$BC$7,0,INDEX(JA102:JZ102,1,MATCH(Structure!$D$12,$JA$14:$JZ$14,0))),IF(KC102&lt;&gt;$BC$7,0,INDEX(KA102:KZ102,1,MATCH(Structure!$D$12,$KA$14:$KZ$14,0)))))</f>
        <v/>
      </c>
      <c r="BK102" s="763" t="str">
        <f>IF(A102=FALSE,"",IF(ALLTHESAME=TRUE,IF(LC102&lt;&gt;$BC$7,0,INDEX(LA102:LZ102,1,MATCH(Structure!$D$12,$LA$14:$LZ$14,0)))+UK102,IF(MC102&lt;&gt;$BC$7,0,INDEX(MA102:MZ102,1,MATCH(Structure!$D$12,$MA$14:$MZ$14,0)))+UK102))</f>
        <v/>
      </c>
      <c r="BL102" s="239" t="str">
        <f>IF(A102=FALSE,"",IF(ALLTHESAME=TRUE,IF(NC102&lt;&gt;$BC$7,0,INDEX(NA102:NZ102,1,MATCH(Structure!$D$12,$NA$14:$NZ$14,0))),IF(OC102&lt;&gt;$BC$7,0,INDEX(OA102:OZ102,1,MATCH(Structure!$D$12,$OA$14:$OZ$14,0)))))</f>
        <v/>
      </c>
      <c r="BM102" s="239" t="str">
        <f>IF(A102=FALSE,"",IF(ALLTHESAME=TRUE,IF(PC102&lt;&gt;$BC$7,0,INDEX(PA102:PZ102,1,MATCH(Structure!$D$12,$PA$14:$PZ$14,0))),IF(QC102&lt;&gt;$BC$7,0,INDEX(QA102:QZ102,1,MATCH(Structure!$D$12,$QA$14:$QZ$14,0)))))</f>
        <v/>
      </c>
      <c r="BN102" s="341" t="str">
        <f>IF(A102=FALSE,"",IF(ALLTHESAME=TRUE,IF(RC102&lt;&gt;$BC$7,0,INDEX(RA102:RZ102,1,MATCH(Structure!$D$12,$RA$14:$RZ$14,0))),IF(SC102&lt;&gt;$BC$7,0,INDEX(SA102:TA102,1,MATCH(Structure!$D$12,$SA$14:$TA$14,0)))))</f>
        <v/>
      </c>
      <c r="BO102" s="507" t="str">
        <f t="shared" si="647"/>
        <v/>
      </c>
      <c r="BP102" s="239" t="str">
        <f t="shared" si="648"/>
        <v/>
      </c>
      <c r="BQ102" s="239" t="str">
        <f>IF(A102=FALSE,"",IF(ALLTHESAME=TRUE,IF(DF102&lt;&gt;$BO$7,0,INDEX(DD102:DZ102,1,MATCH(Structure!$D$12,$DD$14:$DZ$14,0))),IF(EC102&lt;&gt;$BO$7,0,INDEX(EA102:EZ102,1,MATCH(Structure!$D$12,$EA$14:$EZ$14,0)))))</f>
        <v/>
      </c>
      <c r="BR102" s="239" t="str">
        <f>IF(A102=FALSE,"",IF(ALLTHESAME=TRUE,IF(FC102&lt;&gt;$BO$7,0,INDEX(FA102:FZ102,1,MATCH(Structure!$D$12,$FA$14:$FZ$14,0))),IF(GC102&lt;&gt;$BO$7,0,INDEX(GA102:GZ102,1,MATCH(Structure!$D$12,$GA$14:$GZ$14,0)))))</f>
        <v/>
      </c>
      <c r="BS102" s="239" t="str">
        <f>IF(A102=FALSE,"",IF(ALLTHESAME=TRUE,IF(HC102&lt;&gt;$BO$7,0,INDEX(HA102:HZ102,1,MATCH(Structure!$D$12,$HA$14:$HZ$14,0))),IF(IC102&lt;&gt;$BO$7,0,INDEX(IA102:IZ102,1,MATCH(Structure!$D$12,$IA$14:$IZ$14,0)))))</f>
        <v/>
      </c>
      <c r="BT102" s="239" t="str">
        <f>IF(A102=FALSE,"",IF(ALLTHESAME=TRUE,IF(JC102&lt;&gt;$BO$7,0,INDEX(JA102:JZ102,1,MATCH(Structure!$D$12,$JA$14:$JZ$14,0))),IF(KC102&lt;&gt;$BO$7,0,INDEX(KA102:KZ102,1,MATCH(Structure!$D$12,$KA$14:$KZ$14,0)))))</f>
        <v/>
      </c>
      <c r="BU102" s="239" t="str">
        <f>IF(A102=FALSE,"",IF(ALLTHESAME=TRUE,IF(LC102&lt;&gt;$BO$7,0,INDEX(LA102:LZ102,1,MATCH(Structure!$D$12,$LA$14:$LZ$14,0))),IF(MC102&lt;&gt;$BO$7,0,INDEX(MA102:MZ102,1,MATCH(Structure!$D$12,$MA$14:$MZ$14,0)))))</f>
        <v/>
      </c>
      <c r="BV102" s="239" t="str">
        <f>IF(A102=FALSE,"",IF(ALLTHESAME=TRUE,IF(NC102&lt;&gt;$BO$7,0,INDEX(NA102:NZ102,1,MATCH(Structure!$D$12,$NA$14:$NZ$14,0))),IF(OC102&lt;&gt;$BO$7,0,INDEX(OA102:OZ102,1,MATCH(Structure!$D$12,$OA$14:$OZ$14,0)))))</f>
        <v/>
      </c>
      <c r="BW102" s="239" t="str">
        <f>IF(A102=FALSE,"",IF(ALLTHESAME=TRUE,IF(PC102&lt;&gt;$BO$7,0,INDEX(PA102:PZ102,1,MATCH(Structure!$D$12,$PA$14:$PZ$14,0))),IF(QC102&lt;&gt;$BO$7,0,INDEX(QA102:QZ102,1,MATCH(Structure!$D$12,$QA$14:$QZ$14,0)))))</f>
        <v/>
      </c>
      <c r="BX102" s="341" t="str">
        <f>IF(A102=FALSE,"",IF(ALLTHESAME=TRUE,IF(RC102&lt;&gt;$BO$7,0,INDEX(RA102:RZ102,1,MATCH(Structure!$D$12,$RA$14:$RZ$14,0))),IF(SC102&lt;&gt;$BO$7,0,INDEX(SA102:TA102,1,MATCH(Structure!$D$12,$SA$14:$TA$14,0)))))</f>
        <v/>
      </c>
      <c r="BY102" s="347" t="str">
        <f t="shared" si="649"/>
        <v/>
      </c>
      <c r="BZ102" s="507" t="str">
        <f t="shared" si="650"/>
        <v/>
      </c>
      <c r="CA102" s="239" t="str">
        <f t="shared" si="651"/>
        <v/>
      </c>
      <c r="CB102" s="239" t="str">
        <f>IF(A102=FALSE,"",IF(ALLTHESAME=TRUE,INDEX(DD102:DZ102,MATCH(DF102,DF102:DF207,0),MATCH(Structure!$D$17,$DD$14:$DZ$14,0)),INDEX(EA102:EZ102,MATCH(EC102,EC102:EC207,0),MATCH(Structure!$D$17,$EA$14:$EZ$14,0))))</f>
        <v/>
      </c>
      <c r="CC102" s="239" t="str">
        <f>IF(A102=FALSE,"",IF(ALLTHESAME=TRUE,INDEX(FA102:FZ102,MATCH(FC102,FC102:FC207,0),MATCH(Structure!$D$17,$FA$14:$FZ$14,0)),INDEX(GA102:GZ102,MATCH(GC102,GC102:GC207,0),MATCH(Structure!$D$17,$GA$14:$GZ$14,0))))</f>
        <v/>
      </c>
      <c r="CD102" s="239" t="str">
        <f>IF(A102=FALSE,"",IF(ALLTHESAME=TRUE,INDEX(HA102:HZ102,MATCH(HC102,HC102:HC207,0),MATCH(Structure!$D$17,$HA$14:$HZ$14,0)),INDEX(IA102:IZ102,MATCH(IC102,IC102:IC207,0),MATCH(Structure!$D$17,$IA$14:$IZ$14,0))))</f>
        <v/>
      </c>
      <c r="CE102" s="239" t="str">
        <f>IF(A102=FALSE,"",IF(ALLTHESAME=TRUE,INDEX(JA102:JZ102,MATCH(JC102,JC102:JC207,0),MATCH(Structure!$D$17,$JA$14:$JZ$14,0)),INDEX(KA102:KZ102,MATCH(KC102,KC102:KC207,0),MATCH(Structure!$D$17,$KA$14:$KZ$14,0))))</f>
        <v/>
      </c>
      <c r="CF102" s="239" t="str">
        <f>IF(A102=FALSE,"",IF(ALLTHESAME=TRUE,INDEX(LA102:LZ102,MATCH(LC102,LC102:LC207,0),MATCH(Structure!$D$17,$LA$14:$LZ$14,0)),INDEX(MA102:MZ102,MATCH(MC102,MC102:MC207,0),MATCH(Structure!$D$17,$MA$14:$MZ$14,0))))</f>
        <v/>
      </c>
      <c r="CG102" s="239" t="str">
        <f>IF(A102=FALSE,"",IF(ALLTHESAME=TRUE,INDEX(NA102:NZ102,MATCH(NC102,NC102:NC207,0),MATCH(Structure!$D$17,$NA$14:$NZ$14,0)),INDEX(OA102:OZ102,MATCH(OC102,OC102:OC207,0),MATCH(Structure!$D$17,$OA$14:$OZ$14,0))))</f>
        <v/>
      </c>
      <c r="CH102" s="239" t="str">
        <f>IF(A102=FALSE,"",IF(ALLTHESAME=TRUE,INDEX(PA102:PZ102,MATCH(PC102,PC102:PC207,0),MATCH(Structure!$D$17,$PA$14:$PZ$14,0)),INDEX(QA102:QZ102,MATCH(QC102,QC102:QC207,0),MATCH(Structure!$D$17,$QA$14:$QZ$14,0))))</f>
        <v/>
      </c>
      <c r="CI102" s="341" t="str">
        <f>IF(A102=FALSE,"",IF(ALLTHESAME=TRUE,INDEX(RA102:RZ102,MATCH(RC102,RC102:RC207,0),MATCH(Structure!$D$17,$RA$14:$RZ$14,0)),INDEX(SA102:TC102,MATCH(SC102,SC102:SC207,0),MATCH(Structure!$D$17,$SA$14:$TC$14,0))))</f>
        <v/>
      </c>
      <c r="CJ102" s="347"/>
      <c r="CK102" s="239" t="str">
        <f t="shared" si="652"/>
        <v/>
      </c>
      <c r="CL102" s="239" t="str">
        <f>IF(A102=FALSE,"",IF(ALLTHESAME=TRUE,INDEX(DD102:DZ102,MATCH(DF102,DF102:DF207,0),MATCH(Structure!$D$22,$DD$14:$DZ$14,0)),INDEX(EA102:EZ102,MATCH(EC102,EC102:EC207,0),MATCH(Structure!$D$22,$EA$14:$EZ$14,0))))</f>
        <v/>
      </c>
      <c r="CM102" s="239" t="str">
        <f>IF(A102=FALSE,"",IF(ALLTHESAME=TRUE,INDEX(FA102:FZ102,MATCH(FC102,FC102:FC207,0),MATCH(Structure!$D$22,$FA$14:$FZ$14,0)),INDEX(GA102:GZ102,MATCH(GC102,GC102:GC207,0),MATCH(Structure!$D$22,$GA$14:$GZ$14,0))))</f>
        <v/>
      </c>
      <c r="CN102" s="239" t="str">
        <f>IF(A102=FALSE,"",IF(ALLTHESAME=TRUE,INDEX(HA102:HZ102,MATCH(HC102,HC102:HC207,0),MATCH(Structure!$D$22,$HA$14:$HZ$14,0)),INDEX(IA102:IZ102,MATCH(IC102,IC102:IC207,0),MATCH(Structure!$D$22,$IA$14:$IZ$14,0))))</f>
        <v/>
      </c>
      <c r="CO102" s="239" t="str">
        <f>IF(A102=FALSE,"",IF(ALLTHESAME=TRUE,INDEX(JA102:JZ102,MATCH(JC102,JC102:JC207,0),MATCH(Structure!$D$22,$JA$14:$JZ$14,0)),INDEX(KA102:KZ102,MATCH(KC102,KC102:KC207,0),MATCH(Structure!$D$22,$KA$14:$KZ$14,0))))</f>
        <v/>
      </c>
      <c r="CP102" s="239" t="str">
        <f>IF(A102=FALSE,"",IF(ALLTHESAME=TRUE,INDEX(LA102:LZ102,MATCH(LC102,LC102:LC207,0),MATCH(Structure!$D$22,$LA$14:$LZ$14,0)),INDEX(MA102:MZ102,MATCH(MC102,MC102:MC207,0),MATCH(Structure!$D$22,$MA$14:$MZ$14,0))))</f>
        <v/>
      </c>
      <c r="CQ102" s="239" t="str">
        <f>IF(A102=FALSE,"",IF(ALLTHESAME=TRUE,INDEX(NA102:NZ102,MATCH(NC102,NC102:NC207,0),MATCH(Structure!$D$22,$NA$14:$NZ$14,0)),INDEX(OA102:OZ102,MATCH(OC102,OC102:OC207,0),MATCH(Structure!$D$22,$OA$14:$OZ$14,0))))</f>
        <v/>
      </c>
      <c r="CR102" s="239" t="str">
        <f>IF(A102=FALSE,"",IF(ALLTHESAME=TRUE,INDEX(PA102:PZ102,MATCH(PC102,PC102:PC207,0),MATCH(Structure!$D$22,$PA$14:$PZ$14,0)),INDEX(QA102:QZ102,MATCH(QC102,QC102:QC207,0),MATCH(Structure!$D$22,$QA$14:$QZ$14,0))))</f>
        <v/>
      </c>
      <c r="CS102" s="341" t="str">
        <f>IF(A102=FALSE,"",IF(ALLTHESAME=TRUE,INDEX(RA102:RZ102,MATCH(RC102,RC102:RC207,0),MATCH(Structure!$D$22,$RA$14:$RZ$14,0)),INDEX(SA102:TC102,MATCH(SC102,SC102:SC207,0),MATCH(Structure!$D$22,$SA$14:$TC$14,0))))</f>
        <v/>
      </c>
      <c r="CT102" s="347"/>
      <c r="CU102" s="239" t="str">
        <f t="shared" si="653"/>
        <v/>
      </c>
      <c r="CV102" s="239" t="str">
        <f>IF(A102=FALSE,"",IF(ALLTHESAME=TRUE,INDEX(DD102:DZ102,MATCH(DF102,DF102:DF207,0),MATCH(Structure!$D$8,$DD$14:$DZ$14,0)),INDEX(EA102:EZ102,MATCH(EC102,EC102:EC207,0),MATCH(Structure!$D$8,$EA$14:$EZ$14,0))))</f>
        <v/>
      </c>
      <c r="CW102" s="239" t="str">
        <f>IF(A102=FALSE,"",IF(ALLTHESAME=TRUE,INDEX(FA102:FZ102,MATCH(FC102,FC102:FC207,0),MATCH(Structure!$D$8,$FA$14:$FZ$14,0)),INDEX(GA102:GZ102,MATCH(GC102,GC102:GC207,0),MATCH(Structure!$D$8,$GA$14:$GZ$14,0))))</f>
        <v/>
      </c>
      <c r="CX102" s="239" t="str">
        <f>IF(A102=FALSE,"",IF(ALLTHESAME=TRUE,INDEX(HA102:HZ102,MATCH(HC102,HC102:HC207,0),MATCH(Structure!$D$8,$HA$14:$HZ$14,0)),INDEX(IA102:IZ102,MATCH(IC102,IC102:IC207,0),MATCH(Structure!$D$8,$IA$14:$IZ$14,0))))</f>
        <v/>
      </c>
      <c r="CY102" s="239" t="str">
        <f>IF(A102=FALSE,"",IF(ALLTHESAME=TRUE,INDEX(JA102:JZ102,MATCH(JC102,JC102:JC207,0),MATCH(Structure!$D$8,$JA$14:$JZ$14,0)),INDEX(KA102:KZ102,MATCH(KC102,KC102:KC207,0),MATCH(Structure!$D$8,$KA$14:$KZ$14,0))))</f>
        <v/>
      </c>
      <c r="CZ102" s="239" t="str">
        <f>IF(A102=FALSE,"",IF(ALLTHESAME=TRUE,INDEX(LA102:LZ102,MATCH(LC102,LC102:LC207,0),MATCH(Structure!$D$8,$LA$14:$LZ$14,0)),INDEX(MA102:MZ102,MATCH(MC102,MC102:MC207,0),MATCH(Structure!$D$8,$MA$14:$MZ$14,0))))</f>
        <v/>
      </c>
      <c r="DA102" s="239" t="str">
        <f>IF(A102=FALSE,"",IF(ALLTHESAME=TRUE,INDEX(NA102:NZ102,MATCH(NC102,NC102:NC207,0),MATCH(Structure!$D$8,$NA$14:$NZ$14,0)),INDEX(OA102:OZ102,MATCH(OC102,OC102:OC207,0),MATCH(Structure!$D$8,$OA$14:$OZ$14,0))))</f>
        <v/>
      </c>
      <c r="DB102" s="239" t="str">
        <f>IF(A102=FALSE,"",IF(ALLTHESAME=TRUE,INDEX(PA102:PZ102,MATCH(PC102,PC102:PC207,0),MATCH(Structure!$D$8,$PA$14:$PZ$14,0)),INDEX(QA102:QZ102,MATCH(QC102,QC102:QC207,0),MATCH(Structure!$D$8,$QA$14:$QZ$14,0))))</f>
        <v/>
      </c>
      <c r="DC102" s="341" t="str">
        <f>IF(A102=FALSE,"",IF(ALLTHESAME=TRUE,INDEX(RA102:RZ102,MATCH(RC102,RC102:RC207,0),MATCH(Structure!$D$8,$RA$14:$RZ$14,0)),INDEX(SA102:TC102,MATCH(SC102,SC102:SC207,0),MATCH(Structure!$D$8,$SA$14:$TC$14,0))))</f>
        <v/>
      </c>
      <c r="DD102" s="492" t="str">
        <f>IF(A102=FALSE,"",Cotations!D102)</f>
        <v/>
      </c>
      <c r="DE102" s="492" t="str">
        <f>IF(A102=FALSE,"",IF(LISTES!$A$17=1,Cotations!AF102,Cotations!$AG$4))</f>
        <v/>
      </c>
      <c r="DF102" s="291" t="str">
        <f t="shared" si="654"/>
        <v/>
      </c>
      <c r="DG102" s="291" t="str">
        <f t="shared" si="655"/>
        <v/>
      </c>
      <c r="DH102" s="291"/>
      <c r="DI102" s="463"/>
      <c r="DJ102" s="463" t="str">
        <f t="shared" si="656"/>
        <v/>
      </c>
      <c r="DK102" s="522" t="str">
        <f>IF(A102=FALSE,"",IF(Cotations!$AH$4="monthly",DJ102/12*L102,DJ102/365*M102))</f>
        <v/>
      </c>
      <c r="DL102" s="489" t="str">
        <f>IF(A102=FALSE,"",Cotations!$AI$4)</f>
        <v/>
      </c>
      <c r="DM102" s="300" t="str">
        <f t="shared" si="657"/>
        <v/>
      </c>
      <c r="DN102" s="300" t="str">
        <f t="shared" si="658"/>
        <v/>
      </c>
      <c r="DO102" s="294" t="str">
        <f t="shared" si="659"/>
        <v/>
      </c>
      <c r="DP102" s="494" t="str">
        <f>IF(A102=FALSE,"",Cotations!$AJ$4)</f>
        <v/>
      </c>
      <c r="DQ102" s="494" t="str">
        <f>IF(A102=FALSE,"",Cotations!$AK$4)</f>
        <v/>
      </c>
      <c r="DR102" s="489" t="str">
        <f>IF(A102=FALSE,"",Cotations!$AL$4)</f>
        <v/>
      </c>
      <c r="DS102" s="494" t="str">
        <f>IF(A102=FALSE,"",IF(DP102="N/A",0,IF(INDEX(LISTES!$F$105:$F$109,MATCH(DP102,LISTES!$C$105:$C$109,0))="FIX",IF(INDEX(LISTES!$E$105:$E$109,MATCH(DP102,LISTES!$C$105:$C$109,0))=12,DQ102/12*L102,DQ102/365*M102),DR102*DO102)))</f>
        <v/>
      </c>
      <c r="DT102" s="294" t="str">
        <f t="shared" si="660"/>
        <v/>
      </c>
      <c r="DU102" s="294" t="str">
        <f>IF(A102=FALSE,"",DT102*Cotations!$AM$4)</f>
        <v/>
      </c>
      <c r="DV102" s="294" t="str">
        <f>IF(A102=FALSE,"",DT102*Cotations!$AN$4)</f>
        <v/>
      </c>
      <c r="DW102" s="465" t="str">
        <f t="shared" si="661"/>
        <v/>
      </c>
      <c r="DX102" s="919" t="str">
        <f>IF(A102=FALSE,"",((DJ102*TAXE)-(DJ102*TAXE*DL102))+IF(DP102="N/A",0,IF(INDEX(LISTES!$F$105:$F$109,MATCH(DP102,LISTES!$C$105:$C$109,0))="FIX",DQ102,DR102*DO102)))</f>
        <v/>
      </c>
      <c r="DY102" s="466"/>
      <c r="DZ102" s="466"/>
      <c r="EA102" s="492" t="str">
        <f>IF(A102=FALSE,"",Cotations!D102)</f>
        <v/>
      </c>
      <c r="EB102" s="494" t="str">
        <f>IF(A102=FALSE,"",IF(LISTES!$A$17=1,Cotations!AF102,Cotations!AG102))</f>
        <v/>
      </c>
      <c r="EC102" s="284" t="str">
        <f t="shared" si="662"/>
        <v/>
      </c>
      <c r="ED102" s="284" t="str">
        <f t="shared" si="663"/>
        <v/>
      </c>
      <c r="EE102" s="284"/>
      <c r="EF102" s="284"/>
      <c r="EG102" s="284" t="str">
        <f t="shared" si="664"/>
        <v/>
      </c>
      <c r="EH102" s="1365" t="str">
        <f t="shared" si="665"/>
        <v/>
      </c>
      <c r="EI102" s="1365" t="str">
        <f t="shared" si="666"/>
        <v/>
      </c>
      <c r="EJ102" s="515" t="str">
        <f>IF(A102=FALSE,"",IF(Cotations!AH102="monthly",EG102/12*L102,EG102/365*M102))</f>
        <v/>
      </c>
      <c r="EK102" s="1364" t="str">
        <f>IF(A102=FALSE,"",IF(Cotations!AH102="monthly",EI102/12*L102,EI102/365*M102))</f>
        <v/>
      </c>
      <c r="EL102" s="493" t="str">
        <f>IF(A102=FALSE,"",IF(Cotations!AI102="","",Cotations!AI102))</f>
        <v/>
      </c>
      <c r="EM102" s="284" t="str">
        <f t="shared" si="667"/>
        <v/>
      </c>
      <c r="EN102" s="284" t="str">
        <f t="shared" si="668"/>
        <v/>
      </c>
      <c r="EO102" s="1365" t="str">
        <f t="shared" si="840"/>
        <v/>
      </c>
      <c r="EP102" s="284" t="str">
        <f t="shared" si="669"/>
        <v/>
      </c>
      <c r="EQ102" s="515" t="str">
        <f>IF(A102=FALSE,"",Cotations!AJ102)</f>
        <v/>
      </c>
      <c r="ER102" s="515" t="str">
        <f>IF(A102=FALSE,"",IF(Cotations!AK102="","",Cotations!AK102))</f>
        <v/>
      </c>
      <c r="ES102" s="493" t="str">
        <f>IF(A102=FALSE,"",Cotations!AL102)</f>
        <v/>
      </c>
      <c r="ET102" s="515" t="str">
        <f>IF(A102=FALSE,"",IF(EQ102="N/A",0,IF(INDEX(LISTES!$F$105:$F$109,MATCH(EQ102,LISTES!$C$105:$C$109,0))="FIX",IF(INDEX(LISTES!$E$105:$E$109,MATCH(EQ102,LISTES!$C$105:$C$109,0))=12,ER102/12*L102,ER102/365*M102),ES102*EP102)))</f>
        <v/>
      </c>
      <c r="EU102" s="294" t="str">
        <f t="shared" si="670"/>
        <v/>
      </c>
      <c r="EV102" s="494" t="str">
        <f>IF(A102=FALSE,"",EU102*Cotations!AM102)</f>
        <v/>
      </c>
      <c r="EW102" s="494" t="str">
        <f>IF(A102=FALSE,"",EU102*Cotations!AN102)</f>
        <v/>
      </c>
      <c r="EX102" s="334" t="str">
        <f t="shared" si="671"/>
        <v/>
      </c>
      <c r="EY102" s="919" t="str">
        <f>IF(A102=FALSE,"",((EG102*TAXE)-(EG102*TAXE*EL102)+EH102)+IF(EQ102="N/A",0,IF(INDEX(LISTES!$F$105:$F$109,MATCH(EQ102,LISTES!$C$105:$C$109,0))="FIX",ER102,ES102*EP102)))</f>
        <v/>
      </c>
      <c r="FA102" s="492" t="str">
        <f>IF(A102=FALSE,"",Cotations!D102)</f>
        <v/>
      </c>
      <c r="FB102" s="519" t="str">
        <f>IF(A102=FALSE,"",IF(LISTES!$A$17=1,Cotations!AO102,Cotations!$AP$4))</f>
        <v/>
      </c>
      <c r="FC102" s="291" t="str">
        <f t="shared" si="672"/>
        <v/>
      </c>
      <c r="FD102" s="291" t="str">
        <f t="shared" si="673"/>
        <v/>
      </c>
      <c r="FE102" s="291"/>
      <c r="FF102" s="463"/>
      <c r="FG102" s="463" t="str">
        <f t="shared" si="674"/>
        <v/>
      </c>
      <c r="FH102" s="522" t="str">
        <f>IF(A102=FALSE,"",IF(Cotations!$AQ$4="monthly",FG102/12*L102,FG102/365*M102))</f>
        <v/>
      </c>
      <c r="FI102" s="453" t="str">
        <f>IF(A102=FALSE,"",Cotations!$AR$4)</f>
        <v/>
      </c>
      <c r="FJ102" s="300" t="str">
        <f t="shared" si="675"/>
        <v/>
      </c>
      <c r="FK102" s="300" t="str">
        <f t="shared" si="676"/>
        <v/>
      </c>
      <c r="FL102" s="294" t="str">
        <f t="shared" si="677"/>
        <v/>
      </c>
      <c r="FM102" s="494" t="str">
        <f>IF(A102=FALSE,"",Cotations!$AS$4)</f>
        <v/>
      </c>
      <c r="FN102" s="494" t="str">
        <f>IF(A102=FALSE,"",Cotations!$AT$4)</f>
        <v/>
      </c>
      <c r="FO102" s="489" t="str">
        <f>IF(A102=FALSE,"",Cotations!$AU$4)</f>
        <v/>
      </c>
      <c r="FP102" s="494" t="str">
        <f>IF(A102=FALSE,"",IF(FM102="N/A",0,IF(INDEX(LISTES!$F$105:$F$109,MATCH(FM102,LISTES!$C$105:$C$109,0))="FIX",IF(INDEX(LISTES!$E$105:$E$109,MATCH(FM102,LISTES!$C$105:$C$109,0))=12,FN102/12*L102,FN102/365*M102),FO102*FL102)))</f>
        <v/>
      </c>
      <c r="FQ102" s="294" t="str">
        <f t="shared" si="678"/>
        <v/>
      </c>
      <c r="FR102" s="494" t="str">
        <f>IF(A102=FALSE,"",FQ102*Cotations!$AV$4)</f>
        <v/>
      </c>
      <c r="FS102" s="494" t="str">
        <f>IF(A102=FALSE,"",FQ102*Cotations!$AW$4)</f>
        <v/>
      </c>
      <c r="FT102" s="465" t="str">
        <f t="shared" si="679"/>
        <v/>
      </c>
      <c r="FU102" s="919" t="str">
        <f>IF(A102=FALSE,"",((FG102*TAXE)-(FG102*TAXE*FI102))+IF(FM102="N/A",0,IF(INDEX(LISTES!$F$105:$F$109,MATCH(FM102,LISTES!$C$105:$C$109,0))="FIX",FN102,FO102*FL102)))</f>
        <v/>
      </c>
      <c r="FV102" s="478"/>
      <c r="FW102" s="478"/>
      <c r="FX102" s="478"/>
      <c r="FY102" s="478"/>
      <c r="FZ102" s="478"/>
      <c r="GA102" s="492" t="str">
        <f>IF(A102=FALSE,"",Cotations!D102)</f>
        <v/>
      </c>
      <c r="GB102" s="494" t="str">
        <f>IF(A102=FALSE,"",IF(LISTES!$A$17=1,Cotations!AO102,Cotations!AP102))</f>
        <v/>
      </c>
      <c r="GC102" s="284" t="str">
        <f t="shared" si="680"/>
        <v/>
      </c>
      <c r="GD102" s="515" t="str">
        <f>IF(A102=FALSE,"",IF(Detail!AM102="","",Detail!AM102))</f>
        <v/>
      </c>
      <c r="GE102" s="284"/>
      <c r="GF102" s="284"/>
      <c r="GG102" s="284" t="str">
        <f t="shared" si="681"/>
        <v/>
      </c>
      <c r="GH102" s="515" t="str">
        <f>IF(A102=FALSE,"",IF(Cotations!AQ102="monthly",GG102/12*L102,GG102/365*M102))</f>
        <v/>
      </c>
      <c r="GI102" s="493" t="str">
        <f>IF(A102=FALSE,"",IF(Cotations!AR102="","",Cotations!AR102))</f>
        <v/>
      </c>
      <c r="GJ102" s="284" t="str">
        <f t="shared" si="682"/>
        <v/>
      </c>
      <c r="GK102" s="284" t="str">
        <f t="shared" si="683"/>
        <v/>
      </c>
      <c r="GL102" s="284" t="str">
        <f t="shared" si="684"/>
        <v/>
      </c>
      <c r="GM102" s="515" t="str">
        <f>IF(A102=FALSE,"",Cotations!AS102)</f>
        <v/>
      </c>
      <c r="GN102" s="515" t="str">
        <f>IF(A102=FALSE,"",Cotations!AT102)</f>
        <v/>
      </c>
      <c r="GO102" s="493" t="str">
        <f>IF(A102=FALSE,"",Cotations!AU102)</f>
        <v/>
      </c>
      <c r="GP102" s="515" t="str">
        <f>IF(A102=FALSE,"",IF(GM102="N/A",0,IF(INDEX(LISTES!$F$105:$F$109,MATCH(GM102,LISTES!$C$105:$C$109,0))="FIX",IF(INDEX(LISTES!$E$105:$E$109,MATCH(GM102,LISTES!$C$105:$C$109,0))=12,GN102/12*L102,GN102/365*M102),GO102*GL102)))</f>
        <v/>
      </c>
      <c r="GQ102" s="294" t="str">
        <f t="shared" si="685"/>
        <v/>
      </c>
      <c r="GR102" s="494" t="str">
        <f>IF(A102=FALSE,"",GQ102*Cotations!AV102)</f>
        <v/>
      </c>
      <c r="GS102" s="494" t="str">
        <f>IF(A102=FALSE,"",GQ102*Cotations!AW102)</f>
        <v/>
      </c>
      <c r="GT102" s="334" t="str">
        <f t="shared" si="686"/>
        <v/>
      </c>
      <c r="GU102" s="919" t="str">
        <f>IF(A102=FALSE,"",((GG102*TAXE)-(GG102*TAXE*GI102))+IF(GM102="N/A",0,IF(INDEX(LISTES!$F$105:$F$109,MATCH(GM102,LISTES!$C$105:$C$109,0))="FIX",GN102,GO102*GL102)))</f>
        <v/>
      </c>
      <c r="GV102" s="478"/>
      <c r="GW102" s="466"/>
      <c r="GX102" s="466"/>
      <c r="GY102" s="466"/>
      <c r="GZ102" s="466"/>
      <c r="HA102" s="492" t="str">
        <f>IF(A102=FALSE,"",Cotations!D102)</f>
        <v/>
      </c>
      <c r="HB102" s="495" t="str">
        <f>IF(A102=FALSE,"",IF(LISTES!$A$17=1,Cotations!AX102,Cotations!$AY$4))</f>
        <v/>
      </c>
      <c r="HC102" s="291" t="str">
        <f t="shared" si="687"/>
        <v/>
      </c>
      <c r="HD102" s="291" t="str">
        <f t="shared" si="688"/>
        <v/>
      </c>
      <c r="HE102" s="456" t="str">
        <f t="shared" si="689"/>
        <v/>
      </c>
      <c r="HF102" s="496" t="str">
        <f>IF(A102=FALSE,"",IF(HA102="POEA",Cotations!BA102,IF(HA102="FIXE",Cotations!$BA$4,Cotations!$BC$4*Y102)))</f>
        <v/>
      </c>
      <c r="HG102" s="300" t="str">
        <f t="shared" si="690"/>
        <v/>
      </c>
      <c r="HH102" s="522" t="str">
        <f>IF(A102=FALSE,"",IF(Cotations!$AZ$4="monthly",HG102/12*L102,HG102/365*M102))</f>
        <v/>
      </c>
      <c r="HI102" s="489" t="str">
        <f>IF(A102=FALSE,"",Cotations!$BD$4)</f>
        <v/>
      </c>
      <c r="HJ102" s="300" t="str">
        <f t="shared" si="691"/>
        <v/>
      </c>
      <c r="HK102" s="300" t="str">
        <f t="shared" si="692"/>
        <v/>
      </c>
      <c r="HL102" s="294" t="str">
        <f t="shared" si="693"/>
        <v/>
      </c>
      <c r="HM102" s="494" t="str">
        <f>IF(A102=FALSE,"",Cotations!$BE$4)</f>
        <v/>
      </c>
      <c r="HN102" s="522" t="str">
        <f>IF(A102=FALSE,"",Cotations!$BF$4)</f>
        <v/>
      </c>
      <c r="HO102" s="489" t="str">
        <f>IF(A102=FALSE,"",Cotations!$BG$4)</f>
        <v/>
      </c>
      <c r="HP102" s="494" t="str">
        <f>IF(A102=FALSE,"",IF(HM102="N/A",0,IF(INDEX(LISTES!$F$105:$F$109,MATCH(HM102,LISTES!$C$105:$C$109,0))="FIX",IF(INDEX(LISTES!$E$105:$E$109,MATCH(HM102,LISTES!$C$105:$C$109,0))=12,HN102/12*L102,HN102/365*M102),HO102*HL102)))</f>
        <v/>
      </c>
      <c r="HQ102" s="294" t="str">
        <f t="shared" si="694"/>
        <v/>
      </c>
      <c r="HR102" s="494" t="str">
        <f>IF(A102=FALSE,"",HQ102*Cotations!$BH$4)</f>
        <v/>
      </c>
      <c r="HS102" s="494" t="str">
        <f>IF(A102=FALSE,"",HQ102*Cotations!$BI$4)</f>
        <v/>
      </c>
      <c r="HT102" s="294" t="str">
        <f t="shared" si="695"/>
        <v/>
      </c>
      <c r="HU102" s="919" t="str">
        <f>IF(A102=FALSE,"",((HG102*TAXE)-(HG102*TAXE*HI102))+IF(HM102="N/A",0,IF(INDEX(LISTES!$F$105:$F$109,MATCH(HM102,LISTES!$C$105:$C$109,0))="FIX",HN102,HO102*HL102)))</f>
        <v/>
      </c>
      <c r="IA102" s="492" t="str">
        <f>IF(A102=FALSE,"",Cotations!D102)</f>
        <v/>
      </c>
      <c r="IB102" s="491" t="str">
        <f>IF(A102=FALSE,"",IF(LISTES!$A$17=1,Cotations!AX102,Cotations!AY102))</f>
        <v/>
      </c>
      <c r="IC102" s="285" t="str">
        <f t="shared" si="696"/>
        <v/>
      </c>
      <c r="ID102" s="300" t="str">
        <f>IF(A102=FALSE,"",IF(LISTES!$A$17=3,Detail!AU102,lig1_Formula_PREVOY))</f>
        <v/>
      </c>
      <c r="IE102" s="461" t="str">
        <f t="shared" si="697"/>
        <v/>
      </c>
      <c r="IF102" s="490" t="str">
        <f>IF(A102=FALSE,"",IF(IA102="POEA",Cotations!BA102,IF(HA102="FIXE",Cotations!BB102,IF(Cotations!BC102*Y102&lt;50000,Z102,Cotations!BC102*Y102))))</f>
        <v/>
      </c>
      <c r="IG102" s="300" t="str">
        <f t="shared" si="698"/>
        <v/>
      </c>
      <c r="IH102" s="522" t="str">
        <f>IF(A102=FALSE,"",IF(Cotations!AZ102="monthly",IG102/12*L102,IG102/365*M102))</f>
        <v/>
      </c>
      <c r="II102" s="489" t="str">
        <f>IF(A102=FALSE,"",IF(Cotations!BD102="","",Cotations!BD102))</f>
        <v/>
      </c>
      <c r="IJ102" s="300" t="str">
        <f t="shared" si="699"/>
        <v/>
      </c>
      <c r="IK102" s="300" t="str">
        <f t="shared" si="700"/>
        <v/>
      </c>
      <c r="IL102" s="919" t="str">
        <f t="shared" si="701"/>
        <v/>
      </c>
      <c r="IM102" s="517" t="str">
        <f>IF(A102=FALSE,"",Cotations!BE102)</f>
        <v/>
      </c>
      <c r="IN102" s="517" t="str">
        <f>IF(A102=FALSE,"",Cotations!BF102)</f>
        <v/>
      </c>
      <c r="IO102" s="493" t="str">
        <f>IF(A102=FALSE,"",Cotations!BG102)</f>
        <v/>
      </c>
      <c r="IP102" s="517" t="str">
        <f>IF(A102=FALSE,"",IF(IM102="N/A",0,IF(INDEX(LISTES!$F$105:$F$109,MATCH(IM102,LISTES!$C$105:$C$109,0))="FIX",IF(INDEX(LISTES!$E$105:$E$109,MATCH(IM102,LISTES!$C$105:$C$109,0))=12,IN102/12*L102,IN102/365*M102),IO102*IL102)))</f>
        <v/>
      </c>
      <c r="IQ102" s="294" t="str">
        <f t="shared" si="702"/>
        <v/>
      </c>
      <c r="IR102" s="494" t="str">
        <f>IF(A102=FALSE,"",IQ102*Cotations!BH102)</f>
        <v/>
      </c>
      <c r="IS102" s="494" t="str">
        <f>IF(A102=FALSE,"",IQ102*Cotations!BI102)</f>
        <v/>
      </c>
      <c r="IT102" s="338" t="str">
        <f t="shared" si="703"/>
        <v/>
      </c>
      <c r="IU102" s="919" t="str">
        <f>IF(A102=FALSE,"",((IG102*TAXE)-(IG102*TAXE*II102))+IF(IM102="N/A",0,IF(INDEX(LISTES!$F$105:$F$109,MATCH(IM102,LISTES!$C$105:$C$109,0))="FIX",IN102,IO102*IL102)))</f>
        <v/>
      </c>
      <c r="JA102" s="492" t="str">
        <f>IF(A102=FALSE,"",Cotations!D102)</f>
        <v/>
      </c>
      <c r="JB102" s="495" t="str">
        <f>IF(A102=FALSE,"",IF(LISTES!$A$17=1,Cotations!BJ102,Cotations!$BK$4))</f>
        <v/>
      </c>
      <c r="JC102" s="291" t="str">
        <f t="shared" si="704"/>
        <v/>
      </c>
      <c r="JD102" s="291" t="str">
        <f t="shared" si="705"/>
        <v/>
      </c>
      <c r="JE102" s="456" t="str">
        <f t="shared" si="706"/>
        <v/>
      </c>
      <c r="JF102" s="496" t="str">
        <f>IF(A102=FALSE,"",IF(JA102="POEA",Cotations!BM102,IF(JA102="FIXE",Cotations!$BM$4,Cotations!$BO$4*Y102)))</f>
        <v/>
      </c>
      <c r="JG102" s="300" t="str">
        <f t="shared" si="707"/>
        <v/>
      </c>
      <c r="JH102" s="522" t="str">
        <f>IF(A102=FALSE,"",IF(Cotations!$BL$4="monthly",JG102/12*L102,JG102/365*M102))</f>
        <v/>
      </c>
      <c r="JI102" s="489" t="str">
        <f>IF(A102=FALSE,"",Cotations!$BP$4)</f>
        <v/>
      </c>
      <c r="JJ102" s="300" t="str">
        <f t="shared" si="708"/>
        <v/>
      </c>
      <c r="JK102" s="300" t="str">
        <f t="shared" si="709"/>
        <v/>
      </c>
      <c r="JL102" s="294" t="str">
        <f t="shared" si="710"/>
        <v/>
      </c>
      <c r="JM102" s="494" t="str">
        <f>IF(A102=FALSE,"",Cotations!$BQ$4)</f>
        <v/>
      </c>
      <c r="JN102" s="522" t="str">
        <f>IF(A102=FALSE,"",Cotations!$BR$4)</f>
        <v/>
      </c>
      <c r="JO102" s="489" t="str">
        <f>IF(A102=FALSE,"",Cotations!$BS$4)</f>
        <v/>
      </c>
      <c r="JP102" s="494" t="str">
        <f>IF(A102=FALSE,"",IF(JM102="N/A",0,IF(INDEX(LISTES!$F$105:$F$109,MATCH(JM102,LISTES!$C$105:$C$109,0))="FIX",IF(INDEX(LISTES!$E$105:$E$109,MATCH(JM102,LISTES!$C$105:$C$109,0))=12,JN102/12*L102,JN102/365*M102),JO102*JL102)))</f>
        <v/>
      </c>
      <c r="JQ102" s="294" t="str">
        <f t="shared" si="711"/>
        <v/>
      </c>
      <c r="JR102" s="494" t="str">
        <f>IF(A102=FALSE,"",JQ102*Cotations!$BT$4)</f>
        <v/>
      </c>
      <c r="JS102" s="494" t="str">
        <f>IF(A102=FALSE,"",JQ102*Cotations!$BU$4)</f>
        <v/>
      </c>
      <c r="JT102" s="294" t="str">
        <f t="shared" si="712"/>
        <v/>
      </c>
      <c r="JU102" s="919" t="str">
        <f>IF(A102=FALSE,"",((JG102*TAXE)-(JG102*TAXE*JI102))+IF(JM102="N/A",0,IF(INDEX(LISTES!$F$105:$F$109,MATCH(JM102,LISTES!$C$105:$C$109,0))="FIX",JN102,JO102*JL102)))</f>
        <v/>
      </c>
      <c r="KA102" s="492" t="str">
        <f>IF(A102=FALSE,"",Cotations!D102)</f>
        <v/>
      </c>
      <c r="KB102" s="491" t="str">
        <f>IF(A102=FALSE,"",IF(LISTES!$A$17=1,Cotations!BJ102,Cotations!BK102))</f>
        <v/>
      </c>
      <c r="KC102" s="285" t="str">
        <f t="shared" si="713"/>
        <v/>
      </c>
      <c r="KD102" s="300"/>
      <c r="KE102" s="461" t="str">
        <f t="shared" si="714"/>
        <v/>
      </c>
      <c r="KF102" s="490" t="str">
        <f>IF(A102=FALSE,"",IF(KA102="POEA",Cotations!BM102,IF(KA102="FIXE",Cotations!BN102,IF(Cotations!BO102*Y102&lt;50000,Z102,Cotations!BO102*Y102))))</f>
        <v/>
      </c>
      <c r="KG102" s="300" t="str">
        <f t="shared" si="715"/>
        <v/>
      </c>
      <c r="KH102" s="522" t="str">
        <f>IF(A102=FALSE,"",IF(Cotations!BL102="monthly",KG102/12*L102,KG102/365*M102))</f>
        <v/>
      </c>
      <c r="KI102" s="489" t="str">
        <f>IF(A102=FALSE,"",IF(Cotations!BP102="","",Cotations!BP102))</f>
        <v/>
      </c>
      <c r="KJ102" s="300" t="str">
        <f t="shared" si="716"/>
        <v/>
      </c>
      <c r="KK102" s="300" t="str">
        <f t="shared" si="717"/>
        <v/>
      </c>
      <c r="KL102" s="919" t="str">
        <f t="shared" si="718"/>
        <v/>
      </c>
      <c r="KM102" s="517" t="str">
        <f>IF(A102=FALSE,"",Cotations!BQ102)</f>
        <v/>
      </c>
      <c r="KN102" s="515" t="str">
        <f>IF(A102=FALSE,"",Cotations!BR102)</f>
        <v/>
      </c>
      <c r="KO102" s="493" t="str">
        <f>IF(A102=FALSE,"",Cotations!BS102)</f>
        <v/>
      </c>
      <c r="KP102" s="517" t="str">
        <f>IF(A102=FALSE,"",IF(KM102="N/A",0,IF(INDEX(LISTES!$F$105:$F$109,MATCH(KM102,LISTES!$C$105:$C$109,0))="FIX",IF(INDEX(LISTES!$E$105:$E$109,MATCH(KM102,LISTES!$C$105:$C$109,0))=12,KN102/12*L102,KN102/365*M102),KO102*KL102)))</f>
        <v/>
      </c>
      <c r="KQ102" s="294" t="str">
        <f t="shared" si="719"/>
        <v/>
      </c>
      <c r="KR102" s="494" t="str">
        <f>IF(A102=FALSE,"",KQ102*Cotations!BT102)</f>
        <v/>
      </c>
      <c r="KS102" s="494" t="str">
        <f>IF(A102=FALSE,"",KQ102*Cotations!BU102)</f>
        <v/>
      </c>
      <c r="KT102" s="338" t="str">
        <f t="shared" si="720"/>
        <v/>
      </c>
      <c r="KU102" s="919" t="str">
        <f>IF(A102=FALSE,"",((KG102*TAXE)-(KG102*TAXE*KI102))+IF(KM102="N/A",0,IF(INDEX(LISTES!$F$105:$F$109,MATCH(KM102,LISTES!$C$105:$C$109,0))="FIX",KN102,KO102*KL102)))</f>
        <v/>
      </c>
      <c r="LA102" s="497" t="str">
        <f>IF(A102=FALSE,"",Cotations!D102)</f>
        <v/>
      </c>
      <c r="LB102" s="498" t="str">
        <f>IF(A102=FALSE,"",IF(LISTES!$A$17=1,Cotations!BV102,Cotations!$BW$4))</f>
        <v/>
      </c>
      <c r="LC102" s="499" t="str">
        <f t="shared" si="721"/>
        <v/>
      </c>
      <c r="LD102" s="499" t="str">
        <f t="shared" si="722"/>
        <v/>
      </c>
      <c r="LE102" s="500" t="str">
        <f t="shared" si="723"/>
        <v/>
      </c>
      <c r="LF102" s="501" t="str">
        <f>IF(A102=FALSE,"",IF(LA102="POEA",Cotations!EJ102,IF(LA102="FIXE",Cotations!$BY$4,Cotations!$CA$4*Y102)))</f>
        <v/>
      </c>
      <c r="LG102" s="502" t="str">
        <f t="shared" si="724"/>
        <v/>
      </c>
      <c r="LH102" s="520" t="str">
        <f>IF(A102=FALSE,"",IF(Cotations!$BX$4="monthly",LG102/12*L102,LG102/365*M102))</f>
        <v/>
      </c>
      <c r="LI102" s="503" t="str">
        <f>IF(A102=FALSE,"",Cotations!$CB$4)</f>
        <v/>
      </c>
      <c r="LJ102" s="502" t="str">
        <f t="shared" si="725"/>
        <v/>
      </c>
      <c r="LK102" s="502" t="str">
        <f t="shared" si="726"/>
        <v/>
      </c>
      <c r="LL102" s="504" t="str">
        <f t="shared" si="727"/>
        <v/>
      </c>
      <c r="LM102" s="505" t="str">
        <f>IF(A102=FALSE,"",Cotations!$CC$4)</f>
        <v/>
      </c>
      <c r="LN102" s="503" t="str">
        <f>IF(A102=FALSE,"",Cotations!$CD$4)</f>
        <v/>
      </c>
      <c r="LO102" s="503" t="str">
        <f>IF(A102=FALSE,"",Cotations!$CE$4)</f>
        <v/>
      </c>
      <c r="LP102" s="505" t="str">
        <f>IF(A102=FALSE,"",IF(LM102="N/A",0,IF(INDEX(LISTES!$F$105:$F$109,MATCH(LM102,LISTES!$C$105:$C$109,0))="FIX",IF(INDEX(LISTES!$E$105:$E$109,MATCH(LM102,LISTES!$C$105:$C$109,0))=12,LN102/12*L102,LN102/365*M102),LO102*LL102)))</f>
        <v/>
      </c>
      <c r="LQ102" s="504" t="str">
        <f t="shared" si="728"/>
        <v/>
      </c>
      <c r="LR102" s="505" t="str">
        <f>IF(A102=FALSE,"",LQ102*Cotations!$CF$4)</f>
        <v/>
      </c>
      <c r="LS102" s="505" t="str">
        <f>IF(A102=FALSE,"",LQ102*Cotations!$CG$4)</f>
        <v/>
      </c>
      <c r="LT102" s="506" t="str">
        <f t="shared" si="729"/>
        <v/>
      </c>
      <c r="LU102" s="919" t="str">
        <f>IF(A102=FALSE,"",((LG102*TAXE)-(LG102*TAXE*LI102))+IF(LM102="N/A",0,IF(INDEX(LISTES!$F$105:$F$109,MATCH(LM102,LISTES!$C$105:$C$109,0))="FIX",LN102,LO102*LL102)))</f>
        <v/>
      </c>
      <c r="MA102" s="492" t="str">
        <f>IF(A102=FALSE,"",Cotations!D102)</f>
        <v/>
      </c>
      <c r="MB102" s="491" t="str">
        <f>IF(A102=FALSE,"",IF(LISTES!$A$17=1,Cotations!BV102,Cotations!BW102))</f>
        <v/>
      </c>
      <c r="MC102" s="285" t="str">
        <f t="shared" si="730"/>
        <v/>
      </c>
      <c r="MD102" s="300"/>
      <c r="ME102" s="461" t="str">
        <f t="shared" si="731"/>
        <v/>
      </c>
      <c r="MF102" s="490" t="str">
        <f>IF(A102=FALSE,"",IF(MA102="POEA",Cotations!BY102,IF(MA102="FIXE",Cotations!BZ102,IF(Cotations!CA102*Y102&lt;50000,Z102,Cotations!CA102*Y102))))</f>
        <v/>
      </c>
      <c r="MG102" s="300" t="str">
        <f t="shared" si="732"/>
        <v/>
      </c>
      <c r="MH102" s="522" t="str">
        <f>IF(A102=FALSE,"",IF(Cotations!BX102="monthly",MG102/12*L102,MG102/365*M102))</f>
        <v/>
      </c>
      <c r="MI102" s="489" t="str">
        <f>IF(A102=FALSE,"",IF(Cotations!CB102="","",Cotations!CB102))</f>
        <v/>
      </c>
      <c r="MJ102" s="300" t="str">
        <f t="shared" si="733"/>
        <v/>
      </c>
      <c r="MK102" s="300" t="str">
        <f t="shared" si="734"/>
        <v/>
      </c>
      <c r="ML102" s="919" t="str">
        <f t="shared" si="735"/>
        <v/>
      </c>
      <c r="MM102" s="517" t="str">
        <f>IF(A102=FALSE,"",Cotations!CC102)</f>
        <v/>
      </c>
      <c r="MN102" s="515" t="str">
        <f>IF(A102=FALSE,"",Cotations!CD102)</f>
        <v/>
      </c>
      <c r="MO102" s="493" t="str">
        <f>IF(A102=FALSE,"",Cotations!CE102)</f>
        <v/>
      </c>
      <c r="MP102" s="517" t="str">
        <f>IF(A102=FALSE,"",IF(MM102="N/A",0,IF(INDEX(LISTES!$F$105:$F$109,MATCH(MM102,LISTES!$C$105:$C$109,0))="FIX",IF(INDEX(LISTES!$E$105:$E$109,MATCH(MM102,LISTES!$C$105:$C$109,0))=12,MN102/12*L102,MN102/365*M102),MO102*ML102)))</f>
        <v/>
      </c>
      <c r="MQ102" s="294" t="str">
        <f t="shared" si="736"/>
        <v/>
      </c>
      <c r="MR102" s="494" t="str">
        <f>IF(A102=FALSE,"",MQ102*Cotations!CF102)</f>
        <v/>
      </c>
      <c r="MS102" s="494" t="str">
        <f>IF(A102=FALSE,"",MQ102*Cotations!CG102)</f>
        <v/>
      </c>
      <c r="MT102" s="338" t="str">
        <f t="shared" si="737"/>
        <v/>
      </c>
      <c r="MU102" s="919" t="str">
        <f>IF(A102=FALSE,"",((MG102*TAXE)-(MG102*TAXE*MI102))+IF(MM102="N/A",0,IF(INDEX(LISTES!$F$105:$F$109,MATCH(MM102,LISTES!$C$105:$C$109,0))="FIX",MN102,MO102*ML102)))</f>
        <v/>
      </c>
      <c r="NA102" s="497" t="str">
        <f>IF(A102=FALSE,"",Cotations!D102)</f>
        <v/>
      </c>
      <c r="NB102" s="498" t="str">
        <f>IF(A102=FALSE,"",IF(LISTES!$A$17=1,Cotations!CH102,Cotations!$CI$4))</f>
        <v/>
      </c>
      <c r="NC102" s="499" t="str">
        <f t="shared" si="738"/>
        <v/>
      </c>
      <c r="ND102" s="499" t="str">
        <f t="shared" si="739"/>
        <v/>
      </c>
      <c r="NE102" s="500" t="str">
        <f t="shared" si="740"/>
        <v/>
      </c>
      <c r="NF102" s="501" t="str">
        <f>IF(A102=FALSE,"",IF(NA102="POEA",Cotations!CK102,IF(NA102="FIXE",Cotations!$CK$4,Cotations!$CM$4*Y102)))</f>
        <v/>
      </c>
      <c r="NG102" s="502" t="str">
        <f t="shared" si="741"/>
        <v/>
      </c>
      <c r="NH102" s="520" t="str">
        <f>IF(A102=FALSE,"",IF(Cotations!$CJ$4="monthly",NG102/12*L102,NG102/365*M102))</f>
        <v/>
      </c>
      <c r="NI102" s="503" t="str">
        <f>IF(A102=FALSE,"",Cotations!$CN$4)</f>
        <v/>
      </c>
      <c r="NJ102" s="502" t="str">
        <f t="shared" si="742"/>
        <v/>
      </c>
      <c r="NK102" s="502" t="str">
        <f t="shared" si="743"/>
        <v/>
      </c>
      <c r="NL102" s="504" t="str">
        <f t="shared" si="744"/>
        <v/>
      </c>
      <c r="NM102" s="505" t="str">
        <f>IF(A102=FALSE,"",Cotations!$CO$4)</f>
        <v/>
      </c>
      <c r="NN102" s="520" t="str">
        <f>IF(A102=FALSE,"",Cotations!$CP$4)</f>
        <v/>
      </c>
      <c r="NO102" s="503" t="str">
        <f>IF(A102=FALSE,"",Cotations!$CQ$4)</f>
        <v/>
      </c>
      <c r="NP102" s="505" t="str">
        <f>IF(A102=FALSE,"",IF(NM102="N/A",0,IF(INDEX(LISTES!$F$105:$F$109,MATCH(NM102,LISTES!$C$105:$C$109,0))="FIX",IF(INDEX(LISTES!$E$105:$E$109,MATCH(NM102,LISTES!$C$105:$C$109,0))=12,NN102/12*L102,NN102/365*M102),NO102*NL102)))</f>
        <v/>
      </c>
      <c r="NQ102" s="504" t="str">
        <f t="shared" si="745"/>
        <v/>
      </c>
      <c r="NR102" s="505" t="str">
        <f>IF(A102=FALSE,"",NQ102*Cotations!$CR$4)</f>
        <v/>
      </c>
      <c r="NS102" s="505" t="str">
        <f>IF(A102=FALSE,"",NQ102*Cotations!$CS$4)</f>
        <v/>
      </c>
      <c r="NT102" s="506" t="str">
        <f t="shared" si="746"/>
        <v/>
      </c>
      <c r="NU102" s="919" t="str">
        <f>IF(A102=FALSE,"",((NG102*TAXE)-(NG102*TAXE*NI102))+IF(NM102="N/A",0,IF(INDEX(LISTES!$F$105:$F$109,MATCH(NM102,LISTES!$C$105:$C$109,0))="FIX",NN102,NO102*NL102)))</f>
        <v/>
      </c>
      <c r="OA102" s="492" t="str">
        <f>IF(A102=FALSE,"",Cotations!D102)</f>
        <v/>
      </c>
      <c r="OB102" s="491" t="str">
        <f>IF(A102=FALSE,"",IF(LISTES!$A$17=1,Cotations!CH102,Cotations!CI102))</f>
        <v/>
      </c>
      <c r="OC102" s="285" t="str">
        <f t="shared" si="747"/>
        <v/>
      </c>
      <c r="OD102" s="300"/>
      <c r="OE102" s="461" t="str">
        <f t="shared" si="748"/>
        <v/>
      </c>
      <c r="OF102" s="490" t="str">
        <f>IF(A102=FALSE,"",IF(OA102="POEA",Cotations!CK102,IF(OA102="FIXE",Cotations!CL102,IF(Cotations!CM102*Y102&lt;50000,Z102,Cotations!CM102*Y102))))</f>
        <v/>
      </c>
      <c r="OG102" s="300" t="str">
        <f t="shared" si="749"/>
        <v/>
      </c>
      <c r="OH102" s="522" t="str">
        <f>IF(A102=FALSE,"",IF(Cotations!CJ102="monthly",OG102/12*L102,OG102/365*M102))</f>
        <v/>
      </c>
      <c r="OI102" s="489" t="str">
        <f>IF(A102=FALSE,"",IF(Cotations!CN102="","",Cotations!CN102))</f>
        <v/>
      </c>
      <c r="OJ102" s="300" t="str">
        <f t="shared" si="750"/>
        <v/>
      </c>
      <c r="OK102" s="300" t="str">
        <f t="shared" si="751"/>
        <v/>
      </c>
      <c r="OL102" s="919" t="str">
        <f t="shared" si="752"/>
        <v/>
      </c>
      <c r="OM102" s="517" t="str">
        <f>IF(A102=FALSE,"",Cotations!CO102)</f>
        <v/>
      </c>
      <c r="ON102" s="515" t="str">
        <f>IF(A102=FALSE,"",Cotations!CP102)</f>
        <v/>
      </c>
      <c r="OO102" s="493" t="str">
        <f>IF(A102=FALSE,"",Cotations!CQ102)</f>
        <v/>
      </c>
      <c r="OP102" s="517" t="str">
        <f>IF(A102=FALSE,"",IF(OM102="N/A",0,IF(INDEX(LISTES!$F$105:$F$109,MATCH(OM102,LISTES!$C$105:$C$109,0))="FIX",IF(INDEX(LISTES!$E$105:$E$109,MATCH(OM102,LISTES!$C$105:$C$109,0))=12,ON102/12*L102,ON102/365*M102),OO102*OL102)))</f>
        <v/>
      </c>
      <c r="OQ102" s="294" t="str">
        <f t="shared" si="753"/>
        <v/>
      </c>
      <c r="OR102" s="494" t="str">
        <f>IF(A102=FALSE,"",OQ102*Cotations!CR102)</f>
        <v/>
      </c>
      <c r="OS102" s="494" t="str">
        <f>IF(A102=FALSE,"",OQ102*Cotations!CS102)</f>
        <v/>
      </c>
      <c r="OT102" s="338" t="str">
        <f t="shared" si="754"/>
        <v/>
      </c>
      <c r="OU102" s="919" t="str">
        <f>IF(A102=FALSE,"",((OG102*TAXE)-(OG102*TAXE*OI102))+IF(OM102="N/A",0,IF(INDEX(LISTES!$F$105:$F$109,MATCH(OM102,LISTES!$C$105:$C$109,0))="FIX",ON102,OO102*OL102)))</f>
        <v/>
      </c>
      <c r="PA102" s="497" t="str">
        <f t="shared" si="755"/>
        <v/>
      </c>
      <c r="PB102" s="498" t="str">
        <f>IF(A102=FALSE,"",IF(LISTES!$A$17=1,Cotations!CT102,Cotations!$CU$4))</f>
        <v/>
      </c>
      <c r="PC102" s="499" t="str">
        <f t="shared" si="756"/>
        <v/>
      </c>
      <c r="PD102" s="499" t="str">
        <f t="shared" si="757"/>
        <v/>
      </c>
      <c r="PE102" s="500" t="str">
        <f t="shared" si="758"/>
        <v/>
      </c>
      <c r="PF102" s="501" t="str">
        <f>IF(A102=FALSE,"",Cotations!$CY$4*Y102)</f>
        <v/>
      </c>
      <c r="PG102" s="502" t="str">
        <f t="shared" si="759"/>
        <v/>
      </c>
      <c r="PH102" s="520" t="str">
        <f>IF(A102=FALSE,"",IF(Cotations!$CV$4="monthly",PG102/12*L102,PG102/365*M102))</f>
        <v/>
      </c>
      <c r="PI102" s="503" t="str">
        <f>IF(A102=FALSE,"",Cotations!$CZ$4)</f>
        <v/>
      </c>
      <c r="PJ102" s="502" t="str">
        <f t="shared" si="760"/>
        <v/>
      </c>
      <c r="PK102" s="502" t="str">
        <f t="shared" si="761"/>
        <v/>
      </c>
      <c r="PL102" s="504" t="str">
        <f t="shared" si="762"/>
        <v/>
      </c>
      <c r="PM102" s="505" t="str">
        <f>IF(A102=FALSE,"",Cotations!$DA$4)</f>
        <v/>
      </c>
      <c r="PN102" s="520" t="str">
        <f>IF(A102=FALSE,"",Cotations!$DB$4)</f>
        <v/>
      </c>
      <c r="PO102" s="503" t="str">
        <f>IF(A102=FALSE,"",Cotations!$DC$4)</f>
        <v/>
      </c>
      <c r="PP102" s="505" t="str">
        <f>IF(A102=FALSE,"",IF(PM102="N/A",0,IF(INDEX(LISTES!$F$105:$F$109,MATCH(PM102,LISTES!$C$105:$C$109,0))="FIX",IF(INDEX(LISTES!$E$105:$E$109,MATCH(PM102,LISTES!$C$105:$C$109,0))=12,PN102/12*L102,PN102/365*M102),PO102*PL102)))</f>
        <v/>
      </c>
      <c r="PQ102" s="504" t="str">
        <f t="shared" si="763"/>
        <v/>
      </c>
      <c r="PR102" s="505" t="str">
        <f>IF(A102=FALSE,"",PQ102*Cotations!$DD$4)</f>
        <v/>
      </c>
      <c r="PS102" s="505" t="str">
        <f>IF(A102=FALSE,"",PQ102*Cotations!$DE$4)</f>
        <v/>
      </c>
      <c r="PT102" s="506" t="str">
        <f t="shared" si="764"/>
        <v/>
      </c>
      <c r="PU102" s="919" t="str">
        <f>IF(A102=FALSE,"",((PG102*TAXE)-(PG102*TAXE*PI102))+IF(PM102="N/A",0,IF(INDEX(LISTES!$F$105:$F$109,MATCH(PM102,LISTES!$C$105:$C$109,0))="FIX",PN102,PO102*PL102)))</f>
        <v/>
      </c>
      <c r="QA102" s="492" t="str">
        <f t="shared" si="765"/>
        <v/>
      </c>
      <c r="QB102" s="491" t="str">
        <f>IF(A102=FALSE,"",IF(LISTES!$A$17=1,Cotations!CT102,Cotations!CU102))</f>
        <v/>
      </c>
      <c r="QC102" s="285" t="str">
        <f t="shared" si="766"/>
        <v/>
      </c>
      <c r="QD102" s="300"/>
      <c r="QE102" s="461" t="str">
        <f t="shared" si="767"/>
        <v/>
      </c>
      <c r="QF102" s="490" t="str">
        <f>IF(A102=FALSE,"",Cotations!CY102*AA102)</f>
        <v/>
      </c>
      <c r="QG102" s="300" t="str">
        <f t="shared" si="768"/>
        <v/>
      </c>
      <c r="QH102" s="522" t="str">
        <f>IF(A102=FALSE,"",IF(Cotations!CV102="monthly",QG102/12*L102,QG102/365*M102))</f>
        <v/>
      </c>
      <c r="QI102" s="489" t="str">
        <f>IF(A102=FALSE,"",IF(Cotations!CZ102="","",Cotations!CZ102))</f>
        <v/>
      </c>
      <c r="QJ102" s="300" t="str">
        <f t="shared" si="769"/>
        <v/>
      </c>
      <c r="QK102" s="300" t="str">
        <f t="shared" si="770"/>
        <v/>
      </c>
      <c r="QL102" s="919" t="str">
        <f t="shared" si="771"/>
        <v/>
      </c>
      <c r="QM102" s="517" t="str">
        <f>IF(A102=FALSE,"",Cotations!DA102)</f>
        <v/>
      </c>
      <c r="QN102" s="515" t="str">
        <f>IF(A102=FALSE,"",Cotations!DB102)</f>
        <v/>
      </c>
      <c r="QO102" s="493" t="str">
        <f>IF(A102=FALSE,"",Cotations!DC102)</f>
        <v/>
      </c>
      <c r="QP102" s="517" t="str">
        <f>IF(A102=FALSE,"",IF(QM102="N/A",0,IF(INDEX(LISTES!$F$105:$F$109,MATCH(QM102,LISTES!$C$105:$C$109,0))="FIX",IF(INDEX(LISTES!$E$105:$E$109,MATCH(QM102,LISTES!$C$105:$C$109,0))=12,QN102/12*L102,QN102/365*M102),QO102*QL102)))</f>
        <v/>
      </c>
      <c r="QQ102" s="294" t="str">
        <f t="shared" si="772"/>
        <v/>
      </c>
      <c r="QR102" s="494" t="str">
        <f>IF(A102=FALSE,"",QQ102*Cotations!DD102)</f>
        <v/>
      </c>
      <c r="QS102" s="494" t="str">
        <f>IF(A102=FALSE,"",QQ102*Cotations!DE102)</f>
        <v/>
      </c>
      <c r="QT102" s="338" t="str">
        <f t="shared" si="773"/>
        <v/>
      </c>
      <c r="QU102" s="919" t="str">
        <f>IF(A102=FALSE,"",((QG102*TAXE)-(QG102*TAXE*QI102))+IF(QM102="N/A",0,IF(INDEX(LISTES!$F$105:$F$109,MATCH(QM102,LISTES!$C$105:$C$109,0))="FIX",QN102,QO102*QL102)))</f>
        <v/>
      </c>
      <c r="RA102" s="497" t="str">
        <f t="shared" si="774"/>
        <v/>
      </c>
      <c r="RB102" s="498" t="str">
        <f>IF(A102=FALSE,"",IF(LISTES!$A$17=1,Cotations!DF102,Cotations!$DG$4))</f>
        <v/>
      </c>
      <c r="RC102" s="499" t="str">
        <f t="shared" si="775"/>
        <v/>
      </c>
      <c r="RD102" s="499" t="str">
        <f t="shared" si="776"/>
        <v/>
      </c>
      <c r="RE102" s="500" t="str">
        <f t="shared" si="777"/>
        <v/>
      </c>
      <c r="RF102" s="501" t="str">
        <f>IF(A102=FALSE,"",Cotations!$DK$4*Y102)</f>
        <v/>
      </c>
      <c r="RG102" s="502" t="str">
        <f t="shared" si="778"/>
        <v/>
      </c>
      <c r="RH102" s="520" t="str">
        <f>IF(A102=FALSE,"",IF(Cotations!$DH$4="monthly",RG102/12*L102,RG102/365*M102))</f>
        <v/>
      </c>
      <c r="RI102" s="503" t="str">
        <f>IF(A102=FALSE,"",Cotations!$DL$4)</f>
        <v/>
      </c>
      <c r="RJ102" s="502" t="str">
        <f t="shared" si="779"/>
        <v/>
      </c>
      <c r="RK102" s="502" t="str">
        <f t="shared" si="780"/>
        <v/>
      </c>
      <c r="RL102" s="504" t="str">
        <f t="shared" si="781"/>
        <v/>
      </c>
      <c r="RM102" s="505" t="str">
        <f>IF(A102=FALSE,"",Cotations!$DM$4)</f>
        <v/>
      </c>
      <c r="RN102" s="520" t="str">
        <f>IF(A102=FALSE,"",Cotations!$DN$4)</f>
        <v/>
      </c>
      <c r="RO102" s="503" t="str">
        <f>IF(A102=FALSE,"",Cotations!$DO$4)</f>
        <v/>
      </c>
      <c r="RP102" s="505" t="str">
        <f>IF(A102=FALSE,"",IF(RM102="N/A",0,IF(INDEX(LISTES!$F$105:$F$109,MATCH(RM102,LISTES!$C$105:$C$109,0))="FIX",IF(INDEX(LISTES!$E$105:$E$109,MATCH(RM102,LISTES!$C$105:$C$109,0))=12,RN102/12*L102,RN102/365*M102),RO102*RL102)))</f>
        <v/>
      </c>
      <c r="RQ102" s="504" t="str">
        <f t="shared" si="782"/>
        <v/>
      </c>
      <c r="RR102" s="505" t="str">
        <f>IF(A102=FALSE,"",RQ102*Cotations!$DP$4)</f>
        <v/>
      </c>
      <c r="RS102" s="505" t="str">
        <f>IF(A102=FALSE,"",RQ102*Cotations!$DQ$4)</f>
        <v/>
      </c>
      <c r="RT102" s="506" t="str">
        <f t="shared" si="783"/>
        <v/>
      </c>
      <c r="RU102" s="919" t="str">
        <f>IF(A102=FALSE,"",((RG102*TAXE)-(RG102*TAXE*RI102))+IF(RM102="N/A",0,IF(INDEX(LISTES!$F$105:$F$109,MATCH(RM102,LISTES!$C$105:$C$109,0))="FIX",RN102,RO102*RL102)))</f>
        <v/>
      </c>
      <c r="SA102" s="492" t="str">
        <f t="shared" si="784"/>
        <v/>
      </c>
      <c r="SB102" s="491" t="str">
        <f>IF(A102=FALSE,"",IF(LISTES!$A$17=1,Cotations!DF102,Cotations!DG102))</f>
        <v/>
      </c>
      <c r="SC102" s="285" t="str">
        <f t="shared" si="785"/>
        <v/>
      </c>
      <c r="SD102" s="300"/>
      <c r="SE102" s="461" t="str">
        <f t="shared" si="786"/>
        <v/>
      </c>
      <c r="SF102" s="490" t="str">
        <f>IF(A102=FALSE,"",Cotations!DK102*AA102)</f>
        <v/>
      </c>
      <c r="SG102" s="300" t="str">
        <f t="shared" si="787"/>
        <v/>
      </c>
      <c r="SH102" s="522" t="str">
        <f>IF(A102=FALSE,"",IF(Cotations!DH102="monthly",SG102/12*L102,SG102/365*M102))</f>
        <v/>
      </c>
      <c r="SI102" s="489" t="str">
        <f>IF(A102=FALSE,"",IF(Cotations!DL102="","",Cotations!DL102))</f>
        <v/>
      </c>
      <c r="SJ102" s="300" t="str">
        <f t="shared" si="788"/>
        <v/>
      </c>
      <c r="SK102" s="300" t="str">
        <f t="shared" si="789"/>
        <v/>
      </c>
      <c r="SL102" s="919" t="str">
        <f t="shared" si="790"/>
        <v/>
      </c>
      <c r="SM102" s="285" t="str">
        <f>IF(A102=FALSE,"",Cotations!DM102)</f>
        <v/>
      </c>
      <c r="SN102" s="515" t="str">
        <f>IF(A102=FALSE,"",Cotations!DN102)</f>
        <v/>
      </c>
      <c r="SO102" s="493" t="str">
        <f>IF(A102=FALSE,"",Cotations!DO102)</f>
        <v/>
      </c>
      <c r="SP102" s="517" t="str">
        <f>IF(A102=FALSE,"",IF(SM102="N/A",0,IF(INDEX(LISTES!$F$105:$F$109,MATCH(SM102,LISTES!$C$105:$C$109,0))="FIX",IF(INDEX(LISTES!$E$105:$E$109,MATCH(SM102,LISTES!$C$105:$C$109,0))=12,SN102/12*L102,SN102/365*M102),SO102*SL102)))</f>
        <v/>
      </c>
      <c r="SQ102" s="294" t="str">
        <f t="shared" si="791"/>
        <v/>
      </c>
      <c r="SR102" s="494" t="str">
        <f>IF(A102=FALSE,"",SQ102*Cotations!DP102)</f>
        <v/>
      </c>
      <c r="SS102" s="494" t="str">
        <f>IF(A102=FALSE,"",SQ102*Cotations!DQ102)</f>
        <v/>
      </c>
      <c r="ST102" s="338" t="str">
        <f t="shared" si="792"/>
        <v/>
      </c>
      <c r="SU102" s="919" t="str">
        <f>IF(A102=FALSE,"",((SG102*TAXE)-(SG102*TAXE*SI102))+IF(SM102="N/A",0,IF(INDEX(LISTES!$F$105:$F$109,MATCH(SM102,LISTES!$C$105:$C$109,0))="FIX",SN102,SO102*SL102)))</f>
        <v/>
      </c>
      <c r="TA102" s="492" t="str">
        <f>IF(A102=FALSE,"",Cotations!D102)</f>
        <v/>
      </c>
      <c r="TB102" s="491" t="str">
        <f>IF(A102=FALSE,"",IF(LISTES!$A$17=1,Cotations!DR102,Cotations!DS102))</f>
        <v/>
      </c>
      <c r="TC102" s="285" t="str">
        <f t="shared" si="793"/>
        <v/>
      </c>
      <c r="TD102" s="300" t="str">
        <f>IF(A102=FALSE,"",Detail!CQ102)</f>
        <v/>
      </c>
      <c r="TE102" s="461" t="str">
        <f t="shared" si="794"/>
        <v/>
      </c>
      <c r="TF102" s="490" t="str">
        <f>IF(A102=FALSE,"",IF(TA102="FIXE",Cotations!DU102,Cotations!DV102*Y102))</f>
        <v/>
      </c>
      <c r="TG102" s="300" t="str">
        <f t="shared" si="795"/>
        <v/>
      </c>
      <c r="TH102" s="522" t="str">
        <f>IF(A102=FALSE,"",IF(Cotations!DT102="monthly",TG102/12*L102,TG102/365*M102))</f>
        <v/>
      </c>
      <c r="TI102" s="489" t="str">
        <f>IF(A102=FALSE,"",IF(Cotations!DW102="","",Cotations!DW102))</f>
        <v/>
      </c>
      <c r="TJ102" s="300" t="str">
        <f t="shared" si="796"/>
        <v/>
      </c>
      <c r="TK102" s="300" t="str">
        <f t="shared" si="797"/>
        <v/>
      </c>
      <c r="TL102" s="919" t="str">
        <f t="shared" si="798"/>
        <v/>
      </c>
      <c r="TM102" s="517" t="str">
        <f>IF(A102=FALSE,"",Cotations!DX102)</f>
        <v/>
      </c>
      <c r="TN102" s="517" t="str">
        <f>IF(A102=FALSE,"",Cotations!DY102)</f>
        <v/>
      </c>
      <c r="TO102" s="493" t="str">
        <f>IF(A102=FALSE,"",Cotations!DZ102)</f>
        <v/>
      </c>
      <c r="TP102" s="517" t="str">
        <f>IF(A102=FALSE,"",IF(TM102="N/A",0,IF(INDEX(LISTES!$F$105:$F$109,MATCH(TM102,LISTES!$C$105:$C$109,0))="FIX",IF(INDEX(LISTES!$E$105:$E$109,MATCH(TM102,LISTES!$C$105:$C$109,0))=12,TN102/12*L102,TN102/365*M102),TO102*TL102)))</f>
        <v/>
      </c>
      <c r="TQ102" s="294" t="str">
        <f t="shared" si="799"/>
        <v/>
      </c>
      <c r="TR102" s="494" t="str">
        <f>IF(A102=FALSE,"",TQ102*Cotations!EA102)</f>
        <v/>
      </c>
      <c r="TS102" s="494" t="str">
        <f>IF(A102=FALSE,"",TQ102*Cotations!EB102)</f>
        <v/>
      </c>
      <c r="TT102" s="338" t="str">
        <f t="shared" si="800"/>
        <v/>
      </c>
      <c r="TU102" s="919" t="str">
        <f>IF(A102=FALSE,"",((TG102*(1+TAXE)-(TG102*(1+TAXE)*TI102))+IF(TM102="N/A",0,IF(INDEX(LISTES!$F$105:$F$109,MATCH(TM102,LISTES!$C$105:$C$109,0))="FIX",TN102,TO102*TL102))))</f>
        <v/>
      </c>
      <c r="UA102" s="492" t="str">
        <f>IF(A102=FALSE,"",Cotations!D102)</f>
        <v/>
      </c>
      <c r="UB102" s="491" t="str">
        <f>IF(A102=FALSE,"",IF(LISTES!$A$17=1,Cotations!EC102,Cotations!ED102))</f>
        <v/>
      </c>
      <c r="UC102" s="285" t="str">
        <f t="shared" si="801"/>
        <v/>
      </c>
      <c r="UD102" s="300" t="str">
        <f>IF(A102=FALSE,"",Detail!CY102)</f>
        <v/>
      </c>
      <c r="UE102" s="461" t="str">
        <f t="shared" si="802"/>
        <v/>
      </c>
      <c r="UF102" s="490" t="str">
        <f>IF(A102=FALSE,"",IF(UA102="FIXE",Cotations!EF102,Cotations!EG102*Y102))</f>
        <v/>
      </c>
      <c r="UG102" s="300" t="str">
        <f t="shared" si="803"/>
        <v/>
      </c>
      <c r="UH102" s="522" t="str">
        <f>IF(A102=FALSE,"",IF(Cotations!EE102="monthly",UG102/12*L102,UG102/365*M102))</f>
        <v/>
      </c>
      <c r="UI102" s="489" t="str">
        <f>IF(A102=FALSE,"",IF(Cotations!EH102="","",Cotations!EH102))</f>
        <v/>
      </c>
      <c r="UJ102" s="300" t="str">
        <f t="shared" si="804"/>
        <v/>
      </c>
      <c r="UK102" s="300" t="str">
        <f t="shared" si="805"/>
        <v/>
      </c>
      <c r="UL102" s="919" t="str">
        <f t="shared" si="806"/>
        <v/>
      </c>
      <c r="UM102" s="517" t="str">
        <f>IF(A102=FALSE,"",Cotations!EI102)</f>
        <v/>
      </c>
      <c r="UN102" s="517" t="str">
        <f>IF(A102=FALSE,"",Cotations!EJ102)</f>
        <v/>
      </c>
      <c r="UO102" s="493" t="str">
        <f>IF(A102=FALSE,"",Cotations!EK102)</f>
        <v/>
      </c>
      <c r="UP102" s="517" t="str">
        <f>IF(A102=FALSE,"",IF(UM102="N/A",0,IF(INDEX(LISTES!$F$105:$F$109,MATCH(UM102,LISTES!$C$105:$C$109,0))="FIX",IF(INDEX(LISTES!$E$105:$E$109,MATCH(UM102,LISTES!$C$105:$C$109,0))=12,UN102/12*L102,UN102/365*M102),UO102*UL102)))</f>
        <v/>
      </c>
      <c r="UQ102" s="294" t="str">
        <f t="shared" si="807"/>
        <v/>
      </c>
      <c r="UR102" s="494" t="str">
        <f>IF(A102=FALSE,"",UQ102*Cotations!EL102)</f>
        <v/>
      </c>
      <c r="US102" s="494" t="str">
        <f>IF(A102=FALSE,"",UQ102*Cotations!EM102)</f>
        <v/>
      </c>
      <c r="UT102" s="338" t="str">
        <f t="shared" si="808"/>
        <v/>
      </c>
      <c r="UU102" s="919" t="str">
        <f>IF(A102=FALSE,"",((UG102*(1+TAXE)-(UG102*(1+TAXE)*UI102))+IF(UM102="N/A",0,IF(INDEX(LISTES!$F$105:$F$109,MATCH(UM102,LISTES!$C$105:$C$109,0))="FIX",UN102,UO102*UL102))))</f>
        <v/>
      </c>
      <c r="VA102" s="492" t="str">
        <f>IF(A102=FALSE,"",Cotations!D102)</f>
        <v/>
      </c>
      <c r="VB102" s="519" t="str">
        <f>IF(A102=FALSE,"",IF(LISTES!$A$17=1,Cotations!EN102,Cotations!EO102))</f>
        <v/>
      </c>
      <c r="VC102" s="291" t="str">
        <f t="shared" si="809"/>
        <v/>
      </c>
      <c r="VD102" s="291" t="str">
        <f t="shared" si="810"/>
        <v/>
      </c>
      <c r="VE102" s="291"/>
      <c r="VF102" s="463"/>
      <c r="VG102" s="463" t="str">
        <f t="shared" si="811"/>
        <v/>
      </c>
      <c r="VH102" s="522" t="str">
        <f>IF(A102=FALSE,"",IF(Cotations!$AQ$4="monthly",VG102/12*L102,VG102/365*M102))</f>
        <v/>
      </c>
      <c r="VI102" s="489" t="str">
        <f>IF(A102=FALSE,"",Cotations!$AR$4)</f>
        <v/>
      </c>
      <c r="VJ102" s="300" t="str">
        <f t="shared" si="812"/>
        <v/>
      </c>
      <c r="VK102" s="300" t="str">
        <f t="shared" si="813"/>
        <v/>
      </c>
      <c r="VL102" s="294" t="str">
        <f t="shared" si="814"/>
        <v/>
      </c>
      <c r="VM102" s="494" t="str">
        <f>IF(A102=FALSE,"",Cotations!$AS$4)</f>
        <v/>
      </c>
      <c r="VN102" s="494" t="str">
        <f>IF(A102=FALSE,"",Cotations!$AT$4)</f>
        <v/>
      </c>
      <c r="VO102" s="489" t="str">
        <f>IF(A102=FALSE,"",Cotations!$AU$4)</f>
        <v/>
      </c>
      <c r="VP102" s="494" t="str">
        <f>IF(A102=FALSE,"",IF(VM102="N/A",0,IF(INDEX(LISTES!$F$105:$F$109,MATCH(VM102,LISTES!$C$105:$C$109,0))="FIX",IF(INDEX(LISTES!$E$105:$E$109,MATCH(VM102,LISTES!$C$105:$C$109,0))=12,VN102/12*L102,VN102/365*M102),VO102*VL102)))</f>
        <v/>
      </c>
      <c r="VQ102" s="294" t="str">
        <f t="shared" si="815"/>
        <v/>
      </c>
      <c r="VR102" s="494" t="str">
        <f>IF(A102=FALSE,"",VQ102*Cotations!$AV$4)</f>
        <v/>
      </c>
      <c r="VS102" s="494" t="str">
        <f>IF(A102=FALSE,"",VQ102*Cotations!$AW$4)</f>
        <v/>
      </c>
      <c r="VT102" s="465" t="str">
        <f t="shared" si="816"/>
        <v/>
      </c>
      <c r="VU102" s="919" t="str">
        <f>IF(A102=FALSE,"",((VG102*TAXE)-(VG102*TAXE*VI102))+IF(VM102="N/A",0,IF(INDEX(LISTES!$F$105:$F$109,MATCH(VM102,LISTES!$C$105:$C$109,0))="FIX",VN102,VO102*VL102)))</f>
        <v/>
      </c>
      <c r="WA102" s="492" t="str">
        <f>IF(A102=FALSE,"",Cotations!D102)</f>
        <v/>
      </c>
      <c r="WB102" s="519" t="str">
        <f>IF(A102=FALSE,"",IF(LISTES!$A$17=1,Cotations!EW102,Cotations!EX102))</f>
        <v/>
      </c>
      <c r="WC102" s="291" t="str">
        <f t="shared" si="817"/>
        <v/>
      </c>
      <c r="WD102" s="291" t="str">
        <f t="shared" si="818"/>
        <v/>
      </c>
      <c r="WE102" s="291"/>
      <c r="WF102" s="463"/>
      <c r="WG102" s="463" t="str">
        <f t="shared" si="819"/>
        <v/>
      </c>
      <c r="WH102" s="522" t="str">
        <f>IF(A102=FALSE,"",IF(Cotations!$AQ$4="monthly",WG102/12*L102,WG102/365*M102))</f>
        <v/>
      </c>
      <c r="WI102" s="489" t="str">
        <f>IF(A102=FALSE,"",Cotations!$AR$4)</f>
        <v/>
      </c>
      <c r="WJ102" s="300" t="str">
        <f t="shared" si="820"/>
        <v/>
      </c>
      <c r="WK102" s="300" t="str">
        <f t="shared" si="821"/>
        <v/>
      </c>
      <c r="WL102" s="294" t="str">
        <f t="shared" si="822"/>
        <v/>
      </c>
      <c r="WM102" s="494" t="str">
        <f>IF(A102=FALSE,"",Cotations!$AS$4)</f>
        <v/>
      </c>
      <c r="WN102" s="494" t="str">
        <f>IF(A102=FALSE,"",Cotations!$AT$4)</f>
        <v/>
      </c>
      <c r="WO102" s="489" t="str">
        <f>IF(A102=FALSE,"",Cotations!$AU$4)</f>
        <v/>
      </c>
      <c r="WP102" s="494" t="str">
        <f>IF(A102=FALSE,"",IF(WM102="N/A",0,IF(INDEX(LISTES!$F$105:$F$109,MATCH(WM102,LISTES!$C$105:$C$109,0))="FIX",IF(INDEX(LISTES!$E$105:$E$109,MATCH(WM102,LISTES!$C$105:$C$109,0))=12,WN102/12*L102,WN102/365*M102),WO102*WL102)))</f>
        <v/>
      </c>
      <c r="WQ102" s="294" t="str">
        <f t="shared" si="823"/>
        <v/>
      </c>
      <c r="WR102" s="494" t="str">
        <f>IF(A102=FALSE,"",WQ102*Cotations!$AV$4)</f>
        <v/>
      </c>
      <c r="WS102" s="494" t="str">
        <f>IF(A102=FALSE,"",WQ102*Cotations!$AW$4)</f>
        <v/>
      </c>
      <c r="WT102" s="465" t="str">
        <f t="shared" si="824"/>
        <v/>
      </c>
      <c r="WU102" s="919" t="str">
        <f>IF(A102=FALSE,"",((WG102*TAXE)-(WG102*TAXE*WI102))+IF(WM102="N/A",0,IF(INDEX(LISTES!$F$105:$F$109,MATCH(WM102,LISTES!$C$105:$C$109,0))="FIX",WN102,WO102*WL102)))</f>
        <v/>
      </c>
    </row>
    <row r="103" spans="1:619">
      <c r="A103" s="942" t="b">
        <f t="shared" si="629"/>
        <v>0</v>
      </c>
      <c r="B103" s="942" t="b">
        <f>IF(NAMES!$B$9=TRUE,TRUE,FALSE)</f>
        <v>1</v>
      </c>
      <c r="C103" s="942" t="b">
        <f t="shared" si="825"/>
        <v>0</v>
      </c>
      <c r="D103" s="942" t="b">
        <f t="shared" si="826"/>
        <v>0</v>
      </c>
      <c r="E103" s="274" t="b">
        <f>IF(Cotations!C103="","",Cotations!C103)</f>
        <v>0</v>
      </c>
      <c r="F103" s="274" t="str">
        <f>IF(Cotations!D103="","",Cotations!D103)</f>
        <v>PROP</v>
      </c>
      <c r="G103" s="274" t="str">
        <f>IF(Cotations!E103="","",Cotations!E103)</f>
        <v>2016-2017!</v>
      </c>
      <c r="H103" s="274" t="str">
        <f>IF(Cotations!F103="","",Cotations!F103)</f>
        <v>SINGLE</v>
      </c>
      <c r="I103" s="274" t="str">
        <f>IF(Cotations!G103="","",Cotations!G103)</f>
        <v/>
      </c>
      <c r="J103" s="274" t="str">
        <f>IF(Cotations!H103="","",Cotations!H103)</f>
        <v/>
      </c>
      <c r="K103" s="274" t="str">
        <f>IF(Cotations!I103="","",Cotations!I103)</f>
        <v/>
      </c>
      <c r="L103" s="274" t="str">
        <f>IF(A103=FALSE,"",IF(Cotations!N103="","",Cotations!N103))</f>
        <v/>
      </c>
      <c r="M103" s="274" t="str">
        <f>IF(Cotations!P103="","",Cotations!P103)</f>
        <v/>
      </c>
      <c r="N103" s="724" t="str">
        <f>IF(NAMES!$B$10=TRUE,Cotations!J103,Cotations!L103)</f>
        <v/>
      </c>
      <c r="O103" s="724" t="str">
        <f>IF(NAMES!$B$10=TRUE,Cotations!K103,Cotations!M103)</f>
        <v/>
      </c>
      <c r="P103" s="943" t="str">
        <f t="shared" si="827"/>
        <v/>
      </c>
      <c r="Q103" s="724" t="str">
        <f>IF(A103=FALSE,"",IF(Crewlist!Y103="","",Crewlist!Y103))</f>
        <v/>
      </c>
      <c r="R103" s="78" t="str">
        <f>IF(Cotations!U103="","",Cotations!U103)</f>
        <v/>
      </c>
      <c r="S103" s="943" t="str">
        <f t="shared" si="828"/>
        <v/>
      </c>
      <c r="T103" s="919" t="str">
        <f>IF(A103=FALSE,"",VLOOKUP($U$15:$U$120,Currency!$A$2:$D$10,4,0)*Crewlist!N103)</f>
        <v/>
      </c>
      <c r="U103" s="1355" t="str">
        <f>IF(A103=FALSE,"",IF(IT103=0,Crewlist!M103&amp;"/"&amp;EX103,Crewlist!M103&amp;"/"&amp;IT103))</f>
        <v/>
      </c>
      <c r="V103" s="919" t="str">
        <f>IF(A103=FALSE,"",VLOOKUP($U$15:$U$120,Currency!$A$2:$D$10,4,0)*Detail!Q103)</f>
        <v/>
      </c>
      <c r="W103" s="1355" t="str">
        <f>IF(A103=FALSE,"",IF(IT103=0,Detail!R103&amp;"/"&amp;EX103,Detail!R103&amp;"/"&amp;IT103))</f>
        <v/>
      </c>
      <c r="X103" s="919" t="str">
        <f>IF(A103=FALSE,"",IF(LISTES!$C$17="Crewlist",Calcul!T103,Calcul!V103))</f>
        <v/>
      </c>
      <c r="Y103" s="758" t="str">
        <f t="shared" si="829"/>
        <v/>
      </c>
      <c r="Z103" s="758" t="str">
        <f>IF(A103=FALSE,"",IF(X103=0,0,IF((Cotations!BC103*12*X103)&lt;50000,50000,(12*X103))))</f>
        <v/>
      </c>
      <c r="AA103" s="758" t="str">
        <f t="shared" si="830"/>
        <v/>
      </c>
      <c r="AB103" s="758" t="str">
        <f>IF(A103=FALSE,"",IF(Crewlist!O103=0,"",Crewlist!O103))</f>
        <v/>
      </c>
      <c r="AC103" s="758" t="str">
        <f>IF(I103="","",VLOOKUP($AB$15:$AB$120,Currency!$A$15:$B$34,2,0))</f>
        <v/>
      </c>
      <c r="AD103" s="758" t="str">
        <f t="shared" si="831"/>
        <v/>
      </c>
      <c r="AE103" s="758" t="str">
        <f t="shared" si="832"/>
        <v/>
      </c>
      <c r="AF103" s="758" t="str">
        <f t="shared" si="833"/>
        <v/>
      </c>
      <c r="AG103" s="758" t="str">
        <f t="shared" si="834"/>
        <v/>
      </c>
      <c r="AH103" s="1355" t="str">
        <f t="shared" si="630"/>
        <v/>
      </c>
      <c r="AI103" s="919" t="str">
        <f t="shared" si="835"/>
        <v/>
      </c>
      <c r="AJ103" s="1382" t="str">
        <f t="shared" si="836"/>
        <v/>
      </c>
      <c r="AK103" s="1382" t="str">
        <f t="shared" si="837"/>
        <v/>
      </c>
      <c r="AL103" s="238" t="str">
        <f t="shared" si="631"/>
        <v/>
      </c>
      <c r="AM103" s="238" t="str">
        <f t="shared" si="632"/>
        <v/>
      </c>
      <c r="AN103" s="1374" t="str">
        <f t="shared" si="633"/>
        <v/>
      </c>
      <c r="AO103" s="238" t="str">
        <f t="shared" si="634"/>
        <v/>
      </c>
      <c r="AP103" s="342" t="str">
        <f>IF(A103=FALSE,"",INDEX(Rates!$Z$5:$Z$367,MATCH(EB103,colchoice,0)))</f>
        <v/>
      </c>
      <c r="AQ103" s="238" t="str">
        <f t="shared" si="635"/>
        <v/>
      </c>
      <c r="AR103" s="238" t="str">
        <f t="shared" si="636"/>
        <v/>
      </c>
      <c r="AS103" s="238" t="str">
        <f t="shared" si="637"/>
        <v/>
      </c>
      <c r="AT103" s="238" t="str">
        <f t="shared" si="638"/>
        <v/>
      </c>
      <c r="AU103" s="238" t="str">
        <f t="shared" si="639"/>
        <v/>
      </c>
      <c r="AV103" s="238" t="str">
        <f t="shared" si="838"/>
        <v/>
      </c>
      <c r="AW103" s="238" t="str">
        <f t="shared" si="640"/>
        <v/>
      </c>
      <c r="AX103" s="238" t="str">
        <f t="shared" si="641"/>
        <v/>
      </c>
      <c r="AY103" s="238" t="str">
        <f t="shared" si="642"/>
        <v/>
      </c>
      <c r="AZ103" s="238" t="str">
        <f t="shared" si="643"/>
        <v/>
      </c>
      <c r="BA103" s="238" t="str">
        <f t="shared" si="644"/>
        <v/>
      </c>
      <c r="BB103" s="552" t="str">
        <f t="shared" si="645"/>
        <v/>
      </c>
      <c r="BC103" s="347" t="str">
        <f t="shared" si="646"/>
        <v/>
      </c>
      <c r="BD103" s="239" t="str">
        <f t="shared" si="839"/>
        <v/>
      </c>
      <c r="BE103" s="239" t="str">
        <f>IF(A103=FALSE,"",IF(ALLTHESAME=TRUE,IF(DF103&lt;&gt;$BC$7,0,INDEX(DD103:DZ103,1,MATCH(Structure!$D$12,$DD$14:$DZ$14,0))),IF(EC103&lt;&gt;$BC$7,0,INDEX(EA103:EZ103,1,MATCH(Structure!$D$12,$EA$14:$EZ$14,0)))))</f>
        <v/>
      </c>
      <c r="BF103" s="239" t="str">
        <f>IF(A103=FALSE,"",IF(ALLTHESAME=TRUE,IF(FC103&lt;&gt;$BC$7,0,INDEX(FA103:FZ103,1,MATCH(Structure!$D$12,$FA$14:$FZ$14,0))),IF(GC103&lt;&gt;$BC$7,0,INDEX(GA103:GZ103,1,MATCH(Structure!$D$12,$GA$14:$GZ$14,0)))))</f>
        <v/>
      </c>
      <c r="BG103" s="239" t="str">
        <f>IF(A103=FALSE,"",IF(ALLTHESAME=TRUE,IF(VC103&lt;&gt;$BC$7,0,INDEX(VA103:VZ103,1,MATCH(Structure!$D$12,$VA$14:$VZ$14,0))),IF(VC103&lt;&gt;$BC$7,0,INDEX(VA103:VZ103,1,MATCH(Structure!$D$12,$VA$14:$VZ$14,0)))))</f>
        <v/>
      </c>
      <c r="BH103" s="239" t="str">
        <f>IF(A103=FALSE,"",IF(ALLTHESAME=TRUE,IF(WC103&lt;&gt;$BC$7,0,INDEX(WA103:WY103,1,MATCH(Structure!$D$12,$WA$14:$WZ$14,0))),IF(WC103&lt;&gt;$BC$7,0,INDEX(WA103:WZ103,1,MATCH(Structure!$D$12,$WA$14:$WZ$14,0)))))</f>
        <v/>
      </c>
      <c r="BI103" s="763" t="str">
        <f>IF(A103=FALSE,"",IF(ALLTHESAME=TRUE,IF(HC103&lt;&gt;$BC$7,0,INDEX(HA103:HZ103,1,MATCH(Structure!$D$12,$HA$14:$HZ$14,0)))+TK103,IF(IC103&lt;&gt;$BC$7,0,INDEX(IA103:IZ103,1,MATCH(Structure!$D$12,$IA$14:$IZ$14,0)))+TK103))</f>
        <v/>
      </c>
      <c r="BJ103" s="239" t="str">
        <f>IF(A103=FALSE,"",IF(ALLTHESAME=TRUE,IF(JC103&lt;&gt;$BC$7,0,INDEX(JA103:JZ103,1,MATCH(Structure!$D$12,$JA$14:$JZ$14,0))),IF(KC103&lt;&gt;$BC$7,0,INDEX(KA103:KZ103,1,MATCH(Structure!$D$12,$KA$14:$KZ$14,0)))))</f>
        <v/>
      </c>
      <c r="BK103" s="763" t="str">
        <f>IF(A103=FALSE,"",IF(ALLTHESAME=TRUE,IF(LC103&lt;&gt;$BC$7,0,INDEX(LA103:LZ103,1,MATCH(Structure!$D$12,$LA$14:$LZ$14,0)))+UK103,IF(MC103&lt;&gt;$BC$7,0,INDEX(MA103:MZ103,1,MATCH(Structure!$D$12,$MA$14:$MZ$14,0)))+UK103))</f>
        <v/>
      </c>
      <c r="BL103" s="239" t="str">
        <f>IF(A103=FALSE,"",IF(ALLTHESAME=TRUE,IF(NC103&lt;&gt;$BC$7,0,INDEX(NA103:NZ103,1,MATCH(Structure!$D$12,$NA$14:$NZ$14,0))),IF(OC103&lt;&gt;$BC$7,0,INDEX(OA103:OZ103,1,MATCH(Structure!$D$12,$OA$14:$OZ$14,0)))))</f>
        <v/>
      </c>
      <c r="BM103" s="239" t="str">
        <f>IF(A103=FALSE,"",IF(ALLTHESAME=TRUE,IF(PC103&lt;&gt;$BC$7,0,INDEX(PA103:PZ103,1,MATCH(Structure!$D$12,$PA$14:$PZ$14,0))),IF(QC103&lt;&gt;$BC$7,0,INDEX(QA103:QZ103,1,MATCH(Structure!$D$12,$QA$14:$QZ$14,0)))))</f>
        <v/>
      </c>
      <c r="BN103" s="341" t="str">
        <f>IF(A103=FALSE,"",IF(ALLTHESAME=TRUE,IF(RC103&lt;&gt;$BC$7,0,INDEX(RA103:RZ103,1,MATCH(Structure!$D$12,$RA$14:$RZ$14,0))),IF(SC103&lt;&gt;$BC$7,0,INDEX(SA103:TA103,1,MATCH(Structure!$D$12,$SA$14:$TA$14,0)))))</f>
        <v/>
      </c>
      <c r="BO103" s="507" t="str">
        <f t="shared" si="647"/>
        <v/>
      </c>
      <c r="BP103" s="239" t="str">
        <f t="shared" si="648"/>
        <v/>
      </c>
      <c r="BQ103" s="239" t="str">
        <f>IF(A103=FALSE,"",IF(ALLTHESAME=TRUE,IF(DF103&lt;&gt;$BO$7,0,INDEX(DD103:DZ103,1,MATCH(Structure!$D$12,$DD$14:$DZ$14,0))),IF(EC103&lt;&gt;$BO$7,0,INDEX(EA103:EZ103,1,MATCH(Structure!$D$12,$EA$14:$EZ$14,0)))))</f>
        <v/>
      </c>
      <c r="BR103" s="239" t="str">
        <f>IF(A103=FALSE,"",IF(ALLTHESAME=TRUE,IF(FC103&lt;&gt;$BO$7,0,INDEX(FA103:FZ103,1,MATCH(Structure!$D$12,$FA$14:$FZ$14,0))),IF(GC103&lt;&gt;$BO$7,0,INDEX(GA103:GZ103,1,MATCH(Structure!$D$12,$GA$14:$GZ$14,0)))))</f>
        <v/>
      </c>
      <c r="BS103" s="239" t="str">
        <f>IF(A103=FALSE,"",IF(ALLTHESAME=TRUE,IF(HC103&lt;&gt;$BO$7,0,INDEX(HA103:HZ103,1,MATCH(Structure!$D$12,$HA$14:$HZ$14,0))),IF(IC103&lt;&gt;$BO$7,0,INDEX(IA103:IZ103,1,MATCH(Structure!$D$12,$IA$14:$IZ$14,0)))))</f>
        <v/>
      </c>
      <c r="BT103" s="239" t="str">
        <f>IF(A103=FALSE,"",IF(ALLTHESAME=TRUE,IF(JC103&lt;&gt;$BO$7,0,INDEX(JA103:JZ103,1,MATCH(Structure!$D$12,$JA$14:$JZ$14,0))),IF(KC103&lt;&gt;$BO$7,0,INDEX(KA103:KZ103,1,MATCH(Structure!$D$12,$KA$14:$KZ$14,0)))))</f>
        <v/>
      </c>
      <c r="BU103" s="239" t="str">
        <f>IF(A103=FALSE,"",IF(ALLTHESAME=TRUE,IF(LC103&lt;&gt;$BO$7,0,INDEX(LA103:LZ103,1,MATCH(Structure!$D$12,$LA$14:$LZ$14,0))),IF(MC103&lt;&gt;$BO$7,0,INDEX(MA103:MZ103,1,MATCH(Structure!$D$12,$MA$14:$MZ$14,0)))))</f>
        <v/>
      </c>
      <c r="BV103" s="239" t="str">
        <f>IF(A103=FALSE,"",IF(ALLTHESAME=TRUE,IF(NC103&lt;&gt;$BO$7,0,INDEX(NA103:NZ103,1,MATCH(Structure!$D$12,$NA$14:$NZ$14,0))),IF(OC103&lt;&gt;$BO$7,0,INDEX(OA103:OZ103,1,MATCH(Structure!$D$12,$OA$14:$OZ$14,0)))))</f>
        <v/>
      </c>
      <c r="BW103" s="239" t="str">
        <f>IF(A103=FALSE,"",IF(ALLTHESAME=TRUE,IF(PC103&lt;&gt;$BO$7,0,INDEX(PA103:PZ103,1,MATCH(Structure!$D$12,$PA$14:$PZ$14,0))),IF(QC103&lt;&gt;$BO$7,0,INDEX(QA103:QZ103,1,MATCH(Structure!$D$12,$QA$14:$QZ$14,0)))))</f>
        <v/>
      </c>
      <c r="BX103" s="341" t="str">
        <f>IF(A103=FALSE,"",IF(ALLTHESAME=TRUE,IF(RC103&lt;&gt;$BO$7,0,INDEX(RA103:RZ103,1,MATCH(Structure!$D$12,$RA$14:$RZ$14,0))),IF(SC103&lt;&gt;$BO$7,0,INDEX(SA103:TA103,1,MATCH(Structure!$D$12,$SA$14:$TA$14,0)))))</f>
        <v/>
      </c>
      <c r="BY103" s="347" t="str">
        <f t="shared" si="649"/>
        <v/>
      </c>
      <c r="BZ103" s="507" t="str">
        <f t="shared" si="650"/>
        <v/>
      </c>
      <c r="CA103" s="239" t="str">
        <f t="shared" si="651"/>
        <v/>
      </c>
      <c r="CB103" s="239" t="str">
        <f>IF(A103=FALSE,"",IF(ALLTHESAME=TRUE,INDEX(DD103:DZ103,MATCH(DF103,DF103:DF208,0),MATCH(Structure!$D$17,$DD$14:$DZ$14,0)),INDEX(EA103:EZ103,MATCH(EC103,EC103:EC208,0),MATCH(Structure!$D$17,$EA$14:$EZ$14,0))))</f>
        <v/>
      </c>
      <c r="CC103" s="239" t="str">
        <f>IF(A103=FALSE,"",IF(ALLTHESAME=TRUE,INDEX(FA103:FZ103,MATCH(FC103,FC103:FC208,0),MATCH(Structure!$D$17,$FA$14:$FZ$14,0)),INDEX(GA103:GZ103,MATCH(GC103,GC103:GC208,0),MATCH(Structure!$D$17,$GA$14:$GZ$14,0))))</f>
        <v/>
      </c>
      <c r="CD103" s="239" t="str">
        <f>IF(A103=FALSE,"",IF(ALLTHESAME=TRUE,INDEX(HA103:HZ103,MATCH(HC103,HC103:HC208,0),MATCH(Structure!$D$17,$HA$14:$HZ$14,0)),INDEX(IA103:IZ103,MATCH(IC103,IC103:IC208,0),MATCH(Structure!$D$17,$IA$14:$IZ$14,0))))</f>
        <v/>
      </c>
      <c r="CE103" s="239" t="str">
        <f>IF(A103=FALSE,"",IF(ALLTHESAME=TRUE,INDEX(JA103:JZ103,MATCH(JC103,JC103:JC208,0),MATCH(Structure!$D$17,$JA$14:$JZ$14,0)),INDEX(KA103:KZ103,MATCH(KC103,KC103:KC208,0),MATCH(Structure!$D$17,$KA$14:$KZ$14,0))))</f>
        <v/>
      </c>
      <c r="CF103" s="239" t="str">
        <f>IF(A103=FALSE,"",IF(ALLTHESAME=TRUE,INDEX(LA103:LZ103,MATCH(LC103,LC103:LC208,0),MATCH(Structure!$D$17,$LA$14:$LZ$14,0)),INDEX(MA103:MZ103,MATCH(MC103,MC103:MC208,0),MATCH(Structure!$D$17,$MA$14:$MZ$14,0))))</f>
        <v/>
      </c>
      <c r="CG103" s="239" t="str">
        <f>IF(A103=FALSE,"",IF(ALLTHESAME=TRUE,INDEX(NA103:NZ103,MATCH(NC103,NC103:NC208,0),MATCH(Structure!$D$17,$NA$14:$NZ$14,0)),INDEX(OA103:OZ103,MATCH(OC103,OC103:OC208,0),MATCH(Structure!$D$17,$OA$14:$OZ$14,0))))</f>
        <v/>
      </c>
      <c r="CH103" s="239" t="str">
        <f>IF(A103=FALSE,"",IF(ALLTHESAME=TRUE,INDEX(PA103:PZ103,MATCH(PC103,PC103:PC208,0),MATCH(Structure!$D$17,$PA$14:$PZ$14,0)),INDEX(QA103:QZ103,MATCH(QC103,QC103:QC208,0),MATCH(Structure!$D$17,$QA$14:$QZ$14,0))))</f>
        <v/>
      </c>
      <c r="CI103" s="341" t="str">
        <f>IF(A103=FALSE,"",IF(ALLTHESAME=TRUE,INDEX(RA103:RZ103,MATCH(RC103,RC103:RC208,0),MATCH(Structure!$D$17,$RA$14:$RZ$14,0)),INDEX(SA103:TC103,MATCH(SC103,SC103:SC208,0),MATCH(Structure!$D$17,$SA$14:$TC$14,0))))</f>
        <v/>
      </c>
      <c r="CJ103" s="347"/>
      <c r="CK103" s="239" t="str">
        <f t="shared" si="652"/>
        <v/>
      </c>
      <c r="CL103" s="239" t="str">
        <f>IF(A103=FALSE,"",IF(ALLTHESAME=TRUE,INDEX(DD103:DZ103,MATCH(DF103,DF103:DF208,0),MATCH(Structure!$D$22,$DD$14:$DZ$14,0)),INDEX(EA103:EZ103,MATCH(EC103,EC103:EC208,0),MATCH(Structure!$D$22,$EA$14:$EZ$14,0))))</f>
        <v/>
      </c>
      <c r="CM103" s="239" t="str">
        <f>IF(A103=FALSE,"",IF(ALLTHESAME=TRUE,INDEX(FA103:FZ103,MATCH(FC103,FC103:FC208,0),MATCH(Structure!$D$22,$FA$14:$FZ$14,0)),INDEX(GA103:GZ103,MATCH(GC103,GC103:GC208,0),MATCH(Structure!$D$22,$GA$14:$GZ$14,0))))</f>
        <v/>
      </c>
      <c r="CN103" s="239" t="str">
        <f>IF(A103=FALSE,"",IF(ALLTHESAME=TRUE,INDEX(HA103:HZ103,MATCH(HC103,HC103:HC208,0),MATCH(Structure!$D$22,$HA$14:$HZ$14,0)),INDEX(IA103:IZ103,MATCH(IC103,IC103:IC208,0),MATCH(Structure!$D$22,$IA$14:$IZ$14,0))))</f>
        <v/>
      </c>
      <c r="CO103" s="239" t="str">
        <f>IF(A103=FALSE,"",IF(ALLTHESAME=TRUE,INDEX(JA103:JZ103,MATCH(JC103,JC103:JC208,0),MATCH(Structure!$D$22,$JA$14:$JZ$14,0)),INDEX(KA103:KZ103,MATCH(KC103,KC103:KC208,0),MATCH(Structure!$D$22,$KA$14:$KZ$14,0))))</f>
        <v/>
      </c>
      <c r="CP103" s="239" t="str">
        <f>IF(A103=FALSE,"",IF(ALLTHESAME=TRUE,INDEX(LA103:LZ103,MATCH(LC103,LC103:LC208,0),MATCH(Structure!$D$22,$LA$14:$LZ$14,0)),INDEX(MA103:MZ103,MATCH(MC103,MC103:MC208,0),MATCH(Structure!$D$22,$MA$14:$MZ$14,0))))</f>
        <v/>
      </c>
      <c r="CQ103" s="239" t="str">
        <f>IF(A103=FALSE,"",IF(ALLTHESAME=TRUE,INDEX(NA103:NZ103,MATCH(NC103,NC103:NC208,0),MATCH(Structure!$D$22,$NA$14:$NZ$14,0)),INDEX(OA103:OZ103,MATCH(OC103,OC103:OC208,0),MATCH(Structure!$D$22,$OA$14:$OZ$14,0))))</f>
        <v/>
      </c>
      <c r="CR103" s="239" t="str">
        <f>IF(A103=FALSE,"",IF(ALLTHESAME=TRUE,INDEX(PA103:PZ103,MATCH(PC103,PC103:PC208,0),MATCH(Structure!$D$22,$PA$14:$PZ$14,0)),INDEX(QA103:QZ103,MATCH(QC103,QC103:QC208,0),MATCH(Structure!$D$22,$QA$14:$QZ$14,0))))</f>
        <v/>
      </c>
      <c r="CS103" s="341" t="str">
        <f>IF(A103=FALSE,"",IF(ALLTHESAME=TRUE,INDEX(RA103:RZ103,MATCH(RC103,RC103:RC208,0),MATCH(Structure!$D$22,$RA$14:$RZ$14,0)),INDEX(SA103:TC103,MATCH(SC103,SC103:SC208,0),MATCH(Structure!$D$22,$SA$14:$TC$14,0))))</f>
        <v/>
      </c>
      <c r="CT103" s="347"/>
      <c r="CU103" s="239" t="str">
        <f t="shared" si="653"/>
        <v/>
      </c>
      <c r="CV103" s="239" t="str">
        <f>IF(A103=FALSE,"",IF(ALLTHESAME=TRUE,INDEX(DD103:DZ103,MATCH(DF103,DF103:DF208,0),MATCH(Structure!$D$8,$DD$14:$DZ$14,0)),INDEX(EA103:EZ103,MATCH(EC103,EC103:EC208,0),MATCH(Structure!$D$8,$EA$14:$EZ$14,0))))</f>
        <v/>
      </c>
      <c r="CW103" s="239" t="str">
        <f>IF(A103=FALSE,"",IF(ALLTHESAME=TRUE,INDEX(FA103:FZ103,MATCH(FC103,FC103:FC208,0),MATCH(Structure!$D$8,$FA$14:$FZ$14,0)),INDEX(GA103:GZ103,MATCH(GC103,GC103:GC208,0),MATCH(Structure!$D$8,$GA$14:$GZ$14,0))))</f>
        <v/>
      </c>
      <c r="CX103" s="239" t="str">
        <f>IF(A103=FALSE,"",IF(ALLTHESAME=TRUE,INDEX(HA103:HZ103,MATCH(HC103,HC103:HC208,0),MATCH(Structure!$D$8,$HA$14:$HZ$14,0)),INDEX(IA103:IZ103,MATCH(IC103,IC103:IC208,0),MATCH(Structure!$D$8,$IA$14:$IZ$14,0))))</f>
        <v/>
      </c>
      <c r="CY103" s="239" t="str">
        <f>IF(A103=FALSE,"",IF(ALLTHESAME=TRUE,INDEX(JA103:JZ103,MATCH(JC103,JC103:JC208,0),MATCH(Structure!$D$8,$JA$14:$JZ$14,0)),INDEX(KA103:KZ103,MATCH(KC103,KC103:KC208,0),MATCH(Structure!$D$8,$KA$14:$KZ$14,0))))</f>
        <v/>
      </c>
      <c r="CZ103" s="239" t="str">
        <f>IF(A103=FALSE,"",IF(ALLTHESAME=TRUE,INDEX(LA103:LZ103,MATCH(LC103,LC103:LC208,0),MATCH(Structure!$D$8,$LA$14:$LZ$14,0)),INDEX(MA103:MZ103,MATCH(MC103,MC103:MC208,0),MATCH(Structure!$D$8,$MA$14:$MZ$14,0))))</f>
        <v/>
      </c>
      <c r="DA103" s="239" t="str">
        <f>IF(A103=FALSE,"",IF(ALLTHESAME=TRUE,INDEX(NA103:NZ103,MATCH(NC103,NC103:NC208,0),MATCH(Structure!$D$8,$NA$14:$NZ$14,0)),INDEX(OA103:OZ103,MATCH(OC103,OC103:OC208,0),MATCH(Structure!$D$8,$OA$14:$OZ$14,0))))</f>
        <v/>
      </c>
      <c r="DB103" s="239" t="str">
        <f>IF(A103=FALSE,"",IF(ALLTHESAME=TRUE,INDEX(PA103:PZ103,MATCH(PC103,PC103:PC208,0),MATCH(Structure!$D$8,$PA$14:$PZ$14,0)),INDEX(QA103:QZ103,MATCH(QC103,QC103:QC208,0),MATCH(Structure!$D$8,$QA$14:$QZ$14,0))))</f>
        <v/>
      </c>
      <c r="DC103" s="341" t="str">
        <f>IF(A103=FALSE,"",IF(ALLTHESAME=TRUE,INDEX(RA103:RZ103,MATCH(RC103,RC103:RC208,0),MATCH(Structure!$D$8,$RA$14:$RZ$14,0)),INDEX(SA103:TC103,MATCH(SC103,SC103:SC208,0),MATCH(Structure!$D$8,$SA$14:$TC$14,0))))</f>
        <v/>
      </c>
      <c r="DD103" s="492" t="str">
        <f>IF(A103=FALSE,"",Cotations!D103)</f>
        <v/>
      </c>
      <c r="DE103" s="492" t="str">
        <f>IF(A103=FALSE,"",IF(LISTES!$A$17=1,Cotations!AF103,Cotations!$AG$4))</f>
        <v/>
      </c>
      <c r="DF103" s="291" t="str">
        <f t="shared" si="654"/>
        <v/>
      </c>
      <c r="DG103" s="291" t="str">
        <f t="shared" si="655"/>
        <v/>
      </c>
      <c r="DH103" s="291"/>
      <c r="DI103" s="463"/>
      <c r="DJ103" s="463" t="str">
        <f t="shared" si="656"/>
        <v/>
      </c>
      <c r="DK103" s="522" t="str">
        <f>IF(A103=FALSE,"",IF(Cotations!$AH$4="monthly",DJ103/12*L103,DJ103/365*M103))</f>
        <v/>
      </c>
      <c r="DL103" s="489" t="str">
        <f>IF(A103=FALSE,"",Cotations!$AI$4)</f>
        <v/>
      </c>
      <c r="DM103" s="300" t="str">
        <f t="shared" si="657"/>
        <v/>
      </c>
      <c r="DN103" s="300" t="str">
        <f t="shared" si="658"/>
        <v/>
      </c>
      <c r="DO103" s="294" t="str">
        <f t="shared" si="659"/>
        <v/>
      </c>
      <c r="DP103" s="494" t="str">
        <f>IF(A103=FALSE,"",Cotations!$AJ$4)</f>
        <v/>
      </c>
      <c r="DQ103" s="494" t="str">
        <f>IF(A103=FALSE,"",Cotations!$AK$4)</f>
        <v/>
      </c>
      <c r="DR103" s="489" t="str">
        <f>IF(A103=FALSE,"",Cotations!$AL$4)</f>
        <v/>
      </c>
      <c r="DS103" s="494" t="str">
        <f>IF(A103=FALSE,"",IF(DP103="N/A",0,IF(INDEX(LISTES!$F$105:$F$109,MATCH(DP103,LISTES!$C$105:$C$109,0))="FIX",IF(INDEX(LISTES!$E$105:$E$109,MATCH(DP103,LISTES!$C$105:$C$109,0))=12,DQ103/12*L103,DQ103/365*M103),DR103*DO103)))</f>
        <v/>
      </c>
      <c r="DT103" s="294" t="str">
        <f t="shared" si="660"/>
        <v/>
      </c>
      <c r="DU103" s="294" t="str">
        <f>IF(A103=FALSE,"",DT103*Cotations!$AM$4)</f>
        <v/>
      </c>
      <c r="DV103" s="294" t="str">
        <f>IF(A103=FALSE,"",DT103*Cotations!$AN$4)</f>
        <v/>
      </c>
      <c r="DW103" s="465" t="str">
        <f t="shared" si="661"/>
        <v/>
      </c>
      <c r="DX103" s="919" t="str">
        <f>IF(A103=FALSE,"",((DJ103*TAXE)-(DJ103*TAXE*DL103))+IF(DP103="N/A",0,IF(INDEX(LISTES!$F$105:$F$109,MATCH(DP103,LISTES!$C$105:$C$109,0))="FIX",DQ103,DR103*DO103)))</f>
        <v/>
      </c>
      <c r="DY103" s="466"/>
      <c r="DZ103" s="466"/>
      <c r="EA103" s="492" t="str">
        <f>IF(A103=FALSE,"",Cotations!D103)</f>
        <v/>
      </c>
      <c r="EB103" s="494" t="str">
        <f>IF(A103=FALSE,"",IF(LISTES!$A$17=1,Cotations!AF103,Cotations!AG103))</f>
        <v/>
      </c>
      <c r="EC103" s="284" t="str">
        <f t="shared" si="662"/>
        <v/>
      </c>
      <c r="ED103" s="284" t="str">
        <f t="shared" si="663"/>
        <v/>
      </c>
      <c r="EE103" s="284"/>
      <c r="EF103" s="284"/>
      <c r="EG103" s="284" t="str">
        <f t="shared" si="664"/>
        <v/>
      </c>
      <c r="EH103" s="1365" t="str">
        <f t="shared" si="665"/>
        <v/>
      </c>
      <c r="EI103" s="1365" t="str">
        <f t="shared" si="666"/>
        <v/>
      </c>
      <c r="EJ103" s="515" t="str">
        <f>IF(A103=FALSE,"",IF(Cotations!AH103="monthly",EG103/12*L103,EG103/365*M103))</f>
        <v/>
      </c>
      <c r="EK103" s="1364" t="str">
        <f>IF(A103=FALSE,"",IF(Cotations!AH103="monthly",EI103/12*L103,EI103/365*M103))</f>
        <v/>
      </c>
      <c r="EL103" s="493" t="str">
        <f>IF(A103=FALSE,"",IF(Cotations!AI103="","",Cotations!AI103))</f>
        <v/>
      </c>
      <c r="EM103" s="284" t="str">
        <f t="shared" si="667"/>
        <v/>
      </c>
      <c r="EN103" s="284" t="str">
        <f t="shared" si="668"/>
        <v/>
      </c>
      <c r="EO103" s="1365" t="str">
        <f t="shared" si="840"/>
        <v/>
      </c>
      <c r="EP103" s="284" t="str">
        <f t="shared" si="669"/>
        <v/>
      </c>
      <c r="EQ103" s="515" t="str">
        <f>IF(A103=FALSE,"",Cotations!AJ103)</f>
        <v/>
      </c>
      <c r="ER103" s="515" t="str">
        <f>IF(A103=FALSE,"",IF(Cotations!AK103="","",Cotations!AK103))</f>
        <v/>
      </c>
      <c r="ES103" s="493" t="str">
        <f>IF(A103=FALSE,"",Cotations!AL103)</f>
        <v/>
      </c>
      <c r="ET103" s="515" t="str">
        <f>IF(A103=FALSE,"",IF(EQ103="N/A",0,IF(INDEX(LISTES!$F$105:$F$109,MATCH(EQ103,LISTES!$C$105:$C$109,0))="FIX",IF(INDEX(LISTES!$E$105:$E$109,MATCH(EQ103,LISTES!$C$105:$C$109,0))=12,ER103/12*L103,ER103/365*M103),ES103*EP103)))</f>
        <v/>
      </c>
      <c r="EU103" s="294" t="str">
        <f t="shared" si="670"/>
        <v/>
      </c>
      <c r="EV103" s="494" t="str">
        <f>IF(A103=FALSE,"",EU103*Cotations!AM103)</f>
        <v/>
      </c>
      <c r="EW103" s="494" t="str">
        <f>IF(A103=FALSE,"",EU103*Cotations!AN103)</f>
        <v/>
      </c>
      <c r="EX103" s="334" t="str">
        <f t="shared" si="671"/>
        <v/>
      </c>
      <c r="EY103" s="919" t="str">
        <f>IF(A103=FALSE,"",((EG103*TAXE)-(EG103*TAXE*EL103)+EH103)+IF(EQ103="N/A",0,IF(INDEX(LISTES!$F$105:$F$109,MATCH(EQ103,LISTES!$C$105:$C$109,0))="FIX",ER103,ES103*EP103)))</f>
        <v/>
      </c>
      <c r="FA103" s="492" t="str">
        <f>IF(A103=FALSE,"",Cotations!D103)</f>
        <v/>
      </c>
      <c r="FB103" s="519" t="str">
        <f>IF(A103=FALSE,"",IF(LISTES!$A$17=1,Cotations!AO103,Cotations!$AP$4))</f>
        <v/>
      </c>
      <c r="FC103" s="291" t="str">
        <f t="shared" si="672"/>
        <v/>
      </c>
      <c r="FD103" s="291" t="str">
        <f t="shared" si="673"/>
        <v/>
      </c>
      <c r="FE103" s="291"/>
      <c r="FF103" s="463"/>
      <c r="FG103" s="463" t="str">
        <f t="shared" si="674"/>
        <v/>
      </c>
      <c r="FH103" s="522" t="str">
        <f>IF(A103=FALSE,"",IF(Cotations!$AQ$4="monthly",FG103/12*L103,FG103/365*M103))</f>
        <v/>
      </c>
      <c r="FI103" s="453" t="str">
        <f>IF(A103=FALSE,"",Cotations!$AR$4)</f>
        <v/>
      </c>
      <c r="FJ103" s="300" t="str">
        <f t="shared" si="675"/>
        <v/>
      </c>
      <c r="FK103" s="300" t="str">
        <f t="shared" si="676"/>
        <v/>
      </c>
      <c r="FL103" s="294" t="str">
        <f t="shared" si="677"/>
        <v/>
      </c>
      <c r="FM103" s="494" t="str">
        <f>IF(A103=FALSE,"",Cotations!$AS$4)</f>
        <v/>
      </c>
      <c r="FN103" s="494" t="str">
        <f>IF(A103=FALSE,"",Cotations!$AT$4)</f>
        <v/>
      </c>
      <c r="FO103" s="489" t="str">
        <f>IF(A103=FALSE,"",Cotations!$AU$4)</f>
        <v/>
      </c>
      <c r="FP103" s="494" t="str">
        <f>IF(A103=FALSE,"",IF(FM103="N/A",0,IF(INDEX(LISTES!$F$105:$F$109,MATCH(FM103,LISTES!$C$105:$C$109,0))="FIX",IF(INDEX(LISTES!$E$105:$E$109,MATCH(FM103,LISTES!$C$105:$C$109,0))=12,FN103/12*L103,FN103/365*M103),FO103*FL103)))</f>
        <v/>
      </c>
      <c r="FQ103" s="294" t="str">
        <f t="shared" si="678"/>
        <v/>
      </c>
      <c r="FR103" s="494" t="str">
        <f>IF(A103=FALSE,"",FQ103*Cotations!$AV$4)</f>
        <v/>
      </c>
      <c r="FS103" s="494" t="str">
        <f>IF(A103=FALSE,"",FQ103*Cotations!$AW$4)</f>
        <v/>
      </c>
      <c r="FT103" s="465" t="str">
        <f t="shared" si="679"/>
        <v/>
      </c>
      <c r="FU103" s="919" t="str">
        <f>IF(A103=FALSE,"",((FG103*TAXE)-(FG103*TAXE*FI103))+IF(FM103="N/A",0,IF(INDEX(LISTES!$F$105:$F$109,MATCH(FM103,LISTES!$C$105:$C$109,0))="FIX",FN103,FO103*FL103)))</f>
        <v/>
      </c>
      <c r="FV103" s="478"/>
      <c r="FW103" s="478"/>
      <c r="FX103" s="478"/>
      <c r="FY103" s="478"/>
      <c r="FZ103" s="478"/>
      <c r="GA103" s="492" t="str">
        <f>IF(A103=FALSE,"",Cotations!D103)</f>
        <v/>
      </c>
      <c r="GB103" s="494" t="str">
        <f>IF(A103=FALSE,"",IF(LISTES!$A$17=1,Cotations!AO103,Cotations!AP103))</f>
        <v/>
      </c>
      <c r="GC103" s="284" t="str">
        <f t="shared" si="680"/>
        <v/>
      </c>
      <c r="GD103" s="515" t="str">
        <f>IF(A103=FALSE,"",IF(Detail!AM103="","",Detail!AM103))</f>
        <v/>
      </c>
      <c r="GE103" s="284"/>
      <c r="GF103" s="284"/>
      <c r="GG103" s="284" t="str">
        <f t="shared" si="681"/>
        <v/>
      </c>
      <c r="GH103" s="515" t="str">
        <f>IF(A103=FALSE,"",IF(Cotations!AQ103="monthly",GG103/12*L103,GG103/365*M103))</f>
        <v/>
      </c>
      <c r="GI103" s="493" t="str">
        <f>IF(A103=FALSE,"",IF(Cotations!AR103="","",Cotations!AR103))</f>
        <v/>
      </c>
      <c r="GJ103" s="284" t="str">
        <f t="shared" si="682"/>
        <v/>
      </c>
      <c r="GK103" s="284" t="str">
        <f t="shared" si="683"/>
        <v/>
      </c>
      <c r="GL103" s="284" t="str">
        <f t="shared" si="684"/>
        <v/>
      </c>
      <c r="GM103" s="515" t="str">
        <f>IF(A103=FALSE,"",Cotations!AS103)</f>
        <v/>
      </c>
      <c r="GN103" s="515" t="str">
        <f>IF(A103=FALSE,"",Cotations!AT103)</f>
        <v/>
      </c>
      <c r="GO103" s="493" t="str">
        <f>IF(A103=FALSE,"",Cotations!AU103)</f>
        <v/>
      </c>
      <c r="GP103" s="515" t="str">
        <f>IF(A103=FALSE,"",IF(GM103="N/A",0,IF(INDEX(LISTES!$F$105:$F$109,MATCH(GM103,LISTES!$C$105:$C$109,0))="FIX",IF(INDEX(LISTES!$E$105:$E$109,MATCH(GM103,LISTES!$C$105:$C$109,0))=12,GN103/12*L103,GN103/365*M103),GO103*GL103)))</f>
        <v/>
      </c>
      <c r="GQ103" s="294" t="str">
        <f t="shared" si="685"/>
        <v/>
      </c>
      <c r="GR103" s="494" t="str">
        <f>IF(A103=FALSE,"",GQ103*Cotations!AV103)</f>
        <v/>
      </c>
      <c r="GS103" s="494" t="str">
        <f>IF(A103=FALSE,"",GQ103*Cotations!AW103)</f>
        <v/>
      </c>
      <c r="GT103" s="334" t="str">
        <f t="shared" si="686"/>
        <v/>
      </c>
      <c r="GU103" s="919" t="str">
        <f>IF(A103=FALSE,"",((GG103*TAXE)-(GG103*TAXE*GI103))+IF(GM103="N/A",0,IF(INDEX(LISTES!$F$105:$F$109,MATCH(GM103,LISTES!$C$105:$C$109,0))="FIX",GN103,GO103*GL103)))</f>
        <v/>
      </c>
      <c r="GV103" s="478"/>
      <c r="GW103" s="466"/>
      <c r="GX103" s="466"/>
      <c r="GY103" s="466"/>
      <c r="GZ103" s="466"/>
      <c r="HA103" s="492" t="str">
        <f>IF(A103=FALSE,"",Cotations!D103)</f>
        <v/>
      </c>
      <c r="HB103" s="495" t="str">
        <f>IF(A103=FALSE,"",IF(LISTES!$A$17=1,Cotations!AX103,Cotations!$AY$4))</f>
        <v/>
      </c>
      <c r="HC103" s="291" t="str">
        <f t="shared" si="687"/>
        <v/>
      </c>
      <c r="HD103" s="291" t="str">
        <f t="shared" si="688"/>
        <v/>
      </c>
      <c r="HE103" s="456" t="str">
        <f t="shared" si="689"/>
        <v/>
      </c>
      <c r="HF103" s="496" t="str">
        <f>IF(A103=FALSE,"",IF(HA103="POEA",Cotations!BA103,IF(HA103="FIXE",Cotations!$BA$4,Cotations!$BC$4*Y103)))</f>
        <v/>
      </c>
      <c r="HG103" s="300" t="str">
        <f t="shared" si="690"/>
        <v/>
      </c>
      <c r="HH103" s="522" t="str">
        <f>IF(A103=FALSE,"",IF(Cotations!$AZ$4="monthly",HG103/12*L103,HG103/365*M103))</f>
        <v/>
      </c>
      <c r="HI103" s="489" t="str">
        <f>IF(A103=FALSE,"",Cotations!$BD$4)</f>
        <v/>
      </c>
      <c r="HJ103" s="300" t="str">
        <f t="shared" si="691"/>
        <v/>
      </c>
      <c r="HK103" s="300" t="str">
        <f t="shared" si="692"/>
        <v/>
      </c>
      <c r="HL103" s="294" t="str">
        <f t="shared" si="693"/>
        <v/>
      </c>
      <c r="HM103" s="494" t="str">
        <f>IF(A103=FALSE,"",Cotations!$BE$4)</f>
        <v/>
      </c>
      <c r="HN103" s="522" t="str">
        <f>IF(A103=FALSE,"",Cotations!$BF$4)</f>
        <v/>
      </c>
      <c r="HO103" s="489" t="str">
        <f>IF(A103=FALSE,"",Cotations!$BG$4)</f>
        <v/>
      </c>
      <c r="HP103" s="494" t="str">
        <f>IF(A103=FALSE,"",IF(HM103="N/A",0,IF(INDEX(LISTES!$F$105:$F$109,MATCH(HM103,LISTES!$C$105:$C$109,0))="FIX",IF(INDEX(LISTES!$E$105:$E$109,MATCH(HM103,LISTES!$C$105:$C$109,0))=12,HN103/12*L103,HN103/365*M103),HO103*HL103)))</f>
        <v/>
      </c>
      <c r="HQ103" s="294" t="str">
        <f t="shared" si="694"/>
        <v/>
      </c>
      <c r="HR103" s="494" t="str">
        <f>IF(A103=FALSE,"",HQ103*Cotations!$BH$4)</f>
        <v/>
      </c>
      <c r="HS103" s="494" t="str">
        <f>IF(A103=FALSE,"",HQ103*Cotations!$BI$4)</f>
        <v/>
      </c>
      <c r="HT103" s="294" t="str">
        <f t="shared" si="695"/>
        <v/>
      </c>
      <c r="HU103" s="919" t="str">
        <f>IF(A103=FALSE,"",((HG103*TAXE)-(HG103*TAXE*HI103))+IF(HM103="N/A",0,IF(INDEX(LISTES!$F$105:$F$109,MATCH(HM103,LISTES!$C$105:$C$109,0))="FIX",HN103,HO103*HL103)))</f>
        <v/>
      </c>
      <c r="IA103" s="492" t="str">
        <f>IF(A103=FALSE,"",Cotations!D103)</f>
        <v/>
      </c>
      <c r="IB103" s="491" t="str">
        <f>IF(A103=FALSE,"",IF(LISTES!$A$17=1,Cotations!AX103,Cotations!AY103))</f>
        <v/>
      </c>
      <c r="IC103" s="285" t="str">
        <f t="shared" si="696"/>
        <v/>
      </c>
      <c r="ID103" s="300" t="str">
        <f>IF(A103=FALSE,"",IF(LISTES!$A$17=3,Detail!AU103,lig1_Formula_PREVOY))</f>
        <v/>
      </c>
      <c r="IE103" s="461" t="str">
        <f t="shared" si="697"/>
        <v/>
      </c>
      <c r="IF103" s="490" t="str">
        <f>IF(A103=FALSE,"",IF(IA103="POEA",Cotations!BA103,IF(HA103="FIXE",Cotations!BB103,IF(Cotations!BC103*Y103&lt;50000,Z103,Cotations!BC103*Y103))))</f>
        <v/>
      </c>
      <c r="IG103" s="300" t="str">
        <f t="shared" si="698"/>
        <v/>
      </c>
      <c r="IH103" s="522" t="str">
        <f>IF(A103=FALSE,"",IF(Cotations!AZ103="monthly",IG103/12*L103,IG103/365*M103))</f>
        <v/>
      </c>
      <c r="II103" s="489" t="str">
        <f>IF(A103=FALSE,"",IF(Cotations!BD103="","",Cotations!BD103))</f>
        <v/>
      </c>
      <c r="IJ103" s="300" t="str">
        <f t="shared" si="699"/>
        <v/>
      </c>
      <c r="IK103" s="300" t="str">
        <f t="shared" si="700"/>
        <v/>
      </c>
      <c r="IL103" s="919" t="str">
        <f t="shared" si="701"/>
        <v/>
      </c>
      <c r="IM103" s="517" t="str">
        <f>IF(A103=FALSE,"",Cotations!BE103)</f>
        <v/>
      </c>
      <c r="IN103" s="517" t="str">
        <f>IF(A103=FALSE,"",Cotations!BF103)</f>
        <v/>
      </c>
      <c r="IO103" s="493" t="str">
        <f>IF(A103=FALSE,"",Cotations!BG103)</f>
        <v/>
      </c>
      <c r="IP103" s="517" t="str">
        <f>IF(A103=FALSE,"",IF(IM103="N/A",0,IF(INDEX(LISTES!$F$105:$F$109,MATCH(IM103,LISTES!$C$105:$C$109,0))="FIX",IF(INDEX(LISTES!$E$105:$E$109,MATCH(IM103,LISTES!$C$105:$C$109,0))=12,IN103/12*L103,IN103/365*M103),IO103*IL103)))</f>
        <v/>
      </c>
      <c r="IQ103" s="294" t="str">
        <f t="shared" si="702"/>
        <v/>
      </c>
      <c r="IR103" s="494" t="str">
        <f>IF(A103=FALSE,"",IQ103*Cotations!BH103)</f>
        <v/>
      </c>
      <c r="IS103" s="494" t="str">
        <f>IF(A103=FALSE,"",IQ103*Cotations!BI103)</f>
        <v/>
      </c>
      <c r="IT103" s="338" t="str">
        <f t="shared" si="703"/>
        <v/>
      </c>
      <c r="IU103" s="919" t="str">
        <f>IF(A103=FALSE,"",((IG103*TAXE)-(IG103*TAXE*II103))+IF(IM103="N/A",0,IF(INDEX(LISTES!$F$105:$F$109,MATCH(IM103,LISTES!$C$105:$C$109,0))="FIX",IN103,IO103*IL103)))</f>
        <v/>
      </c>
      <c r="JA103" s="492" t="str">
        <f>IF(A103=FALSE,"",Cotations!D103)</f>
        <v/>
      </c>
      <c r="JB103" s="495" t="str">
        <f>IF(A103=FALSE,"",IF(LISTES!$A$17=1,Cotations!BJ103,Cotations!$BK$4))</f>
        <v/>
      </c>
      <c r="JC103" s="291" t="str">
        <f t="shared" si="704"/>
        <v/>
      </c>
      <c r="JD103" s="291" t="str">
        <f t="shared" si="705"/>
        <v/>
      </c>
      <c r="JE103" s="456" t="str">
        <f t="shared" si="706"/>
        <v/>
      </c>
      <c r="JF103" s="496" t="str">
        <f>IF(A103=FALSE,"",IF(JA103="POEA",Cotations!BM103,IF(JA103="FIXE",Cotations!$BM$4,Cotations!$BO$4*Y103)))</f>
        <v/>
      </c>
      <c r="JG103" s="300" t="str">
        <f t="shared" si="707"/>
        <v/>
      </c>
      <c r="JH103" s="522" t="str">
        <f>IF(A103=FALSE,"",IF(Cotations!$BL$4="monthly",JG103/12*L103,JG103/365*M103))</f>
        <v/>
      </c>
      <c r="JI103" s="489" t="str">
        <f>IF(A103=FALSE,"",Cotations!$BP$4)</f>
        <v/>
      </c>
      <c r="JJ103" s="300" t="str">
        <f t="shared" si="708"/>
        <v/>
      </c>
      <c r="JK103" s="300" t="str">
        <f t="shared" si="709"/>
        <v/>
      </c>
      <c r="JL103" s="294" t="str">
        <f t="shared" si="710"/>
        <v/>
      </c>
      <c r="JM103" s="494" t="str">
        <f>IF(A103=FALSE,"",Cotations!$BQ$4)</f>
        <v/>
      </c>
      <c r="JN103" s="522" t="str">
        <f>IF(A103=FALSE,"",Cotations!$BR$4)</f>
        <v/>
      </c>
      <c r="JO103" s="489" t="str">
        <f>IF(A103=FALSE,"",Cotations!$BS$4)</f>
        <v/>
      </c>
      <c r="JP103" s="494" t="str">
        <f>IF(A103=FALSE,"",IF(JM103="N/A",0,IF(INDEX(LISTES!$F$105:$F$109,MATCH(JM103,LISTES!$C$105:$C$109,0))="FIX",IF(INDEX(LISTES!$E$105:$E$109,MATCH(JM103,LISTES!$C$105:$C$109,0))=12,JN103/12*L103,JN103/365*M103),JO103*JL103)))</f>
        <v/>
      </c>
      <c r="JQ103" s="294" t="str">
        <f t="shared" si="711"/>
        <v/>
      </c>
      <c r="JR103" s="494" t="str">
        <f>IF(A103=FALSE,"",JQ103*Cotations!$BT$4)</f>
        <v/>
      </c>
      <c r="JS103" s="494" t="str">
        <f>IF(A103=FALSE,"",JQ103*Cotations!$BU$4)</f>
        <v/>
      </c>
      <c r="JT103" s="294" t="str">
        <f t="shared" si="712"/>
        <v/>
      </c>
      <c r="JU103" s="919" t="str">
        <f>IF(A103=FALSE,"",((JG103*TAXE)-(JG103*TAXE*JI103))+IF(JM103="N/A",0,IF(INDEX(LISTES!$F$105:$F$109,MATCH(JM103,LISTES!$C$105:$C$109,0))="FIX",JN103,JO103*JL103)))</f>
        <v/>
      </c>
      <c r="KA103" s="492" t="str">
        <f>IF(A103=FALSE,"",Cotations!D103)</f>
        <v/>
      </c>
      <c r="KB103" s="491" t="str">
        <f>IF(A103=FALSE,"",IF(LISTES!$A$17=1,Cotations!BJ103,Cotations!BK103))</f>
        <v/>
      </c>
      <c r="KC103" s="285" t="str">
        <f t="shared" si="713"/>
        <v/>
      </c>
      <c r="KD103" s="300"/>
      <c r="KE103" s="461" t="str">
        <f t="shared" si="714"/>
        <v/>
      </c>
      <c r="KF103" s="490" t="str">
        <f>IF(A103=FALSE,"",IF(KA103="POEA",Cotations!BM103,IF(KA103="FIXE",Cotations!BN103,IF(Cotations!BO103*Y103&lt;50000,Z103,Cotations!BO103*Y103))))</f>
        <v/>
      </c>
      <c r="KG103" s="300" t="str">
        <f t="shared" si="715"/>
        <v/>
      </c>
      <c r="KH103" s="522" t="str">
        <f>IF(A103=FALSE,"",IF(Cotations!BL103="monthly",KG103/12*L103,KG103/365*M103))</f>
        <v/>
      </c>
      <c r="KI103" s="489" t="str">
        <f>IF(A103=FALSE,"",IF(Cotations!BP103="","",Cotations!BP103))</f>
        <v/>
      </c>
      <c r="KJ103" s="300" t="str">
        <f t="shared" si="716"/>
        <v/>
      </c>
      <c r="KK103" s="300" t="str">
        <f t="shared" si="717"/>
        <v/>
      </c>
      <c r="KL103" s="919" t="str">
        <f t="shared" si="718"/>
        <v/>
      </c>
      <c r="KM103" s="517" t="str">
        <f>IF(A103=FALSE,"",Cotations!BQ103)</f>
        <v/>
      </c>
      <c r="KN103" s="515" t="str">
        <f>IF(A103=FALSE,"",Cotations!BR103)</f>
        <v/>
      </c>
      <c r="KO103" s="493" t="str">
        <f>IF(A103=FALSE,"",Cotations!BS103)</f>
        <v/>
      </c>
      <c r="KP103" s="517" t="str">
        <f>IF(A103=FALSE,"",IF(KM103="N/A",0,IF(INDEX(LISTES!$F$105:$F$109,MATCH(KM103,LISTES!$C$105:$C$109,0))="FIX",IF(INDEX(LISTES!$E$105:$E$109,MATCH(KM103,LISTES!$C$105:$C$109,0))=12,KN103/12*L103,KN103/365*M103),KO103*KL103)))</f>
        <v/>
      </c>
      <c r="KQ103" s="294" t="str">
        <f t="shared" si="719"/>
        <v/>
      </c>
      <c r="KR103" s="494" t="str">
        <f>IF(A103=FALSE,"",KQ103*Cotations!BT103)</f>
        <v/>
      </c>
      <c r="KS103" s="494" t="str">
        <f>IF(A103=FALSE,"",KQ103*Cotations!BU103)</f>
        <v/>
      </c>
      <c r="KT103" s="338" t="str">
        <f t="shared" si="720"/>
        <v/>
      </c>
      <c r="KU103" s="919" t="str">
        <f>IF(A103=FALSE,"",((KG103*TAXE)-(KG103*TAXE*KI103))+IF(KM103="N/A",0,IF(INDEX(LISTES!$F$105:$F$109,MATCH(KM103,LISTES!$C$105:$C$109,0))="FIX",KN103,KO103*KL103)))</f>
        <v/>
      </c>
      <c r="LA103" s="497" t="str">
        <f>IF(A103=FALSE,"",Cotations!D103)</f>
        <v/>
      </c>
      <c r="LB103" s="498" t="str">
        <f>IF(A103=FALSE,"",IF(LISTES!$A$17=1,Cotations!BV103,Cotations!$BW$4))</f>
        <v/>
      </c>
      <c r="LC103" s="499" t="str">
        <f t="shared" si="721"/>
        <v/>
      </c>
      <c r="LD103" s="499" t="str">
        <f t="shared" si="722"/>
        <v/>
      </c>
      <c r="LE103" s="500" t="str">
        <f t="shared" si="723"/>
        <v/>
      </c>
      <c r="LF103" s="501" t="str">
        <f>IF(A103=FALSE,"",IF(LA103="POEA",Cotations!EJ103,IF(LA103="FIXE",Cotations!$BY$4,Cotations!$CA$4*Y103)))</f>
        <v/>
      </c>
      <c r="LG103" s="502" t="str">
        <f t="shared" si="724"/>
        <v/>
      </c>
      <c r="LH103" s="520" t="str">
        <f>IF(A103=FALSE,"",IF(Cotations!$BX$4="monthly",LG103/12*L103,LG103/365*M103))</f>
        <v/>
      </c>
      <c r="LI103" s="503" t="str">
        <f>IF(A103=FALSE,"",Cotations!$CB$4)</f>
        <v/>
      </c>
      <c r="LJ103" s="502" t="str">
        <f t="shared" si="725"/>
        <v/>
      </c>
      <c r="LK103" s="502" t="str">
        <f t="shared" si="726"/>
        <v/>
      </c>
      <c r="LL103" s="504" t="str">
        <f t="shared" si="727"/>
        <v/>
      </c>
      <c r="LM103" s="505" t="str">
        <f>IF(A103=FALSE,"",Cotations!$CC$4)</f>
        <v/>
      </c>
      <c r="LN103" s="503" t="str">
        <f>IF(A103=FALSE,"",Cotations!$CD$4)</f>
        <v/>
      </c>
      <c r="LO103" s="503" t="str">
        <f>IF(A103=FALSE,"",Cotations!$CE$4)</f>
        <v/>
      </c>
      <c r="LP103" s="505" t="str">
        <f>IF(A103=FALSE,"",IF(LM103="N/A",0,IF(INDEX(LISTES!$F$105:$F$109,MATCH(LM103,LISTES!$C$105:$C$109,0))="FIX",IF(INDEX(LISTES!$E$105:$E$109,MATCH(LM103,LISTES!$C$105:$C$109,0))=12,LN103/12*L103,LN103/365*M103),LO103*LL103)))</f>
        <v/>
      </c>
      <c r="LQ103" s="504" t="str">
        <f t="shared" si="728"/>
        <v/>
      </c>
      <c r="LR103" s="505" t="str">
        <f>IF(A103=FALSE,"",LQ103*Cotations!$CF$4)</f>
        <v/>
      </c>
      <c r="LS103" s="505" t="str">
        <f>IF(A103=FALSE,"",LQ103*Cotations!$CG$4)</f>
        <v/>
      </c>
      <c r="LT103" s="506" t="str">
        <f t="shared" si="729"/>
        <v/>
      </c>
      <c r="LU103" s="919" t="str">
        <f>IF(A103=FALSE,"",((LG103*TAXE)-(LG103*TAXE*LI103))+IF(LM103="N/A",0,IF(INDEX(LISTES!$F$105:$F$109,MATCH(LM103,LISTES!$C$105:$C$109,0))="FIX",LN103,LO103*LL103)))</f>
        <v/>
      </c>
      <c r="MA103" s="492" t="str">
        <f>IF(A103=FALSE,"",Cotations!D103)</f>
        <v/>
      </c>
      <c r="MB103" s="491" t="str">
        <f>IF(A103=FALSE,"",IF(LISTES!$A$17=1,Cotations!BV103,Cotations!BW103))</f>
        <v/>
      </c>
      <c r="MC103" s="285" t="str">
        <f t="shared" si="730"/>
        <v/>
      </c>
      <c r="MD103" s="300"/>
      <c r="ME103" s="461" t="str">
        <f t="shared" si="731"/>
        <v/>
      </c>
      <c r="MF103" s="490" t="str">
        <f>IF(A103=FALSE,"",IF(MA103="POEA",Cotations!BY103,IF(MA103="FIXE",Cotations!BZ103,IF(Cotations!CA103*Y103&lt;50000,Z103,Cotations!CA103*Y103))))</f>
        <v/>
      </c>
      <c r="MG103" s="300" t="str">
        <f t="shared" si="732"/>
        <v/>
      </c>
      <c r="MH103" s="522" t="str">
        <f>IF(A103=FALSE,"",IF(Cotations!BX103="monthly",MG103/12*L103,MG103/365*M103))</f>
        <v/>
      </c>
      <c r="MI103" s="489" t="str">
        <f>IF(A103=FALSE,"",IF(Cotations!CB103="","",Cotations!CB103))</f>
        <v/>
      </c>
      <c r="MJ103" s="300" t="str">
        <f t="shared" si="733"/>
        <v/>
      </c>
      <c r="MK103" s="300" t="str">
        <f t="shared" si="734"/>
        <v/>
      </c>
      <c r="ML103" s="919" t="str">
        <f t="shared" si="735"/>
        <v/>
      </c>
      <c r="MM103" s="517" t="str">
        <f>IF(A103=FALSE,"",Cotations!CC103)</f>
        <v/>
      </c>
      <c r="MN103" s="515" t="str">
        <f>IF(A103=FALSE,"",Cotations!CD103)</f>
        <v/>
      </c>
      <c r="MO103" s="493" t="str">
        <f>IF(A103=FALSE,"",Cotations!CE103)</f>
        <v/>
      </c>
      <c r="MP103" s="517" t="str">
        <f>IF(A103=FALSE,"",IF(MM103="N/A",0,IF(INDEX(LISTES!$F$105:$F$109,MATCH(MM103,LISTES!$C$105:$C$109,0))="FIX",IF(INDEX(LISTES!$E$105:$E$109,MATCH(MM103,LISTES!$C$105:$C$109,0))=12,MN103/12*L103,MN103/365*M103),MO103*ML103)))</f>
        <v/>
      </c>
      <c r="MQ103" s="294" t="str">
        <f t="shared" si="736"/>
        <v/>
      </c>
      <c r="MR103" s="494" t="str">
        <f>IF(A103=FALSE,"",MQ103*Cotations!CF103)</f>
        <v/>
      </c>
      <c r="MS103" s="494" t="str">
        <f>IF(A103=FALSE,"",MQ103*Cotations!CG103)</f>
        <v/>
      </c>
      <c r="MT103" s="338" t="str">
        <f t="shared" si="737"/>
        <v/>
      </c>
      <c r="MU103" s="919" t="str">
        <f>IF(A103=FALSE,"",((MG103*TAXE)-(MG103*TAXE*MI103))+IF(MM103="N/A",0,IF(INDEX(LISTES!$F$105:$F$109,MATCH(MM103,LISTES!$C$105:$C$109,0))="FIX",MN103,MO103*ML103)))</f>
        <v/>
      </c>
      <c r="NA103" s="497" t="str">
        <f>IF(A103=FALSE,"",Cotations!D103)</f>
        <v/>
      </c>
      <c r="NB103" s="498" t="str">
        <f>IF(A103=FALSE,"",IF(LISTES!$A$17=1,Cotations!CH103,Cotations!$CI$4))</f>
        <v/>
      </c>
      <c r="NC103" s="499" t="str">
        <f t="shared" si="738"/>
        <v/>
      </c>
      <c r="ND103" s="499" t="str">
        <f t="shared" si="739"/>
        <v/>
      </c>
      <c r="NE103" s="500" t="str">
        <f t="shared" si="740"/>
        <v/>
      </c>
      <c r="NF103" s="501" t="str">
        <f>IF(A103=FALSE,"",IF(NA103="POEA",Cotations!CK103,IF(NA103="FIXE",Cotations!$CK$4,Cotations!$CM$4*Y103)))</f>
        <v/>
      </c>
      <c r="NG103" s="502" t="str">
        <f t="shared" si="741"/>
        <v/>
      </c>
      <c r="NH103" s="520" t="str">
        <f>IF(A103=FALSE,"",IF(Cotations!$CJ$4="monthly",NG103/12*L103,NG103/365*M103))</f>
        <v/>
      </c>
      <c r="NI103" s="503" t="str">
        <f>IF(A103=FALSE,"",Cotations!$CN$4)</f>
        <v/>
      </c>
      <c r="NJ103" s="502" t="str">
        <f t="shared" si="742"/>
        <v/>
      </c>
      <c r="NK103" s="502" t="str">
        <f t="shared" si="743"/>
        <v/>
      </c>
      <c r="NL103" s="504" t="str">
        <f t="shared" si="744"/>
        <v/>
      </c>
      <c r="NM103" s="505" t="str">
        <f>IF(A103=FALSE,"",Cotations!$CO$4)</f>
        <v/>
      </c>
      <c r="NN103" s="520" t="str">
        <f>IF(A103=FALSE,"",Cotations!$CP$4)</f>
        <v/>
      </c>
      <c r="NO103" s="503" t="str">
        <f>IF(A103=FALSE,"",Cotations!$CQ$4)</f>
        <v/>
      </c>
      <c r="NP103" s="505" t="str">
        <f>IF(A103=FALSE,"",IF(NM103="N/A",0,IF(INDEX(LISTES!$F$105:$F$109,MATCH(NM103,LISTES!$C$105:$C$109,0))="FIX",IF(INDEX(LISTES!$E$105:$E$109,MATCH(NM103,LISTES!$C$105:$C$109,0))=12,NN103/12*L103,NN103/365*M103),NO103*NL103)))</f>
        <v/>
      </c>
      <c r="NQ103" s="504" t="str">
        <f t="shared" si="745"/>
        <v/>
      </c>
      <c r="NR103" s="505" t="str">
        <f>IF(A103=FALSE,"",NQ103*Cotations!$CR$4)</f>
        <v/>
      </c>
      <c r="NS103" s="505" t="str">
        <f>IF(A103=FALSE,"",NQ103*Cotations!$CS$4)</f>
        <v/>
      </c>
      <c r="NT103" s="506" t="str">
        <f t="shared" si="746"/>
        <v/>
      </c>
      <c r="NU103" s="919" t="str">
        <f>IF(A103=FALSE,"",((NG103*TAXE)-(NG103*TAXE*NI103))+IF(NM103="N/A",0,IF(INDEX(LISTES!$F$105:$F$109,MATCH(NM103,LISTES!$C$105:$C$109,0))="FIX",NN103,NO103*NL103)))</f>
        <v/>
      </c>
      <c r="OA103" s="492" t="str">
        <f>IF(A103=FALSE,"",Cotations!D103)</f>
        <v/>
      </c>
      <c r="OB103" s="491" t="str">
        <f>IF(A103=FALSE,"",IF(LISTES!$A$17=1,Cotations!CH103,Cotations!CI103))</f>
        <v/>
      </c>
      <c r="OC103" s="285" t="str">
        <f t="shared" si="747"/>
        <v/>
      </c>
      <c r="OD103" s="300"/>
      <c r="OE103" s="461" t="str">
        <f t="shared" si="748"/>
        <v/>
      </c>
      <c r="OF103" s="490" t="str">
        <f>IF(A103=FALSE,"",IF(OA103="POEA",Cotations!CK103,IF(OA103="FIXE",Cotations!CL103,IF(Cotations!CM103*Y103&lt;50000,Z103,Cotations!CM103*Y103))))</f>
        <v/>
      </c>
      <c r="OG103" s="300" t="str">
        <f t="shared" si="749"/>
        <v/>
      </c>
      <c r="OH103" s="522" t="str">
        <f>IF(A103=FALSE,"",IF(Cotations!CJ103="monthly",OG103/12*L103,OG103/365*M103))</f>
        <v/>
      </c>
      <c r="OI103" s="489" t="str">
        <f>IF(A103=FALSE,"",IF(Cotations!CN103="","",Cotations!CN103))</f>
        <v/>
      </c>
      <c r="OJ103" s="300" t="str">
        <f t="shared" si="750"/>
        <v/>
      </c>
      <c r="OK103" s="300" t="str">
        <f t="shared" si="751"/>
        <v/>
      </c>
      <c r="OL103" s="919" t="str">
        <f t="shared" si="752"/>
        <v/>
      </c>
      <c r="OM103" s="517" t="str">
        <f>IF(A103=FALSE,"",Cotations!CO103)</f>
        <v/>
      </c>
      <c r="ON103" s="515" t="str">
        <f>IF(A103=FALSE,"",Cotations!CP103)</f>
        <v/>
      </c>
      <c r="OO103" s="493" t="str">
        <f>IF(A103=FALSE,"",Cotations!CQ103)</f>
        <v/>
      </c>
      <c r="OP103" s="517" t="str">
        <f>IF(A103=FALSE,"",IF(OM103="N/A",0,IF(INDEX(LISTES!$F$105:$F$109,MATCH(OM103,LISTES!$C$105:$C$109,0))="FIX",IF(INDEX(LISTES!$E$105:$E$109,MATCH(OM103,LISTES!$C$105:$C$109,0))=12,ON103/12*L103,ON103/365*M103),OO103*OL103)))</f>
        <v/>
      </c>
      <c r="OQ103" s="294" t="str">
        <f t="shared" si="753"/>
        <v/>
      </c>
      <c r="OR103" s="494" t="str">
        <f>IF(A103=FALSE,"",OQ103*Cotations!CR103)</f>
        <v/>
      </c>
      <c r="OS103" s="494" t="str">
        <f>IF(A103=FALSE,"",OQ103*Cotations!CS103)</f>
        <v/>
      </c>
      <c r="OT103" s="338" t="str">
        <f t="shared" si="754"/>
        <v/>
      </c>
      <c r="OU103" s="919" t="str">
        <f>IF(A103=FALSE,"",((OG103*TAXE)-(OG103*TAXE*OI103))+IF(OM103="N/A",0,IF(INDEX(LISTES!$F$105:$F$109,MATCH(OM103,LISTES!$C$105:$C$109,0))="FIX",ON103,OO103*OL103)))</f>
        <v/>
      </c>
      <c r="PA103" s="497" t="str">
        <f t="shared" si="755"/>
        <v/>
      </c>
      <c r="PB103" s="498" t="str">
        <f>IF(A103=FALSE,"",IF(LISTES!$A$17=1,Cotations!CT103,Cotations!$CU$4))</f>
        <v/>
      </c>
      <c r="PC103" s="499" t="str">
        <f t="shared" si="756"/>
        <v/>
      </c>
      <c r="PD103" s="499" t="str">
        <f t="shared" si="757"/>
        <v/>
      </c>
      <c r="PE103" s="500" t="str">
        <f t="shared" si="758"/>
        <v/>
      </c>
      <c r="PF103" s="501" t="str">
        <f>IF(A103=FALSE,"",Cotations!$CY$4*Y103)</f>
        <v/>
      </c>
      <c r="PG103" s="502" t="str">
        <f t="shared" si="759"/>
        <v/>
      </c>
      <c r="PH103" s="520" t="str">
        <f>IF(A103=FALSE,"",IF(Cotations!$CV$4="monthly",PG103/12*L103,PG103/365*M103))</f>
        <v/>
      </c>
      <c r="PI103" s="503" t="str">
        <f>IF(A103=FALSE,"",Cotations!$CZ$4)</f>
        <v/>
      </c>
      <c r="PJ103" s="502" t="str">
        <f t="shared" si="760"/>
        <v/>
      </c>
      <c r="PK103" s="502" t="str">
        <f t="shared" si="761"/>
        <v/>
      </c>
      <c r="PL103" s="504" t="str">
        <f t="shared" si="762"/>
        <v/>
      </c>
      <c r="PM103" s="505" t="str">
        <f>IF(A103=FALSE,"",Cotations!$DA$4)</f>
        <v/>
      </c>
      <c r="PN103" s="520" t="str">
        <f>IF(A103=FALSE,"",Cotations!$DB$4)</f>
        <v/>
      </c>
      <c r="PO103" s="503" t="str">
        <f>IF(A103=FALSE,"",Cotations!$DC$4)</f>
        <v/>
      </c>
      <c r="PP103" s="505" t="str">
        <f>IF(A103=FALSE,"",IF(PM103="N/A",0,IF(INDEX(LISTES!$F$105:$F$109,MATCH(PM103,LISTES!$C$105:$C$109,0))="FIX",IF(INDEX(LISTES!$E$105:$E$109,MATCH(PM103,LISTES!$C$105:$C$109,0))=12,PN103/12*L103,PN103/365*M103),PO103*PL103)))</f>
        <v/>
      </c>
      <c r="PQ103" s="504" t="str">
        <f t="shared" si="763"/>
        <v/>
      </c>
      <c r="PR103" s="505" t="str">
        <f>IF(A103=FALSE,"",PQ103*Cotations!$DD$4)</f>
        <v/>
      </c>
      <c r="PS103" s="505" t="str">
        <f>IF(A103=FALSE,"",PQ103*Cotations!$DE$4)</f>
        <v/>
      </c>
      <c r="PT103" s="506" t="str">
        <f t="shared" si="764"/>
        <v/>
      </c>
      <c r="PU103" s="919" t="str">
        <f>IF(A103=FALSE,"",((PG103*TAXE)-(PG103*TAXE*PI103))+IF(PM103="N/A",0,IF(INDEX(LISTES!$F$105:$F$109,MATCH(PM103,LISTES!$C$105:$C$109,0))="FIX",PN103,PO103*PL103)))</f>
        <v/>
      </c>
      <c r="QA103" s="492" t="str">
        <f t="shared" si="765"/>
        <v/>
      </c>
      <c r="QB103" s="491" t="str">
        <f>IF(A103=FALSE,"",IF(LISTES!$A$17=1,Cotations!CT103,Cotations!CU103))</f>
        <v/>
      </c>
      <c r="QC103" s="285" t="str">
        <f t="shared" si="766"/>
        <v/>
      </c>
      <c r="QD103" s="300"/>
      <c r="QE103" s="461" t="str">
        <f t="shared" si="767"/>
        <v/>
      </c>
      <c r="QF103" s="490" t="str">
        <f>IF(A103=FALSE,"",Cotations!CY103*AA103)</f>
        <v/>
      </c>
      <c r="QG103" s="300" t="str">
        <f t="shared" si="768"/>
        <v/>
      </c>
      <c r="QH103" s="522" t="str">
        <f>IF(A103=FALSE,"",IF(Cotations!CV103="monthly",QG103/12*L103,QG103/365*M103))</f>
        <v/>
      </c>
      <c r="QI103" s="489" t="str">
        <f>IF(A103=FALSE,"",IF(Cotations!CZ103="","",Cotations!CZ103))</f>
        <v/>
      </c>
      <c r="QJ103" s="300" t="str">
        <f t="shared" si="769"/>
        <v/>
      </c>
      <c r="QK103" s="300" t="str">
        <f t="shared" si="770"/>
        <v/>
      </c>
      <c r="QL103" s="919" t="str">
        <f t="shared" si="771"/>
        <v/>
      </c>
      <c r="QM103" s="517" t="str">
        <f>IF(A103=FALSE,"",Cotations!DA103)</f>
        <v/>
      </c>
      <c r="QN103" s="515" t="str">
        <f>IF(A103=FALSE,"",Cotations!DB103)</f>
        <v/>
      </c>
      <c r="QO103" s="493" t="str">
        <f>IF(A103=FALSE,"",Cotations!DC103)</f>
        <v/>
      </c>
      <c r="QP103" s="517" t="str">
        <f>IF(A103=FALSE,"",IF(QM103="N/A",0,IF(INDEX(LISTES!$F$105:$F$109,MATCH(QM103,LISTES!$C$105:$C$109,0))="FIX",IF(INDEX(LISTES!$E$105:$E$109,MATCH(QM103,LISTES!$C$105:$C$109,0))=12,QN103/12*L103,QN103/365*M103),QO103*QL103)))</f>
        <v/>
      </c>
      <c r="QQ103" s="294" t="str">
        <f t="shared" si="772"/>
        <v/>
      </c>
      <c r="QR103" s="494" t="str">
        <f>IF(A103=FALSE,"",QQ103*Cotations!DD103)</f>
        <v/>
      </c>
      <c r="QS103" s="494" t="str">
        <f>IF(A103=FALSE,"",QQ103*Cotations!DE103)</f>
        <v/>
      </c>
      <c r="QT103" s="338" t="str">
        <f t="shared" si="773"/>
        <v/>
      </c>
      <c r="QU103" s="919" t="str">
        <f>IF(A103=FALSE,"",((QG103*TAXE)-(QG103*TAXE*QI103))+IF(QM103="N/A",0,IF(INDEX(LISTES!$F$105:$F$109,MATCH(QM103,LISTES!$C$105:$C$109,0))="FIX",QN103,QO103*QL103)))</f>
        <v/>
      </c>
      <c r="RA103" s="497" t="str">
        <f t="shared" si="774"/>
        <v/>
      </c>
      <c r="RB103" s="498" t="str">
        <f>IF(A103=FALSE,"",IF(LISTES!$A$17=1,Cotations!DF103,Cotations!$DG$4))</f>
        <v/>
      </c>
      <c r="RC103" s="499" t="str">
        <f t="shared" si="775"/>
        <v/>
      </c>
      <c r="RD103" s="499" t="str">
        <f t="shared" si="776"/>
        <v/>
      </c>
      <c r="RE103" s="500" t="str">
        <f t="shared" si="777"/>
        <v/>
      </c>
      <c r="RF103" s="501" t="str">
        <f>IF(A103=FALSE,"",Cotations!$DK$4*Y103)</f>
        <v/>
      </c>
      <c r="RG103" s="502" t="str">
        <f t="shared" si="778"/>
        <v/>
      </c>
      <c r="RH103" s="520" t="str">
        <f>IF(A103=FALSE,"",IF(Cotations!$DH$4="monthly",RG103/12*L103,RG103/365*M103))</f>
        <v/>
      </c>
      <c r="RI103" s="503" t="str">
        <f>IF(A103=FALSE,"",Cotations!$DL$4)</f>
        <v/>
      </c>
      <c r="RJ103" s="502" t="str">
        <f t="shared" si="779"/>
        <v/>
      </c>
      <c r="RK103" s="502" t="str">
        <f t="shared" si="780"/>
        <v/>
      </c>
      <c r="RL103" s="504" t="str">
        <f t="shared" si="781"/>
        <v/>
      </c>
      <c r="RM103" s="505" t="str">
        <f>IF(A103=FALSE,"",Cotations!$DM$4)</f>
        <v/>
      </c>
      <c r="RN103" s="520" t="str">
        <f>IF(A103=FALSE,"",Cotations!$DN$4)</f>
        <v/>
      </c>
      <c r="RO103" s="503" t="str">
        <f>IF(A103=FALSE,"",Cotations!$DO$4)</f>
        <v/>
      </c>
      <c r="RP103" s="505" t="str">
        <f>IF(A103=FALSE,"",IF(RM103="N/A",0,IF(INDEX(LISTES!$F$105:$F$109,MATCH(RM103,LISTES!$C$105:$C$109,0))="FIX",IF(INDEX(LISTES!$E$105:$E$109,MATCH(RM103,LISTES!$C$105:$C$109,0))=12,RN103/12*L103,RN103/365*M103),RO103*RL103)))</f>
        <v/>
      </c>
      <c r="RQ103" s="504" t="str">
        <f t="shared" si="782"/>
        <v/>
      </c>
      <c r="RR103" s="505" t="str">
        <f>IF(A103=FALSE,"",RQ103*Cotations!$DP$4)</f>
        <v/>
      </c>
      <c r="RS103" s="505" t="str">
        <f>IF(A103=FALSE,"",RQ103*Cotations!$DQ$4)</f>
        <v/>
      </c>
      <c r="RT103" s="506" t="str">
        <f t="shared" si="783"/>
        <v/>
      </c>
      <c r="RU103" s="919" t="str">
        <f>IF(A103=FALSE,"",((RG103*TAXE)-(RG103*TAXE*RI103))+IF(RM103="N/A",0,IF(INDEX(LISTES!$F$105:$F$109,MATCH(RM103,LISTES!$C$105:$C$109,0))="FIX",RN103,RO103*RL103)))</f>
        <v/>
      </c>
      <c r="SA103" s="492" t="str">
        <f t="shared" si="784"/>
        <v/>
      </c>
      <c r="SB103" s="491" t="str">
        <f>IF(A103=FALSE,"",IF(LISTES!$A$17=1,Cotations!DF103,Cotations!DG103))</f>
        <v/>
      </c>
      <c r="SC103" s="285" t="str">
        <f t="shared" si="785"/>
        <v/>
      </c>
      <c r="SD103" s="300"/>
      <c r="SE103" s="461" t="str">
        <f t="shared" si="786"/>
        <v/>
      </c>
      <c r="SF103" s="490" t="str">
        <f>IF(A103=FALSE,"",Cotations!DK103*AA103)</f>
        <v/>
      </c>
      <c r="SG103" s="300" t="str">
        <f t="shared" si="787"/>
        <v/>
      </c>
      <c r="SH103" s="522" t="str">
        <f>IF(A103=FALSE,"",IF(Cotations!DH103="monthly",SG103/12*L103,SG103/365*M103))</f>
        <v/>
      </c>
      <c r="SI103" s="489" t="str">
        <f>IF(A103=FALSE,"",IF(Cotations!DL103="","",Cotations!DL103))</f>
        <v/>
      </c>
      <c r="SJ103" s="300" t="str">
        <f t="shared" si="788"/>
        <v/>
      </c>
      <c r="SK103" s="300" t="str">
        <f t="shared" si="789"/>
        <v/>
      </c>
      <c r="SL103" s="919" t="str">
        <f t="shared" si="790"/>
        <v/>
      </c>
      <c r="SM103" s="285" t="str">
        <f>IF(A103=FALSE,"",Cotations!DM103)</f>
        <v/>
      </c>
      <c r="SN103" s="515" t="str">
        <f>IF(A103=FALSE,"",Cotations!DN103)</f>
        <v/>
      </c>
      <c r="SO103" s="493" t="str">
        <f>IF(A103=FALSE,"",Cotations!DO103)</f>
        <v/>
      </c>
      <c r="SP103" s="517" t="str">
        <f>IF(A103=FALSE,"",IF(SM103="N/A",0,IF(INDEX(LISTES!$F$105:$F$109,MATCH(SM103,LISTES!$C$105:$C$109,0))="FIX",IF(INDEX(LISTES!$E$105:$E$109,MATCH(SM103,LISTES!$C$105:$C$109,0))=12,SN103/12*L103,SN103/365*M103),SO103*SL103)))</f>
        <v/>
      </c>
      <c r="SQ103" s="294" t="str">
        <f t="shared" si="791"/>
        <v/>
      </c>
      <c r="SR103" s="494" t="str">
        <f>IF(A103=FALSE,"",SQ103*Cotations!DP103)</f>
        <v/>
      </c>
      <c r="SS103" s="494" t="str">
        <f>IF(A103=FALSE,"",SQ103*Cotations!DQ103)</f>
        <v/>
      </c>
      <c r="ST103" s="338" t="str">
        <f t="shared" si="792"/>
        <v/>
      </c>
      <c r="SU103" s="919" t="str">
        <f>IF(A103=FALSE,"",((SG103*TAXE)-(SG103*TAXE*SI103))+IF(SM103="N/A",0,IF(INDEX(LISTES!$F$105:$F$109,MATCH(SM103,LISTES!$C$105:$C$109,0))="FIX",SN103,SO103*SL103)))</f>
        <v/>
      </c>
      <c r="TA103" s="492" t="str">
        <f>IF(A103=FALSE,"",Cotations!D103)</f>
        <v/>
      </c>
      <c r="TB103" s="491" t="str">
        <f>IF(A103=FALSE,"",IF(LISTES!$A$17=1,Cotations!DR103,Cotations!DS103))</f>
        <v/>
      </c>
      <c r="TC103" s="285" t="str">
        <f t="shared" si="793"/>
        <v/>
      </c>
      <c r="TD103" s="300" t="str">
        <f>IF(A103=FALSE,"",Detail!CQ103)</f>
        <v/>
      </c>
      <c r="TE103" s="461" t="str">
        <f t="shared" si="794"/>
        <v/>
      </c>
      <c r="TF103" s="490" t="str">
        <f>IF(A103=FALSE,"",IF(TA103="FIXE",Cotations!DU103,Cotations!DV103*Y103))</f>
        <v/>
      </c>
      <c r="TG103" s="300" t="str">
        <f t="shared" si="795"/>
        <v/>
      </c>
      <c r="TH103" s="522" t="str">
        <f>IF(A103=FALSE,"",IF(Cotations!DT103="monthly",TG103/12*L103,TG103/365*M103))</f>
        <v/>
      </c>
      <c r="TI103" s="489" t="str">
        <f>IF(A103=FALSE,"",IF(Cotations!DW103="","",Cotations!DW103))</f>
        <v/>
      </c>
      <c r="TJ103" s="300" t="str">
        <f t="shared" si="796"/>
        <v/>
      </c>
      <c r="TK103" s="300" t="str">
        <f t="shared" si="797"/>
        <v/>
      </c>
      <c r="TL103" s="919" t="str">
        <f t="shared" si="798"/>
        <v/>
      </c>
      <c r="TM103" s="517" t="str">
        <f>IF(A103=FALSE,"",Cotations!DX103)</f>
        <v/>
      </c>
      <c r="TN103" s="517" t="str">
        <f>IF(A103=FALSE,"",Cotations!DY103)</f>
        <v/>
      </c>
      <c r="TO103" s="493" t="str">
        <f>IF(A103=FALSE,"",Cotations!DZ103)</f>
        <v/>
      </c>
      <c r="TP103" s="517" t="str">
        <f>IF(A103=FALSE,"",IF(TM103="N/A",0,IF(INDEX(LISTES!$F$105:$F$109,MATCH(TM103,LISTES!$C$105:$C$109,0))="FIX",IF(INDEX(LISTES!$E$105:$E$109,MATCH(TM103,LISTES!$C$105:$C$109,0))=12,TN103/12*L103,TN103/365*M103),TO103*TL103)))</f>
        <v/>
      </c>
      <c r="TQ103" s="294" t="str">
        <f t="shared" si="799"/>
        <v/>
      </c>
      <c r="TR103" s="494" t="str">
        <f>IF(A103=FALSE,"",TQ103*Cotations!EA103)</f>
        <v/>
      </c>
      <c r="TS103" s="494" t="str">
        <f>IF(A103=FALSE,"",TQ103*Cotations!EB103)</f>
        <v/>
      </c>
      <c r="TT103" s="338" t="str">
        <f t="shared" si="800"/>
        <v/>
      </c>
      <c r="TU103" s="919" t="str">
        <f>IF(A103=FALSE,"",((TG103*(1+TAXE)-(TG103*(1+TAXE)*TI103))+IF(TM103="N/A",0,IF(INDEX(LISTES!$F$105:$F$109,MATCH(TM103,LISTES!$C$105:$C$109,0))="FIX",TN103,TO103*TL103))))</f>
        <v/>
      </c>
      <c r="UA103" s="492" t="str">
        <f>IF(A103=FALSE,"",Cotations!D103)</f>
        <v/>
      </c>
      <c r="UB103" s="491" t="str">
        <f>IF(A103=FALSE,"",IF(LISTES!$A$17=1,Cotations!EC103,Cotations!ED103))</f>
        <v/>
      </c>
      <c r="UC103" s="285" t="str">
        <f t="shared" si="801"/>
        <v/>
      </c>
      <c r="UD103" s="300" t="str">
        <f>IF(A103=FALSE,"",Detail!CY103)</f>
        <v/>
      </c>
      <c r="UE103" s="461" t="str">
        <f t="shared" si="802"/>
        <v/>
      </c>
      <c r="UF103" s="490" t="str">
        <f>IF(A103=FALSE,"",IF(UA103="FIXE",Cotations!EF103,Cotations!EG103*Y103))</f>
        <v/>
      </c>
      <c r="UG103" s="300" t="str">
        <f t="shared" si="803"/>
        <v/>
      </c>
      <c r="UH103" s="522" t="str">
        <f>IF(A103=FALSE,"",IF(Cotations!EE103="monthly",UG103/12*L103,UG103/365*M103))</f>
        <v/>
      </c>
      <c r="UI103" s="489" t="str">
        <f>IF(A103=FALSE,"",IF(Cotations!EH103="","",Cotations!EH103))</f>
        <v/>
      </c>
      <c r="UJ103" s="300" t="str">
        <f t="shared" si="804"/>
        <v/>
      </c>
      <c r="UK103" s="300" t="str">
        <f t="shared" si="805"/>
        <v/>
      </c>
      <c r="UL103" s="919" t="str">
        <f t="shared" si="806"/>
        <v/>
      </c>
      <c r="UM103" s="517" t="str">
        <f>IF(A103=FALSE,"",Cotations!EI103)</f>
        <v/>
      </c>
      <c r="UN103" s="517" t="str">
        <f>IF(A103=FALSE,"",Cotations!EJ103)</f>
        <v/>
      </c>
      <c r="UO103" s="493" t="str">
        <f>IF(A103=FALSE,"",Cotations!EK103)</f>
        <v/>
      </c>
      <c r="UP103" s="517" t="str">
        <f>IF(A103=FALSE,"",IF(UM103="N/A",0,IF(INDEX(LISTES!$F$105:$F$109,MATCH(UM103,LISTES!$C$105:$C$109,0))="FIX",IF(INDEX(LISTES!$E$105:$E$109,MATCH(UM103,LISTES!$C$105:$C$109,0))=12,UN103/12*L103,UN103/365*M103),UO103*UL103)))</f>
        <v/>
      </c>
      <c r="UQ103" s="294" t="str">
        <f t="shared" si="807"/>
        <v/>
      </c>
      <c r="UR103" s="494" t="str">
        <f>IF(A103=FALSE,"",UQ103*Cotations!EL103)</f>
        <v/>
      </c>
      <c r="US103" s="494" t="str">
        <f>IF(A103=FALSE,"",UQ103*Cotations!EM103)</f>
        <v/>
      </c>
      <c r="UT103" s="338" t="str">
        <f t="shared" si="808"/>
        <v/>
      </c>
      <c r="UU103" s="919" t="str">
        <f>IF(A103=FALSE,"",((UG103*(1+TAXE)-(UG103*(1+TAXE)*UI103))+IF(UM103="N/A",0,IF(INDEX(LISTES!$F$105:$F$109,MATCH(UM103,LISTES!$C$105:$C$109,0))="FIX",UN103,UO103*UL103))))</f>
        <v/>
      </c>
      <c r="VA103" s="492" t="str">
        <f>IF(A103=FALSE,"",Cotations!D103)</f>
        <v/>
      </c>
      <c r="VB103" s="519" t="str">
        <f>IF(A103=FALSE,"",IF(LISTES!$A$17=1,Cotations!EN103,Cotations!EO103))</f>
        <v/>
      </c>
      <c r="VC103" s="291" t="str">
        <f t="shared" si="809"/>
        <v/>
      </c>
      <c r="VD103" s="291" t="str">
        <f t="shared" si="810"/>
        <v/>
      </c>
      <c r="VE103" s="291"/>
      <c r="VF103" s="463"/>
      <c r="VG103" s="463" t="str">
        <f t="shared" si="811"/>
        <v/>
      </c>
      <c r="VH103" s="522" t="str">
        <f>IF(A103=FALSE,"",IF(Cotations!$AQ$4="monthly",VG103/12*L103,VG103/365*M103))</f>
        <v/>
      </c>
      <c r="VI103" s="489" t="str">
        <f>IF(A103=FALSE,"",Cotations!$AR$4)</f>
        <v/>
      </c>
      <c r="VJ103" s="300" t="str">
        <f t="shared" si="812"/>
        <v/>
      </c>
      <c r="VK103" s="300" t="str">
        <f t="shared" si="813"/>
        <v/>
      </c>
      <c r="VL103" s="294" t="str">
        <f t="shared" si="814"/>
        <v/>
      </c>
      <c r="VM103" s="494" t="str">
        <f>IF(A103=FALSE,"",Cotations!$AS$4)</f>
        <v/>
      </c>
      <c r="VN103" s="494" t="str">
        <f>IF(A103=FALSE,"",Cotations!$AT$4)</f>
        <v/>
      </c>
      <c r="VO103" s="489" t="str">
        <f>IF(A103=FALSE,"",Cotations!$AU$4)</f>
        <v/>
      </c>
      <c r="VP103" s="494" t="str">
        <f>IF(A103=FALSE,"",IF(VM103="N/A",0,IF(INDEX(LISTES!$F$105:$F$109,MATCH(VM103,LISTES!$C$105:$C$109,0))="FIX",IF(INDEX(LISTES!$E$105:$E$109,MATCH(VM103,LISTES!$C$105:$C$109,0))=12,VN103/12*L103,VN103/365*M103),VO103*VL103)))</f>
        <v/>
      </c>
      <c r="VQ103" s="294" t="str">
        <f t="shared" si="815"/>
        <v/>
      </c>
      <c r="VR103" s="494" t="str">
        <f>IF(A103=FALSE,"",VQ103*Cotations!$AV$4)</f>
        <v/>
      </c>
      <c r="VS103" s="494" t="str">
        <f>IF(A103=FALSE,"",VQ103*Cotations!$AW$4)</f>
        <v/>
      </c>
      <c r="VT103" s="465" t="str">
        <f t="shared" si="816"/>
        <v/>
      </c>
      <c r="VU103" s="919" t="str">
        <f>IF(A103=FALSE,"",((VG103*TAXE)-(VG103*TAXE*VI103))+IF(VM103="N/A",0,IF(INDEX(LISTES!$F$105:$F$109,MATCH(VM103,LISTES!$C$105:$C$109,0))="FIX",VN103,VO103*VL103)))</f>
        <v/>
      </c>
      <c r="WA103" s="492" t="str">
        <f>IF(A103=FALSE,"",Cotations!D103)</f>
        <v/>
      </c>
      <c r="WB103" s="519" t="str">
        <f>IF(A103=FALSE,"",IF(LISTES!$A$17=1,Cotations!EW103,Cotations!EX103))</f>
        <v/>
      </c>
      <c r="WC103" s="291" t="str">
        <f t="shared" si="817"/>
        <v/>
      </c>
      <c r="WD103" s="291" t="str">
        <f t="shared" si="818"/>
        <v/>
      </c>
      <c r="WE103" s="291"/>
      <c r="WF103" s="463"/>
      <c r="WG103" s="463" t="str">
        <f t="shared" si="819"/>
        <v/>
      </c>
      <c r="WH103" s="522" t="str">
        <f>IF(A103=FALSE,"",IF(Cotations!$AQ$4="monthly",WG103/12*L103,WG103/365*M103))</f>
        <v/>
      </c>
      <c r="WI103" s="489" t="str">
        <f>IF(A103=FALSE,"",Cotations!$AR$4)</f>
        <v/>
      </c>
      <c r="WJ103" s="300" t="str">
        <f t="shared" si="820"/>
        <v/>
      </c>
      <c r="WK103" s="300" t="str">
        <f t="shared" si="821"/>
        <v/>
      </c>
      <c r="WL103" s="294" t="str">
        <f t="shared" si="822"/>
        <v/>
      </c>
      <c r="WM103" s="494" t="str">
        <f>IF(A103=FALSE,"",Cotations!$AS$4)</f>
        <v/>
      </c>
      <c r="WN103" s="494" t="str">
        <f>IF(A103=FALSE,"",Cotations!$AT$4)</f>
        <v/>
      </c>
      <c r="WO103" s="489" t="str">
        <f>IF(A103=FALSE,"",Cotations!$AU$4)</f>
        <v/>
      </c>
      <c r="WP103" s="494" t="str">
        <f>IF(A103=FALSE,"",IF(WM103="N/A",0,IF(INDEX(LISTES!$F$105:$F$109,MATCH(WM103,LISTES!$C$105:$C$109,0))="FIX",IF(INDEX(LISTES!$E$105:$E$109,MATCH(WM103,LISTES!$C$105:$C$109,0))=12,WN103/12*L103,WN103/365*M103),WO103*WL103)))</f>
        <v/>
      </c>
      <c r="WQ103" s="294" t="str">
        <f t="shared" si="823"/>
        <v/>
      </c>
      <c r="WR103" s="494" t="str">
        <f>IF(A103=FALSE,"",WQ103*Cotations!$AV$4)</f>
        <v/>
      </c>
      <c r="WS103" s="494" t="str">
        <f>IF(A103=FALSE,"",WQ103*Cotations!$AW$4)</f>
        <v/>
      </c>
      <c r="WT103" s="465" t="str">
        <f t="shared" si="824"/>
        <v/>
      </c>
      <c r="WU103" s="919" t="str">
        <f>IF(A103=FALSE,"",((WG103*TAXE)-(WG103*TAXE*WI103))+IF(WM103="N/A",0,IF(INDEX(LISTES!$F$105:$F$109,MATCH(WM103,LISTES!$C$105:$C$109,0))="FIX",WN103,WO103*WL103)))</f>
        <v/>
      </c>
    </row>
    <row r="104" spans="1:619">
      <c r="A104" s="942" t="b">
        <f t="shared" si="629"/>
        <v>0</v>
      </c>
      <c r="B104" s="942" t="b">
        <f>IF(NAMES!$B$9=TRUE,TRUE,FALSE)</f>
        <v>1</v>
      </c>
      <c r="C104" s="942" t="b">
        <f t="shared" si="825"/>
        <v>0</v>
      </c>
      <c r="D104" s="942" t="b">
        <f t="shared" si="826"/>
        <v>0</v>
      </c>
      <c r="E104" s="274" t="b">
        <f>IF(Cotations!C104="","",Cotations!C104)</f>
        <v>0</v>
      </c>
      <c r="F104" s="274" t="str">
        <f>IF(Cotations!D104="","",Cotations!D104)</f>
        <v>PROP</v>
      </c>
      <c r="G104" s="274" t="str">
        <f>IF(Cotations!E104="","",Cotations!E104)</f>
        <v>2016-2017!</v>
      </c>
      <c r="H104" s="274" t="str">
        <f>IF(Cotations!F104="","",Cotations!F104)</f>
        <v>SINGLE</v>
      </c>
      <c r="I104" s="274" t="str">
        <f>IF(Cotations!G104="","",Cotations!G104)</f>
        <v/>
      </c>
      <c r="J104" s="274" t="str">
        <f>IF(Cotations!H104="","",Cotations!H104)</f>
        <v/>
      </c>
      <c r="K104" s="274" t="str">
        <f>IF(Cotations!I104="","",Cotations!I104)</f>
        <v/>
      </c>
      <c r="L104" s="274" t="str">
        <f>IF(A104=FALSE,"",IF(Cotations!N104="","",Cotations!N104))</f>
        <v/>
      </c>
      <c r="M104" s="274" t="str">
        <f>IF(Cotations!P104="","",Cotations!P104)</f>
        <v/>
      </c>
      <c r="N104" s="724" t="str">
        <f>IF(NAMES!$B$10=TRUE,Cotations!J104,Cotations!L104)</f>
        <v/>
      </c>
      <c r="O104" s="724" t="str">
        <f>IF(NAMES!$B$10=TRUE,Cotations!K104,Cotations!M104)</f>
        <v/>
      </c>
      <c r="P104" s="943" t="str">
        <f t="shared" si="827"/>
        <v/>
      </c>
      <c r="Q104" s="724" t="str">
        <f>IF(A104=FALSE,"",IF(Crewlist!Y104="","",Crewlist!Y104))</f>
        <v/>
      </c>
      <c r="R104" s="78" t="str">
        <f>IF(Cotations!U104="","",Cotations!U104)</f>
        <v/>
      </c>
      <c r="S104" s="943" t="str">
        <f t="shared" si="828"/>
        <v/>
      </c>
      <c r="T104" s="919" t="str">
        <f>IF(A104=FALSE,"",VLOOKUP($U$15:$U$120,Currency!$A$2:$D$10,4,0)*Crewlist!N104)</f>
        <v/>
      </c>
      <c r="U104" s="1355" t="str">
        <f>IF(A104=FALSE,"",IF(IT104=0,Crewlist!M104&amp;"/"&amp;EX104,Crewlist!M104&amp;"/"&amp;IT104))</f>
        <v/>
      </c>
      <c r="V104" s="919" t="str">
        <f>IF(A104=FALSE,"",VLOOKUP($U$15:$U$120,Currency!$A$2:$D$10,4,0)*Detail!Q104)</f>
        <v/>
      </c>
      <c r="W104" s="1355" t="str">
        <f>IF(A104=FALSE,"",IF(IT104=0,Detail!R104&amp;"/"&amp;EX104,Detail!R104&amp;"/"&amp;IT104))</f>
        <v/>
      </c>
      <c r="X104" s="919" t="str">
        <f>IF(A104=FALSE,"",IF(LISTES!$C$17="Crewlist",Calcul!T104,Calcul!V104))</f>
        <v/>
      </c>
      <c r="Y104" s="758" t="str">
        <f t="shared" si="829"/>
        <v/>
      </c>
      <c r="Z104" s="758" t="str">
        <f>IF(A104=FALSE,"",IF(X104=0,0,IF((Cotations!BC104*12*X104)&lt;50000,50000,(12*X104))))</f>
        <v/>
      </c>
      <c r="AA104" s="758" t="str">
        <f t="shared" si="830"/>
        <v/>
      </c>
      <c r="AB104" s="758" t="str">
        <f>IF(A104=FALSE,"",IF(Crewlist!O104=0,"",Crewlist!O104))</f>
        <v/>
      </c>
      <c r="AC104" s="758" t="str">
        <f>IF(I104="","",VLOOKUP($AB$15:$AB$120,Currency!$A$15:$B$34,2,0))</f>
        <v/>
      </c>
      <c r="AD104" s="758" t="str">
        <f t="shared" si="831"/>
        <v/>
      </c>
      <c r="AE104" s="758" t="str">
        <f t="shared" si="832"/>
        <v/>
      </c>
      <c r="AF104" s="758" t="str">
        <f t="shared" si="833"/>
        <v/>
      </c>
      <c r="AG104" s="758" t="str">
        <f t="shared" si="834"/>
        <v/>
      </c>
      <c r="AH104" s="1355" t="str">
        <f t="shared" si="630"/>
        <v/>
      </c>
      <c r="AI104" s="919" t="str">
        <f t="shared" si="835"/>
        <v/>
      </c>
      <c r="AJ104" s="1382" t="str">
        <f t="shared" si="836"/>
        <v/>
      </c>
      <c r="AK104" s="1382" t="str">
        <f t="shared" si="837"/>
        <v/>
      </c>
      <c r="AL104" s="238" t="str">
        <f t="shared" si="631"/>
        <v/>
      </c>
      <c r="AM104" s="238" t="str">
        <f t="shared" si="632"/>
        <v/>
      </c>
      <c r="AN104" s="1374" t="str">
        <f t="shared" si="633"/>
        <v/>
      </c>
      <c r="AO104" s="238" t="str">
        <f t="shared" si="634"/>
        <v/>
      </c>
      <c r="AP104" s="342" t="str">
        <f>IF(A104=FALSE,"",INDEX(Rates!$Z$5:$Z$367,MATCH(EB104,colchoice,0)))</f>
        <v/>
      </c>
      <c r="AQ104" s="238" t="str">
        <f t="shared" si="635"/>
        <v/>
      </c>
      <c r="AR104" s="238" t="str">
        <f t="shared" si="636"/>
        <v/>
      </c>
      <c r="AS104" s="238" t="str">
        <f t="shared" si="637"/>
        <v/>
      </c>
      <c r="AT104" s="238" t="str">
        <f t="shared" si="638"/>
        <v/>
      </c>
      <c r="AU104" s="238" t="str">
        <f t="shared" si="639"/>
        <v/>
      </c>
      <c r="AV104" s="238" t="str">
        <f t="shared" si="838"/>
        <v/>
      </c>
      <c r="AW104" s="238" t="str">
        <f t="shared" si="640"/>
        <v/>
      </c>
      <c r="AX104" s="238" t="str">
        <f t="shared" si="641"/>
        <v/>
      </c>
      <c r="AY104" s="238" t="str">
        <f t="shared" si="642"/>
        <v/>
      </c>
      <c r="AZ104" s="238" t="str">
        <f t="shared" si="643"/>
        <v/>
      </c>
      <c r="BA104" s="238" t="str">
        <f t="shared" si="644"/>
        <v/>
      </c>
      <c r="BB104" s="552" t="str">
        <f t="shared" si="645"/>
        <v/>
      </c>
      <c r="BC104" s="347" t="str">
        <f t="shared" si="646"/>
        <v/>
      </c>
      <c r="BD104" s="239" t="str">
        <f t="shared" si="839"/>
        <v/>
      </c>
      <c r="BE104" s="239" t="str">
        <f>IF(A104=FALSE,"",IF(ALLTHESAME=TRUE,IF(DF104&lt;&gt;$BC$7,0,INDEX(DD104:DZ104,1,MATCH(Structure!$D$12,$DD$14:$DZ$14,0))),IF(EC104&lt;&gt;$BC$7,0,INDEX(EA104:EZ104,1,MATCH(Structure!$D$12,$EA$14:$EZ$14,0)))))</f>
        <v/>
      </c>
      <c r="BF104" s="239" t="str">
        <f>IF(A104=FALSE,"",IF(ALLTHESAME=TRUE,IF(FC104&lt;&gt;$BC$7,0,INDEX(FA104:FZ104,1,MATCH(Structure!$D$12,$FA$14:$FZ$14,0))),IF(GC104&lt;&gt;$BC$7,0,INDEX(GA104:GZ104,1,MATCH(Structure!$D$12,$GA$14:$GZ$14,0)))))</f>
        <v/>
      </c>
      <c r="BG104" s="239" t="str">
        <f>IF(A104=FALSE,"",IF(ALLTHESAME=TRUE,IF(VC104&lt;&gt;$BC$7,0,INDEX(VA104:VZ104,1,MATCH(Structure!$D$12,$VA$14:$VZ$14,0))),IF(VC104&lt;&gt;$BC$7,0,INDEX(VA104:VZ104,1,MATCH(Structure!$D$12,$VA$14:$VZ$14,0)))))</f>
        <v/>
      </c>
      <c r="BH104" s="239" t="str">
        <f>IF(A104=FALSE,"",IF(ALLTHESAME=TRUE,IF(WC104&lt;&gt;$BC$7,0,INDEX(WA104:WY104,1,MATCH(Structure!$D$12,$WA$14:$WZ$14,0))),IF(WC104&lt;&gt;$BC$7,0,INDEX(WA104:WZ104,1,MATCH(Structure!$D$12,$WA$14:$WZ$14,0)))))</f>
        <v/>
      </c>
      <c r="BI104" s="763" t="str">
        <f>IF(A104=FALSE,"",IF(ALLTHESAME=TRUE,IF(HC104&lt;&gt;$BC$7,0,INDEX(HA104:HZ104,1,MATCH(Structure!$D$12,$HA$14:$HZ$14,0)))+TK104,IF(IC104&lt;&gt;$BC$7,0,INDEX(IA104:IZ104,1,MATCH(Structure!$D$12,$IA$14:$IZ$14,0)))+TK104))</f>
        <v/>
      </c>
      <c r="BJ104" s="239" t="str">
        <f>IF(A104=FALSE,"",IF(ALLTHESAME=TRUE,IF(JC104&lt;&gt;$BC$7,0,INDEX(JA104:JZ104,1,MATCH(Structure!$D$12,$JA$14:$JZ$14,0))),IF(KC104&lt;&gt;$BC$7,0,INDEX(KA104:KZ104,1,MATCH(Structure!$D$12,$KA$14:$KZ$14,0)))))</f>
        <v/>
      </c>
      <c r="BK104" s="763" t="str">
        <f>IF(A104=FALSE,"",IF(ALLTHESAME=TRUE,IF(LC104&lt;&gt;$BC$7,0,INDEX(LA104:LZ104,1,MATCH(Structure!$D$12,$LA$14:$LZ$14,0)))+UK104,IF(MC104&lt;&gt;$BC$7,0,INDEX(MA104:MZ104,1,MATCH(Structure!$D$12,$MA$14:$MZ$14,0)))+UK104))</f>
        <v/>
      </c>
      <c r="BL104" s="239" t="str">
        <f>IF(A104=FALSE,"",IF(ALLTHESAME=TRUE,IF(NC104&lt;&gt;$BC$7,0,INDEX(NA104:NZ104,1,MATCH(Structure!$D$12,$NA$14:$NZ$14,0))),IF(OC104&lt;&gt;$BC$7,0,INDEX(OA104:OZ104,1,MATCH(Structure!$D$12,$OA$14:$OZ$14,0)))))</f>
        <v/>
      </c>
      <c r="BM104" s="239" t="str">
        <f>IF(A104=FALSE,"",IF(ALLTHESAME=TRUE,IF(PC104&lt;&gt;$BC$7,0,INDEX(PA104:PZ104,1,MATCH(Structure!$D$12,$PA$14:$PZ$14,0))),IF(QC104&lt;&gt;$BC$7,0,INDEX(QA104:QZ104,1,MATCH(Structure!$D$12,$QA$14:$QZ$14,0)))))</f>
        <v/>
      </c>
      <c r="BN104" s="341" t="str">
        <f>IF(A104=FALSE,"",IF(ALLTHESAME=TRUE,IF(RC104&lt;&gt;$BC$7,0,INDEX(RA104:RZ104,1,MATCH(Structure!$D$12,$RA$14:$RZ$14,0))),IF(SC104&lt;&gt;$BC$7,0,INDEX(SA104:TA104,1,MATCH(Structure!$D$12,$SA$14:$TA$14,0)))))</f>
        <v/>
      </c>
      <c r="BO104" s="507" t="str">
        <f t="shared" si="647"/>
        <v/>
      </c>
      <c r="BP104" s="239" t="str">
        <f t="shared" si="648"/>
        <v/>
      </c>
      <c r="BQ104" s="239" t="str">
        <f>IF(A104=FALSE,"",IF(ALLTHESAME=TRUE,IF(DF104&lt;&gt;$BO$7,0,INDEX(DD104:DZ104,1,MATCH(Structure!$D$12,$DD$14:$DZ$14,0))),IF(EC104&lt;&gt;$BO$7,0,INDEX(EA104:EZ104,1,MATCH(Structure!$D$12,$EA$14:$EZ$14,0)))))</f>
        <v/>
      </c>
      <c r="BR104" s="239" t="str">
        <f>IF(A104=FALSE,"",IF(ALLTHESAME=TRUE,IF(FC104&lt;&gt;$BO$7,0,INDEX(FA104:FZ104,1,MATCH(Structure!$D$12,$FA$14:$FZ$14,0))),IF(GC104&lt;&gt;$BO$7,0,INDEX(GA104:GZ104,1,MATCH(Structure!$D$12,$GA$14:$GZ$14,0)))))</f>
        <v/>
      </c>
      <c r="BS104" s="239" t="str">
        <f>IF(A104=FALSE,"",IF(ALLTHESAME=TRUE,IF(HC104&lt;&gt;$BO$7,0,INDEX(HA104:HZ104,1,MATCH(Structure!$D$12,$HA$14:$HZ$14,0))),IF(IC104&lt;&gt;$BO$7,0,INDEX(IA104:IZ104,1,MATCH(Structure!$D$12,$IA$14:$IZ$14,0)))))</f>
        <v/>
      </c>
      <c r="BT104" s="239" t="str">
        <f>IF(A104=FALSE,"",IF(ALLTHESAME=TRUE,IF(JC104&lt;&gt;$BO$7,0,INDEX(JA104:JZ104,1,MATCH(Structure!$D$12,$JA$14:$JZ$14,0))),IF(KC104&lt;&gt;$BO$7,0,INDEX(KA104:KZ104,1,MATCH(Structure!$D$12,$KA$14:$KZ$14,0)))))</f>
        <v/>
      </c>
      <c r="BU104" s="239" t="str">
        <f>IF(A104=FALSE,"",IF(ALLTHESAME=TRUE,IF(LC104&lt;&gt;$BO$7,0,INDEX(LA104:LZ104,1,MATCH(Structure!$D$12,$LA$14:$LZ$14,0))),IF(MC104&lt;&gt;$BO$7,0,INDEX(MA104:MZ104,1,MATCH(Structure!$D$12,$MA$14:$MZ$14,0)))))</f>
        <v/>
      </c>
      <c r="BV104" s="239" t="str">
        <f>IF(A104=FALSE,"",IF(ALLTHESAME=TRUE,IF(NC104&lt;&gt;$BO$7,0,INDEX(NA104:NZ104,1,MATCH(Structure!$D$12,$NA$14:$NZ$14,0))),IF(OC104&lt;&gt;$BO$7,0,INDEX(OA104:OZ104,1,MATCH(Structure!$D$12,$OA$14:$OZ$14,0)))))</f>
        <v/>
      </c>
      <c r="BW104" s="239" t="str">
        <f>IF(A104=FALSE,"",IF(ALLTHESAME=TRUE,IF(PC104&lt;&gt;$BO$7,0,INDEX(PA104:PZ104,1,MATCH(Structure!$D$12,$PA$14:$PZ$14,0))),IF(QC104&lt;&gt;$BO$7,0,INDEX(QA104:QZ104,1,MATCH(Structure!$D$12,$QA$14:$QZ$14,0)))))</f>
        <v/>
      </c>
      <c r="BX104" s="341" t="str">
        <f>IF(A104=FALSE,"",IF(ALLTHESAME=TRUE,IF(RC104&lt;&gt;$BO$7,0,INDEX(RA104:RZ104,1,MATCH(Structure!$D$12,$RA$14:$RZ$14,0))),IF(SC104&lt;&gt;$BO$7,0,INDEX(SA104:TA104,1,MATCH(Structure!$D$12,$SA$14:$TA$14,0)))))</f>
        <v/>
      </c>
      <c r="BY104" s="347" t="str">
        <f t="shared" si="649"/>
        <v/>
      </c>
      <c r="BZ104" s="507" t="str">
        <f t="shared" si="650"/>
        <v/>
      </c>
      <c r="CA104" s="239" t="str">
        <f t="shared" si="651"/>
        <v/>
      </c>
      <c r="CB104" s="239" t="str">
        <f>IF(A104=FALSE,"",IF(ALLTHESAME=TRUE,INDEX(DD104:DZ104,MATCH(DF104,DF104:DF209,0),MATCH(Structure!$D$17,$DD$14:$DZ$14,0)),INDEX(EA104:EZ104,MATCH(EC104,EC104:EC209,0),MATCH(Structure!$D$17,$EA$14:$EZ$14,0))))</f>
        <v/>
      </c>
      <c r="CC104" s="239" t="str">
        <f>IF(A104=FALSE,"",IF(ALLTHESAME=TRUE,INDEX(FA104:FZ104,MATCH(FC104,FC104:FC209,0),MATCH(Structure!$D$17,$FA$14:$FZ$14,0)),INDEX(GA104:GZ104,MATCH(GC104,GC104:GC209,0),MATCH(Structure!$D$17,$GA$14:$GZ$14,0))))</f>
        <v/>
      </c>
      <c r="CD104" s="239" t="str">
        <f>IF(A104=FALSE,"",IF(ALLTHESAME=TRUE,INDEX(HA104:HZ104,MATCH(HC104,HC104:HC209,0),MATCH(Structure!$D$17,$HA$14:$HZ$14,0)),INDEX(IA104:IZ104,MATCH(IC104,IC104:IC209,0),MATCH(Structure!$D$17,$IA$14:$IZ$14,0))))</f>
        <v/>
      </c>
      <c r="CE104" s="239" t="str">
        <f>IF(A104=FALSE,"",IF(ALLTHESAME=TRUE,INDEX(JA104:JZ104,MATCH(JC104,JC104:JC209,0),MATCH(Structure!$D$17,$JA$14:$JZ$14,0)),INDEX(KA104:KZ104,MATCH(KC104,KC104:KC209,0),MATCH(Structure!$D$17,$KA$14:$KZ$14,0))))</f>
        <v/>
      </c>
      <c r="CF104" s="239" t="str">
        <f>IF(A104=FALSE,"",IF(ALLTHESAME=TRUE,INDEX(LA104:LZ104,MATCH(LC104,LC104:LC209,0),MATCH(Structure!$D$17,$LA$14:$LZ$14,0)),INDEX(MA104:MZ104,MATCH(MC104,MC104:MC209,0),MATCH(Structure!$D$17,$MA$14:$MZ$14,0))))</f>
        <v/>
      </c>
      <c r="CG104" s="239" t="str">
        <f>IF(A104=FALSE,"",IF(ALLTHESAME=TRUE,INDEX(NA104:NZ104,MATCH(NC104,NC104:NC209,0),MATCH(Structure!$D$17,$NA$14:$NZ$14,0)),INDEX(OA104:OZ104,MATCH(OC104,OC104:OC209,0),MATCH(Structure!$D$17,$OA$14:$OZ$14,0))))</f>
        <v/>
      </c>
      <c r="CH104" s="239" t="str">
        <f>IF(A104=FALSE,"",IF(ALLTHESAME=TRUE,INDEX(PA104:PZ104,MATCH(PC104,PC104:PC209,0),MATCH(Structure!$D$17,$PA$14:$PZ$14,0)),INDEX(QA104:QZ104,MATCH(QC104,QC104:QC209,0),MATCH(Structure!$D$17,$QA$14:$QZ$14,0))))</f>
        <v/>
      </c>
      <c r="CI104" s="341" t="str">
        <f>IF(A104=FALSE,"",IF(ALLTHESAME=TRUE,INDEX(RA104:RZ104,MATCH(RC104,RC104:RC209,0),MATCH(Structure!$D$17,$RA$14:$RZ$14,0)),INDEX(SA104:TC104,MATCH(SC104,SC104:SC209,0),MATCH(Structure!$D$17,$SA$14:$TC$14,0))))</f>
        <v/>
      </c>
      <c r="CJ104" s="347"/>
      <c r="CK104" s="239" t="str">
        <f t="shared" si="652"/>
        <v/>
      </c>
      <c r="CL104" s="239" t="str">
        <f>IF(A104=FALSE,"",IF(ALLTHESAME=TRUE,INDEX(DD104:DZ104,MATCH(DF104,DF104:DF209,0),MATCH(Structure!$D$22,$DD$14:$DZ$14,0)),INDEX(EA104:EZ104,MATCH(EC104,EC104:EC209,0),MATCH(Structure!$D$22,$EA$14:$EZ$14,0))))</f>
        <v/>
      </c>
      <c r="CM104" s="239" t="str">
        <f>IF(A104=FALSE,"",IF(ALLTHESAME=TRUE,INDEX(FA104:FZ104,MATCH(FC104,FC104:FC209,0),MATCH(Structure!$D$22,$FA$14:$FZ$14,0)),INDEX(GA104:GZ104,MATCH(GC104,GC104:GC209,0),MATCH(Structure!$D$22,$GA$14:$GZ$14,0))))</f>
        <v/>
      </c>
      <c r="CN104" s="239" t="str">
        <f>IF(A104=FALSE,"",IF(ALLTHESAME=TRUE,INDEX(HA104:HZ104,MATCH(HC104,HC104:HC209,0),MATCH(Structure!$D$22,$HA$14:$HZ$14,0)),INDEX(IA104:IZ104,MATCH(IC104,IC104:IC209,0),MATCH(Structure!$D$22,$IA$14:$IZ$14,0))))</f>
        <v/>
      </c>
      <c r="CO104" s="239" t="str">
        <f>IF(A104=FALSE,"",IF(ALLTHESAME=TRUE,INDEX(JA104:JZ104,MATCH(JC104,JC104:JC209,0),MATCH(Structure!$D$22,$JA$14:$JZ$14,0)),INDEX(KA104:KZ104,MATCH(KC104,KC104:KC209,0),MATCH(Structure!$D$22,$KA$14:$KZ$14,0))))</f>
        <v/>
      </c>
      <c r="CP104" s="239" t="str">
        <f>IF(A104=FALSE,"",IF(ALLTHESAME=TRUE,INDEX(LA104:LZ104,MATCH(LC104,LC104:LC209,0),MATCH(Structure!$D$22,$LA$14:$LZ$14,0)),INDEX(MA104:MZ104,MATCH(MC104,MC104:MC209,0),MATCH(Structure!$D$22,$MA$14:$MZ$14,0))))</f>
        <v/>
      </c>
      <c r="CQ104" s="239" t="str">
        <f>IF(A104=FALSE,"",IF(ALLTHESAME=TRUE,INDEX(NA104:NZ104,MATCH(NC104,NC104:NC209,0),MATCH(Structure!$D$22,$NA$14:$NZ$14,0)),INDEX(OA104:OZ104,MATCH(OC104,OC104:OC209,0),MATCH(Structure!$D$22,$OA$14:$OZ$14,0))))</f>
        <v/>
      </c>
      <c r="CR104" s="239" t="str">
        <f>IF(A104=FALSE,"",IF(ALLTHESAME=TRUE,INDEX(PA104:PZ104,MATCH(PC104,PC104:PC209,0),MATCH(Structure!$D$22,$PA$14:$PZ$14,0)),INDEX(QA104:QZ104,MATCH(QC104,QC104:QC209,0),MATCH(Structure!$D$22,$QA$14:$QZ$14,0))))</f>
        <v/>
      </c>
      <c r="CS104" s="341" t="str">
        <f>IF(A104=FALSE,"",IF(ALLTHESAME=TRUE,INDEX(RA104:RZ104,MATCH(RC104,RC104:RC209,0),MATCH(Structure!$D$22,$RA$14:$RZ$14,0)),INDEX(SA104:TC104,MATCH(SC104,SC104:SC209,0),MATCH(Structure!$D$22,$SA$14:$TC$14,0))))</f>
        <v/>
      </c>
      <c r="CT104" s="347"/>
      <c r="CU104" s="239" t="str">
        <f t="shared" si="653"/>
        <v/>
      </c>
      <c r="CV104" s="239" t="str">
        <f>IF(A104=FALSE,"",IF(ALLTHESAME=TRUE,INDEX(DD104:DZ104,MATCH(DF104,DF104:DF209,0),MATCH(Structure!$D$8,$DD$14:$DZ$14,0)),INDEX(EA104:EZ104,MATCH(EC104,EC104:EC209,0),MATCH(Structure!$D$8,$EA$14:$EZ$14,0))))</f>
        <v/>
      </c>
      <c r="CW104" s="239" t="str">
        <f>IF(A104=FALSE,"",IF(ALLTHESAME=TRUE,INDEX(FA104:FZ104,MATCH(FC104,FC104:FC209,0),MATCH(Structure!$D$8,$FA$14:$FZ$14,0)),INDEX(GA104:GZ104,MATCH(GC104,GC104:GC209,0),MATCH(Structure!$D$8,$GA$14:$GZ$14,0))))</f>
        <v/>
      </c>
      <c r="CX104" s="239" t="str">
        <f>IF(A104=FALSE,"",IF(ALLTHESAME=TRUE,INDEX(HA104:HZ104,MATCH(HC104,HC104:HC209,0),MATCH(Structure!$D$8,$HA$14:$HZ$14,0)),INDEX(IA104:IZ104,MATCH(IC104,IC104:IC209,0),MATCH(Structure!$D$8,$IA$14:$IZ$14,0))))</f>
        <v/>
      </c>
      <c r="CY104" s="239" t="str">
        <f>IF(A104=FALSE,"",IF(ALLTHESAME=TRUE,INDEX(JA104:JZ104,MATCH(JC104,JC104:JC209,0),MATCH(Structure!$D$8,$JA$14:$JZ$14,0)),INDEX(KA104:KZ104,MATCH(KC104,KC104:KC209,0),MATCH(Structure!$D$8,$KA$14:$KZ$14,0))))</f>
        <v/>
      </c>
      <c r="CZ104" s="239" t="str">
        <f>IF(A104=FALSE,"",IF(ALLTHESAME=TRUE,INDEX(LA104:LZ104,MATCH(LC104,LC104:LC209,0),MATCH(Structure!$D$8,$LA$14:$LZ$14,0)),INDEX(MA104:MZ104,MATCH(MC104,MC104:MC209,0),MATCH(Structure!$D$8,$MA$14:$MZ$14,0))))</f>
        <v/>
      </c>
      <c r="DA104" s="239" t="str">
        <f>IF(A104=FALSE,"",IF(ALLTHESAME=TRUE,INDEX(NA104:NZ104,MATCH(NC104,NC104:NC209,0),MATCH(Structure!$D$8,$NA$14:$NZ$14,0)),INDEX(OA104:OZ104,MATCH(OC104,OC104:OC209,0),MATCH(Structure!$D$8,$OA$14:$OZ$14,0))))</f>
        <v/>
      </c>
      <c r="DB104" s="239" t="str">
        <f>IF(A104=FALSE,"",IF(ALLTHESAME=TRUE,INDEX(PA104:PZ104,MATCH(PC104,PC104:PC209,0),MATCH(Structure!$D$8,$PA$14:$PZ$14,0)),INDEX(QA104:QZ104,MATCH(QC104,QC104:QC209,0),MATCH(Structure!$D$8,$QA$14:$QZ$14,0))))</f>
        <v/>
      </c>
      <c r="DC104" s="341" t="str">
        <f>IF(A104=FALSE,"",IF(ALLTHESAME=TRUE,INDEX(RA104:RZ104,MATCH(RC104,RC104:RC209,0),MATCH(Structure!$D$8,$RA$14:$RZ$14,0)),INDEX(SA104:TC104,MATCH(SC104,SC104:SC209,0),MATCH(Structure!$D$8,$SA$14:$TC$14,0))))</f>
        <v/>
      </c>
      <c r="DD104" s="492" t="str">
        <f>IF(A104=FALSE,"",Cotations!D104)</f>
        <v/>
      </c>
      <c r="DE104" s="492" t="str">
        <f>IF(A104=FALSE,"",IF(LISTES!$A$17=1,Cotations!AF104,Cotations!$AG$4))</f>
        <v/>
      </c>
      <c r="DF104" s="291" t="str">
        <f t="shared" si="654"/>
        <v/>
      </c>
      <c r="DG104" s="291" t="str">
        <f t="shared" si="655"/>
        <v/>
      </c>
      <c r="DH104" s="291"/>
      <c r="DI104" s="463"/>
      <c r="DJ104" s="463" t="str">
        <f t="shared" si="656"/>
        <v/>
      </c>
      <c r="DK104" s="522" t="str">
        <f>IF(A104=FALSE,"",IF(Cotations!$AH$4="monthly",DJ104/12*L104,DJ104/365*M104))</f>
        <v/>
      </c>
      <c r="DL104" s="489" t="str">
        <f>IF(A104=FALSE,"",Cotations!$AI$4)</f>
        <v/>
      </c>
      <c r="DM104" s="300" t="str">
        <f t="shared" si="657"/>
        <v/>
      </c>
      <c r="DN104" s="300" t="str">
        <f t="shared" si="658"/>
        <v/>
      </c>
      <c r="DO104" s="294" t="str">
        <f t="shared" si="659"/>
        <v/>
      </c>
      <c r="DP104" s="494" t="str">
        <f>IF(A104=FALSE,"",Cotations!$AJ$4)</f>
        <v/>
      </c>
      <c r="DQ104" s="494" t="str">
        <f>IF(A104=FALSE,"",Cotations!$AK$4)</f>
        <v/>
      </c>
      <c r="DR104" s="489" t="str">
        <f>IF(A104=FALSE,"",Cotations!$AL$4)</f>
        <v/>
      </c>
      <c r="DS104" s="494" t="str">
        <f>IF(A104=FALSE,"",IF(DP104="N/A",0,IF(INDEX(LISTES!$F$105:$F$109,MATCH(DP104,LISTES!$C$105:$C$109,0))="FIX",IF(INDEX(LISTES!$E$105:$E$109,MATCH(DP104,LISTES!$C$105:$C$109,0))=12,DQ104/12*L104,DQ104/365*M104),DR104*DO104)))</f>
        <v/>
      </c>
      <c r="DT104" s="294" t="str">
        <f t="shared" si="660"/>
        <v/>
      </c>
      <c r="DU104" s="294" t="str">
        <f>IF(A104=FALSE,"",DT104*Cotations!$AM$4)</f>
        <v/>
      </c>
      <c r="DV104" s="294" t="str">
        <f>IF(A104=FALSE,"",DT104*Cotations!$AN$4)</f>
        <v/>
      </c>
      <c r="DW104" s="465" t="str">
        <f t="shared" si="661"/>
        <v/>
      </c>
      <c r="DX104" s="919" t="str">
        <f>IF(A104=FALSE,"",((DJ104*TAXE)-(DJ104*TAXE*DL104))+IF(DP104="N/A",0,IF(INDEX(LISTES!$F$105:$F$109,MATCH(DP104,LISTES!$C$105:$C$109,0))="FIX",DQ104,DR104*DO104)))</f>
        <v/>
      </c>
      <c r="DY104" s="466"/>
      <c r="DZ104" s="466"/>
      <c r="EA104" s="492" t="str">
        <f>IF(A104=FALSE,"",Cotations!D104)</f>
        <v/>
      </c>
      <c r="EB104" s="494" t="str">
        <f>IF(A104=FALSE,"",IF(LISTES!$A$17=1,Cotations!AF104,Cotations!AG104))</f>
        <v/>
      </c>
      <c r="EC104" s="284" t="str">
        <f t="shared" si="662"/>
        <v/>
      </c>
      <c r="ED104" s="284" t="str">
        <f t="shared" si="663"/>
        <v/>
      </c>
      <c r="EE104" s="284"/>
      <c r="EF104" s="284"/>
      <c r="EG104" s="284" t="str">
        <f t="shared" si="664"/>
        <v/>
      </c>
      <c r="EH104" s="1365" t="str">
        <f t="shared" si="665"/>
        <v/>
      </c>
      <c r="EI104" s="1365" t="str">
        <f t="shared" si="666"/>
        <v/>
      </c>
      <c r="EJ104" s="515" t="str">
        <f>IF(A104=FALSE,"",IF(Cotations!AH104="monthly",EG104/12*L104,EG104/365*M104))</f>
        <v/>
      </c>
      <c r="EK104" s="1364" t="str">
        <f>IF(A104=FALSE,"",IF(Cotations!AH104="monthly",EI104/12*L104,EI104/365*M104))</f>
        <v/>
      </c>
      <c r="EL104" s="493" t="str">
        <f>IF(A104=FALSE,"",IF(Cotations!AI104="","",Cotations!AI104))</f>
        <v/>
      </c>
      <c r="EM104" s="284" t="str">
        <f t="shared" si="667"/>
        <v/>
      </c>
      <c r="EN104" s="284" t="str">
        <f t="shared" si="668"/>
        <v/>
      </c>
      <c r="EO104" s="1365" t="str">
        <f t="shared" si="840"/>
        <v/>
      </c>
      <c r="EP104" s="284" t="str">
        <f t="shared" si="669"/>
        <v/>
      </c>
      <c r="EQ104" s="515" t="str">
        <f>IF(A104=FALSE,"",Cotations!AJ104)</f>
        <v/>
      </c>
      <c r="ER104" s="515" t="str">
        <f>IF(A104=FALSE,"",IF(Cotations!AK104="","",Cotations!AK104))</f>
        <v/>
      </c>
      <c r="ES104" s="493" t="str">
        <f>IF(A104=FALSE,"",Cotations!AL104)</f>
        <v/>
      </c>
      <c r="ET104" s="515" t="str">
        <f>IF(A104=FALSE,"",IF(EQ104="N/A",0,IF(INDEX(LISTES!$F$105:$F$109,MATCH(EQ104,LISTES!$C$105:$C$109,0))="FIX",IF(INDEX(LISTES!$E$105:$E$109,MATCH(EQ104,LISTES!$C$105:$C$109,0))=12,ER104/12*L104,ER104/365*M104),ES104*EP104)))</f>
        <v/>
      </c>
      <c r="EU104" s="294" t="str">
        <f t="shared" si="670"/>
        <v/>
      </c>
      <c r="EV104" s="494" t="str">
        <f>IF(A104=FALSE,"",EU104*Cotations!AM104)</f>
        <v/>
      </c>
      <c r="EW104" s="494" t="str">
        <f>IF(A104=FALSE,"",EU104*Cotations!AN104)</f>
        <v/>
      </c>
      <c r="EX104" s="334" t="str">
        <f t="shared" si="671"/>
        <v/>
      </c>
      <c r="EY104" s="919" t="str">
        <f>IF(A104=FALSE,"",((EG104*TAXE)-(EG104*TAXE*EL104)+EH104)+IF(EQ104="N/A",0,IF(INDEX(LISTES!$F$105:$F$109,MATCH(EQ104,LISTES!$C$105:$C$109,0))="FIX",ER104,ES104*EP104)))</f>
        <v/>
      </c>
      <c r="FA104" s="492" t="str">
        <f>IF(A104=FALSE,"",Cotations!D104)</f>
        <v/>
      </c>
      <c r="FB104" s="519" t="str">
        <f>IF(A104=FALSE,"",IF(LISTES!$A$17=1,Cotations!AO104,Cotations!$AP$4))</f>
        <v/>
      </c>
      <c r="FC104" s="291" t="str">
        <f t="shared" si="672"/>
        <v/>
      </c>
      <c r="FD104" s="291" t="str">
        <f t="shared" si="673"/>
        <v/>
      </c>
      <c r="FE104" s="291"/>
      <c r="FF104" s="463"/>
      <c r="FG104" s="463" t="str">
        <f t="shared" si="674"/>
        <v/>
      </c>
      <c r="FH104" s="522" t="str">
        <f>IF(A104=FALSE,"",IF(Cotations!$AQ$4="monthly",FG104/12*L104,FG104/365*M104))</f>
        <v/>
      </c>
      <c r="FI104" s="453" t="str">
        <f>IF(A104=FALSE,"",Cotations!$AR$4)</f>
        <v/>
      </c>
      <c r="FJ104" s="300" t="str">
        <f t="shared" si="675"/>
        <v/>
      </c>
      <c r="FK104" s="300" t="str">
        <f t="shared" si="676"/>
        <v/>
      </c>
      <c r="FL104" s="294" t="str">
        <f t="shared" si="677"/>
        <v/>
      </c>
      <c r="FM104" s="494" t="str">
        <f>IF(A104=FALSE,"",Cotations!$AS$4)</f>
        <v/>
      </c>
      <c r="FN104" s="494" t="str">
        <f>IF(A104=FALSE,"",Cotations!$AT$4)</f>
        <v/>
      </c>
      <c r="FO104" s="489" t="str">
        <f>IF(A104=FALSE,"",Cotations!$AU$4)</f>
        <v/>
      </c>
      <c r="FP104" s="494" t="str">
        <f>IF(A104=FALSE,"",IF(FM104="N/A",0,IF(INDEX(LISTES!$F$105:$F$109,MATCH(FM104,LISTES!$C$105:$C$109,0))="FIX",IF(INDEX(LISTES!$E$105:$E$109,MATCH(FM104,LISTES!$C$105:$C$109,0))=12,FN104/12*L104,FN104/365*M104),FO104*FL104)))</f>
        <v/>
      </c>
      <c r="FQ104" s="294" t="str">
        <f t="shared" si="678"/>
        <v/>
      </c>
      <c r="FR104" s="494" t="str">
        <f>IF(A104=FALSE,"",FQ104*Cotations!$AV$4)</f>
        <v/>
      </c>
      <c r="FS104" s="494" t="str">
        <f>IF(A104=FALSE,"",FQ104*Cotations!$AW$4)</f>
        <v/>
      </c>
      <c r="FT104" s="465" t="str">
        <f t="shared" si="679"/>
        <v/>
      </c>
      <c r="FU104" s="919" t="str">
        <f>IF(A104=FALSE,"",((FG104*TAXE)-(FG104*TAXE*FI104))+IF(FM104="N/A",0,IF(INDEX(LISTES!$F$105:$F$109,MATCH(FM104,LISTES!$C$105:$C$109,0))="FIX",FN104,FO104*FL104)))</f>
        <v/>
      </c>
      <c r="FV104" s="478"/>
      <c r="FW104" s="478"/>
      <c r="FX104" s="478"/>
      <c r="FY104" s="478"/>
      <c r="FZ104" s="478"/>
      <c r="GA104" s="492" t="str">
        <f>IF(A104=FALSE,"",Cotations!D104)</f>
        <v/>
      </c>
      <c r="GB104" s="494" t="str">
        <f>IF(A104=FALSE,"",IF(LISTES!$A$17=1,Cotations!AO104,Cotations!AP104))</f>
        <v/>
      </c>
      <c r="GC104" s="284" t="str">
        <f t="shared" si="680"/>
        <v/>
      </c>
      <c r="GD104" s="515" t="str">
        <f>IF(A104=FALSE,"",IF(Detail!AM104="","",Detail!AM104))</f>
        <v/>
      </c>
      <c r="GE104" s="284"/>
      <c r="GF104" s="284"/>
      <c r="GG104" s="284" t="str">
        <f t="shared" si="681"/>
        <v/>
      </c>
      <c r="GH104" s="515" t="str">
        <f>IF(A104=FALSE,"",IF(Cotations!AQ104="monthly",GG104/12*L104,GG104/365*M104))</f>
        <v/>
      </c>
      <c r="GI104" s="493" t="str">
        <f>IF(A104=FALSE,"",IF(Cotations!AR104="","",Cotations!AR104))</f>
        <v/>
      </c>
      <c r="GJ104" s="284" t="str">
        <f t="shared" si="682"/>
        <v/>
      </c>
      <c r="GK104" s="284" t="str">
        <f t="shared" si="683"/>
        <v/>
      </c>
      <c r="GL104" s="284" t="str">
        <f t="shared" si="684"/>
        <v/>
      </c>
      <c r="GM104" s="515" t="str">
        <f>IF(A104=FALSE,"",Cotations!AS104)</f>
        <v/>
      </c>
      <c r="GN104" s="515" t="str">
        <f>IF(A104=FALSE,"",Cotations!AT104)</f>
        <v/>
      </c>
      <c r="GO104" s="493" t="str">
        <f>IF(A104=FALSE,"",Cotations!AU104)</f>
        <v/>
      </c>
      <c r="GP104" s="515" t="str">
        <f>IF(A104=FALSE,"",IF(GM104="N/A",0,IF(INDEX(LISTES!$F$105:$F$109,MATCH(GM104,LISTES!$C$105:$C$109,0))="FIX",IF(INDEX(LISTES!$E$105:$E$109,MATCH(GM104,LISTES!$C$105:$C$109,0))=12,GN104/12*L104,GN104/365*M104),GO104*GL104)))</f>
        <v/>
      </c>
      <c r="GQ104" s="294" t="str">
        <f t="shared" si="685"/>
        <v/>
      </c>
      <c r="GR104" s="494" t="str">
        <f>IF(A104=FALSE,"",GQ104*Cotations!AV104)</f>
        <v/>
      </c>
      <c r="GS104" s="494" t="str">
        <f>IF(A104=FALSE,"",GQ104*Cotations!AW104)</f>
        <v/>
      </c>
      <c r="GT104" s="334" t="str">
        <f t="shared" si="686"/>
        <v/>
      </c>
      <c r="GU104" s="919" t="str">
        <f>IF(A104=FALSE,"",((GG104*TAXE)-(GG104*TAXE*GI104))+IF(GM104="N/A",0,IF(INDEX(LISTES!$F$105:$F$109,MATCH(GM104,LISTES!$C$105:$C$109,0))="FIX",GN104,GO104*GL104)))</f>
        <v/>
      </c>
      <c r="GV104" s="478"/>
      <c r="GW104" s="466"/>
      <c r="GX104" s="466"/>
      <c r="GY104" s="466"/>
      <c r="GZ104" s="466"/>
      <c r="HA104" s="492" t="str">
        <f>IF(A104=FALSE,"",Cotations!D104)</f>
        <v/>
      </c>
      <c r="HB104" s="495" t="str">
        <f>IF(A104=FALSE,"",IF(LISTES!$A$17=1,Cotations!AX104,Cotations!$AY$4))</f>
        <v/>
      </c>
      <c r="HC104" s="291" t="str">
        <f t="shared" si="687"/>
        <v/>
      </c>
      <c r="HD104" s="291" t="str">
        <f t="shared" si="688"/>
        <v/>
      </c>
      <c r="HE104" s="456" t="str">
        <f t="shared" si="689"/>
        <v/>
      </c>
      <c r="HF104" s="496" t="str">
        <f>IF(A104=FALSE,"",IF(HA104="POEA",Cotations!BA104,IF(HA104="FIXE",Cotations!$BA$4,Cotations!$BC$4*Y104)))</f>
        <v/>
      </c>
      <c r="HG104" s="300" t="str">
        <f t="shared" si="690"/>
        <v/>
      </c>
      <c r="HH104" s="522" t="str">
        <f>IF(A104=FALSE,"",IF(Cotations!$AZ$4="monthly",HG104/12*L104,HG104/365*M104))</f>
        <v/>
      </c>
      <c r="HI104" s="489" t="str">
        <f>IF(A104=FALSE,"",Cotations!$BD$4)</f>
        <v/>
      </c>
      <c r="HJ104" s="300" t="str">
        <f t="shared" si="691"/>
        <v/>
      </c>
      <c r="HK104" s="300" t="str">
        <f t="shared" si="692"/>
        <v/>
      </c>
      <c r="HL104" s="294" t="str">
        <f t="shared" si="693"/>
        <v/>
      </c>
      <c r="HM104" s="494" t="str">
        <f>IF(A104=FALSE,"",Cotations!$BE$4)</f>
        <v/>
      </c>
      <c r="HN104" s="522" t="str">
        <f>IF(A104=FALSE,"",Cotations!$BF$4)</f>
        <v/>
      </c>
      <c r="HO104" s="489" t="str">
        <f>IF(A104=FALSE,"",Cotations!$BG$4)</f>
        <v/>
      </c>
      <c r="HP104" s="494" t="str">
        <f>IF(A104=FALSE,"",IF(HM104="N/A",0,IF(INDEX(LISTES!$F$105:$F$109,MATCH(HM104,LISTES!$C$105:$C$109,0))="FIX",IF(INDEX(LISTES!$E$105:$E$109,MATCH(HM104,LISTES!$C$105:$C$109,0))=12,HN104/12*L104,HN104/365*M104),HO104*HL104)))</f>
        <v/>
      </c>
      <c r="HQ104" s="294" t="str">
        <f t="shared" si="694"/>
        <v/>
      </c>
      <c r="HR104" s="494" t="str">
        <f>IF(A104=FALSE,"",HQ104*Cotations!$BH$4)</f>
        <v/>
      </c>
      <c r="HS104" s="494" t="str">
        <f>IF(A104=FALSE,"",HQ104*Cotations!$BI$4)</f>
        <v/>
      </c>
      <c r="HT104" s="294" t="str">
        <f t="shared" si="695"/>
        <v/>
      </c>
      <c r="HU104" s="919" t="str">
        <f>IF(A104=FALSE,"",((HG104*TAXE)-(HG104*TAXE*HI104))+IF(HM104="N/A",0,IF(INDEX(LISTES!$F$105:$F$109,MATCH(HM104,LISTES!$C$105:$C$109,0))="FIX",HN104,HO104*HL104)))</f>
        <v/>
      </c>
      <c r="IA104" s="492" t="str">
        <f>IF(A104=FALSE,"",Cotations!D104)</f>
        <v/>
      </c>
      <c r="IB104" s="491" t="str">
        <f>IF(A104=FALSE,"",IF(LISTES!$A$17=1,Cotations!AX104,Cotations!AY104))</f>
        <v/>
      </c>
      <c r="IC104" s="285" t="str">
        <f t="shared" si="696"/>
        <v/>
      </c>
      <c r="ID104" s="300" t="str">
        <f>IF(A104=FALSE,"",IF(LISTES!$A$17=3,Detail!AU104,lig1_Formula_PREVOY))</f>
        <v/>
      </c>
      <c r="IE104" s="461" t="str">
        <f t="shared" si="697"/>
        <v/>
      </c>
      <c r="IF104" s="490" t="str">
        <f>IF(A104=FALSE,"",IF(IA104="POEA",Cotations!BA104,IF(HA104="FIXE",Cotations!BB104,IF(Cotations!BC104*Y104&lt;50000,Z104,Cotations!BC104*Y104))))</f>
        <v/>
      </c>
      <c r="IG104" s="300" t="str">
        <f t="shared" si="698"/>
        <v/>
      </c>
      <c r="IH104" s="522" t="str">
        <f>IF(A104=FALSE,"",IF(Cotations!AZ104="monthly",IG104/12*L104,IG104/365*M104))</f>
        <v/>
      </c>
      <c r="II104" s="489" t="str">
        <f>IF(A104=FALSE,"",IF(Cotations!BD104="","",Cotations!BD104))</f>
        <v/>
      </c>
      <c r="IJ104" s="300" t="str">
        <f t="shared" si="699"/>
        <v/>
      </c>
      <c r="IK104" s="300" t="str">
        <f t="shared" si="700"/>
        <v/>
      </c>
      <c r="IL104" s="919" t="str">
        <f t="shared" si="701"/>
        <v/>
      </c>
      <c r="IM104" s="517" t="str">
        <f>IF(A104=FALSE,"",Cotations!BE104)</f>
        <v/>
      </c>
      <c r="IN104" s="517" t="str">
        <f>IF(A104=FALSE,"",Cotations!BF104)</f>
        <v/>
      </c>
      <c r="IO104" s="493" t="str">
        <f>IF(A104=FALSE,"",Cotations!BG104)</f>
        <v/>
      </c>
      <c r="IP104" s="517" t="str">
        <f>IF(A104=FALSE,"",IF(IM104="N/A",0,IF(INDEX(LISTES!$F$105:$F$109,MATCH(IM104,LISTES!$C$105:$C$109,0))="FIX",IF(INDEX(LISTES!$E$105:$E$109,MATCH(IM104,LISTES!$C$105:$C$109,0))=12,IN104/12*L104,IN104/365*M104),IO104*IL104)))</f>
        <v/>
      </c>
      <c r="IQ104" s="294" t="str">
        <f t="shared" si="702"/>
        <v/>
      </c>
      <c r="IR104" s="494" t="str">
        <f>IF(A104=FALSE,"",IQ104*Cotations!BH104)</f>
        <v/>
      </c>
      <c r="IS104" s="494" t="str">
        <f>IF(A104=FALSE,"",IQ104*Cotations!BI104)</f>
        <v/>
      </c>
      <c r="IT104" s="338" t="str">
        <f t="shared" si="703"/>
        <v/>
      </c>
      <c r="IU104" s="919" t="str">
        <f>IF(A104=FALSE,"",((IG104*TAXE)-(IG104*TAXE*II104))+IF(IM104="N/A",0,IF(INDEX(LISTES!$F$105:$F$109,MATCH(IM104,LISTES!$C$105:$C$109,0))="FIX",IN104,IO104*IL104)))</f>
        <v/>
      </c>
      <c r="JA104" s="492" t="str">
        <f>IF(A104=FALSE,"",Cotations!D104)</f>
        <v/>
      </c>
      <c r="JB104" s="495" t="str">
        <f>IF(A104=FALSE,"",IF(LISTES!$A$17=1,Cotations!BJ104,Cotations!$BK$4))</f>
        <v/>
      </c>
      <c r="JC104" s="291" t="str">
        <f t="shared" si="704"/>
        <v/>
      </c>
      <c r="JD104" s="291" t="str">
        <f t="shared" si="705"/>
        <v/>
      </c>
      <c r="JE104" s="456" t="str">
        <f t="shared" si="706"/>
        <v/>
      </c>
      <c r="JF104" s="496" t="str">
        <f>IF(A104=FALSE,"",IF(JA104="POEA",Cotations!BM104,IF(JA104="FIXE",Cotations!$BM$4,Cotations!$BO$4*Y104)))</f>
        <v/>
      </c>
      <c r="JG104" s="300" t="str">
        <f t="shared" si="707"/>
        <v/>
      </c>
      <c r="JH104" s="522" t="str">
        <f>IF(A104=FALSE,"",IF(Cotations!$BL$4="monthly",JG104/12*L104,JG104/365*M104))</f>
        <v/>
      </c>
      <c r="JI104" s="489" t="str">
        <f>IF(A104=FALSE,"",Cotations!$BP$4)</f>
        <v/>
      </c>
      <c r="JJ104" s="300" t="str">
        <f t="shared" si="708"/>
        <v/>
      </c>
      <c r="JK104" s="300" t="str">
        <f t="shared" si="709"/>
        <v/>
      </c>
      <c r="JL104" s="294" t="str">
        <f t="shared" si="710"/>
        <v/>
      </c>
      <c r="JM104" s="494" t="str">
        <f>IF(A104=FALSE,"",Cotations!$BQ$4)</f>
        <v/>
      </c>
      <c r="JN104" s="522" t="str">
        <f>IF(A104=FALSE,"",Cotations!$BR$4)</f>
        <v/>
      </c>
      <c r="JO104" s="489" t="str">
        <f>IF(A104=FALSE,"",Cotations!$BS$4)</f>
        <v/>
      </c>
      <c r="JP104" s="494" t="str">
        <f>IF(A104=FALSE,"",IF(JM104="N/A",0,IF(INDEX(LISTES!$F$105:$F$109,MATCH(JM104,LISTES!$C$105:$C$109,0))="FIX",IF(INDEX(LISTES!$E$105:$E$109,MATCH(JM104,LISTES!$C$105:$C$109,0))=12,JN104/12*L104,JN104/365*M104),JO104*JL104)))</f>
        <v/>
      </c>
      <c r="JQ104" s="294" t="str">
        <f t="shared" si="711"/>
        <v/>
      </c>
      <c r="JR104" s="494" t="str">
        <f>IF(A104=FALSE,"",JQ104*Cotations!$BT$4)</f>
        <v/>
      </c>
      <c r="JS104" s="494" t="str">
        <f>IF(A104=FALSE,"",JQ104*Cotations!$BU$4)</f>
        <v/>
      </c>
      <c r="JT104" s="294" t="str">
        <f t="shared" si="712"/>
        <v/>
      </c>
      <c r="JU104" s="919" t="str">
        <f>IF(A104=FALSE,"",((JG104*TAXE)-(JG104*TAXE*JI104))+IF(JM104="N/A",0,IF(INDEX(LISTES!$F$105:$F$109,MATCH(JM104,LISTES!$C$105:$C$109,0))="FIX",JN104,JO104*JL104)))</f>
        <v/>
      </c>
      <c r="KA104" s="492" t="str">
        <f>IF(A104=FALSE,"",Cotations!D104)</f>
        <v/>
      </c>
      <c r="KB104" s="491" t="str">
        <f>IF(A104=FALSE,"",IF(LISTES!$A$17=1,Cotations!BJ104,Cotations!BK104))</f>
        <v/>
      </c>
      <c r="KC104" s="285" t="str">
        <f t="shared" si="713"/>
        <v/>
      </c>
      <c r="KD104" s="300"/>
      <c r="KE104" s="461" t="str">
        <f t="shared" si="714"/>
        <v/>
      </c>
      <c r="KF104" s="490" t="str">
        <f>IF(A104=FALSE,"",IF(KA104="POEA",Cotations!BM104,IF(KA104="FIXE",Cotations!BN104,IF(Cotations!BO104*Y104&lt;50000,Z104,Cotations!BO104*Y104))))</f>
        <v/>
      </c>
      <c r="KG104" s="300" t="str">
        <f t="shared" si="715"/>
        <v/>
      </c>
      <c r="KH104" s="522" t="str">
        <f>IF(A104=FALSE,"",IF(Cotations!BL104="monthly",KG104/12*L104,KG104/365*M104))</f>
        <v/>
      </c>
      <c r="KI104" s="489" t="str">
        <f>IF(A104=FALSE,"",IF(Cotations!BP104="","",Cotations!BP104))</f>
        <v/>
      </c>
      <c r="KJ104" s="300" t="str">
        <f t="shared" si="716"/>
        <v/>
      </c>
      <c r="KK104" s="300" t="str">
        <f t="shared" si="717"/>
        <v/>
      </c>
      <c r="KL104" s="919" t="str">
        <f t="shared" si="718"/>
        <v/>
      </c>
      <c r="KM104" s="517" t="str">
        <f>IF(A104=FALSE,"",Cotations!BQ104)</f>
        <v/>
      </c>
      <c r="KN104" s="515" t="str">
        <f>IF(A104=FALSE,"",Cotations!BR104)</f>
        <v/>
      </c>
      <c r="KO104" s="493" t="str">
        <f>IF(A104=FALSE,"",Cotations!BS104)</f>
        <v/>
      </c>
      <c r="KP104" s="517" t="str">
        <f>IF(A104=FALSE,"",IF(KM104="N/A",0,IF(INDEX(LISTES!$F$105:$F$109,MATCH(KM104,LISTES!$C$105:$C$109,0))="FIX",IF(INDEX(LISTES!$E$105:$E$109,MATCH(KM104,LISTES!$C$105:$C$109,0))=12,KN104/12*L104,KN104/365*M104),KO104*KL104)))</f>
        <v/>
      </c>
      <c r="KQ104" s="294" t="str">
        <f t="shared" si="719"/>
        <v/>
      </c>
      <c r="KR104" s="494" t="str">
        <f>IF(A104=FALSE,"",KQ104*Cotations!BT104)</f>
        <v/>
      </c>
      <c r="KS104" s="494" t="str">
        <f>IF(A104=FALSE,"",KQ104*Cotations!BU104)</f>
        <v/>
      </c>
      <c r="KT104" s="338" t="str">
        <f t="shared" si="720"/>
        <v/>
      </c>
      <c r="KU104" s="919" t="str">
        <f>IF(A104=FALSE,"",((KG104*TAXE)-(KG104*TAXE*KI104))+IF(KM104="N/A",0,IF(INDEX(LISTES!$F$105:$F$109,MATCH(KM104,LISTES!$C$105:$C$109,0))="FIX",KN104,KO104*KL104)))</f>
        <v/>
      </c>
      <c r="LA104" s="497" t="str">
        <f>IF(A104=FALSE,"",Cotations!D104)</f>
        <v/>
      </c>
      <c r="LB104" s="498" t="str">
        <f>IF(A104=FALSE,"",IF(LISTES!$A$17=1,Cotations!BV104,Cotations!$BW$4))</f>
        <v/>
      </c>
      <c r="LC104" s="499" t="str">
        <f t="shared" si="721"/>
        <v/>
      </c>
      <c r="LD104" s="499" t="str">
        <f t="shared" si="722"/>
        <v/>
      </c>
      <c r="LE104" s="500" t="str">
        <f t="shared" si="723"/>
        <v/>
      </c>
      <c r="LF104" s="501" t="str">
        <f>IF(A104=FALSE,"",IF(LA104="POEA",Cotations!EJ104,IF(LA104="FIXE",Cotations!$BY$4,Cotations!$CA$4*Y104)))</f>
        <v/>
      </c>
      <c r="LG104" s="502" t="str">
        <f t="shared" si="724"/>
        <v/>
      </c>
      <c r="LH104" s="520" t="str">
        <f>IF(A104=FALSE,"",IF(Cotations!$BX$4="monthly",LG104/12*L104,LG104/365*M104))</f>
        <v/>
      </c>
      <c r="LI104" s="503" t="str">
        <f>IF(A104=FALSE,"",Cotations!$CB$4)</f>
        <v/>
      </c>
      <c r="LJ104" s="502" t="str">
        <f t="shared" si="725"/>
        <v/>
      </c>
      <c r="LK104" s="502" t="str">
        <f t="shared" si="726"/>
        <v/>
      </c>
      <c r="LL104" s="504" t="str">
        <f t="shared" si="727"/>
        <v/>
      </c>
      <c r="LM104" s="505" t="str">
        <f>IF(A104=FALSE,"",Cotations!$CC$4)</f>
        <v/>
      </c>
      <c r="LN104" s="503" t="str">
        <f>IF(A104=FALSE,"",Cotations!$CD$4)</f>
        <v/>
      </c>
      <c r="LO104" s="503" t="str">
        <f>IF(A104=FALSE,"",Cotations!$CE$4)</f>
        <v/>
      </c>
      <c r="LP104" s="505" t="str">
        <f>IF(A104=FALSE,"",IF(LM104="N/A",0,IF(INDEX(LISTES!$F$105:$F$109,MATCH(LM104,LISTES!$C$105:$C$109,0))="FIX",IF(INDEX(LISTES!$E$105:$E$109,MATCH(LM104,LISTES!$C$105:$C$109,0))=12,LN104/12*L104,LN104/365*M104),LO104*LL104)))</f>
        <v/>
      </c>
      <c r="LQ104" s="504" t="str">
        <f t="shared" si="728"/>
        <v/>
      </c>
      <c r="LR104" s="505" t="str">
        <f>IF(A104=FALSE,"",LQ104*Cotations!$CF$4)</f>
        <v/>
      </c>
      <c r="LS104" s="505" t="str">
        <f>IF(A104=FALSE,"",LQ104*Cotations!$CG$4)</f>
        <v/>
      </c>
      <c r="LT104" s="506" t="str">
        <f t="shared" si="729"/>
        <v/>
      </c>
      <c r="LU104" s="919" t="str">
        <f>IF(A104=FALSE,"",((LG104*TAXE)-(LG104*TAXE*LI104))+IF(LM104="N/A",0,IF(INDEX(LISTES!$F$105:$F$109,MATCH(LM104,LISTES!$C$105:$C$109,0))="FIX",LN104,LO104*LL104)))</f>
        <v/>
      </c>
      <c r="MA104" s="492" t="str">
        <f>IF(A104=FALSE,"",Cotations!D104)</f>
        <v/>
      </c>
      <c r="MB104" s="491" t="str">
        <f>IF(A104=FALSE,"",IF(LISTES!$A$17=1,Cotations!BV104,Cotations!BW104))</f>
        <v/>
      </c>
      <c r="MC104" s="285" t="str">
        <f t="shared" si="730"/>
        <v/>
      </c>
      <c r="MD104" s="300"/>
      <c r="ME104" s="461" t="str">
        <f t="shared" si="731"/>
        <v/>
      </c>
      <c r="MF104" s="490" t="str">
        <f>IF(A104=FALSE,"",IF(MA104="POEA",Cotations!BY104,IF(MA104="FIXE",Cotations!BZ104,IF(Cotations!CA104*Y104&lt;50000,Z104,Cotations!CA104*Y104))))</f>
        <v/>
      </c>
      <c r="MG104" s="300" t="str">
        <f t="shared" si="732"/>
        <v/>
      </c>
      <c r="MH104" s="522" t="str">
        <f>IF(A104=FALSE,"",IF(Cotations!BX104="monthly",MG104/12*L104,MG104/365*M104))</f>
        <v/>
      </c>
      <c r="MI104" s="489" t="str">
        <f>IF(A104=FALSE,"",IF(Cotations!CB104="","",Cotations!CB104))</f>
        <v/>
      </c>
      <c r="MJ104" s="300" t="str">
        <f t="shared" si="733"/>
        <v/>
      </c>
      <c r="MK104" s="300" t="str">
        <f t="shared" si="734"/>
        <v/>
      </c>
      <c r="ML104" s="919" t="str">
        <f t="shared" si="735"/>
        <v/>
      </c>
      <c r="MM104" s="517" t="str">
        <f>IF(A104=FALSE,"",Cotations!CC104)</f>
        <v/>
      </c>
      <c r="MN104" s="515" t="str">
        <f>IF(A104=FALSE,"",Cotations!CD104)</f>
        <v/>
      </c>
      <c r="MO104" s="493" t="str">
        <f>IF(A104=FALSE,"",Cotations!CE104)</f>
        <v/>
      </c>
      <c r="MP104" s="517" t="str">
        <f>IF(A104=FALSE,"",IF(MM104="N/A",0,IF(INDEX(LISTES!$F$105:$F$109,MATCH(MM104,LISTES!$C$105:$C$109,0))="FIX",IF(INDEX(LISTES!$E$105:$E$109,MATCH(MM104,LISTES!$C$105:$C$109,0))=12,MN104/12*L104,MN104/365*M104),MO104*ML104)))</f>
        <v/>
      </c>
      <c r="MQ104" s="294" t="str">
        <f t="shared" si="736"/>
        <v/>
      </c>
      <c r="MR104" s="494" t="str">
        <f>IF(A104=FALSE,"",MQ104*Cotations!CF104)</f>
        <v/>
      </c>
      <c r="MS104" s="494" t="str">
        <f>IF(A104=FALSE,"",MQ104*Cotations!CG104)</f>
        <v/>
      </c>
      <c r="MT104" s="338" t="str">
        <f t="shared" si="737"/>
        <v/>
      </c>
      <c r="MU104" s="919" t="str">
        <f>IF(A104=FALSE,"",((MG104*TAXE)-(MG104*TAXE*MI104))+IF(MM104="N/A",0,IF(INDEX(LISTES!$F$105:$F$109,MATCH(MM104,LISTES!$C$105:$C$109,0))="FIX",MN104,MO104*ML104)))</f>
        <v/>
      </c>
      <c r="NA104" s="497" t="str">
        <f>IF(A104=FALSE,"",Cotations!D104)</f>
        <v/>
      </c>
      <c r="NB104" s="498" t="str">
        <f>IF(A104=FALSE,"",IF(LISTES!$A$17=1,Cotations!CH104,Cotations!$CI$4))</f>
        <v/>
      </c>
      <c r="NC104" s="499" t="str">
        <f t="shared" si="738"/>
        <v/>
      </c>
      <c r="ND104" s="499" t="str">
        <f t="shared" si="739"/>
        <v/>
      </c>
      <c r="NE104" s="500" t="str">
        <f t="shared" si="740"/>
        <v/>
      </c>
      <c r="NF104" s="501" t="str">
        <f>IF(A104=FALSE,"",IF(NA104="POEA",Cotations!CK104,IF(NA104="FIXE",Cotations!$CK$4,Cotations!$CM$4*Y104)))</f>
        <v/>
      </c>
      <c r="NG104" s="502" t="str">
        <f t="shared" si="741"/>
        <v/>
      </c>
      <c r="NH104" s="520" t="str">
        <f>IF(A104=FALSE,"",IF(Cotations!$CJ$4="monthly",NG104/12*L104,NG104/365*M104))</f>
        <v/>
      </c>
      <c r="NI104" s="503" t="str">
        <f>IF(A104=FALSE,"",Cotations!$CN$4)</f>
        <v/>
      </c>
      <c r="NJ104" s="502" t="str">
        <f t="shared" si="742"/>
        <v/>
      </c>
      <c r="NK104" s="502" t="str">
        <f t="shared" si="743"/>
        <v/>
      </c>
      <c r="NL104" s="504" t="str">
        <f t="shared" si="744"/>
        <v/>
      </c>
      <c r="NM104" s="505" t="str">
        <f>IF(A104=FALSE,"",Cotations!$CO$4)</f>
        <v/>
      </c>
      <c r="NN104" s="520" t="str">
        <f>IF(A104=FALSE,"",Cotations!$CP$4)</f>
        <v/>
      </c>
      <c r="NO104" s="503" t="str">
        <f>IF(A104=FALSE,"",Cotations!$CQ$4)</f>
        <v/>
      </c>
      <c r="NP104" s="505" t="str">
        <f>IF(A104=FALSE,"",IF(NM104="N/A",0,IF(INDEX(LISTES!$F$105:$F$109,MATCH(NM104,LISTES!$C$105:$C$109,0))="FIX",IF(INDEX(LISTES!$E$105:$E$109,MATCH(NM104,LISTES!$C$105:$C$109,0))=12,NN104/12*L104,NN104/365*M104),NO104*NL104)))</f>
        <v/>
      </c>
      <c r="NQ104" s="504" t="str">
        <f t="shared" si="745"/>
        <v/>
      </c>
      <c r="NR104" s="505" t="str">
        <f>IF(A104=FALSE,"",NQ104*Cotations!$CR$4)</f>
        <v/>
      </c>
      <c r="NS104" s="505" t="str">
        <f>IF(A104=FALSE,"",NQ104*Cotations!$CS$4)</f>
        <v/>
      </c>
      <c r="NT104" s="506" t="str">
        <f t="shared" si="746"/>
        <v/>
      </c>
      <c r="NU104" s="919" t="str">
        <f>IF(A104=FALSE,"",((NG104*TAXE)-(NG104*TAXE*NI104))+IF(NM104="N/A",0,IF(INDEX(LISTES!$F$105:$F$109,MATCH(NM104,LISTES!$C$105:$C$109,0))="FIX",NN104,NO104*NL104)))</f>
        <v/>
      </c>
      <c r="OA104" s="492" t="str">
        <f>IF(A104=FALSE,"",Cotations!D104)</f>
        <v/>
      </c>
      <c r="OB104" s="491" t="str">
        <f>IF(A104=FALSE,"",IF(LISTES!$A$17=1,Cotations!CH104,Cotations!CI104))</f>
        <v/>
      </c>
      <c r="OC104" s="285" t="str">
        <f t="shared" si="747"/>
        <v/>
      </c>
      <c r="OD104" s="300"/>
      <c r="OE104" s="461" t="str">
        <f t="shared" si="748"/>
        <v/>
      </c>
      <c r="OF104" s="490" t="str">
        <f>IF(A104=FALSE,"",IF(OA104="POEA",Cotations!CK104,IF(OA104="FIXE",Cotations!CL104,IF(Cotations!CM104*Y104&lt;50000,Z104,Cotations!CM104*Y104))))</f>
        <v/>
      </c>
      <c r="OG104" s="300" t="str">
        <f t="shared" si="749"/>
        <v/>
      </c>
      <c r="OH104" s="522" t="str">
        <f>IF(A104=FALSE,"",IF(Cotations!CJ104="monthly",OG104/12*L104,OG104/365*M104))</f>
        <v/>
      </c>
      <c r="OI104" s="489" t="str">
        <f>IF(A104=FALSE,"",IF(Cotations!CN104="","",Cotations!CN104))</f>
        <v/>
      </c>
      <c r="OJ104" s="300" t="str">
        <f t="shared" si="750"/>
        <v/>
      </c>
      <c r="OK104" s="300" t="str">
        <f t="shared" si="751"/>
        <v/>
      </c>
      <c r="OL104" s="919" t="str">
        <f t="shared" si="752"/>
        <v/>
      </c>
      <c r="OM104" s="517" t="str">
        <f>IF(A104=FALSE,"",Cotations!CO104)</f>
        <v/>
      </c>
      <c r="ON104" s="515" t="str">
        <f>IF(A104=FALSE,"",Cotations!CP104)</f>
        <v/>
      </c>
      <c r="OO104" s="493" t="str">
        <f>IF(A104=FALSE,"",Cotations!CQ104)</f>
        <v/>
      </c>
      <c r="OP104" s="517" t="str">
        <f>IF(A104=FALSE,"",IF(OM104="N/A",0,IF(INDEX(LISTES!$F$105:$F$109,MATCH(OM104,LISTES!$C$105:$C$109,0))="FIX",IF(INDEX(LISTES!$E$105:$E$109,MATCH(OM104,LISTES!$C$105:$C$109,0))=12,ON104/12*L104,ON104/365*M104),OO104*OL104)))</f>
        <v/>
      </c>
      <c r="OQ104" s="294" t="str">
        <f t="shared" si="753"/>
        <v/>
      </c>
      <c r="OR104" s="494" t="str">
        <f>IF(A104=FALSE,"",OQ104*Cotations!CR104)</f>
        <v/>
      </c>
      <c r="OS104" s="494" t="str">
        <f>IF(A104=FALSE,"",OQ104*Cotations!CS104)</f>
        <v/>
      </c>
      <c r="OT104" s="338" t="str">
        <f t="shared" si="754"/>
        <v/>
      </c>
      <c r="OU104" s="919" t="str">
        <f>IF(A104=FALSE,"",((OG104*TAXE)-(OG104*TAXE*OI104))+IF(OM104="N/A",0,IF(INDEX(LISTES!$F$105:$F$109,MATCH(OM104,LISTES!$C$105:$C$109,0))="FIX",ON104,OO104*OL104)))</f>
        <v/>
      </c>
      <c r="PA104" s="497" t="str">
        <f t="shared" si="755"/>
        <v/>
      </c>
      <c r="PB104" s="498" t="str">
        <f>IF(A104=FALSE,"",IF(LISTES!$A$17=1,Cotations!CT104,Cotations!$CU$4))</f>
        <v/>
      </c>
      <c r="PC104" s="499" t="str">
        <f t="shared" si="756"/>
        <v/>
      </c>
      <c r="PD104" s="499" t="str">
        <f t="shared" si="757"/>
        <v/>
      </c>
      <c r="PE104" s="500" t="str">
        <f t="shared" si="758"/>
        <v/>
      </c>
      <c r="PF104" s="501" t="str">
        <f>IF(A104=FALSE,"",Cotations!$CY$4*Y104)</f>
        <v/>
      </c>
      <c r="PG104" s="502" t="str">
        <f t="shared" si="759"/>
        <v/>
      </c>
      <c r="PH104" s="520" t="str">
        <f>IF(A104=FALSE,"",IF(Cotations!$CV$4="monthly",PG104/12*L104,PG104/365*M104))</f>
        <v/>
      </c>
      <c r="PI104" s="503" t="str">
        <f>IF(A104=FALSE,"",Cotations!$CZ$4)</f>
        <v/>
      </c>
      <c r="PJ104" s="502" t="str">
        <f t="shared" si="760"/>
        <v/>
      </c>
      <c r="PK104" s="502" t="str">
        <f t="shared" si="761"/>
        <v/>
      </c>
      <c r="PL104" s="504" t="str">
        <f t="shared" si="762"/>
        <v/>
      </c>
      <c r="PM104" s="505" t="str">
        <f>IF(A104=FALSE,"",Cotations!$DA$4)</f>
        <v/>
      </c>
      <c r="PN104" s="520" t="str">
        <f>IF(A104=FALSE,"",Cotations!$DB$4)</f>
        <v/>
      </c>
      <c r="PO104" s="503" t="str">
        <f>IF(A104=FALSE,"",Cotations!$DC$4)</f>
        <v/>
      </c>
      <c r="PP104" s="505" t="str">
        <f>IF(A104=FALSE,"",IF(PM104="N/A",0,IF(INDEX(LISTES!$F$105:$F$109,MATCH(PM104,LISTES!$C$105:$C$109,0))="FIX",IF(INDEX(LISTES!$E$105:$E$109,MATCH(PM104,LISTES!$C$105:$C$109,0))=12,PN104/12*L104,PN104/365*M104),PO104*PL104)))</f>
        <v/>
      </c>
      <c r="PQ104" s="504" t="str">
        <f t="shared" si="763"/>
        <v/>
      </c>
      <c r="PR104" s="505" t="str">
        <f>IF(A104=FALSE,"",PQ104*Cotations!$DD$4)</f>
        <v/>
      </c>
      <c r="PS104" s="505" t="str">
        <f>IF(A104=FALSE,"",PQ104*Cotations!$DE$4)</f>
        <v/>
      </c>
      <c r="PT104" s="506" t="str">
        <f t="shared" si="764"/>
        <v/>
      </c>
      <c r="PU104" s="919" t="str">
        <f>IF(A104=FALSE,"",((PG104*TAXE)-(PG104*TAXE*PI104))+IF(PM104="N/A",0,IF(INDEX(LISTES!$F$105:$F$109,MATCH(PM104,LISTES!$C$105:$C$109,0))="FIX",PN104,PO104*PL104)))</f>
        <v/>
      </c>
      <c r="QA104" s="492" t="str">
        <f t="shared" si="765"/>
        <v/>
      </c>
      <c r="QB104" s="491" t="str">
        <f>IF(A104=FALSE,"",IF(LISTES!$A$17=1,Cotations!CT104,Cotations!CU104))</f>
        <v/>
      </c>
      <c r="QC104" s="285" t="str">
        <f t="shared" si="766"/>
        <v/>
      </c>
      <c r="QD104" s="300"/>
      <c r="QE104" s="461" t="str">
        <f t="shared" si="767"/>
        <v/>
      </c>
      <c r="QF104" s="490" t="str">
        <f>IF(A104=FALSE,"",Cotations!CY104*AA104)</f>
        <v/>
      </c>
      <c r="QG104" s="300" t="str">
        <f t="shared" si="768"/>
        <v/>
      </c>
      <c r="QH104" s="522" t="str">
        <f>IF(A104=FALSE,"",IF(Cotations!CV104="monthly",QG104/12*L104,QG104/365*M104))</f>
        <v/>
      </c>
      <c r="QI104" s="489" t="str">
        <f>IF(A104=FALSE,"",IF(Cotations!CZ104="","",Cotations!CZ104))</f>
        <v/>
      </c>
      <c r="QJ104" s="300" t="str">
        <f t="shared" si="769"/>
        <v/>
      </c>
      <c r="QK104" s="300" t="str">
        <f t="shared" si="770"/>
        <v/>
      </c>
      <c r="QL104" s="919" t="str">
        <f t="shared" si="771"/>
        <v/>
      </c>
      <c r="QM104" s="517" t="str">
        <f>IF(A104=FALSE,"",Cotations!DA104)</f>
        <v/>
      </c>
      <c r="QN104" s="515" t="str">
        <f>IF(A104=FALSE,"",Cotations!DB104)</f>
        <v/>
      </c>
      <c r="QO104" s="493" t="str">
        <f>IF(A104=FALSE,"",Cotations!DC104)</f>
        <v/>
      </c>
      <c r="QP104" s="517" t="str">
        <f>IF(A104=FALSE,"",IF(QM104="N/A",0,IF(INDEX(LISTES!$F$105:$F$109,MATCH(QM104,LISTES!$C$105:$C$109,0))="FIX",IF(INDEX(LISTES!$E$105:$E$109,MATCH(QM104,LISTES!$C$105:$C$109,0))=12,QN104/12*L104,QN104/365*M104),QO104*QL104)))</f>
        <v/>
      </c>
      <c r="QQ104" s="294" t="str">
        <f t="shared" si="772"/>
        <v/>
      </c>
      <c r="QR104" s="494" t="str">
        <f>IF(A104=FALSE,"",QQ104*Cotations!DD104)</f>
        <v/>
      </c>
      <c r="QS104" s="494" t="str">
        <f>IF(A104=FALSE,"",QQ104*Cotations!DE104)</f>
        <v/>
      </c>
      <c r="QT104" s="338" t="str">
        <f t="shared" si="773"/>
        <v/>
      </c>
      <c r="QU104" s="919" t="str">
        <f>IF(A104=FALSE,"",((QG104*TAXE)-(QG104*TAXE*QI104))+IF(QM104="N/A",0,IF(INDEX(LISTES!$F$105:$F$109,MATCH(QM104,LISTES!$C$105:$C$109,0))="FIX",QN104,QO104*QL104)))</f>
        <v/>
      </c>
      <c r="RA104" s="497" t="str">
        <f t="shared" si="774"/>
        <v/>
      </c>
      <c r="RB104" s="498" t="str">
        <f>IF(A104=FALSE,"",IF(LISTES!$A$17=1,Cotations!DF104,Cotations!$DG$4))</f>
        <v/>
      </c>
      <c r="RC104" s="499" t="str">
        <f t="shared" si="775"/>
        <v/>
      </c>
      <c r="RD104" s="499" t="str">
        <f t="shared" si="776"/>
        <v/>
      </c>
      <c r="RE104" s="500" t="str">
        <f t="shared" si="777"/>
        <v/>
      </c>
      <c r="RF104" s="501" t="str">
        <f>IF(A104=FALSE,"",Cotations!$DK$4*Y104)</f>
        <v/>
      </c>
      <c r="RG104" s="502" t="str">
        <f t="shared" si="778"/>
        <v/>
      </c>
      <c r="RH104" s="520" t="str">
        <f>IF(A104=FALSE,"",IF(Cotations!$DH$4="monthly",RG104/12*L104,RG104/365*M104))</f>
        <v/>
      </c>
      <c r="RI104" s="503" t="str">
        <f>IF(A104=FALSE,"",Cotations!$DL$4)</f>
        <v/>
      </c>
      <c r="RJ104" s="502" t="str">
        <f t="shared" si="779"/>
        <v/>
      </c>
      <c r="RK104" s="502" t="str">
        <f t="shared" si="780"/>
        <v/>
      </c>
      <c r="RL104" s="504" t="str">
        <f t="shared" si="781"/>
        <v/>
      </c>
      <c r="RM104" s="505" t="str">
        <f>IF(A104=FALSE,"",Cotations!$DM$4)</f>
        <v/>
      </c>
      <c r="RN104" s="520" t="str">
        <f>IF(A104=FALSE,"",Cotations!$DN$4)</f>
        <v/>
      </c>
      <c r="RO104" s="503" t="str">
        <f>IF(A104=FALSE,"",Cotations!$DO$4)</f>
        <v/>
      </c>
      <c r="RP104" s="505" t="str">
        <f>IF(A104=FALSE,"",IF(RM104="N/A",0,IF(INDEX(LISTES!$F$105:$F$109,MATCH(RM104,LISTES!$C$105:$C$109,0))="FIX",IF(INDEX(LISTES!$E$105:$E$109,MATCH(RM104,LISTES!$C$105:$C$109,0))=12,RN104/12*L104,RN104/365*M104),RO104*RL104)))</f>
        <v/>
      </c>
      <c r="RQ104" s="504" t="str">
        <f t="shared" si="782"/>
        <v/>
      </c>
      <c r="RR104" s="505" t="str">
        <f>IF(A104=FALSE,"",RQ104*Cotations!$DP$4)</f>
        <v/>
      </c>
      <c r="RS104" s="505" t="str">
        <f>IF(A104=FALSE,"",RQ104*Cotations!$DQ$4)</f>
        <v/>
      </c>
      <c r="RT104" s="506" t="str">
        <f t="shared" si="783"/>
        <v/>
      </c>
      <c r="RU104" s="919" t="str">
        <f>IF(A104=FALSE,"",((RG104*TAXE)-(RG104*TAXE*RI104))+IF(RM104="N/A",0,IF(INDEX(LISTES!$F$105:$F$109,MATCH(RM104,LISTES!$C$105:$C$109,0))="FIX",RN104,RO104*RL104)))</f>
        <v/>
      </c>
      <c r="SA104" s="492" t="str">
        <f t="shared" si="784"/>
        <v/>
      </c>
      <c r="SB104" s="491" t="str">
        <f>IF(A104=FALSE,"",IF(LISTES!$A$17=1,Cotations!DF104,Cotations!DG104))</f>
        <v/>
      </c>
      <c r="SC104" s="285" t="str">
        <f t="shared" si="785"/>
        <v/>
      </c>
      <c r="SD104" s="300"/>
      <c r="SE104" s="461" t="str">
        <f t="shared" si="786"/>
        <v/>
      </c>
      <c r="SF104" s="490" t="str">
        <f>IF(A104=FALSE,"",Cotations!DK104*AA104)</f>
        <v/>
      </c>
      <c r="SG104" s="300" t="str">
        <f t="shared" si="787"/>
        <v/>
      </c>
      <c r="SH104" s="522" t="str">
        <f>IF(A104=FALSE,"",IF(Cotations!DH104="monthly",SG104/12*L104,SG104/365*M104))</f>
        <v/>
      </c>
      <c r="SI104" s="489" t="str">
        <f>IF(A104=FALSE,"",IF(Cotations!DL104="","",Cotations!DL104))</f>
        <v/>
      </c>
      <c r="SJ104" s="300" t="str">
        <f t="shared" si="788"/>
        <v/>
      </c>
      <c r="SK104" s="300" t="str">
        <f t="shared" si="789"/>
        <v/>
      </c>
      <c r="SL104" s="919" t="str">
        <f t="shared" si="790"/>
        <v/>
      </c>
      <c r="SM104" s="285" t="str">
        <f>IF(A104=FALSE,"",Cotations!DM104)</f>
        <v/>
      </c>
      <c r="SN104" s="515" t="str">
        <f>IF(A104=FALSE,"",Cotations!DN104)</f>
        <v/>
      </c>
      <c r="SO104" s="493" t="str">
        <f>IF(A104=FALSE,"",Cotations!DO104)</f>
        <v/>
      </c>
      <c r="SP104" s="517" t="str">
        <f>IF(A104=FALSE,"",IF(SM104="N/A",0,IF(INDEX(LISTES!$F$105:$F$109,MATCH(SM104,LISTES!$C$105:$C$109,0))="FIX",IF(INDEX(LISTES!$E$105:$E$109,MATCH(SM104,LISTES!$C$105:$C$109,0))=12,SN104/12*L104,SN104/365*M104),SO104*SL104)))</f>
        <v/>
      </c>
      <c r="SQ104" s="294" t="str">
        <f t="shared" si="791"/>
        <v/>
      </c>
      <c r="SR104" s="494" t="str">
        <f>IF(A104=FALSE,"",SQ104*Cotations!DP104)</f>
        <v/>
      </c>
      <c r="SS104" s="494" t="str">
        <f>IF(A104=FALSE,"",SQ104*Cotations!DQ104)</f>
        <v/>
      </c>
      <c r="ST104" s="338" t="str">
        <f t="shared" si="792"/>
        <v/>
      </c>
      <c r="SU104" s="919" t="str">
        <f>IF(A104=FALSE,"",((SG104*TAXE)-(SG104*TAXE*SI104))+IF(SM104="N/A",0,IF(INDEX(LISTES!$F$105:$F$109,MATCH(SM104,LISTES!$C$105:$C$109,0))="FIX",SN104,SO104*SL104)))</f>
        <v/>
      </c>
      <c r="TA104" s="492" t="str">
        <f>IF(A104=FALSE,"",Cotations!D104)</f>
        <v/>
      </c>
      <c r="TB104" s="491" t="str">
        <f>IF(A104=FALSE,"",IF(LISTES!$A$17=1,Cotations!DR104,Cotations!DS104))</f>
        <v/>
      </c>
      <c r="TC104" s="285" t="str">
        <f t="shared" si="793"/>
        <v/>
      </c>
      <c r="TD104" s="300" t="str">
        <f>IF(A104=FALSE,"",Detail!CQ104)</f>
        <v/>
      </c>
      <c r="TE104" s="461" t="str">
        <f t="shared" si="794"/>
        <v/>
      </c>
      <c r="TF104" s="490" t="str">
        <f>IF(A104=FALSE,"",IF(TA104="FIXE",Cotations!DU104,Cotations!DV104*Y104))</f>
        <v/>
      </c>
      <c r="TG104" s="300" t="str">
        <f t="shared" si="795"/>
        <v/>
      </c>
      <c r="TH104" s="522" t="str">
        <f>IF(A104=FALSE,"",IF(Cotations!DT104="monthly",TG104/12*L104,TG104/365*M104))</f>
        <v/>
      </c>
      <c r="TI104" s="489" t="str">
        <f>IF(A104=FALSE,"",IF(Cotations!DW104="","",Cotations!DW104))</f>
        <v/>
      </c>
      <c r="TJ104" s="300" t="str">
        <f t="shared" si="796"/>
        <v/>
      </c>
      <c r="TK104" s="300" t="str">
        <f t="shared" si="797"/>
        <v/>
      </c>
      <c r="TL104" s="919" t="str">
        <f t="shared" si="798"/>
        <v/>
      </c>
      <c r="TM104" s="517" t="str">
        <f>IF(A104=FALSE,"",Cotations!DX104)</f>
        <v/>
      </c>
      <c r="TN104" s="517" t="str">
        <f>IF(A104=FALSE,"",Cotations!DY104)</f>
        <v/>
      </c>
      <c r="TO104" s="493" t="str">
        <f>IF(A104=FALSE,"",Cotations!DZ104)</f>
        <v/>
      </c>
      <c r="TP104" s="517" t="str">
        <f>IF(A104=FALSE,"",IF(TM104="N/A",0,IF(INDEX(LISTES!$F$105:$F$109,MATCH(TM104,LISTES!$C$105:$C$109,0))="FIX",IF(INDEX(LISTES!$E$105:$E$109,MATCH(TM104,LISTES!$C$105:$C$109,0))=12,TN104/12*L104,TN104/365*M104),TO104*TL104)))</f>
        <v/>
      </c>
      <c r="TQ104" s="294" t="str">
        <f t="shared" si="799"/>
        <v/>
      </c>
      <c r="TR104" s="494" t="str">
        <f>IF(A104=FALSE,"",TQ104*Cotations!EA104)</f>
        <v/>
      </c>
      <c r="TS104" s="494" t="str">
        <f>IF(A104=FALSE,"",TQ104*Cotations!EB104)</f>
        <v/>
      </c>
      <c r="TT104" s="338" t="str">
        <f t="shared" si="800"/>
        <v/>
      </c>
      <c r="TU104" s="919" t="str">
        <f>IF(A104=FALSE,"",((TG104*(1+TAXE)-(TG104*(1+TAXE)*TI104))+IF(TM104="N/A",0,IF(INDEX(LISTES!$F$105:$F$109,MATCH(TM104,LISTES!$C$105:$C$109,0))="FIX",TN104,TO104*TL104))))</f>
        <v/>
      </c>
      <c r="UA104" s="492" t="str">
        <f>IF(A104=FALSE,"",Cotations!D104)</f>
        <v/>
      </c>
      <c r="UB104" s="491" t="str">
        <f>IF(A104=FALSE,"",IF(LISTES!$A$17=1,Cotations!EC104,Cotations!ED104))</f>
        <v/>
      </c>
      <c r="UC104" s="285" t="str">
        <f t="shared" si="801"/>
        <v/>
      </c>
      <c r="UD104" s="300" t="str">
        <f>IF(A104=FALSE,"",Detail!CY104)</f>
        <v/>
      </c>
      <c r="UE104" s="461" t="str">
        <f t="shared" si="802"/>
        <v/>
      </c>
      <c r="UF104" s="490" t="str">
        <f>IF(A104=FALSE,"",IF(UA104="FIXE",Cotations!EF104,Cotations!EG104*Y104))</f>
        <v/>
      </c>
      <c r="UG104" s="300" t="str">
        <f t="shared" si="803"/>
        <v/>
      </c>
      <c r="UH104" s="522" t="str">
        <f>IF(A104=FALSE,"",IF(Cotations!EE104="monthly",UG104/12*L104,UG104/365*M104))</f>
        <v/>
      </c>
      <c r="UI104" s="489" t="str">
        <f>IF(A104=FALSE,"",IF(Cotations!EH104="","",Cotations!EH104))</f>
        <v/>
      </c>
      <c r="UJ104" s="300" t="str">
        <f t="shared" si="804"/>
        <v/>
      </c>
      <c r="UK104" s="300" t="str">
        <f t="shared" si="805"/>
        <v/>
      </c>
      <c r="UL104" s="919" t="str">
        <f t="shared" si="806"/>
        <v/>
      </c>
      <c r="UM104" s="517" t="str">
        <f>IF(A104=FALSE,"",Cotations!EI104)</f>
        <v/>
      </c>
      <c r="UN104" s="517" t="str">
        <f>IF(A104=FALSE,"",Cotations!EJ104)</f>
        <v/>
      </c>
      <c r="UO104" s="493" t="str">
        <f>IF(A104=FALSE,"",Cotations!EK104)</f>
        <v/>
      </c>
      <c r="UP104" s="517" t="str">
        <f>IF(A104=FALSE,"",IF(UM104="N/A",0,IF(INDEX(LISTES!$F$105:$F$109,MATCH(UM104,LISTES!$C$105:$C$109,0))="FIX",IF(INDEX(LISTES!$E$105:$E$109,MATCH(UM104,LISTES!$C$105:$C$109,0))=12,UN104/12*L104,UN104/365*M104),UO104*UL104)))</f>
        <v/>
      </c>
      <c r="UQ104" s="294" t="str">
        <f t="shared" si="807"/>
        <v/>
      </c>
      <c r="UR104" s="494" t="str">
        <f>IF(A104=FALSE,"",UQ104*Cotations!EL104)</f>
        <v/>
      </c>
      <c r="US104" s="494" t="str">
        <f>IF(A104=FALSE,"",UQ104*Cotations!EM104)</f>
        <v/>
      </c>
      <c r="UT104" s="338" t="str">
        <f t="shared" si="808"/>
        <v/>
      </c>
      <c r="UU104" s="919" t="str">
        <f>IF(A104=FALSE,"",((UG104*(1+TAXE)-(UG104*(1+TAXE)*UI104))+IF(UM104="N/A",0,IF(INDEX(LISTES!$F$105:$F$109,MATCH(UM104,LISTES!$C$105:$C$109,0))="FIX",UN104,UO104*UL104))))</f>
        <v/>
      </c>
      <c r="VA104" s="492" t="str">
        <f>IF(A104=FALSE,"",Cotations!D104)</f>
        <v/>
      </c>
      <c r="VB104" s="519" t="str">
        <f>IF(A104=FALSE,"",IF(LISTES!$A$17=1,Cotations!EN104,Cotations!EO104))</f>
        <v/>
      </c>
      <c r="VC104" s="291" t="str">
        <f t="shared" si="809"/>
        <v/>
      </c>
      <c r="VD104" s="291" t="str">
        <f t="shared" si="810"/>
        <v/>
      </c>
      <c r="VE104" s="291"/>
      <c r="VF104" s="463"/>
      <c r="VG104" s="463" t="str">
        <f t="shared" si="811"/>
        <v/>
      </c>
      <c r="VH104" s="522" t="str">
        <f>IF(A104=FALSE,"",IF(Cotations!$AQ$4="monthly",VG104/12*L104,VG104/365*M104))</f>
        <v/>
      </c>
      <c r="VI104" s="489" t="str">
        <f>IF(A104=FALSE,"",Cotations!$AR$4)</f>
        <v/>
      </c>
      <c r="VJ104" s="300" t="str">
        <f t="shared" si="812"/>
        <v/>
      </c>
      <c r="VK104" s="300" t="str">
        <f t="shared" si="813"/>
        <v/>
      </c>
      <c r="VL104" s="294" t="str">
        <f t="shared" si="814"/>
        <v/>
      </c>
      <c r="VM104" s="494" t="str">
        <f>IF(A104=FALSE,"",Cotations!$AS$4)</f>
        <v/>
      </c>
      <c r="VN104" s="494" t="str">
        <f>IF(A104=FALSE,"",Cotations!$AT$4)</f>
        <v/>
      </c>
      <c r="VO104" s="489" t="str">
        <f>IF(A104=FALSE,"",Cotations!$AU$4)</f>
        <v/>
      </c>
      <c r="VP104" s="494" t="str">
        <f>IF(A104=FALSE,"",IF(VM104="N/A",0,IF(INDEX(LISTES!$F$105:$F$109,MATCH(VM104,LISTES!$C$105:$C$109,0))="FIX",IF(INDEX(LISTES!$E$105:$E$109,MATCH(VM104,LISTES!$C$105:$C$109,0))=12,VN104/12*L104,VN104/365*M104),VO104*VL104)))</f>
        <v/>
      </c>
      <c r="VQ104" s="294" t="str">
        <f t="shared" si="815"/>
        <v/>
      </c>
      <c r="VR104" s="494" t="str">
        <f>IF(A104=FALSE,"",VQ104*Cotations!$AV$4)</f>
        <v/>
      </c>
      <c r="VS104" s="494" t="str">
        <f>IF(A104=FALSE,"",VQ104*Cotations!$AW$4)</f>
        <v/>
      </c>
      <c r="VT104" s="465" t="str">
        <f t="shared" si="816"/>
        <v/>
      </c>
      <c r="VU104" s="919" t="str">
        <f>IF(A104=FALSE,"",((VG104*TAXE)-(VG104*TAXE*VI104))+IF(VM104="N/A",0,IF(INDEX(LISTES!$F$105:$F$109,MATCH(VM104,LISTES!$C$105:$C$109,0))="FIX",VN104,VO104*VL104)))</f>
        <v/>
      </c>
      <c r="WA104" s="492" t="str">
        <f>IF(A104=FALSE,"",Cotations!D104)</f>
        <v/>
      </c>
      <c r="WB104" s="519" t="str">
        <f>IF(A104=FALSE,"",IF(LISTES!$A$17=1,Cotations!EW104,Cotations!EX104))</f>
        <v/>
      </c>
      <c r="WC104" s="291" t="str">
        <f t="shared" si="817"/>
        <v/>
      </c>
      <c r="WD104" s="291" t="str">
        <f t="shared" si="818"/>
        <v/>
      </c>
      <c r="WE104" s="291"/>
      <c r="WF104" s="463"/>
      <c r="WG104" s="463" t="str">
        <f t="shared" si="819"/>
        <v/>
      </c>
      <c r="WH104" s="522" t="str">
        <f>IF(A104=FALSE,"",IF(Cotations!$AQ$4="monthly",WG104/12*L104,WG104/365*M104))</f>
        <v/>
      </c>
      <c r="WI104" s="489" t="str">
        <f>IF(A104=FALSE,"",Cotations!$AR$4)</f>
        <v/>
      </c>
      <c r="WJ104" s="300" t="str">
        <f t="shared" si="820"/>
        <v/>
      </c>
      <c r="WK104" s="300" t="str">
        <f t="shared" si="821"/>
        <v/>
      </c>
      <c r="WL104" s="294" t="str">
        <f t="shared" si="822"/>
        <v/>
      </c>
      <c r="WM104" s="494" t="str">
        <f>IF(A104=FALSE,"",Cotations!$AS$4)</f>
        <v/>
      </c>
      <c r="WN104" s="494" t="str">
        <f>IF(A104=FALSE,"",Cotations!$AT$4)</f>
        <v/>
      </c>
      <c r="WO104" s="489" t="str">
        <f>IF(A104=FALSE,"",Cotations!$AU$4)</f>
        <v/>
      </c>
      <c r="WP104" s="494" t="str">
        <f>IF(A104=FALSE,"",IF(WM104="N/A",0,IF(INDEX(LISTES!$F$105:$F$109,MATCH(WM104,LISTES!$C$105:$C$109,0))="FIX",IF(INDEX(LISTES!$E$105:$E$109,MATCH(WM104,LISTES!$C$105:$C$109,0))=12,WN104/12*L104,WN104/365*M104),WO104*WL104)))</f>
        <v/>
      </c>
      <c r="WQ104" s="294" t="str">
        <f t="shared" si="823"/>
        <v/>
      </c>
      <c r="WR104" s="494" t="str">
        <f>IF(A104=FALSE,"",WQ104*Cotations!$AV$4)</f>
        <v/>
      </c>
      <c r="WS104" s="494" t="str">
        <f>IF(A104=FALSE,"",WQ104*Cotations!$AW$4)</f>
        <v/>
      </c>
      <c r="WT104" s="465" t="str">
        <f t="shared" si="824"/>
        <v/>
      </c>
      <c r="WU104" s="919" t="str">
        <f>IF(A104=FALSE,"",((WG104*TAXE)-(WG104*TAXE*WI104))+IF(WM104="N/A",0,IF(INDEX(LISTES!$F$105:$F$109,MATCH(WM104,LISTES!$C$105:$C$109,0))="FIX",WN104,WO104*WL104)))</f>
        <v/>
      </c>
    </row>
    <row r="105" spans="1:619">
      <c r="A105" s="942" t="b">
        <f t="shared" si="629"/>
        <v>0</v>
      </c>
      <c r="B105" s="942" t="b">
        <f>IF(NAMES!$B$9=TRUE,TRUE,FALSE)</f>
        <v>1</v>
      </c>
      <c r="C105" s="942" t="b">
        <f t="shared" si="825"/>
        <v>0</v>
      </c>
      <c r="D105" s="942" t="b">
        <f t="shared" si="826"/>
        <v>0</v>
      </c>
      <c r="E105" s="274" t="b">
        <f>IF(Cotations!C105="","",Cotations!C105)</f>
        <v>0</v>
      </c>
      <c r="F105" s="274" t="str">
        <f>IF(Cotations!D105="","",Cotations!D105)</f>
        <v>PROP</v>
      </c>
      <c r="G105" s="274" t="str">
        <f>IF(Cotations!E105="","",Cotations!E105)</f>
        <v>2016-2017!</v>
      </c>
      <c r="H105" s="274" t="str">
        <f>IF(Cotations!F105="","",Cotations!F105)</f>
        <v>SINGLE</v>
      </c>
      <c r="I105" s="274" t="str">
        <f>IF(Cotations!G105="","",Cotations!G105)</f>
        <v/>
      </c>
      <c r="J105" s="274" t="str">
        <f>IF(Cotations!H105="","",Cotations!H105)</f>
        <v/>
      </c>
      <c r="K105" s="274" t="str">
        <f>IF(Cotations!I105="","",Cotations!I105)</f>
        <v/>
      </c>
      <c r="L105" s="274" t="str">
        <f>IF(A105=FALSE,"",IF(Cotations!N105="","",Cotations!N105))</f>
        <v/>
      </c>
      <c r="M105" s="274" t="str">
        <f>IF(Cotations!P105="","",Cotations!P105)</f>
        <v/>
      </c>
      <c r="N105" s="724" t="str">
        <f>IF(NAMES!$B$10=TRUE,Cotations!J105,Cotations!L105)</f>
        <v/>
      </c>
      <c r="O105" s="724" t="str">
        <f>IF(NAMES!$B$10=TRUE,Cotations!K105,Cotations!M105)</f>
        <v/>
      </c>
      <c r="P105" s="943" t="str">
        <f t="shared" si="827"/>
        <v/>
      </c>
      <c r="Q105" s="724" t="str">
        <f>IF(A105=FALSE,"",IF(Crewlist!Y105="","",Crewlist!Y105))</f>
        <v/>
      </c>
      <c r="R105" s="78" t="str">
        <f>IF(Cotations!U105="","",Cotations!U105)</f>
        <v/>
      </c>
      <c r="S105" s="943" t="str">
        <f t="shared" si="828"/>
        <v/>
      </c>
      <c r="T105" s="919" t="str">
        <f>IF(A105=FALSE,"",VLOOKUP($U$15:$U$120,Currency!$A$2:$D$10,4,0)*Crewlist!N105)</f>
        <v/>
      </c>
      <c r="U105" s="1355" t="str">
        <f>IF(A105=FALSE,"",IF(IT105=0,Crewlist!M105&amp;"/"&amp;EX105,Crewlist!M105&amp;"/"&amp;IT105))</f>
        <v/>
      </c>
      <c r="V105" s="919" t="str">
        <f>IF(A105=FALSE,"",VLOOKUP($U$15:$U$120,Currency!$A$2:$D$10,4,0)*Detail!Q105)</f>
        <v/>
      </c>
      <c r="W105" s="1355" t="str">
        <f>IF(A105=FALSE,"",IF(IT105=0,Detail!R105&amp;"/"&amp;EX105,Detail!R105&amp;"/"&amp;IT105))</f>
        <v/>
      </c>
      <c r="X105" s="919" t="str">
        <f>IF(A105=FALSE,"",IF(LISTES!$C$17="Crewlist",Calcul!T105,Calcul!V105))</f>
        <v/>
      </c>
      <c r="Y105" s="758" t="str">
        <f t="shared" si="829"/>
        <v/>
      </c>
      <c r="Z105" s="758" t="str">
        <f>IF(A105=FALSE,"",IF(X105=0,0,IF((Cotations!BC105*12*X105)&lt;50000,50000,(12*X105))))</f>
        <v/>
      </c>
      <c r="AA105" s="758" t="str">
        <f t="shared" si="830"/>
        <v/>
      </c>
      <c r="AB105" s="758" t="str">
        <f>IF(A105=FALSE,"",IF(Crewlist!O105=0,"",Crewlist!O105))</f>
        <v/>
      </c>
      <c r="AC105" s="758" t="str">
        <f>IF(I105="","",VLOOKUP($AB$15:$AB$120,Currency!$A$15:$B$34,2,0))</f>
        <v/>
      </c>
      <c r="AD105" s="758" t="str">
        <f t="shared" si="831"/>
        <v/>
      </c>
      <c r="AE105" s="758" t="str">
        <f t="shared" si="832"/>
        <v/>
      </c>
      <c r="AF105" s="758" t="str">
        <f t="shared" si="833"/>
        <v/>
      </c>
      <c r="AG105" s="758" t="str">
        <f t="shared" si="834"/>
        <v/>
      </c>
      <c r="AH105" s="1355" t="str">
        <f t="shared" si="630"/>
        <v/>
      </c>
      <c r="AI105" s="919" t="str">
        <f t="shared" si="835"/>
        <v/>
      </c>
      <c r="AJ105" s="1382" t="str">
        <f t="shared" si="836"/>
        <v/>
      </c>
      <c r="AK105" s="1382" t="str">
        <f t="shared" si="837"/>
        <v/>
      </c>
      <c r="AL105" s="238" t="str">
        <f t="shared" si="631"/>
        <v/>
      </c>
      <c r="AM105" s="238" t="str">
        <f t="shared" si="632"/>
        <v/>
      </c>
      <c r="AN105" s="1374" t="str">
        <f t="shared" si="633"/>
        <v/>
      </c>
      <c r="AO105" s="238" t="str">
        <f t="shared" si="634"/>
        <v/>
      </c>
      <c r="AP105" s="342" t="str">
        <f>IF(A105=FALSE,"",INDEX(Rates!$Z$5:$Z$367,MATCH(EB105,colchoice,0)))</f>
        <v/>
      </c>
      <c r="AQ105" s="238" t="str">
        <f t="shared" si="635"/>
        <v/>
      </c>
      <c r="AR105" s="238" t="str">
        <f t="shared" si="636"/>
        <v/>
      </c>
      <c r="AS105" s="238" t="str">
        <f t="shared" si="637"/>
        <v/>
      </c>
      <c r="AT105" s="238" t="str">
        <f t="shared" si="638"/>
        <v/>
      </c>
      <c r="AU105" s="238" t="str">
        <f t="shared" si="639"/>
        <v/>
      </c>
      <c r="AV105" s="238" t="str">
        <f t="shared" si="838"/>
        <v/>
      </c>
      <c r="AW105" s="238" t="str">
        <f t="shared" si="640"/>
        <v/>
      </c>
      <c r="AX105" s="238" t="str">
        <f t="shared" si="641"/>
        <v/>
      </c>
      <c r="AY105" s="238" t="str">
        <f t="shared" si="642"/>
        <v/>
      </c>
      <c r="AZ105" s="238" t="str">
        <f t="shared" si="643"/>
        <v/>
      </c>
      <c r="BA105" s="238" t="str">
        <f t="shared" si="644"/>
        <v/>
      </c>
      <c r="BB105" s="552" t="str">
        <f t="shared" si="645"/>
        <v/>
      </c>
      <c r="BC105" s="347" t="str">
        <f t="shared" si="646"/>
        <v/>
      </c>
      <c r="BD105" s="239" t="str">
        <f t="shared" si="839"/>
        <v/>
      </c>
      <c r="BE105" s="239" t="str">
        <f>IF(A105=FALSE,"",IF(ALLTHESAME=TRUE,IF(DF105&lt;&gt;$BC$7,0,INDEX(DD105:DZ105,1,MATCH(Structure!$D$12,$DD$14:$DZ$14,0))),IF(EC105&lt;&gt;$BC$7,0,INDEX(EA105:EZ105,1,MATCH(Structure!$D$12,$EA$14:$EZ$14,0)))))</f>
        <v/>
      </c>
      <c r="BF105" s="239" t="str">
        <f>IF(A105=FALSE,"",IF(ALLTHESAME=TRUE,IF(FC105&lt;&gt;$BC$7,0,INDEX(FA105:FZ105,1,MATCH(Structure!$D$12,$FA$14:$FZ$14,0))),IF(GC105&lt;&gt;$BC$7,0,INDEX(GA105:GZ105,1,MATCH(Structure!$D$12,$GA$14:$GZ$14,0)))))</f>
        <v/>
      </c>
      <c r="BG105" s="239" t="str">
        <f>IF(A105=FALSE,"",IF(ALLTHESAME=TRUE,IF(VC105&lt;&gt;$BC$7,0,INDEX(VA105:VZ105,1,MATCH(Structure!$D$12,$VA$14:$VZ$14,0))),IF(VC105&lt;&gt;$BC$7,0,INDEX(VA105:VZ105,1,MATCH(Structure!$D$12,$VA$14:$VZ$14,0)))))</f>
        <v/>
      </c>
      <c r="BH105" s="239" t="str">
        <f>IF(A105=FALSE,"",IF(ALLTHESAME=TRUE,IF(WC105&lt;&gt;$BC$7,0,INDEX(WA105:WY105,1,MATCH(Structure!$D$12,$WA$14:$WZ$14,0))),IF(WC105&lt;&gt;$BC$7,0,INDEX(WA105:WZ105,1,MATCH(Structure!$D$12,$WA$14:$WZ$14,0)))))</f>
        <v/>
      </c>
      <c r="BI105" s="763" t="str">
        <f>IF(A105=FALSE,"",IF(ALLTHESAME=TRUE,IF(HC105&lt;&gt;$BC$7,0,INDEX(HA105:HZ105,1,MATCH(Structure!$D$12,$HA$14:$HZ$14,0)))+TK105,IF(IC105&lt;&gt;$BC$7,0,INDEX(IA105:IZ105,1,MATCH(Structure!$D$12,$IA$14:$IZ$14,0)))+TK105))</f>
        <v/>
      </c>
      <c r="BJ105" s="239" t="str">
        <f>IF(A105=FALSE,"",IF(ALLTHESAME=TRUE,IF(JC105&lt;&gt;$BC$7,0,INDEX(JA105:JZ105,1,MATCH(Structure!$D$12,$JA$14:$JZ$14,0))),IF(KC105&lt;&gt;$BC$7,0,INDEX(KA105:KZ105,1,MATCH(Structure!$D$12,$KA$14:$KZ$14,0)))))</f>
        <v/>
      </c>
      <c r="BK105" s="763" t="str">
        <f>IF(A105=FALSE,"",IF(ALLTHESAME=TRUE,IF(LC105&lt;&gt;$BC$7,0,INDEX(LA105:LZ105,1,MATCH(Structure!$D$12,$LA$14:$LZ$14,0)))+UK105,IF(MC105&lt;&gt;$BC$7,0,INDEX(MA105:MZ105,1,MATCH(Structure!$D$12,$MA$14:$MZ$14,0)))+UK105))</f>
        <v/>
      </c>
      <c r="BL105" s="239" t="str">
        <f>IF(A105=FALSE,"",IF(ALLTHESAME=TRUE,IF(NC105&lt;&gt;$BC$7,0,INDEX(NA105:NZ105,1,MATCH(Structure!$D$12,$NA$14:$NZ$14,0))),IF(OC105&lt;&gt;$BC$7,0,INDEX(OA105:OZ105,1,MATCH(Structure!$D$12,$OA$14:$OZ$14,0)))))</f>
        <v/>
      </c>
      <c r="BM105" s="239" t="str">
        <f>IF(A105=FALSE,"",IF(ALLTHESAME=TRUE,IF(PC105&lt;&gt;$BC$7,0,INDEX(PA105:PZ105,1,MATCH(Structure!$D$12,$PA$14:$PZ$14,0))),IF(QC105&lt;&gt;$BC$7,0,INDEX(QA105:QZ105,1,MATCH(Structure!$D$12,$QA$14:$QZ$14,0)))))</f>
        <v/>
      </c>
      <c r="BN105" s="341" t="str">
        <f>IF(A105=FALSE,"",IF(ALLTHESAME=TRUE,IF(RC105&lt;&gt;$BC$7,0,INDEX(RA105:RZ105,1,MATCH(Structure!$D$12,$RA$14:$RZ$14,0))),IF(SC105&lt;&gt;$BC$7,0,INDEX(SA105:TA105,1,MATCH(Structure!$D$12,$SA$14:$TA$14,0)))))</f>
        <v/>
      </c>
      <c r="BO105" s="507" t="str">
        <f t="shared" si="647"/>
        <v/>
      </c>
      <c r="BP105" s="239" t="str">
        <f t="shared" si="648"/>
        <v/>
      </c>
      <c r="BQ105" s="239" t="str">
        <f>IF(A105=FALSE,"",IF(ALLTHESAME=TRUE,IF(DF105&lt;&gt;$BO$7,0,INDEX(DD105:DZ105,1,MATCH(Structure!$D$12,$DD$14:$DZ$14,0))),IF(EC105&lt;&gt;$BO$7,0,INDEX(EA105:EZ105,1,MATCH(Structure!$D$12,$EA$14:$EZ$14,0)))))</f>
        <v/>
      </c>
      <c r="BR105" s="239" t="str">
        <f>IF(A105=FALSE,"",IF(ALLTHESAME=TRUE,IF(FC105&lt;&gt;$BO$7,0,INDEX(FA105:FZ105,1,MATCH(Structure!$D$12,$FA$14:$FZ$14,0))),IF(GC105&lt;&gt;$BO$7,0,INDEX(GA105:GZ105,1,MATCH(Structure!$D$12,$GA$14:$GZ$14,0)))))</f>
        <v/>
      </c>
      <c r="BS105" s="239" t="str">
        <f>IF(A105=FALSE,"",IF(ALLTHESAME=TRUE,IF(HC105&lt;&gt;$BO$7,0,INDEX(HA105:HZ105,1,MATCH(Structure!$D$12,$HA$14:$HZ$14,0))),IF(IC105&lt;&gt;$BO$7,0,INDEX(IA105:IZ105,1,MATCH(Structure!$D$12,$IA$14:$IZ$14,0)))))</f>
        <v/>
      </c>
      <c r="BT105" s="239" t="str">
        <f>IF(A105=FALSE,"",IF(ALLTHESAME=TRUE,IF(JC105&lt;&gt;$BO$7,0,INDEX(JA105:JZ105,1,MATCH(Structure!$D$12,$JA$14:$JZ$14,0))),IF(KC105&lt;&gt;$BO$7,0,INDEX(KA105:KZ105,1,MATCH(Structure!$D$12,$KA$14:$KZ$14,0)))))</f>
        <v/>
      </c>
      <c r="BU105" s="239" t="str">
        <f>IF(A105=FALSE,"",IF(ALLTHESAME=TRUE,IF(LC105&lt;&gt;$BO$7,0,INDEX(LA105:LZ105,1,MATCH(Structure!$D$12,$LA$14:$LZ$14,0))),IF(MC105&lt;&gt;$BO$7,0,INDEX(MA105:MZ105,1,MATCH(Structure!$D$12,$MA$14:$MZ$14,0)))))</f>
        <v/>
      </c>
      <c r="BV105" s="239" t="str">
        <f>IF(A105=FALSE,"",IF(ALLTHESAME=TRUE,IF(NC105&lt;&gt;$BO$7,0,INDEX(NA105:NZ105,1,MATCH(Structure!$D$12,$NA$14:$NZ$14,0))),IF(OC105&lt;&gt;$BO$7,0,INDEX(OA105:OZ105,1,MATCH(Structure!$D$12,$OA$14:$OZ$14,0)))))</f>
        <v/>
      </c>
      <c r="BW105" s="239" t="str">
        <f>IF(A105=FALSE,"",IF(ALLTHESAME=TRUE,IF(PC105&lt;&gt;$BO$7,0,INDEX(PA105:PZ105,1,MATCH(Structure!$D$12,$PA$14:$PZ$14,0))),IF(QC105&lt;&gt;$BO$7,0,INDEX(QA105:QZ105,1,MATCH(Structure!$D$12,$QA$14:$QZ$14,0)))))</f>
        <v/>
      </c>
      <c r="BX105" s="341" t="str">
        <f>IF(A105=FALSE,"",IF(ALLTHESAME=TRUE,IF(RC105&lt;&gt;$BO$7,0,INDEX(RA105:RZ105,1,MATCH(Structure!$D$12,$RA$14:$RZ$14,0))),IF(SC105&lt;&gt;$BO$7,0,INDEX(SA105:TA105,1,MATCH(Structure!$D$12,$SA$14:$TA$14,0)))))</f>
        <v/>
      </c>
      <c r="BY105" s="347" t="str">
        <f t="shared" si="649"/>
        <v/>
      </c>
      <c r="BZ105" s="507" t="str">
        <f t="shared" si="650"/>
        <v/>
      </c>
      <c r="CA105" s="239" t="str">
        <f t="shared" si="651"/>
        <v/>
      </c>
      <c r="CB105" s="239" t="str">
        <f>IF(A105=FALSE,"",IF(ALLTHESAME=TRUE,INDEX(DD105:DZ105,MATCH(DF105,DF105:DF210,0),MATCH(Structure!$D$17,$DD$14:$DZ$14,0)),INDEX(EA105:EZ105,MATCH(EC105,EC105:EC210,0),MATCH(Structure!$D$17,$EA$14:$EZ$14,0))))</f>
        <v/>
      </c>
      <c r="CC105" s="239" t="str">
        <f>IF(A105=FALSE,"",IF(ALLTHESAME=TRUE,INDEX(FA105:FZ105,MATCH(FC105,FC105:FC210,0),MATCH(Structure!$D$17,$FA$14:$FZ$14,0)),INDEX(GA105:GZ105,MATCH(GC105,GC105:GC210,0),MATCH(Structure!$D$17,$GA$14:$GZ$14,0))))</f>
        <v/>
      </c>
      <c r="CD105" s="239" t="str">
        <f>IF(A105=FALSE,"",IF(ALLTHESAME=TRUE,INDEX(HA105:HZ105,MATCH(HC105,HC105:HC210,0),MATCH(Structure!$D$17,$HA$14:$HZ$14,0)),INDEX(IA105:IZ105,MATCH(IC105,IC105:IC210,0),MATCH(Structure!$D$17,$IA$14:$IZ$14,0))))</f>
        <v/>
      </c>
      <c r="CE105" s="239" t="str">
        <f>IF(A105=FALSE,"",IF(ALLTHESAME=TRUE,INDEX(JA105:JZ105,MATCH(JC105,JC105:JC210,0),MATCH(Structure!$D$17,$JA$14:$JZ$14,0)),INDEX(KA105:KZ105,MATCH(KC105,KC105:KC210,0),MATCH(Structure!$D$17,$KA$14:$KZ$14,0))))</f>
        <v/>
      </c>
      <c r="CF105" s="239" t="str">
        <f>IF(A105=FALSE,"",IF(ALLTHESAME=TRUE,INDEX(LA105:LZ105,MATCH(LC105,LC105:LC210,0),MATCH(Structure!$D$17,$LA$14:$LZ$14,0)),INDEX(MA105:MZ105,MATCH(MC105,MC105:MC210,0),MATCH(Structure!$D$17,$MA$14:$MZ$14,0))))</f>
        <v/>
      </c>
      <c r="CG105" s="239" t="str">
        <f>IF(A105=FALSE,"",IF(ALLTHESAME=TRUE,INDEX(NA105:NZ105,MATCH(NC105,NC105:NC210,0),MATCH(Structure!$D$17,$NA$14:$NZ$14,0)),INDEX(OA105:OZ105,MATCH(OC105,OC105:OC210,0),MATCH(Structure!$D$17,$OA$14:$OZ$14,0))))</f>
        <v/>
      </c>
      <c r="CH105" s="239" t="str">
        <f>IF(A105=FALSE,"",IF(ALLTHESAME=TRUE,INDEX(PA105:PZ105,MATCH(PC105,PC105:PC210,0),MATCH(Structure!$D$17,$PA$14:$PZ$14,0)),INDEX(QA105:QZ105,MATCH(QC105,QC105:QC210,0),MATCH(Structure!$D$17,$QA$14:$QZ$14,0))))</f>
        <v/>
      </c>
      <c r="CI105" s="341" t="str">
        <f>IF(A105=FALSE,"",IF(ALLTHESAME=TRUE,INDEX(RA105:RZ105,MATCH(RC105,RC105:RC210,0),MATCH(Structure!$D$17,$RA$14:$RZ$14,0)),INDEX(SA105:TC105,MATCH(SC105,SC105:SC210,0),MATCH(Structure!$D$17,$SA$14:$TC$14,0))))</f>
        <v/>
      </c>
      <c r="CJ105" s="347"/>
      <c r="CK105" s="239" t="str">
        <f t="shared" si="652"/>
        <v/>
      </c>
      <c r="CL105" s="239" t="str">
        <f>IF(A105=FALSE,"",IF(ALLTHESAME=TRUE,INDEX(DD105:DZ105,MATCH(DF105,DF105:DF210,0),MATCH(Structure!$D$22,$DD$14:$DZ$14,0)),INDEX(EA105:EZ105,MATCH(EC105,EC105:EC210,0),MATCH(Structure!$D$22,$EA$14:$EZ$14,0))))</f>
        <v/>
      </c>
      <c r="CM105" s="239" t="str">
        <f>IF(A105=FALSE,"",IF(ALLTHESAME=TRUE,INDEX(FA105:FZ105,MATCH(FC105,FC105:FC210,0),MATCH(Structure!$D$22,$FA$14:$FZ$14,0)),INDEX(GA105:GZ105,MATCH(GC105,GC105:GC210,0),MATCH(Structure!$D$22,$GA$14:$GZ$14,0))))</f>
        <v/>
      </c>
      <c r="CN105" s="239" t="str">
        <f>IF(A105=FALSE,"",IF(ALLTHESAME=TRUE,INDEX(HA105:HZ105,MATCH(HC105,HC105:HC210,0),MATCH(Structure!$D$22,$HA$14:$HZ$14,0)),INDEX(IA105:IZ105,MATCH(IC105,IC105:IC210,0),MATCH(Structure!$D$22,$IA$14:$IZ$14,0))))</f>
        <v/>
      </c>
      <c r="CO105" s="239" t="str">
        <f>IF(A105=FALSE,"",IF(ALLTHESAME=TRUE,INDEX(JA105:JZ105,MATCH(JC105,JC105:JC210,0),MATCH(Structure!$D$22,$JA$14:$JZ$14,0)),INDEX(KA105:KZ105,MATCH(KC105,KC105:KC210,0),MATCH(Structure!$D$22,$KA$14:$KZ$14,0))))</f>
        <v/>
      </c>
      <c r="CP105" s="239" t="str">
        <f>IF(A105=FALSE,"",IF(ALLTHESAME=TRUE,INDEX(LA105:LZ105,MATCH(LC105,LC105:LC210,0),MATCH(Structure!$D$22,$LA$14:$LZ$14,0)),INDEX(MA105:MZ105,MATCH(MC105,MC105:MC210,0),MATCH(Structure!$D$22,$MA$14:$MZ$14,0))))</f>
        <v/>
      </c>
      <c r="CQ105" s="239" t="str">
        <f>IF(A105=FALSE,"",IF(ALLTHESAME=TRUE,INDEX(NA105:NZ105,MATCH(NC105,NC105:NC210,0),MATCH(Structure!$D$22,$NA$14:$NZ$14,0)),INDEX(OA105:OZ105,MATCH(OC105,OC105:OC210,0),MATCH(Structure!$D$22,$OA$14:$OZ$14,0))))</f>
        <v/>
      </c>
      <c r="CR105" s="239" t="str">
        <f>IF(A105=FALSE,"",IF(ALLTHESAME=TRUE,INDEX(PA105:PZ105,MATCH(PC105,PC105:PC210,0),MATCH(Structure!$D$22,$PA$14:$PZ$14,0)),INDEX(QA105:QZ105,MATCH(QC105,QC105:QC210,0),MATCH(Structure!$D$22,$QA$14:$QZ$14,0))))</f>
        <v/>
      </c>
      <c r="CS105" s="341" t="str">
        <f>IF(A105=FALSE,"",IF(ALLTHESAME=TRUE,INDEX(RA105:RZ105,MATCH(RC105,RC105:RC210,0),MATCH(Structure!$D$22,$RA$14:$RZ$14,0)),INDEX(SA105:TC105,MATCH(SC105,SC105:SC210,0),MATCH(Structure!$D$22,$SA$14:$TC$14,0))))</f>
        <v/>
      </c>
      <c r="CT105" s="347"/>
      <c r="CU105" s="239" t="str">
        <f t="shared" si="653"/>
        <v/>
      </c>
      <c r="CV105" s="239" t="str">
        <f>IF(A105=FALSE,"",IF(ALLTHESAME=TRUE,INDEX(DD105:DZ105,MATCH(DF105,DF105:DF210,0),MATCH(Structure!$D$8,$DD$14:$DZ$14,0)),INDEX(EA105:EZ105,MATCH(EC105,EC105:EC210,0),MATCH(Structure!$D$8,$EA$14:$EZ$14,0))))</f>
        <v/>
      </c>
      <c r="CW105" s="239" t="str">
        <f>IF(A105=FALSE,"",IF(ALLTHESAME=TRUE,INDEX(FA105:FZ105,MATCH(FC105,FC105:FC210,0),MATCH(Structure!$D$8,$FA$14:$FZ$14,0)),INDEX(GA105:GZ105,MATCH(GC105,GC105:GC210,0),MATCH(Structure!$D$8,$GA$14:$GZ$14,0))))</f>
        <v/>
      </c>
      <c r="CX105" s="239" t="str">
        <f>IF(A105=FALSE,"",IF(ALLTHESAME=TRUE,INDEX(HA105:HZ105,MATCH(HC105,HC105:HC210,0),MATCH(Structure!$D$8,$HA$14:$HZ$14,0)),INDEX(IA105:IZ105,MATCH(IC105,IC105:IC210,0),MATCH(Structure!$D$8,$IA$14:$IZ$14,0))))</f>
        <v/>
      </c>
      <c r="CY105" s="239" t="str">
        <f>IF(A105=FALSE,"",IF(ALLTHESAME=TRUE,INDEX(JA105:JZ105,MATCH(JC105,JC105:JC210,0),MATCH(Structure!$D$8,$JA$14:$JZ$14,0)),INDEX(KA105:KZ105,MATCH(KC105,KC105:KC210,0),MATCH(Structure!$D$8,$KA$14:$KZ$14,0))))</f>
        <v/>
      </c>
      <c r="CZ105" s="239" t="str">
        <f>IF(A105=FALSE,"",IF(ALLTHESAME=TRUE,INDEX(LA105:LZ105,MATCH(LC105,LC105:LC210,0),MATCH(Structure!$D$8,$LA$14:$LZ$14,0)),INDEX(MA105:MZ105,MATCH(MC105,MC105:MC210,0),MATCH(Structure!$D$8,$MA$14:$MZ$14,0))))</f>
        <v/>
      </c>
      <c r="DA105" s="239" t="str">
        <f>IF(A105=FALSE,"",IF(ALLTHESAME=TRUE,INDEX(NA105:NZ105,MATCH(NC105,NC105:NC210,0),MATCH(Structure!$D$8,$NA$14:$NZ$14,0)),INDEX(OA105:OZ105,MATCH(OC105,OC105:OC210,0),MATCH(Structure!$D$8,$OA$14:$OZ$14,0))))</f>
        <v/>
      </c>
      <c r="DB105" s="239" t="str">
        <f>IF(A105=FALSE,"",IF(ALLTHESAME=TRUE,INDEX(PA105:PZ105,MATCH(PC105,PC105:PC210,0),MATCH(Structure!$D$8,$PA$14:$PZ$14,0)),INDEX(QA105:QZ105,MATCH(QC105,QC105:QC210,0),MATCH(Structure!$D$8,$QA$14:$QZ$14,0))))</f>
        <v/>
      </c>
      <c r="DC105" s="341" t="str">
        <f>IF(A105=FALSE,"",IF(ALLTHESAME=TRUE,INDEX(RA105:RZ105,MATCH(RC105,RC105:RC210,0),MATCH(Structure!$D$8,$RA$14:$RZ$14,0)),INDEX(SA105:TC105,MATCH(SC105,SC105:SC210,0),MATCH(Structure!$D$8,$SA$14:$TC$14,0))))</f>
        <v/>
      </c>
      <c r="DD105" s="492" t="str">
        <f>IF(A105=FALSE,"",Cotations!D105)</f>
        <v/>
      </c>
      <c r="DE105" s="492" t="str">
        <f>IF(A105=FALSE,"",IF(LISTES!$A$17=1,Cotations!AF105,Cotations!$AG$4))</f>
        <v/>
      </c>
      <c r="DF105" s="291" t="str">
        <f t="shared" si="654"/>
        <v/>
      </c>
      <c r="DG105" s="291" t="str">
        <f t="shared" si="655"/>
        <v/>
      </c>
      <c r="DH105" s="291"/>
      <c r="DI105" s="463"/>
      <c r="DJ105" s="463" t="str">
        <f t="shared" si="656"/>
        <v/>
      </c>
      <c r="DK105" s="522" t="str">
        <f>IF(A105=FALSE,"",IF(Cotations!$AH$4="monthly",DJ105/12*L105,DJ105/365*M105))</f>
        <v/>
      </c>
      <c r="DL105" s="489" t="str">
        <f>IF(A105=FALSE,"",Cotations!$AI$4)</f>
        <v/>
      </c>
      <c r="DM105" s="300" t="str">
        <f t="shared" si="657"/>
        <v/>
      </c>
      <c r="DN105" s="300" t="str">
        <f t="shared" si="658"/>
        <v/>
      </c>
      <c r="DO105" s="294" t="str">
        <f t="shared" si="659"/>
        <v/>
      </c>
      <c r="DP105" s="494" t="str">
        <f>IF(A105=FALSE,"",Cotations!$AJ$4)</f>
        <v/>
      </c>
      <c r="DQ105" s="494" t="str">
        <f>IF(A105=FALSE,"",Cotations!$AK$4)</f>
        <v/>
      </c>
      <c r="DR105" s="489" t="str">
        <f>IF(A105=FALSE,"",Cotations!$AL$4)</f>
        <v/>
      </c>
      <c r="DS105" s="494" t="str">
        <f>IF(A105=FALSE,"",IF(DP105="N/A",0,IF(INDEX(LISTES!$F$105:$F$109,MATCH(DP105,LISTES!$C$105:$C$109,0))="FIX",IF(INDEX(LISTES!$E$105:$E$109,MATCH(DP105,LISTES!$C$105:$C$109,0))=12,DQ105/12*L105,DQ105/365*M105),DR105*DO105)))</f>
        <v/>
      </c>
      <c r="DT105" s="294" t="str">
        <f t="shared" si="660"/>
        <v/>
      </c>
      <c r="DU105" s="294" t="str">
        <f>IF(A105=FALSE,"",DT105*Cotations!$AM$4)</f>
        <v/>
      </c>
      <c r="DV105" s="294" t="str">
        <f>IF(A105=FALSE,"",DT105*Cotations!$AN$4)</f>
        <v/>
      </c>
      <c r="DW105" s="465" t="str">
        <f t="shared" si="661"/>
        <v/>
      </c>
      <c r="DX105" s="919" t="str">
        <f>IF(A105=FALSE,"",((DJ105*TAXE)-(DJ105*TAXE*DL105))+IF(DP105="N/A",0,IF(INDEX(LISTES!$F$105:$F$109,MATCH(DP105,LISTES!$C$105:$C$109,0))="FIX",DQ105,DR105*DO105)))</f>
        <v/>
      </c>
      <c r="DY105" s="466"/>
      <c r="DZ105" s="466"/>
      <c r="EA105" s="492" t="str">
        <f>IF(A105=FALSE,"",Cotations!D105)</f>
        <v/>
      </c>
      <c r="EB105" s="494" t="str">
        <f>IF(A105=FALSE,"",IF(LISTES!$A$17=1,Cotations!AF105,Cotations!AG105))</f>
        <v/>
      </c>
      <c r="EC105" s="284" t="str">
        <f t="shared" si="662"/>
        <v/>
      </c>
      <c r="ED105" s="284" t="str">
        <f t="shared" si="663"/>
        <v/>
      </c>
      <c r="EE105" s="284"/>
      <c r="EF105" s="284"/>
      <c r="EG105" s="284" t="str">
        <f t="shared" si="664"/>
        <v/>
      </c>
      <c r="EH105" s="1365" t="str">
        <f t="shared" si="665"/>
        <v/>
      </c>
      <c r="EI105" s="1365" t="str">
        <f t="shared" si="666"/>
        <v/>
      </c>
      <c r="EJ105" s="515" t="str">
        <f>IF(A105=FALSE,"",IF(Cotations!AH105="monthly",EG105/12*L105,EG105/365*M105))</f>
        <v/>
      </c>
      <c r="EK105" s="1364" t="str">
        <f>IF(A105=FALSE,"",IF(Cotations!AH105="monthly",EI105/12*L105,EI105/365*M105))</f>
        <v/>
      </c>
      <c r="EL105" s="493" t="str">
        <f>IF(A105=FALSE,"",IF(Cotations!AI105="","",Cotations!AI105))</f>
        <v/>
      </c>
      <c r="EM105" s="284" t="str">
        <f t="shared" si="667"/>
        <v/>
      </c>
      <c r="EN105" s="284" t="str">
        <f t="shared" si="668"/>
        <v/>
      </c>
      <c r="EO105" s="1365" t="str">
        <f t="shared" si="840"/>
        <v/>
      </c>
      <c r="EP105" s="284" t="str">
        <f t="shared" si="669"/>
        <v/>
      </c>
      <c r="EQ105" s="515" t="str">
        <f>IF(A105=FALSE,"",Cotations!AJ105)</f>
        <v/>
      </c>
      <c r="ER105" s="515" t="str">
        <f>IF(A105=FALSE,"",IF(Cotations!AK105="","",Cotations!AK105))</f>
        <v/>
      </c>
      <c r="ES105" s="493" t="str">
        <f>IF(A105=FALSE,"",Cotations!AL105)</f>
        <v/>
      </c>
      <c r="ET105" s="515" t="str">
        <f>IF(A105=FALSE,"",IF(EQ105="N/A",0,IF(INDEX(LISTES!$F$105:$F$109,MATCH(EQ105,LISTES!$C$105:$C$109,0))="FIX",IF(INDEX(LISTES!$E$105:$E$109,MATCH(EQ105,LISTES!$C$105:$C$109,0))=12,ER105/12*L105,ER105/365*M105),ES105*EP105)))</f>
        <v/>
      </c>
      <c r="EU105" s="294" t="str">
        <f t="shared" si="670"/>
        <v/>
      </c>
      <c r="EV105" s="494" t="str">
        <f>IF(A105=FALSE,"",EU105*Cotations!AM105)</f>
        <v/>
      </c>
      <c r="EW105" s="494" t="str">
        <f>IF(A105=FALSE,"",EU105*Cotations!AN105)</f>
        <v/>
      </c>
      <c r="EX105" s="334" t="str">
        <f t="shared" si="671"/>
        <v/>
      </c>
      <c r="EY105" s="919" t="str">
        <f>IF(A105=FALSE,"",((EG105*TAXE)-(EG105*TAXE*EL105)+EH105)+IF(EQ105="N/A",0,IF(INDEX(LISTES!$F$105:$F$109,MATCH(EQ105,LISTES!$C$105:$C$109,0))="FIX",ER105,ES105*EP105)))</f>
        <v/>
      </c>
      <c r="FA105" s="492" t="str">
        <f>IF(A105=FALSE,"",Cotations!D105)</f>
        <v/>
      </c>
      <c r="FB105" s="519" t="str">
        <f>IF(A105=FALSE,"",IF(LISTES!$A$17=1,Cotations!AO105,Cotations!$AP$4))</f>
        <v/>
      </c>
      <c r="FC105" s="291" t="str">
        <f t="shared" si="672"/>
        <v/>
      </c>
      <c r="FD105" s="291" t="str">
        <f t="shared" si="673"/>
        <v/>
      </c>
      <c r="FE105" s="291"/>
      <c r="FF105" s="463"/>
      <c r="FG105" s="463" t="str">
        <f t="shared" si="674"/>
        <v/>
      </c>
      <c r="FH105" s="522" t="str">
        <f>IF(A105=FALSE,"",IF(Cotations!$AQ$4="monthly",FG105/12*L105,FG105/365*M105))</f>
        <v/>
      </c>
      <c r="FI105" s="453" t="str">
        <f>IF(A105=FALSE,"",Cotations!$AR$4)</f>
        <v/>
      </c>
      <c r="FJ105" s="300" t="str">
        <f t="shared" si="675"/>
        <v/>
      </c>
      <c r="FK105" s="300" t="str">
        <f t="shared" si="676"/>
        <v/>
      </c>
      <c r="FL105" s="294" t="str">
        <f t="shared" si="677"/>
        <v/>
      </c>
      <c r="FM105" s="494" t="str">
        <f>IF(A105=FALSE,"",Cotations!$AS$4)</f>
        <v/>
      </c>
      <c r="FN105" s="494" t="str">
        <f>IF(A105=FALSE,"",Cotations!$AT$4)</f>
        <v/>
      </c>
      <c r="FO105" s="489" t="str">
        <f>IF(A105=FALSE,"",Cotations!$AU$4)</f>
        <v/>
      </c>
      <c r="FP105" s="494" t="str">
        <f>IF(A105=FALSE,"",IF(FM105="N/A",0,IF(INDEX(LISTES!$F$105:$F$109,MATCH(FM105,LISTES!$C$105:$C$109,0))="FIX",IF(INDEX(LISTES!$E$105:$E$109,MATCH(FM105,LISTES!$C$105:$C$109,0))=12,FN105/12*L105,FN105/365*M105),FO105*FL105)))</f>
        <v/>
      </c>
      <c r="FQ105" s="294" t="str">
        <f t="shared" si="678"/>
        <v/>
      </c>
      <c r="FR105" s="494" t="str">
        <f>IF(A105=FALSE,"",FQ105*Cotations!$AV$4)</f>
        <v/>
      </c>
      <c r="FS105" s="494" t="str">
        <f>IF(A105=FALSE,"",FQ105*Cotations!$AW$4)</f>
        <v/>
      </c>
      <c r="FT105" s="465" t="str">
        <f t="shared" si="679"/>
        <v/>
      </c>
      <c r="FU105" s="919" t="str">
        <f>IF(A105=FALSE,"",((FG105*TAXE)-(FG105*TAXE*FI105))+IF(FM105="N/A",0,IF(INDEX(LISTES!$F$105:$F$109,MATCH(FM105,LISTES!$C$105:$C$109,0))="FIX",FN105,FO105*FL105)))</f>
        <v/>
      </c>
      <c r="FV105" s="478"/>
      <c r="FW105" s="478"/>
      <c r="FX105" s="478"/>
      <c r="FY105" s="478"/>
      <c r="FZ105" s="478"/>
      <c r="GA105" s="492" t="str">
        <f>IF(A105=FALSE,"",Cotations!D105)</f>
        <v/>
      </c>
      <c r="GB105" s="494" t="str">
        <f>IF(A105=FALSE,"",IF(LISTES!$A$17=1,Cotations!AO105,Cotations!AP105))</f>
        <v/>
      </c>
      <c r="GC105" s="284" t="str">
        <f t="shared" si="680"/>
        <v/>
      </c>
      <c r="GD105" s="515" t="str">
        <f>IF(A105=FALSE,"",IF(Detail!AM105="","",Detail!AM105))</f>
        <v/>
      </c>
      <c r="GE105" s="284"/>
      <c r="GF105" s="284"/>
      <c r="GG105" s="284" t="str">
        <f t="shared" si="681"/>
        <v/>
      </c>
      <c r="GH105" s="515" t="str">
        <f>IF(A105=FALSE,"",IF(Cotations!AQ105="monthly",GG105/12*L105,GG105/365*M105))</f>
        <v/>
      </c>
      <c r="GI105" s="493" t="str">
        <f>IF(A105=FALSE,"",IF(Cotations!AR105="","",Cotations!AR105))</f>
        <v/>
      </c>
      <c r="GJ105" s="284" t="str">
        <f t="shared" si="682"/>
        <v/>
      </c>
      <c r="GK105" s="284" t="str">
        <f t="shared" si="683"/>
        <v/>
      </c>
      <c r="GL105" s="284" t="str">
        <f t="shared" si="684"/>
        <v/>
      </c>
      <c r="GM105" s="515" t="str">
        <f>IF(A105=FALSE,"",Cotations!AS105)</f>
        <v/>
      </c>
      <c r="GN105" s="515" t="str">
        <f>IF(A105=FALSE,"",Cotations!AT105)</f>
        <v/>
      </c>
      <c r="GO105" s="493" t="str">
        <f>IF(A105=FALSE,"",Cotations!AU105)</f>
        <v/>
      </c>
      <c r="GP105" s="515" t="str">
        <f>IF(A105=FALSE,"",IF(GM105="N/A",0,IF(INDEX(LISTES!$F$105:$F$109,MATCH(GM105,LISTES!$C$105:$C$109,0))="FIX",IF(INDEX(LISTES!$E$105:$E$109,MATCH(GM105,LISTES!$C$105:$C$109,0))=12,GN105/12*L105,GN105/365*M105),GO105*GL105)))</f>
        <v/>
      </c>
      <c r="GQ105" s="294" t="str">
        <f t="shared" si="685"/>
        <v/>
      </c>
      <c r="GR105" s="494" t="str">
        <f>IF(A105=FALSE,"",GQ105*Cotations!AV105)</f>
        <v/>
      </c>
      <c r="GS105" s="494" t="str">
        <f>IF(A105=FALSE,"",GQ105*Cotations!AW105)</f>
        <v/>
      </c>
      <c r="GT105" s="334" t="str">
        <f t="shared" si="686"/>
        <v/>
      </c>
      <c r="GU105" s="919" t="str">
        <f>IF(A105=FALSE,"",((GG105*TAXE)-(GG105*TAXE*GI105))+IF(GM105="N/A",0,IF(INDEX(LISTES!$F$105:$F$109,MATCH(GM105,LISTES!$C$105:$C$109,0))="FIX",GN105,GO105*GL105)))</f>
        <v/>
      </c>
      <c r="GV105" s="478"/>
      <c r="GW105" s="466"/>
      <c r="GX105" s="466"/>
      <c r="GY105" s="466"/>
      <c r="GZ105" s="466"/>
      <c r="HA105" s="492" t="str">
        <f>IF(A105=FALSE,"",Cotations!D105)</f>
        <v/>
      </c>
      <c r="HB105" s="495" t="str">
        <f>IF(A105=FALSE,"",IF(LISTES!$A$17=1,Cotations!AX105,Cotations!$AY$4))</f>
        <v/>
      </c>
      <c r="HC105" s="291" t="str">
        <f t="shared" si="687"/>
        <v/>
      </c>
      <c r="HD105" s="291" t="str">
        <f t="shared" si="688"/>
        <v/>
      </c>
      <c r="HE105" s="456" t="str">
        <f t="shared" si="689"/>
        <v/>
      </c>
      <c r="HF105" s="496" t="str">
        <f>IF(A105=FALSE,"",IF(HA105="POEA",Cotations!BA105,IF(HA105="FIXE",Cotations!$BA$4,Cotations!$BC$4*Y105)))</f>
        <v/>
      </c>
      <c r="HG105" s="300" t="str">
        <f t="shared" si="690"/>
        <v/>
      </c>
      <c r="HH105" s="522" t="str">
        <f>IF(A105=FALSE,"",IF(Cotations!$AZ$4="monthly",HG105/12*L105,HG105/365*M105))</f>
        <v/>
      </c>
      <c r="HI105" s="489" t="str">
        <f>IF(A105=FALSE,"",Cotations!$BD$4)</f>
        <v/>
      </c>
      <c r="HJ105" s="300" t="str">
        <f t="shared" si="691"/>
        <v/>
      </c>
      <c r="HK105" s="300" t="str">
        <f t="shared" si="692"/>
        <v/>
      </c>
      <c r="HL105" s="294" t="str">
        <f t="shared" si="693"/>
        <v/>
      </c>
      <c r="HM105" s="494" t="str">
        <f>IF(A105=FALSE,"",Cotations!$BE$4)</f>
        <v/>
      </c>
      <c r="HN105" s="522" t="str">
        <f>IF(A105=FALSE,"",Cotations!$BF$4)</f>
        <v/>
      </c>
      <c r="HO105" s="489" t="str">
        <f>IF(A105=FALSE,"",Cotations!$BG$4)</f>
        <v/>
      </c>
      <c r="HP105" s="494" t="str">
        <f>IF(A105=FALSE,"",IF(HM105="N/A",0,IF(INDEX(LISTES!$F$105:$F$109,MATCH(HM105,LISTES!$C$105:$C$109,0))="FIX",IF(INDEX(LISTES!$E$105:$E$109,MATCH(HM105,LISTES!$C$105:$C$109,0))=12,HN105/12*L105,HN105/365*M105),HO105*HL105)))</f>
        <v/>
      </c>
      <c r="HQ105" s="294" t="str">
        <f t="shared" si="694"/>
        <v/>
      </c>
      <c r="HR105" s="494" t="str">
        <f>IF(A105=FALSE,"",HQ105*Cotations!$BH$4)</f>
        <v/>
      </c>
      <c r="HS105" s="494" t="str">
        <f>IF(A105=FALSE,"",HQ105*Cotations!$BI$4)</f>
        <v/>
      </c>
      <c r="HT105" s="294" t="str">
        <f t="shared" si="695"/>
        <v/>
      </c>
      <c r="HU105" s="919" t="str">
        <f>IF(A105=FALSE,"",((HG105*TAXE)-(HG105*TAXE*HI105))+IF(HM105="N/A",0,IF(INDEX(LISTES!$F$105:$F$109,MATCH(HM105,LISTES!$C$105:$C$109,0))="FIX",HN105,HO105*HL105)))</f>
        <v/>
      </c>
      <c r="IA105" s="492" t="str">
        <f>IF(A105=FALSE,"",Cotations!D105)</f>
        <v/>
      </c>
      <c r="IB105" s="491" t="str">
        <f>IF(A105=FALSE,"",IF(LISTES!$A$17=1,Cotations!AX105,Cotations!AY105))</f>
        <v/>
      </c>
      <c r="IC105" s="285" t="str">
        <f t="shared" si="696"/>
        <v/>
      </c>
      <c r="ID105" s="300" t="str">
        <f>IF(A105=FALSE,"",IF(LISTES!$A$17=3,Detail!AU105,lig1_Formula_PREVOY))</f>
        <v/>
      </c>
      <c r="IE105" s="461" t="str">
        <f t="shared" si="697"/>
        <v/>
      </c>
      <c r="IF105" s="490" t="str">
        <f>IF(A105=FALSE,"",IF(IA105="POEA",Cotations!BA105,IF(HA105="FIXE",Cotations!BB105,IF(Cotations!BC105*Y105&lt;50000,Z105,Cotations!BC105*Y105))))</f>
        <v/>
      </c>
      <c r="IG105" s="300" t="str">
        <f t="shared" si="698"/>
        <v/>
      </c>
      <c r="IH105" s="522" t="str">
        <f>IF(A105=FALSE,"",IF(Cotations!AZ105="monthly",IG105/12*L105,IG105/365*M105))</f>
        <v/>
      </c>
      <c r="II105" s="489" t="str">
        <f>IF(A105=FALSE,"",IF(Cotations!BD105="","",Cotations!BD105))</f>
        <v/>
      </c>
      <c r="IJ105" s="300" t="str">
        <f t="shared" si="699"/>
        <v/>
      </c>
      <c r="IK105" s="300" t="str">
        <f t="shared" si="700"/>
        <v/>
      </c>
      <c r="IL105" s="919" t="str">
        <f t="shared" si="701"/>
        <v/>
      </c>
      <c r="IM105" s="517" t="str">
        <f>IF(A105=FALSE,"",Cotations!BE105)</f>
        <v/>
      </c>
      <c r="IN105" s="517" t="str">
        <f>IF(A105=FALSE,"",Cotations!BF105)</f>
        <v/>
      </c>
      <c r="IO105" s="493" t="str">
        <f>IF(A105=FALSE,"",Cotations!BG105)</f>
        <v/>
      </c>
      <c r="IP105" s="517" t="str">
        <f>IF(A105=FALSE,"",IF(IM105="N/A",0,IF(INDEX(LISTES!$F$105:$F$109,MATCH(IM105,LISTES!$C$105:$C$109,0))="FIX",IF(INDEX(LISTES!$E$105:$E$109,MATCH(IM105,LISTES!$C$105:$C$109,0))=12,IN105/12*L105,IN105/365*M105),IO105*IL105)))</f>
        <v/>
      </c>
      <c r="IQ105" s="294" t="str">
        <f t="shared" si="702"/>
        <v/>
      </c>
      <c r="IR105" s="494" t="str">
        <f>IF(A105=FALSE,"",IQ105*Cotations!BH105)</f>
        <v/>
      </c>
      <c r="IS105" s="494" t="str">
        <f>IF(A105=FALSE,"",IQ105*Cotations!BI105)</f>
        <v/>
      </c>
      <c r="IT105" s="338" t="str">
        <f t="shared" si="703"/>
        <v/>
      </c>
      <c r="IU105" s="919" t="str">
        <f>IF(A105=FALSE,"",((IG105*TAXE)-(IG105*TAXE*II105))+IF(IM105="N/A",0,IF(INDEX(LISTES!$F$105:$F$109,MATCH(IM105,LISTES!$C$105:$C$109,0))="FIX",IN105,IO105*IL105)))</f>
        <v/>
      </c>
      <c r="JA105" s="492" t="str">
        <f>IF(A105=FALSE,"",Cotations!D105)</f>
        <v/>
      </c>
      <c r="JB105" s="495" t="str">
        <f>IF(A105=FALSE,"",IF(LISTES!$A$17=1,Cotations!BJ105,Cotations!$BK$4))</f>
        <v/>
      </c>
      <c r="JC105" s="291" t="str">
        <f t="shared" si="704"/>
        <v/>
      </c>
      <c r="JD105" s="291" t="str">
        <f t="shared" si="705"/>
        <v/>
      </c>
      <c r="JE105" s="456" t="str">
        <f t="shared" si="706"/>
        <v/>
      </c>
      <c r="JF105" s="496" t="str">
        <f>IF(A105=FALSE,"",IF(JA105="POEA",Cotations!BM105,IF(JA105="FIXE",Cotations!$BM$4,Cotations!$BO$4*Y105)))</f>
        <v/>
      </c>
      <c r="JG105" s="300" t="str">
        <f t="shared" si="707"/>
        <v/>
      </c>
      <c r="JH105" s="522" t="str">
        <f>IF(A105=FALSE,"",IF(Cotations!$BL$4="monthly",JG105/12*L105,JG105/365*M105))</f>
        <v/>
      </c>
      <c r="JI105" s="489" t="str">
        <f>IF(A105=FALSE,"",Cotations!$BP$4)</f>
        <v/>
      </c>
      <c r="JJ105" s="300" t="str">
        <f t="shared" si="708"/>
        <v/>
      </c>
      <c r="JK105" s="300" t="str">
        <f t="shared" si="709"/>
        <v/>
      </c>
      <c r="JL105" s="294" t="str">
        <f t="shared" si="710"/>
        <v/>
      </c>
      <c r="JM105" s="494" t="str">
        <f>IF(A105=FALSE,"",Cotations!$BQ$4)</f>
        <v/>
      </c>
      <c r="JN105" s="522" t="str">
        <f>IF(A105=FALSE,"",Cotations!$BR$4)</f>
        <v/>
      </c>
      <c r="JO105" s="489" t="str">
        <f>IF(A105=FALSE,"",Cotations!$BS$4)</f>
        <v/>
      </c>
      <c r="JP105" s="494" t="str">
        <f>IF(A105=FALSE,"",IF(JM105="N/A",0,IF(INDEX(LISTES!$F$105:$F$109,MATCH(JM105,LISTES!$C$105:$C$109,0))="FIX",IF(INDEX(LISTES!$E$105:$E$109,MATCH(JM105,LISTES!$C$105:$C$109,0))=12,JN105/12*L105,JN105/365*M105),JO105*JL105)))</f>
        <v/>
      </c>
      <c r="JQ105" s="294" t="str">
        <f t="shared" si="711"/>
        <v/>
      </c>
      <c r="JR105" s="494" t="str">
        <f>IF(A105=FALSE,"",JQ105*Cotations!$BT$4)</f>
        <v/>
      </c>
      <c r="JS105" s="494" t="str">
        <f>IF(A105=FALSE,"",JQ105*Cotations!$BU$4)</f>
        <v/>
      </c>
      <c r="JT105" s="294" t="str">
        <f t="shared" si="712"/>
        <v/>
      </c>
      <c r="JU105" s="919" t="str">
        <f>IF(A105=FALSE,"",((JG105*TAXE)-(JG105*TAXE*JI105))+IF(JM105="N/A",0,IF(INDEX(LISTES!$F$105:$F$109,MATCH(JM105,LISTES!$C$105:$C$109,0))="FIX",JN105,JO105*JL105)))</f>
        <v/>
      </c>
      <c r="KA105" s="492" t="str">
        <f>IF(A105=FALSE,"",Cotations!D105)</f>
        <v/>
      </c>
      <c r="KB105" s="491" t="str">
        <f>IF(A105=FALSE,"",IF(LISTES!$A$17=1,Cotations!BJ105,Cotations!BK105))</f>
        <v/>
      </c>
      <c r="KC105" s="285" t="str">
        <f t="shared" si="713"/>
        <v/>
      </c>
      <c r="KD105" s="300"/>
      <c r="KE105" s="461" t="str">
        <f t="shared" si="714"/>
        <v/>
      </c>
      <c r="KF105" s="490" t="str">
        <f>IF(A105=FALSE,"",IF(KA105="POEA",Cotations!BM105,IF(KA105="FIXE",Cotations!BN105,IF(Cotations!BO105*Y105&lt;50000,Z105,Cotations!BO105*Y105))))</f>
        <v/>
      </c>
      <c r="KG105" s="300" t="str">
        <f t="shared" si="715"/>
        <v/>
      </c>
      <c r="KH105" s="522" t="str">
        <f>IF(A105=FALSE,"",IF(Cotations!BL105="monthly",KG105/12*L105,KG105/365*M105))</f>
        <v/>
      </c>
      <c r="KI105" s="489" t="str">
        <f>IF(A105=FALSE,"",IF(Cotations!BP105="","",Cotations!BP105))</f>
        <v/>
      </c>
      <c r="KJ105" s="300" t="str">
        <f t="shared" si="716"/>
        <v/>
      </c>
      <c r="KK105" s="300" t="str">
        <f t="shared" si="717"/>
        <v/>
      </c>
      <c r="KL105" s="919" t="str">
        <f t="shared" si="718"/>
        <v/>
      </c>
      <c r="KM105" s="517" t="str">
        <f>IF(A105=FALSE,"",Cotations!BQ105)</f>
        <v/>
      </c>
      <c r="KN105" s="515" t="str">
        <f>IF(A105=FALSE,"",Cotations!BR105)</f>
        <v/>
      </c>
      <c r="KO105" s="493" t="str">
        <f>IF(A105=FALSE,"",Cotations!BS105)</f>
        <v/>
      </c>
      <c r="KP105" s="517" t="str">
        <f>IF(A105=FALSE,"",IF(KM105="N/A",0,IF(INDEX(LISTES!$F$105:$F$109,MATCH(KM105,LISTES!$C$105:$C$109,0))="FIX",IF(INDEX(LISTES!$E$105:$E$109,MATCH(KM105,LISTES!$C$105:$C$109,0))=12,KN105/12*L105,KN105/365*M105),KO105*KL105)))</f>
        <v/>
      </c>
      <c r="KQ105" s="294" t="str">
        <f t="shared" si="719"/>
        <v/>
      </c>
      <c r="KR105" s="494" t="str">
        <f>IF(A105=FALSE,"",KQ105*Cotations!BT105)</f>
        <v/>
      </c>
      <c r="KS105" s="494" t="str">
        <f>IF(A105=FALSE,"",KQ105*Cotations!BU105)</f>
        <v/>
      </c>
      <c r="KT105" s="338" t="str">
        <f t="shared" si="720"/>
        <v/>
      </c>
      <c r="KU105" s="919" t="str">
        <f>IF(A105=FALSE,"",((KG105*TAXE)-(KG105*TAXE*KI105))+IF(KM105="N/A",0,IF(INDEX(LISTES!$F$105:$F$109,MATCH(KM105,LISTES!$C$105:$C$109,0))="FIX",KN105,KO105*KL105)))</f>
        <v/>
      </c>
      <c r="LA105" s="497" t="str">
        <f>IF(A105=FALSE,"",Cotations!D105)</f>
        <v/>
      </c>
      <c r="LB105" s="498" t="str">
        <f>IF(A105=FALSE,"",IF(LISTES!$A$17=1,Cotations!BV105,Cotations!$BW$4))</f>
        <v/>
      </c>
      <c r="LC105" s="499" t="str">
        <f t="shared" si="721"/>
        <v/>
      </c>
      <c r="LD105" s="499" t="str">
        <f t="shared" si="722"/>
        <v/>
      </c>
      <c r="LE105" s="500" t="str">
        <f t="shared" si="723"/>
        <v/>
      </c>
      <c r="LF105" s="501" t="str">
        <f>IF(A105=FALSE,"",IF(LA105="POEA",Cotations!EJ105,IF(LA105="FIXE",Cotations!$BY$4,Cotations!$CA$4*Y105)))</f>
        <v/>
      </c>
      <c r="LG105" s="502" t="str">
        <f t="shared" si="724"/>
        <v/>
      </c>
      <c r="LH105" s="520" t="str">
        <f>IF(A105=FALSE,"",IF(Cotations!$BX$4="monthly",LG105/12*L105,LG105/365*M105))</f>
        <v/>
      </c>
      <c r="LI105" s="503" t="str">
        <f>IF(A105=FALSE,"",Cotations!$CB$4)</f>
        <v/>
      </c>
      <c r="LJ105" s="502" t="str">
        <f t="shared" si="725"/>
        <v/>
      </c>
      <c r="LK105" s="502" t="str">
        <f t="shared" si="726"/>
        <v/>
      </c>
      <c r="LL105" s="504" t="str">
        <f t="shared" si="727"/>
        <v/>
      </c>
      <c r="LM105" s="505" t="str">
        <f>IF(A105=FALSE,"",Cotations!$CC$4)</f>
        <v/>
      </c>
      <c r="LN105" s="503" t="str">
        <f>IF(A105=FALSE,"",Cotations!$CD$4)</f>
        <v/>
      </c>
      <c r="LO105" s="503" t="str">
        <f>IF(A105=FALSE,"",Cotations!$CE$4)</f>
        <v/>
      </c>
      <c r="LP105" s="505" t="str">
        <f>IF(A105=FALSE,"",IF(LM105="N/A",0,IF(INDEX(LISTES!$F$105:$F$109,MATCH(LM105,LISTES!$C$105:$C$109,0))="FIX",IF(INDEX(LISTES!$E$105:$E$109,MATCH(LM105,LISTES!$C$105:$C$109,0))=12,LN105/12*L105,LN105/365*M105),LO105*LL105)))</f>
        <v/>
      </c>
      <c r="LQ105" s="504" t="str">
        <f t="shared" si="728"/>
        <v/>
      </c>
      <c r="LR105" s="505" t="str">
        <f>IF(A105=FALSE,"",LQ105*Cotations!$CF$4)</f>
        <v/>
      </c>
      <c r="LS105" s="505" t="str">
        <f>IF(A105=FALSE,"",LQ105*Cotations!$CG$4)</f>
        <v/>
      </c>
      <c r="LT105" s="506" t="str">
        <f t="shared" si="729"/>
        <v/>
      </c>
      <c r="LU105" s="919" t="str">
        <f>IF(A105=FALSE,"",((LG105*TAXE)-(LG105*TAXE*LI105))+IF(LM105="N/A",0,IF(INDEX(LISTES!$F$105:$F$109,MATCH(LM105,LISTES!$C$105:$C$109,0))="FIX",LN105,LO105*LL105)))</f>
        <v/>
      </c>
      <c r="MA105" s="492" t="str">
        <f>IF(A105=FALSE,"",Cotations!D105)</f>
        <v/>
      </c>
      <c r="MB105" s="491" t="str">
        <f>IF(A105=FALSE,"",IF(LISTES!$A$17=1,Cotations!BV105,Cotations!BW105))</f>
        <v/>
      </c>
      <c r="MC105" s="285" t="str">
        <f t="shared" si="730"/>
        <v/>
      </c>
      <c r="MD105" s="300"/>
      <c r="ME105" s="461" t="str">
        <f t="shared" si="731"/>
        <v/>
      </c>
      <c r="MF105" s="490" t="str">
        <f>IF(A105=FALSE,"",IF(MA105="POEA",Cotations!BY105,IF(MA105="FIXE",Cotations!BZ105,IF(Cotations!CA105*Y105&lt;50000,Z105,Cotations!CA105*Y105))))</f>
        <v/>
      </c>
      <c r="MG105" s="300" t="str">
        <f t="shared" si="732"/>
        <v/>
      </c>
      <c r="MH105" s="522" t="str">
        <f>IF(A105=FALSE,"",IF(Cotations!BX105="monthly",MG105/12*L105,MG105/365*M105))</f>
        <v/>
      </c>
      <c r="MI105" s="489" t="str">
        <f>IF(A105=FALSE,"",IF(Cotations!CB105="","",Cotations!CB105))</f>
        <v/>
      </c>
      <c r="MJ105" s="300" t="str">
        <f t="shared" si="733"/>
        <v/>
      </c>
      <c r="MK105" s="300" t="str">
        <f t="shared" si="734"/>
        <v/>
      </c>
      <c r="ML105" s="919" t="str">
        <f t="shared" si="735"/>
        <v/>
      </c>
      <c r="MM105" s="517" t="str">
        <f>IF(A105=FALSE,"",Cotations!CC105)</f>
        <v/>
      </c>
      <c r="MN105" s="515" t="str">
        <f>IF(A105=FALSE,"",Cotations!CD105)</f>
        <v/>
      </c>
      <c r="MO105" s="493" t="str">
        <f>IF(A105=FALSE,"",Cotations!CE105)</f>
        <v/>
      </c>
      <c r="MP105" s="517" t="str">
        <f>IF(A105=FALSE,"",IF(MM105="N/A",0,IF(INDEX(LISTES!$F$105:$F$109,MATCH(MM105,LISTES!$C$105:$C$109,0))="FIX",IF(INDEX(LISTES!$E$105:$E$109,MATCH(MM105,LISTES!$C$105:$C$109,0))=12,MN105/12*L105,MN105/365*M105),MO105*ML105)))</f>
        <v/>
      </c>
      <c r="MQ105" s="294" t="str">
        <f t="shared" si="736"/>
        <v/>
      </c>
      <c r="MR105" s="494" t="str">
        <f>IF(A105=FALSE,"",MQ105*Cotations!CF105)</f>
        <v/>
      </c>
      <c r="MS105" s="494" t="str">
        <f>IF(A105=FALSE,"",MQ105*Cotations!CG105)</f>
        <v/>
      </c>
      <c r="MT105" s="338" t="str">
        <f t="shared" si="737"/>
        <v/>
      </c>
      <c r="MU105" s="919" t="str">
        <f>IF(A105=FALSE,"",((MG105*TAXE)-(MG105*TAXE*MI105))+IF(MM105="N/A",0,IF(INDEX(LISTES!$F$105:$F$109,MATCH(MM105,LISTES!$C$105:$C$109,0))="FIX",MN105,MO105*ML105)))</f>
        <v/>
      </c>
      <c r="NA105" s="497" t="str">
        <f>IF(A105=FALSE,"",Cotations!D105)</f>
        <v/>
      </c>
      <c r="NB105" s="498" t="str">
        <f>IF(A105=FALSE,"",IF(LISTES!$A$17=1,Cotations!CH105,Cotations!$CI$4))</f>
        <v/>
      </c>
      <c r="NC105" s="499" t="str">
        <f t="shared" si="738"/>
        <v/>
      </c>
      <c r="ND105" s="499" t="str">
        <f t="shared" si="739"/>
        <v/>
      </c>
      <c r="NE105" s="500" t="str">
        <f t="shared" si="740"/>
        <v/>
      </c>
      <c r="NF105" s="501" t="str">
        <f>IF(A105=FALSE,"",IF(NA105="POEA",Cotations!CK105,IF(NA105="FIXE",Cotations!$CK$4,Cotations!$CM$4*Y105)))</f>
        <v/>
      </c>
      <c r="NG105" s="502" t="str">
        <f t="shared" si="741"/>
        <v/>
      </c>
      <c r="NH105" s="520" t="str">
        <f>IF(A105=FALSE,"",IF(Cotations!$CJ$4="monthly",NG105/12*L105,NG105/365*M105))</f>
        <v/>
      </c>
      <c r="NI105" s="503" t="str">
        <f>IF(A105=FALSE,"",Cotations!$CN$4)</f>
        <v/>
      </c>
      <c r="NJ105" s="502" t="str">
        <f t="shared" si="742"/>
        <v/>
      </c>
      <c r="NK105" s="502" t="str">
        <f t="shared" si="743"/>
        <v/>
      </c>
      <c r="NL105" s="504" t="str">
        <f t="shared" si="744"/>
        <v/>
      </c>
      <c r="NM105" s="505" t="str">
        <f>IF(A105=FALSE,"",Cotations!$CO$4)</f>
        <v/>
      </c>
      <c r="NN105" s="520" t="str">
        <f>IF(A105=FALSE,"",Cotations!$CP$4)</f>
        <v/>
      </c>
      <c r="NO105" s="503" t="str">
        <f>IF(A105=FALSE,"",Cotations!$CQ$4)</f>
        <v/>
      </c>
      <c r="NP105" s="505" t="str">
        <f>IF(A105=FALSE,"",IF(NM105="N/A",0,IF(INDEX(LISTES!$F$105:$F$109,MATCH(NM105,LISTES!$C$105:$C$109,0))="FIX",IF(INDEX(LISTES!$E$105:$E$109,MATCH(NM105,LISTES!$C$105:$C$109,0))=12,NN105/12*L105,NN105/365*M105),NO105*NL105)))</f>
        <v/>
      </c>
      <c r="NQ105" s="504" t="str">
        <f t="shared" si="745"/>
        <v/>
      </c>
      <c r="NR105" s="505" t="str">
        <f>IF(A105=FALSE,"",NQ105*Cotations!$CR$4)</f>
        <v/>
      </c>
      <c r="NS105" s="505" t="str">
        <f>IF(A105=FALSE,"",NQ105*Cotations!$CS$4)</f>
        <v/>
      </c>
      <c r="NT105" s="506" t="str">
        <f t="shared" si="746"/>
        <v/>
      </c>
      <c r="NU105" s="919" t="str">
        <f>IF(A105=FALSE,"",((NG105*TAXE)-(NG105*TAXE*NI105))+IF(NM105="N/A",0,IF(INDEX(LISTES!$F$105:$F$109,MATCH(NM105,LISTES!$C$105:$C$109,0))="FIX",NN105,NO105*NL105)))</f>
        <v/>
      </c>
      <c r="OA105" s="492" t="str">
        <f>IF(A105=FALSE,"",Cotations!D105)</f>
        <v/>
      </c>
      <c r="OB105" s="491" t="str">
        <f>IF(A105=FALSE,"",IF(LISTES!$A$17=1,Cotations!CH105,Cotations!CI105))</f>
        <v/>
      </c>
      <c r="OC105" s="285" t="str">
        <f t="shared" si="747"/>
        <v/>
      </c>
      <c r="OD105" s="300"/>
      <c r="OE105" s="461" t="str">
        <f t="shared" si="748"/>
        <v/>
      </c>
      <c r="OF105" s="490" t="str">
        <f>IF(A105=FALSE,"",IF(OA105="POEA",Cotations!CK105,IF(OA105="FIXE",Cotations!CL105,IF(Cotations!CM105*Y105&lt;50000,Z105,Cotations!CM105*Y105))))</f>
        <v/>
      </c>
      <c r="OG105" s="300" t="str">
        <f t="shared" si="749"/>
        <v/>
      </c>
      <c r="OH105" s="522" t="str">
        <f>IF(A105=FALSE,"",IF(Cotations!CJ105="monthly",OG105/12*L105,OG105/365*M105))</f>
        <v/>
      </c>
      <c r="OI105" s="489" t="str">
        <f>IF(A105=FALSE,"",IF(Cotations!CN105="","",Cotations!CN105))</f>
        <v/>
      </c>
      <c r="OJ105" s="300" t="str">
        <f t="shared" si="750"/>
        <v/>
      </c>
      <c r="OK105" s="300" t="str">
        <f t="shared" si="751"/>
        <v/>
      </c>
      <c r="OL105" s="919" t="str">
        <f t="shared" si="752"/>
        <v/>
      </c>
      <c r="OM105" s="517" t="str">
        <f>IF(A105=FALSE,"",Cotations!CO105)</f>
        <v/>
      </c>
      <c r="ON105" s="515" t="str">
        <f>IF(A105=FALSE,"",Cotations!CP105)</f>
        <v/>
      </c>
      <c r="OO105" s="493" t="str">
        <f>IF(A105=FALSE,"",Cotations!CQ105)</f>
        <v/>
      </c>
      <c r="OP105" s="517" t="str">
        <f>IF(A105=FALSE,"",IF(OM105="N/A",0,IF(INDEX(LISTES!$F$105:$F$109,MATCH(OM105,LISTES!$C$105:$C$109,0))="FIX",IF(INDEX(LISTES!$E$105:$E$109,MATCH(OM105,LISTES!$C$105:$C$109,0))=12,ON105/12*L105,ON105/365*M105),OO105*OL105)))</f>
        <v/>
      </c>
      <c r="OQ105" s="294" t="str">
        <f t="shared" si="753"/>
        <v/>
      </c>
      <c r="OR105" s="494" t="str">
        <f>IF(A105=FALSE,"",OQ105*Cotations!CR105)</f>
        <v/>
      </c>
      <c r="OS105" s="494" t="str">
        <f>IF(A105=FALSE,"",OQ105*Cotations!CS105)</f>
        <v/>
      </c>
      <c r="OT105" s="338" t="str">
        <f t="shared" si="754"/>
        <v/>
      </c>
      <c r="OU105" s="919" t="str">
        <f>IF(A105=FALSE,"",((OG105*TAXE)-(OG105*TAXE*OI105))+IF(OM105="N/A",0,IF(INDEX(LISTES!$F$105:$F$109,MATCH(OM105,LISTES!$C$105:$C$109,0))="FIX",ON105,OO105*OL105)))</f>
        <v/>
      </c>
      <c r="PA105" s="497" t="str">
        <f t="shared" si="755"/>
        <v/>
      </c>
      <c r="PB105" s="498" t="str">
        <f>IF(A105=FALSE,"",IF(LISTES!$A$17=1,Cotations!CT105,Cotations!$CU$4))</f>
        <v/>
      </c>
      <c r="PC105" s="499" t="str">
        <f t="shared" si="756"/>
        <v/>
      </c>
      <c r="PD105" s="499" t="str">
        <f t="shared" si="757"/>
        <v/>
      </c>
      <c r="PE105" s="500" t="str">
        <f t="shared" si="758"/>
        <v/>
      </c>
      <c r="PF105" s="501" t="str">
        <f>IF(A105=FALSE,"",Cotations!$CY$4*Y105)</f>
        <v/>
      </c>
      <c r="PG105" s="502" t="str">
        <f t="shared" si="759"/>
        <v/>
      </c>
      <c r="PH105" s="520" t="str">
        <f>IF(A105=FALSE,"",IF(Cotations!$CV$4="monthly",PG105/12*L105,PG105/365*M105))</f>
        <v/>
      </c>
      <c r="PI105" s="503" t="str">
        <f>IF(A105=FALSE,"",Cotations!$CZ$4)</f>
        <v/>
      </c>
      <c r="PJ105" s="502" t="str">
        <f t="shared" si="760"/>
        <v/>
      </c>
      <c r="PK105" s="502" t="str">
        <f t="shared" si="761"/>
        <v/>
      </c>
      <c r="PL105" s="504" t="str">
        <f t="shared" si="762"/>
        <v/>
      </c>
      <c r="PM105" s="505" t="str">
        <f>IF(A105=FALSE,"",Cotations!$DA$4)</f>
        <v/>
      </c>
      <c r="PN105" s="520" t="str">
        <f>IF(A105=FALSE,"",Cotations!$DB$4)</f>
        <v/>
      </c>
      <c r="PO105" s="503" t="str">
        <f>IF(A105=FALSE,"",Cotations!$DC$4)</f>
        <v/>
      </c>
      <c r="PP105" s="505" t="str">
        <f>IF(A105=FALSE,"",IF(PM105="N/A",0,IF(INDEX(LISTES!$F$105:$F$109,MATCH(PM105,LISTES!$C$105:$C$109,0))="FIX",IF(INDEX(LISTES!$E$105:$E$109,MATCH(PM105,LISTES!$C$105:$C$109,0))=12,PN105/12*L105,PN105/365*M105),PO105*PL105)))</f>
        <v/>
      </c>
      <c r="PQ105" s="504" t="str">
        <f t="shared" si="763"/>
        <v/>
      </c>
      <c r="PR105" s="505" t="str">
        <f>IF(A105=FALSE,"",PQ105*Cotations!$DD$4)</f>
        <v/>
      </c>
      <c r="PS105" s="505" t="str">
        <f>IF(A105=FALSE,"",PQ105*Cotations!$DE$4)</f>
        <v/>
      </c>
      <c r="PT105" s="506" t="str">
        <f t="shared" si="764"/>
        <v/>
      </c>
      <c r="PU105" s="919" t="str">
        <f>IF(A105=FALSE,"",((PG105*TAXE)-(PG105*TAXE*PI105))+IF(PM105="N/A",0,IF(INDEX(LISTES!$F$105:$F$109,MATCH(PM105,LISTES!$C$105:$C$109,0))="FIX",PN105,PO105*PL105)))</f>
        <v/>
      </c>
      <c r="QA105" s="492" t="str">
        <f t="shared" si="765"/>
        <v/>
      </c>
      <c r="QB105" s="491" t="str">
        <f>IF(A105=FALSE,"",IF(LISTES!$A$17=1,Cotations!CT105,Cotations!CU105))</f>
        <v/>
      </c>
      <c r="QC105" s="285" t="str">
        <f t="shared" si="766"/>
        <v/>
      </c>
      <c r="QD105" s="300"/>
      <c r="QE105" s="461" t="str">
        <f t="shared" si="767"/>
        <v/>
      </c>
      <c r="QF105" s="490" t="str">
        <f>IF(A105=FALSE,"",Cotations!CY105*AA105)</f>
        <v/>
      </c>
      <c r="QG105" s="300" t="str">
        <f t="shared" si="768"/>
        <v/>
      </c>
      <c r="QH105" s="522" t="str">
        <f>IF(A105=FALSE,"",IF(Cotations!CV105="monthly",QG105/12*L105,QG105/365*M105))</f>
        <v/>
      </c>
      <c r="QI105" s="489" t="str">
        <f>IF(A105=FALSE,"",IF(Cotations!CZ105="","",Cotations!CZ105))</f>
        <v/>
      </c>
      <c r="QJ105" s="300" t="str">
        <f t="shared" si="769"/>
        <v/>
      </c>
      <c r="QK105" s="300" t="str">
        <f t="shared" si="770"/>
        <v/>
      </c>
      <c r="QL105" s="919" t="str">
        <f t="shared" si="771"/>
        <v/>
      </c>
      <c r="QM105" s="517" t="str">
        <f>IF(A105=FALSE,"",Cotations!DA105)</f>
        <v/>
      </c>
      <c r="QN105" s="515" t="str">
        <f>IF(A105=FALSE,"",Cotations!DB105)</f>
        <v/>
      </c>
      <c r="QO105" s="493" t="str">
        <f>IF(A105=FALSE,"",Cotations!DC105)</f>
        <v/>
      </c>
      <c r="QP105" s="517" t="str">
        <f>IF(A105=FALSE,"",IF(QM105="N/A",0,IF(INDEX(LISTES!$F$105:$F$109,MATCH(QM105,LISTES!$C$105:$C$109,0))="FIX",IF(INDEX(LISTES!$E$105:$E$109,MATCH(QM105,LISTES!$C$105:$C$109,0))=12,QN105/12*L105,QN105/365*M105),QO105*QL105)))</f>
        <v/>
      </c>
      <c r="QQ105" s="294" t="str">
        <f t="shared" si="772"/>
        <v/>
      </c>
      <c r="QR105" s="494" t="str">
        <f>IF(A105=FALSE,"",QQ105*Cotations!DD105)</f>
        <v/>
      </c>
      <c r="QS105" s="494" t="str">
        <f>IF(A105=FALSE,"",QQ105*Cotations!DE105)</f>
        <v/>
      </c>
      <c r="QT105" s="338" t="str">
        <f t="shared" si="773"/>
        <v/>
      </c>
      <c r="QU105" s="919" t="str">
        <f>IF(A105=FALSE,"",((QG105*TAXE)-(QG105*TAXE*QI105))+IF(QM105="N/A",0,IF(INDEX(LISTES!$F$105:$F$109,MATCH(QM105,LISTES!$C$105:$C$109,0))="FIX",QN105,QO105*QL105)))</f>
        <v/>
      </c>
      <c r="RA105" s="497" t="str">
        <f t="shared" si="774"/>
        <v/>
      </c>
      <c r="RB105" s="498" t="str">
        <f>IF(A105=FALSE,"",IF(LISTES!$A$17=1,Cotations!DF105,Cotations!$DG$4))</f>
        <v/>
      </c>
      <c r="RC105" s="499" t="str">
        <f t="shared" si="775"/>
        <v/>
      </c>
      <c r="RD105" s="499" t="str">
        <f t="shared" si="776"/>
        <v/>
      </c>
      <c r="RE105" s="500" t="str">
        <f t="shared" si="777"/>
        <v/>
      </c>
      <c r="RF105" s="501" t="str">
        <f>IF(A105=FALSE,"",Cotations!$DK$4*Y105)</f>
        <v/>
      </c>
      <c r="RG105" s="502" t="str">
        <f t="shared" si="778"/>
        <v/>
      </c>
      <c r="RH105" s="520" t="str">
        <f>IF(A105=FALSE,"",IF(Cotations!$DH$4="monthly",RG105/12*L105,RG105/365*M105))</f>
        <v/>
      </c>
      <c r="RI105" s="503" t="str">
        <f>IF(A105=FALSE,"",Cotations!$DL$4)</f>
        <v/>
      </c>
      <c r="RJ105" s="502" t="str">
        <f t="shared" si="779"/>
        <v/>
      </c>
      <c r="RK105" s="502" t="str">
        <f t="shared" si="780"/>
        <v/>
      </c>
      <c r="RL105" s="504" t="str">
        <f t="shared" si="781"/>
        <v/>
      </c>
      <c r="RM105" s="505" t="str">
        <f>IF(A105=FALSE,"",Cotations!$DM$4)</f>
        <v/>
      </c>
      <c r="RN105" s="520" t="str">
        <f>IF(A105=FALSE,"",Cotations!$DN$4)</f>
        <v/>
      </c>
      <c r="RO105" s="503" t="str">
        <f>IF(A105=FALSE,"",Cotations!$DO$4)</f>
        <v/>
      </c>
      <c r="RP105" s="505" t="str">
        <f>IF(A105=FALSE,"",IF(RM105="N/A",0,IF(INDEX(LISTES!$F$105:$F$109,MATCH(RM105,LISTES!$C$105:$C$109,0))="FIX",IF(INDEX(LISTES!$E$105:$E$109,MATCH(RM105,LISTES!$C$105:$C$109,0))=12,RN105/12*L105,RN105/365*M105),RO105*RL105)))</f>
        <v/>
      </c>
      <c r="RQ105" s="504" t="str">
        <f t="shared" si="782"/>
        <v/>
      </c>
      <c r="RR105" s="505" t="str">
        <f>IF(A105=FALSE,"",RQ105*Cotations!$DP$4)</f>
        <v/>
      </c>
      <c r="RS105" s="505" t="str">
        <f>IF(A105=FALSE,"",RQ105*Cotations!$DQ$4)</f>
        <v/>
      </c>
      <c r="RT105" s="506" t="str">
        <f t="shared" si="783"/>
        <v/>
      </c>
      <c r="RU105" s="919" t="str">
        <f>IF(A105=FALSE,"",((RG105*TAXE)-(RG105*TAXE*RI105))+IF(RM105="N/A",0,IF(INDEX(LISTES!$F$105:$F$109,MATCH(RM105,LISTES!$C$105:$C$109,0))="FIX",RN105,RO105*RL105)))</f>
        <v/>
      </c>
      <c r="SA105" s="492" t="str">
        <f t="shared" si="784"/>
        <v/>
      </c>
      <c r="SB105" s="491" t="str">
        <f>IF(A105=FALSE,"",IF(LISTES!$A$17=1,Cotations!DF105,Cotations!DG105))</f>
        <v/>
      </c>
      <c r="SC105" s="285" t="str">
        <f t="shared" si="785"/>
        <v/>
      </c>
      <c r="SD105" s="300"/>
      <c r="SE105" s="461" t="str">
        <f t="shared" si="786"/>
        <v/>
      </c>
      <c r="SF105" s="490" t="str">
        <f>IF(A105=FALSE,"",Cotations!DK105*AA105)</f>
        <v/>
      </c>
      <c r="SG105" s="300" t="str">
        <f t="shared" si="787"/>
        <v/>
      </c>
      <c r="SH105" s="522" t="str">
        <f>IF(A105=FALSE,"",IF(Cotations!DH105="monthly",SG105/12*L105,SG105/365*M105))</f>
        <v/>
      </c>
      <c r="SI105" s="489" t="str">
        <f>IF(A105=FALSE,"",IF(Cotations!DL105="","",Cotations!DL105))</f>
        <v/>
      </c>
      <c r="SJ105" s="300" t="str">
        <f t="shared" si="788"/>
        <v/>
      </c>
      <c r="SK105" s="300" t="str">
        <f t="shared" si="789"/>
        <v/>
      </c>
      <c r="SL105" s="919" t="str">
        <f t="shared" si="790"/>
        <v/>
      </c>
      <c r="SM105" s="285" t="str">
        <f>IF(A105=FALSE,"",Cotations!DM105)</f>
        <v/>
      </c>
      <c r="SN105" s="515" t="str">
        <f>IF(A105=FALSE,"",Cotations!DN105)</f>
        <v/>
      </c>
      <c r="SO105" s="493" t="str">
        <f>IF(A105=FALSE,"",Cotations!DO105)</f>
        <v/>
      </c>
      <c r="SP105" s="517" t="str">
        <f>IF(A105=FALSE,"",IF(SM105="N/A",0,IF(INDEX(LISTES!$F$105:$F$109,MATCH(SM105,LISTES!$C$105:$C$109,0))="FIX",IF(INDEX(LISTES!$E$105:$E$109,MATCH(SM105,LISTES!$C$105:$C$109,0))=12,SN105/12*L105,SN105/365*M105),SO105*SL105)))</f>
        <v/>
      </c>
      <c r="SQ105" s="294" t="str">
        <f t="shared" si="791"/>
        <v/>
      </c>
      <c r="SR105" s="494" t="str">
        <f>IF(A105=FALSE,"",SQ105*Cotations!DP105)</f>
        <v/>
      </c>
      <c r="SS105" s="494" t="str">
        <f>IF(A105=FALSE,"",SQ105*Cotations!DQ105)</f>
        <v/>
      </c>
      <c r="ST105" s="338" t="str">
        <f t="shared" si="792"/>
        <v/>
      </c>
      <c r="SU105" s="919" t="str">
        <f>IF(A105=FALSE,"",((SG105*TAXE)-(SG105*TAXE*SI105))+IF(SM105="N/A",0,IF(INDEX(LISTES!$F$105:$F$109,MATCH(SM105,LISTES!$C$105:$C$109,0))="FIX",SN105,SO105*SL105)))</f>
        <v/>
      </c>
      <c r="TA105" s="492" t="str">
        <f>IF(A105=FALSE,"",Cotations!D105)</f>
        <v/>
      </c>
      <c r="TB105" s="491" t="str">
        <f>IF(A105=FALSE,"",IF(LISTES!$A$17=1,Cotations!DR105,Cotations!DS105))</f>
        <v/>
      </c>
      <c r="TC105" s="285" t="str">
        <f t="shared" si="793"/>
        <v/>
      </c>
      <c r="TD105" s="300" t="str">
        <f>IF(A105=FALSE,"",Detail!CQ105)</f>
        <v/>
      </c>
      <c r="TE105" s="461" t="str">
        <f t="shared" si="794"/>
        <v/>
      </c>
      <c r="TF105" s="490" t="str">
        <f>IF(A105=FALSE,"",IF(TA105="FIXE",Cotations!DU105,Cotations!DV105*Y105))</f>
        <v/>
      </c>
      <c r="TG105" s="300" t="str">
        <f t="shared" si="795"/>
        <v/>
      </c>
      <c r="TH105" s="522" t="str">
        <f>IF(A105=FALSE,"",IF(Cotations!DT105="monthly",TG105/12*L105,TG105/365*M105))</f>
        <v/>
      </c>
      <c r="TI105" s="489" t="str">
        <f>IF(A105=FALSE,"",IF(Cotations!DW105="","",Cotations!DW105))</f>
        <v/>
      </c>
      <c r="TJ105" s="300" t="str">
        <f t="shared" si="796"/>
        <v/>
      </c>
      <c r="TK105" s="300" t="str">
        <f t="shared" si="797"/>
        <v/>
      </c>
      <c r="TL105" s="919" t="str">
        <f t="shared" si="798"/>
        <v/>
      </c>
      <c r="TM105" s="517" t="str">
        <f>IF(A105=FALSE,"",Cotations!DX105)</f>
        <v/>
      </c>
      <c r="TN105" s="517" t="str">
        <f>IF(A105=FALSE,"",Cotations!DY105)</f>
        <v/>
      </c>
      <c r="TO105" s="493" t="str">
        <f>IF(A105=FALSE,"",Cotations!DZ105)</f>
        <v/>
      </c>
      <c r="TP105" s="517" t="str">
        <f>IF(A105=FALSE,"",IF(TM105="N/A",0,IF(INDEX(LISTES!$F$105:$F$109,MATCH(TM105,LISTES!$C$105:$C$109,0))="FIX",IF(INDEX(LISTES!$E$105:$E$109,MATCH(TM105,LISTES!$C$105:$C$109,0))=12,TN105/12*L105,TN105/365*M105),TO105*TL105)))</f>
        <v/>
      </c>
      <c r="TQ105" s="294" t="str">
        <f t="shared" si="799"/>
        <v/>
      </c>
      <c r="TR105" s="494" t="str">
        <f>IF(A105=FALSE,"",TQ105*Cotations!EA105)</f>
        <v/>
      </c>
      <c r="TS105" s="494" t="str">
        <f>IF(A105=FALSE,"",TQ105*Cotations!EB105)</f>
        <v/>
      </c>
      <c r="TT105" s="338" t="str">
        <f t="shared" si="800"/>
        <v/>
      </c>
      <c r="TU105" s="919" t="str">
        <f>IF(A105=FALSE,"",((TG105*(1+TAXE)-(TG105*(1+TAXE)*TI105))+IF(TM105="N/A",0,IF(INDEX(LISTES!$F$105:$F$109,MATCH(TM105,LISTES!$C$105:$C$109,0))="FIX",TN105,TO105*TL105))))</f>
        <v/>
      </c>
      <c r="UA105" s="492" t="str">
        <f>IF(A105=FALSE,"",Cotations!D105)</f>
        <v/>
      </c>
      <c r="UB105" s="491" t="str">
        <f>IF(A105=FALSE,"",IF(LISTES!$A$17=1,Cotations!EC105,Cotations!ED105))</f>
        <v/>
      </c>
      <c r="UC105" s="285" t="str">
        <f t="shared" si="801"/>
        <v/>
      </c>
      <c r="UD105" s="300" t="str">
        <f>IF(A105=FALSE,"",Detail!CY105)</f>
        <v/>
      </c>
      <c r="UE105" s="461" t="str">
        <f t="shared" si="802"/>
        <v/>
      </c>
      <c r="UF105" s="490" t="str">
        <f>IF(A105=FALSE,"",IF(UA105="FIXE",Cotations!EF105,Cotations!EG105*Y105))</f>
        <v/>
      </c>
      <c r="UG105" s="300" t="str">
        <f t="shared" si="803"/>
        <v/>
      </c>
      <c r="UH105" s="522" t="str">
        <f>IF(A105=FALSE,"",IF(Cotations!EE105="monthly",UG105/12*L105,UG105/365*M105))</f>
        <v/>
      </c>
      <c r="UI105" s="489" t="str">
        <f>IF(A105=FALSE,"",IF(Cotations!EH105="","",Cotations!EH105))</f>
        <v/>
      </c>
      <c r="UJ105" s="300" t="str">
        <f t="shared" si="804"/>
        <v/>
      </c>
      <c r="UK105" s="300" t="str">
        <f t="shared" si="805"/>
        <v/>
      </c>
      <c r="UL105" s="919" t="str">
        <f t="shared" si="806"/>
        <v/>
      </c>
      <c r="UM105" s="517" t="str">
        <f>IF(A105=FALSE,"",Cotations!EI105)</f>
        <v/>
      </c>
      <c r="UN105" s="517" t="str">
        <f>IF(A105=FALSE,"",Cotations!EJ105)</f>
        <v/>
      </c>
      <c r="UO105" s="493" t="str">
        <f>IF(A105=FALSE,"",Cotations!EK105)</f>
        <v/>
      </c>
      <c r="UP105" s="517" t="str">
        <f>IF(A105=FALSE,"",IF(UM105="N/A",0,IF(INDEX(LISTES!$F$105:$F$109,MATCH(UM105,LISTES!$C$105:$C$109,0))="FIX",IF(INDEX(LISTES!$E$105:$E$109,MATCH(UM105,LISTES!$C$105:$C$109,0))=12,UN105/12*L105,UN105/365*M105),UO105*UL105)))</f>
        <v/>
      </c>
      <c r="UQ105" s="294" t="str">
        <f t="shared" si="807"/>
        <v/>
      </c>
      <c r="UR105" s="494" t="str">
        <f>IF(A105=FALSE,"",UQ105*Cotations!EL105)</f>
        <v/>
      </c>
      <c r="US105" s="494" t="str">
        <f>IF(A105=FALSE,"",UQ105*Cotations!EM105)</f>
        <v/>
      </c>
      <c r="UT105" s="338" t="str">
        <f t="shared" si="808"/>
        <v/>
      </c>
      <c r="UU105" s="919" t="str">
        <f>IF(A105=FALSE,"",((UG105*(1+TAXE)-(UG105*(1+TAXE)*UI105))+IF(UM105="N/A",0,IF(INDEX(LISTES!$F$105:$F$109,MATCH(UM105,LISTES!$C$105:$C$109,0))="FIX",UN105,UO105*UL105))))</f>
        <v/>
      </c>
      <c r="VA105" s="492" t="str">
        <f>IF(A105=FALSE,"",Cotations!D105)</f>
        <v/>
      </c>
      <c r="VB105" s="519" t="str">
        <f>IF(A105=FALSE,"",IF(LISTES!$A$17=1,Cotations!EN105,Cotations!EO105))</f>
        <v/>
      </c>
      <c r="VC105" s="291" t="str">
        <f t="shared" si="809"/>
        <v/>
      </c>
      <c r="VD105" s="291" t="str">
        <f t="shared" si="810"/>
        <v/>
      </c>
      <c r="VE105" s="291"/>
      <c r="VF105" s="463"/>
      <c r="VG105" s="463" t="str">
        <f t="shared" si="811"/>
        <v/>
      </c>
      <c r="VH105" s="522" t="str">
        <f>IF(A105=FALSE,"",IF(Cotations!$AQ$4="monthly",VG105/12*L105,VG105/365*M105))</f>
        <v/>
      </c>
      <c r="VI105" s="489" t="str">
        <f>IF(A105=FALSE,"",Cotations!$AR$4)</f>
        <v/>
      </c>
      <c r="VJ105" s="300" t="str">
        <f t="shared" si="812"/>
        <v/>
      </c>
      <c r="VK105" s="300" t="str">
        <f t="shared" si="813"/>
        <v/>
      </c>
      <c r="VL105" s="294" t="str">
        <f t="shared" si="814"/>
        <v/>
      </c>
      <c r="VM105" s="494" t="str">
        <f>IF(A105=FALSE,"",Cotations!$AS$4)</f>
        <v/>
      </c>
      <c r="VN105" s="494" t="str">
        <f>IF(A105=FALSE,"",Cotations!$AT$4)</f>
        <v/>
      </c>
      <c r="VO105" s="489" t="str">
        <f>IF(A105=FALSE,"",Cotations!$AU$4)</f>
        <v/>
      </c>
      <c r="VP105" s="494" t="str">
        <f>IF(A105=FALSE,"",IF(VM105="N/A",0,IF(INDEX(LISTES!$F$105:$F$109,MATCH(VM105,LISTES!$C$105:$C$109,0))="FIX",IF(INDEX(LISTES!$E$105:$E$109,MATCH(VM105,LISTES!$C$105:$C$109,0))=12,VN105/12*L105,VN105/365*M105),VO105*VL105)))</f>
        <v/>
      </c>
      <c r="VQ105" s="294" t="str">
        <f t="shared" si="815"/>
        <v/>
      </c>
      <c r="VR105" s="494" t="str">
        <f>IF(A105=FALSE,"",VQ105*Cotations!$AV$4)</f>
        <v/>
      </c>
      <c r="VS105" s="494" t="str">
        <f>IF(A105=FALSE,"",VQ105*Cotations!$AW$4)</f>
        <v/>
      </c>
      <c r="VT105" s="465" t="str">
        <f t="shared" si="816"/>
        <v/>
      </c>
      <c r="VU105" s="919" t="str">
        <f>IF(A105=FALSE,"",((VG105*TAXE)-(VG105*TAXE*VI105))+IF(VM105="N/A",0,IF(INDEX(LISTES!$F$105:$F$109,MATCH(VM105,LISTES!$C$105:$C$109,0))="FIX",VN105,VO105*VL105)))</f>
        <v/>
      </c>
      <c r="WA105" s="492" t="str">
        <f>IF(A105=FALSE,"",Cotations!D105)</f>
        <v/>
      </c>
      <c r="WB105" s="519" t="str">
        <f>IF(A105=FALSE,"",IF(LISTES!$A$17=1,Cotations!EW105,Cotations!EX105))</f>
        <v/>
      </c>
      <c r="WC105" s="291" t="str">
        <f t="shared" si="817"/>
        <v/>
      </c>
      <c r="WD105" s="291" t="str">
        <f t="shared" si="818"/>
        <v/>
      </c>
      <c r="WE105" s="291"/>
      <c r="WF105" s="463"/>
      <c r="WG105" s="463" t="str">
        <f t="shared" si="819"/>
        <v/>
      </c>
      <c r="WH105" s="522" t="str">
        <f>IF(A105=FALSE,"",IF(Cotations!$AQ$4="monthly",WG105/12*L105,WG105/365*M105))</f>
        <v/>
      </c>
      <c r="WI105" s="489" t="str">
        <f>IF(A105=FALSE,"",Cotations!$AR$4)</f>
        <v/>
      </c>
      <c r="WJ105" s="300" t="str">
        <f t="shared" si="820"/>
        <v/>
      </c>
      <c r="WK105" s="300" t="str">
        <f t="shared" si="821"/>
        <v/>
      </c>
      <c r="WL105" s="294" t="str">
        <f t="shared" si="822"/>
        <v/>
      </c>
      <c r="WM105" s="494" t="str">
        <f>IF(A105=FALSE,"",Cotations!$AS$4)</f>
        <v/>
      </c>
      <c r="WN105" s="494" t="str">
        <f>IF(A105=FALSE,"",Cotations!$AT$4)</f>
        <v/>
      </c>
      <c r="WO105" s="489" t="str">
        <f>IF(A105=FALSE,"",Cotations!$AU$4)</f>
        <v/>
      </c>
      <c r="WP105" s="494" t="str">
        <f>IF(A105=FALSE,"",IF(WM105="N/A",0,IF(INDEX(LISTES!$F$105:$F$109,MATCH(WM105,LISTES!$C$105:$C$109,0))="FIX",IF(INDEX(LISTES!$E$105:$E$109,MATCH(WM105,LISTES!$C$105:$C$109,0))=12,WN105/12*L105,WN105/365*M105),WO105*WL105)))</f>
        <v/>
      </c>
      <c r="WQ105" s="294" t="str">
        <f t="shared" si="823"/>
        <v/>
      </c>
      <c r="WR105" s="494" t="str">
        <f>IF(A105=FALSE,"",WQ105*Cotations!$AV$4)</f>
        <v/>
      </c>
      <c r="WS105" s="494" t="str">
        <f>IF(A105=FALSE,"",WQ105*Cotations!$AW$4)</f>
        <v/>
      </c>
      <c r="WT105" s="465" t="str">
        <f t="shared" si="824"/>
        <v/>
      </c>
      <c r="WU105" s="919" t="str">
        <f>IF(A105=FALSE,"",((WG105*TAXE)-(WG105*TAXE*WI105))+IF(WM105="N/A",0,IF(INDEX(LISTES!$F$105:$F$109,MATCH(WM105,LISTES!$C$105:$C$109,0))="FIX",WN105,WO105*WL105)))</f>
        <v/>
      </c>
    </row>
    <row r="106" spans="1:619">
      <c r="A106" s="942" t="b">
        <f t="shared" si="629"/>
        <v>0</v>
      </c>
      <c r="B106" s="942" t="b">
        <f>IF(NAMES!$B$9=TRUE,TRUE,FALSE)</f>
        <v>1</v>
      </c>
      <c r="C106" s="942" t="b">
        <f t="shared" si="825"/>
        <v>0</v>
      </c>
      <c r="D106" s="942" t="b">
        <f t="shared" si="826"/>
        <v>0</v>
      </c>
      <c r="E106" s="274" t="b">
        <f>IF(Cotations!C106="","",Cotations!C106)</f>
        <v>0</v>
      </c>
      <c r="F106" s="274" t="str">
        <f>IF(Cotations!D106="","",Cotations!D106)</f>
        <v>PROP</v>
      </c>
      <c r="G106" s="274" t="str">
        <f>IF(Cotations!E106="","",Cotations!E106)</f>
        <v>2016-2017!</v>
      </c>
      <c r="H106" s="274" t="str">
        <f>IF(Cotations!F106="","",Cotations!F106)</f>
        <v>SINGLE</v>
      </c>
      <c r="I106" s="274" t="str">
        <f>IF(Cotations!G106="","",Cotations!G106)</f>
        <v/>
      </c>
      <c r="J106" s="274" t="str">
        <f>IF(Cotations!H106="","",Cotations!H106)</f>
        <v/>
      </c>
      <c r="K106" s="274" t="str">
        <f>IF(Cotations!I106="","",Cotations!I106)</f>
        <v/>
      </c>
      <c r="L106" s="274" t="str">
        <f>IF(A106=FALSE,"",IF(Cotations!N106="","",Cotations!N106))</f>
        <v/>
      </c>
      <c r="M106" s="274" t="str">
        <f>IF(Cotations!P106="","",Cotations!P106)</f>
        <v/>
      </c>
      <c r="N106" s="724" t="str">
        <f>IF(NAMES!$B$10=TRUE,Cotations!J106,Cotations!L106)</f>
        <v/>
      </c>
      <c r="O106" s="724" t="str">
        <f>IF(NAMES!$B$10=TRUE,Cotations!K106,Cotations!M106)</f>
        <v/>
      </c>
      <c r="P106" s="943" t="str">
        <f t="shared" si="827"/>
        <v/>
      </c>
      <c r="Q106" s="724" t="str">
        <f>IF(A106=FALSE,"",IF(Crewlist!Y106="","",Crewlist!Y106))</f>
        <v/>
      </c>
      <c r="R106" s="78" t="str">
        <f>IF(Cotations!U106="","",Cotations!U106)</f>
        <v/>
      </c>
      <c r="S106" s="943" t="str">
        <f t="shared" si="828"/>
        <v/>
      </c>
      <c r="T106" s="919" t="str">
        <f>IF(A106=FALSE,"",VLOOKUP($U$15:$U$120,Currency!$A$2:$D$10,4,0)*Crewlist!N106)</f>
        <v/>
      </c>
      <c r="U106" s="1355" t="str">
        <f>IF(A106=FALSE,"",IF(IT106=0,Crewlist!M106&amp;"/"&amp;EX106,Crewlist!M106&amp;"/"&amp;IT106))</f>
        <v/>
      </c>
      <c r="V106" s="919" t="str">
        <f>IF(A106=FALSE,"",VLOOKUP($U$15:$U$120,Currency!$A$2:$D$10,4,0)*Detail!Q106)</f>
        <v/>
      </c>
      <c r="W106" s="1355" t="str">
        <f>IF(A106=FALSE,"",IF(IT106=0,Detail!R106&amp;"/"&amp;EX106,Detail!R106&amp;"/"&amp;IT106))</f>
        <v/>
      </c>
      <c r="X106" s="919" t="str">
        <f>IF(A106=FALSE,"",IF(LISTES!$C$17="Crewlist",Calcul!T106,Calcul!V106))</f>
        <v/>
      </c>
      <c r="Y106" s="758" t="str">
        <f t="shared" si="829"/>
        <v/>
      </c>
      <c r="Z106" s="758" t="str">
        <f>IF(A106=FALSE,"",IF(X106=0,0,IF((Cotations!BC106*12*X106)&lt;50000,50000,(12*X106))))</f>
        <v/>
      </c>
      <c r="AA106" s="758" t="str">
        <f t="shared" si="830"/>
        <v/>
      </c>
      <c r="AB106" s="758" t="str">
        <f>IF(A106=FALSE,"",IF(Crewlist!O106=0,"",Crewlist!O106))</f>
        <v/>
      </c>
      <c r="AC106" s="758" t="str">
        <f>IF(I106="","",VLOOKUP($AB$15:$AB$120,Currency!$A$15:$B$34,2,0))</f>
        <v/>
      </c>
      <c r="AD106" s="758" t="str">
        <f t="shared" si="831"/>
        <v/>
      </c>
      <c r="AE106" s="758" t="str">
        <f t="shared" si="832"/>
        <v/>
      </c>
      <c r="AF106" s="758" t="str">
        <f t="shared" si="833"/>
        <v/>
      </c>
      <c r="AG106" s="758" t="str">
        <f t="shared" si="834"/>
        <v/>
      </c>
      <c r="AH106" s="1355" t="str">
        <f t="shared" si="630"/>
        <v/>
      </c>
      <c r="AI106" s="919" t="str">
        <f t="shared" si="835"/>
        <v/>
      </c>
      <c r="AJ106" s="1382" t="str">
        <f t="shared" si="836"/>
        <v/>
      </c>
      <c r="AK106" s="1382" t="str">
        <f t="shared" si="837"/>
        <v/>
      </c>
      <c r="AL106" s="238" t="str">
        <f t="shared" si="631"/>
        <v/>
      </c>
      <c r="AM106" s="238" t="str">
        <f t="shared" si="632"/>
        <v/>
      </c>
      <c r="AN106" s="1374" t="str">
        <f t="shared" si="633"/>
        <v/>
      </c>
      <c r="AO106" s="238" t="str">
        <f t="shared" si="634"/>
        <v/>
      </c>
      <c r="AP106" s="342" t="str">
        <f>IF(A106=FALSE,"",INDEX(Rates!$Z$5:$Z$367,MATCH(EB106,colchoice,0)))</f>
        <v/>
      </c>
      <c r="AQ106" s="238" t="str">
        <f t="shared" si="635"/>
        <v/>
      </c>
      <c r="AR106" s="238" t="str">
        <f t="shared" si="636"/>
        <v/>
      </c>
      <c r="AS106" s="238" t="str">
        <f t="shared" si="637"/>
        <v/>
      </c>
      <c r="AT106" s="238" t="str">
        <f t="shared" si="638"/>
        <v/>
      </c>
      <c r="AU106" s="238" t="str">
        <f t="shared" si="639"/>
        <v/>
      </c>
      <c r="AV106" s="238" t="str">
        <f t="shared" si="838"/>
        <v/>
      </c>
      <c r="AW106" s="238" t="str">
        <f t="shared" si="640"/>
        <v/>
      </c>
      <c r="AX106" s="238" t="str">
        <f t="shared" si="641"/>
        <v/>
      </c>
      <c r="AY106" s="238" t="str">
        <f t="shared" si="642"/>
        <v/>
      </c>
      <c r="AZ106" s="238" t="str">
        <f t="shared" si="643"/>
        <v/>
      </c>
      <c r="BA106" s="238" t="str">
        <f t="shared" si="644"/>
        <v/>
      </c>
      <c r="BB106" s="552" t="str">
        <f t="shared" si="645"/>
        <v/>
      </c>
      <c r="BC106" s="347" t="str">
        <f t="shared" si="646"/>
        <v/>
      </c>
      <c r="BD106" s="239" t="str">
        <f t="shared" si="839"/>
        <v/>
      </c>
      <c r="BE106" s="239" t="str">
        <f>IF(A106=FALSE,"",IF(ALLTHESAME=TRUE,IF(DF106&lt;&gt;$BC$7,0,INDEX(DD106:DZ106,1,MATCH(Structure!$D$12,$DD$14:$DZ$14,0))),IF(EC106&lt;&gt;$BC$7,0,INDEX(EA106:EZ106,1,MATCH(Structure!$D$12,$EA$14:$EZ$14,0)))))</f>
        <v/>
      </c>
      <c r="BF106" s="239" t="str">
        <f>IF(A106=FALSE,"",IF(ALLTHESAME=TRUE,IF(FC106&lt;&gt;$BC$7,0,INDEX(FA106:FZ106,1,MATCH(Structure!$D$12,$FA$14:$FZ$14,0))),IF(GC106&lt;&gt;$BC$7,0,INDEX(GA106:GZ106,1,MATCH(Structure!$D$12,$GA$14:$GZ$14,0)))))</f>
        <v/>
      </c>
      <c r="BG106" s="239" t="str">
        <f>IF(A106=FALSE,"",IF(ALLTHESAME=TRUE,IF(VC106&lt;&gt;$BC$7,0,INDEX(VA106:VZ106,1,MATCH(Structure!$D$12,$VA$14:$VZ$14,0))),IF(VC106&lt;&gt;$BC$7,0,INDEX(VA106:VZ106,1,MATCH(Structure!$D$12,$VA$14:$VZ$14,0)))))</f>
        <v/>
      </c>
      <c r="BH106" s="239" t="str">
        <f>IF(A106=FALSE,"",IF(ALLTHESAME=TRUE,IF(WC106&lt;&gt;$BC$7,0,INDEX(WA106:WY106,1,MATCH(Structure!$D$12,$WA$14:$WZ$14,0))),IF(WC106&lt;&gt;$BC$7,0,INDEX(WA106:WZ106,1,MATCH(Structure!$D$12,$WA$14:$WZ$14,0)))))</f>
        <v/>
      </c>
      <c r="BI106" s="763" t="str">
        <f>IF(A106=FALSE,"",IF(ALLTHESAME=TRUE,IF(HC106&lt;&gt;$BC$7,0,INDEX(HA106:HZ106,1,MATCH(Structure!$D$12,$HA$14:$HZ$14,0)))+TK106,IF(IC106&lt;&gt;$BC$7,0,INDEX(IA106:IZ106,1,MATCH(Structure!$D$12,$IA$14:$IZ$14,0)))+TK106))</f>
        <v/>
      </c>
      <c r="BJ106" s="239" t="str">
        <f>IF(A106=FALSE,"",IF(ALLTHESAME=TRUE,IF(JC106&lt;&gt;$BC$7,0,INDEX(JA106:JZ106,1,MATCH(Structure!$D$12,$JA$14:$JZ$14,0))),IF(KC106&lt;&gt;$BC$7,0,INDEX(KA106:KZ106,1,MATCH(Structure!$D$12,$KA$14:$KZ$14,0)))))</f>
        <v/>
      </c>
      <c r="BK106" s="763" t="str">
        <f>IF(A106=FALSE,"",IF(ALLTHESAME=TRUE,IF(LC106&lt;&gt;$BC$7,0,INDEX(LA106:LZ106,1,MATCH(Structure!$D$12,$LA$14:$LZ$14,0)))+UK106,IF(MC106&lt;&gt;$BC$7,0,INDEX(MA106:MZ106,1,MATCH(Structure!$D$12,$MA$14:$MZ$14,0)))+UK106))</f>
        <v/>
      </c>
      <c r="BL106" s="239" t="str">
        <f>IF(A106=FALSE,"",IF(ALLTHESAME=TRUE,IF(NC106&lt;&gt;$BC$7,0,INDEX(NA106:NZ106,1,MATCH(Structure!$D$12,$NA$14:$NZ$14,0))),IF(OC106&lt;&gt;$BC$7,0,INDEX(OA106:OZ106,1,MATCH(Structure!$D$12,$OA$14:$OZ$14,0)))))</f>
        <v/>
      </c>
      <c r="BM106" s="239" t="str">
        <f>IF(A106=FALSE,"",IF(ALLTHESAME=TRUE,IF(PC106&lt;&gt;$BC$7,0,INDEX(PA106:PZ106,1,MATCH(Structure!$D$12,$PA$14:$PZ$14,0))),IF(QC106&lt;&gt;$BC$7,0,INDEX(QA106:QZ106,1,MATCH(Structure!$D$12,$QA$14:$QZ$14,0)))))</f>
        <v/>
      </c>
      <c r="BN106" s="341" t="str">
        <f>IF(A106=FALSE,"",IF(ALLTHESAME=TRUE,IF(RC106&lt;&gt;$BC$7,0,INDEX(RA106:RZ106,1,MATCH(Structure!$D$12,$RA$14:$RZ$14,0))),IF(SC106&lt;&gt;$BC$7,0,INDEX(SA106:TA106,1,MATCH(Structure!$D$12,$SA$14:$TA$14,0)))))</f>
        <v/>
      </c>
      <c r="BO106" s="507" t="str">
        <f t="shared" si="647"/>
        <v/>
      </c>
      <c r="BP106" s="239" t="str">
        <f t="shared" si="648"/>
        <v/>
      </c>
      <c r="BQ106" s="239" t="str">
        <f>IF(A106=FALSE,"",IF(ALLTHESAME=TRUE,IF(DF106&lt;&gt;$BO$7,0,INDEX(DD106:DZ106,1,MATCH(Structure!$D$12,$DD$14:$DZ$14,0))),IF(EC106&lt;&gt;$BO$7,0,INDEX(EA106:EZ106,1,MATCH(Structure!$D$12,$EA$14:$EZ$14,0)))))</f>
        <v/>
      </c>
      <c r="BR106" s="239" t="str">
        <f>IF(A106=FALSE,"",IF(ALLTHESAME=TRUE,IF(FC106&lt;&gt;$BO$7,0,INDEX(FA106:FZ106,1,MATCH(Structure!$D$12,$FA$14:$FZ$14,0))),IF(GC106&lt;&gt;$BO$7,0,INDEX(GA106:GZ106,1,MATCH(Structure!$D$12,$GA$14:$GZ$14,0)))))</f>
        <v/>
      </c>
      <c r="BS106" s="239" t="str">
        <f>IF(A106=FALSE,"",IF(ALLTHESAME=TRUE,IF(HC106&lt;&gt;$BO$7,0,INDEX(HA106:HZ106,1,MATCH(Structure!$D$12,$HA$14:$HZ$14,0))),IF(IC106&lt;&gt;$BO$7,0,INDEX(IA106:IZ106,1,MATCH(Structure!$D$12,$IA$14:$IZ$14,0)))))</f>
        <v/>
      </c>
      <c r="BT106" s="239" t="str">
        <f>IF(A106=FALSE,"",IF(ALLTHESAME=TRUE,IF(JC106&lt;&gt;$BO$7,0,INDEX(JA106:JZ106,1,MATCH(Structure!$D$12,$JA$14:$JZ$14,0))),IF(KC106&lt;&gt;$BO$7,0,INDEX(KA106:KZ106,1,MATCH(Structure!$D$12,$KA$14:$KZ$14,0)))))</f>
        <v/>
      </c>
      <c r="BU106" s="239" t="str">
        <f>IF(A106=FALSE,"",IF(ALLTHESAME=TRUE,IF(LC106&lt;&gt;$BO$7,0,INDEX(LA106:LZ106,1,MATCH(Structure!$D$12,$LA$14:$LZ$14,0))),IF(MC106&lt;&gt;$BO$7,0,INDEX(MA106:MZ106,1,MATCH(Structure!$D$12,$MA$14:$MZ$14,0)))))</f>
        <v/>
      </c>
      <c r="BV106" s="239" t="str">
        <f>IF(A106=FALSE,"",IF(ALLTHESAME=TRUE,IF(NC106&lt;&gt;$BO$7,0,INDEX(NA106:NZ106,1,MATCH(Structure!$D$12,$NA$14:$NZ$14,0))),IF(OC106&lt;&gt;$BO$7,0,INDEX(OA106:OZ106,1,MATCH(Structure!$D$12,$OA$14:$OZ$14,0)))))</f>
        <v/>
      </c>
      <c r="BW106" s="239" t="str">
        <f>IF(A106=FALSE,"",IF(ALLTHESAME=TRUE,IF(PC106&lt;&gt;$BO$7,0,INDEX(PA106:PZ106,1,MATCH(Structure!$D$12,$PA$14:$PZ$14,0))),IF(QC106&lt;&gt;$BO$7,0,INDEX(QA106:QZ106,1,MATCH(Structure!$D$12,$QA$14:$QZ$14,0)))))</f>
        <v/>
      </c>
      <c r="BX106" s="341" t="str">
        <f>IF(A106=FALSE,"",IF(ALLTHESAME=TRUE,IF(RC106&lt;&gt;$BO$7,0,INDEX(RA106:RZ106,1,MATCH(Structure!$D$12,$RA$14:$RZ$14,0))),IF(SC106&lt;&gt;$BO$7,0,INDEX(SA106:TA106,1,MATCH(Structure!$D$12,$SA$14:$TA$14,0)))))</f>
        <v/>
      </c>
      <c r="BY106" s="347" t="str">
        <f t="shared" si="649"/>
        <v/>
      </c>
      <c r="BZ106" s="507" t="str">
        <f t="shared" si="650"/>
        <v/>
      </c>
      <c r="CA106" s="239" t="str">
        <f t="shared" si="651"/>
        <v/>
      </c>
      <c r="CB106" s="239" t="str">
        <f>IF(A106=FALSE,"",IF(ALLTHESAME=TRUE,INDEX(DD106:DZ106,MATCH(DF106,DF106:DF211,0),MATCH(Structure!$D$17,$DD$14:$DZ$14,0)),INDEX(EA106:EZ106,MATCH(EC106,EC106:EC211,0),MATCH(Structure!$D$17,$EA$14:$EZ$14,0))))</f>
        <v/>
      </c>
      <c r="CC106" s="239" t="str">
        <f>IF(A106=FALSE,"",IF(ALLTHESAME=TRUE,INDEX(FA106:FZ106,MATCH(FC106,FC106:FC211,0),MATCH(Structure!$D$17,$FA$14:$FZ$14,0)),INDEX(GA106:GZ106,MATCH(GC106,GC106:GC211,0),MATCH(Structure!$D$17,$GA$14:$GZ$14,0))))</f>
        <v/>
      </c>
      <c r="CD106" s="239" t="str">
        <f>IF(A106=FALSE,"",IF(ALLTHESAME=TRUE,INDEX(HA106:HZ106,MATCH(HC106,HC106:HC211,0),MATCH(Structure!$D$17,$HA$14:$HZ$14,0)),INDEX(IA106:IZ106,MATCH(IC106,IC106:IC211,0),MATCH(Structure!$D$17,$IA$14:$IZ$14,0))))</f>
        <v/>
      </c>
      <c r="CE106" s="239" t="str">
        <f>IF(A106=FALSE,"",IF(ALLTHESAME=TRUE,INDEX(JA106:JZ106,MATCH(JC106,JC106:JC211,0),MATCH(Structure!$D$17,$JA$14:$JZ$14,0)),INDEX(KA106:KZ106,MATCH(KC106,KC106:KC211,0),MATCH(Structure!$D$17,$KA$14:$KZ$14,0))))</f>
        <v/>
      </c>
      <c r="CF106" s="239" t="str">
        <f>IF(A106=FALSE,"",IF(ALLTHESAME=TRUE,INDEX(LA106:LZ106,MATCH(LC106,LC106:LC211,0),MATCH(Structure!$D$17,$LA$14:$LZ$14,0)),INDEX(MA106:MZ106,MATCH(MC106,MC106:MC211,0),MATCH(Structure!$D$17,$MA$14:$MZ$14,0))))</f>
        <v/>
      </c>
      <c r="CG106" s="239" t="str">
        <f>IF(A106=FALSE,"",IF(ALLTHESAME=TRUE,INDEX(NA106:NZ106,MATCH(NC106,NC106:NC211,0),MATCH(Structure!$D$17,$NA$14:$NZ$14,0)),INDEX(OA106:OZ106,MATCH(OC106,OC106:OC211,0),MATCH(Structure!$D$17,$OA$14:$OZ$14,0))))</f>
        <v/>
      </c>
      <c r="CH106" s="239" t="str">
        <f>IF(A106=FALSE,"",IF(ALLTHESAME=TRUE,INDEX(PA106:PZ106,MATCH(PC106,PC106:PC211,0),MATCH(Structure!$D$17,$PA$14:$PZ$14,0)),INDEX(QA106:QZ106,MATCH(QC106,QC106:QC211,0),MATCH(Structure!$D$17,$QA$14:$QZ$14,0))))</f>
        <v/>
      </c>
      <c r="CI106" s="341" t="str">
        <f>IF(A106=FALSE,"",IF(ALLTHESAME=TRUE,INDEX(RA106:RZ106,MATCH(RC106,RC106:RC211,0),MATCH(Structure!$D$17,$RA$14:$RZ$14,0)),INDEX(SA106:TC106,MATCH(SC106,SC106:SC211,0),MATCH(Structure!$D$17,$SA$14:$TC$14,0))))</f>
        <v/>
      </c>
      <c r="CJ106" s="347"/>
      <c r="CK106" s="239" t="str">
        <f t="shared" si="652"/>
        <v/>
      </c>
      <c r="CL106" s="239" t="str">
        <f>IF(A106=FALSE,"",IF(ALLTHESAME=TRUE,INDEX(DD106:DZ106,MATCH(DF106,DF106:DF211,0),MATCH(Structure!$D$22,$DD$14:$DZ$14,0)),INDEX(EA106:EZ106,MATCH(EC106,EC106:EC211,0),MATCH(Structure!$D$22,$EA$14:$EZ$14,0))))</f>
        <v/>
      </c>
      <c r="CM106" s="239" t="str">
        <f>IF(A106=FALSE,"",IF(ALLTHESAME=TRUE,INDEX(FA106:FZ106,MATCH(FC106,FC106:FC211,0),MATCH(Structure!$D$22,$FA$14:$FZ$14,0)),INDEX(GA106:GZ106,MATCH(GC106,GC106:GC211,0),MATCH(Structure!$D$22,$GA$14:$GZ$14,0))))</f>
        <v/>
      </c>
      <c r="CN106" s="239" t="str">
        <f>IF(A106=FALSE,"",IF(ALLTHESAME=TRUE,INDEX(HA106:HZ106,MATCH(HC106,HC106:HC211,0),MATCH(Structure!$D$22,$HA$14:$HZ$14,0)),INDEX(IA106:IZ106,MATCH(IC106,IC106:IC211,0),MATCH(Structure!$D$22,$IA$14:$IZ$14,0))))</f>
        <v/>
      </c>
      <c r="CO106" s="239" t="str">
        <f>IF(A106=FALSE,"",IF(ALLTHESAME=TRUE,INDEX(JA106:JZ106,MATCH(JC106,JC106:JC211,0),MATCH(Structure!$D$22,$JA$14:$JZ$14,0)),INDEX(KA106:KZ106,MATCH(KC106,KC106:KC211,0),MATCH(Structure!$D$22,$KA$14:$KZ$14,0))))</f>
        <v/>
      </c>
      <c r="CP106" s="239" t="str">
        <f>IF(A106=FALSE,"",IF(ALLTHESAME=TRUE,INDEX(LA106:LZ106,MATCH(LC106,LC106:LC211,0),MATCH(Structure!$D$22,$LA$14:$LZ$14,0)),INDEX(MA106:MZ106,MATCH(MC106,MC106:MC211,0),MATCH(Structure!$D$22,$MA$14:$MZ$14,0))))</f>
        <v/>
      </c>
      <c r="CQ106" s="239" t="str">
        <f>IF(A106=FALSE,"",IF(ALLTHESAME=TRUE,INDEX(NA106:NZ106,MATCH(NC106,NC106:NC211,0),MATCH(Structure!$D$22,$NA$14:$NZ$14,0)),INDEX(OA106:OZ106,MATCH(OC106,OC106:OC211,0),MATCH(Structure!$D$22,$OA$14:$OZ$14,0))))</f>
        <v/>
      </c>
      <c r="CR106" s="239" t="str">
        <f>IF(A106=FALSE,"",IF(ALLTHESAME=TRUE,INDEX(PA106:PZ106,MATCH(PC106,PC106:PC211,0),MATCH(Structure!$D$22,$PA$14:$PZ$14,0)),INDEX(QA106:QZ106,MATCH(QC106,QC106:QC211,0),MATCH(Structure!$D$22,$QA$14:$QZ$14,0))))</f>
        <v/>
      </c>
      <c r="CS106" s="341" t="str">
        <f>IF(A106=FALSE,"",IF(ALLTHESAME=TRUE,INDEX(RA106:RZ106,MATCH(RC106,RC106:RC211,0),MATCH(Structure!$D$22,$RA$14:$RZ$14,0)),INDEX(SA106:TC106,MATCH(SC106,SC106:SC211,0),MATCH(Structure!$D$22,$SA$14:$TC$14,0))))</f>
        <v/>
      </c>
      <c r="CT106" s="347"/>
      <c r="CU106" s="239" t="str">
        <f t="shared" si="653"/>
        <v/>
      </c>
      <c r="CV106" s="239" t="str">
        <f>IF(A106=FALSE,"",IF(ALLTHESAME=TRUE,INDEX(DD106:DZ106,MATCH(DF106,DF106:DF211,0),MATCH(Structure!$D$8,$DD$14:$DZ$14,0)),INDEX(EA106:EZ106,MATCH(EC106,EC106:EC211,0),MATCH(Structure!$D$8,$EA$14:$EZ$14,0))))</f>
        <v/>
      </c>
      <c r="CW106" s="239" t="str">
        <f>IF(A106=FALSE,"",IF(ALLTHESAME=TRUE,INDEX(FA106:FZ106,MATCH(FC106,FC106:FC211,0),MATCH(Structure!$D$8,$FA$14:$FZ$14,0)),INDEX(GA106:GZ106,MATCH(GC106,GC106:GC211,0),MATCH(Structure!$D$8,$GA$14:$GZ$14,0))))</f>
        <v/>
      </c>
      <c r="CX106" s="239" t="str">
        <f>IF(A106=FALSE,"",IF(ALLTHESAME=TRUE,INDEX(HA106:HZ106,MATCH(HC106,HC106:HC211,0),MATCH(Structure!$D$8,$HA$14:$HZ$14,0)),INDEX(IA106:IZ106,MATCH(IC106,IC106:IC211,0),MATCH(Structure!$D$8,$IA$14:$IZ$14,0))))</f>
        <v/>
      </c>
      <c r="CY106" s="239" t="str">
        <f>IF(A106=FALSE,"",IF(ALLTHESAME=TRUE,INDEX(JA106:JZ106,MATCH(JC106,JC106:JC211,0),MATCH(Structure!$D$8,$JA$14:$JZ$14,0)),INDEX(KA106:KZ106,MATCH(KC106,KC106:KC211,0),MATCH(Structure!$D$8,$KA$14:$KZ$14,0))))</f>
        <v/>
      </c>
      <c r="CZ106" s="239" t="str">
        <f>IF(A106=FALSE,"",IF(ALLTHESAME=TRUE,INDEX(LA106:LZ106,MATCH(LC106,LC106:LC211,0),MATCH(Structure!$D$8,$LA$14:$LZ$14,0)),INDEX(MA106:MZ106,MATCH(MC106,MC106:MC211,0),MATCH(Structure!$D$8,$MA$14:$MZ$14,0))))</f>
        <v/>
      </c>
      <c r="DA106" s="239" t="str">
        <f>IF(A106=FALSE,"",IF(ALLTHESAME=TRUE,INDEX(NA106:NZ106,MATCH(NC106,NC106:NC211,0),MATCH(Structure!$D$8,$NA$14:$NZ$14,0)),INDEX(OA106:OZ106,MATCH(OC106,OC106:OC211,0),MATCH(Structure!$D$8,$OA$14:$OZ$14,0))))</f>
        <v/>
      </c>
      <c r="DB106" s="239" t="str">
        <f>IF(A106=FALSE,"",IF(ALLTHESAME=TRUE,INDEX(PA106:PZ106,MATCH(PC106,PC106:PC211,0),MATCH(Structure!$D$8,$PA$14:$PZ$14,0)),INDEX(QA106:QZ106,MATCH(QC106,QC106:QC211,0),MATCH(Structure!$D$8,$QA$14:$QZ$14,0))))</f>
        <v/>
      </c>
      <c r="DC106" s="341" t="str">
        <f>IF(A106=FALSE,"",IF(ALLTHESAME=TRUE,INDEX(RA106:RZ106,MATCH(RC106,RC106:RC211,0),MATCH(Structure!$D$8,$RA$14:$RZ$14,0)),INDEX(SA106:TC106,MATCH(SC106,SC106:SC211,0),MATCH(Structure!$D$8,$SA$14:$TC$14,0))))</f>
        <v/>
      </c>
      <c r="DD106" s="492" t="str">
        <f>IF(A106=FALSE,"",Cotations!D106)</f>
        <v/>
      </c>
      <c r="DE106" s="492" t="str">
        <f>IF(A106=FALSE,"",IF(LISTES!$A$17=1,Cotations!AF106,Cotations!$AG$4))</f>
        <v/>
      </c>
      <c r="DF106" s="291" t="str">
        <f t="shared" si="654"/>
        <v/>
      </c>
      <c r="DG106" s="291" t="str">
        <f t="shared" si="655"/>
        <v/>
      </c>
      <c r="DH106" s="291"/>
      <c r="DI106" s="463"/>
      <c r="DJ106" s="463" t="str">
        <f t="shared" si="656"/>
        <v/>
      </c>
      <c r="DK106" s="522" t="str">
        <f>IF(A106=FALSE,"",IF(Cotations!$AH$4="monthly",DJ106/12*L106,DJ106/365*M106))</f>
        <v/>
      </c>
      <c r="DL106" s="489" t="str">
        <f>IF(A106=FALSE,"",Cotations!$AI$4)</f>
        <v/>
      </c>
      <c r="DM106" s="300" t="str">
        <f t="shared" si="657"/>
        <v/>
      </c>
      <c r="DN106" s="300" t="str">
        <f t="shared" si="658"/>
        <v/>
      </c>
      <c r="DO106" s="294" t="str">
        <f t="shared" si="659"/>
        <v/>
      </c>
      <c r="DP106" s="494" t="str">
        <f>IF(A106=FALSE,"",Cotations!$AJ$4)</f>
        <v/>
      </c>
      <c r="DQ106" s="494" t="str">
        <f>IF(A106=FALSE,"",Cotations!$AK$4)</f>
        <v/>
      </c>
      <c r="DR106" s="489" t="str">
        <f>IF(A106=FALSE,"",Cotations!$AL$4)</f>
        <v/>
      </c>
      <c r="DS106" s="494" t="str">
        <f>IF(A106=FALSE,"",IF(DP106="N/A",0,IF(INDEX(LISTES!$F$105:$F$109,MATCH(DP106,LISTES!$C$105:$C$109,0))="FIX",IF(INDEX(LISTES!$E$105:$E$109,MATCH(DP106,LISTES!$C$105:$C$109,0))=12,DQ106/12*L106,DQ106/365*M106),DR106*DO106)))</f>
        <v/>
      </c>
      <c r="DT106" s="294" t="str">
        <f t="shared" si="660"/>
        <v/>
      </c>
      <c r="DU106" s="294" t="str">
        <f>IF(A106=FALSE,"",DT106*Cotations!$AM$4)</f>
        <v/>
      </c>
      <c r="DV106" s="294" t="str">
        <f>IF(A106=FALSE,"",DT106*Cotations!$AN$4)</f>
        <v/>
      </c>
      <c r="DW106" s="465" t="str">
        <f t="shared" si="661"/>
        <v/>
      </c>
      <c r="DX106" s="919" t="str">
        <f>IF(A106=FALSE,"",((DJ106*TAXE)-(DJ106*TAXE*DL106))+IF(DP106="N/A",0,IF(INDEX(LISTES!$F$105:$F$109,MATCH(DP106,LISTES!$C$105:$C$109,0))="FIX",DQ106,DR106*DO106)))</f>
        <v/>
      </c>
      <c r="DY106" s="466"/>
      <c r="DZ106" s="466"/>
      <c r="EA106" s="492" t="str">
        <f>IF(A106=FALSE,"",Cotations!D106)</f>
        <v/>
      </c>
      <c r="EB106" s="494" t="str">
        <f>IF(A106=FALSE,"",IF(LISTES!$A$17=1,Cotations!AF106,Cotations!AG106))</f>
        <v/>
      </c>
      <c r="EC106" s="284" t="str">
        <f t="shared" si="662"/>
        <v/>
      </c>
      <c r="ED106" s="284" t="str">
        <f t="shared" si="663"/>
        <v/>
      </c>
      <c r="EE106" s="284"/>
      <c r="EF106" s="284"/>
      <c r="EG106" s="284" t="str">
        <f t="shared" si="664"/>
        <v/>
      </c>
      <c r="EH106" s="1365" t="str">
        <f t="shared" si="665"/>
        <v/>
      </c>
      <c r="EI106" s="1365" t="str">
        <f t="shared" si="666"/>
        <v/>
      </c>
      <c r="EJ106" s="515" t="str">
        <f>IF(A106=FALSE,"",IF(Cotations!AH106="monthly",EG106/12*L106,EG106/365*M106))</f>
        <v/>
      </c>
      <c r="EK106" s="1364" t="str">
        <f>IF(A106=FALSE,"",IF(Cotations!AH106="monthly",EI106/12*L106,EI106/365*M106))</f>
        <v/>
      </c>
      <c r="EL106" s="493" t="str">
        <f>IF(A106=FALSE,"",IF(Cotations!AI106="","",Cotations!AI106))</f>
        <v/>
      </c>
      <c r="EM106" s="284" t="str">
        <f t="shared" si="667"/>
        <v/>
      </c>
      <c r="EN106" s="284" t="str">
        <f t="shared" si="668"/>
        <v/>
      </c>
      <c r="EO106" s="1365" t="str">
        <f t="shared" si="840"/>
        <v/>
      </c>
      <c r="EP106" s="284" t="str">
        <f t="shared" si="669"/>
        <v/>
      </c>
      <c r="EQ106" s="515" t="str">
        <f>IF(A106=FALSE,"",Cotations!AJ106)</f>
        <v/>
      </c>
      <c r="ER106" s="515" t="str">
        <f>IF(A106=FALSE,"",IF(Cotations!AK106="","",Cotations!AK106))</f>
        <v/>
      </c>
      <c r="ES106" s="493" t="str">
        <f>IF(A106=FALSE,"",Cotations!AL106)</f>
        <v/>
      </c>
      <c r="ET106" s="515" t="str">
        <f>IF(A106=FALSE,"",IF(EQ106="N/A",0,IF(INDEX(LISTES!$F$105:$F$109,MATCH(EQ106,LISTES!$C$105:$C$109,0))="FIX",IF(INDEX(LISTES!$E$105:$E$109,MATCH(EQ106,LISTES!$C$105:$C$109,0))=12,ER106/12*L106,ER106/365*M106),ES106*EP106)))</f>
        <v/>
      </c>
      <c r="EU106" s="294" t="str">
        <f t="shared" si="670"/>
        <v/>
      </c>
      <c r="EV106" s="494" t="str">
        <f>IF(A106=FALSE,"",EU106*Cotations!AM106)</f>
        <v/>
      </c>
      <c r="EW106" s="494" t="str">
        <f>IF(A106=FALSE,"",EU106*Cotations!AN106)</f>
        <v/>
      </c>
      <c r="EX106" s="334" t="str">
        <f t="shared" si="671"/>
        <v/>
      </c>
      <c r="EY106" s="919" t="str">
        <f>IF(A106=FALSE,"",((EG106*TAXE)-(EG106*TAXE*EL106)+EH106)+IF(EQ106="N/A",0,IF(INDEX(LISTES!$F$105:$F$109,MATCH(EQ106,LISTES!$C$105:$C$109,0))="FIX",ER106,ES106*EP106)))</f>
        <v/>
      </c>
      <c r="FA106" s="492" t="str">
        <f>IF(A106=FALSE,"",Cotations!D106)</f>
        <v/>
      </c>
      <c r="FB106" s="519" t="str">
        <f>IF(A106=FALSE,"",IF(LISTES!$A$17=1,Cotations!AO106,Cotations!$AP$4))</f>
        <v/>
      </c>
      <c r="FC106" s="291" t="str">
        <f t="shared" si="672"/>
        <v/>
      </c>
      <c r="FD106" s="291" t="str">
        <f t="shared" si="673"/>
        <v/>
      </c>
      <c r="FE106" s="291"/>
      <c r="FF106" s="463"/>
      <c r="FG106" s="463" t="str">
        <f t="shared" si="674"/>
        <v/>
      </c>
      <c r="FH106" s="522" t="str">
        <f>IF(A106=FALSE,"",IF(Cotations!$AQ$4="monthly",FG106/12*L106,FG106/365*M106))</f>
        <v/>
      </c>
      <c r="FI106" s="453" t="str">
        <f>IF(A106=FALSE,"",Cotations!$AR$4)</f>
        <v/>
      </c>
      <c r="FJ106" s="300" t="str">
        <f t="shared" si="675"/>
        <v/>
      </c>
      <c r="FK106" s="300" t="str">
        <f t="shared" si="676"/>
        <v/>
      </c>
      <c r="FL106" s="294" t="str">
        <f t="shared" si="677"/>
        <v/>
      </c>
      <c r="FM106" s="494" t="str">
        <f>IF(A106=FALSE,"",Cotations!$AS$4)</f>
        <v/>
      </c>
      <c r="FN106" s="494" t="str">
        <f>IF(A106=FALSE,"",Cotations!$AT$4)</f>
        <v/>
      </c>
      <c r="FO106" s="489" t="str">
        <f>IF(A106=FALSE,"",Cotations!$AU$4)</f>
        <v/>
      </c>
      <c r="FP106" s="494" t="str">
        <f>IF(A106=FALSE,"",IF(FM106="N/A",0,IF(INDEX(LISTES!$F$105:$F$109,MATCH(FM106,LISTES!$C$105:$C$109,0))="FIX",IF(INDEX(LISTES!$E$105:$E$109,MATCH(FM106,LISTES!$C$105:$C$109,0))=12,FN106/12*L106,FN106/365*M106),FO106*FL106)))</f>
        <v/>
      </c>
      <c r="FQ106" s="294" t="str">
        <f t="shared" si="678"/>
        <v/>
      </c>
      <c r="FR106" s="494" t="str">
        <f>IF(A106=FALSE,"",FQ106*Cotations!$AV$4)</f>
        <v/>
      </c>
      <c r="FS106" s="494" t="str">
        <f>IF(A106=FALSE,"",FQ106*Cotations!$AW$4)</f>
        <v/>
      </c>
      <c r="FT106" s="465" t="str">
        <f t="shared" si="679"/>
        <v/>
      </c>
      <c r="FU106" s="919" t="str">
        <f>IF(A106=FALSE,"",((FG106*TAXE)-(FG106*TAXE*FI106))+IF(FM106="N/A",0,IF(INDEX(LISTES!$F$105:$F$109,MATCH(FM106,LISTES!$C$105:$C$109,0))="FIX",FN106,FO106*FL106)))</f>
        <v/>
      </c>
      <c r="FV106" s="478"/>
      <c r="FW106" s="478"/>
      <c r="FX106" s="478"/>
      <c r="FY106" s="478"/>
      <c r="FZ106" s="478"/>
      <c r="GA106" s="492" t="str">
        <f>IF(A106=FALSE,"",Cotations!D106)</f>
        <v/>
      </c>
      <c r="GB106" s="494" t="str">
        <f>IF(A106=FALSE,"",IF(LISTES!$A$17=1,Cotations!AO106,Cotations!AP106))</f>
        <v/>
      </c>
      <c r="GC106" s="284" t="str">
        <f t="shared" si="680"/>
        <v/>
      </c>
      <c r="GD106" s="515" t="str">
        <f>IF(A106=FALSE,"",IF(Detail!AM106="","",Detail!AM106))</f>
        <v/>
      </c>
      <c r="GE106" s="284"/>
      <c r="GF106" s="284"/>
      <c r="GG106" s="284" t="str">
        <f t="shared" si="681"/>
        <v/>
      </c>
      <c r="GH106" s="515" t="str">
        <f>IF(A106=FALSE,"",IF(Cotations!AQ106="monthly",GG106/12*L106,GG106/365*M106))</f>
        <v/>
      </c>
      <c r="GI106" s="493" t="str">
        <f>IF(A106=FALSE,"",IF(Cotations!AR106="","",Cotations!AR106))</f>
        <v/>
      </c>
      <c r="GJ106" s="284" t="str">
        <f t="shared" si="682"/>
        <v/>
      </c>
      <c r="GK106" s="284" t="str">
        <f t="shared" si="683"/>
        <v/>
      </c>
      <c r="GL106" s="284" t="str">
        <f t="shared" si="684"/>
        <v/>
      </c>
      <c r="GM106" s="515" t="str">
        <f>IF(A106=FALSE,"",Cotations!AS106)</f>
        <v/>
      </c>
      <c r="GN106" s="515" t="str">
        <f>IF(A106=FALSE,"",Cotations!AT106)</f>
        <v/>
      </c>
      <c r="GO106" s="493" t="str">
        <f>IF(A106=FALSE,"",Cotations!AU106)</f>
        <v/>
      </c>
      <c r="GP106" s="515" t="str">
        <f>IF(A106=FALSE,"",IF(GM106="N/A",0,IF(INDEX(LISTES!$F$105:$F$109,MATCH(GM106,LISTES!$C$105:$C$109,0))="FIX",IF(INDEX(LISTES!$E$105:$E$109,MATCH(GM106,LISTES!$C$105:$C$109,0))=12,GN106/12*L106,GN106/365*M106),GO106*GL106)))</f>
        <v/>
      </c>
      <c r="GQ106" s="294" t="str">
        <f t="shared" si="685"/>
        <v/>
      </c>
      <c r="GR106" s="494" t="str">
        <f>IF(A106=FALSE,"",GQ106*Cotations!AV106)</f>
        <v/>
      </c>
      <c r="GS106" s="494" t="str">
        <f>IF(A106=FALSE,"",GQ106*Cotations!AW106)</f>
        <v/>
      </c>
      <c r="GT106" s="334" t="str">
        <f t="shared" si="686"/>
        <v/>
      </c>
      <c r="GU106" s="919" t="str">
        <f>IF(A106=FALSE,"",((GG106*TAXE)-(GG106*TAXE*GI106))+IF(GM106="N/A",0,IF(INDEX(LISTES!$F$105:$F$109,MATCH(GM106,LISTES!$C$105:$C$109,0))="FIX",GN106,GO106*GL106)))</f>
        <v/>
      </c>
      <c r="GV106" s="478"/>
      <c r="GW106" s="466"/>
      <c r="GX106" s="466"/>
      <c r="GY106" s="466"/>
      <c r="GZ106" s="466"/>
      <c r="HA106" s="492" t="str">
        <f>IF(A106=FALSE,"",Cotations!D106)</f>
        <v/>
      </c>
      <c r="HB106" s="495" t="str">
        <f>IF(A106=FALSE,"",IF(LISTES!$A$17=1,Cotations!AX106,Cotations!$AY$4))</f>
        <v/>
      </c>
      <c r="HC106" s="291" t="str">
        <f t="shared" si="687"/>
        <v/>
      </c>
      <c r="HD106" s="291" t="str">
        <f t="shared" si="688"/>
        <v/>
      </c>
      <c r="HE106" s="456" t="str">
        <f t="shared" si="689"/>
        <v/>
      </c>
      <c r="HF106" s="496" t="str">
        <f>IF(A106=FALSE,"",IF(HA106="POEA",Cotations!BA106,IF(HA106="FIXE",Cotations!$BA$4,Cotations!$BC$4*Y106)))</f>
        <v/>
      </c>
      <c r="HG106" s="300" t="str">
        <f t="shared" si="690"/>
        <v/>
      </c>
      <c r="HH106" s="522" t="str">
        <f>IF(A106=FALSE,"",IF(Cotations!$AZ$4="monthly",HG106/12*L106,HG106/365*M106))</f>
        <v/>
      </c>
      <c r="HI106" s="489" t="str">
        <f>IF(A106=FALSE,"",Cotations!$BD$4)</f>
        <v/>
      </c>
      <c r="HJ106" s="300" t="str">
        <f t="shared" si="691"/>
        <v/>
      </c>
      <c r="HK106" s="300" t="str">
        <f t="shared" si="692"/>
        <v/>
      </c>
      <c r="HL106" s="294" t="str">
        <f t="shared" si="693"/>
        <v/>
      </c>
      <c r="HM106" s="494" t="str">
        <f>IF(A106=FALSE,"",Cotations!$BE$4)</f>
        <v/>
      </c>
      <c r="HN106" s="522" t="str">
        <f>IF(A106=FALSE,"",Cotations!$BF$4)</f>
        <v/>
      </c>
      <c r="HO106" s="489" t="str">
        <f>IF(A106=FALSE,"",Cotations!$BG$4)</f>
        <v/>
      </c>
      <c r="HP106" s="494" t="str">
        <f>IF(A106=FALSE,"",IF(HM106="N/A",0,IF(INDEX(LISTES!$F$105:$F$109,MATCH(HM106,LISTES!$C$105:$C$109,0))="FIX",IF(INDEX(LISTES!$E$105:$E$109,MATCH(HM106,LISTES!$C$105:$C$109,0))=12,HN106/12*L106,HN106/365*M106),HO106*HL106)))</f>
        <v/>
      </c>
      <c r="HQ106" s="294" t="str">
        <f t="shared" si="694"/>
        <v/>
      </c>
      <c r="HR106" s="494" t="str">
        <f>IF(A106=FALSE,"",HQ106*Cotations!$BH$4)</f>
        <v/>
      </c>
      <c r="HS106" s="494" t="str">
        <f>IF(A106=FALSE,"",HQ106*Cotations!$BI$4)</f>
        <v/>
      </c>
      <c r="HT106" s="294" t="str">
        <f t="shared" si="695"/>
        <v/>
      </c>
      <c r="HU106" s="919" t="str">
        <f>IF(A106=FALSE,"",((HG106*TAXE)-(HG106*TAXE*HI106))+IF(HM106="N/A",0,IF(INDEX(LISTES!$F$105:$F$109,MATCH(HM106,LISTES!$C$105:$C$109,0))="FIX",HN106,HO106*HL106)))</f>
        <v/>
      </c>
      <c r="IA106" s="492" t="str">
        <f>IF(A106=FALSE,"",Cotations!D106)</f>
        <v/>
      </c>
      <c r="IB106" s="491" t="str">
        <f>IF(A106=FALSE,"",IF(LISTES!$A$17=1,Cotations!AX106,Cotations!AY106))</f>
        <v/>
      </c>
      <c r="IC106" s="285" t="str">
        <f t="shared" si="696"/>
        <v/>
      </c>
      <c r="ID106" s="300" t="str">
        <f>IF(A106=FALSE,"",IF(LISTES!$A$17=3,Detail!AU106,lig1_Formula_PREVOY))</f>
        <v/>
      </c>
      <c r="IE106" s="461" t="str">
        <f t="shared" si="697"/>
        <v/>
      </c>
      <c r="IF106" s="490" t="str">
        <f>IF(A106=FALSE,"",IF(IA106="POEA",Cotations!BA106,IF(HA106="FIXE",Cotations!BB106,IF(Cotations!BC106*Y106&lt;50000,Z106,Cotations!BC106*Y106))))</f>
        <v/>
      </c>
      <c r="IG106" s="300" t="str">
        <f t="shared" si="698"/>
        <v/>
      </c>
      <c r="IH106" s="522" t="str">
        <f>IF(A106=FALSE,"",IF(Cotations!AZ106="monthly",IG106/12*L106,IG106/365*M106))</f>
        <v/>
      </c>
      <c r="II106" s="489" t="str">
        <f>IF(A106=FALSE,"",IF(Cotations!BD106="","",Cotations!BD106))</f>
        <v/>
      </c>
      <c r="IJ106" s="300" t="str">
        <f t="shared" si="699"/>
        <v/>
      </c>
      <c r="IK106" s="300" t="str">
        <f t="shared" si="700"/>
        <v/>
      </c>
      <c r="IL106" s="919" t="str">
        <f t="shared" si="701"/>
        <v/>
      </c>
      <c r="IM106" s="517" t="str">
        <f>IF(A106=FALSE,"",Cotations!BE106)</f>
        <v/>
      </c>
      <c r="IN106" s="517" t="str">
        <f>IF(A106=FALSE,"",Cotations!BF106)</f>
        <v/>
      </c>
      <c r="IO106" s="493" t="str">
        <f>IF(A106=FALSE,"",Cotations!BG106)</f>
        <v/>
      </c>
      <c r="IP106" s="517" t="str">
        <f>IF(A106=FALSE,"",IF(IM106="N/A",0,IF(INDEX(LISTES!$F$105:$F$109,MATCH(IM106,LISTES!$C$105:$C$109,0))="FIX",IF(INDEX(LISTES!$E$105:$E$109,MATCH(IM106,LISTES!$C$105:$C$109,0))=12,IN106/12*L106,IN106/365*M106),IO106*IL106)))</f>
        <v/>
      </c>
      <c r="IQ106" s="294" t="str">
        <f t="shared" si="702"/>
        <v/>
      </c>
      <c r="IR106" s="494" t="str">
        <f>IF(A106=FALSE,"",IQ106*Cotations!BH106)</f>
        <v/>
      </c>
      <c r="IS106" s="494" t="str">
        <f>IF(A106=FALSE,"",IQ106*Cotations!BI106)</f>
        <v/>
      </c>
      <c r="IT106" s="338" t="str">
        <f t="shared" si="703"/>
        <v/>
      </c>
      <c r="IU106" s="919" t="str">
        <f>IF(A106=FALSE,"",((IG106*TAXE)-(IG106*TAXE*II106))+IF(IM106="N/A",0,IF(INDEX(LISTES!$F$105:$F$109,MATCH(IM106,LISTES!$C$105:$C$109,0))="FIX",IN106,IO106*IL106)))</f>
        <v/>
      </c>
      <c r="JA106" s="492" t="str">
        <f>IF(A106=FALSE,"",Cotations!D106)</f>
        <v/>
      </c>
      <c r="JB106" s="495" t="str">
        <f>IF(A106=FALSE,"",IF(LISTES!$A$17=1,Cotations!BJ106,Cotations!$BK$4))</f>
        <v/>
      </c>
      <c r="JC106" s="291" t="str">
        <f t="shared" si="704"/>
        <v/>
      </c>
      <c r="JD106" s="291" t="str">
        <f t="shared" si="705"/>
        <v/>
      </c>
      <c r="JE106" s="456" t="str">
        <f t="shared" si="706"/>
        <v/>
      </c>
      <c r="JF106" s="496" t="str">
        <f>IF(A106=FALSE,"",IF(JA106="POEA",Cotations!BM106,IF(JA106="FIXE",Cotations!$BM$4,Cotations!$BO$4*Y106)))</f>
        <v/>
      </c>
      <c r="JG106" s="300" t="str">
        <f t="shared" si="707"/>
        <v/>
      </c>
      <c r="JH106" s="522" t="str">
        <f>IF(A106=FALSE,"",IF(Cotations!$BL$4="monthly",JG106/12*L106,JG106/365*M106))</f>
        <v/>
      </c>
      <c r="JI106" s="489" t="str">
        <f>IF(A106=FALSE,"",Cotations!$BP$4)</f>
        <v/>
      </c>
      <c r="JJ106" s="300" t="str">
        <f t="shared" si="708"/>
        <v/>
      </c>
      <c r="JK106" s="300" t="str">
        <f t="shared" si="709"/>
        <v/>
      </c>
      <c r="JL106" s="294" t="str">
        <f t="shared" si="710"/>
        <v/>
      </c>
      <c r="JM106" s="494" t="str">
        <f>IF(A106=FALSE,"",Cotations!$BQ$4)</f>
        <v/>
      </c>
      <c r="JN106" s="522" t="str">
        <f>IF(A106=FALSE,"",Cotations!$BR$4)</f>
        <v/>
      </c>
      <c r="JO106" s="489" t="str">
        <f>IF(A106=FALSE,"",Cotations!$BS$4)</f>
        <v/>
      </c>
      <c r="JP106" s="494" t="str">
        <f>IF(A106=FALSE,"",IF(JM106="N/A",0,IF(INDEX(LISTES!$F$105:$F$109,MATCH(JM106,LISTES!$C$105:$C$109,0))="FIX",IF(INDEX(LISTES!$E$105:$E$109,MATCH(JM106,LISTES!$C$105:$C$109,0))=12,JN106/12*L106,JN106/365*M106),JO106*JL106)))</f>
        <v/>
      </c>
      <c r="JQ106" s="294" t="str">
        <f t="shared" si="711"/>
        <v/>
      </c>
      <c r="JR106" s="494" t="str">
        <f>IF(A106=FALSE,"",JQ106*Cotations!$BT$4)</f>
        <v/>
      </c>
      <c r="JS106" s="494" t="str">
        <f>IF(A106=FALSE,"",JQ106*Cotations!$BU$4)</f>
        <v/>
      </c>
      <c r="JT106" s="294" t="str">
        <f t="shared" si="712"/>
        <v/>
      </c>
      <c r="JU106" s="919" t="str">
        <f>IF(A106=FALSE,"",((JG106*TAXE)-(JG106*TAXE*JI106))+IF(JM106="N/A",0,IF(INDEX(LISTES!$F$105:$F$109,MATCH(JM106,LISTES!$C$105:$C$109,0))="FIX",JN106,JO106*JL106)))</f>
        <v/>
      </c>
      <c r="KA106" s="492" t="str">
        <f>IF(A106=FALSE,"",Cotations!D106)</f>
        <v/>
      </c>
      <c r="KB106" s="491" t="str">
        <f>IF(A106=FALSE,"",IF(LISTES!$A$17=1,Cotations!BJ106,Cotations!BK106))</f>
        <v/>
      </c>
      <c r="KC106" s="285" t="str">
        <f t="shared" si="713"/>
        <v/>
      </c>
      <c r="KD106" s="300"/>
      <c r="KE106" s="461" t="str">
        <f t="shared" si="714"/>
        <v/>
      </c>
      <c r="KF106" s="490" t="str">
        <f>IF(A106=FALSE,"",IF(KA106="POEA",Cotations!BM106,IF(KA106="FIXE",Cotations!BN106,IF(Cotations!BO106*Y106&lt;50000,Z106,Cotations!BO106*Y106))))</f>
        <v/>
      </c>
      <c r="KG106" s="300" t="str">
        <f t="shared" si="715"/>
        <v/>
      </c>
      <c r="KH106" s="522" t="str">
        <f>IF(A106=FALSE,"",IF(Cotations!BL106="monthly",KG106/12*L106,KG106/365*M106))</f>
        <v/>
      </c>
      <c r="KI106" s="489" t="str">
        <f>IF(A106=FALSE,"",IF(Cotations!BP106="","",Cotations!BP106))</f>
        <v/>
      </c>
      <c r="KJ106" s="300" t="str">
        <f t="shared" si="716"/>
        <v/>
      </c>
      <c r="KK106" s="300" t="str">
        <f t="shared" si="717"/>
        <v/>
      </c>
      <c r="KL106" s="919" t="str">
        <f t="shared" si="718"/>
        <v/>
      </c>
      <c r="KM106" s="517" t="str">
        <f>IF(A106=FALSE,"",Cotations!BQ106)</f>
        <v/>
      </c>
      <c r="KN106" s="515" t="str">
        <f>IF(A106=FALSE,"",Cotations!BR106)</f>
        <v/>
      </c>
      <c r="KO106" s="493" t="str">
        <f>IF(A106=FALSE,"",Cotations!BS106)</f>
        <v/>
      </c>
      <c r="KP106" s="517" t="str">
        <f>IF(A106=FALSE,"",IF(KM106="N/A",0,IF(INDEX(LISTES!$F$105:$F$109,MATCH(KM106,LISTES!$C$105:$C$109,0))="FIX",IF(INDEX(LISTES!$E$105:$E$109,MATCH(KM106,LISTES!$C$105:$C$109,0))=12,KN106/12*L106,KN106/365*M106),KO106*KL106)))</f>
        <v/>
      </c>
      <c r="KQ106" s="294" t="str">
        <f t="shared" si="719"/>
        <v/>
      </c>
      <c r="KR106" s="494" t="str">
        <f>IF(A106=FALSE,"",KQ106*Cotations!BT106)</f>
        <v/>
      </c>
      <c r="KS106" s="494" t="str">
        <f>IF(A106=FALSE,"",KQ106*Cotations!BU106)</f>
        <v/>
      </c>
      <c r="KT106" s="338" t="str">
        <f t="shared" si="720"/>
        <v/>
      </c>
      <c r="KU106" s="919" t="str">
        <f>IF(A106=FALSE,"",((KG106*TAXE)-(KG106*TAXE*KI106))+IF(KM106="N/A",0,IF(INDEX(LISTES!$F$105:$F$109,MATCH(KM106,LISTES!$C$105:$C$109,0))="FIX",KN106,KO106*KL106)))</f>
        <v/>
      </c>
      <c r="LA106" s="497" t="str">
        <f>IF(A106=FALSE,"",Cotations!D106)</f>
        <v/>
      </c>
      <c r="LB106" s="498" t="str">
        <f>IF(A106=FALSE,"",IF(LISTES!$A$17=1,Cotations!BV106,Cotations!$BW$4))</f>
        <v/>
      </c>
      <c r="LC106" s="499" t="str">
        <f t="shared" si="721"/>
        <v/>
      </c>
      <c r="LD106" s="499" t="str">
        <f t="shared" si="722"/>
        <v/>
      </c>
      <c r="LE106" s="500" t="str">
        <f t="shared" si="723"/>
        <v/>
      </c>
      <c r="LF106" s="501" t="str">
        <f>IF(A106=FALSE,"",IF(LA106="POEA",Cotations!EJ106,IF(LA106="FIXE",Cotations!$BY$4,Cotations!$CA$4*Y106)))</f>
        <v/>
      </c>
      <c r="LG106" s="502" t="str">
        <f t="shared" si="724"/>
        <v/>
      </c>
      <c r="LH106" s="520" t="str">
        <f>IF(A106=FALSE,"",IF(Cotations!$BX$4="monthly",LG106/12*L106,LG106/365*M106))</f>
        <v/>
      </c>
      <c r="LI106" s="503" t="str">
        <f>IF(A106=FALSE,"",Cotations!$CB$4)</f>
        <v/>
      </c>
      <c r="LJ106" s="502" t="str">
        <f t="shared" si="725"/>
        <v/>
      </c>
      <c r="LK106" s="502" t="str">
        <f t="shared" si="726"/>
        <v/>
      </c>
      <c r="LL106" s="504" t="str">
        <f t="shared" si="727"/>
        <v/>
      </c>
      <c r="LM106" s="505" t="str">
        <f>IF(A106=FALSE,"",Cotations!$CC$4)</f>
        <v/>
      </c>
      <c r="LN106" s="503" t="str">
        <f>IF(A106=FALSE,"",Cotations!$CD$4)</f>
        <v/>
      </c>
      <c r="LO106" s="503" t="str">
        <f>IF(A106=FALSE,"",Cotations!$CE$4)</f>
        <v/>
      </c>
      <c r="LP106" s="505" t="str">
        <f>IF(A106=FALSE,"",IF(LM106="N/A",0,IF(INDEX(LISTES!$F$105:$F$109,MATCH(LM106,LISTES!$C$105:$C$109,0))="FIX",IF(INDEX(LISTES!$E$105:$E$109,MATCH(LM106,LISTES!$C$105:$C$109,0))=12,LN106/12*L106,LN106/365*M106),LO106*LL106)))</f>
        <v/>
      </c>
      <c r="LQ106" s="504" t="str">
        <f t="shared" si="728"/>
        <v/>
      </c>
      <c r="LR106" s="505" t="str">
        <f>IF(A106=FALSE,"",LQ106*Cotations!$CF$4)</f>
        <v/>
      </c>
      <c r="LS106" s="505" t="str">
        <f>IF(A106=FALSE,"",LQ106*Cotations!$CG$4)</f>
        <v/>
      </c>
      <c r="LT106" s="506" t="str">
        <f t="shared" si="729"/>
        <v/>
      </c>
      <c r="LU106" s="919" t="str">
        <f>IF(A106=FALSE,"",((LG106*TAXE)-(LG106*TAXE*LI106))+IF(LM106="N/A",0,IF(INDEX(LISTES!$F$105:$F$109,MATCH(LM106,LISTES!$C$105:$C$109,0))="FIX",LN106,LO106*LL106)))</f>
        <v/>
      </c>
      <c r="MA106" s="492" t="str">
        <f>IF(A106=FALSE,"",Cotations!D106)</f>
        <v/>
      </c>
      <c r="MB106" s="491" t="str">
        <f>IF(A106=FALSE,"",IF(LISTES!$A$17=1,Cotations!BV106,Cotations!BW106))</f>
        <v/>
      </c>
      <c r="MC106" s="285" t="str">
        <f t="shared" si="730"/>
        <v/>
      </c>
      <c r="MD106" s="300"/>
      <c r="ME106" s="461" t="str">
        <f t="shared" si="731"/>
        <v/>
      </c>
      <c r="MF106" s="490" t="str">
        <f>IF(A106=FALSE,"",IF(MA106="POEA",Cotations!BY106,IF(MA106="FIXE",Cotations!BZ106,IF(Cotations!CA106*Y106&lt;50000,Z106,Cotations!CA106*Y106))))</f>
        <v/>
      </c>
      <c r="MG106" s="300" t="str">
        <f t="shared" si="732"/>
        <v/>
      </c>
      <c r="MH106" s="522" t="str">
        <f>IF(A106=FALSE,"",IF(Cotations!BX106="monthly",MG106/12*L106,MG106/365*M106))</f>
        <v/>
      </c>
      <c r="MI106" s="489" t="str">
        <f>IF(A106=FALSE,"",IF(Cotations!CB106="","",Cotations!CB106))</f>
        <v/>
      </c>
      <c r="MJ106" s="300" t="str">
        <f t="shared" si="733"/>
        <v/>
      </c>
      <c r="MK106" s="300" t="str">
        <f t="shared" si="734"/>
        <v/>
      </c>
      <c r="ML106" s="919" t="str">
        <f t="shared" si="735"/>
        <v/>
      </c>
      <c r="MM106" s="517" t="str">
        <f>IF(A106=FALSE,"",Cotations!CC106)</f>
        <v/>
      </c>
      <c r="MN106" s="515" t="str">
        <f>IF(A106=FALSE,"",Cotations!CD106)</f>
        <v/>
      </c>
      <c r="MO106" s="493" t="str">
        <f>IF(A106=FALSE,"",Cotations!CE106)</f>
        <v/>
      </c>
      <c r="MP106" s="517" t="str">
        <f>IF(A106=FALSE,"",IF(MM106="N/A",0,IF(INDEX(LISTES!$F$105:$F$109,MATCH(MM106,LISTES!$C$105:$C$109,0))="FIX",IF(INDEX(LISTES!$E$105:$E$109,MATCH(MM106,LISTES!$C$105:$C$109,0))=12,MN106/12*L106,MN106/365*M106),MO106*ML106)))</f>
        <v/>
      </c>
      <c r="MQ106" s="294" t="str">
        <f t="shared" si="736"/>
        <v/>
      </c>
      <c r="MR106" s="494" t="str">
        <f>IF(A106=FALSE,"",MQ106*Cotations!CF106)</f>
        <v/>
      </c>
      <c r="MS106" s="494" t="str">
        <f>IF(A106=FALSE,"",MQ106*Cotations!CG106)</f>
        <v/>
      </c>
      <c r="MT106" s="338" t="str">
        <f t="shared" si="737"/>
        <v/>
      </c>
      <c r="MU106" s="919" t="str">
        <f>IF(A106=FALSE,"",((MG106*TAXE)-(MG106*TAXE*MI106))+IF(MM106="N/A",0,IF(INDEX(LISTES!$F$105:$F$109,MATCH(MM106,LISTES!$C$105:$C$109,0))="FIX",MN106,MO106*ML106)))</f>
        <v/>
      </c>
      <c r="NA106" s="497" t="str">
        <f>IF(A106=FALSE,"",Cotations!D106)</f>
        <v/>
      </c>
      <c r="NB106" s="498" t="str">
        <f>IF(A106=FALSE,"",IF(LISTES!$A$17=1,Cotations!CH106,Cotations!$CI$4))</f>
        <v/>
      </c>
      <c r="NC106" s="499" t="str">
        <f t="shared" si="738"/>
        <v/>
      </c>
      <c r="ND106" s="499" t="str">
        <f t="shared" si="739"/>
        <v/>
      </c>
      <c r="NE106" s="500" t="str">
        <f t="shared" si="740"/>
        <v/>
      </c>
      <c r="NF106" s="501" t="str">
        <f>IF(A106=FALSE,"",IF(NA106="POEA",Cotations!CK106,IF(NA106="FIXE",Cotations!$CK$4,Cotations!$CM$4*Y106)))</f>
        <v/>
      </c>
      <c r="NG106" s="502" t="str">
        <f t="shared" si="741"/>
        <v/>
      </c>
      <c r="NH106" s="520" t="str">
        <f>IF(A106=FALSE,"",IF(Cotations!$CJ$4="monthly",NG106/12*L106,NG106/365*M106))</f>
        <v/>
      </c>
      <c r="NI106" s="503" t="str">
        <f>IF(A106=FALSE,"",Cotations!$CN$4)</f>
        <v/>
      </c>
      <c r="NJ106" s="502" t="str">
        <f t="shared" si="742"/>
        <v/>
      </c>
      <c r="NK106" s="502" t="str">
        <f t="shared" si="743"/>
        <v/>
      </c>
      <c r="NL106" s="504" t="str">
        <f t="shared" si="744"/>
        <v/>
      </c>
      <c r="NM106" s="505" t="str">
        <f>IF(A106=FALSE,"",Cotations!$CO$4)</f>
        <v/>
      </c>
      <c r="NN106" s="520" t="str">
        <f>IF(A106=FALSE,"",Cotations!$CP$4)</f>
        <v/>
      </c>
      <c r="NO106" s="503" t="str">
        <f>IF(A106=FALSE,"",Cotations!$CQ$4)</f>
        <v/>
      </c>
      <c r="NP106" s="505" t="str">
        <f>IF(A106=FALSE,"",IF(NM106="N/A",0,IF(INDEX(LISTES!$F$105:$F$109,MATCH(NM106,LISTES!$C$105:$C$109,0))="FIX",IF(INDEX(LISTES!$E$105:$E$109,MATCH(NM106,LISTES!$C$105:$C$109,0))=12,NN106/12*L106,NN106/365*M106),NO106*NL106)))</f>
        <v/>
      </c>
      <c r="NQ106" s="504" t="str">
        <f t="shared" si="745"/>
        <v/>
      </c>
      <c r="NR106" s="505" t="str">
        <f>IF(A106=FALSE,"",NQ106*Cotations!$CR$4)</f>
        <v/>
      </c>
      <c r="NS106" s="505" t="str">
        <f>IF(A106=FALSE,"",NQ106*Cotations!$CS$4)</f>
        <v/>
      </c>
      <c r="NT106" s="506" t="str">
        <f t="shared" si="746"/>
        <v/>
      </c>
      <c r="NU106" s="919" t="str">
        <f>IF(A106=FALSE,"",((NG106*TAXE)-(NG106*TAXE*NI106))+IF(NM106="N/A",0,IF(INDEX(LISTES!$F$105:$F$109,MATCH(NM106,LISTES!$C$105:$C$109,0))="FIX",NN106,NO106*NL106)))</f>
        <v/>
      </c>
      <c r="OA106" s="492" t="str">
        <f>IF(A106=FALSE,"",Cotations!D106)</f>
        <v/>
      </c>
      <c r="OB106" s="491" t="str">
        <f>IF(A106=FALSE,"",IF(LISTES!$A$17=1,Cotations!CH106,Cotations!CI106))</f>
        <v/>
      </c>
      <c r="OC106" s="285" t="str">
        <f t="shared" si="747"/>
        <v/>
      </c>
      <c r="OD106" s="300"/>
      <c r="OE106" s="461" t="str">
        <f t="shared" si="748"/>
        <v/>
      </c>
      <c r="OF106" s="490" t="str">
        <f>IF(A106=FALSE,"",IF(OA106="POEA",Cotations!CK106,IF(OA106="FIXE",Cotations!CL106,IF(Cotations!CM106*Y106&lt;50000,Z106,Cotations!CM106*Y106))))</f>
        <v/>
      </c>
      <c r="OG106" s="300" t="str">
        <f t="shared" si="749"/>
        <v/>
      </c>
      <c r="OH106" s="522" t="str">
        <f>IF(A106=FALSE,"",IF(Cotations!CJ106="monthly",OG106/12*L106,OG106/365*M106))</f>
        <v/>
      </c>
      <c r="OI106" s="489" t="str">
        <f>IF(A106=FALSE,"",IF(Cotations!CN106="","",Cotations!CN106))</f>
        <v/>
      </c>
      <c r="OJ106" s="300" t="str">
        <f t="shared" si="750"/>
        <v/>
      </c>
      <c r="OK106" s="300" t="str">
        <f t="shared" si="751"/>
        <v/>
      </c>
      <c r="OL106" s="919" t="str">
        <f t="shared" si="752"/>
        <v/>
      </c>
      <c r="OM106" s="517" t="str">
        <f>IF(A106=FALSE,"",Cotations!CO106)</f>
        <v/>
      </c>
      <c r="ON106" s="515" t="str">
        <f>IF(A106=FALSE,"",Cotations!CP106)</f>
        <v/>
      </c>
      <c r="OO106" s="493" t="str">
        <f>IF(A106=FALSE,"",Cotations!CQ106)</f>
        <v/>
      </c>
      <c r="OP106" s="517" t="str">
        <f>IF(A106=FALSE,"",IF(OM106="N/A",0,IF(INDEX(LISTES!$F$105:$F$109,MATCH(OM106,LISTES!$C$105:$C$109,0))="FIX",IF(INDEX(LISTES!$E$105:$E$109,MATCH(OM106,LISTES!$C$105:$C$109,0))=12,ON106/12*L106,ON106/365*M106),OO106*OL106)))</f>
        <v/>
      </c>
      <c r="OQ106" s="294" t="str">
        <f t="shared" si="753"/>
        <v/>
      </c>
      <c r="OR106" s="494" t="str">
        <f>IF(A106=FALSE,"",OQ106*Cotations!CR106)</f>
        <v/>
      </c>
      <c r="OS106" s="494" t="str">
        <f>IF(A106=FALSE,"",OQ106*Cotations!CS106)</f>
        <v/>
      </c>
      <c r="OT106" s="338" t="str">
        <f t="shared" si="754"/>
        <v/>
      </c>
      <c r="OU106" s="919" t="str">
        <f>IF(A106=FALSE,"",((OG106*TAXE)-(OG106*TAXE*OI106))+IF(OM106="N/A",0,IF(INDEX(LISTES!$F$105:$F$109,MATCH(OM106,LISTES!$C$105:$C$109,0))="FIX",ON106,OO106*OL106)))</f>
        <v/>
      </c>
      <c r="PA106" s="497" t="str">
        <f t="shared" si="755"/>
        <v/>
      </c>
      <c r="PB106" s="498" t="str">
        <f>IF(A106=FALSE,"",IF(LISTES!$A$17=1,Cotations!CT106,Cotations!$CU$4))</f>
        <v/>
      </c>
      <c r="PC106" s="499" t="str">
        <f t="shared" si="756"/>
        <v/>
      </c>
      <c r="PD106" s="499" t="str">
        <f t="shared" si="757"/>
        <v/>
      </c>
      <c r="PE106" s="500" t="str">
        <f t="shared" si="758"/>
        <v/>
      </c>
      <c r="PF106" s="501" t="str">
        <f>IF(A106=FALSE,"",Cotations!$CY$4*Y106)</f>
        <v/>
      </c>
      <c r="PG106" s="502" t="str">
        <f t="shared" si="759"/>
        <v/>
      </c>
      <c r="PH106" s="520" t="str">
        <f>IF(A106=FALSE,"",IF(Cotations!$CV$4="monthly",PG106/12*L106,PG106/365*M106))</f>
        <v/>
      </c>
      <c r="PI106" s="503" t="str">
        <f>IF(A106=FALSE,"",Cotations!$CZ$4)</f>
        <v/>
      </c>
      <c r="PJ106" s="502" t="str">
        <f t="shared" si="760"/>
        <v/>
      </c>
      <c r="PK106" s="502" t="str">
        <f t="shared" si="761"/>
        <v/>
      </c>
      <c r="PL106" s="504" t="str">
        <f t="shared" si="762"/>
        <v/>
      </c>
      <c r="PM106" s="505" t="str">
        <f>IF(A106=FALSE,"",Cotations!$DA$4)</f>
        <v/>
      </c>
      <c r="PN106" s="520" t="str">
        <f>IF(A106=FALSE,"",Cotations!$DB$4)</f>
        <v/>
      </c>
      <c r="PO106" s="503" t="str">
        <f>IF(A106=FALSE,"",Cotations!$DC$4)</f>
        <v/>
      </c>
      <c r="PP106" s="505" t="str">
        <f>IF(A106=FALSE,"",IF(PM106="N/A",0,IF(INDEX(LISTES!$F$105:$F$109,MATCH(PM106,LISTES!$C$105:$C$109,0))="FIX",IF(INDEX(LISTES!$E$105:$E$109,MATCH(PM106,LISTES!$C$105:$C$109,0))=12,PN106/12*L106,PN106/365*M106),PO106*PL106)))</f>
        <v/>
      </c>
      <c r="PQ106" s="504" t="str">
        <f t="shared" si="763"/>
        <v/>
      </c>
      <c r="PR106" s="505" t="str">
        <f>IF(A106=FALSE,"",PQ106*Cotations!$DD$4)</f>
        <v/>
      </c>
      <c r="PS106" s="505" t="str">
        <f>IF(A106=FALSE,"",PQ106*Cotations!$DE$4)</f>
        <v/>
      </c>
      <c r="PT106" s="506" t="str">
        <f t="shared" si="764"/>
        <v/>
      </c>
      <c r="PU106" s="919" t="str">
        <f>IF(A106=FALSE,"",((PG106*TAXE)-(PG106*TAXE*PI106))+IF(PM106="N/A",0,IF(INDEX(LISTES!$F$105:$F$109,MATCH(PM106,LISTES!$C$105:$C$109,0))="FIX",PN106,PO106*PL106)))</f>
        <v/>
      </c>
      <c r="QA106" s="492" t="str">
        <f t="shared" si="765"/>
        <v/>
      </c>
      <c r="QB106" s="491" t="str">
        <f>IF(A106=FALSE,"",IF(LISTES!$A$17=1,Cotations!CT106,Cotations!CU106))</f>
        <v/>
      </c>
      <c r="QC106" s="285" t="str">
        <f t="shared" si="766"/>
        <v/>
      </c>
      <c r="QD106" s="300"/>
      <c r="QE106" s="461" t="str">
        <f t="shared" si="767"/>
        <v/>
      </c>
      <c r="QF106" s="490" t="str">
        <f>IF(A106=FALSE,"",Cotations!CY106*AA106)</f>
        <v/>
      </c>
      <c r="QG106" s="300" t="str">
        <f t="shared" si="768"/>
        <v/>
      </c>
      <c r="QH106" s="522" t="str">
        <f>IF(A106=FALSE,"",IF(Cotations!CV106="monthly",QG106/12*L106,QG106/365*M106))</f>
        <v/>
      </c>
      <c r="QI106" s="489" t="str">
        <f>IF(A106=FALSE,"",IF(Cotations!CZ106="","",Cotations!CZ106))</f>
        <v/>
      </c>
      <c r="QJ106" s="300" t="str">
        <f t="shared" si="769"/>
        <v/>
      </c>
      <c r="QK106" s="300" t="str">
        <f t="shared" si="770"/>
        <v/>
      </c>
      <c r="QL106" s="919" t="str">
        <f t="shared" si="771"/>
        <v/>
      </c>
      <c r="QM106" s="517" t="str">
        <f>IF(A106=FALSE,"",Cotations!DA106)</f>
        <v/>
      </c>
      <c r="QN106" s="515" t="str">
        <f>IF(A106=FALSE,"",Cotations!DB106)</f>
        <v/>
      </c>
      <c r="QO106" s="493" t="str">
        <f>IF(A106=FALSE,"",Cotations!DC106)</f>
        <v/>
      </c>
      <c r="QP106" s="517" t="str">
        <f>IF(A106=FALSE,"",IF(QM106="N/A",0,IF(INDEX(LISTES!$F$105:$F$109,MATCH(QM106,LISTES!$C$105:$C$109,0))="FIX",IF(INDEX(LISTES!$E$105:$E$109,MATCH(QM106,LISTES!$C$105:$C$109,0))=12,QN106/12*L106,QN106/365*M106),QO106*QL106)))</f>
        <v/>
      </c>
      <c r="QQ106" s="294" t="str">
        <f t="shared" si="772"/>
        <v/>
      </c>
      <c r="QR106" s="494" t="str">
        <f>IF(A106=FALSE,"",QQ106*Cotations!DD106)</f>
        <v/>
      </c>
      <c r="QS106" s="494" t="str">
        <f>IF(A106=FALSE,"",QQ106*Cotations!DE106)</f>
        <v/>
      </c>
      <c r="QT106" s="338" t="str">
        <f t="shared" si="773"/>
        <v/>
      </c>
      <c r="QU106" s="919" t="str">
        <f>IF(A106=FALSE,"",((QG106*TAXE)-(QG106*TAXE*QI106))+IF(QM106="N/A",0,IF(INDEX(LISTES!$F$105:$F$109,MATCH(QM106,LISTES!$C$105:$C$109,0))="FIX",QN106,QO106*QL106)))</f>
        <v/>
      </c>
      <c r="RA106" s="497" t="str">
        <f t="shared" si="774"/>
        <v/>
      </c>
      <c r="RB106" s="498" t="str">
        <f>IF(A106=FALSE,"",IF(LISTES!$A$17=1,Cotations!DF106,Cotations!$DG$4))</f>
        <v/>
      </c>
      <c r="RC106" s="499" t="str">
        <f t="shared" si="775"/>
        <v/>
      </c>
      <c r="RD106" s="499" t="str">
        <f t="shared" si="776"/>
        <v/>
      </c>
      <c r="RE106" s="500" t="str">
        <f t="shared" si="777"/>
        <v/>
      </c>
      <c r="RF106" s="501" t="str">
        <f>IF(A106=FALSE,"",Cotations!$DK$4*Y106)</f>
        <v/>
      </c>
      <c r="RG106" s="502" t="str">
        <f t="shared" si="778"/>
        <v/>
      </c>
      <c r="RH106" s="520" t="str">
        <f>IF(A106=FALSE,"",IF(Cotations!$DH$4="monthly",RG106/12*L106,RG106/365*M106))</f>
        <v/>
      </c>
      <c r="RI106" s="503" t="str">
        <f>IF(A106=FALSE,"",Cotations!$DL$4)</f>
        <v/>
      </c>
      <c r="RJ106" s="502" t="str">
        <f t="shared" si="779"/>
        <v/>
      </c>
      <c r="RK106" s="502" t="str">
        <f t="shared" si="780"/>
        <v/>
      </c>
      <c r="RL106" s="504" t="str">
        <f t="shared" si="781"/>
        <v/>
      </c>
      <c r="RM106" s="505" t="str">
        <f>IF(A106=FALSE,"",Cotations!$DM$4)</f>
        <v/>
      </c>
      <c r="RN106" s="520" t="str">
        <f>IF(A106=FALSE,"",Cotations!$DN$4)</f>
        <v/>
      </c>
      <c r="RO106" s="503" t="str">
        <f>IF(A106=FALSE,"",Cotations!$DO$4)</f>
        <v/>
      </c>
      <c r="RP106" s="505" t="str">
        <f>IF(A106=FALSE,"",IF(RM106="N/A",0,IF(INDEX(LISTES!$F$105:$F$109,MATCH(RM106,LISTES!$C$105:$C$109,0))="FIX",IF(INDEX(LISTES!$E$105:$E$109,MATCH(RM106,LISTES!$C$105:$C$109,0))=12,RN106/12*L106,RN106/365*M106),RO106*RL106)))</f>
        <v/>
      </c>
      <c r="RQ106" s="504" t="str">
        <f t="shared" si="782"/>
        <v/>
      </c>
      <c r="RR106" s="505" t="str">
        <f>IF(A106=FALSE,"",RQ106*Cotations!$DP$4)</f>
        <v/>
      </c>
      <c r="RS106" s="505" t="str">
        <f>IF(A106=FALSE,"",RQ106*Cotations!$DQ$4)</f>
        <v/>
      </c>
      <c r="RT106" s="506" t="str">
        <f t="shared" si="783"/>
        <v/>
      </c>
      <c r="RU106" s="919" t="str">
        <f>IF(A106=FALSE,"",((RG106*TAXE)-(RG106*TAXE*RI106))+IF(RM106="N/A",0,IF(INDEX(LISTES!$F$105:$F$109,MATCH(RM106,LISTES!$C$105:$C$109,0))="FIX",RN106,RO106*RL106)))</f>
        <v/>
      </c>
      <c r="SA106" s="492" t="str">
        <f t="shared" si="784"/>
        <v/>
      </c>
      <c r="SB106" s="491" t="str">
        <f>IF(A106=FALSE,"",IF(LISTES!$A$17=1,Cotations!DF106,Cotations!DG106))</f>
        <v/>
      </c>
      <c r="SC106" s="285" t="str">
        <f t="shared" si="785"/>
        <v/>
      </c>
      <c r="SD106" s="300"/>
      <c r="SE106" s="461" t="str">
        <f t="shared" si="786"/>
        <v/>
      </c>
      <c r="SF106" s="490" t="str">
        <f>IF(A106=FALSE,"",Cotations!DK106*AA106)</f>
        <v/>
      </c>
      <c r="SG106" s="300" t="str">
        <f t="shared" si="787"/>
        <v/>
      </c>
      <c r="SH106" s="522" t="str">
        <f>IF(A106=FALSE,"",IF(Cotations!DH106="monthly",SG106/12*L106,SG106/365*M106))</f>
        <v/>
      </c>
      <c r="SI106" s="489" t="str">
        <f>IF(A106=FALSE,"",IF(Cotations!DL106="","",Cotations!DL106))</f>
        <v/>
      </c>
      <c r="SJ106" s="300" t="str">
        <f t="shared" si="788"/>
        <v/>
      </c>
      <c r="SK106" s="300" t="str">
        <f t="shared" si="789"/>
        <v/>
      </c>
      <c r="SL106" s="919" t="str">
        <f t="shared" si="790"/>
        <v/>
      </c>
      <c r="SM106" s="285" t="str">
        <f>IF(A106=FALSE,"",Cotations!DM106)</f>
        <v/>
      </c>
      <c r="SN106" s="515" t="str">
        <f>IF(A106=FALSE,"",Cotations!DN106)</f>
        <v/>
      </c>
      <c r="SO106" s="493" t="str">
        <f>IF(A106=FALSE,"",Cotations!DO106)</f>
        <v/>
      </c>
      <c r="SP106" s="517" t="str">
        <f>IF(A106=FALSE,"",IF(SM106="N/A",0,IF(INDEX(LISTES!$F$105:$F$109,MATCH(SM106,LISTES!$C$105:$C$109,0))="FIX",IF(INDEX(LISTES!$E$105:$E$109,MATCH(SM106,LISTES!$C$105:$C$109,0))=12,SN106/12*L106,SN106/365*M106),SO106*SL106)))</f>
        <v/>
      </c>
      <c r="SQ106" s="294" t="str">
        <f t="shared" si="791"/>
        <v/>
      </c>
      <c r="SR106" s="494" t="str">
        <f>IF(A106=FALSE,"",SQ106*Cotations!DP106)</f>
        <v/>
      </c>
      <c r="SS106" s="494" t="str">
        <f>IF(A106=FALSE,"",SQ106*Cotations!DQ106)</f>
        <v/>
      </c>
      <c r="ST106" s="338" t="str">
        <f t="shared" si="792"/>
        <v/>
      </c>
      <c r="SU106" s="919" t="str">
        <f>IF(A106=FALSE,"",((SG106*TAXE)-(SG106*TAXE*SI106))+IF(SM106="N/A",0,IF(INDEX(LISTES!$F$105:$F$109,MATCH(SM106,LISTES!$C$105:$C$109,0))="FIX",SN106,SO106*SL106)))</f>
        <v/>
      </c>
      <c r="TA106" s="492" t="str">
        <f>IF(A106=FALSE,"",Cotations!D106)</f>
        <v/>
      </c>
      <c r="TB106" s="491" t="str">
        <f>IF(A106=FALSE,"",IF(LISTES!$A$17=1,Cotations!DR106,Cotations!DS106))</f>
        <v/>
      </c>
      <c r="TC106" s="285" t="str">
        <f t="shared" si="793"/>
        <v/>
      </c>
      <c r="TD106" s="300" t="str">
        <f>IF(A106=FALSE,"",Detail!CQ106)</f>
        <v/>
      </c>
      <c r="TE106" s="461" t="str">
        <f t="shared" si="794"/>
        <v/>
      </c>
      <c r="TF106" s="490" t="str">
        <f>IF(A106=FALSE,"",IF(TA106="FIXE",Cotations!DU106,Cotations!DV106*Y106))</f>
        <v/>
      </c>
      <c r="TG106" s="300" t="str">
        <f t="shared" si="795"/>
        <v/>
      </c>
      <c r="TH106" s="522" t="str">
        <f>IF(A106=FALSE,"",IF(Cotations!DT106="monthly",TG106/12*L106,TG106/365*M106))</f>
        <v/>
      </c>
      <c r="TI106" s="489" t="str">
        <f>IF(A106=FALSE,"",IF(Cotations!DW106="","",Cotations!DW106))</f>
        <v/>
      </c>
      <c r="TJ106" s="300" t="str">
        <f t="shared" si="796"/>
        <v/>
      </c>
      <c r="TK106" s="300" t="str">
        <f t="shared" si="797"/>
        <v/>
      </c>
      <c r="TL106" s="919" t="str">
        <f t="shared" si="798"/>
        <v/>
      </c>
      <c r="TM106" s="517" t="str">
        <f>IF(A106=FALSE,"",Cotations!DX106)</f>
        <v/>
      </c>
      <c r="TN106" s="517" t="str">
        <f>IF(A106=FALSE,"",Cotations!DY106)</f>
        <v/>
      </c>
      <c r="TO106" s="493" t="str">
        <f>IF(A106=FALSE,"",Cotations!DZ106)</f>
        <v/>
      </c>
      <c r="TP106" s="517" t="str">
        <f>IF(A106=FALSE,"",IF(TM106="N/A",0,IF(INDEX(LISTES!$F$105:$F$109,MATCH(TM106,LISTES!$C$105:$C$109,0))="FIX",IF(INDEX(LISTES!$E$105:$E$109,MATCH(TM106,LISTES!$C$105:$C$109,0))=12,TN106/12*L106,TN106/365*M106),TO106*TL106)))</f>
        <v/>
      </c>
      <c r="TQ106" s="294" t="str">
        <f t="shared" si="799"/>
        <v/>
      </c>
      <c r="TR106" s="494" t="str">
        <f>IF(A106=FALSE,"",TQ106*Cotations!EA106)</f>
        <v/>
      </c>
      <c r="TS106" s="494" t="str">
        <f>IF(A106=FALSE,"",TQ106*Cotations!EB106)</f>
        <v/>
      </c>
      <c r="TT106" s="338" t="str">
        <f t="shared" si="800"/>
        <v/>
      </c>
      <c r="TU106" s="919" t="str">
        <f>IF(A106=FALSE,"",((TG106*(1+TAXE)-(TG106*(1+TAXE)*TI106))+IF(TM106="N/A",0,IF(INDEX(LISTES!$F$105:$F$109,MATCH(TM106,LISTES!$C$105:$C$109,0))="FIX",TN106,TO106*TL106))))</f>
        <v/>
      </c>
      <c r="UA106" s="492" t="str">
        <f>IF(A106=FALSE,"",Cotations!D106)</f>
        <v/>
      </c>
      <c r="UB106" s="491" t="str">
        <f>IF(A106=FALSE,"",IF(LISTES!$A$17=1,Cotations!EC106,Cotations!ED106))</f>
        <v/>
      </c>
      <c r="UC106" s="285" t="str">
        <f t="shared" si="801"/>
        <v/>
      </c>
      <c r="UD106" s="300" t="str">
        <f>IF(A106=FALSE,"",Detail!CY106)</f>
        <v/>
      </c>
      <c r="UE106" s="461" t="str">
        <f t="shared" si="802"/>
        <v/>
      </c>
      <c r="UF106" s="490" t="str">
        <f>IF(A106=FALSE,"",IF(UA106="FIXE",Cotations!EF106,Cotations!EG106*Y106))</f>
        <v/>
      </c>
      <c r="UG106" s="300" t="str">
        <f t="shared" si="803"/>
        <v/>
      </c>
      <c r="UH106" s="522" t="str">
        <f>IF(A106=FALSE,"",IF(Cotations!EE106="monthly",UG106/12*L106,UG106/365*M106))</f>
        <v/>
      </c>
      <c r="UI106" s="489" t="str">
        <f>IF(A106=FALSE,"",IF(Cotations!EH106="","",Cotations!EH106))</f>
        <v/>
      </c>
      <c r="UJ106" s="300" t="str">
        <f t="shared" si="804"/>
        <v/>
      </c>
      <c r="UK106" s="300" t="str">
        <f t="shared" si="805"/>
        <v/>
      </c>
      <c r="UL106" s="919" t="str">
        <f t="shared" si="806"/>
        <v/>
      </c>
      <c r="UM106" s="517" t="str">
        <f>IF(A106=FALSE,"",Cotations!EI106)</f>
        <v/>
      </c>
      <c r="UN106" s="517" t="str">
        <f>IF(A106=FALSE,"",Cotations!EJ106)</f>
        <v/>
      </c>
      <c r="UO106" s="493" t="str">
        <f>IF(A106=FALSE,"",Cotations!EK106)</f>
        <v/>
      </c>
      <c r="UP106" s="517" t="str">
        <f>IF(A106=FALSE,"",IF(UM106="N/A",0,IF(INDEX(LISTES!$F$105:$F$109,MATCH(UM106,LISTES!$C$105:$C$109,0))="FIX",IF(INDEX(LISTES!$E$105:$E$109,MATCH(UM106,LISTES!$C$105:$C$109,0))=12,UN106/12*L106,UN106/365*M106),UO106*UL106)))</f>
        <v/>
      </c>
      <c r="UQ106" s="294" t="str">
        <f t="shared" si="807"/>
        <v/>
      </c>
      <c r="UR106" s="494" t="str">
        <f>IF(A106=FALSE,"",UQ106*Cotations!EL106)</f>
        <v/>
      </c>
      <c r="US106" s="494" t="str">
        <f>IF(A106=FALSE,"",UQ106*Cotations!EM106)</f>
        <v/>
      </c>
      <c r="UT106" s="338" t="str">
        <f t="shared" si="808"/>
        <v/>
      </c>
      <c r="UU106" s="919" t="str">
        <f>IF(A106=FALSE,"",((UG106*(1+TAXE)-(UG106*(1+TAXE)*UI106))+IF(UM106="N/A",0,IF(INDEX(LISTES!$F$105:$F$109,MATCH(UM106,LISTES!$C$105:$C$109,0))="FIX",UN106,UO106*UL106))))</f>
        <v/>
      </c>
      <c r="VA106" s="492" t="str">
        <f>IF(A106=FALSE,"",Cotations!D106)</f>
        <v/>
      </c>
      <c r="VB106" s="519" t="str">
        <f>IF(A106=FALSE,"",IF(LISTES!$A$17=1,Cotations!EN106,Cotations!EO106))</f>
        <v/>
      </c>
      <c r="VC106" s="291" t="str">
        <f t="shared" si="809"/>
        <v/>
      </c>
      <c r="VD106" s="291" t="str">
        <f t="shared" si="810"/>
        <v/>
      </c>
      <c r="VE106" s="291"/>
      <c r="VF106" s="463"/>
      <c r="VG106" s="463" t="str">
        <f t="shared" si="811"/>
        <v/>
      </c>
      <c r="VH106" s="522" t="str">
        <f>IF(A106=FALSE,"",IF(Cotations!$AQ$4="monthly",VG106/12*L106,VG106/365*M106))</f>
        <v/>
      </c>
      <c r="VI106" s="489" t="str">
        <f>IF(A106=FALSE,"",Cotations!$AR$4)</f>
        <v/>
      </c>
      <c r="VJ106" s="300" t="str">
        <f t="shared" si="812"/>
        <v/>
      </c>
      <c r="VK106" s="300" t="str">
        <f t="shared" si="813"/>
        <v/>
      </c>
      <c r="VL106" s="294" t="str">
        <f t="shared" si="814"/>
        <v/>
      </c>
      <c r="VM106" s="494" t="str">
        <f>IF(A106=FALSE,"",Cotations!$AS$4)</f>
        <v/>
      </c>
      <c r="VN106" s="494" t="str">
        <f>IF(A106=FALSE,"",Cotations!$AT$4)</f>
        <v/>
      </c>
      <c r="VO106" s="489" t="str">
        <f>IF(A106=FALSE,"",Cotations!$AU$4)</f>
        <v/>
      </c>
      <c r="VP106" s="494" t="str">
        <f>IF(A106=FALSE,"",IF(VM106="N/A",0,IF(INDEX(LISTES!$F$105:$F$109,MATCH(VM106,LISTES!$C$105:$C$109,0))="FIX",IF(INDEX(LISTES!$E$105:$E$109,MATCH(VM106,LISTES!$C$105:$C$109,0))=12,VN106/12*L106,VN106/365*M106),VO106*VL106)))</f>
        <v/>
      </c>
      <c r="VQ106" s="294" t="str">
        <f t="shared" si="815"/>
        <v/>
      </c>
      <c r="VR106" s="494" t="str">
        <f>IF(A106=FALSE,"",VQ106*Cotations!$AV$4)</f>
        <v/>
      </c>
      <c r="VS106" s="494" t="str">
        <f>IF(A106=FALSE,"",VQ106*Cotations!$AW$4)</f>
        <v/>
      </c>
      <c r="VT106" s="465" t="str">
        <f t="shared" si="816"/>
        <v/>
      </c>
      <c r="VU106" s="919" t="str">
        <f>IF(A106=FALSE,"",((VG106*TAXE)-(VG106*TAXE*VI106))+IF(VM106="N/A",0,IF(INDEX(LISTES!$F$105:$F$109,MATCH(VM106,LISTES!$C$105:$C$109,0))="FIX",VN106,VO106*VL106)))</f>
        <v/>
      </c>
      <c r="WA106" s="492" t="str">
        <f>IF(A106=FALSE,"",Cotations!D106)</f>
        <v/>
      </c>
      <c r="WB106" s="519" t="str">
        <f>IF(A106=FALSE,"",IF(LISTES!$A$17=1,Cotations!EW106,Cotations!EX106))</f>
        <v/>
      </c>
      <c r="WC106" s="291" t="str">
        <f t="shared" si="817"/>
        <v/>
      </c>
      <c r="WD106" s="291" t="str">
        <f t="shared" si="818"/>
        <v/>
      </c>
      <c r="WE106" s="291"/>
      <c r="WF106" s="463"/>
      <c r="WG106" s="463" t="str">
        <f t="shared" si="819"/>
        <v/>
      </c>
      <c r="WH106" s="522" t="str">
        <f>IF(A106=FALSE,"",IF(Cotations!$AQ$4="monthly",WG106/12*L106,WG106/365*M106))</f>
        <v/>
      </c>
      <c r="WI106" s="489" t="str">
        <f>IF(A106=FALSE,"",Cotations!$AR$4)</f>
        <v/>
      </c>
      <c r="WJ106" s="300" t="str">
        <f t="shared" si="820"/>
        <v/>
      </c>
      <c r="WK106" s="300" t="str">
        <f t="shared" si="821"/>
        <v/>
      </c>
      <c r="WL106" s="294" t="str">
        <f t="shared" si="822"/>
        <v/>
      </c>
      <c r="WM106" s="494" t="str">
        <f>IF(A106=FALSE,"",Cotations!$AS$4)</f>
        <v/>
      </c>
      <c r="WN106" s="494" t="str">
        <f>IF(A106=FALSE,"",Cotations!$AT$4)</f>
        <v/>
      </c>
      <c r="WO106" s="489" t="str">
        <f>IF(A106=FALSE,"",Cotations!$AU$4)</f>
        <v/>
      </c>
      <c r="WP106" s="494" t="str">
        <f>IF(A106=FALSE,"",IF(WM106="N/A",0,IF(INDEX(LISTES!$F$105:$F$109,MATCH(WM106,LISTES!$C$105:$C$109,0))="FIX",IF(INDEX(LISTES!$E$105:$E$109,MATCH(WM106,LISTES!$C$105:$C$109,0))=12,WN106/12*L106,WN106/365*M106),WO106*WL106)))</f>
        <v/>
      </c>
      <c r="WQ106" s="294" t="str">
        <f t="shared" si="823"/>
        <v/>
      </c>
      <c r="WR106" s="494" t="str">
        <f>IF(A106=FALSE,"",WQ106*Cotations!$AV$4)</f>
        <v/>
      </c>
      <c r="WS106" s="494" t="str">
        <f>IF(A106=FALSE,"",WQ106*Cotations!$AW$4)</f>
        <v/>
      </c>
      <c r="WT106" s="465" t="str">
        <f t="shared" si="824"/>
        <v/>
      </c>
      <c r="WU106" s="919" t="str">
        <f>IF(A106=FALSE,"",((WG106*TAXE)-(WG106*TAXE*WI106))+IF(WM106="N/A",0,IF(INDEX(LISTES!$F$105:$F$109,MATCH(WM106,LISTES!$C$105:$C$109,0))="FIX",WN106,WO106*WL106)))</f>
        <v/>
      </c>
    </row>
    <row r="107" spans="1:619">
      <c r="A107" s="942" t="b">
        <f t="shared" si="629"/>
        <v>0</v>
      </c>
      <c r="B107" s="942" t="b">
        <f>IF(NAMES!$B$9=TRUE,TRUE,FALSE)</f>
        <v>1</v>
      </c>
      <c r="C107" s="942" t="b">
        <f t="shared" si="825"/>
        <v>0</v>
      </c>
      <c r="D107" s="942" t="b">
        <f t="shared" si="826"/>
        <v>0</v>
      </c>
      <c r="E107" s="274" t="b">
        <f>IF(Cotations!C107="","",Cotations!C107)</f>
        <v>0</v>
      </c>
      <c r="F107" s="274" t="str">
        <f>IF(Cotations!D107="","",Cotations!D107)</f>
        <v>PROP</v>
      </c>
      <c r="G107" s="274" t="str">
        <f>IF(Cotations!E107="","",Cotations!E107)</f>
        <v>2016-2017!</v>
      </c>
      <c r="H107" s="274" t="str">
        <f>IF(Cotations!F107="","",Cotations!F107)</f>
        <v>SINGLE</v>
      </c>
      <c r="I107" s="274" t="str">
        <f>IF(Cotations!G107="","",Cotations!G107)</f>
        <v/>
      </c>
      <c r="J107" s="274" t="str">
        <f>IF(Cotations!H107="","",Cotations!H107)</f>
        <v/>
      </c>
      <c r="K107" s="274" t="str">
        <f>IF(Cotations!I107="","",Cotations!I107)</f>
        <v/>
      </c>
      <c r="L107" s="274" t="str">
        <f>IF(A107=FALSE,"",IF(Cotations!N107="","",Cotations!N107))</f>
        <v/>
      </c>
      <c r="M107" s="274" t="str">
        <f>IF(Cotations!P107="","",Cotations!P107)</f>
        <v/>
      </c>
      <c r="N107" s="724" t="str">
        <f>IF(NAMES!$B$10=TRUE,Cotations!J107,Cotations!L107)</f>
        <v/>
      </c>
      <c r="O107" s="724" t="str">
        <f>IF(NAMES!$B$10=TRUE,Cotations!K107,Cotations!M107)</f>
        <v/>
      </c>
      <c r="P107" s="943" t="str">
        <f t="shared" si="827"/>
        <v/>
      </c>
      <c r="Q107" s="724" t="str">
        <f>IF(A107=FALSE,"",IF(Crewlist!Y107="","",Crewlist!Y107))</f>
        <v/>
      </c>
      <c r="R107" s="78" t="str">
        <f>IF(Cotations!U107="","",Cotations!U107)</f>
        <v/>
      </c>
      <c r="S107" s="943" t="str">
        <f t="shared" si="828"/>
        <v/>
      </c>
      <c r="T107" s="919" t="str">
        <f>IF(A107=FALSE,"",VLOOKUP($U$15:$U$120,Currency!$A$2:$D$10,4,0)*Crewlist!N107)</f>
        <v/>
      </c>
      <c r="U107" s="1355" t="str">
        <f>IF(A107=FALSE,"",IF(IT107=0,Crewlist!M107&amp;"/"&amp;EX107,Crewlist!M107&amp;"/"&amp;IT107))</f>
        <v/>
      </c>
      <c r="V107" s="919" t="str">
        <f>IF(A107=FALSE,"",VLOOKUP($U$15:$U$120,Currency!$A$2:$D$10,4,0)*Detail!Q107)</f>
        <v/>
      </c>
      <c r="W107" s="1355" t="str">
        <f>IF(A107=FALSE,"",IF(IT107=0,Detail!R107&amp;"/"&amp;EX107,Detail!R107&amp;"/"&amp;IT107))</f>
        <v/>
      </c>
      <c r="X107" s="919" t="str">
        <f>IF(A107=FALSE,"",IF(LISTES!$C$17="Crewlist",Calcul!T107,Calcul!V107))</f>
        <v/>
      </c>
      <c r="Y107" s="758" t="str">
        <f t="shared" si="829"/>
        <v/>
      </c>
      <c r="Z107" s="758" t="str">
        <f>IF(A107=FALSE,"",IF(X107=0,0,IF((Cotations!BC107*12*X107)&lt;50000,50000,(12*X107))))</f>
        <v/>
      </c>
      <c r="AA107" s="758" t="str">
        <f t="shared" si="830"/>
        <v/>
      </c>
      <c r="AB107" s="758" t="str">
        <f>IF(A107=FALSE,"",IF(Crewlist!O107=0,"",Crewlist!O107))</f>
        <v/>
      </c>
      <c r="AC107" s="758" t="str">
        <f>IF(I107="","",VLOOKUP($AB$15:$AB$120,Currency!$A$15:$B$34,2,0))</f>
        <v/>
      </c>
      <c r="AD107" s="758" t="str">
        <f t="shared" si="831"/>
        <v/>
      </c>
      <c r="AE107" s="758" t="str">
        <f t="shared" si="832"/>
        <v/>
      </c>
      <c r="AF107" s="758" t="str">
        <f t="shared" si="833"/>
        <v/>
      </c>
      <c r="AG107" s="758" t="str">
        <f t="shared" si="834"/>
        <v/>
      </c>
      <c r="AH107" s="1355" t="str">
        <f t="shared" si="630"/>
        <v/>
      </c>
      <c r="AI107" s="919" t="str">
        <f t="shared" si="835"/>
        <v/>
      </c>
      <c r="AJ107" s="1382" t="str">
        <f t="shared" si="836"/>
        <v/>
      </c>
      <c r="AK107" s="1382" t="str">
        <f t="shared" si="837"/>
        <v/>
      </c>
      <c r="AL107" s="238" t="str">
        <f t="shared" si="631"/>
        <v/>
      </c>
      <c r="AM107" s="238" t="str">
        <f t="shared" si="632"/>
        <v/>
      </c>
      <c r="AN107" s="1374" t="str">
        <f t="shared" si="633"/>
        <v/>
      </c>
      <c r="AO107" s="238" t="str">
        <f t="shared" si="634"/>
        <v/>
      </c>
      <c r="AP107" s="342" t="str">
        <f>IF(A107=FALSE,"",INDEX(Rates!$Z$5:$Z$367,MATCH(EB107,colchoice,0)))</f>
        <v/>
      </c>
      <c r="AQ107" s="238" t="str">
        <f t="shared" si="635"/>
        <v/>
      </c>
      <c r="AR107" s="238" t="str">
        <f t="shared" si="636"/>
        <v/>
      </c>
      <c r="AS107" s="238" t="str">
        <f t="shared" si="637"/>
        <v/>
      </c>
      <c r="AT107" s="238" t="str">
        <f t="shared" si="638"/>
        <v/>
      </c>
      <c r="AU107" s="238" t="str">
        <f t="shared" si="639"/>
        <v/>
      </c>
      <c r="AV107" s="238" t="str">
        <f t="shared" si="838"/>
        <v/>
      </c>
      <c r="AW107" s="238" t="str">
        <f t="shared" si="640"/>
        <v/>
      </c>
      <c r="AX107" s="238" t="str">
        <f t="shared" si="641"/>
        <v/>
      </c>
      <c r="AY107" s="238" t="str">
        <f t="shared" si="642"/>
        <v/>
      </c>
      <c r="AZ107" s="238" t="str">
        <f t="shared" si="643"/>
        <v/>
      </c>
      <c r="BA107" s="238" t="str">
        <f t="shared" si="644"/>
        <v/>
      </c>
      <c r="BB107" s="552" t="str">
        <f t="shared" si="645"/>
        <v/>
      </c>
      <c r="BC107" s="347" t="str">
        <f t="shared" si="646"/>
        <v/>
      </c>
      <c r="BD107" s="239" t="str">
        <f t="shared" si="839"/>
        <v/>
      </c>
      <c r="BE107" s="239" t="str">
        <f>IF(A107=FALSE,"",IF(ALLTHESAME=TRUE,IF(DF107&lt;&gt;$BC$7,0,INDEX(DD107:DZ107,1,MATCH(Structure!$D$12,$DD$14:$DZ$14,0))),IF(EC107&lt;&gt;$BC$7,0,INDEX(EA107:EZ107,1,MATCH(Structure!$D$12,$EA$14:$EZ$14,0)))))</f>
        <v/>
      </c>
      <c r="BF107" s="239" t="str">
        <f>IF(A107=FALSE,"",IF(ALLTHESAME=TRUE,IF(FC107&lt;&gt;$BC$7,0,INDEX(FA107:FZ107,1,MATCH(Structure!$D$12,$FA$14:$FZ$14,0))),IF(GC107&lt;&gt;$BC$7,0,INDEX(GA107:GZ107,1,MATCH(Structure!$D$12,$GA$14:$GZ$14,0)))))</f>
        <v/>
      </c>
      <c r="BG107" s="239" t="str">
        <f>IF(A107=FALSE,"",IF(ALLTHESAME=TRUE,IF(VC107&lt;&gt;$BC$7,0,INDEX(VA107:VZ107,1,MATCH(Structure!$D$12,$VA$14:$VZ$14,0))),IF(VC107&lt;&gt;$BC$7,0,INDEX(VA107:VZ107,1,MATCH(Structure!$D$12,$VA$14:$VZ$14,0)))))</f>
        <v/>
      </c>
      <c r="BH107" s="239" t="str">
        <f>IF(A107=FALSE,"",IF(ALLTHESAME=TRUE,IF(WC107&lt;&gt;$BC$7,0,INDEX(WA107:WY107,1,MATCH(Structure!$D$12,$WA$14:$WZ$14,0))),IF(WC107&lt;&gt;$BC$7,0,INDEX(WA107:WZ107,1,MATCH(Structure!$D$12,$WA$14:$WZ$14,0)))))</f>
        <v/>
      </c>
      <c r="BI107" s="763" t="str">
        <f>IF(A107=FALSE,"",IF(ALLTHESAME=TRUE,IF(HC107&lt;&gt;$BC$7,0,INDEX(HA107:HZ107,1,MATCH(Structure!$D$12,$HA$14:$HZ$14,0)))+TK107,IF(IC107&lt;&gt;$BC$7,0,INDEX(IA107:IZ107,1,MATCH(Structure!$D$12,$IA$14:$IZ$14,0)))+TK107))</f>
        <v/>
      </c>
      <c r="BJ107" s="239" t="str">
        <f>IF(A107=FALSE,"",IF(ALLTHESAME=TRUE,IF(JC107&lt;&gt;$BC$7,0,INDEX(JA107:JZ107,1,MATCH(Structure!$D$12,$JA$14:$JZ$14,0))),IF(KC107&lt;&gt;$BC$7,0,INDEX(KA107:KZ107,1,MATCH(Structure!$D$12,$KA$14:$KZ$14,0)))))</f>
        <v/>
      </c>
      <c r="BK107" s="763" t="str">
        <f>IF(A107=FALSE,"",IF(ALLTHESAME=TRUE,IF(LC107&lt;&gt;$BC$7,0,INDEX(LA107:LZ107,1,MATCH(Structure!$D$12,$LA$14:$LZ$14,0)))+UK107,IF(MC107&lt;&gt;$BC$7,0,INDEX(MA107:MZ107,1,MATCH(Structure!$D$12,$MA$14:$MZ$14,0)))+UK107))</f>
        <v/>
      </c>
      <c r="BL107" s="239" t="str">
        <f>IF(A107=FALSE,"",IF(ALLTHESAME=TRUE,IF(NC107&lt;&gt;$BC$7,0,INDEX(NA107:NZ107,1,MATCH(Structure!$D$12,$NA$14:$NZ$14,0))),IF(OC107&lt;&gt;$BC$7,0,INDEX(OA107:OZ107,1,MATCH(Structure!$D$12,$OA$14:$OZ$14,0)))))</f>
        <v/>
      </c>
      <c r="BM107" s="239" t="str">
        <f>IF(A107=FALSE,"",IF(ALLTHESAME=TRUE,IF(PC107&lt;&gt;$BC$7,0,INDEX(PA107:PZ107,1,MATCH(Structure!$D$12,$PA$14:$PZ$14,0))),IF(QC107&lt;&gt;$BC$7,0,INDEX(QA107:QZ107,1,MATCH(Structure!$D$12,$QA$14:$QZ$14,0)))))</f>
        <v/>
      </c>
      <c r="BN107" s="341" t="str">
        <f>IF(A107=FALSE,"",IF(ALLTHESAME=TRUE,IF(RC107&lt;&gt;$BC$7,0,INDEX(RA107:RZ107,1,MATCH(Structure!$D$12,$RA$14:$RZ$14,0))),IF(SC107&lt;&gt;$BC$7,0,INDEX(SA107:TA107,1,MATCH(Structure!$D$12,$SA$14:$TA$14,0)))))</f>
        <v/>
      </c>
      <c r="BO107" s="507" t="str">
        <f t="shared" si="647"/>
        <v/>
      </c>
      <c r="BP107" s="239" t="str">
        <f t="shared" si="648"/>
        <v/>
      </c>
      <c r="BQ107" s="239" t="str">
        <f>IF(A107=FALSE,"",IF(ALLTHESAME=TRUE,IF(DF107&lt;&gt;$BO$7,0,INDEX(DD107:DZ107,1,MATCH(Structure!$D$12,$DD$14:$DZ$14,0))),IF(EC107&lt;&gt;$BO$7,0,INDEX(EA107:EZ107,1,MATCH(Structure!$D$12,$EA$14:$EZ$14,0)))))</f>
        <v/>
      </c>
      <c r="BR107" s="239" t="str">
        <f>IF(A107=FALSE,"",IF(ALLTHESAME=TRUE,IF(FC107&lt;&gt;$BO$7,0,INDEX(FA107:FZ107,1,MATCH(Structure!$D$12,$FA$14:$FZ$14,0))),IF(GC107&lt;&gt;$BO$7,0,INDEX(GA107:GZ107,1,MATCH(Structure!$D$12,$GA$14:$GZ$14,0)))))</f>
        <v/>
      </c>
      <c r="BS107" s="239" t="str">
        <f>IF(A107=FALSE,"",IF(ALLTHESAME=TRUE,IF(HC107&lt;&gt;$BO$7,0,INDEX(HA107:HZ107,1,MATCH(Structure!$D$12,$HA$14:$HZ$14,0))),IF(IC107&lt;&gt;$BO$7,0,INDEX(IA107:IZ107,1,MATCH(Structure!$D$12,$IA$14:$IZ$14,0)))))</f>
        <v/>
      </c>
      <c r="BT107" s="239" t="str">
        <f>IF(A107=FALSE,"",IF(ALLTHESAME=TRUE,IF(JC107&lt;&gt;$BO$7,0,INDEX(JA107:JZ107,1,MATCH(Structure!$D$12,$JA$14:$JZ$14,0))),IF(KC107&lt;&gt;$BO$7,0,INDEX(KA107:KZ107,1,MATCH(Structure!$D$12,$KA$14:$KZ$14,0)))))</f>
        <v/>
      </c>
      <c r="BU107" s="239" t="str">
        <f>IF(A107=FALSE,"",IF(ALLTHESAME=TRUE,IF(LC107&lt;&gt;$BO$7,0,INDEX(LA107:LZ107,1,MATCH(Structure!$D$12,$LA$14:$LZ$14,0))),IF(MC107&lt;&gt;$BO$7,0,INDEX(MA107:MZ107,1,MATCH(Structure!$D$12,$MA$14:$MZ$14,0)))))</f>
        <v/>
      </c>
      <c r="BV107" s="239" t="str">
        <f>IF(A107=FALSE,"",IF(ALLTHESAME=TRUE,IF(NC107&lt;&gt;$BO$7,0,INDEX(NA107:NZ107,1,MATCH(Structure!$D$12,$NA$14:$NZ$14,0))),IF(OC107&lt;&gt;$BO$7,0,INDEX(OA107:OZ107,1,MATCH(Structure!$D$12,$OA$14:$OZ$14,0)))))</f>
        <v/>
      </c>
      <c r="BW107" s="239" t="str">
        <f>IF(A107=FALSE,"",IF(ALLTHESAME=TRUE,IF(PC107&lt;&gt;$BO$7,0,INDEX(PA107:PZ107,1,MATCH(Structure!$D$12,$PA$14:$PZ$14,0))),IF(QC107&lt;&gt;$BO$7,0,INDEX(QA107:QZ107,1,MATCH(Structure!$D$12,$QA$14:$QZ$14,0)))))</f>
        <v/>
      </c>
      <c r="BX107" s="341" t="str">
        <f>IF(A107=FALSE,"",IF(ALLTHESAME=TRUE,IF(RC107&lt;&gt;$BO$7,0,INDEX(RA107:RZ107,1,MATCH(Structure!$D$12,$RA$14:$RZ$14,0))),IF(SC107&lt;&gt;$BO$7,0,INDEX(SA107:TA107,1,MATCH(Structure!$D$12,$SA$14:$TA$14,0)))))</f>
        <v/>
      </c>
      <c r="BY107" s="347" t="str">
        <f t="shared" si="649"/>
        <v/>
      </c>
      <c r="BZ107" s="507" t="str">
        <f t="shared" si="650"/>
        <v/>
      </c>
      <c r="CA107" s="239" t="str">
        <f t="shared" si="651"/>
        <v/>
      </c>
      <c r="CB107" s="239" t="str">
        <f>IF(A107=FALSE,"",IF(ALLTHESAME=TRUE,INDEX(DD107:DZ107,MATCH(DF107,DF107:DF212,0),MATCH(Structure!$D$17,$DD$14:$DZ$14,0)),INDEX(EA107:EZ107,MATCH(EC107,EC107:EC212,0),MATCH(Structure!$D$17,$EA$14:$EZ$14,0))))</f>
        <v/>
      </c>
      <c r="CC107" s="239" t="str">
        <f>IF(A107=FALSE,"",IF(ALLTHESAME=TRUE,INDEX(FA107:FZ107,MATCH(FC107,FC107:FC212,0),MATCH(Structure!$D$17,$FA$14:$FZ$14,0)),INDEX(GA107:GZ107,MATCH(GC107,GC107:GC212,0),MATCH(Structure!$D$17,$GA$14:$GZ$14,0))))</f>
        <v/>
      </c>
      <c r="CD107" s="239" t="str">
        <f>IF(A107=FALSE,"",IF(ALLTHESAME=TRUE,INDEX(HA107:HZ107,MATCH(HC107,HC107:HC212,0),MATCH(Structure!$D$17,$HA$14:$HZ$14,0)),INDEX(IA107:IZ107,MATCH(IC107,IC107:IC212,0),MATCH(Structure!$D$17,$IA$14:$IZ$14,0))))</f>
        <v/>
      </c>
      <c r="CE107" s="239" t="str">
        <f>IF(A107=FALSE,"",IF(ALLTHESAME=TRUE,INDEX(JA107:JZ107,MATCH(JC107,JC107:JC212,0),MATCH(Structure!$D$17,$JA$14:$JZ$14,0)),INDEX(KA107:KZ107,MATCH(KC107,KC107:KC212,0),MATCH(Structure!$D$17,$KA$14:$KZ$14,0))))</f>
        <v/>
      </c>
      <c r="CF107" s="239" t="str">
        <f>IF(A107=FALSE,"",IF(ALLTHESAME=TRUE,INDEX(LA107:LZ107,MATCH(LC107,LC107:LC212,0),MATCH(Structure!$D$17,$LA$14:$LZ$14,0)),INDEX(MA107:MZ107,MATCH(MC107,MC107:MC212,0),MATCH(Structure!$D$17,$MA$14:$MZ$14,0))))</f>
        <v/>
      </c>
      <c r="CG107" s="239" t="str">
        <f>IF(A107=FALSE,"",IF(ALLTHESAME=TRUE,INDEX(NA107:NZ107,MATCH(NC107,NC107:NC212,0),MATCH(Structure!$D$17,$NA$14:$NZ$14,0)),INDEX(OA107:OZ107,MATCH(OC107,OC107:OC212,0),MATCH(Structure!$D$17,$OA$14:$OZ$14,0))))</f>
        <v/>
      </c>
      <c r="CH107" s="239" t="str">
        <f>IF(A107=FALSE,"",IF(ALLTHESAME=TRUE,INDEX(PA107:PZ107,MATCH(PC107,PC107:PC212,0),MATCH(Structure!$D$17,$PA$14:$PZ$14,0)),INDEX(QA107:QZ107,MATCH(QC107,QC107:QC212,0),MATCH(Structure!$D$17,$QA$14:$QZ$14,0))))</f>
        <v/>
      </c>
      <c r="CI107" s="341" t="str">
        <f>IF(A107=FALSE,"",IF(ALLTHESAME=TRUE,INDEX(RA107:RZ107,MATCH(RC107,RC107:RC212,0),MATCH(Structure!$D$17,$RA$14:$RZ$14,0)),INDEX(SA107:TC107,MATCH(SC107,SC107:SC212,0),MATCH(Structure!$D$17,$SA$14:$TC$14,0))))</f>
        <v/>
      </c>
      <c r="CJ107" s="347"/>
      <c r="CK107" s="239" t="str">
        <f t="shared" si="652"/>
        <v/>
      </c>
      <c r="CL107" s="239" t="str">
        <f>IF(A107=FALSE,"",IF(ALLTHESAME=TRUE,INDEX(DD107:DZ107,MATCH(DF107,DF107:DF212,0),MATCH(Structure!$D$22,$DD$14:$DZ$14,0)),INDEX(EA107:EZ107,MATCH(EC107,EC107:EC212,0),MATCH(Structure!$D$22,$EA$14:$EZ$14,0))))</f>
        <v/>
      </c>
      <c r="CM107" s="239" t="str">
        <f>IF(A107=FALSE,"",IF(ALLTHESAME=TRUE,INDEX(FA107:FZ107,MATCH(FC107,FC107:FC212,0),MATCH(Structure!$D$22,$FA$14:$FZ$14,0)),INDEX(GA107:GZ107,MATCH(GC107,GC107:GC212,0),MATCH(Structure!$D$22,$GA$14:$GZ$14,0))))</f>
        <v/>
      </c>
      <c r="CN107" s="239" t="str">
        <f>IF(A107=FALSE,"",IF(ALLTHESAME=TRUE,INDEX(HA107:HZ107,MATCH(HC107,HC107:HC212,0),MATCH(Structure!$D$22,$HA$14:$HZ$14,0)),INDEX(IA107:IZ107,MATCH(IC107,IC107:IC212,0),MATCH(Structure!$D$22,$IA$14:$IZ$14,0))))</f>
        <v/>
      </c>
      <c r="CO107" s="239" t="str">
        <f>IF(A107=FALSE,"",IF(ALLTHESAME=TRUE,INDEX(JA107:JZ107,MATCH(JC107,JC107:JC212,0),MATCH(Structure!$D$22,$JA$14:$JZ$14,0)),INDEX(KA107:KZ107,MATCH(KC107,KC107:KC212,0),MATCH(Structure!$D$22,$KA$14:$KZ$14,0))))</f>
        <v/>
      </c>
      <c r="CP107" s="239" t="str">
        <f>IF(A107=FALSE,"",IF(ALLTHESAME=TRUE,INDEX(LA107:LZ107,MATCH(LC107,LC107:LC212,0),MATCH(Structure!$D$22,$LA$14:$LZ$14,0)),INDEX(MA107:MZ107,MATCH(MC107,MC107:MC212,0),MATCH(Structure!$D$22,$MA$14:$MZ$14,0))))</f>
        <v/>
      </c>
      <c r="CQ107" s="239" t="str">
        <f>IF(A107=FALSE,"",IF(ALLTHESAME=TRUE,INDEX(NA107:NZ107,MATCH(NC107,NC107:NC212,0),MATCH(Structure!$D$22,$NA$14:$NZ$14,0)),INDEX(OA107:OZ107,MATCH(OC107,OC107:OC212,0),MATCH(Structure!$D$22,$OA$14:$OZ$14,0))))</f>
        <v/>
      </c>
      <c r="CR107" s="239" t="str">
        <f>IF(A107=FALSE,"",IF(ALLTHESAME=TRUE,INDEX(PA107:PZ107,MATCH(PC107,PC107:PC212,0),MATCH(Structure!$D$22,$PA$14:$PZ$14,0)),INDEX(QA107:QZ107,MATCH(QC107,QC107:QC212,0),MATCH(Structure!$D$22,$QA$14:$QZ$14,0))))</f>
        <v/>
      </c>
      <c r="CS107" s="341" t="str">
        <f>IF(A107=FALSE,"",IF(ALLTHESAME=TRUE,INDEX(RA107:RZ107,MATCH(RC107,RC107:RC212,0),MATCH(Structure!$D$22,$RA$14:$RZ$14,0)),INDEX(SA107:TC107,MATCH(SC107,SC107:SC212,0),MATCH(Structure!$D$22,$SA$14:$TC$14,0))))</f>
        <v/>
      </c>
      <c r="CT107" s="347"/>
      <c r="CU107" s="239" t="str">
        <f t="shared" si="653"/>
        <v/>
      </c>
      <c r="CV107" s="239" t="str">
        <f>IF(A107=FALSE,"",IF(ALLTHESAME=TRUE,INDEX(DD107:DZ107,MATCH(DF107,DF107:DF212,0),MATCH(Structure!$D$8,$DD$14:$DZ$14,0)),INDEX(EA107:EZ107,MATCH(EC107,EC107:EC212,0),MATCH(Structure!$D$8,$EA$14:$EZ$14,0))))</f>
        <v/>
      </c>
      <c r="CW107" s="239" t="str">
        <f>IF(A107=FALSE,"",IF(ALLTHESAME=TRUE,INDEX(FA107:FZ107,MATCH(FC107,FC107:FC212,0),MATCH(Structure!$D$8,$FA$14:$FZ$14,0)),INDEX(GA107:GZ107,MATCH(GC107,GC107:GC212,0),MATCH(Structure!$D$8,$GA$14:$GZ$14,0))))</f>
        <v/>
      </c>
      <c r="CX107" s="239" t="str">
        <f>IF(A107=FALSE,"",IF(ALLTHESAME=TRUE,INDEX(HA107:HZ107,MATCH(HC107,HC107:HC212,0),MATCH(Structure!$D$8,$HA$14:$HZ$14,0)),INDEX(IA107:IZ107,MATCH(IC107,IC107:IC212,0),MATCH(Structure!$D$8,$IA$14:$IZ$14,0))))</f>
        <v/>
      </c>
      <c r="CY107" s="239" t="str">
        <f>IF(A107=FALSE,"",IF(ALLTHESAME=TRUE,INDEX(JA107:JZ107,MATCH(JC107,JC107:JC212,0),MATCH(Structure!$D$8,$JA$14:$JZ$14,0)),INDEX(KA107:KZ107,MATCH(KC107,KC107:KC212,0),MATCH(Structure!$D$8,$KA$14:$KZ$14,0))))</f>
        <v/>
      </c>
      <c r="CZ107" s="239" t="str">
        <f>IF(A107=FALSE,"",IF(ALLTHESAME=TRUE,INDEX(LA107:LZ107,MATCH(LC107,LC107:LC212,0),MATCH(Structure!$D$8,$LA$14:$LZ$14,0)),INDEX(MA107:MZ107,MATCH(MC107,MC107:MC212,0),MATCH(Structure!$D$8,$MA$14:$MZ$14,0))))</f>
        <v/>
      </c>
      <c r="DA107" s="239" t="str">
        <f>IF(A107=FALSE,"",IF(ALLTHESAME=TRUE,INDEX(NA107:NZ107,MATCH(NC107,NC107:NC212,0),MATCH(Structure!$D$8,$NA$14:$NZ$14,0)),INDEX(OA107:OZ107,MATCH(OC107,OC107:OC212,0),MATCH(Structure!$D$8,$OA$14:$OZ$14,0))))</f>
        <v/>
      </c>
      <c r="DB107" s="239" t="str">
        <f>IF(A107=FALSE,"",IF(ALLTHESAME=TRUE,INDEX(PA107:PZ107,MATCH(PC107,PC107:PC212,0),MATCH(Structure!$D$8,$PA$14:$PZ$14,0)),INDEX(QA107:QZ107,MATCH(QC107,QC107:QC212,0),MATCH(Structure!$D$8,$QA$14:$QZ$14,0))))</f>
        <v/>
      </c>
      <c r="DC107" s="341" t="str">
        <f>IF(A107=FALSE,"",IF(ALLTHESAME=TRUE,INDEX(RA107:RZ107,MATCH(RC107,RC107:RC212,0),MATCH(Structure!$D$8,$RA$14:$RZ$14,0)),INDEX(SA107:TC107,MATCH(SC107,SC107:SC212,0),MATCH(Structure!$D$8,$SA$14:$TC$14,0))))</f>
        <v/>
      </c>
      <c r="DD107" s="492" t="str">
        <f>IF(A107=FALSE,"",Cotations!D107)</f>
        <v/>
      </c>
      <c r="DE107" s="492" t="str">
        <f>IF(A107=FALSE,"",IF(LISTES!$A$17=1,Cotations!AF107,Cotations!$AG$4))</f>
        <v/>
      </c>
      <c r="DF107" s="291" t="str">
        <f t="shared" si="654"/>
        <v/>
      </c>
      <c r="DG107" s="291" t="str">
        <f t="shared" si="655"/>
        <v/>
      </c>
      <c r="DH107" s="291"/>
      <c r="DI107" s="463"/>
      <c r="DJ107" s="463" t="str">
        <f t="shared" si="656"/>
        <v/>
      </c>
      <c r="DK107" s="522" t="str">
        <f>IF(A107=FALSE,"",IF(Cotations!$AH$4="monthly",DJ107/12*L107,DJ107/365*M107))</f>
        <v/>
      </c>
      <c r="DL107" s="489" t="str">
        <f>IF(A107=FALSE,"",Cotations!$AI$4)</f>
        <v/>
      </c>
      <c r="DM107" s="300" t="str">
        <f t="shared" si="657"/>
        <v/>
      </c>
      <c r="DN107" s="300" t="str">
        <f t="shared" si="658"/>
        <v/>
      </c>
      <c r="DO107" s="294" t="str">
        <f t="shared" si="659"/>
        <v/>
      </c>
      <c r="DP107" s="494" t="str">
        <f>IF(A107=FALSE,"",Cotations!$AJ$4)</f>
        <v/>
      </c>
      <c r="DQ107" s="494" t="str">
        <f>IF(A107=FALSE,"",Cotations!$AK$4)</f>
        <v/>
      </c>
      <c r="DR107" s="489" t="str">
        <f>IF(A107=FALSE,"",Cotations!$AL$4)</f>
        <v/>
      </c>
      <c r="DS107" s="494" t="str">
        <f>IF(A107=FALSE,"",IF(DP107="N/A",0,IF(INDEX(LISTES!$F$105:$F$109,MATCH(DP107,LISTES!$C$105:$C$109,0))="FIX",IF(INDEX(LISTES!$E$105:$E$109,MATCH(DP107,LISTES!$C$105:$C$109,0))=12,DQ107/12*L107,DQ107/365*M107),DR107*DO107)))</f>
        <v/>
      </c>
      <c r="DT107" s="294" t="str">
        <f t="shared" si="660"/>
        <v/>
      </c>
      <c r="DU107" s="294" t="str">
        <f>IF(A107=FALSE,"",DT107*Cotations!$AM$4)</f>
        <v/>
      </c>
      <c r="DV107" s="294" t="str">
        <f>IF(A107=FALSE,"",DT107*Cotations!$AN$4)</f>
        <v/>
      </c>
      <c r="DW107" s="465" t="str">
        <f t="shared" si="661"/>
        <v/>
      </c>
      <c r="DX107" s="919" t="str">
        <f>IF(A107=FALSE,"",((DJ107*TAXE)-(DJ107*TAXE*DL107))+IF(DP107="N/A",0,IF(INDEX(LISTES!$F$105:$F$109,MATCH(DP107,LISTES!$C$105:$C$109,0))="FIX",DQ107,DR107*DO107)))</f>
        <v/>
      </c>
      <c r="DY107" s="466"/>
      <c r="DZ107" s="466"/>
      <c r="EA107" s="492" t="str">
        <f>IF(A107=FALSE,"",Cotations!D107)</f>
        <v/>
      </c>
      <c r="EB107" s="494" t="str">
        <f>IF(A107=FALSE,"",IF(LISTES!$A$17=1,Cotations!AF107,Cotations!AG107))</f>
        <v/>
      </c>
      <c r="EC107" s="284" t="str">
        <f t="shared" si="662"/>
        <v/>
      </c>
      <c r="ED107" s="284" t="str">
        <f t="shared" si="663"/>
        <v/>
      </c>
      <c r="EE107" s="284"/>
      <c r="EF107" s="284"/>
      <c r="EG107" s="284" t="str">
        <f t="shared" si="664"/>
        <v/>
      </c>
      <c r="EH107" s="1365" t="str">
        <f t="shared" si="665"/>
        <v/>
      </c>
      <c r="EI107" s="1365" t="str">
        <f t="shared" si="666"/>
        <v/>
      </c>
      <c r="EJ107" s="515" t="str">
        <f>IF(A107=FALSE,"",IF(Cotations!AH107="monthly",EG107/12*L107,EG107/365*M107))</f>
        <v/>
      </c>
      <c r="EK107" s="1364" t="str">
        <f>IF(A107=FALSE,"",IF(Cotations!AH107="monthly",EI107/12*L107,EI107/365*M107))</f>
        <v/>
      </c>
      <c r="EL107" s="493" t="str">
        <f>IF(A107=FALSE,"",IF(Cotations!AI107="","",Cotations!AI107))</f>
        <v/>
      </c>
      <c r="EM107" s="284" t="str">
        <f t="shared" si="667"/>
        <v/>
      </c>
      <c r="EN107" s="284" t="str">
        <f t="shared" si="668"/>
        <v/>
      </c>
      <c r="EO107" s="1365" t="str">
        <f t="shared" si="840"/>
        <v/>
      </c>
      <c r="EP107" s="284" t="str">
        <f t="shared" si="669"/>
        <v/>
      </c>
      <c r="EQ107" s="515" t="str">
        <f>IF(A107=FALSE,"",Cotations!AJ107)</f>
        <v/>
      </c>
      <c r="ER107" s="515" t="str">
        <f>IF(A107=FALSE,"",IF(Cotations!AK107="","",Cotations!AK107))</f>
        <v/>
      </c>
      <c r="ES107" s="493" t="str">
        <f>IF(A107=FALSE,"",Cotations!AL107)</f>
        <v/>
      </c>
      <c r="ET107" s="515" t="str">
        <f>IF(A107=FALSE,"",IF(EQ107="N/A",0,IF(INDEX(LISTES!$F$105:$F$109,MATCH(EQ107,LISTES!$C$105:$C$109,0))="FIX",IF(INDEX(LISTES!$E$105:$E$109,MATCH(EQ107,LISTES!$C$105:$C$109,0))=12,ER107/12*L107,ER107/365*M107),ES107*EP107)))</f>
        <v/>
      </c>
      <c r="EU107" s="294" t="str">
        <f t="shared" si="670"/>
        <v/>
      </c>
      <c r="EV107" s="494" t="str">
        <f>IF(A107=FALSE,"",EU107*Cotations!AM107)</f>
        <v/>
      </c>
      <c r="EW107" s="494" t="str">
        <f>IF(A107=FALSE,"",EU107*Cotations!AN107)</f>
        <v/>
      </c>
      <c r="EX107" s="334" t="str">
        <f t="shared" si="671"/>
        <v/>
      </c>
      <c r="EY107" s="919" t="str">
        <f>IF(A107=FALSE,"",((EG107*TAXE)-(EG107*TAXE*EL107)+EH107)+IF(EQ107="N/A",0,IF(INDEX(LISTES!$F$105:$F$109,MATCH(EQ107,LISTES!$C$105:$C$109,0))="FIX",ER107,ES107*EP107)))</f>
        <v/>
      </c>
      <c r="FA107" s="492" t="str">
        <f>IF(A107=FALSE,"",Cotations!D107)</f>
        <v/>
      </c>
      <c r="FB107" s="519" t="str">
        <f>IF(A107=FALSE,"",IF(LISTES!$A$17=1,Cotations!AO107,Cotations!$AP$4))</f>
        <v/>
      </c>
      <c r="FC107" s="291" t="str">
        <f t="shared" si="672"/>
        <v/>
      </c>
      <c r="FD107" s="291" t="str">
        <f t="shared" si="673"/>
        <v/>
      </c>
      <c r="FE107" s="291"/>
      <c r="FF107" s="463"/>
      <c r="FG107" s="463" t="str">
        <f t="shared" si="674"/>
        <v/>
      </c>
      <c r="FH107" s="522" t="str">
        <f>IF(A107=FALSE,"",IF(Cotations!$AQ$4="monthly",FG107/12*L107,FG107/365*M107))</f>
        <v/>
      </c>
      <c r="FI107" s="453" t="str">
        <f>IF(A107=FALSE,"",Cotations!$AR$4)</f>
        <v/>
      </c>
      <c r="FJ107" s="300" t="str">
        <f t="shared" si="675"/>
        <v/>
      </c>
      <c r="FK107" s="300" t="str">
        <f t="shared" si="676"/>
        <v/>
      </c>
      <c r="FL107" s="294" t="str">
        <f t="shared" si="677"/>
        <v/>
      </c>
      <c r="FM107" s="494" t="str">
        <f>IF(A107=FALSE,"",Cotations!$AS$4)</f>
        <v/>
      </c>
      <c r="FN107" s="494" t="str">
        <f>IF(A107=FALSE,"",Cotations!$AT$4)</f>
        <v/>
      </c>
      <c r="FO107" s="489" t="str">
        <f>IF(A107=FALSE,"",Cotations!$AU$4)</f>
        <v/>
      </c>
      <c r="FP107" s="494" t="str">
        <f>IF(A107=FALSE,"",IF(FM107="N/A",0,IF(INDEX(LISTES!$F$105:$F$109,MATCH(FM107,LISTES!$C$105:$C$109,0))="FIX",IF(INDEX(LISTES!$E$105:$E$109,MATCH(FM107,LISTES!$C$105:$C$109,0))=12,FN107/12*L107,FN107/365*M107),FO107*FL107)))</f>
        <v/>
      </c>
      <c r="FQ107" s="294" t="str">
        <f t="shared" si="678"/>
        <v/>
      </c>
      <c r="FR107" s="494" t="str">
        <f>IF(A107=FALSE,"",FQ107*Cotations!$AV$4)</f>
        <v/>
      </c>
      <c r="FS107" s="494" t="str">
        <f>IF(A107=FALSE,"",FQ107*Cotations!$AW$4)</f>
        <v/>
      </c>
      <c r="FT107" s="465" t="str">
        <f t="shared" si="679"/>
        <v/>
      </c>
      <c r="FU107" s="919" t="str">
        <f>IF(A107=FALSE,"",((FG107*TAXE)-(FG107*TAXE*FI107))+IF(FM107="N/A",0,IF(INDEX(LISTES!$F$105:$F$109,MATCH(FM107,LISTES!$C$105:$C$109,0))="FIX",FN107,FO107*FL107)))</f>
        <v/>
      </c>
      <c r="FV107" s="478"/>
      <c r="FW107" s="478"/>
      <c r="FX107" s="478"/>
      <c r="FY107" s="478"/>
      <c r="FZ107" s="478"/>
      <c r="GA107" s="492" t="str">
        <f>IF(A107=FALSE,"",Cotations!D107)</f>
        <v/>
      </c>
      <c r="GB107" s="494" t="str">
        <f>IF(A107=FALSE,"",IF(LISTES!$A$17=1,Cotations!AO107,Cotations!AP107))</f>
        <v/>
      </c>
      <c r="GC107" s="284" t="str">
        <f t="shared" si="680"/>
        <v/>
      </c>
      <c r="GD107" s="515" t="str">
        <f>IF(A107=FALSE,"",IF(Detail!AM107="","",Detail!AM107))</f>
        <v/>
      </c>
      <c r="GE107" s="284"/>
      <c r="GF107" s="284"/>
      <c r="GG107" s="284" t="str">
        <f t="shared" si="681"/>
        <v/>
      </c>
      <c r="GH107" s="515" t="str">
        <f>IF(A107=FALSE,"",IF(Cotations!AQ107="monthly",GG107/12*L107,GG107/365*M107))</f>
        <v/>
      </c>
      <c r="GI107" s="493" t="str">
        <f>IF(A107=FALSE,"",IF(Cotations!AR107="","",Cotations!AR107))</f>
        <v/>
      </c>
      <c r="GJ107" s="284" t="str">
        <f t="shared" si="682"/>
        <v/>
      </c>
      <c r="GK107" s="284" t="str">
        <f t="shared" si="683"/>
        <v/>
      </c>
      <c r="GL107" s="284" t="str">
        <f t="shared" si="684"/>
        <v/>
      </c>
      <c r="GM107" s="515" t="str">
        <f>IF(A107=FALSE,"",Cotations!AS107)</f>
        <v/>
      </c>
      <c r="GN107" s="515" t="str">
        <f>IF(A107=FALSE,"",Cotations!AT107)</f>
        <v/>
      </c>
      <c r="GO107" s="493" t="str">
        <f>IF(A107=FALSE,"",Cotations!AU107)</f>
        <v/>
      </c>
      <c r="GP107" s="515" t="str">
        <f>IF(A107=FALSE,"",IF(GM107="N/A",0,IF(INDEX(LISTES!$F$105:$F$109,MATCH(GM107,LISTES!$C$105:$C$109,0))="FIX",IF(INDEX(LISTES!$E$105:$E$109,MATCH(GM107,LISTES!$C$105:$C$109,0))=12,GN107/12*L107,GN107/365*M107),GO107*GL107)))</f>
        <v/>
      </c>
      <c r="GQ107" s="294" t="str">
        <f t="shared" si="685"/>
        <v/>
      </c>
      <c r="GR107" s="494" t="str">
        <f>IF(A107=FALSE,"",GQ107*Cotations!AV107)</f>
        <v/>
      </c>
      <c r="GS107" s="494" t="str">
        <f>IF(A107=FALSE,"",GQ107*Cotations!AW107)</f>
        <v/>
      </c>
      <c r="GT107" s="334" t="str">
        <f t="shared" si="686"/>
        <v/>
      </c>
      <c r="GU107" s="919" t="str">
        <f>IF(A107=FALSE,"",((GG107*TAXE)-(GG107*TAXE*GI107))+IF(GM107="N/A",0,IF(INDEX(LISTES!$F$105:$F$109,MATCH(GM107,LISTES!$C$105:$C$109,0))="FIX",GN107,GO107*GL107)))</f>
        <v/>
      </c>
      <c r="GV107" s="478"/>
      <c r="GW107" s="466"/>
      <c r="GX107" s="466"/>
      <c r="GY107" s="466"/>
      <c r="GZ107" s="466"/>
      <c r="HA107" s="492" t="str">
        <f>IF(A107=FALSE,"",Cotations!D107)</f>
        <v/>
      </c>
      <c r="HB107" s="495" t="str">
        <f>IF(A107=FALSE,"",IF(LISTES!$A$17=1,Cotations!AX107,Cotations!$AY$4))</f>
        <v/>
      </c>
      <c r="HC107" s="291" t="str">
        <f t="shared" si="687"/>
        <v/>
      </c>
      <c r="HD107" s="291" t="str">
        <f t="shared" si="688"/>
        <v/>
      </c>
      <c r="HE107" s="456" t="str">
        <f t="shared" si="689"/>
        <v/>
      </c>
      <c r="HF107" s="496" t="str">
        <f>IF(A107=FALSE,"",IF(HA107="POEA",Cotations!BA107,IF(HA107="FIXE",Cotations!$BA$4,Cotations!$BC$4*Y107)))</f>
        <v/>
      </c>
      <c r="HG107" s="300" t="str">
        <f t="shared" si="690"/>
        <v/>
      </c>
      <c r="HH107" s="522" t="str">
        <f>IF(A107=FALSE,"",IF(Cotations!$AZ$4="monthly",HG107/12*L107,HG107/365*M107))</f>
        <v/>
      </c>
      <c r="HI107" s="489" t="str">
        <f>IF(A107=FALSE,"",Cotations!$BD$4)</f>
        <v/>
      </c>
      <c r="HJ107" s="300" t="str">
        <f t="shared" si="691"/>
        <v/>
      </c>
      <c r="HK107" s="300" t="str">
        <f t="shared" si="692"/>
        <v/>
      </c>
      <c r="HL107" s="294" t="str">
        <f t="shared" si="693"/>
        <v/>
      </c>
      <c r="HM107" s="494" t="str">
        <f>IF(A107=FALSE,"",Cotations!$BE$4)</f>
        <v/>
      </c>
      <c r="HN107" s="522" t="str">
        <f>IF(A107=FALSE,"",Cotations!$BF$4)</f>
        <v/>
      </c>
      <c r="HO107" s="489" t="str">
        <f>IF(A107=FALSE,"",Cotations!$BG$4)</f>
        <v/>
      </c>
      <c r="HP107" s="494" t="str">
        <f>IF(A107=FALSE,"",IF(HM107="N/A",0,IF(INDEX(LISTES!$F$105:$F$109,MATCH(HM107,LISTES!$C$105:$C$109,0))="FIX",IF(INDEX(LISTES!$E$105:$E$109,MATCH(HM107,LISTES!$C$105:$C$109,0))=12,HN107/12*L107,HN107/365*M107),HO107*HL107)))</f>
        <v/>
      </c>
      <c r="HQ107" s="294" t="str">
        <f t="shared" si="694"/>
        <v/>
      </c>
      <c r="HR107" s="494" t="str">
        <f>IF(A107=FALSE,"",HQ107*Cotations!$BH$4)</f>
        <v/>
      </c>
      <c r="HS107" s="494" t="str">
        <f>IF(A107=FALSE,"",HQ107*Cotations!$BI$4)</f>
        <v/>
      </c>
      <c r="HT107" s="294" t="str">
        <f t="shared" si="695"/>
        <v/>
      </c>
      <c r="HU107" s="919" t="str">
        <f>IF(A107=FALSE,"",((HG107*TAXE)-(HG107*TAXE*HI107))+IF(HM107="N/A",0,IF(INDEX(LISTES!$F$105:$F$109,MATCH(HM107,LISTES!$C$105:$C$109,0))="FIX",HN107,HO107*HL107)))</f>
        <v/>
      </c>
      <c r="IA107" s="492" t="str">
        <f>IF(A107=FALSE,"",Cotations!D107)</f>
        <v/>
      </c>
      <c r="IB107" s="491" t="str">
        <f>IF(A107=FALSE,"",IF(LISTES!$A$17=1,Cotations!AX107,Cotations!AY107))</f>
        <v/>
      </c>
      <c r="IC107" s="285" t="str">
        <f t="shared" si="696"/>
        <v/>
      </c>
      <c r="ID107" s="300" t="str">
        <f>IF(A107=FALSE,"",IF(LISTES!$A$17=3,Detail!AU107,lig1_Formula_PREVOY))</f>
        <v/>
      </c>
      <c r="IE107" s="461" t="str">
        <f t="shared" si="697"/>
        <v/>
      </c>
      <c r="IF107" s="490" t="str">
        <f>IF(A107=FALSE,"",IF(IA107="POEA",Cotations!BA107,IF(HA107="FIXE",Cotations!BB107,IF(Cotations!BC107*Y107&lt;50000,Z107,Cotations!BC107*Y107))))</f>
        <v/>
      </c>
      <c r="IG107" s="300" t="str">
        <f t="shared" si="698"/>
        <v/>
      </c>
      <c r="IH107" s="522" t="str">
        <f>IF(A107=FALSE,"",IF(Cotations!AZ107="monthly",IG107/12*L107,IG107/365*M107))</f>
        <v/>
      </c>
      <c r="II107" s="489" t="str">
        <f>IF(A107=FALSE,"",IF(Cotations!BD107="","",Cotations!BD107))</f>
        <v/>
      </c>
      <c r="IJ107" s="300" t="str">
        <f t="shared" si="699"/>
        <v/>
      </c>
      <c r="IK107" s="300" t="str">
        <f t="shared" si="700"/>
        <v/>
      </c>
      <c r="IL107" s="919" t="str">
        <f t="shared" si="701"/>
        <v/>
      </c>
      <c r="IM107" s="517" t="str">
        <f>IF(A107=FALSE,"",Cotations!BE107)</f>
        <v/>
      </c>
      <c r="IN107" s="517" t="str">
        <f>IF(A107=FALSE,"",Cotations!BF107)</f>
        <v/>
      </c>
      <c r="IO107" s="493" t="str">
        <f>IF(A107=FALSE,"",Cotations!BG107)</f>
        <v/>
      </c>
      <c r="IP107" s="517" t="str">
        <f>IF(A107=FALSE,"",IF(IM107="N/A",0,IF(INDEX(LISTES!$F$105:$F$109,MATCH(IM107,LISTES!$C$105:$C$109,0))="FIX",IF(INDEX(LISTES!$E$105:$E$109,MATCH(IM107,LISTES!$C$105:$C$109,0))=12,IN107/12*L107,IN107/365*M107),IO107*IL107)))</f>
        <v/>
      </c>
      <c r="IQ107" s="294" t="str">
        <f t="shared" si="702"/>
        <v/>
      </c>
      <c r="IR107" s="494" t="str">
        <f>IF(A107=FALSE,"",IQ107*Cotations!BH107)</f>
        <v/>
      </c>
      <c r="IS107" s="494" t="str">
        <f>IF(A107=FALSE,"",IQ107*Cotations!BI107)</f>
        <v/>
      </c>
      <c r="IT107" s="338" t="str">
        <f t="shared" si="703"/>
        <v/>
      </c>
      <c r="IU107" s="919" t="str">
        <f>IF(A107=FALSE,"",((IG107*TAXE)-(IG107*TAXE*II107))+IF(IM107="N/A",0,IF(INDEX(LISTES!$F$105:$F$109,MATCH(IM107,LISTES!$C$105:$C$109,0))="FIX",IN107,IO107*IL107)))</f>
        <v/>
      </c>
      <c r="JA107" s="492" t="str">
        <f>IF(A107=FALSE,"",Cotations!D107)</f>
        <v/>
      </c>
      <c r="JB107" s="495" t="str">
        <f>IF(A107=FALSE,"",IF(LISTES!$A$17=1,Cotations!BJ107,Cotations!$BK$4))</f>
        <v/>
      </c>
      <c r="JC107" s="291" t="str">
        <f t="shared" si="704"/>
        <v/>
      </c>
      <c r="JD107" s="291" t="str">
        <f t="shared" si="705"/>
        <v/>
      </c>
      <c r="JE107" s="456" t="str">
        <f t="shared" si="706"/>
        <v/>
      </c>
      <c r="JF107" s="496" t="str">
        <f>IF(A107=FALSE,"",IF(JA107="POEA",Cotations!BM107,IF(JA107="FIXE",Cotations!$BM$4,Cotations!$BO$4*Y107)))</f>
        <v/>
      </c>
      <c r="JG107" s="300" t="str">
        <f t="shared" si="707"/>
        <v/>
      </c>
      <c r="JH107" s="522" t="str">
        <f>IF(A107=FALSE,"",IF(Cotations!$BL$4="monthly",JG107/12*L107,JG107/365*M107))</f>
        <v/>
      </c>
      <c r="JI107" s="489" t="str">
        <f>IF(A107=FALSE,"",Cotations!$BP$4)</f>
        <v/>
      </c>
      <c r="JJ107" s="300" t="str">
        <f t="shared" si="708"/>
        <v/>
      </c>
      <c r="JK107" s="300" t="str">
        <f t="shared" si="709"/>
        <v/>
      </c>
      <c r="JL107" s="294" t="str">
        <f t="shared" si="710"/>
        <v/>
      </c>
      <c r="JM107" s="494" t="str">
        <f>IF(A107=FALSE,"",Cotations!$BQ$4)</f>
        <v/>
      </c>
      <c r="JN107" s="522" t="str">
        <f>IF(A107=FALSE,"",Cotations!$BR$4)</f>
        <v/>
      </c>
      <c r="JO107" s="489" t="str">
        <f>IF(A107=FALSE,"",Cotations!$BS$4)</f>
        <v/>
      </c>
      <c r="JP107" s="494" t="str">
        <f>IF(A107=FALSE,"",IF(JM107="N/A",0,IF(INDEX(LISTES!$F$105:$F$109,MATCH(JM107,LISTES!$C$105:$C$109,0))="FIX",IF(INDEX(LISTES!$E$105:$E$109,MATCH(JM107,LISTES!$C$105:$C$109,0))=12,JN107/12*L107,JN107/365*M107),JO107*JL107)))</f>
        <v/>
      </c>
      <c r="JQ107" s="294" t="str">
        <f t="shared" si="711"/>
        <v/>
      </c>
      <c r="JR107" s="494" t="str">
        <f>IF(A107=FALSE,"",JQ107*Cotations!$BT$4)</f>
        <v/>
      </c>
      <c r="JS107" s="494" t="str">
        <f>IF(A107=FALSE,"",JQ107*Cotations!$BU$4)</f>
        <v/>
      </c>
      <c r="JT107" s="294" t="str">
        <f t="shared" si="712"/>
        <v/>
      </c>
      <c r="JU107" s="919" t="str">
        <f>IF(A107=FALSE,"",((JG107*TAXE)-(JG107*TAXE*JI107))+IF(JM107="N/A",0,IF(INDEX(LISTES!$F$105:$F$109,MATCH(JM107,LISTES!$C$105:$C$109,0))="FIX",JN107,JO107*JL107)))</f>
        <v/>
      </c>
      <c r="KA107" s="492" t="str">
        <f>IF(A107=FALSE,"",Cotations!D107)</f>
        <v/>
      </c>
      <c r="KB107" s="491" t="str">
        <f>IF(A107=FALSE,"",IF(LISTES!$A$17=1,Cotations!BJ107,Cotations!BK107))</f>
        <v/>
      </c>
      <c r="KC107" s="285" t="str">
        <f t="shared" si="713"/>
        <v/>
      </c>
      <c r="KD107" s="300"/>
      <c r="KE107" s="461" t="str">
        <f t="shared" si="714"/>
        <v/>
      </c>
      <c r="KF107" s="490" t="str">
        <f>IF(A107=FALSE,"",IF(KA107="POEA",Cotations!BM107,IF(KA107="FIXE",Cotations!BN107,IF(Cotations!BO107*Y107&lt;50000,Z107,Cotations!BO107*Y107))))</f>
        <v/>
      </c>
      <c r="KG107" s="300" t="str">
        <f t="shared" si="715"/>
        <v/>
      </c>
      <c r="KH107" s="522" t="str">
        <f>IF(A107=FALSE,"",IF(Cotations!BL107="monthly",KG107/12*L107,KG107/365*M107))</f>
        <v/>
      </c>
      <c r="KI107" s="489" t="str">
        <f>IF(A107=FALSE,"",IF(Cotations!BP107="","",Cotations!BP107))</f>
        <v/>
      </c>
      <c r="KJ107" s="300" t="str">
        <f t="shared" si="716"/>
        <v/>
      </c>
      <c r="KK107" s="300" t="str">
        <f t="shared" si="717"/>
        <v/>
      </c>
      <c r="KL107" s="919" t="str">
        <f t="shared" si="718"/>
        <v/>
      </c>
      <c r="KM107" s="517" t="str">
        <f>IF(A107=FALSE,"",Cotations!BQ107)</f>
        <v/>
      </c>
      <c r="KN107" s="515" t="str">
        <f>IF(A107=FALSE,"",Cotations!BR107)</f>
        <v/>
      </c>
      <c r="KO107" s="493" t="str">
        <f>IF(A107=FALSE,"",Cotations!BS107)</f>
        <v/>
      </c>
      <c r="KP107" s="517" t="str">
        <f>IF(A107=FALSE,"",IF(KM107="N/A",0,IF(INDEX(LISTES!$F$105:$F$109,MATCH(KM107,LISTES!$C$105:$C$109,0))="FIX",IF(INDEX(LISTES!$E$105:$E$109,MATCH(KM107,LISTES!$C$105:$C$109,0))=12,KN107/12*L107,KN107/365*M107),KO107*KL107)))</f>
        <v/>
      </c>
      <c r="KQ107" s="294" t="str">
        <f t="shared" si="719"/>
        <v/>
      </c>
      <c r="KR107" s="494" t="str">
        <f>IF(A107=FALSE,"",KQ107*Cotations!BT107)</f>
        <v/>
      </c>
      <c r="KS107" s="494" t="str">
        <f>IF(A107=FALSE,"",KQ107*Cotations!BU107)</f>
        <v/>
      </c>
      <c r="KT107" s="338" t="str">
        <f t="shared" si="720"/>
        <v/>
      </c>
      <c r="KU107" s="919" t="str">
        <f>IF(A107=FALSE,"",((KG107*TAXE)-(KG107*TAXE*KI107))+IF(KM107="N/A",0,IF(INDEX(LISTES!$F$105:$F$109,MATCH(KM107,LISTES!$C$105:$C$109,0))="FIX",KN107,KO107*KL107)))</f>
        <v/>
      </c>
      <c r="LA107" s="497" t="str">
        <f>IF(A107=FALSE,"",Cotations!D107)</f>
        <v/>
      </c>
      <c r="LB107" s="498" t="str">
        <f>IF(A107=FALSE,"",IF(LISTES!$A$17=1,Cotations!BV107,Cotations!$BW$4))</f>
        <v/>
      </c>
      <c r="LC107" s="499" t="str">
        <f t="shared" si="721"/>
        <v/>
      </c>
      <c r="LD107" s="499" t="str">
        <f t="shared" si="722"/>
        <v/>
      </c>
      <c r="LE107" s="500" t="str">
        <f t="shared" si="723"/>
        <v/>
      </c>
      <c r="LF107" s="501" t="str">
        <f>IF(A107=FALSE,"",IF(LA107="POEA",Cotations!EJ107,IF(LA107="FIXE",Cotations!$BY$4,Cotations!$CA$4*Y107)))</f>
        <v/>
      </c>
      <c r="LG107" s="502" t="str">
        <f t="shared" si="724"/>
        <v/>
      </c>
      <c r="LH107" s="520" t="str">
        <f>IF(A107=FALSE,"",IF(Cotations!$BX$4="monthly",LG107/12*L107,LG107/365*M107))</f>
        <v/>
      </c>
      <c r="LI107" s="503" t="str">
        <f>IF(A107=FALSE,"",Cotations!$CB$4)</f>
        <v/>
      </c>
      <c r="LJ107" s="502" t="str">
        <f t="shared" si="725"/>
        <v/>
      </c>
      <c r="LK107" s="502" t="str">
        <f t="shared" si="726"/>
        <v/>
      </c>
      <c r="LL107" s="504" t="str">
        <f t="shared" si="727"/>
        <v/>
      </c>
      <c r="LM107" s="505" t="str">
        <f>IF(A107=FALSE,"",Cotations!$CC$4)</f>
        <v/>
      </c>
      <c r="LN107" s="503" t="str">
        <f>IF(A107=FALSE,"",Cotations!$CD$4)</f>
        <v/>
      </c>
      <c r="LO107" s="503" t="str">
        <f>IF(A107=FALSE,"",Cotations!$CE$4)</f>
        <v/>
      </c>
      <c r="LP107" s="505" t="str">
        <f>IF(A107=FALSE,"",IF(LM107="N/A",0,IF(INDEX(LISTES!$F$105:$F$109,MATCH(LM107,LISTES!$C$105:$C$109,0))="FIX",IF(INDEX(LISTES!$E$105:$E$109,MATCH(LM107,LISTES!$C$105:$C$109,0))=12,LN107/12*L107,LN107/365*M107),LO107*LL107)))</f>
        <v/>
      </c>
      <c r="LQ107" s="504" t="str">
        <f t="shared" si="728"/>
        <v/>
      </c>
      <c r="LR107" s="505" t="str">
        <f>IF(A107=FALSE,"",LQ107*Cotations!$CF$4)</f>
        <v/>
      </c>
      <c r="LS107" s="505" t="str">
        <f>IF(A107=FALSE,"",LQ107*Cotations!$CG$4)</f>
        <v/>
      </c>
      <c r="LT107" s="506" t="str">
        <f t="shared" si="729"/>
        <v/>
      </c>
      <c r="LU107" s="919" t="str">
        <f>IF(A107=FALSE,"",((LG107*TAXE)-(LG107*TAXE*LI107))+IF(LM107="N/A",0,IF(INDEX(LISTES!$F$105:$F$109,MATCH(LM107,LISTES!$C$105:$C$109,0))="FIX",LN107,LO107*LL107)))</f>
        <v/>
      </c>
      <c r="MA107" s="492" t="str">
        <f>IF(A107=FALSE,"",Cotations!D107)</f>
        <v/>
      </c>
      <c r="MB107" s="491" t="str">
        <f>IF(A107=FALSE,"",IF(LISTES!$A$17=1,Cotations!BV107,Cotations!BW107))</f>
        <v/>
      </c>
      <c r="MC107" s="285" t="str">
        <f t="shared" si="730"/>
        <v/>
      </c>
      <c r="MD107" s="300"/>
      <c r="ME107" s="461" t="str">
        <f t="shared" si="731"/>
        <v/>
      </c>
      <c r="MF107" s="490" t="str">
        <f>IF(A107=FALSE,"",IF(MA107="POEA",Cotations!BY107,IF(MA107="FIXE",Cotations!BZ107,IF(Cotations!CA107*Y107&lt;50000,Z107,Cotations!CA107*Y107))))</f>
        <v/>
      </c>
      <c r="MG107" s="300" t="str">
        <f t="shared" si="732"/>
        <v/>
      </c>
      <c r="MH107" s="522" t="str">
        <f>IF(A107=FALSE,"",IF(Cotations!BX107="monthly",MG107/12*L107,MG107/365*M107))</f>
        <v/>
      </c>
      <c r="MI107" s="489" t="str">
        <f>IF(A107=FALSE,"",IF(Cotations!CB107="","",Cotations!CB107))</f>
        <v/>
      </c>
      <c r="MJ107" s="300" t="str">
        <f t="shared" si="733"/>
        <v/>
      </c>
      <c r="MK107" s="300" t="str">
        <f t="shared" si="734"/>
        <v/>
      </c>
      <c r="ML107" s="919" t="str">
        <f t="shared" si="735"/>
        <v/>
      </c>
      <c r="MM107" s="517" t="str">
        <f>IF(A107=FALSE,"",Cotations!CC107)</f>
        <v/>
      </c>
      <c r="MN107" s="515" t="str">
        <f>IF(A107=FALSE,"",Cotations!CD107)</f>
        <v/>
      </c>
      <c r="MO107" s="493" t="str">
        <f>IF(A107=FALSE,"",Cotations!CE107)</f>
        <v/>
      </c>
      <c r="MP107" s="517" t="str">
        <f>IF(A107=FALSE,"",IF(MM107="N/A",0,IF(INDEX(LISTES!$F$105:$F$109,MATCH(MM107,LISTES!$C$105:$C$109,0))="FIX",IF(INDEX(LISTES!$E$105:$E$109,MATCH(MM107,LISTES!$C$105:$C$109,0))=12,MN107/12*L107,MN107/365*M107),MO107*ML107)))</f>
        <v/>
      </c>
      <c r="MQ107" s="294" t="str">
        <f t="shared" si="736"/>
        <v/>
      </c>
      <c r="MR107" s="494" t="str">
        <f>IF(A107=FALSE,"",MQ107*Cotations!CF107)</f>
        <v/>
      </c>
      <c r="MS107" s="494" t="str">
        <f>IF(A107=FALSE,"",MQ107*Cotations!CG107)</f>
        <v/>
      </c>
      <c r="MT107" s="338" t="str">
        <f t="shared" si="737"/>
        <v/>
      </c>
      <c r="MU107" s="919" t="str">
        <f>IF(A107=FALSE,"",((MG107*TAXE)-(MG107*TAXE*MI107))+IF(MM107="N/A",0,IF(INDEX(LISTES!$F$105:$F$109,MATCH(MM107,LISTES!$C$105:$C$109,0))="FIX",MN107,MO107*ML107)))</f>
        <v/>
      </c>
      <c r="NA107" s="497" t="str">
        <f>IF(A107=FALSE,"",Cotations!D107)</f>
        <v/>
      </c>
      <c r="NB107" s="498" t="str">
        <f>IF(A107=FALSE,"",IF(LISTES!$A$17=1,Cotations!CH107,Cotations!$CI$4))</f>
        <v/>
      </c>
      <c r="NC107" s="499" t="str">
        <f t="shared" si="738"/>
        <v/>
      </c>
      <c r="ND107" s="499" t="str">
        <f t="shared" si="739"/>
        <v/>
      </c>
      <c r="NE107" s="500" t="str">
        <f t="shared" si="740"/>
        <v/>
      </c>
      <c r="NF107" s="501" t="str">
        <f>IF(A107=FALSE,"",IF(NA107="POEA",Cotations!CK107,IF(NA107="FIXE",Cotations!$CK$4,Cotations!$CM$4*Y107)))</f>
        <v/>
      </c>
      <c r="NG107" s="502" t="str">
        <f t="shared" si="741"/>
        <v/>
      </c>
      <c r="NH107" s="520" t="str">
        <f>IF(A107=FALSE,"",IF(Cotations!$CJ$4="monthly",NG107/12*L107,NG107/365*M107))</f>
        <v/>
      </c>
      <c r="NI107" s="503" t="str">
        <f>IF(A107=FALSE,"",Cotations!$CN$4)</f>
        <v/>
      </c>
      <c r="NJ107" s="502" t="str">
        <f t="shared" si="742"/>
        <v/>
      </c>
      <c r="NK107" s="502" t="str">
        <f t="shared" si="743"/>
        <v/>
      </c>
      <c r="NL107" s="504" t="str">
        <f t="shared" si="744"/>
        <v/>
      </c>
      <c r="NM107" s="505" t="str">
        <f>IF(A107=FALSE,"",Cotations!$CO$4)</f>
        <v/>
      </c>
      <c r="NN107" s="520" t="str">
        <f>IF(A107=FALSE,"",Cotations!$CP$4)</f>
        <v/>
      </c>
      <c r="NO107" s="503" t="str">
        <f>IF(A107=FALSE,"",Cotations!$CQ$4)</f>
        <v/>
      </c>
      <c r="NP107" s="505" t="str">
        <f>IF(A107=FALSE,"",IF(NM107="N/A",0,IF(INDEX(LISTES!$F$105:$F$109,MATCH(NM107,LISTES!$C$105:$C$109,0))="FIX",IF(INDEX(LISTES!$E$105:$E$109,MATCH(NM107,LISTES!$C$105:$C$109,0))=12,NN107/12*L107,NN107/365*M107),NO107*NL107)))</f>
        <v/>
      </c>
      <c r="NQ107" s="504" t="str">
        <f t="shared" si="745"/>
        <v/>
      </c>
      <c r="NR107" s="505" t="str">
        <f>IF(A107=FALSE,"",NQ107*Cotations!$CR$4)</f>
        <v/>
      </c>
      <c r="NS107" s="505" t="str">
        <f>IF(A107=FALSE,"",NQ107*Cotations!$CS$4)</f>
        <v/>
      </c>
      <c r="NT107" s="506" t="str">
        <f t="shared" si="746"/>
        <v/>
      </c>
      <c r="NU107" s="919" t="str">
        <f>IF(A107=FALSE,"",((NG107*TAXE)-(NG107*TAXE*NI107))+IF(NM107="N/A",0,IF(INDEX(LISTES!$F$105:$F$109,MATCH(NM107,LISTES!$C$105:$C$109,0))="FIX",NN107,NO107*NL107)))</f>
        <v/>
      </c>
      <c r="OA107" s="492" t="str">
        <f>IF(A107=FALSE,"",Cotations!D107)</f>
        <v/>
      </c>
      <c r="OB107" s="491" t="str">
        <f>IF(A107=FALSE,"",IF(LISTES!$A$17=1,Cotations!CH107,Cotations!CI107))</f>
        <v/>
      </c>
      <c r="OC107" s="285" t="str">
        <f t="shared" si="747"/>
        <v/>
      </c>
      <c r="OD107" s="300"/>
      <c r="OE107" s="461" t="str">
        <f t="shared" si="748"/>
        <v/>
      </c>
      <c r="OF107" s="490" t="str">
        <f>IF(A107=FALSE,"",IF(OA107="POEA",Cotations!CK107,IF(OA107="FIXE",Cotations!CL107,IF(Cotations!CM107*Y107&lt;50000,Z107,Cotations!CM107*Y107))))</f>
        <v/>
      </c>
      <c r="OG107" s="300" t="str">
        <f t="shared" si="749"/>
        <v/>
      </c>
      <c r="OH107" s="522" t="str">
        <f>IF(A107=FALSE,"",IF(Cotations!CJ107="monthly",OG107/12*L107,OG107/365*M107))</f>
        <v/>
      </c>
      <c r="OI107" s="489" t="str">
        <f>IF(A107=FALSE,"",IF(Cotations!CN107="","",Cotations!CN107))</f>
        <v/>
      </c>
      <c r="OJ107" s="300" t="str">
        <f t="shared" si="750"/>
        <v/>
      </c>
      <c r="OK107" s="300" t="str">
        <f t="shared" si="751"/>
        <v/>
      </c>
      <c r="OL107" s="919" t="str">
        <f t="shared" si="752"/>
        <v/>
      </c>
      <c r="OM107" s="517" t="str">
        <f>IF(A107=FALSE,"",Cotations!CO107)</f>
        <v/>
      </c>
      <c r="ON107" s="515" t="str">
        <f>IF(A107=FALSE,"",Cotations!CP107)</f>
        <v/>
      </c>
      <c r="OO107" s="493" t="str">
        <f>IF(A107=FALSE,"",Cotations!CQ107)</f>
        <v/>
      </c>
      <c r="OP107" s="517" t="str">
        <f>IF(A107=FALSE,"",IF(OM107="N/A",0,IF(INDEX(LISTES!$F$105:$F$109,MATCH(OM107,LISTES!$C$105:$C$109,0))="FIX",IF(INDEX(LISTES!$E$105:$E$109,MATCH(OM107,LISTES!$C$105:$C$109,0))=12,ON107/12*L107,ON107/365*M107),OO107*OL107)))</f>
        <v/>
      </c>
      <c r="OQ107" s="294" t="str">
        <f t="shared" si="753"/>
        <v/>
      </c>
      <c r="OR107" s="494" t="str">
        <f>IF(A107=FALSE,"",OQ107*Cotations!CR107)</f>
        <v/>
      </c>
      <c r="OS107" s="494" t="str">
        <f>IF(A107=FALSE,"",OQ107*Cotations!CS107)</f>
        <v/>
      </c>
      <c r="OT107" s="338" t="str">
        <f t="shared" si="754"/>
        <v/>
      </c>
      <c r="OU107" s="919" t="str">
        <f>IF(A107=FALSE,"",((OG107*TAXE)-(OG107*TAXE*OI107))+IF(OM107="N/A",0,IF(INDEX(LISTES!$F$105:$F$109,MATCH(OM107,LISTES!$C$105:$C$109,0))="FIX",ON107,OO107*OL107)))</f>
        <v/>
      </c>
      <c r="PA107" s="497" t="str">
        <f t="shared" si="755"/>
        <v/>
      </c>
      <c r="PB107" s="498" t="str">
        <f>IF(A107=FALSE,"",IF(LISTES!$A$17=1,Cotations!CT107,Cotations!$CU$4))</f>
        <v/>
      </c>
      <c r="PC107" s="499" t="str">
        <f t="shared" si="756"/>
        <v/>
      </c>
      <c r="PD107" s="499" t="str">
        <f t="shared" si="757"/>
        <v/>
      </c>
      <c r="PE107" s="500" t="str">
        <f t="shared" si="758"/>
        <v/>
      </c>
      <c r="PF107" s="501" t="str">
        <f>IF(A107=FALSE,"",Cotations!$CY$4*Y107)</f>
        <v/>
      </c>
      <c r="PG107" s="502" t="str">
        <f t="shared" si="759"/>
        <v/>
      </c>
      <c r="PH107" s="520" t="str">
        <f>IF(A107=FALSE,"",IF(Cotations!$CV$4="monthly",PG107/12*L107,PG107/365*M107))</f>
        <v/>
      </c>
      <c r="PI107" s="503" t="str">
        <f>IF(A107=FALSE,"",Cotations!$CZ$4)</f>
        <v/>
      </c>
      <c r="PJ107" s="502" t="str">
        <f t="shared" si="760"/>
        <v/>
      </c>
      <c r="PK107" s="502" t="str">
        <f t="shared" si="761"/>
        <v/>
      </c>
      <c r="PL107" s="504" t="str">
        <f t="shared" si="762"/>
        <v/>
      </c>
      <c r="PM107" s="505" t="str">
        <f>IF(A107=FALSE,"",Cotations!$DA$4)</f>
        <v/>
      </c>
      <c r="PN107" s="520" t="str">
        <f>IF(A107=FALSE,"",Cotations!$DB$4)</f>
        <v/>
      </c>
      <c r="PO107" s="503" t="str">
        <f>IF(A107=FALSE,"",Cotations!$DC$4)</f>
        <v/>
      </c>
      <c r="PP107" s="505" t="str">
        <f>IF(A107=FALSE,"",IF(PM107="N/A",0,IF(INDEX(LISTES!$F$105:$F$109,MATCH(PM107,LISTES!$C$105:$C$109,0))="FIX",IF(INDEX(LISTES!$E$105:$E$109,MATCH(PM107,LISTES!$C$105:$C$109,0))=12,PN107/12*L107,PN107/365*M107),PO107*PL107)))</f>
        <v/>
      </c>
      <c r="PQ107" s="504" t="str">
        <f t="shared" si="763"/>
        <v/>
      </c>
      <c r="PR107" s="505" t="str">
        <f>IF(A107=FALSE,"",PQ107*Cotations!$DD$4)</f>
        <v/>
      </c>
      <c r="PS107" s="505" t="str">
        <f>IF(A107=FALSE,"",PQ107*Cotations!$DE$4)</f>
        <v/>
      </c>
      <c r="PT107" s="506" t="str">
        <f t="shared" si="764"/>
        <v/>
      </c>
      <c r="PU107" s="919" t="str">
        <f>IF(A107=FALSE,"",((PG107*TAXE)-(PG107*TAXE*PI107))+IF(PM107="N/A",0,IF(INDEX(LISTES!$F$105:$F$109,MATCH(PM107,LISTES!$C$105:$C$109,0))="FIX",PN107,PO107*PL107)))</f>
        <v/>
      </c>
      <c r="QA107" s="492" t="str">
        <f t="shared" si="765"/>
        <v/>
      </c>
      <c r="QB107" s="491" t="str">
        <f>IF(A107=FALSE,"",IF(LISTES!$A$17=1,Cotations!CT107,Cotations!CU107))</f>
        <v/>
      </c>
      <c r="QC107" s="285" t="str">
        <f t="shared" si="766"/>
        <v/>
      </c>
      <c r="QD107" s="300"/>
      <c r="QE107" s="461" t="str">
        <f t="shared" si="767"/>
        <v/>
      </c>
      <c r="QF107" s="490" t="str">
        <f>IF(A107=FALSE,"",Cotations!CY107*AA107)</f>
        <v/>
      </c>
      <c r="QG107" s="300" t="str">
        <f t="shared" si="768"/>
        <v/>
      </c>
      <c r="QH107" s="522" t="str">
        <f>IF(A107=FALSE,"",IF(Cotations!CV107="monthly",QG107/12*L107,QG107/365*M107))</f>
        <v/>
      </c>
      <c r="QI107" s="489" t="str">
        <f>IF(A107=FALSE,"",IF(Cotations!CZ107="","",Cotations!CZ107))</f>
        <v/>
      </c>
      <c r="QJ107" s="300" t="str">
        <f t="shared" si="769"/>
        <v/>
      </c>
      <c r="QK107" s="300" t="str">
        <f t="shared" si="770"/>
        <v/>
      </c>
      <c r="QL107" s="919" t="str">
        <f t="shared" si="771"/>
        <v/>
      </c>
      <c r="QM107" s="517" t="str">
        <f>IF(A107=FALSE,"",Cotations!DA107)</f>
        <v/>
      </c>
      <c r="QN107" s="515" t="str">
        <f>IF(A107=FALSE,"",Cotations!DB107)</f>
        <v/>
      </c>
      <c r="QO107" s="493" t="str">
        <f>IF(A107=FALSE,"",Cotations!DC107)</f>
        <v/>
      </c>
      <c r="QP107" s="517" t="str">
        <f>IF(A107=FALSE,"",IF(QM107="N/A",0,IF(INDEX(LISTES!$F$105:$F$109,MATCH(QM107,LISTES!$C$105:$C$109,0))="FIX",IF(INDEX(LISTES!$E$105:$E$109,MATCH(QM107,LISTES!$C$105:$C$109,0))=12,QN107/12*L107,QN107/365*M107),QO107*QL107)))</f>
        <v/>
      </c>
      <c r="QQ107" s="294" t="str">
        <f t="shared" si="772"/>
        <v/>
      </c>
      <c r="QR107" s="494" t="str">
        <f>IF(A107=FALSE,"",QQ107*Cotations!DD107)</f>
        <v/>
      </c>
      <c r="QS107" s="494" t="str">
        <f>IF(A107=FALSE,"",QQ107*Cotations!DE107)</f>
        <v/>
      </c>
      <c r="QT107" s="338" t="str">
        <f t="shared" si="773"/>
        <v/>
      </c>
      <c r="QU107" s="919" t="str">
        <f>IF(A107=FALSE,"",((QG107*TAXE)-(QG107*TAXE*QI107))+IF(QM107="N/A",0,IF(INDEX(LISTES!$F$105:$F$109,MATCH(QM107,LISTES!$C$105:$C$109,0))="FIX",QN107,QO107*QL107)))</f>
        <v/>
      </c>
      <c r="RA107" s="497" t="str">
        <f t="shared" si="774"/>
        <v/>
      </c>
      <c r="RB107" s="498" t="str">
        <f>IF(A107=FALSE,"",IF(LISTES!$A$17=1,Cotations!DF107,Cotations!$DG$4))</f>
        <v/>
      </c>
      <c r="RC107" s="499" t="str">
        <f t="shared" si="775"/>
        <v/>
      </c>
      <c r="RD107" s="499" t="str">
        <f t="shared" si="776"/>
        <v/>
      </c>
      <c r="RE107" s="500" t="str">
        <f t="shared" si="777"/>
        <v/>
      </c>
      <c r="RF107" s="501" t="str">
        <f>IF(A107=FALSE,"",Cotations!$DK$4*Y107)</f>
        <v/>
      </c>
      <c r="RG107" s="502" t="str">
        <f t="shared" si="778"/>
        <v/>
      </c>
      <c r="RH107" s="520" t="str">
        <f>IF(A107=FALSE,"",IF(Cotations!$DH$4="monthly",RG107/12*L107,RG107/365*M107))</f>
        <v/>
      </c>
      <c r="RI107" s="503" t="str">
        <f>IF(A107=FALSE,"",Cotations!$DL$4)</f>
        <v/>
      </c>
      <c r="RJ107" s="502" t="str">
        <f t="shared" si="779"/>
        <v/>
      </c>
      <c r="RK107" s="502" t="str">
        <f t="shared" si="780"/>
        <v/>
      </c>
      <c r="RL107" s="504" t="str">
        <f t="shared" si="781"/>
        <v/>
      </c>
      <c r="RM107" s="505" t="str">
        <f>IF(A107=FALSE,"",Cotations!$DM$4)</f>
        <v/>
      </c>
      <c r="RN107" s="520" t="str">
        <f>IF(A107=FALSE,"",Cotations!$DN$4)</f>
        <v/>
      </c>
      <c r="RO107" s="503" t="str">
        <f>IF(A107=FALSE,"",Cotations!$DO$4)</f>
        <v/>
      </c>
      <c r="RP107" s="505" t="str">
        <f>IF(A107=FALSE,"",IF(RM107="N/A",0,IF(INDEX(LISTES!$F$105:$F$109,MATCH(RM107,LISTES!$C$105:$C$109,0))="FIX",IF(INDEX(LISTES!$E$105:$E$109,MATCH(RM107,LISTES!$C$105:$C$109,0))=12,RN107/12*L107,RN107/365*M107),RO107*RL107)))</f>
        <v/>
      </c>
      <c r="RQ107" s="504" t="str">
        <f t="shared" si="782"/>
        <v/>
      </c>
      <c r="RR107" s="505" t="str">
        <f>IF(A107=FALSE,"",RQ107*Cotations!$DP$4)</f>
        <v/>
      </c>
      <c r="RS107" s="505" t="str">
        <f>IF(A107=FALSE,"",RQ107*Cotations!$DQ$4)</f>
        <v/>
      </c>
      <c r="RT107" s="506" t="str">
        <f t="shared" si="783"/>
        <v/>
      </c>
      <c r="RU107" s="919" t="str">
        <f>IF(A107=FALSE,"",((RG107*TAXE)-(RG107*TAXE*RI107))+IF(RM107="N/A",0,IF(INDEX(LISTES!$F$105:$F$109,MATCH(RM107,LISTES!$C$105:$C$109,0))="FIX",RN107,RO107*RL107)))</f>
        <v/>
      </c>
      <c r="SA107" s="492" t="str">
        <f t="shared" si="784"/>
        <v/>
      </c>
      <c r="SB107" s="491" t="str">
        <f>IF(A107=FALSE,"",IF(LISTES!$A$17=1,Cotations!DF107,Cotations!DG107))</f>
        <v/>
      </c>
      <c r="SC107" s="285" t="str">
        <f t="shared" si="785"/>
        <v/>
      </c>
      <c r="SD107" s="300"/>
      <c r="SE107" s="461" t="str">
        <f t="shared" si="786"/>
        <v/>
      </c>
      <c r="SF107" s="490" t="str">
        <f>IF(A107=FALSE,"",Cotations!DK107*AA107)</f>
        <v/>
      </c>
      <c r="SG107" s="300" t="str">
        <f t="shared" si="787"/>
        <v/>
      </c>
      <c r="SH107" s="522" t="str">
        <f>IF(A107=FALSE,"",IF(Cotations!DH107="monthly",SG107/12*L107,SG107/365*M107))</f>
        <v/>
      </c>
      <c r="SI107" s="489" t="str">
        <f>IF(A107=FALSE,"",IF(Cotations!DL107="","",Cotations!DL107))</f>
        <v/>
      </c>
      <c r="SJ107" s="300" t="str">
        <f t="shared" si="788"/>
        <v/>
      </c>
      <c r="SK107" s="300" t="str">
        <f t="shared" si="789"/>
        <v/>
      </c>
      <c r="SL107" s="919" t="str">
        <f t="shared" si="790"/>
        <v/>
      </c>
      <c r="SM107" s="285" t="str">
        <f>IF(A107=FALSE,"",Cotations!DM107)</f>
        <v/>
      </c>
      <c r="SN107" s="515" t="str">
        <f>IF(A107=FALSE,"",Cotations!DN107)</f>
        <v/>
      </c>
      <c r="SO107" s="493" t="str">
        <f>IF(A107=FALSE,"",Cotations!DO107)</f>
        <v/>
      </c>
      <c r="SP107" s="517" t="str">
        <f>IF(A107=FALSE,"",IF(SM107="N/A",0,IF(INDEX(LISTES!$F$105:$F$109,MATCH(SM107,LISTES!$C$105:$C$109,0))="FIX",IF(INDEX(LISTES!$E$105:$E$109,MATCH(SM107,LISTES!$C$105:$C$109,0))=12,SN107/12*L107,SN107/365*M107),SO107*SL107)))</f>
        <v/>
      </c>
      <c r="SQ107" s="294" t="str">
        <f t="shared" si="791"/>
        <v/>
      </c>
      <c r="SR107" s="494" t="str">
        <f>IF(A107=FALSE,"",SQ107*Cotations!DP107)</f>
        <v/>
      </c>
      <c r="SS107" s="494" t="str">
        <f>IF(A107=FALSE,"",SQ107*Cotations!DQ107)</f>
        <v/>
      </c>
      <c r="ST107" s="338" t="str">
        <f t="shared" si="792"/>
        <v/>
      </c>
      <c r="SU107" s="919" t="str">
        <f>IF(A107=FALSE,"",((SG107*TAXE)-(SG107*TAXE*SI107))+IF(SM107="N/A",0,IF(INDEX(LISTES!$F$105:$F$109,MATCH(SM107,LISTES!$C$105:$C$109,0))="FIX",SN107,SO107*SL107)))</f>
        <v/>
      </c>
      <c r="TA107" s="492" t="str">
        <f>IF(A107=FALSE,"",Cotations!D107)</f>
        <v/>
      </c>
      <c r="TB107" s="491" t="str">
        <f>IF(A107=FALSE,"",IF(LISTES!$A$17=1,Cotations!DR107,Cotations!DS107))</f>
        <v/>
      </c>
      <c r="TC107" s="285" t="str">
        <f t="shared" si="793"/>
        <v/>
      </c>
      <c r="TD107" s="300" t="str">
        <f>IF(A107=FALSE,"",Detail!CQ107)</f>
        <v/>
      </c>
      <c r="TE107" s="461" t="str">
        <f t="shared" si="794"/>
        <v/>
      </c>
      <c r="TF107" s="490" t="str">
        <f>IF(A107=FALSE,"",IF(TA107="FIXE",Cotations!DU107,Cotations!DV107*Y107))</f>
        <v/>
      </c>
      <c r="TG107" s="300" t="str">
        <f t="shared" si="795"/>
        <v/>
      </c>
      <c r="TH107" s="522" t="str">
        <f>IF(A107=FALSE,"",IF(Cotations!DT107="monthly",TG107/12*L107,TG107/365*M107))</f>
        <v/>
      </c>
      <c r="TI107" s="489" t="str">
        <f>IF(A107=FALSE,"",IF(Cotations!DW107="","",Cotations!DW107))</f>
        <v/>
      </c>
      <c r="TJ107" s="300" t="str">
        <f t="shared" si="796"/>
        <v/>
      </c>
      <c r="TK107" s="300" t="str">
        <f t="shared" si="797"/>
        <v/>
      </c>
      <c r="TL107" s="919" t="str">
        <f t="shared" si="798"/>
        <v/>
      </c>
      <c r="TM107" s="517" t="str">
        <f>IF(A107=FALSE,"",Cotations!DX107)</f>
        <v/>
      </c>
      <c r="TN107" s="517" t="str">
        <f>IF(A107=FALSE,"",Cotations!DY107)</f>
        <v/>
      </c>
      <c r="TO107" s="493" t="str">
        <f>IF(A107=FALSE,"",Cotations!DZ107)</f>
        <v/>
      </c>
      <c r="TP107" s="517" t="str">
        <f>IF(A107=FALSE,"",IF(TM107="N/A",0,IF(INDEX(LISTES!$F$105:$F$109,MATCH(TM107,LISTES!$C$105:$C$109,0))="FIX",IF(INDEX(LISTES!$E$105:$E$109,MATCH(TM107,LISTES!$C$105:$C$109,0))=12,TN107/12*L107,TN107/365*M107),TO107*TL107)))</f>
        <v/>
      </c>
      <c r="TQ107" s="294" t="str">
        <f t="shared" si="799"/>
        <v/>
      </c>
      <c r="TR107" s="494" t="str">
        <f>IF(A107=FALSE,"",TQ107*Cotations!EA107)</f>
        <v/>
      </c>
      <c r="TS107" s="494" t="str">
        <f>IF(A107=FALSE,"",TQ107*Cotations!EB107)</f>
        <v/>
      </c>
      <c r="TT107" s="338" t="str">
        <f t="shared" si="800"/>
        <v/>
      </c>
      <c r="TU107" s="919" t="str">
        <f>IF(A107=FALSE,"",((TG107*(1+TAXE)-(TG107*(1+TAXE)*TI107))+IF(TM107="N/A",0,IF(INDEX(LISTES!$F$105:$F$109,MATCH(TM107,LISTES!$C$105:$C$109,0))="FIX",TN107,TO107*TL107))))</f>
        <v/>
      </c>
      <c r="UA107" s="492" t="str">
        <f>IF(A107=FALSE,"",Cotations!D107)</f>
        <v/>
      </c>
      <c r="UB107" s="491" t="str">
        <f>IF(A107=FALSE,"",IF(LISTES!$A$17=1,Cotations!EC107,Cotations!ED107))</f>
        <v/>
      </c>
      <c r="UC107" s="285" t="str">
        <f t="shared" si="801"/>
        <v/>
      </c>
      <c r="UD107" s="300" t="str">
        <f>IF(A107=FALSE,"",Detail!CY107)</f>
        <v/>
      </c>
      <c r="UE107" s="461" t="str">
        <f t="shared" si="802"/>
        <v/>
      </c>
      <c r="UF107" s="490" t="str">
        <f>IF(A107=FALSE,"",IF(UA107="FIXE",Cotations!EF107,Cotations!EG107*Y107))</f>
        <v/>
      </c>
      <c r="UG107" s="300" t="str">
        <f t="shared" si="803"/>
        <v/>
      </c>
      <c r="UH107" s="522" t="str">
        <f>IF(A107=FALSE,"",IF(Cotations!EE107="monthly",UG107/12*L107,UG107/365*M107))</f>
        <v/>
      </c>
      <c r="UI107" s="489" t="str">
        <f>IF(A107=FALSE,"",IF(Cotations!EH107="","",Cotations!EH107))</f>
        <v/>
      </c>
      <c r="UJ107" s="300" t="str">
        <f t="shared" si="804"/>
        <v/>
      </c>
      <c r="UK107" s="300" t="str">
        <f t="shared" si="805"/>
        <v/>
      </c>
      <c r="UL107" s="919" t="str">
        <f t="shared" si="806"/>
        <v/>
      </c>
      <c r="UM107" s="517" t="str">
        <f>IF(A107=FALSE,"",Cotations!EI107)</f>
        <v/>
      </c>
      <c r="UN107" s="517" t="str">
        <f>IF(A107=FALSE,"",Cotations!EJ107)</f>
        <v/>
      </c>
      <c r="UO107" s="493" t="str">
        <f>IF(A107=FALSE,"",Cotations!EK107)</f>
        <v/>
      </c>
      <c r="UP107" s="517" t="str">
        <f>IF(A107=FALSE,"",IF(UM107="N/A",0,IF(INDEX(LISTES!$F$105:$F$109,MATCH(UM107,LISTES!$C$105:$C$109,0))="FIX",IF(INDEX(LISTES!$E$105:$E$109,MATCH(UM107,LISTES!$C$105:$C$109,0))=12,UN107/12*L107,UN107/365*M107),UO107*UL107)))</f>
        <v/>
      </c>
      <c r="UQ107" s="294" t="str">
        <f t="shared" si="807"/>
        <v/>
      </c>
      <c r="UR107" s="494" t="str">
        <f>IF(A107=FALSE,"",UQ107*Cotations!EL107)</f>
        <v/>
      </c>
      <c r="US107" s="494" t="str">
        <f>IF(A107=FALSE,"",UQ107*Cotations!EM107)</f>
        <v/>
      </c>
      <c r="UT107" s="338" t="str">
        <f t="shared" si="808"/>
        <v/>
      </c>
      <c r="UU107" s="919" t="str">
        <f>IF(A107=FALSE,"",((UG107*(1+TAXE)-(UG107*(1+TAXE)*UI107))+IF(UM107="N/A",0,IF(INDEX(LISTES!$F$105:$F$109,MATCH(UM107,LISTES!$C$105:$C$109,0))="FIX",UN107,UO107*UL107))))</f>
        <v/>
      </c>
      <c r="VA107" s="492" t="str">
        <f>IF(A107=FALSE,"",Cotations!D107)</f>
        <v/>
      </c>
      <c r="VB107" s="519" t="str">
        <f>IF(A107=FALSE,"",IF(LISTES!$A$17=1,Cotations!EN107,Cotations!EO107))</f>
        <v/>
      </c>
      <c r="VC107" s="291" t="str">
        <f t="shared" si="809"/>
        <v/>
      </c>
      <c r="VD107" s="291" t="str">
        <f t="shared" si="810"/>
        <v/>
      </c>
      <c r="VE107" s="291"/>
      <c r="VF107" s="463"/>
      <c r="VG107" s="463" t="str">
        <f t="shared" si="811"/>
        <v/>
      </c>
      <c r="VH107" s="522" t="str">
        <f>IF(A107=FALSE,"",IF(Cotations!$AQ$4="monthly",VG107/12*L107,VG107/365*M107))</f>
        <v/>
      </c>
      <c r="VI107" s="489" t="str">
        <f>IF(A107=FALSE,"",Cotations!$AR$4)</f>
        <v/>
      </c>
      <c r="VJ107" s="300" t="str">
        <f t="shared" si="812"/>
        <v/>
      </c>
      <c r="VK107" s="300" t="str">
        <f t="shared" si="813"/>
        <v/>
      </c>
      <c r="VL107" s="294" t="str">
        <f t="shared" si="814"/>
        <v/>
      </c>
      <c r="VM107" s="494" t="str">
        <f>IF(A107=FALSE,"",Cotations!$AS$4)</f>
        <v/>
      </c>
      <c r="VN107" s="494" t="str">
        <f>IF(A107=FALSE,"",Cotations!$AT$4)</f>
        <v/>
      </c>
      <c r="VO107" s="489" t="str">
        <f>IF(A107=FALSE,"",Cotations!$AU$4)</f>
        <v/>
      </c>
      <c r="VP107" s="494" t="str">
        <f>IF(A107=FALSE,"",IF(VM107="N/A",0,IF(INDEX(LISTES!$F$105:$F$109,MATCH(VM107,LISTES!$C$105:$C$109,0))="FIX",IF(INDEX(LISTES!$E$105:$E$109,MATCH(VM107,LISTES!$C$105:$C$109,0))=12,VN107/12*L107,VN107/365*M107),VO107*VL107)))</f>
        <v/>
      </c>
      <c r="VQ107" s="294" t="str">
        <f t="shared" si="815"/>
        <v/>
      </c>
      <c r="VR107" s="494" t="str">
        <f>IF(A107=FALSE,"",VQ107*Cotations!$AV$4)</f>
        <v/>
      </c>
      <c r="VS107" s="494" t="str">
        <f>IF(A107=FALSE,"",VQ107*Cotations!$AW$4)</f>
        <v/>
      </c>
      <c r="VT107" s="465" t="str">
        <f t="shared" si="816"/>
        <v/>
      </c>
      <c r="VU107" s="919" t="str">
        <f>IF(A107=FALSE,"",((VG107*TAXE)-(VG107*TAXE*VI107))+IF(VM107="N/A",0,IF(INDEX(LISTES!$F$105:$F$109,MATCH(VM107,LISTES!$C$105:$C$109,0))="FIX",VN107,VO107*VL107)))</f>
        <v/>
      </c>
      <c r="WA107" s="492" t="str">
        <f>IF(A107=FALSE,"",Cotations!D107)</f>
        <v/>
      </c>
      <c r="WB107" s="519" t="str">
        <f>IF(A107=FALSE,"",IF(LISTES!$A$17=1,Cotations!EW107,Cotations!EX107))</f>
        <v/>
      </c>
      <c r="WC107" s="291" t="str">
        <f t="shared" si="817"/>
        <v/>
      </c>
      <c r="WD107" s="291" t="str">
        <f t="shared" si="818"/>
        <v/>
      </c>
      <c r="WE107" s="291"/>
      <c r="WF107" s="463"/>
      <c r="WG107" s="463" t="str">
        <f t="shared" si="819"/>
        <v/>
      </c>
      <c r="WH107" s="522" t="str">
        <f>IF(A107=FALSE,"",IF(Cotations!$AQ$4="monthly",WG107/12*L107,WG107/365*M107))</f>
        <v/>
      </c>
      <c r="WI107" s="489" t="str">
        <f>IF(A107=FALSE,"",Cotations!$AR$4)</f>
        <v/>
      </c>
      <c r="WJ107" s="300" t="str">
        <f t="shared" si="820"/>
        <v/>
      </c>
      <c r="WK107" s="300" t="str">
        <f t="shared" si="821"/>
        <v/>
      </c>
      <c r="WL107" s="294" t="str">
        <f t="shared" si="822"/>
        <v/>
      </c>
      <c r="WM107" s="494" t="str">
        <f>IF(A107=FALSE,"",Cotations!$AS$4)</f>
        <v/>
      </c>
      <c r="WN107" s="494" t="str">
        <f>IF(A107=FALSE,"",Cotations!$AT$4)</f>
        <v/>
      </c>
      <c r="WO107" s="489" t="str">
        <f>IF(A107=FALSE,"",Cotations!$AU$4)</f>
        <v/>
      </c>
      <c r="WP107" s="494" t="str">
        <f>IF(A107=FALSE,"",IF(WM107="N/A",0,IF(INDEX(LISTES!$F$105:$F$109,MATCH(WM107,LISTES!$C$105:$C$109,0))="FIX",IF(INDEX(LISTES!$E$105:$E$109,MATCH(WM107,LISTES!$C$105:$C$109,0))=12,WN107/12*L107,WN107/365*M107),WO107*WL107)))</f>
        <v/>
      </c>
      <c r="WQ107" s="294" t="str">
        <f t="shared" si="823"/>
        <v/>
      </c>
      <c r="WR107" s="494" t="str">
        <f>IF(A107=FALSE,"",WQ107*Cotations!$AV$4)</f>
        <v/>
      </c>
      <c r="WS107" s="494" t="str">
        <f>IF(A107=FALSE,"",WQ107*Cotations!$AW$4)</f>
        <v/>
      </c>
      <c r="WT107" s="465" t="str">
        <f t="shared" si="824"/>
        <v/>
      </c>
      <c r="WU107" s="919" t="str">
        <f>IF(A107=FALSE,"",((WG107*TAXE)-(WG107*TAXE*WI107))+IF(WM107="N/A",0,IF(INDEX(LISTES!$F$105:$F$109,MATCH(WM107,LISTES!$C$105:$C$109,0))="FIX",WN107,WO107*WL107)))</f>
        <v/>
      </c>
    </row>
    <row r="108" spans="1:619">
      <c r="A108" s="942" t="b">
        <f t="shared" si="629"/>
        <v>0</v>
      </c>
      <c r="B108" s="942" t="b">
        <f>IF(NAMES!$B$9=TRUE,TRUE,FALSE)</f>
        <v>1</v>
      </c>
      <c r="C108" s="942" t="b">
        <f t="shared" si="825"/>
        <v>0</v>
      </c>
      <c r="D108" s="942" t="b">
        <f t="shared" si="826"/>
        <v>0</v>
      </c>
      <c r="E108" s="274" t="b">
        <f>IF(Cotations!C108="","",Cotations!C108)</f>
        <v>0</v>
      </c>
      <c r="F108" s="274" t="str">
        <f>IF(Cotations!D108="","",Cotations!D108)</f>
        <v>PROP</v>
      </c>
      <c r="G108" s="274" t="str">
        <f>IF(Cotations!E108="","",Cotations!E108)</f>
        <v>2016-2017!</v>
      </c>
      <c r="H108" s="274" t="str">
        <f>IF(Cotations!F108="","",Cotations!F108)</f>
        <v>SINGLE</v>
      </c>
      <c r="I108" s="274" t="str">
        <f>IF(Cotations!G108="","",Cotations!G108)</f>
        <v/>
      </c>
      <c r="J108" s="274" t="str">
        <f>IF(Cotations!H108="","",Cotations!H108)</f>
        <v/>
      </c>
      <c r="K108" s="274" t="str">
        <f>IF(Cotations!I108="","",Cotations!I108)</f>
        <v/>
      </c>
      <c r="L108" s="274" t="str">
        <f>IF(A108=FALSE,"",IF(Cotations!N108="","",Cotations!N108))</f>
        <v/>
      </c>
      <c r="M108" s="274" t="str">
        <f>IF(Cotations!P108="","",Cotations!P108)</f>
        <v/>
      </c>
      <c r="N108" s="724" t="str">
        <f>IF(NAMES!$B$10=TRUE,Cotations!J108,Cotations!L108)</f>
        <v/>
      </c>
      <c r="O108" s="724" t="str">
        <f>IF(NAMES!$B$10=TRUE,Cotations!K108,Cotations!M108)</f>
        <v/>
      </c>
      <c r="P108" s="943" t="str">
        <f t="shared" si="827"/>
        <v/>
      </c>
      <c r="Q108" s="724" t="str">
        <f>IF(A108=FALSE,"",IF(Crewlist!Y108="","",Crewlist!Y108))</f>
        <v/>
      </c>
      <c r="R108" s="78" t="str">
        <f>IF(Cotations!U108="","",Cotations!U108)</f>
        <v/>
      </c>
      <c r="S108" s="943" t="str">
        <f t="shared" si="828"/>
        <v/>
      </c>
      <c r="T108" s="919" t="str">
        <f>IF(A108=FALSE,"",VLOOKUP($U$15:$U$120,Currency!$A$2:$D$10,4,0)*Crewlist!N108)</f>
        <v/>
      </c>
      <c r="U108" s="1355" t="str">
        <f>IF(A108=FALSE,"",IF(IT108=0,Crewlist!M108&amp;"/"&amp;EX108,Crewlist!M108&amp;"/"&amp;IT108))</f>
        <v/>
      </c>
      <c r="V108" s="919" t="str">
        <f>IF(A108=FALSE,"",VLOOKUP($U$15:$U$120,Currency!$A$2:$D$10,4,0)*Detail!Q108)</f>
        <v/>
      </c>
      <c r="W108" s="1355" t="str">
        <f>IF(A108=FALSE,"",IF(IT108=0,Detail!R108&amp;"/"&amp;EX108,Detail!R108&amp;"/"&amp;IT108))</f>
        <v/>
      </c>
      <c r="X108" s="919" t="str">
        <f>IF(A108=FALSE,"",IF(LISTES!$C$17="Crewlist",Calcul!T108,Calcul!V108))</f>
        <v/>
      </c>
      <c r="Y108" s="758" t="str">
        <f t="shared" si="829"/>
        <v/>
      </c>
      <c r="Z108" s="758" t="str">
        <f>IF(A108=FALSE,"",IF(X108=0,0,IF((Cotations!BC108*12*X108)&lt;50000,50000,(12*X108))))</f>
        <v/>
      </c>
      <c r="AA108" s="758" t="str">
        <f t="shared" si="830"/>
        <v/>
      </c>
      <c r="AB108" s="758" t="str">
        <f>IF(A108=FALSE,"",IF(Crewlist!O108=0,"",Crewlist!O108))</f>
        <v/>
      </c>
      <c r="AC108" s="758" t="str">
        <f>IF(I108="","",VLOOKUP($AB$15:$AB$120,Currency!$A$15:$B$34,2,0))</f>
        <v/>
      </c>
      <c r="AD108" s="758" t="str">
        <f t="shared" si="831"/>
        <v/>
      </c>
      <c r="AE108" s="758" t="str">
        <f t="shared" si="832"/>
        <v/>
      </c>
      <c r="AF108" s="758" t="str">
        <f t="shared" si="833"/>
        <v/>
      </c>
      <c r="AG108" s="758" t="str">
        <f t="shared" si="834"/>
        <v/>
      </c>
      <c r="AH108" s="1355" t="str">
        <f t="shared" si="630"/>
        <v/>
      </c>
      <c r="AI108" s="919" t="str">
        <f t="shared" si="835"/>
        <v/>
      </c>
      <c r="AJ108" s="1382" t="str">
        <f t="shared" si="836"/>
        <v/>
      </c>
      <c r="AK108" s="1382" t="str">
        <f t="shared" si="837"/>
        <v/>
      </c>
      <c r="AL108" s="238" t="str">
        <f t="shared" si="631"/>
        <v/>
      </c>
      <c r="AM108" s="238" t="str">
        <f t="shared" si="632"/>
        <v/>
      </c>
      <c r="AN108" s="1374" t="str">
        <f t="shared" si="633"/>
        <v/>
      </c>
      <c r="AO108" s="238" t="str">
        <f t="shared" si="634"/>
        <v/>
      </c>
      <c r="AP108" s="342" t="str">
        <f>IF(A108=FALSE,"",INDEX(Rates!$Z$5:$Z$367,MATCH(EB108,colchoice,0)))</f>
        <v/>
      </c>
      <c r="AQ108" s="238" t="str">
        <f t="shared" si="635"/>
        <v/>
      </c>
      <c r="AR108" s="238" t="str">
        <f t="shared" si="636"/>
        <v/>
      </c>
      <c r="AS108" s="238" t="str">
        <f t="shared" si="637"/>
        <v/>
      </c>
      <c r="AT108" s="238" t="str">
        <f t="shared" si="638"/>
        <v/>
      </c>
      <c r="AU108" s="238" t="str">
        <f t="shared" si="639"/>
        <v/>
      </c>
      <c r="AV108" s="238" t="str">
        <f t="shared" si="838"/>
        <v/>
      </c>
      <c r="AW108" s="238" t="str">
        <f t="shared" si="640"/>
        <v/>
      </c>
      <c r="AX108" s="238" t="str">
        <f t="shared" si="641"/>
        <v/>
      </c>
      <c r="AY108" s="238" t="str">
        <f t="shared" si="642"/>
        <v/>
      </c>
      <c r="AZ108" s="238" t="str">
        <f t="shared" si="643"/>
        <v/>
      </c>
      <c r="BA108" s="238" t="str">
        <f t="shared" si="644"/>
        <v/>
      </c>
      <c r="BB108" s="552" t="str">
        <f t="shared" si="645"/>
        <v/>
      </c>
      <c r="BC108" s="347" t="str">
        <f t="shared" si="646"/>
        <v/>
      </c>
      <c r="BD108" s="239" t="str">
        <f t="shared" si="839"/>
        <v/>
      </c>
      <c r="BE108" s="239" t="str">
        <f>IF(A108=FALSE,"",IF(ALLTHESAME=TRUE,IF(DF108&lt;&gt;$BC$7,0,INDEX(DD108:DZ108,1,MATCH(Structure!$D$12,$DD$14:$DZ$14,0))),IF(EC108&lt;&gt;$BC$7,0,INDEX(EA108:EZ108,1,MATCH(Structure!$D$12,$EA$14:$EZ$14,0)))))</f>
        <v/>
      </c>
      <c r="BF108" s="239" t="str">
        <f>IF(A108=FALSE,"",IF(ALLTHESAME=TRUE,IF(FC108&lt;&gt;$BC$7,0,INDEX(FA108:FZ108,1,MATCH(Structure!$D$12,$FA$14:$FZ$14,0))),IF(GC108&lt;&gt;$BC$7,0,INDEX(GA108:GZ108,1,MATCH(Structure!$D$12,$GA$14:$GZ$14,0)))))</f>
        <v/>
      </c>
      <c r="BG108" s="239" t="str">
        <f>IF(A108=FALSE,"",IF(ALLTHESAME=TRUE,IF(VC108&lt;&gt;$BC$7,0,INDEX(VA108:VZ108,1,MATCH(Structure!$D$12,$VA$14:$VZ$14,0))),IF(VC108&lt;&gt;$BC$7,0,INDEX(VA108:VZ108,1,MATCH(Structure!$D$12,$VA$14:$VZ$14,0)))))</f>
        <v/>
      </c>
      <c r="BH108" s="239" t="str">
        <f>IF(A108=FALSE,"",IF(ALLTHESAME=TRUE,IF(WC108&lt;&gt;$BC$7,0,INDEX(WA108:WY108,1,MATCH(Structure!$D$12,$WA$14:$WZ$14,0))),IF(WC108&lt;&gt;$BC$7,0,INDEX(WA108:WZ108,1,MATCH(Structure!$D$12,$WA$14:$WZ$14,0)))))</f>
        <v/>
      </c>
      <c r="BI108" s="763" t="str">
        <f>IF(A108=FALSE,"",IF(ALLTHESAME=TRUE,IF(HC108&lt;&gt;$BC$7,0,INDEX(HA108:HZ108,1,MATCH(Structure!$D$12,$HA$14:$HZ$14,0)))+TK108,IF(IC108&lt;&gt;$BC$7,0,INDEX(IA108:IZ108,1,MATCH(Structure!$D$12,$IA$14:$IZ$14,0)))+TK108))</f>
        <v/>
      </c>
      <c r="BJ108" s="239" t="str">
        <f>IF(A108=FALSE,"",IF(ALLTHESAME=TRUE,IF(JC108&lt;&gt;$BC$7,0,INDEX(JA108:JZ108,1,MATCH(Structure!$D$12,$JA$14:$JZ$14,0))),IF(KC108&lt;&gt;$BC$7,0,INDEX(KA108:KZ108,1,MATCH(Structure!$D$12,$KA$14:$KZ$14,0)))))</f>
        <v/>
      </c>
      <c r="BK108" s="763" t="str">
        <f>IF(A108=FALSE,"",IF(ALLTHESAME=TRUE,IF(LC108&lt;&gt;$BC$7,0,INDEX(LA108:LZ108,1,MATCH(Structure!$D$12,$LA$14:$LZ$14,0)))+UK108,IF(MC108&lt;&gt;$BC$7,0,INDEX(MA108:MZ108,1,MATCH(Structure!$D$12,$MA$14:$MZ$14,0)))+UK108))</f>
        <v/>
      </c>
      <c r="BL108" s="239" t="str">
        <f>IF(A108=FALSE,"",IF(ALLTHESAME=TRUE,IF(NC108&lt;&gt;$BC$7,0,INDEX(NA108:NZ108,1,MATCH(Structure!$D$12,$NA$14:$NZ$14,0))),IF(OC108&lt;&gt;$BC$7,0,INDEX(OA108:OZ108,1,MATCH(Structure!$D$12,$OA$14:$OZ$14,0)))))</f>
        <v/>
      </c>
      <c r="BM108" s="239" t="str">
        <f>IF(A108=FALSE,"",IF(ALLTHESAME=TRUE,IF(PC108&lt;&gt;$BC$7,0,INDEX(PA108:PZ108,1,MATCH(Structure!$D$12,$PA$14:$PZ$14,0))),IF(QC108&lt;&gt;$BC$7,0,INDEX(QA108:QZ108,1,MATCH(Structure!$D$12,$QA$14:$QZ$14,0)))))</f>
        <v/>
      </c>
      <c r="BN108" s="341" t="str">
        <f>IF(A108=FALSE,"",IF(ALLTHESAME=TRUE,IF(RC108&lt;&gt;$BC$7,0,INDEX(RA108:RZ108,1,MATCH(Structure!$D$12,$RA$14:$RZ$14,0))),IF(SC108&lt;&gt;$BC$7,0,INDEX(SA108:TA108,1,MATCH(Structure!$D$12,$SA$14:$TA$14,0)))))</f>
        <v/>
      </c>
      <c r="BO108" s="507" t="str">
        <f t="shared" si="647"/>
        <v/>
      </c>
      <c r="BP108" s="239" t="str">
        <f t="shared" si="648"/>
        <v/>
      </c>
      <c r="BQ108" s="239" t="str">
        <f>IF(A108=FALSE,"",IF(ALLTHESAME=TRUE,IF(DF108&lt;&gt;$BO$7,0,INDEX(DD108:DZ108,1,MATCH(Structure!$D$12,$DD$14:$DZ$14,0))),IF(EC108&lt;&gt;$BO$7,0,INDEX(EA108:EZ108,1,MATCH(Structure!$D$12,$EA$14:$EZ$14,0)))))</f>
        <v/>
      </c>
      <c r="BR108" s="239" t="str">
        <f>IF(A108=FALSE,"",IF(ALLTHESAME=TRUE,IF(FC108&lt;&gt;$BO$7,0,INDEX(FA108:FZ108,1,MATCH(Structure!$D$12,$FA$14:$FZ$14,0))),IF(GC108&lt;&gt;$BO$7,0,INDEX(GA108:GZ108,1,MATCH(Structure!$D$12,$GA$14:$GZ$14,0)))))</f>
        <v/>
      </c>
      <c r="BS108" s="239" t="str">
        <f>IF(A108=FALSE,"",IF(ALLTHESAME=TRUE,IF(HC108&lt;&gt;$BO$7,0,INDEX(HA108:HZ108,1,MATCH(Structure!$D$12,$HA$14:$HZ$14,0))),IF(IC108&lt;&gt;$BO$7,0,INDEX(IA108:IZ108,1,MATCH(Structure!$D$12,$IA$14:$IZ$14,0)))))</f>
        <v/>
      </c>
      <c r="BT108" s="239" t="str">
        <f>IF(A108=FALSE,"",IF(ALLTHESAME=TRUE,IF(JC108&lt;&gt;$BO$7,0,INDEX(JA108:JZ108,1,MATCH(Structure!$D$12,$JA$14:$JZ$14,0))),IF(KC108&lt;&gt;$BO$7,0,INDEX(KA108:KZ108,1,MATCH(Structure!$D$12,$KA$14:$KZ$14,0)))))</f>
        <v/>
      </c>
      <c r="BU108" s="239" t="str">
        <f>IF(A108=FALSE,"",IF(ALLTHESAME=TRUE,IF(LC108&lt;&gt;$BO$7,0,INDEX(LA108:LZ108,1,MATCH(Structure!$D$12,$LA$14:$LZ$14,0))),IF(MC108&lt;&gt;$BO$7,0,INDEX(MA108:MZ108,1,MATCH(Structure!$D$12,$MA$14:$MZ$14,0)))))</f>
        <v/>
      </c>
      <c r="BV108" s="239" t="str">
        <f>IF(A108=FALSE,"",IF(ALLTHESAME=TRUE,IF(NC108&lt;&gt;$BO$7,0,INDEX(NA108:NZ108,1,MATCH(Structure!$D$12,$NA$14:$NZ$14,0))),IF(OC108&lt;&gt;$BO$7,0,INDEX(OA108:OZ108,1,MATCH(Structure!$D$12,$OA$14:$OZ$14,0)))))</f>
        <v/>
      </c>
      <c r="BW108" s="239" t="str">
        <f>IF(A108=FALSE,"",IF(ALLTHESAME=TRUE,IF(PC108&lt;&gt;$BO$7,0,INDEX(PA108:PZ108,1,MATCH(Structure!$D$12,$PA$14:$PZ$14,0))),IF(QC108&lt;&gt;$BO$7,0,INDEX(QA108:QZ108,1,MATCH(Structure!$D$12,$QA$14:$QZ$14,0)))))</f>
        <v/>
      </c>
      <c r="BX108" s="341" t="str">
        <f>IF(A108=FALSE,"",IF(ALLTHESAME=TRUE,IF(RC108&lt;&gt;$BO$7,0,INDEX(RA108:RZ108,1,MATCH(Structure!$D$12,$RA$14:$RZ$14,0))),IF(SC108&lt;&gt;$BO$7,0,INDEX(SA108:TA108,1,MATCH(Structure!$D$12,$SA$14:$TA$14,0)))))</f>
        <v/>
      </c>
      <c r="BY108" s="347" t="str">
        <f t="shared" si="649"/>
        <v/>
      </c>
      <c r="BZ108" s="507" t="str">
        <f t="shared" si="650"/>
        <v/>
      </c>
      <c r="CA108" s="239" t="str">
        <f t="shared" si="651"/>
        <v/>
      </c>
      <c r="CB108" s="239" t="str">
        <f>IF(A108=FALSE,"",IF(ALLTHESAME=TRUE,INDEX(DD108:DZ108,MATCH(DF108,DF108:DF213,0),MATCH(Structure!$D$17,$DD$14:$DZ$14,0)),INDEX(EA108:EZ108,MATCH(EC108,EC108:EC213,0),MATCH(Structure!$D$17,$EA$14:$EZ$14,0))))</f>
        <v/>
      </c>
      <c r="CC108" s="239" t="str">
        <f>IF(A108=FALSE,"",IF(ALLTHESAME=TRUE,INDEX(FA108:FZ108,MATCH(FC108,FC108:FC213,0),MATCH(Structure!$D$17,$FA$14:$FZ$14,0)),INDEX(GA108:GZ108,MATCH(GC108,GC108:GC213,0),MATCH(Structure!$D$17,$GA$14:$GZ$14,0))))</f>
        <v/>
      </c>
      <c r="CD108" s="239" t="str">
        <f>IF(A108=FALSE,"",IF(ALLTHESAME=TRUE,INDEX(HA108:HZ108,MATCH(HC108,HC108:HC213,0),MATCH(Structure!$D$17,$HA$14:$HZ$14,0)),INDEX(IA108:IZ108,MATCH(IC108,IC108:IC213,0),MATCH(Structure!$D$17,$IA$14:$IZ$14,0))))</f>
        <v/>
      </c>
      <c r="CE108" s="239" t="str">
        <f>IF(A108=FALSE,"",IF(ALLTHESAME=TRUE,INDEX(JA108:JZ108,MATCH(JC108,JC108:JC213,0),MATCH(Structure!$D$17,$JA$14:$JZ$14,0)),INDEX(KA108:KZ108,MATCH(KC108,KC108:KC213,0),MATCH(Structure!$D$17,$KA$14:$KZ$14,0))))</f>
        <v/>
      </c>
      <c r="CF108" s="239" t="str">
        <f>IF(A108=FALSE,"",IF(ALLTHESAME=TRUE,INDEX(LA108:LZ108,MATCH(LC108,LC108:LC213,0),MATCH(Structure!$D$17,$LA$14:$LZ$14,0)),INDEX(MA108:MZ108,MATCH(MC108,MC108:MC213,0),MATCH(Structure!$D$17,$MA$14:$MZ$14,0))))</f>
        <v/>
      </c>
      <c r="CG108" s="239" t="str">
        <f>IF(A108=FALSE,"",IF(ALLTHESAME=TRUE,INDEX(NA108:NZ108,MATCH(NC108,NC108:NC213,0),MATCH(Structure!$D$17,$NA$14:$NZ$14,0)),INDEX(OA108:OZ108,MATCH(OC108,OC108:OC213,0),MATCH(Structure!$D$17,$OA$14:$OZ$14,0))))</f>
        <v/>
      </c>
      <c r="CH108" s="239" t="str">
        <f>IF(A108=FALSE,"",IF(ALLTHESAME=TRUE,INDEX(PA108:PZ108,MATCH(PC108,PC108:PC213,0),MATCH(Structure!$D$17,$PA$14:$PZ$14,0)),INDEX(QA108:QZ108,MATCH(QC108,QC108:QC213,0),MATCH(Structure!$D$17,$QA$14:$QZ$14,0))))</f>
        <v/>
      </c>
      <c r="CI108" s="341" t="str">
        <f>IF(A108=FALSE,"",IF(ALLTHESAME=TRUE,INDEX(RA108:RZ108,MATCH(RC108,RC108:RC213,0),MATCH(Structure!$D$17,$RA$14:$RZ$14,0)),INDEX(SA108:TC108,MATCH(SC108,SC108:SC213,0),MATCH(Structure!$D$17,$SA$14:$TC$14,0))))</f>
        <v/>
      </c>
      <c r="CJ108" s="347"/>
      <c r="CK108" s="239" t="str">
        <f t="shared" si="652"/>
        <v/>
      </c>
      <c r="CL108" s="239" t="str">
        <f>IF(A108=FALSE,"",IF(ALLTHESAME=TRUE,INDEX(DD108:DZ108,MATCH(DF108,DF108:DF213,0),MATCH(Structure!$D$22,$DD$14:$DZ$14,0)),INDEX(EA108:EZ108,MATCH(EC108,EC108:EC213,0),MATCH(Structure!$D$22,$EA$14:$EZ$14,0))))</f>
        <v/>
      </c>
      <c r="CM108" s="239" t="str">
        <f>IF(A108=FALSE,"",IF(ALLTHESAME=TRUE,INDEX(FA108:FZ108,MATCH(FC108,FC108:FC213,0),MATCH(Structure!$D$22,$FA$14:$FZ$14,0)),INDEX(GA108:GZ108,MATCH(GC108,GC108:GC213,0),MATCH(Structure!$D$22,$GA$14:$GZ$14,0))))</f>
        <v/>
      </c>
      <c r="CN108" s="239" t="str">
        <f>IF(A108=FALSE,"",IF(ALLTHESAME=TRUE,INDEX(HA108:HZ108,MATCH(HC108,HC108:HC213,0),MATCH(Structure!$D$22,$HA$14:$HZ$14,0)),INDEX(IA108:IZ108,MATCH(IC108,IC108:IC213,0),MATCH(Structure!$D$22,$IA$14:$IZ$14,0))))</f>
        <v/>
      </c>
      <c r="CO108" s="239" t="str">
        <f>IF(A108=FALSE,"",IF(ALLTHESAME=TRUE,INDEX(JA108:JZ108,MATCH(JC108,JC108:JC213,0),MATCH(Structure!$D$22,$JA$14:$JZ$14,0)),INDEX(KA108:KZ108,MATCH(KC108,KC108:KC213,0),MATCH(Structure!$D$22,$KA$14:$KZ$14,0))))</f>
        <v/>
      </c>
      <c r="CP108" s="239" t="str">
        <f>IF(A108=FALSE,"",IF(ALLTHESAME=TRUE,INDEX(LA108:LZ108,MATCH(LC108,LC108:LC213,0),MATCH(Structure!$D$22,$LA$14:$LZ$14,0)),INDEX(MA108:MZ108,MATCH(MC108,MC108:MC213,0),MATCH(Structure!$D$22,$MA$14:$MZ$14,0))))</f>
        <v/>
      </c>
      <c r="CQ108" s="239" t="str">
        <f>IF(A108=FALSE,"",IF(ALLTHESAME=TRUE,INDEX(NA108:NZ108,MATCH(NC108,NC108:NC213,0),MATCH(Structure!$D$22,$NA$14:$NZ$14,0)),INDEX(OA108:OZ108,MATCH(OC108,OC108:OC213,0),MATCH(Structure!$D$22,$OA$14:$OZ$14,0))))</f>
        <v/>
      </c>
      <c r="CR108" s="239" t="str">
        <f>IF(A108=FALSE,"",IF(ALLTHESAME=TRUE,INDEX(PA108:PZ108,MATCH(PC108,PC108:PC213,0),MATCH(Structure!$D$22,$PA$14:$PZ$14,0)),INDEX(QA108:QZ108,MATCH(QC108,QC108:QC213,0),MATCH(Structure!$D$22,$QA$14:$QZ$14,0))))</f>
        <v/>
      </c>
      <c r="CS108" s="341" t="str">
        <f>IF(A108=FALSE,"",IF(ALLTHESAME=TRUE,INDEX(RA108:RZ108,MATCH(RC108,RC108:RC213,0),MATCH(Structure!$D$22,$RA$14:$RZ$14,0)),INDEX(SA108:TC108,MATCH(SC108,SC108:SC213,0),MATCH(Structure!$D$22,$SA$14:$TC$14,0))))</f>
        <v/>
      </c>
      <c r="CT108" s="347"/>
      <c r="CU108" s="239" t="str">
        <f t="shared" si="653"/>
        <v/>
      </c>
      <c r="CV108" s="239" t="str">
        <f>IF(A108=FALSE,"",IF(ALLTHESAME=TRUE,INDEX(DD108:DZ108,MATCH(DF108,DF108:DF213,0),MATCH(Structure!$D$8,$DD$14:$DZ$14,0)),INDEX(EA108:EZ108,MATCH(EC108,EC108:EC213,0),MATCH(Structure!$D$8,$EA$14:$EZ$14,0))))</f>
        <v/>
      </c>
      <c r="CW108" s="239" t="str">
        <f>IF(A108=FALSE,"",IF(ALLTHESAME=TRUE,INDEX(FA108:FZ108,MATCH(FC108,FC108:FC213,0),MATCH(Structure!$D$8,$FA$14:$FZ$14,0)),INDEX(GA108:GZ108,MATCH(GC108,GC108:GC213,0),MATCH(Structure!$D$8,$GA$14:$GZ$14,0))))</f>
        <v/>
      </c>
      <c r="CX108" s="239" t="str">
        <f>IF(A108=FALSE,"",IF(ALLTHESAME=TRUE,INDEX(HA108:HZ108,MATCH(HC108,HC108:HC213,0),MATCH(Structure!$D$8,$HA$14:$HZ$14,0)),INDEX(IA108:IZ108,MATCH(IC108,IC108:IC213,0),MATCH(Structure!$D$8,$IA$14:$IZ$14,0))))</f>
        <v/>
      </c>
      <c r="CY108" s="239" t="str">
        <f>IF(A108=FALSE,"",IF(ALLTHESAME=TRUE,INDEX(JA108:JZ108,MATCH(JC108,JC108:JC213,0),MATCH(Structure!$D$8,$JA$14:$JZ$14,0)),INDEX(KA108:KZ108,MATCH(KC108,KC108:KC213,0),MATCH(Structure!$D$8,$KA$14:$KZ$14,0))))</f>
        <v/>
      </c>
      <c r="CZ108" s="239" t="str">
        <f>IF(A108=FALSE,"",IF(ALLTHESAME=TRUE,INDEX(LA108:LZ108,MATCH(LC108,LC108:LC213,0),MATCH(Structure!$D$8,$LA$14:$LZ$14,0)),INDEX(MA108:MZ108,MATCH(MC108,MC108:MC213,0),MATCH(Structure!$D$8,$MA$14:$MZ$14,0))))</f>
        <v/>
      </c>
      <c r="DA108" s="239" t="str">
        <f>IF(A108=FALSE,"",IF(ALLTHESAME=TRUE,INDEX(NA108:NZ108,MATCH(NC108,NC108:NC213,0),MATCH(Structure!$D$8,$NA$14:$NZ$14,0)),INDEX(OA108:OZ108,MATCH(OC108,OC108:OC213,0),MATCH(Structure!$D$8,$OA$14:$OZ$14,0))))</f>
        <v/>
      </c>
      <c r="DB108" s="239" t="str">
        <f>IF(A108=FALSE,"",IF(ALLTHESAME=TRUE,INDEX(PA108:PZ108,MATCH(PC108,PC108:PC213,0),MATCH(Structure!$D$8,$PA$14:$PZ$14,0)),INDEX(QA108:QZ108,MATCH(QC108,QC108:QC213,0),MATCH(Structure!$D$8,$QA$14:$QZ$14,0))))</f>
        <v/>
      </c>
      <c r="DC108" s="341" t="str">
        <f>IF(A108=FALSE,"",IF(ALLTHESAME=TRUE,INDEX(RA108:RZ108,MATCH(RC108,RC108:RC213,0),MATCH(Structure!$D$8,$RA$14:$RZ$14,0)),INDEX(SA108:TC108,MATCH(SC108,SC108:SC213,0),MATCH(Structure!$D$8,$SA$14:$TC$14,0))))</f>
        <v/>
      </c>
      <c r="DD108" s="492" t="str">
        <f>IF(A108=FALSE,"",Cotations!D108)</f>
        <v/>
      </c>
      <c r="DE108" s="492" t="str">
        <f>IF(A108=FALSE,"",IF(LISTES!$A$17=1,Cotations!AF108,Cotations!$AG$4))</f>
        <v/>
      </c>
      <c r="DF108" s="291" t="str">
        <f t="shared" si="654"/>
        <v/>
      </c>
      <c r="DG108" s="291" t="str">
        <f t="shared" si="655"/>
        <v/>
      </c>
      <c r="DH108" s="291"/>
      <c r="DI108" s="463"/>
      <c r="DJ108" s="463" t="str">
        <f t="shared" si="656"/>
        <v/>
      </c>
      <c r="DK108" s="522" t="str">
        <f>IF(A108=FALSE,"",IF(Cotations!$AH$4="monthly",DJ108/12*L108,DJ108/365*M108))</f>
        <v/>
      </c>
      <c r="DL108" s="489" t="str">
        <f>IF(A108=FALSE,"",Cotations!$AI$4)</f>
        <v/>
      </c>
      <c r="DM108" s="300" t="str">
        <f t="shared" si="657"/>
        <v/>
      </c>
      <c r="DN108" s="300" t="str">
        <f t="shared" si="658"/>
        <v/>
      </c>
      <c r="DO108" s="294" t="str">
        <f t="shared" si="659"/>
        <v/>
      </c>
      <c r="DP108" s="494" t="str">
        <f>IF(A108=FALSE,"",Cotations!$AJ$4)</f>
        <v/>
      </c>
      <c r="DQ108" s="494" t="str">
        <f>IF(A108=FALSE,"",Cotations!$AK$4)</f>
        <v/>
      </c>
      <c r="DR108" s="489" t="str">
        <f>IF(A108=FALSE,"",Cotations!$AL$4)</f>
        <v/>
      </c>
      <c r="DS108" s="494" t="str">
        <f>IF(A108=FALSE,"",IF(DP108="N/A",0,IF(INDEX(LISTES!$F$105:$F$109,MATCH(DP108,LISTES!$C$105:$C$109,0))="FIX",IF(INDEX(LISTES!$E$105:$E$109,MATCH(DP108,LISTES!$C$105:$C$109,0))=12,DQ108/12*L108,DQ108/365*M108),DR108*DO108)))</f>
        <v/>
      </c>
      <c r="DT108" s="294" t="str">
        <f t="shared" si="660"/>
        <v/>
      </c>
      <c r="DU108" s="294" t="str">
        <f>IF(A108=FALSE,"",DT108*Cotations!$AM$4)</f>
        <v/>
      </c>
      <c r="DV108" s="294" t="str">
        <f>IF(A108=FALSE,"",DT108*Cotations!$AN$4)</f>
        <v/>
      </c>
      <c r="DW108" s="465" t="str">
        <f t="shared" si="661"/>
        <v/>
      </c>
      <c r="DX108" s="919" t="str">
        <f>IF(A108=FALSE,"",((DJ108*TAXE)-(DJ108*TAXE*DL108))+IF(DP108="N/A",0,IF(INDEX(LISTES!$F$105:$F$109,MATCH(DP108,LISTES!$C$105:$C$109,0))="FIX",DQ108,DR108*DO108)))</f>
        <v/>
      </c>
      <c r="DY108" s="466"/>
      <c r="DZ108" s="466"/>
      <c r="EA108" s="492" t="str">
        <f>IF(A108=FALSE,"",Cotations!D108)</f>
        <v/>
      </c>
      <c r="EB108" s="494" t="str">
        <f>IF(A108=FALSE,"",IF(LISTES!$A$17=1,Cotations!AF108,Cotations!AG108))</f>
        <v/>
      </c>
      <c r="EC108" s="284" t="str">
        <f t="shared" si="662"/>
        <v/>
      </c>
      <c r="ED108" s="284" t="str">
        <f t="shared" si="663"/>
        <v/>
      </c>
      <c r="EE108" s="284"/>
      <c r="EF108" s="284"/>
      <c r="EG108" s="284" t="str">
        <f t="shared" si="664"/>
        <v/>
      </c>
      <c r="EH108" s="1365" t="str">
        <f t="shared" si="665"/>
        <v/>
      </c>
      <c r="EI108" s="1365" t="str">
        <f t="shared" si="666"/>
        <v/>
      </c>
      <c r="EJ108" s="515" t="str">
        <f>IF(A108=FALSE,"",IF(Cotations!AH108="monthly",EG108/12*L108,EG108/365*M108))</f>
        <v/>
      </c>
      <c r="EK108" s="1364" t="str">
        <f>IF(A108=FALSE,"",IF(Cotations!AH108="monthly",EI108/12*L108,EI108/365*M108))</f>
        <v/>
      </c>
      <c r="EL108" s="493" t="str">
        <f>IF(A108=FALSE,"",IF(Cotations!AI108="","",Cotations!AI108))</f>
        <v/>
      </c>
      <c r="EM108" s="284" t="str">
        <f t="shared" si="667"/>
        <v/>
      </c>
      <c r="EN108" s="284" t="str">
        <f t="shared" si="668"/>
        <v/>
      </c>
      <c r="EO108" s="1365" t="str">
        <f t="shared" si="840"/>
        <v/>
      </c>
      <c r="EP108" s="284" t="str">
        <f t="shared" si="669"/>
        <v/>
      </c>
      <c r="EQ108" s="515" t="str">
        <f>IF(A108=FALSE,"",Cotations!AJ108)</f>
        <v/>
      </c>
      <c r="ER108" s="515" t="str">
        <f>IF(A108=FALSE,"",IF(Cotations!AK108="","",Cotations!AK108))</f>
        <v/>
      </c>
      <c r="ES108" s="493" t="str">
        <f>IF(A108=FALSE,"",Cotations!AL108)</f>
        <v/>
      </c>
      <c r="ET108" s="515" t="str">
        <f>IF(A108=FALSE,"",IF(EQ108="N/A",0,IF(INDEX(LISTES!$F$105:$F$109,MATCH(EQ108,LISTES!$C$105:$C$109,0))="FIX",IF(INDEX(LISTES!$E$105:$E$109,MATCH(EQ108,LISTES!$C$105:$C$109,0))=12,ER108/12*L108,ER108/365*M108),ES108*EP108)))</f>
        <v/>
      </c>
      <c r="EU108" s="294" t="str">
        <f t="shared" si="670"/>
        <v/>
      </c>
      <c r="EV108" s="494" t="str">
        <f>IF(A108=FALSE,"",EU108*Cotations!AM108)</f>
        <v/>
      </c>
      <c r="EW108" s="494" t="str">
        <f>IF(A108=FALSE,"",EU108*Cotations!AN108)</f>
        <v/>
      </c>
      <c r="EX108" s="334" t="str">
        <f t="shared" si="671"/>
        <v/>
      </c>
      <c r="EY108" s="919" t="str">
        <f>IF(A108=FALSE,"",((EG108*TAXE)-(EG108*TAXE*EL108)+EH108)+IF(EQ108="N/A",0,IF(INDEX(LISTES!$F$105:$F$109,MATCH(EQ108,LISTES!$C$105:$C$109,0))="FIX",ER108,ES108*EP108)))</f>
        <v/>
      </c>
      <c r="FA108" s="492" t="str">
        <f>IF(A108=FALSE,"",Cotations!D108)</f>
        <v/>
      </c>
      <c r="FB108" s="519" t="str">
        <f>IF(A108=FALSE,"",IF(LISTES!$A$17=1,Cotations!AO108,Cotations!$AP$4))</f>
        <v/>
      </c>
      <c r="FC108" s="291" t="str">
        <f t="shared" si="672"/>
        <v/>
      </c>
      <c r="FD108" s="291" t="str">
        <f t="shared" si="673"/>
        <v/>
      </c>
      <c r="FE108" s="291"/>
      <c r="FF108" s="463"/>
      <c r="FG108" s="463" t="str">
        <f t="shared" si="674"/>
        <v/>
      </c>
      <c r="FH108" s="522" t="str">
        <f>IF(A108=FALSE,"",IF(Cotations!$AQ$4="monthly",FG108/12*L108,FG108/365*M108))</f>
        <v/>
      </c>
      <c r="FI108" s="453" t="str">
        <f>IF(A108=FALSE,"",Cotations!$AR$4)</f>
        <v/>
      </c>
      <c r="FJ108" s="300" t="str">
        <f t="shared" si="675"/>
        <v/>
      </c>
      <c r="FK108" s="300" t="str">
        <f t="shared" si="676"/>
        <v/>
      </c>
      <c r="FL108" s="294" t="str">
        <f t="shared" si="677"/>
        <v/>
      </c>
      <c r="FM108" s="494" t="str">
        <f>IF(A108=FALSE,"",Cotations!$AS$4)</f>
        <v/>
      </c>
      <c r="FN108" s="494" t="str">
        <f>IF(A108=FALSE,"",Cotations!$AT$4)</f>
        <v/>
      </c>
      <c r="FO108" s="489" t="str">
        <f>IF(A108=FALSE,"",Cotations!$AU$4)</f>
        <v/>
      </c>
      <c r="FP108" s="494" t="str">
        <f>IF(A108=FALSE,"",IF(FM108="N/A",0,IF(INDEX(LISTES!$F$105:$F$109,MATCH(FM108,LISTES!$C$105:$C$109,0))="FIX",IF(INDEX(LISTES!$E$105:$E$109,MATCH(FM108,LISTES!$C$105:$C$109,0))=12,FN108/12*L108,FN108/365*M108),FO108*FL108)))</f>
        <v/>
      </c>
      <c r="FQ108" s="294" t="str">
        <f t="shared" si="678"/>
        <v/>
      </c>
      <c r="FR108" s="494" t="str">
        <f>IF(A108=FALSE,"",FQ108*Cotations!$AV$4)</f>
        <v/>
      </c>
      <c r="FS108" s="494" t="str">
        <f>IF(A108=FALSE,"",FQ108*Cotations!$AW$4)</f>
        <v/>
      </c>
      <c r="FT108" s="465" t="str">
        <f t="shared" si="679"/>
        <v/>
      </c>
      <c r="FU108" s="919" t="str">
        <f>IF(A108=FALSE,"",((FG108*TAXE)-(FG108*TAXE*FI108))+IF(FM108="N/A",0,IF(INDEX(LISTES!$F$105:$F$109,MATCH(FM108,LISTES!$C$105:$C$109,0))="FIX",FN108,FO108*FL108)))</f>
        <v/>
      </c>
      <c r="FV108" s="478"/>
      <c r="FW108" s="478"/>
      <c r="FX108" s="478"/>
      <c r="FY108" s="478"/>
      <c r="FZ108" s="478"/>
      <c r="GA108" s="492" t="str">
        <f>IF(A108=FALSE,"",Cotations!D108)</f>
        <v/>
      </c>
      <c r="GB108" s="494" t="str">
        <f>IF(A108=FALSE,"",IF(LISTES!$A$17=1,Cotations!AO108,Cotations!AP108))</f>
        <v/>
      </c>
      <c r="GC108" s="284" t="str">
        <f t="shared" si="680"/>
        <v/>
      </c>
      <c r="GD108" s="515" t="str">
        <f>IF(A108=FALSE,"",IF(Detail!AM108="","",Detail!AM108))</f>
        <v/>
      </c>
      <c r="GE108" s="284"/>
      <c r="GF108" s="284"/>
      <c r="GG108" s="284" t="str">
        <f t="shared" si="681"/>
        <v/>
      </c>
      <c r="GH108" s="515" t="str">
        <f>IF(A108=FALSE,"",IF(Cotations!AQ108="monthly",GG108/12*L108,GG108/365*M108))</f>
        <v/>
      </c>
      <c r="GI108" s="493" t="str">
        <f>IF(A108=FALSE,"",IF(Cotations!AR108="","",Cotations!AR108))</f>
        <v/>
      </c>
      <c r="GJ108" s="284" t="str">
        <f t="shared" si="682"/>
        <v/>
      </c>
      <c r="GK108" s="284" t="str">
        <f t="shared" si="683"/>
        <v/>
      </c>
      <c r="GL108" s="284" t="str">
        <f t="shared" si="684"/>
        <v/>
      </c>
      <c r="GM108" s="515" t="str">
        <f>IF(A108=FALSE,"",Cotations!AS108)</f>
        <v/>
      </c>
      <c r="GN108" s="515" t="str">
        <f>IF(A108=FALSE,"",Cotations!AT108)</f>
        <v/>
      </c>
      <c r="GO108" s="493" t="str">
        <f>IF(A108=FALSE,"",Cotations!AU108)</f>
        <v/>
      </c>
      <c r="GP108" s="515" t="str">
        <f>IF(A108=FALSE,"",IF(GM108="N/A",0,IF(INDEX(LISTES!$F$105:$F$109,MATCH(GM108,LISTES!$C$105:$C$109,0))="FIX",IF(INDEX(LISTES!$E$105:$E$109,MATCH(GM108,LISTES!$C$105:$C$109,0))=12,GN108/12*L108,GN108/365*M108),GO108*GL108)))</f>
        <v/>
      </c>
      <c r="GQ108" s="294" t="str">
        <f t="shared" si="685"/>
        <v/>
      </c>
      <c r="GR108" s="494" t="str">
        <f>IF(A108=FALSE,"",GQ108*Cotations!AV108)</f>
        <v/>
      </c>
      <c r="GS108" s="494" t="str">
        <f>IF(A108=FALSE,"",GQ108*Cotations!AW108)</f>
        <v/>
      </c>
      <c r="GT108" s="334" t="str">
        <f t="shared" si="686"/>
        <v/>
      </c>
      <c r="GU108" s="919" t="str">
        <f>IF(A108=FALSE,"",((GG108*TAXE)-(GG108*TAXE*GI108))+IF(GM108="N/A",0,IF(INDEX(LISTES!$F$105:$F$109,MATCH(GM108,LISTES!$C$105:$C$109,0))="FIX",GN108,GO108*GL108)))</f>
        <v/>
      </c>
      <c r="GV108" s="478"/>
      <c r="GW108" s="466"/>
      <c r="GX108" s="466"/>
      <c r="GY108" s="466"/>
      <c r="GZ108" s="466"/>
      <c r="HA108" s="492" t="str">
        <f>IF(A108=FALSE,"",Cotations!D108)</f>
        <v/>
      </c>
      <c r="HB108" s="495" t="str">
        <f>IF(A108=FALSE,"",IF(LISTES!$A$17=1,Cotations!AX108,Cotations!$AY$4))</f>
        <v/>
      </c>
      <c r="HC108" s="291" t="str">
        <f t="shared" si="687"/>
        <v/>
      </c>
      <c r="HD108" s="291" t="str">
        <f t="shared" si="688"/>
        <v/>
      </c>
      <c r="HE108" s="456" t="str">
        <f t="shared" si="689"/>
        <v/>
      </c>
      <c r="HF108" s="496" t="str">
        <f>IF(A108=FALSE,"",IF(HA108="POEA",Cotations!BA108,IF(HA108="FIXE",Cotations!$BA$4,Cotations!$BC$4*Y108)))</f>
        <v/>
      </c>
      <c r="HG108" s="300" t="str">
        <f t="shared" si="690"/>
        <v/>
      </c>
      <c r="HH108" s="522" t="str">
        <f>IF(A108=FALSE,"",IF(Cotations!$AZ$4="monthly",HG108/12*L108,HG108/365*M108))</f>
        <v/>
      </c>
      <c r="HI108" s="489" t="str">
        <f>IF(A108=FALSE,"",Cotations!$BD$4)</f>
        <v/>
      </c>
      <c r="HJ108" s="300" t="str">
        <f t="shared" si="691"/>
        <v/>
      </c>
      <c r="HK108" s="300" t="str">
        <f t="shared" si="692"/>
        <v/>
      </c>
      <c r="HL108" s="294" t="str">
        <f t="shared" si="693"/>
        <v/>
      </c>
      <c r="HM108" s="494" t="str">
        <f>IF(A108=FALSE,"",Cotations!$BE$4)</f>
        <v/>
      </c>
      <c r="HN108" s="522" t="str">
        <f>IF(A108=FALSE,"",Cotations!$BF$4)</f>
        <v/>
      </c>
      <c r="HO108" s="489" t="str">
        <f>IF(A108=FALSE,"",Cotations!$BG$4)</f>
        <v/>
      </c>
      <c r="HP108" s="494" t="str">
        <f>IF(A108=FALSE,"",IF(HM108="N/A",0,IF(INDEX(LISTES!$F$105:$F$109,MATCH(HM108,LISTES!$C$105:$C$109,0))="FIX",IF(INDEX(LISTES!$E$105:$E$109,MATCH(HM108,LISTES!$C$105:$C$109,0))=12,HN108/12*L108,HN108/365*M108),HO108*HL108)))</f>
        <v/>
      </c>
      <c r="HQ108" s="294" t="str">
        <f t="shared" si="694"/>
        <v/>
      </c>
      <c r="HR108" s="494" t="str">
        <f>IF(A108=FALSE,"",HQ108*Cotations!$BH$4)</f>
        <v/>
      </c>
      <c r="HS108" s="494" t="str">
        <f>IF(A108=FALSE,"",HQ108*Cotations!$BI$4)</f>
        <v/>
      </c>
      <c r="HT108" s="294" t="str">
        <f t="shared" si="695"/>
        <v/>
      </c>
      <c r="HU108" s="919" t="str">
        <f>IF(A108=FALSE,"",((HG108*TAXE)-(HG108*TAXE*HI108))+IF(HM108="N/A",0,IF(INDEX(LISTES!$F$105:$F$109,MATCH(HM108,LISTES!$C$105:$C$109,0))="FIX",HN108,HO108*HL108)))</f>
        <v/>
      </c>
      <c r="IA108" s="492" t="str">
        <f>IF(A108=FALSE,"",Cotations!D108)</f>
        <v/>
      </c>
      <c r="IB108" s="491" t="str">
        <f>IF(A108=FALSE,"",IF(LISTES!$A$17=1,Cotations!AX108,Cotations!AY108))</f>
        <v/>
      </c>
      <c r="IC108" s="285" t="str">
        <f t="shared" si="696"/>
        <v/>
      </c>
      <c r="ID108" s="300" t="str">
        <f>IF(A108=FALSE,"",IF(LISTES!$A$17=3,Detail!AU108,lig1_Formula_PREVOY))</f>
        <v/>
      </c>
      <c r="IE108" s="461" t="str">
        <f t="shared" si="697"/>
        <v/>
      </c>
      <c r="IF108" s="490" t="str">
        <f>IF(A108=FALSE,"",IF(IA108="POEA",Cotations!BA108,IF(HA108="FIXE",Cotations!BB108,IF(Cotations!BC108*Y108&lt;50000,Z108,Cotations!BC108*Y108))))</f>
        <v/>
      </c>
      <c r="IG108" s="300" t="str">
        <f t="shared" si="698"/>
        <v/>
      </c>
      <c r="IH108" s="522" t="str">
        <f>IF(A108=FALSE,"",IF(Cotations!AZ108="monthly",IG108/12*L108,IG108/365*M108))</f>
        <v/>
      </c>
      <c r="II108" s="489" t="str">
        <f>IF(A108=FALSE,"",IF(Cotations!BD108="","",Cotations!BD108))</f>
        <v/>
      </c>
      <c r="IJ108" s="300" t="str">
        <f t="shared" si="699"/>
        <v/>
      </c>
      <c r="IK108" s="300" t="str">
        <f t="shared" si="700"/>
        <v/>
      </c>
      <c r="IL108" s="919" t="str">
        <f t="shared" si="701"/>
        <v/>
      </c>
      <c r="IM108" s="517" t="str">
        <f>IF(A108=FALSE,"",Cotations!BE108)</f>
        <v/>
      </c>
      <c r="IN108" s="517" t="str">
        <f>IF(A108=FALSE,"",Cotations!BF108)</f>
        <v/>
      </c>
      <c r="IO108" s="493" t="str">
        <f>IF(A108=FALSE,"",Cotations!BG108)</f>
        <v/>
      </c>
      <c r="IP108" s="517" t="str">
        <f>IF(A108=FALSE,"",IF(IM108="N/A",0,IF(INDEX(LISTES!$F$105:$F$109,MATCH(IM108,LISTES!$C$105:$C$109,0))="FIX",IF(INDEX(LISTES!$E$105:$E$109,MATCH(IM108,LISTES!$C$105:$C$109,0))=12,IN108/12*L108,IN108/365*M108),IO108*IL108)))</f>
        <v/>
      </c>
      <c r="IQ108" s="294" t="str">
        <f t="shared" si="702"/>
        <v/>
      </c>
      <c r="IR108" s="494" t="str">
        <f>IF(A108=FALSE,"",IQ108*Cotations!BH108)</f>
        <v/>
      </c>
      <c r="IS108" s="494" t="str">
        <f>IF(A108=FALSE,"",IQ108*Cotations!BI108)</f>
        <v/>
      </c>
      <c r="IT108" s="338" t="str">
        <f t="shared" si="703"/>
        <v/>
      </c>
      <c r="IU108" s="919" t="str">
        <f>IF(A108=FALSE,"",((IG108*TAXE)-(IG108*TAXE*II108))+IF(IM108="N/A",0,IF(INDEX(LISTES!$F$105:$F$109,MATCH(IM108,LISTES!$C$105:$C$109,0))="FIX",IN108,IO108*IL108)))</f>
        <v/>
      </c>
      <c r="JA108" s="492" t="str">
        <f>IF(A108=FALSE,"",Cotations!D108)</f>
        <v/>
      </c>
      <c r="JB108" s="495" t="str">
        <f>IF(A108=FALSE,"",IF(LISTES!$A$17=1,Cotations!BJ108,Cotations!$BK$4))</f>
        <v/>
      </c>
      <c r="JC108" s="291" t="str">
        <f t="shared" si="704"/>
        <v/>
      </c>
      <c r="JD108" s="291" t="str">
        <f t="shared" si="705"/>
        <v/>
      </c>
      <c r="JE108" s="456" t="str">
        <f t="shared" si="706"/>
        <v/>
      </c>
      <c r="JF108" s="496" t="str">
        <f>IF(A108=FALSE,"",IF(JA108="POEA",Cotations!BM108,IF(JA108="FIXE",Cotations!$BM$4,Cotations!$BO$4*Y108)))</f>
        <v/>
      </c>
      <c r="JG108" s="300" t="str">
        <f t="shared" si="707"/>
        <v/>
      </c>
      <c r="JH108" s="522" t="str">
        <f>IF(A108=FALSE,"",IF(Cotations!$BL$4="monthly",JG108/12*L108,JG108/365*M108))</f>
        <v/>
      </c>
      <c r="JI108" s="489" t="str">
        <f>IF(A108=FALSE,"",Cotations!$BP$4)</f>
        <v/>
      </c>
      <c r="JJ108" s="300" t="str">
        <f t="shared" si="708"/>
        <v/>
      </c>
      <c r="JK108" s="300" t="str">
        <f t="shared" si="709"/>
        <v/>
      </c>
      <c r="JL108" s="294" t="str">
        <f t="shared" si="710"/>
        <v/>
      </c>
      <c r="JM108" s="494" t="str">
        <f>IF(A108=FALSE,"",Cotations!$BQ$4)</f>
        <v/>
      </c>
      <c r="JN108" s="522" t="str">
        <f>IF(A108=FALSE,"",Cotations!$BR$4)</f>
        <v/>
      </c>
      <c r="JO108" s="489" t="str">
        <f>IF(A108=FALSE,"",Cotations!$BS$4)</f>
        <v/>
      </c>
      <c r="JP108" s="494" t="str">
        <f>IF(A108=FALSE,"",IF(JM108="N/A",0,IF(INDEX(LISTES!$F$105:$F$109,MATCH(JM108,LISTES!$C$105:$C$109,0))="FIX",IF(INDEX(LISTES!$E$105:$E$109,MATCH(JM108,LISTES!$C$105:$C$109,0))=12,JN108/12*L108,JN108/365*M108),JO108*JL108)))</f>
        <v/>
      </c>
      <c r="JQ108" s="294" t="str">
        <f t="shared" si="711"/>
        <v/>
      </c>
      <c r="JR108" s="494" t="str">
        <f>IF(A108=FALSE,"",JQ108*Cotations!$BT$4)</f>
        <v/>
      </c>
      <c r="JS108" s="494" t="str">
        <f>IF(A108=FALSE,"",JQ108*Cotations!$BU$4)</f>
        <v/>
      </c>
      <c r="JT108" s="294" t="str">
        <f t="shared" si="712"/>
        <v/>
      </c>
      <c r="JU108" s="919" t="str">
        <f>IF(A108=FALSE,"",((JG108*TAXE)-(JG108*TAXE*JI108))+IF(JM108="N/A",0,IF(INDEX(LISTES!$F$105:$F$109,MATCH(JM108,LISTES!$C$105:$C$109,0))="FIX",JN108,JO108*JL108)))</f>
        <v/>
      </c>
      <c r="KA108" s="492" t="str">
        <f>IF(A108=FALSE,"",Cotations!D108)</f>
        <v/>
      </c>
      <c r="KB108" s="491" t="str">
        <f>IF(A108=FALSE,"",IF(LISTES!$A$17=1,Cotations!BJ108,Cotations!BK108))</f>
        <v/>
      </c>
      <c r="KC108" s="285" t="str">
        <f t="shared" si="713"/>
        <v/>
      </c>
      <c r="KD108" s="300"/>
      <c r="KE108" s="461" t="str">
        <f t="shared" si="714"/>
        <v/>
      </c>
      <c r="KF108" s="490" t="str">
        <f>IF(A108=FALSE,"",IF(KA108="POEA",Cotations!BM108,IF(KA108="FIXE",Cotations!BN108,IF(Cotations!BO108*Y108&lt;50000,Z108,Cotations!BO108*Y108))))</f>
        <v/>
      </c>
      <c r="KG108" s="300" t="str">
        <f t="shared" si="715"/>
        <v/>
      </c>
      <c r="KH108" s="522" t="str">
        <f>IF(A108=FALSE,"",IF(Cotations!BL108="monthly",KG108/12*L108,KG108/365*M108))</f>
        <v/>
      </c>
      <c r="KI108" s="489" t="str">
        <f>IF(A108=FALSE,"",IF(Cotations!BP108="","",Cotations!BP108))</f>
        <v/>
      </c>
      <c r="KJ108" s="300" t="str">
        <f t="shared" si="716"/>
        <v/>
      </c>
      <c r="KK108" s="300" t="str">
        <f t="shared" si="717"/>
        <v/>
      </c>
      <c r="KL108" s="919" t="str">
        <f t="shared" si="718"/>
        <v/>
      </c>
      <c r="KM108" s="517" t="str">
        <f>IF(A108=FALSE,"",Cotations!BQ108)</f>
        <v/>
      </c>
      <c r="KN108" s="515" t="str">
        <f>IF(A108=FALSE,"",Cotations!BR108)</f>
        <v/>
      </c>
      <c r="KO108" s="493" t="str">
        <f>IF(A108=FALSE,"",Cotations!BS108)</f>
        <v/>
      </c>
      <c r="KP108" s="517" t="str">
        <f>IF(A108=FALSE,"",IF(KM108="N/A",0,IF(INDEX(LISTES!$F$105:$F$109,MATCH(KM108,LISTES!$C$105:$C$109,0))="FIX",IF(INDEX(LISTES!$E$105:$E$109,MATCH(KM108,LISTES!$C$105:$C$109,0))=12,KN108/12*L108,KN108/365*M108),KO108*KL108)))</f>
        <v/>
      </c>
      <c r="KQ108" s="294" t="str">
        <f t="shared" si="719"/>
        <v/>
      </c>
      <c r="KR108" s="494" t="str">
        <f>IF(A108=FALSE,"",KQ108*Cotations!BT108)</f>
        <v/>
      </c>
      <c r="KS108" s="494" t="str">
        <f>IF(A108=FALSE,"",KQ108*Cotations!BU108)</f>
        <v/>
      </c>
      <c r="KT108" s="338" t="str">
        <f t="shared" si="720"/>
        <v/>
      </c>
      <c r="KU108" s="919" t="str">
        <f>IF(A108=FALSE,"",((KG108*TAXE)-(KG108*TAXE*KI108))+IF(KM108="N/A",0,IF(INDEX(LISTES!$F$105:$F$109,MATCH(KM108,LISTES!$C$105:$C$109,0))="FIX",KN108,KO108*KL108)))</f>
        <v/>
      </c>
      <c r="LA108" s="497" t="str">
        <f>IF(A108=FALSE,"",Cotations!D108)</f>
        <v/>
      </c>
      <c r="LB108" s="498" t="str">
        <f>IF(A108=FALSE,"",IF(LISTES!$A$17=1,Cotations!BV108,Cotations!$BW$4))</f>
        <v/>
      </c>
      <c r="LC108" s="499" t="str">
        <f t="shared" si="721"/>
        <v/>
      </c>
      <c r="LD108" s="499" t="str">
        <f t="shared" si="722"/>
        <v/>
      </c>
      <c r="LE108" s="500" t="str">
        <f t="shared" si="723"/>
        <v/>
      </c>
      <c r="LF108" s="501" t="str">
        <f>IF(A108=FALSE,"",IF(LA108="POEA",Cotations!EJ108,IF(LA108="FIXE",Cotations!$BY$4,Cotations!$CA$4*Y108)))</f>
        <v/>
      </c>
      <c r="LG108" s="502" t="str">
        <f t="shared" si="724"/>
        <v/>
      </c>
      <c r="LH108" s="520" t="str">
        <f>IF(A108=FALSE,"",IF(Cotations!$BX$4="monthly",LG108/12*L108,LG108/365*M108))</f>
        <v/>
      </c>
      <c r="LI108" s="503" t="str">
        <f>IF(A108=FALSE,"",Cotations!$CB$4)</f>
        <v/>
      </c>
      <c r="LJ108" s="502" t="str">
        <f t="shared" si="725"/>
        <v/>
      </c>
      <c r="LK108" s="502" t="str">
        <f t="shared" si="726"/>
        <v/>
      </c>
      <c r="LL108" s="504" t="str">
        <f t="shared" si="727"/>
        <v/>
      </c>
      <c r="LM108" s="505" t="str">
        <f>IF(A108=FALSE,"",Cotations!$CC$4)</f>
        <v/>
      </c>
      <c r="LN108" s="503" t="str">
        <f>IF(A108=FALSE,"",Cotations!$CD$4)</f>
        <v/>
      </c>
      <c r="LO108" s="503" t="str">
        <f>IF(A108=FALSE,"",Cotations!$CE$4)</f>
        <v/>
      </c>
      <c r="LP108" s="505" t="str">
        <f>IF(A108=FALSE,"",IF(LM108="N/A",0,IF(INDEX(LISTES!$F$105:$F$109,MATCH(LM108,LISTES!$C$105:$C$109,0))="FIX",IF(INDEX(LISTES!$E$105:$E$109,MATCH(LM108,LISTES!$C$105:$C$109,0))=12,LN108/12*L108,LN108/365*M108),LO108*LL108)))</f>
        <v/>
      </c>
      <c r="LQ108" s="504" t="str">
        <f t="shared" si="728"/>
        <v/>
      </c>
      <c r="LR108" s="505" t="str">
        <f>IF(A108=FALSE,"",LQ108*Cotations!$CF$4)</f>
        <v/>
      </c>
      <c r="LS108" s="505" t="str">
        <f>IF(A108=FALSE,"",LQ108*Cotations!$CG$4)</f>
        <v/>
      </c>
      <c r="LT108" s="506" t="str">
        <f t="shared" si="729"/>
        <v/>
      </c>
      <c r="LU108" s="919" t="str">
        <f>IF(A108=FALSE,"",((LG108*TAXE)-(LG108*TAXE*LI108))+IF(LM108="N/A",0,IF(INDEX(LISTES!$F$105:$F$109,MATCH(LM108,LISTES!$C$105:$C$109,0))="FIX",LN108,LO108*LL108)))</f>
        <v/>
      </c>
      <c r="MA108" s="492" t="str">
        <f>IF(A108=FALSE,"",Cotations!D108)</f>
        <v/>
      </c>
      <c r="MB108" s="491" t="str">
        <f>IF(A108=FALSE,"",IF(LISTES!$A$17=1,Cotations!BV108,Cotations!BW108))</f>
        <v/>
      </c>
      <c r="MC108" s="285" t="str">
        <f t="shared" si="730"/>
        <v/>
      </c>
      <c r="MD108" s="300"/>
      <c r="ME108" s="461" t="str">
        <f t="shared" si="731"/>
        <v/>
      </c>
      <c r="MF108" s="490" t="str">
        <f>IF(A108=FALSE,"",IF(MA108="POEA",Cotations!BY108,IF(MA108="FIXE",Cotations!BZ108,IF(Cotations!CA108*Y108&lt;50000,Z108,Cotations!CA108*Y108))))</f>
        <v/>
      </c>
      <c r="MG108" s="300" t="str">
        <f t="shared" si="732"/>
        <v/>
      </c>
      <c r="MH108" s="522" t="str">
        <f>IF(A108=FALSE,"",IF(Cotations!BX108="monthly",MG108/12*L108,MG108/365*M108))</f>
        <v/>
      </c>
      <c r="MI108" s="489" t="str">
        <f>IF(A108=FALSE,"",IF(Cotations!CB108="","",Cotations!CB108))</f>
        <v/>
      </c>
      <c r="MJ108" s="300" t="str">
        <f t="shared" si="733"/>
        <v/>
      </c>
      <c r="MK108" s="300" t="str">
        <f t="shared" si="734"/>
        <v/>
      </c>
      <c r="ML108" s="919" t="str">
        <f t="shared" si="735"/>
        <v/>
      </c>
      <c r="MM108" s="517" t="str">
        <f>IF(A108=FALSE,"",Cotations!CC108)</f>
        <v/>
      </c>
      <c r="MN108" s="515" t="str">
        <f>IF(A108=FALSE,"",Cotations!CD108)</f>
        <v/>
      </c>
      <c r="MO108" s="493" t="str">
        <f>IF(A108=FALSE,"",Cotations!CE108)</f>
        <v/>
      </c>
      <c r="MP108" s="517" t="str">
        <f>IF(A108=FALSE,"",IF(MM108="N/A",0,IF(INDEX(LISTES!$F$105:$F$109,MATCH(MM108,LISTES!$C$105:$C$109,0))="FIX",IF(INDEX(LISTES!$E$105:$E$109,MATCH(MM108,LISTES!$C$105:$C$109,0))=12,MN108/12*L108,MN108/365*M108),MO108*ML108)))</f>
        <v/>
      </c>
      <c r="MQ108" s="294" t="str">
        <f t="shared" si="736"/>
        <v/>
      </c>
      <c r="MR108" s="494" t="str">
        <f>IF(A108=FALSE,"",MQ108*Cotations!CF108)</f>
        <v/>
      </c>
      <c r="MS108" s="494" t="str">
        <f>IF(A108=FALSE,"",MQ108*Cotations!CG108)</f>
        <v/>
      </c>
      <c r="MT108" s="338" t="str">
        <f t="shared" si="737"/>
        <v/>
      </c>
      <c r="MU108" s="919" t="str">
        <f>IF(A108=FALSE,"",((MG108*TAXE)-(MG108*TAXE*MI108))+IF(MM108="N/A",0,IF(INDEX(LISTES!$F$105:$F$109,MATCH(MM108,LISTES!$C$105:$C$109,0))="FIX",MN108,MO108*ML108)))</f>
        <v/>
      </c>
      <c r="NA108" s="497" t="str">
        <f>IF(A108=FALSE,"",Cotations!D108)</f>
        <v/>
      </c>
      <c r="NB108" s="498" t="str">
        <f>IF(A108=FALSE,"",IF(LISTES!$A$17=1,Cotations!CH108,Cotations!$CI$4))</f>
        <v/>
      </c>
      <c r="NC108" s="499" t="str">
        <f t="shared" si="738"/>
        <v/>
      </c>
      <c r="ND108" s="499" t="str">
        <f t="shared" si="739"/>
        <v/>
      </c>
      <c r="NE108" s="500" t="str">
        <f t="shared" si="740"/>
        <v/>
      </c>
      <c r="NF108" s="501" t="str">
        <f>IF(A108=FALSE,"",IF(NA108="POEA",Cotations!CK108,IF(NA108="FIXE",Cotations!$CK$4,Cotations!$CM$4*Y108)))</f>
        <v/>
      </c>
      <c r="NG108" s="502" t="str">
        <f t="shared" si="741"/>
        <v/>
      </c>
      <c r="NH108" s="520" t="str">
        <f>IF(A108=FALSE,"",IF(Cotations!$CJ$4="monthly",NG108/12*L108,NG108/365*M108))</f>
        <v/>
      </c>
      <c r="NI108" s="503" t="str">
        <f>IF(A108=FALSE,"",Cotations!$CN$4)</f>
        <v/>
      </c>
      <c r="NJ108" s="502" t="str">
        <f t="shared" si="742"/>
        <v/>
      </c>
      <c r="NK108" s="502" t="str">
        <f t="shared" si="743"/>
        <v/>
      </c>
      <c r="NL108" s="504" t="str">
        <f t="shared" si="744"/>
        <v/>
      </c>
      <c r="NM108" s="505" t="str">
        <f>IF(A108=FALSE,"",Cotations!$CO$4)</f>
        <v/>
      </c>
      <c r="NN108" s="520" t="str">
        <f>IF(A108=FALSE,"",Cotations!$CP$4)</f>
        <v/>
      </c>
      <c r="NO108" s="503" t="str">
        <f>IF(A108=FALSE,"",Cotations!$CQ$4)</f>
        <v/>
      </c>
      <c r="NP108" s="505" t="str">
        <f>IF(A108=FALSE,"",IF(NM108="N/A",0,IF(INDEX(LISTES!$F$105:$F$109,MATCH(NM108,LISTES!$C$105:$C$109,0))="FIX",IF(INDEX(LISTES!$E$105:$E$109,MATCH(NM108,LISTES!$C$105:$C$109,0))=12,NN108/12*L108,NN108/365*M108),NO108*NL108)))</f>
        <v/>
      </c>
      <c r="NQ108" s="504" t="str">
        <f t="shared" si="745"/>
        <v/>
      </c>
      <c r="NR108" s="505" t="str">
        <f>IF(A108=FALSE,"",NQ108*Cotations!$CR$4)</f>
        <v/>
      </c>
      <c r="NS108" s="505" t="str">
        <f>IF(A108=FALSE,"",NQ108*Cotations!$CS$4)</f>
        <v/>
      </c>
      <c r="NT108" s="506" t="str">
        <f t="shared" si="746"/>
        <v/>
      </c>
      <c r="NU108" s="919" t="str">
        <f>IF(A108=FALSE,"",((NG108*TAXE)-(NG108*TAXE*NI108))+IF(NM108="N/A",0,IF(INDEX(LISTES!$F$105:$F$109,MATCH(NM108,LISTES!$C$105:$C$109,0))="FIX",NN108,NO108*NL108)))</f>
        <v/>
      </c>
      <c r="OA108" s="492" t="str">
        <f>IF(A108=FALSE,"",Cotations!D108)</f>
        <v/>
      </c>
      <c r="OB108" s="491" t="str">
        <f>IF(A108=FALSE,"",IF(LISTES!$A$17=1,Cotations!CH108,Cotations!CI108))</f>
        <v/>
      </c>
      <c r="OC108" s="285" t="str">
        <f t="shared" si="747"/>
        <v/>
      </c>
      <c r="OD108" s="300"/>
      <c r="OE108" s="461" t="str">
        <f t="shared" si="748"/>
        <v/>
      </c>
      <c r="OF108" s="490" t="str">
        <f>IF(A108=FALSE,"",IF(OA108="POEA",Cotations!CK108,IF(OA108="FIXE",Cotations!CL108,IF(Cotations!CM108*Y108&lt;50000,Z108,Cotations!CM108*Y108))))</f>
        <v/>
      </c>
      <c r="OG108" s="300" t="str">
        <f t="shared" si="749"/>
        <v/>
      </c>
      <c r="OH108" s="522" t="str">
        <f>IF(A108=FALSE,"",IF(Cotations!CJ108="monthly",OG108/12*L108,OG108/365*M108))</f>
        <v/>
      </c>
      <c r="OI108" s="489" t="str">
        <f>IF(A108=FALSE,"",IF(Cotations!CN108="","",Cotations!CN108))</f>
        <v/>
      </c>
      <c r="OJ108" s="300" t="str">
        <f t="shared" si="750"/>
        <v/>
      </c>
      <c r="OK108" s="300" t="str">
        <f t="shared" si="751"/>
        <v/>
      </c>
      <c r="OL108" s="919" t="str">
        <f t="shared" si="752"/>
        <v/>
      </c>
      <c r="OM108" s="517" t="str">
        <f>IF(A108=FALSE,"",Cotations!CO108)</f>
        <v/>
      </c>
      <c r="ON108" s="515" t="str">
        <f>IF(A108=FALSE,"",Cotations!CP108)</f>
        <v/>
      </c>
      <c r="OO108" s="493" t="str">
        <f>IF(A108=FALSE,"",Cotations!CQ108)</f>
        <v/>
      </c>
      <c r="OP108" s="517" t="str">
        <f>IF(A108=FALSE,"",IF(OM108="N/A",0,IF(INDEX(LISTES!$F$105:$F$109,MATCH(OM108,LISTES!$C$105:$C$109,0))="FIX",IF(INDEX(LISTES!$E$105:$E$109,MATCH(OM108,LISTES!$C$105:$C$109,0))=12,ON108/12*L108,ON108/365*M108),OO108*OL108)))</f>
        <v/>
      </c>
      <c r="OQ108" s="294" t="str">
        <f t="shared" si="753"/>
        <v/>
      </c>
      <c r="OR108" s="494" t="str">
        <f>IF(A108=FALSE,"",OQ108*Cotations!CR108)</f>
        <v/>
      </c>
      <c r="OS108" s="494" t="str">
        <f>IF(A108=FALSE,"",OQ108*Cotations!CS108)</f>
        <v/>
      </c>
      <c r="OT108" s="338" t="str">
        <f t="shared" si="754"/>
        <v/>
      </c>
      <c r="OU108" s="919" t="str">
        <f>IF(A108=FALSE,"",((OG108*TAXE)-(OG108*TAXE*OI108))+IF(OM108="N/A",0,IF(INDEX(LISTES!$F$105:$F$109,MATCH(OM108,LISTES!$C$105:$C$109,0))="FIX",ON108,OO108*OL108)))</f>
        <v/>
      </c>
      <c r="PA108" s="497" t="str">
        <f t="shared" si="755"/>
        <v/>
      </c>
      <c r="PB108" s="498" t="str">
        <f>IF(A108=FALSE,"",IF(LISTES!$A$17=1,Cotations!CT108,Cotations!$CU$4))</f>
        <v/>
      </c>
      <c r="PC108" s="499" t="str">
        <f t="shared" si="756"/>
        <v/>
      </c>
      <c r="PD108" s="499" t="str">
        <f t="shared" si="757"/>
        <v/>
      </c>
      <c r="PE108" s="500" t="str">
        <f t="shared" si="758"/>
        <v/>
      </c>
      <c r="PF108" s="501" t="str">
        <f>IF(A108=FALSE,"",Cotations!$CY$4*Y108)</f>
        <v/>
      </c>
      <c r="PG108" s="502" t="str">
        <f t="shared" si="759"/>
        <v/>
      </c>
      <c r="PH108" s="520" t="str">
        <f>IF(A108=FALSE,"",IF(Cotations!$CV$4="monthly",PG108/12*L108,PG108/365*M108))</f>
        <v/>
      </c>
      <c r="PI108" s="503" t="str">
        <f>IF(A108=FALSE,"",Cotations!$CZ$4)</f>
        <v/>
      </c>
      <c r="PJ108" s="502" t="str">
        <f t="shared" si="760"/>
        <v/>
      </c>
      <c r="PK108" s="502" t="str">
        <f t="shared" si="761"/>
        <v/>
      </c>
      <c r="PL108" s="504" t="str">
        <f t="shared" si="762"/>
        <v/>
      </c>
      <c r="PM108" s="505" t="str">
        <f>IF(A108=FALSE,"",Cotations!$DA$4)</f>
        <v/>
      </c>
      <c r="PN108" s="520" t="str">
        <f>IF(A108=FALSE,"",Cotations!$DB$4)</f>
        <v/>
      </c>
      <c r="PO108" s="503" t="str">
        <f>IF(A108=FALSE,"",Cotations!$DC$4)</f>
        <v/>
      </c>
      <c r="PP108" s="505" t="str">
        <f>IF(A108=FALSE,"",IF(PM108="N/A",0,IF(INDEX(LISTES!$F$105:$F$109,MATCH(PM108,LISTES!$C$105:$C$109,0))="FIX",IF(INDEX(LISTES!$E$105:$E$109,MATCH(PM108,LISTES!$C$105:$C$109,0))=12,PN108/12*L108,PN108/365*M108),PO108*PL108)))</f>
        <v/>
      </c>
      <c r="PQ108" s="504" t="str">
        <f t="shared" si="763"/>
        <v/>
      </c>
      <c r="PR108" s="505" t="str">
        <f>IF(A108=FALSE,"",PQ108*Cotations!$DD$4)</f>
        <v/>
      </c>
      <c r="PS108" s="505" t="str">
        <f>IF(A108=FALSE,"",PQ108*Cotations!$DE$4)</f>
        <v/>
      </c>
      <c r="PT108" s="506" t="str">
        <f t="shared" si="764"/>
        <v/>
      </c>
      <c r="PU108" s="919" t="str">
        <f>IF(A108=FALSE,"",((PG108*TAXE)-(PG108*TAXE*PI108))+IF(PM108="N/A",0,IF(INDEX(LISTES!$F$105:$F$109,MATCH(PM108,LISTES!$C$105:$C$109,0))="FIX",PN108,PO108*PL108)))</f>
        <v/>
      </c>
      <c r="QA108" s="492" t="str">
        <f t="shared" si="765"/>
        <v/>
      </c>
      <c r="QB108" s="491" t="str">
        <f>IF(A108=FALSE,"",IF(LISTES!$A$17=1,Cotations!CT108,Cotations!CU108))</f>
        <v/>
      </c>
      <c r="QC108" s="285" t="str">
        <f t="shared" si="766"/>
        <v/>
      </c>
      <c r="QD108" s="300"/>
      <c r="QE108" s="461" t="str">
        <f t="shared" si="767"/>
        <v/>
      </c>
      <c r="QF108" s="490" t="str">
        <f>IF(A108=FALSE,"",Cotations!CY108*AA108)</f>
        <v/>
      </c>
      <c r="QG108" s="300" t="str">
        <f t="shared" si="768"/>
        <v/>
      </c>
      <c r="QH108" s="522" t="str">
        <f>IF(A108=FALSE,"",IF(Cotations!CV108="monthly",QG108/12*L108,QG108/365*M108))</f>
        <v/>
      </c>
      <c r="QI108" s="489" t="str">
        <f>IF(A108=FALSE,"",IF(Cotations!CZ108="","",Cotations!CZ108))</f>
        <v/>
      </c>
      <c r="QJ108" s="300" t="str">
        <f t="shared" si="769"/>
        <v/>
      </c>
      <c r="QK108" s="300" t="str">
        <f t="shared" si="770"/>
        <v/>
      </c>
      <c r="QL108" s="919" t="str">
        <f t="shared" si="771"/>
        <v/>
      </c>
      <c r="QM108" s="517" t="str">
        <f>IF(A108=FALSE,"",Cotations!DA108)</f>
        <v/>
      </c>
      <c r="QN108" s="515" t="str">
        <f>IF(A108=FALSE,"",Cotations!DB108)</f>
        <v/>
      </c>
      <c r="QO108" s="493" t="str">
        <f>IF(A108=FALSE,"",Cotations!DC108)</f>
        <v/>
      </c>
      <c r="QP108" s="517" t="str">
        <f>IF(A108=FALSE,"",IF(QM108="N/A",0,IF(INDEX(LISTES!$F$105:$F$109,MATCH(QM108,LISTES!$C$105:$C$109,0))="FIX",IF(INDEX(LISTES!$E$105:$E$109,MATCH(QM108,LISTES!$C$105:$C$109,0))=12,QN108/12*L108,QN108/365*M108),QO108*QL108)))</f>
        <v/>
      </c>
      <c r="QQ108" s="294" t="str">
        <f t="shared" si="772"/>
        <v/>
      </c>
      <c r="QR108" s="494" t="str">
        <f>IF(A108=FALSE,"",QQ108*Cotations!DD108)</f>
        <v/>
      </c>
      <c r="QS108" s="494" t="str">
        <f>IF(A108=FALSE,"",QQ108*Cotations!DE108)</f>
        <v/>
      </c>
      <c r="QT108" s="338" t="str">
        <f t="shared" si="773"/>
        <v/>
      </c>
      <c r="QU108" s="919" t="str">
        <f>IF(A108=FALSE,"",((QG108*TAXE)-(QG108*TAXE*QI108))+IF(QM108="N/A",0,IF(INDEX(LISTES!$F$105:$F$109,MATCH(QM108,LISTES!$C$105:$C$109,0))="FIX",QN108,QO108*QL108)))</f>
        <v/>
      </c>
      <c r="RA108" s="497" t="str">
        <f t="shared" si="774"/>
        <v/>
      </c>
      <c r="RB108" s="498" t="str">
        <f>IF(A108=FALSE,"",IF(LISTES!$A$17=1,Cotations!DF108,Cotations!$DG$4))</f>
        <v/>
      </c>
      <c r="RC108" s="499" t="str">
        <f t="shared" si="775"/>
        <v/>
      </c>
      <c r="RD108" s="499" t="str">
        <f t="shared" si="776"/>
        <v/>
      </c>
      <c r="RE108" s="500" t="str">
        <f t="shared" si="777"/>
        <v/>
      </c>
      <c r="RF108" s="501" t="str">
        <f>IF(A108=FALSE,"",Cotations!$DK$4*Y108)</f>
        <v/>
      </c>
      <c r="RG108" s="502" t="str">
        <f t="shared" si="778"/>
        <v/>
      </c>
      <c r="RH108" s="520" t="str">
        <f>IF(A108=FALSE,"",IF(Cotations!$DH$4="monthly",RG108/12*L108,RG108/365*M108))</f>
        <v/>
      </c>
      <c r="RI108" s="503" t="str">
        <f>IF(A108=FALSE,"",Cotations!$DL$4)</f>
        <v/>
      </c>
      <c r="RJ108" s="502" t="str">
        <f t="shared" si="779"/>
        <v/>
      </c>
      <c r="RK108" s="502" t="str">
        <f t="shared" si="780"/>
        <v/>
      </c>
      <c r="RL108" s="504" t="str">
        <f t="shared" si="781"/>
        <v/>
      </c>
      <c r="RM108" s="505" t="str">
        <f>IF(A108=FALSE,"",Cotations!$DM$4)</f>
        <v/>
      </c>
      <c r="RN108" s="520" t="str">
        <f>IF(A108=FALSE,"",Cotations!$DN$4)</f>
        <v/>
      </c>
      <c r="RO108" s="503" t="str">
        <f>IF(A108=FALSE,"",Cotations!$DO$4)</f>
        <v/>
      </c>
      <c r="RP108" s="505" t="str">
        <f>IF(A108=FALSE,"",IF(RM108="N/A",0,IF(INDEX(LISTES!$F$105:$F$109,MATCH(RM108,LISTES!$C$105:$C$109,0))="FIX",IF(INDEX(LISTES!$E$105:$E$109,MATCH(RM108,LISTES!$C$105:$C$109,0))=12,RN108/12*L108,RN108/365*M108),RO108*RL108)))</f>
        <v/>
      </c>
      <c r="RQ108" s="504" t="str">
        <f t="shared" si="782"/>
        <v/>
      </c>
      <c r="RR108" s="505" t="str">
        <f>IF(A108=FALSE,"",RQ108*Cotations!$DP$4)</f>
        <v/>
      </c>
      <c r="RS108" s="505" t="str">
        <f>IF(A108=FALSE,"",RQ108*Cotations!$DQ$4)</f>
        <v/>
      </c>
      <c r="RT108" s="506" t="str">
        <f t="shared" si="783"/>
        <v/>
      </c>
      <c r="RU108" s="919" t="str">
        <f>IF(A108=FALSE,"",((RG108*TAXE)-(RG108*TAXE*RI108))+IF(RM108="N/A",0,IF(INDEX(LISTES!$F$105:$F$109,MATCH(RM108,LISTES!$C$105:$C$109,0))="FIX",RN108,RO108*RL108)))</f>
        <v/>
      </c>
      <c r="SA108" s="492" t="str">
        <f t="shared" si="784"/>
        <v/>
      </c>
      <c r="SB108" s="491" t="str">
        <f>IF(A108=FALSE,"",IF(LISTES!$A$17=1,Cotations!DF108,Cotations!DG108))</f>
        <v/>
      </c>
      <c r="SC108" s="285" t="str">
        <f t="shared" si="785"/>
        <v/>
      </c>
      <c r="SD108" s="300"/>
      <c r="SE108" s="461" t="str">
        <f t="shared" si="786"/>
        <v/>
      </c>
      <c r="SF108" s="490" t="str">
        <f>IF(A108=FALSE,"",Cotations!DK108*AA108)</f>
        <v/>
      </c>
      <c r="SG108" s="300" t="str">
        <f t="shared" si="787"/>
        <v/>
      </c>
      <c r="SH108" s="522" t="str">
        <f>IF(A108=FALSE,"",IF(Cotations!DH108="monthly",SG108/12*L108,SG108/365*M108))</f>
        <v/>
      </c>
      <c r="SI108" s="489" t="str">
        <f>IF(A108=FALSE,"",IF(Cotations!DL108="","",Cotations!DL108))</f>
        <v/>
      </c>
      <c r="SJ108" s="300" t="str">
        <f t="shared" si="788"/>
        <v/>
      </c>
      <c r="SK108" s="300" t="str">
        <f t="shared" si="789"/>
        <v/>
      </c>
      <c r="SL108" s="919" t="str">
        <f t="shared" si="790"/>
        <v/>
      </c>
      <c r="SM108" s="285" t="str">
        <f>IF(A108=FALSE,"",Cotations!DM108)</f>
        <v/>
      </c>
      <c r="SN108" s="515" t="str">
        <f>IF(A108=FALSE,"",Cotations!DN108)</f>
        <v/>
      </c>
      <c r="SO108" s="493" t="str">
        <f>IF(A108=FALSE,"",Cotations!DO108)</f>
        <v/>
      </c>
      <c r="SP108" s="517" t="str">
        <f>IF(A108=FALSE,"",IF(SM108="N/A",0,IF(INDEX(LISTES!$F$105:$F$109,MATCH(SM108,LISTES!$C$105:$C$109,0))="FIX",IF(INDEX(LISTES!$E$105:$E$109,MATCH(SM108,LISTES!$C$105:$C$109,0))=12,SN108/12*L108,SN108/365*M108),SO108*SL108)))</f>
        <v/>
      </c>
      <c r="SQ108" s="294" t="str">
        <f t="shared" si="791"/>
        <v/>
      </c>
      <c r="SR108" s="494" t="str">
        <f>IF(A108=FALSE,"",SQ108*Cotations!DP108)</f>
        <v/>
      </c>
      <c r="SS108" s="494" t="str">
        <f>IF(A108=FALSE,"",SQ108*Cotations!DQ108)</f>
        <v/>
      </c>
      <c r="ST108" s="338" t="str">
        <f t="shared" si="792"/>
        <v/>
      </c>
      <c r="SU108" s="919" t="str">
        <f>IF(A108=FALSE,"",((SG108*TAXE)-(SG108*TAXE*SI108))+IF(SM108="N/A",0,IF(INDEX(LISTES!$F$105:$F$109,MATCH(SM108,LISTES!$C$105:$C$109,0))="FIX",SN108,SO108*SL108)))</f>
        <v/>
      </c>
      <c r="TA108" s="492" t="str">
        <f>IF(A108=FALSE,"",Cotations!D108)</f>
        <v/>
      </c>
      <c r="TB108" s="491" t="str">
        <f>IF(A108=FALSE,"",IF(LISTES!$A$17=1,Cotations!DR108,Cotations!DS108))</f>
        <v/>
      </c>
      <c r="TC108" s="285" t="str">
        <f t="shared" si="793"/>
        <v/>
      </c>
      <c r="TD108" s="300" t="str">
        <f>IF(A108=FALSE,"",Detail!CQ108)</f>
        <v/>
      </c>
      <c r="TE108" s="461" t="str">
        <f t="shared" si="794"/>
        <v/>
      </c>
      <c r="TF108" s="490" t="str">
        <f>IF(A108=FALSE,"",IF(TA108="FIXE",Cotations!DU108,Cotations!DV108*Y108))</f>
        <v/>
      </c>
      <c r="TG108" s="300" t="str">
        <f t="shared" si="795"/>
        <v/>
      </c>
      <c r="TH108" s="522" t="str">
        <f>IF(A108=FALSE,"",IF(Cotations!DT108="monthly",TG108/12*L108,TG108/365*M108))</f>
        <v/>
      </c>
      <c r="TI108" s="489" t="str">
        <f>IF(A108=FALSE,"",IF(Cotations!DW108="","",Cotations!DW108))</f>
        <v/>
      </c>
      <c r="TJ108" s="300" t="str">
        <f t="shared" si="796"/>
        <v/>
      </c>
      <c r="TK108" s="300" t="str">
        <f t="shared" si="797"/>
        <v/>
      </c>
      <c r="TL108" s="919" t="str">
        <f t="shared" si="798"/>
        <v/>
      </c>
      <c r="TM108" s="517" t="str">
        <f>IF(A108=FALSE,"",Cotations!DX108)</f>
        <v/>
      </c>
      <c r="TN108" s="517" t="str">
        <f>IF(A108=FALSE,"",Cotations!DY108)</f>
        <v/>
      </c>
      <c r="TO108" s="493" t="str">
        <f>IF(A108=FALSE,"",Cotations!DZ108)</f>
        <v/>
      </c>
      <c r="TP108" s="517" t="str">
        <f>IF(A108=FALSE,"",IF(TM108="N/A",0,IF(INDEX(LISTES!$F$105:$F$109,MATCH(TM108,LISTES!$C$105:$C$109,0))="FIX",IF(INDEX(LISTES!$E$105:$E$109,MATCH(TM108,LISTES!$C$105:$C$109,0))=12,TN108/12*L108,TN108/365*M108),TO108*TL108)))</f>
        <v/>
      </c>
      <c r="TQ108" s="294" t="str">
        <f t="shared" si="799"/>
        <v/>
      </c>
      <c r="TR108" s="494" t="str">
        <f>IF(A108=FALSE,"",TQ108*Cotations!EA108)</f>
        <v/>
      </c>
      <c r="TS108" s="494" t="str">
        <f>IF(A108=FALSE,"",TQ108*Cotations!EB108)</f>
        <v/>
      </c>
      <c r="TT108" s="338" t="str">
        <f t="shared" si="800"/>
        <v/>
      </c>
      <c r="TU108" s="919" t="str">
        <f>IF(A108=FALSE,"",((TG108*(1+TAXE)-(TG108*(1+TAXE)*TI108))+IF(TM108="N/A",0,IF(INDEX(LISTES!$F$105:$F$109,MATCH(TM108,LISTES!$C$105:$C$109,0))="FIX",TN108,TO108*TL108))))</f>
        <v/>
      </c>
      <c r="UA108" s="492" t="str">
        <f>IF(A108=FALSE,"",Cotations!D108)</f>
        <v/>
      </c>
      <c r="UB108" s="491" t="str">
        <f>IF(A108=FALSE,"",IF(LISTES!$A$17=1,Cotations!EC108,Cotations!ED108))</f>
        <v/>
      </c>
      <c r="UC108" s="285" t="str">
        <f t="shared" si="801"/>
        <v/>
      </c>
      <c r="UD108" s="300" t="str">
        <f>IF(A108=FALSE,"",Detail!CY108)</f>
        <v/>
      </c>
      <c r="UE108" s="461" t="str">
        <f t="shared" si="802"/>
        <v/>
      </c>
      <c r="UF108" s="490" t="str">
        <f>IF(A108=FALSE,"",IF(UA108="FIXE",Cotations!EF108,Cotations!EG108*Y108))</f>
        <v/>
      </c>
      <c r="UG108" s="300" t="str">
        <f t="shared" si="803"/>
        <v/>
      </c>
      <c r="UH108" s="522" t="str">
        <f>IF(A108=FALSE,"",IF(Cotations!EE108="monthly",UG108/12*L108,UG108/365*M108))</f>
        <v/>
      </c>
      <c r="UI108" s="489" t="str">
        <f>IF(A108=FALSE,"",IF(Cotations!EH108="","",Cotations!EH108))</f>
        <v/>
      </c>
      <c r="UJ108" s="300" t="str">
        <f t="shared" si="804"/>
        <v/>
      </c>
      <c r="UK108" s="300" t="str">
        <f t="shared" si="805"/>
        <v/>
      </c>
      <c r="UL108" s="919" t="str">
        <f t="shared" si="806"/>
        <v/>
      </c>
      <c r="UM108" s="517" t="str">
        <f>IF(A108=FALSE,"",Cotations!EI108)</f>
        <v/>
      </c>
      <c r="UN108" s="517" t="str">
        <f>IF(A108=FALSE,"",Cotations!EJ108)</f>
        <v/>
      </c>
      <c r="UO108" s="493" t="str">
        <f>IF(A108=FALSE,"",Cotations!EK108)</f>
        <v/>
      </c>
      <c r="UP108" s="517" t="str">
        <f>IF(A108=FALSE,"",IF(UM108="N/A",0,IF(INDEX(LISTES!$F$105:$F$109,MATCH(UM108,LISTES!$C$105:$C$109,0))="FIX",IF(INDEX(LISTES!$E$105:$E$109,MATCH(UM108,LISTES!$C$105:$C$109,0))=12,UN108/12*L108,UN108/365*M108),UO108*UL108)))</f>
        <v/>
      </c>
      <c r="UQ108" s="294" t="str">
        <f t="shared" si="807"/>
        <v/>
      </c>
      <c r="UR108" s="494" t="str">
        <f>IF(A108=FALSE,"",UQ108*Cotations!EL108)</f>
        <v/>
      </c>
      <c r="US108" s="494" t="str">
        <f>IF(A108=FALSE,"",UQ108*Cotations!EM108)</f>
        <v/>
      </c>
      <c r="UT108" s="338" t="str">
        <f t="shared" si="808"/>
        <v/>
      </c>
      <c r="UU108" s="919" t="str">
        <f>IF(A108=FALSE,"",((UG108*(1+TAXE)-(UG108*(1+TAXE)*UI108))+IF(UM108="N/A",0,IF(INDEX(LISTES!$F$105:$F$109,MATCH(UM108,LISTES!$C$105:$C$109,0))="FIX",UN108,UO108*UL108))))</f>
        <v/>
      </c>
      <c r="VA108" s="492" t="str">
        <f>IF(A108=FALSE,"",Cotations!D108)</f>
        <v/>
      </c>
      <c r="VB108" s="519" t="str">
        <f>IF(A108=FALSE,"",IF(LISTES!$A$17=1,Cotations!EN108,Cotations!EO108))</f>
        <v/>
      </c>
      <c r="VC108" s="291" t="str">
        <f t="shared" si="809"/>
        <v/>
      </c>
      <c r="VD108" s="291" t="str">
        <f t="shared" si="810"/>
        <v/>
      </c>
      <c r="VE108" s="291"/>
      <c r="VF108" s="463"/>
      <c r="VG108" s="463" t="str">
        <f t="shared" si="811"/>
        <v/>
      </c>
      <c r="VH108" s="522" t="str">
        <f>IF(A108=FALSE,"",IF(Cotations!$AQ$4="monthly",VG108/12*L108,VG108/365*M108))</f>
        <v/>
      </c>
      <c r="VI108" s="489" t="str">
        <f>IF(A108=FALSE,"",Cotations!$AR$4)</f>
        <v/>
      </c>
      <c r="VJ108" s="300" t="str">
        <f t="shared" si="812"/>
        <v/>
      </c>
      <c r="VK108" s="300" t="str">
        <f t="shared" si="813"/>
        <v/>
      </c>
      <c r="VL108" s="294" t="str">
        <f t="shared" si="814"/>
        <v/>
      </c>
      <c r="VM108" s="494" t="str">
        <f>IF(A108=FALSE,"",Cotations!$AS$4)</f>
        <v/>
      </c>
      <c r="VN108" s="494" t="str">
        <f>IF(A108=FALSE,"",Cotations!$AT$4)</f>
        <v/>
      </c>
      <c r="VO108" s="489" t="str">
        <f>IF(A108=FALSE,"",Cotations!$AU$4)</f>
        <v/>
      </c>
      <c r="VP108" s="494" t="str">
        <f>IF(A108=FALSE,"",IF(VM108="N/A",0,IF(INDEX(LISTES!$F$105:$F$109,MATCH(VM108,LISTES!$C$105:$C$109,0))="FIX",IF(INDEX(LISTES!$E$105:$E$109,MATCH(VM108,LISTES!$C$105:$C$109,0))=12,VN108/12*L108,VN108/365*M108),VO108*VL108)))</f>
        <v/>
      </c>
      <c r="VQ108" s="294" t="str">
        <f t="shared" si="815"/>
        <v/>
      </c>
      <c r="VR108" s="494" t="str">
        <f>IF(A108=FALSE,"",VQ108*Cotations!$AV$4)</f>
        <v/>
      </c>
      <c r="VS108" s="494" t="str">
        <f>IF(A108=FALSE,"",VQ108*Cotations!$AW$4)</f>
        <v/>
      </c>
      <c r="VT108" s="465" t="str">
        <f t="shared" si="816"/>
        <v/>
      </c>
      <c r="VU108" s="919" t="str">
        <f>IF(A108=FALSE,"",((VG108*TAXE)-(VG108*TAXE*VI108))+IF(VM108="N/A",0,IF(INDEX(LISTES!$F$105:$F$109,MATCH(VM108,LISTES!$C$105:$C$109,0))="FIX",VN108,VO108*VL108)))</f>
        <v/>
      </c>
      <c r="WA108" s="492" t="str">
        <f>IF(A108=FALSE,"",Cotations!D108)</f>
        <v/>
      </c>
      <c r="WB108" s="519" t="str">
        <f>IF(A108=FALSE,"",IF(LISTES!$A$17=1,Cotations!EW108,Cotations!EX108))</f>
        <v/>
      </c>
      <c r="WC108" s="291" t="str">
        <f t="shared" si="817"/>
        <v/>
      </c>
      <c r="WD108" s="291" t="str">
        <f t="shared" si="818"/>
        <v/>
      </c>
      <c r="WE108" s="291"/>
      <c r="WF108" s="463"/>
      <c r="WG108" s="463" t="str">
        <f t="shared" si="819"/>
        <v/>
      </c>
      <c r="WH108" s="522" t="str">
        <f>IF(A108=FALSE,"",IF(Cotations!$AQ$4="monthly",WG108/12*L108,WG108/365*M108))</f>
        <v/>
      </c>
      <c r="WI108" s="489" t="str">
        <f>IF(A108=FALSE,"",Cotations!$AR$4)</f>
        <v/>
      </c>
      <c r="WJ108" s="300" t="str">
        <f t="shared" si="820"/>
        <v/>
      </c>
      <c r="WK108" s="300" t="str">
        <f t="shared" si="821"/>
        <v/>
      </c>
      <c r="WL108" s="294" t="str">
        <f t="shared" si="822"/>
        <v/>
      </c>
      <c r="WM108" s="494" t="str">
        <f>IF(A108=FALSE,"",Cotations!$AS$4)</f>
        <v/>
      </c>
      <c r="WN108" s="494" t="str">
        <f>IF(A108=FALSE,"",Cotations!$AT$4)</f>
        <v/>
      </c>
      <c r="WO108" s="489" t="str">
        <f>IF(A108=FALSE,"",Cotations!$AU$4)</f>
        <v/>
      </c>
      <c r="WP108" s="494" t="str">
        <f>IF(A108=FALSE,"",IF(WM108="N/A",0,IF(INDEX(LISTES!$F$105:$F$109,MATCH(WM108,LISTES!$C$105:$C$109,0))="FIX",IF(INDEX(LISTES!$E$105:$E$109,MATCH(WM108,LISTES!$C$105:$C$109,0))=12,WN108/12*L108,WN108/365*M108),WO108*WL108)))</f>
        <v/>
      </c>
      <c r="WQ108" s="294" t="str">
        <f t="shared" si="823"/>
        <v/>
      </c>
      <c r="WR108" s="494" t="str">
        <f>IF(A108=FALSE,"",WQ108*Cotations!$AV$4)</f>
        <v/>
      </c>
      <c r="WS108" s="494" t="str">
        <f>IF(A108=FALSE,"",WQ108*Cotations!$AW$4)</f>
        <v/>
      </c>
      <c r="WT108" s="465" t="str">
        <f t="shared" si="824"/>
        <v/>
      </c>
      <c r="WU108" s="919" t="str">
        <f>IF(A108=FALSE,"",((WG108*TAXE)-(WG108*TAXE*WI108))+IF(WM108="N/A",0,IF(INDEX(LISTES!$F$105:$F$109,MATCH(WM108,LISTES!$C$105:$C$109,0))="FIX",WN108,WO108*WL108)))</f>
        <v/>
      </c>
    </row>
    <row r="109" spans="1:619">
      <c r="A109" s="942" t="b">
        <f t="shared" si="629"/>
        <v>0</v>
      </c>
      <c r="B109" s="942" t="b">
        <f>IF(NAMES!$B$9=TRUE,TRUE,FALSE)</f>
        <v>1</v>
      </c>
      <c r="C109" s="942" t="b">
        <f t="shared" si="825"/>
        <v>0</v>
      </c>
      <c r="D109" s="942" t="b">
        <f t="shared" si="826"/>
        <v>0</v>
      </c>
      <c r="E109" s="274" t="b">
        <f>IF(Cotations!C109="","",Cotations!C109)</f>
        <v>0</v>
      </c>
      <c r="F109" s="274" t="str">
        <f>IF(Cotations!D109="","",Cotations!D109)</f>
        <v>PROP</v>
      </c>
      <c r="G109" s="274" t="str">
        <f>IF(Cotations!E109="","",Cotations!E109)</f>
        <v>2016-2017!</v>
      </c>
      <c r="H109" s="274" t="str">
        <f>IF(Cotations!F109="","",Cotations!F109)</f>
        <v>SINGLE</v>
      </c>
      <c r="I109" s="274" t="str">
        <f>IF(Cotations!G109="","",Cotations!G109)</f>
        <v/>
      </c>
      <c r="J109" s="274" t="str">
        <f>IF(Cotations!H109="","",Cotations!H109)</f>
        <v/>
      </c>
      <c r="K109" s="274" t="str">
        <f>IF(Cotations!I109="","",Cotations!I109)</f>
        <v/>
      </c>
      <c r="L109" s="274" t="str">
        <f>IF(A109=FALSE,"",IF(Cotations!N109="","",Cotations!N109))</f>
        <v/>
      </c>
      <c r="M109" s="274" t="str">
        <f>IF(Cotations!P109="","",Cotations!P109)</f>
        <v/>
      </c>
      <c r="N109" s="724" t="str">
        <f>IF(NAMES!$B$10=TRUE,Cotations!J109,Cotations!L109)</f>
        <v/>
      </c>
      <c r="O109" s="724" t="str">
        <f>IF(NAMES!$B$10=TRUE,Cotations!K109,Cotations!M109)</f>
        <v/>
      </c>
      <c r="P109" s="943" t="str">
        <f t="shared" si="827"/>
        <v/>
      </c>
      <c r="Q109" s="724" t="str">
        <f>IF(A109=FALSE,"",IF(Crewlist!Y109="","",Crewlist!Y109))</f>
        <v/>
      </c>
      <c r="R109" s="78" t="str">
        <f>IF(Cotations!U109="","",Cotations!U109)</f>
        <v/>
      </c>
      <c r="S109" s="943" t="str">
        <f t="shared" si="828"/>
        <v/>
      </c>
      <c r="T109" s="919" t="str">
        <f>IF(A109=FALSE,"",VLOOKUP($U$15:$U$120,Currency!$A$2:$D$10,4,0)*Crewlist!N109)</f>
        <v/>
      </c>
      <c r="U109" s="1355" t="str">
        <f>IF(A109=FALSE,"",IF(IT109=0,Crewlist!M109&amp;"/"&amp;EX109,Crewlist!M109&amp;"/"&amp;IT109))</f>
        <v/>
      </c>
      <c r="V109" s="919" t="str">
        <f>IF(A109=FALSE,"",VLOOKUP($U$15:$U$120,Currency!$A$2:$D$10,4,0)*Detail!Q109)</f>
        <v/>
      </c>
      <c r="W109" s="1355" t="str">
        <f>IF(A109=FALSE,"",IF(IT109=0,Detail!R109&amp;"/"&amp;EX109,Detail!R109&amp;"/"&amp;IT109))</f>
        <v/>
      </c>
      <c r="X109" s="919" t="str">
        <f>IF(A109=FALSE,"",IF(LISTES!$C$17="Crewlist",Calcul!T109,Calcul!V109))</f>
        <v/>
      </c>
      <c r="Y109" s="758" t="str">
        <f t="shared" si="829"/>
        <v/>
      </c>
      <c r="Z109" s="758" t="str">
        <f>IF(A109=FALSE,"",IF(X109=0,0,IF((Cotations!BC109*12*X109)&lt;50000,50000,(12*X109))))</f>
        <v/>
      </c>
      <c r="AA109" s="758" t="str">
        <f t="shared" si="830"/>
        <v/>
      </c>
      <c r="AB109" s="758" t="str">
        <f>IF(A109=FALSE,"",IF(Crewlist!O109=0,"",Crewlist!O109))</f>
        <v/>
      </c>
      <c r="AC109" s="758" t="str">
        <f>IF(I109="","",VLOOKUP($AB$15:$AB$120,Currency!$A$15:$B$34,2,0))</f>
        <v/>
      </c>
      <c r="AD109" s="758" t="str">
        <f t="shared" si="831"/>
        <v/>
      </c>
      <c r="AE109" s="758" t="str">
        <f t="shared" si="832"/>
        <v/>
      </c>
      <c r="AF109" s="758" t="str">
        <f t="shared" si="833"/>
        <v/>
      </c>
      <c r="AG109" s="758" t="str">
        <f t="shared" si="834"/>
        <v/>
      </c>
      <c r="AH109" s="1355" t="str">
        <f t="shared" si="630"/>
        <v/>
      </c>
      <c r="AI109" s="919" t="str">
        <f t="shared" si="835"/>
        <v/>
      </c>
      <c r="AJ109" s="1382" t="str">
        <f t="shared" si="836"/>
        <v/>
      </c>
      <c r="AK109" s="1382" t="str">
        <f t="shared" si="837"/>
        <v/>
      </c>
      <c r="AL109" s="238" t="str">
        <f t="shared" si="631"/>
        <v/>
      </c>
      <c r="AM109" s="238" t="str">
        <f t="shared" si="632"/>
        <v/>
      </c>
      <c r="AN109" s="1374" t="str">
        <f t="shared" si="633"/>
        <v/>
      </c>
      <c r="AO109" s="238" t="str">
        <f t="shared" si="634"/>
        <v/>
      </c>
      <c r="AP109" s="342" t="str">
        <f>IF(A109=FALSE,"",INDEX(Rates!$Z$5:$Z$367,MATCH(EB109,colchoice,0)))</f>
        <v/>
      </c>
      <c r="AQ109" s="238" t="str">
        <f t="shared" si="635"/>
        <v/>
      </c>
      <c r="AR109" s="238" t="str">
        <f t="shared" si="636"/>
        <v/>
      </c>
      <c r="AS109" s="238" t="str">
        <f t="shared" si="637"/>
        <v/>
      </c>
      <c r="AT109" s="238" t="str">
        <f t="shared" si="638"/>
        <v/>
      </c>
      <c r="AU109" s="238" t="str">
        <f t="shared" si="639"/>
        <v/>
      </c>
      <c r="AV109" s="238" t="str">
        <f t="shared" si="838"/>
        <v/>
      </c>
      <c r="AW109" s="238" t="str">
        <f t="shared" si="640"/>
        <v/>
      </c>
      <c r="AX109" s="238" t="str">
        <f t="shared" si="641"/>
        <v/>
      </c>
      <c r="AY109" s="238" t="str">
        <f t="shared" si="642"/>
        <v/>
      </c>
      <c r="AZ109" s="238" t="str">
        <f t="shared" si="643"/>
        <v/>
      </c>
      <c r="BA109" s="238" t="str">
        <f t="shared" si="644"/>
        <v/>
      </c>
      <c r="BB109" s="552" t="str">
        <f t="shared" si="645"/>
        <v/>
      </c>
      <c r="BC109" s="347" t="str">
        <f t="shared" si="646"/>
        <v/>
      </c>
      <c r="BD109" s="239" t="str">
        <f t="shared" si="839"/>
        <v/>
      </c>
      <c r="BE109" s="239" t="str">
        <f>IF(A109=FALSE,"",IF(ALLTHESAME=TRUE,IF(DF109&lt;&gt;$BC$7,0,INDEX(DD109:DZ109,1,MATCH(Structure!$D$12,$DD$14:$DZ$14,0))),IF(EC109&lt;&gt;$BC$7,0,INDEX(EA109:EZ109,1,MATCH(Structure!$D$12,$EA$14:$EZ$14,0)))))</f>
        <v/>
      </c>
      <c r="BF109" s="239" t="str">
        <f>IF(A109=FALSE,"",IF(ALLTHESAME=TRUE,IF(FC109&lt;&gt;$BC$7,0,INDEX(FA109:FZ109,1,MATCH(Structure!$D$12,$FA$14:$FZ$14,0))),IF(GC109&lt;&gt;$BC$7,0,INDEX(GA109:GZ109,1,MATCH(Structure!$D$12,$GA$14:$GZ$14,0)))))</f>
        <v/>
      </c>
      <c r="BG109" s="239" t="str">
        <f>IF(A109=FALSE,"",IF(ALLTHESAME=TRUE,IF(VC109&lt;&gt;$BC$7,0,INDEX(VA109:VZ109,1,MATCH(Structure!$D$12,$VA$14:$VZ$14,0))),IF(VC109&lt;&gt;$BC$7,0,INDEX(VA109:VZ109,1,MATCH(Structure!$D$12,$VA$14:$VZ$14,0)))))</f>
        <v/>
      </c>
      <c r="BH109" s="239" t="str">
        <f>IF(A109=FALSE,"",IF(ALLTHESAME=TRUE,IF(WC109&lt;&gt;$BC$7,0,INDEX(WA109:WY109,1,MATCH(Structure!$D$12,$WA$14:$WZ$14,0))),IF(WC109&lt;&gt;$BC$7,0,INDEX(WA109:WZ109,1,MATCH(Structure!$D$12,$WA$14:$WZ$14,0)))))</f>
        <v/>
      </c>
      <c r="BI109" s="763" t="str">
        <f>IF(A109=FALSE,"",IF(ALLTHESAME=TRUE,IF(HC109&lt;&gt;$BC$7,0,INDEX(HA109:HZ109,1,MATCH(Structure!$D$12,$HA$14:$HZ$14,0)))+TK109,IF(IC109&lt;&gt;$BC$7,0,INDEX(IA109:IZ109,1,MATCH(Structure!$D$12,$IA$14:$IZ$14,0)))+TK109))</f>
        <v/>
      </c>
      <c r="BJ109" s="239" t="str">
        <f>IF(A109=FALSE,"",IF(ALLTHESAME=TRUE,IF(JC109&lt;&gt;$BC$7,0,INDEX(JA109:JZ109,1,MATCH(Structure!$D$12,$JA$14:$JZ$14,0))),IF(KC109&lt;&gt;$BC$7,0,INDEX(KA109:KZ109,1,MATCH(Structure!$D$12,$KA$14:$KZ$14,0)))))</f>
        <v/>
      </c>
      <c r="BK109" s="763" t="str">
        <f>IF(A109=FALSE,"",IF(ALLTHESAME=TRUE,IF(LC109&lt;&gt;$BC$7,0,INDEX(LA109:LZ109,1,MATCH(Structure!$D$12,$LA$14:$LZ$14,0)))+UK109,IF(MC109&lt;&gt;$BC$7,0,INDEX(MA109:MZ109,1,MATCH(Structure!$D$12,$MA$14:$MZ$14,0)))+UK109))</f>
        <v/>
      </c>
      <c r="BL109" s="239" t="str">
        <f>IF(A109=FALSE,"",IF(ALLTHESAME=TRUE,IF(NC109&lt;&gt;$BC$7,0,INDEX(NA109:NZ109,1,MATCH(Structure!$D$12,$NA$14:$NZ$14,0))),IF(OC109&lt;&gt;$BC$7,0,INDEX(OA109:OZ109,1,MATCH(Structure!$D$12,$OA$14:$OZ$14,0)))))</f>
        <v/>
      </c>
      <c r="BM109" s="239" t="str">
        <f>IF(A109=FALSE,"",IF(ALLTHESAME=TRUE,IF(PC109&lt;&gt;$BC$7,0,INDEX(PA109:PZ109,1,MATCH(Structure!$D$12,$PA$14:$PZ$14,0))),IF(QC109&lt;&gt;$BC$7,0,INDEX(QA109:QZ109,1,MATCH(Structure!$D$12,$QA$14:$QZ$14,0)))))</f>
        <v/>
      </c>
      <c r="BN109" s="341" t="str">
        <f>IF(A109=FALSE,"",IF(ALLTHESAME=TRUE,IF(RC109&lt;&gt;$BC$7,0,INDEX(RA109:RZ109,1,MATCH(Structure!$D$12,$RA$14:$RZ$14,0))),IF(SC109&lt;&gt;$BC$7,0,INDEX(SA109:TA109,1,MATCH(Structure!$D$12,$SA$14:$TA$14,0)))))</f>
        <v/>
      </c>
      <c r="BO109" s="507" t="str">
        <f t="shared" si="647"/>
        <v/>
      </c>
      <c r="BP109" s="239" t="str">
        <f t="shared" si="648"/>
        <v/>
      </c>
      <c r="BQ109" s="239" t="str">
        <f>IF(A109=FALSE,"",IF(ALLTHESAME=TRUE,IF(DF109&lt;&gt;$BO$7,0,INDEX(DD109:DZ109,1,MATCH(Structure!$D$12,$DD$14:$DZ$14,0))),IF(EC109&lt;&gt;$BO$7,0,INDEX(EA109:EZ109,1,MATCH(Structure!$D$12,$EA$14:$EZ$14,0)))))</f>
        <v/>
      </c>
      <c r="BR109" s="239" t="str">
        <f>IF(A109=FALSE,"",IF(ALLTHESAME=TRUE,IF(FC109&lt;&gt;$BO$7,0,INDEX(FA109:FZ109,1,MATCH(Structure!$D$12,$FA$14:$FZ$14,0))),IF(GC109&lt;&gt;$BO$7,0,INDEX(GA109:GZ109,1,MATCH(Structure!$D$12,$GA$14:$GZ$14,0)))))</f>
        <v/>
      </c>
      <c r="BS109" s="239" t="str">
        <f>IF(A109=FALSE,"",IF(ALLTHESAME=TRUE,IF(HC109&lt;&gt;$BO$7,0,INDEX(HA109:HZ109,1,MATCH(Structure!$D$12,$HA$14:$HZ$14,0))),IF(IC109&lt;&gt;$BO$7,0,INDEX(IA109:IZ109,1,MATCH(Structure!$D$12,$IA$14:$IZ$14,0)))))</f>
        <v/>
      </c>
      <c r="BT109" s="239" t="str">
        <f>IF(A109=FALSE,"",IF(ALLTHESAME=TRUE,IF(JC109&lt;&gt;$BO$7,0,INDEX(JA109:JZ109,1,MATCH(Structure!$D$12,$JA$14:$JZ$14,0))),IF(KC109&lt;&gt;$BO$7,0,INDEX(KA109:KZ109,1,MATCH(Structure!$D$12,$KA$14:$KZ$14,0)))))</f>
        <v/>
      </c>
      <c r="BU109" s="239" t="str">
        <f>IF(A109=FALSE,"",IF(ALLTHESAME=TRUE,IF(LC109&lt;&gt;$BO$7,0,INDEX(LA109:LZ109,1,MATCH(Structure!$D$12,$LA$14:$LZ$14,0))),IF(MC109&lt;&gt;$BO$7,0,INDEX(MA109:MZ109,1,MATCH(Structure!$D$12,$MA$14:$MZ$14,0)))))</f>
        <v/>
      </c>
      <c r="BV109" s="239" t="str">
        <f>IF(A109=FALSE,"",IF(ALLTHESAME=TRUE,IF(NC109&lt;&gt;$BO$7,0,INDEX(NA109:NZ109,1,MATCH(Structure!$D$12,$NA$14:$NZ$14,0))),IF(OC109&lt;&gt;$BO$7,0,INDEX(OA109:OZ109,1,MATCH(Structure!$D$12,$OA$14:$OZ$14,0)))))</f>
        <v/>
      </c>
      <c r="BW109" s="239" t="str">
        <f>IF(A109=FALSE,"",IF(ALLTHESAME=TRUE,IF(PC109&lt;&gt;$BO$7,0,INDEX(PA109:PZ109,1,MATCH(Structure!$D$12,$PA$14:$PZ$14,0))),IF(QC109&lt;&gt;$BO$7,0,INDEX(QA109:QZ109,1,MATCH(Structure!$D$12,$QA$14:$QZ$14,0)))))</f>
        <v/>
      </c>
      <c r="BX109" s="341" t="str">
        <f>IF(A109=FALSE,"",IF(ALLTHESAME=TRUE,IF(RC109&lt;&gt;$BO$7,0,INDEX(RA109:RZ109,1,MATCH(Structure!$D$12,$RA$14:$RZ$14,0))),IF(SC109&lt;&gt;$BO$7,0,INDEX(SA109:TA109,1,MATCH(Structure!$D$12,$SA$14:$TA$14,0)))))</f>
        <v/>
      </c>
      <c r="BY109" s="347" t="str">
        <f t="shared" si="649"/>
        <v/>
      </c>
      <c r="BZ109" s="507" t="str">
        <f t="shared" si="650"/>
        <v/>
      </c>
      <c r="CA109" s="239" t="str">
        <f t="shared" si="651"/>
        <v/>
      </c>
      <c r="CB109" s="239" t="str">
        <f>IF(A109=FALSE,"",IF(ALLTHESAME=TRUE,INDEX(DD109:DZ109,MATCH(DF109,DF109:DF214,0),MATCH(Structure!$D$17,$DD$14:$DZ$14,0)),INDEX(EA109:EZ109,MATCH(EC109,EC109:EC214,0),MATCH(Structure!$D$17,$EA$14:$EZ$14,0))))</f>
        <v/>
      </c>
      <c r="CC109" s="239" t="str">
        <f>IF(A109=FALSE,"",IF(ALLTHESAME=TRUE,INDEX(FA109:FZ109,MATCH(FC109,FC109:FC214,0),MATCH(Structure!$D$17,$FA$14:$FZ$14,0)),INDEX(GA109:GZ109,MATCH(GC109,GC109:GC214,0),MATCH(Structure!$D$17,$GA$14:$GZ$14,0))))</f>
        <v/>
      </c>
      <c r="CD109" s="239" t="str">
        <f>IF(A109=FALSE,"",IF(ALLTHESAME=TRUE,INDEX(HA109:HZ109,MATCH(HC109,HC109:HC214,0),MATCH(Structure!$D$17,$HA$14:$HZ$14,0)),INDEX(IA109:IZ109,MATCH(IC109,IC109:IC214,0),MATCH(Structure!$D$17,$IA$14:$IZ$14,0))))</f>
        <v/>
      </c>
      <c r="CE109" s="239" t="str">
        <f>IF(A109=FALSE,"",IF(ALLTHESAME=TRUE,INDEX(JA109:JZ109,MATCH(JC109,JC109:JC214,0),MATCH(Structure!$D$17,$JA$14:$JZ$14,0)),INDEX(KA109:KZ109,MATCH(KC109,KC109:KC214,0),MATCH(Structure!$D$17,$KA$14:$KZ$14,0))))</f>
        <v/>
      </c>
      <c r="CF109" s="239" t="str">
        <f>IF(A109=FALSE,"",IF(ALLTHESAME=TRUE,INDEX(LA109:LZ109,MATCH(LC109,LC109:LC214,0),MATCH(Structure!$D$17,$LA$14:$LZ$14,0)),INDEX(MA109:MZ109,MATCH(MC109,MC109:MC214,0),MATCH(Structure!$D$17,$MA$14:$MZ$14,0))))</f>
        <v/>
      </c>
      <c r="CG109" s="239" t="str">
        <f>IF(A109=FALSE,"",IF(ALLTHESAME=TRUE,INDEX(NA109:NZ109,MATCH(NC109,NC109:NC214,0),MATCH(Structure!$D$17,$NA$14:$NZ$14,0)),INDEX(OA109:OZ109,MATCH(OC109,OC109:OC214,0),MATCH(Structure!$D$17,$OA$14:$OZ$14,0))))</f>
        <v/>
      </c>
      <c r="CH109" s="239" t="str">
        <f>IF(A109=FALSE,"",IF(ALLTHESAME=TRUE,INDEX(PA109:PZ109,MATCH(PC109,PC109:PC214,0),MATCH(Structure!$D$17,$PA$14:$PZ$14,0)),INDEX(QA109:QZ109,MATCH(QC109,QC109:QC214,0),MATCH(Structure!$D$17,$QA$14:$QZ$14,0))))</f>
        <v/>
      </c>
      <c r="CI109" s="341" t="str">
        <f>IF(A109=FALSE,"",IF(ALLTHESAME=TRUE,INDEX(RA109:RZ109,MATCH(RC109,RC109:RC214,0),MATCH(Structure!$D$17,$RA$14:$RZ$14,0)),INDEX(SA109:TC109,MATCH(SC109,SC109:SC214,0),MATCH(Structure!$D$17,$SA$14:$TC$14,0))))</f>
        <v/>
      </c>
      <c r="CJ109" s="347"/>
      <c r="CK109" s="239" t="str">
        <f t="shared" si="652"/>
        <v/>
      </c>
      <c r="CL109" s="239" t="str">
        <f>IF(A109=FALSE,"",IF(ALLTHESAME=TRUE,INDEX(DD109:DZ109,MATCH(DF109,DF109:DF214,0),MATCH(Structure!$D$22,$DD$14:$DZ$14,0)),INDEX(EA109:EZ109,MATCH(EC109,EC109:EC214,0),MATCH(Structure!$D$22,$EA$14:$EZ$14,0))))</f>
        <v/>
      </c>
      <c r="CM109" s="239" t="str">
        <f>IF(A109=FALSE,"",IF(ALLTHESAME=TRUE,INDEX(FA109:FZ109,MATCH(FC109,FC109:FC214,0),MATCH(Structure!$D$22,$FA$14:$FZ$14,0)),INDEX(GA109:GZ109,MATCH(GC109,GC109:GC214,0),MATCH(Structure!$D$22,$GA$14:$GZ$14,0))))</f>
        <v/>
      </c>
      <c r="CN109" s="239" t="str">
        <f>IF(A109=FALSE,"",IF(ALLTHESAME=TRUE,INDEX(HA109:HZ109,MATCH(HC109,HC109:HC214,0),MATCH(Structure!$D$22,$HA$14:$HZ$14,0)),INDEX(IA109:IZ109,MATCH(IC109,IC109:IC214,0),MATCH(Structure!$D$22,$IA$14:$IZ$14,0))))</f>
        <v/>
      </c>
      <c r="CO109" s="239" t="str">
        <f>IF(A109=FALSE,"",IF(ALLTHESAME=TRUE,INDEX(JA109:JZ109,MATCH(JC109,JC109:JC214,0),MATCH(Structure!$D$22,$JA$14:$JZ$14,0)),INDEX(KA109:KZ109,MATCH(KC109,KC109:KC214,0),MATCH(Structure!$D$22,$KA$14:$KZ$14,0))))</f>
        <v/>
      </c>
      <c r="CP109" s="239" t="str">
        <f>IF(A109=FALSE,"",IF(ALLTHESAME=TRUE,INDEX(LA109:LZ109,MATCH(LC109,LC109:LC214,0),MATCH(Structure!$D$22,$LA$14:$LZ$14,0)),INDEX(MA109:MZ109,MATCH(MC109,MC109:MC214,0),MATCH(Structure!$D$22,$MA$14:$MZ$14,0))))</f>
        <v/>
      </c>
      <c r="CQ109" s="239" t="str">
        <f>IF(A109=FALSE,"",IF(ALLTHESAME=TRUE,INDEX(NA109:NZ109,MATCH(NC109,NC109:NC214,0),MATCH(Structure!$D$22,$NA$14:$NZ$14,0)),INDEX(OA109:OZ109,MATCH(OC109,OC109:OC214,0),MATCH(Structure!$D$22,$OA$14:$OZ$14,0))))</f>
        <v/>
      </c>
      <c r="CR109" s="239" t="str">
        <f>IF(A109=FALSE,"",IF(ALLTHESAME=TRUE,INDEX(PA109:PZ109,MATCH(PC109,PC109:PC214,0),MATCH(Structure!$D$22,$PA$14:$PZ$14,0)),INDEX(QA109:QZ109,MATCH(QC109,QC109:QC214,0),MATCH(Structure!$D$22,$QA$14:$QZ$14,0))))</f>
        <v/>
      </c>
      <c r="CS109" s="341" t="str">
        <f>IF(A109=FALSE,"",IF(ALLTHESAME=TRUE,INDEX(RA109:RZ109,MATCH(RC109,RC109:RC214,0),MATCH(Structure!$D$22,$RA$14:$RZ$14,0)),INDEX(SA109:TC109,MATCH(SC109,SC109:SC214,0),MATCH(Structure!$D$22,$SA$14:$TC$14,0))))</f>
        <v/>
      </c>
      <c r="CT109" s="347"/>
      <c r="CU109" s="239" t="str">
        <f t="shared" si="653"/>
        <v/>
      </c>
      <c r="CV109" s="239" t="str">
        <f>IF(A109=FALSE,"",IF(ALLTHESAME=TRUE,INDEX(DD109:DZ109,MATCH(DF109,DF109:DF214,0),MATCH(Structure!$D$8,$DD$14:$DZ$14,0)),INDEX(EA109:EZ109,MATCH(EC109,EC109:EC214,0),MATCH(Structure!$D$8,$EA$14:$EZ$14,0))))</f>
        <v/>
      </c>
      <c r="CW109" s="239" t="str">
        <f>IF(A109=FALSE,"",IF(ALLTHESAME=TRUE,INDEX(FA109:FZ109,MATCH(FC109,FC109:FC214,0),MATCH(Structure!$D$8,$FA$14:$FZ$14,0)),INDEX(GA109:GZ109,MATCH(GC109,GC109:GC214,0),MATCH(Structure!$D$8,$GA$14:$GZ$14,0))))</f>
        <v/>
      </c>
      <c r="CX109" s="239" t="str">
        <f>IF(A109=FALSE,"",IF(ALLTHESAME=TRUE,INDEX(HA109:HZ109,MATCH(HC109,HC109:HC214,0),MATCH(Structure!$D$8,$HA$14:$HZ$14,0)),INDEX(IA109:IZ109,MATCH(IC109,IC109:IC214,0),MATCH(Structure!$D$8,$IA$14:$IZ$14,0))))</f>
        <v/>
      </c>
      <c r="CY109" s="239" t="str">
        <f>IF(A109=FALSE,"",IF(ALLTHESAME=TRUE,INDEX(JA109:JZ109,MATCH(JC109,JC109:JC214,0),MATCH(Structure!$D$8,$JA$14:$JZ$14,0)),INDEX(KA109:KZ109,MATCH(KC109,KC109:KC214,0),MATCH(Structure!$D$8,$KA$14:$KZ$14,0))))</f>
        <v/>
      </c>
      <c r="CZ109" s="239" t="str">
        <f>IF(A109=FALSE,"",IF(ALLTHESAME=TRUE,INDEX(LA109:LZ109,MATCH(LC109,LC109:LC214,0),MATCH(Structure!$D$8,$LA$14:$LZ$14,0)),INDEX(MA109:MZ109,MATCH(MC109,MC109:MC214,0),MATCH(Structure!$D$8,$MA$14:$MZ$14,0))))</f>
        <v/>
      </c>
      <c r="DA109" s="239" t="str">
        <f>IF(A109=FALSE,"",IF(ALLTHESAME=TRUE,INDEX(NA109:NZ109,MATCH(NC109,NC109:NC214,0),MATCH(Structure!$D$8,$NA$14:$NZ$14,0)),INDEX(OA109:OZ109,MATCH(OC109,OC109:OC214,0),MATCH(Structure!$D$8,$OA$14:$OZ$14,0))))</f>
        <v/>
      </c>
      <c r="DB109" s="239" t="str">
        <f>IF(A109=FALSE,"",IF(ALLTHESAME=TRUE,INDEX(PA109:PZ109,MATCH(PC109,PC109:PC214,0),MATCH(Structure!$D$8,$PA$14:$PZ$14,0)),INDEX(QA109:QZ109,MATCH(QC109,QC109:QC214,0),MATCH(Structure!$D$8,$QA$14:$QZ$14,0))))</f>
        <v/>
      </c>
      <c r="DC109" s="341" t="str">
        <f>IF(A109=FALSE,"",IF(ALLTHESAME=TRUE,INDEX(RA109:RZ109,MATCH(RC109,RC109:RC214,0),MATCH(Structure!$D$8,$RA$14:$RZ$14,0)),INDEX(SA109:TC109,MATCH(SC109,SC109:SC214,0),MATCH(Structure!$D$8,$SA$14:$TC$14,0))))</f>
        <v/>
      </c>
      <c r="DD109" s="492" t="str">
        <f>IF(A109=FALSE,"",Cotations!D109)</f>
        <v/>
      </c>
      <c r="DE109" s="492" t="str">
        <f>IF(A109=FALSE,"",IF(LISTES!$A$17=1,Cotations!AF109,Cotations!$AG$4))</f>
        <v/>
      </c>
      <c r="DF109" s="291" t="str">
        <f t="shared" si="654"/>
        <v/>
      </c>
      <c r="DG109" s="291" t="str">
        <f t="shared" si="655"/>
        <v/>
      </c>
      <c r="DH109" s="291"/>
      <c r="DI109" s="463"/>
      <c r="DJ109" s="463" t="str">
        <f t="shared" si="656"/>
        <v/>
      </c>
      <c r="DK109" s="522" t="str">
        <f>IF(A109=FALSE,"",IF(Cotations!$AH$4="monthly",DJ109/12*L109,DJ109/365*M109))</f>
        <v/>
      </c>
      <c r="DL109" s="489" t="str">
        <f>IF(A109=FALSE,"",Cotations!$AI$4)</f>
        <v/>
      </c>
      <c r="DM109" s="300" t="str">
        <f t="shared" si="657"/>
        <v/>
      </c>
      <c r="DN109" s="300" t="str">
        <f t="shared" si="658"/>
        <v/>
      </c>
      <c r="DO109" s="294" t="str">
        <f t="shared" si="659"/>
        <v/>
      </c>
      <c r="DP109" s="494" t="str">
        <f>IF(A109=FALSE,"",Cotations!$AJ$4)</f>
        <v/>
      </c>
      <c r="DQ109" s="494" t="str">
        <f>IF(A109=FALSE,"",Cotations!$AK$4)</f>
        <v/>
      </c>
      <c r="DR109" s="489" t="str">
        <f>IF(A109=FALSE,"",Cotations!$AL$4)</f>
        <v/>
      </c>
      <c r="DS109" s="494" t="str">
        <f>IF(A109=FALSE,"",IF(DP109="N/A",0,IF(INDEX(LISTES!$F$105:$F$109,MATCH(DP109,LISTES!$C$105:$C$109,0))="FIX",IF(INDEX(LISTES!$E$105:$E$109,MATCH(DP109,LISTES!$C$105:$C$109,0))=12,DQ109/12*L109,DQ109/365*M109),DR109*DO109)))</f>
        <v/>
      </c>
      <c r="DT109" s="294" t="str">
        <f t="shared" si="660"/>
        <v/>
      </c>
      <c r="DU109" s="294" t="str">
        <f>IF(A109=FALSE,"",DT109*Cotations!$AM$4)</f>
        <v/>
      </c>
      <c r="DV109" s="294" t="str">
        <f>IF(A109=FALSE,"",DT109*Cotations!$AN$4)</f>
        <v/>
      </c>
      <c r="DW109" s="465" t="str">
        <f t="shared" si="661"/>
        <v/>
      </c>
      <c r="DX109" s="919" t="str">
        <f>IF(A109=FALSE,"",((DJ109*TAXE)-(DJ109*TAXE*DL109))+IF(DP109="N/A",0,IF(INDEX(LISTES!$F$105:$F$109,MATCH(DP109,LISTES!$C$105:$C$109,0))="FIX",DQ109,DR109*DO109)))</f>
        <v/>
      </c>
      <c r="DY109" s="466"/>
      <c r="DZ109" s="466"/>
      <c r="EA109" s="492" t="str">
        <f>IF(A109=FALSE,"",Cotations!D109)</f>
        <v/>
      </c>
      <c r="EB109" s="494" t="str">
        <f>IF(A109=FALSE,"",IF(LISTES!$A$17=1,Cotations!AF109,Cotations!AG109))</f>
        <v/>
      </c>
      <c r="EC109" s="284" t="str">
        <f t="shared" si="662"/>
        <v/>
      </c>
      <c r="ED109" s="284" t="str">
        <f t="shared" si="663"/>
        <v/>
      </c>
      <c r="EE109" s="284"/>
      <c r="EF109" s="284"/>
      <c r="EG109" s="284" t="str">
        <f t="shared" si="664"/>
        <v/>
      </c>
      <c r="EH109" s="1365" t="str">
        <f t="shared" si="665"/>
        <v/>
      </c>
      <c r="EI109" s="1365" t="str">
        <f t="shared" si="666"/>
        <v/>
      </c>
      <c r="EJ109" s="515" t="str">
        <f>IF(A109=FALSE,"",IF(Cotations!AH109="monthly",EG109/12*L109,EG109/365*M109))</f>
        <v/>
      </c>
      <c r="EK109" s="1364" t="str">
        <f>IF(A109=FALSE,"",IF(Cotations!AH109="monthly",EI109/12*L109,EI109/365*M109))</f>
        <v/>
      </c>
      <c r="EL109" s="493" t="str">
        <f>IF(A109=FALSE,"",IF(Cotations!AI109="","",Cotations!AI109))</f>
        <v/>
      </c>
      <c r="EM109" s="284" t="str">
        <f t="shared" si="667"/>
        <v/>
      </c>
      <c r="EN109" s="284" t="str">
        <f t="shared" si="668"/>
        <v/>
      </c>
      <c r="EO109" s="1365" t="str">
        <f t="shared" si="840"/>
        <v/>
      </c>
      <c r="EP109" s="284" t="str">
        <f t="shared" si="669"/>
        <v/>
      </c>
      <c r="EQ109" s="515" t="str">
        <f>IF(A109=FALSE,"",Cotations!AJ109)</f>
        <v/>
      </c>
      <c r="ER109" s="515" t="str">
        <f>IF(A109=FALSE,"",IF(Cotations!AK109="","",Cotations!AK109))</f>
        <v/>
      </c>
      <c r="ES109" s="493" t="str">
        <f>IF(A109=FALSE,"",Cotations!AL109)</f>
        <v/>
      </c>
      <c r="ET109" s="515" t="str">
        <f>IF(A109=FALSE,"",IF(EQ109="N/A",0,IF(INDEX(LISTES!$F$105:$F$109,MATCH(EQ109,LISTES!$C$105:$C$109,0))="FIX",IF(INDEX(LISTES!$E$105:$E$109,MATCH(EQ109,LISTES!$C$105:$C$109,0))=12,ER109/12*L109,ER109/365*M109),ES109*EP109)))</f>
        <v/>
      </c>
      <c r="EU109" s="294" t="str">
        <f t="shared" si="670"/>
        <v/>
      </c>
      <c r="EV109" s="494" t="str">
        <f>IF(A109=FALSE,"",EU109*Cotations!AM109)</f>
        <v/>
      </c>
      <c r="EW109" s="494" t="str">
        <f>IF(A109=FALSE,"",EU109*Cotations!AN109)</f>
        <v/>
      </c>
      <c r="EX109" s="334" t="str">
        <f t="shared" si="671"/>
        <v/>
      </c>
      <c r="EY109" s="919" t="str">
        <f>IF(A109=FALSE,"",((EG109*TAXE)-(EG109*TAXE*EL109)+EH109)+IF(EQ109="N/A",0,IF(INDEX(LISTES!$F$105:$F$109,MATCH(EQ109,LISTES!$C$105:$C$109,0))="FIX",ER109,ES109*EP109)))</f>
        <v/>
      </c>
      <c r="FA109" s="492" t="str">
        <f>IF(A109=FALSE,"",Cotations!D109)</f>
        <v/>
      </c>
      <c r="FB109" s="519" t="str">
        <f>IF(A109=FALSE,"",IF(LISTES!$A$17=1,Cotations!AO109,Cotations!$AP$4))</f>
        <v/>
      </c>
      <c r="FC109" s="291" t="str">
        <f t="shared" si="672"/>
        <v/>
      </c>
      <c r="FD109" s="291" t="str">
        <f t="shared" si="673"/>
        <v/>
      </c>
      <c r="FE109" s="291"/>
      <c r="FF109" s="463"/>
      <c r="FG109" s="463" t="str">
        <f t="shared" si="674"/>
        <v/>
      </c>
      <c r="FH109" s="522" t="str">
        <f>IF(A109=FALSE,"",IF(Cotations!$AQ$4="monthly",FG109/12*L109,FG109/365*M109))</f>
        <v/>
      </c>
      <c r="FI109" s="453" t="str">
        <f>IF(A109=FALSE,"",Cotations!$AR$4)</f>
        <v/>
      </c>
      <c r="FJ109" s="300" t="str">
        <f t="shared" si="675"/>
        <v/>
      </c>
      <c r="FK109" s="300" t="str">
        <f t="shared" si="676"/>
        <v/>
      </c>
      <c r="FL109" s="294" t="str">
        <f t="shared" si="677"/>
        <v/>
      </c>
      <c r="FM109" s="494" t="str">
        <f>IF(A109=FALSE,"",Cotations!$AS$4)</f>
        <v/>
      </c>
      <c r="FN109" s="494" t="str">
        <f>IF(A109=FALSE,"",Cotations!$AT$4)</f>
        <v/>
      </c>
      <c r="FO109" s="489" t="str">
        <f>IF(A109=FALSE,"",Cotations!$AU$4)</f>
        <v/>
      </c>
      <c r="FP109" s="494" t="str">
        <f>IF(A109=FALSE,"",IF(FM109="N/A",0,IF(INDEX(LISTES!$F$105:$F$109,MATCH(FM109,LISTES!$C$105:$C$109,0))="FIX",IF(INDEX(LISTES!$E$105:$E$109,MATCH(FM109,LISTES!$C$105:$C$109,0))=12,FN109/12*L109,FN109/365*M109),FO109*FL109)))</f>
        <v/>
      </c>
      <c r="FQ109" s="294" t="str">
        <f t="shared" si="678"/>
        <v/>
      </c>
      <c r="FR109" s="494" t="str">
        <f>IF(A109=FALSE,"",FQ109*Cotations!$AV$4)</f>
        <v/>
      </c>
      <c r="FS109" s="494" t="str">
        <f>IF(A109=FALSE,"",FQ109*Cotations!$AW$4)</f>
        <v/>
      </c>
      <c r="FT109" s="465" t="str">
        <f t="shared" si="679"/>
        <v/>
      </c>
      <c r="FU109" s="919" t="str">
        <f>IF(A109=FALSE,"",((FG109*TAXE)-(FG109*TAXE*FI109))+IF(FM109="N/A",0,IF(INDEX(LISTES!$F$105:$F$109,MATCH(FM109,LISTES!$C$105:$C$109,0))="FIX",FN109,FO109*FL109)))</f>
        <v/>
      </c>
      <c r="FV109" s="478"/>
      <c r="FW109" s="478"/>
      <c r="FX109" s="478"/>
      <c r="FY109" s="478"/>
      <c r="FZ109" s="478"/>
      <c r="GA109" s="492" t="str">
        <f>IF(A109=FALSE,"",Cotations!D109)</f>
        <v/>
      </c>
      <c r="GB109" s="494" t="str">
        <f>IF(A109=FALSE,"",IF(LISTES!$A$17=1,Cotations!AO109,Cotations!AP109))</f>
        <v/>
      </c>
      <c r="GC109" s="284" t="str">
        <f t="shared" si="680"/>
        <v/>
      </c>
      <c r="GD109" s="515" t="str">
        <f>IF(A109=FALSE,"",IF(Detail!AM109="","",Detail!AM109))</f>
        <v/>
      </c>
      <c r="GE109" s="284"/>
      <c r="GF109" s="284"/>
      <c r="GG109" s="284" t="str">
        <f t="shared" si="681"/>
        <v/>
      </c>
      <c r="GH109" s="515" t="str">
        <f>IF(A109=FALSE,"",IF(Cotations!AQ109="monthly",GG109/12*L109,GG109/365*M109))</f>
        <v/>
      </c>
      <c r="GI109" s="493" t="str">
        <f>IF(A109=FALSE,"",IF(Cotations!AR109="","",Cotations!AR109))</f>
        <v/>
      </c>
      <c r="GJ109" s="284" t="str">
        <f t="shared" si="682"/>
        <v/>
      </c>
      <c r="GK109" s="284" t="str">
        <f t="shared" si="683"/>
        <v/>
      </c>
      <c r="GL109" s="284" t="str">
        <f t="shared" si="684"/>
        <v/>
      </c>
      <c r="GM109" s="515" t="str">
        <f>IF(A109=FALSE,"",Cotations!AS109)</f>
        <v/>
      </c>
      <c r="GN109" s="515" t="str">
        <f>IF(A109=FALSE,"",Cotations!AT109)</f>
        <v/>
      </c>
      <c r="GO109" s="493" t="str">
        <f>IF(A109=FALSE,"",Cotations!AU109)</f>
        <v/>
      </c>
      <c r="GP109" s="515" t="str">
        <f>IF(A109=FALSE,"",IF(GM109="N/A",0,IF(INDEX(LISTES!$F$105:$F$109,MATCH(GM109,LISTES!$C$105:$C$109,0))="FIX",IF(INDEX(LISTES!$E$105:$E$109,MATCH(GM109,LISTES!$C$105:$C$109,0))=12,GN109/12*L109,GN109/365*M109),GO109*GL109)))</f>
        <v/>
      </c>
      <c r="GQ109" s="294" t="str">
        <f t="shared" si="685"/>
        <v/>
      </c>
      <c r="GR109" s="494" t="str">
        <f>IF(A109=FALSE,"",GQ109*Cotations!AV109)</f>
        <v/>
      </c>
      <c r="GS109" s="494" t="str">
        <f>IF(A109=FALSE,"",GQ109*Cotations!AW109)</f>
        <v/>
      </c>
      <c r="GT109" s="334" t="str">
        <f t="shared" si="686"/>
        <v/>
      </c>
      <c r="GU109" s="919" t="str">
        <f>IF(A109=FALSE,"",((GG109*TAXE)-(GG109*TAXE*GI109))+IF(GM109="N/A",0,IF(INDEX(LISTES!$F$105:$F$109,MATCH(GM109,LISTES!$C$105:$C$109,0))="FIX",GN109,GO109*GL109)))</f>
        <v/>
      </c>
      <c r="GV109" s="478"/>
      <c r="GW109" s="466"/>
      <c r="GX109" s="466"/>
      <c r="GY109" s="466"/>
      <c r="GZ109" s="466"/>
      <c r="HA109" s="492" t="str">
        <f>IF(A109=FALSE,"",Cotations!D109)</f>
        <v/>
      </c>
      <c r="HB109" s="495" t="str">
        <f>IF(A109=FALSE,"",IF(LISTES!$A$17=1,Cotations!AX109,Cotations!$AY$4))</f>
        <v/>
      </c>
      <c r="HC109" s="291" t="str">
        <f t="shared" si="687"/>
        <v/>
      </c>
      <c r="HD109" s="291" t="str">
        <f t="shared" si="688"/>
        <v/>
      </c>
      <c r="HE109" s="456" t="str">
        <f t="shared" si="689"/>
        <v/>
      </c>
      <c r="HF109" s="496" t="str">
        <f>IF(A109=FALSE,"",IF(HA109="POEA",Cotations!BA109,IF(HA109="FIXE",Cotations!$BA$4,Cotations!$BC$4*Y109)))</f>
        <v/>
      </c>
      <c r="HG109" s="300" t="str">
        <f t="shared" si="690"/>
        <v/>
      </c>
      <c r="HH109" s="522" t="str">
        <f>IF(A109=FALSE,"",IF(Cotations!$AZ$4="monthly",HG109/12*L109,HG109/365*M109))</f>
        <v/>
      </c>
      <c r="HI109" s="489" t="str">
        <f>IF(A109=FALSE,"",Cotations!$BD$4)</f>
        <v/>
      </c>
      <c r="HJ109" s="300" t="str">
        <f t="shared" si="691"/>
        <v/>
      </c>
      <c r="HK109" s="300" t="str">
        <f t="shared" si="692"/>
        <v/>
      </c>
      <c r="HL109" s="294" t="str">
        <f t="shared" si="693"/>
        <v/>
      </c>
      <c r="HM109" s="494" t="str">
        <f>IF(A109=FALSE,"",Cotations!$BE$4)</f>
        <v/>
      </c>
      <c r="HN109" s="522" t="str">
        <f>IF(A109=FALSE,"",Cotations!$BF$4)</f>
        <v/>
      </c>
      <c r="HO109" s="489" t="str">
        <f>IF(A109=FALSE,"",Cotations!$BG$4)</f>
        <v/>
      </c>
      <c r="HP109" s="494" t="str">
        <f>IF(A109=FALSE,"",IF(HM109="N/A",0,IF(INDEX(LISTES!$F$105:$F$109,MATCH(HM109,LISTES!$C$105:$C$109,0))="FIX",IF(INDEX(LISTES!$E$105:$E$109,MATCH(HM109,LISTES!$C$105:$C$109,0))=12,HN109/12*L109,HN109/365*M109),HO109*HL109)))</f>
        <v/>
      </c>
      <c r="HQ109" s="294" t="str">
        <f t="shared" si="694"/>
        <v/>
      </c>
      <c r="HR109" s="494" t="str">
        <f>IF(A109=FALSE,"",HQ109*Cotations!$BH$4)</f>
        <v/>
      </c>
      <c r="HS109" s="494" t="str">
        <f>IF(A109=FALSE,"",HQ109*Cotations!$BI$4)</f>
        <v/>
      </c>
      <c r="HT109" s="294" t="str">
        <f t="shared" si="695"/>
        <v/>
      </c>
      <c r="HU109" s="919" t="str">
        <f>IF(A109=FALSE,"",((HG109*TAXE)-(HG109*TAXE*HI109))+IF(HM109="N/A",0,IF(INDEX(LISTES!$F$105:$F$109,MATCH(HM109,LISTES!$C$105:$C$109,0))="FIX",HN109,HO109*HL109)))</f>
        <v/>
      </c>
      <c r="IA109" s="492" t="str">
        <f>IF(A109=FALSE,"",Cotations!D109)</f>
        <v/>
      </c>
      <c r="IB109" s="491" t="str">
        <f>IF(A109=FALSE,"",IF(LISTES!$A$17=1,Cotations!AX109,Cotations!AY109))</f>
        <v/>
      </c>
      <c r="IC109" s="285" t="str">
        <f t="shared" si="696"/>
        <v/>
      </c>
      <c r="ID109" s="300" t="str">
        <f>IF(A109=FALSE,"",IF(LISTES!$A$17=3,Detail!AU109,lig1_Formula_PREVOY))</f>
        <v/>
      </c>
      <c r="IE109" s="461" t="str">
        <f t="shared" si="697"/>
        <v/>
      </c>
      <c r="IF109" s="490" t="str">
        <f>IF(A109=FALSE,"",IF(IA109="POEA",Cotations!BA109,IF(HA109="FIXE",Cotations!BB109,IF(Cotations!BC109*Y109&lt;50000,Z109,Cotations!BC109*Y109))))</f>
        <v/>
      </c>
      <c r="IG109" s="300" t="str">
        <f t="shared" si="698"/>
        <v/>
      </c>
      <c r="IH109" s="522" t="str">
        <f>IF(A109=FALSE,"",IF(Cotations!AZ109="monthly",IG109/12*L109,IG109/365*M109))</f>
        <v/>
      </c>
      <c r="II109" s="489" t="str">
        <f>IF(A109=FALSE,"",IF(Cotations!BD109="","",Cotations!BD109))</f>
        <v/>
      </c>
      <c r="IJ109" s="300" t="str">
        <f t="shared" si="699"/>
        <v/>
      </c>
      <c r="IK109" s="300" t="str">
        <f t="shared" si="700"/>
        <v/>
      </c>
      <c r="IL109" s="919" t="str">
        <f t="shared" si="701"/>
        <v/>
      </c>
      <c r="IM109" s="517" t="str">
        <f>IF(A109=FALSE,"",Cotations!BE109)</f>
        <v/>
      </c>
      <c r="IN109" s="517" t="str">
        <f>IF(A109=FALSE,"",Cotations!BF109)</f>
        <v/>
      </c>
      <c r="IO109" s="493" t="str">
        <f>IF(A109=FALSE,"",Cotations!BG109)</f>
        <v/>
      </c>
      <c r="IP109" s="517" t="str">
        <f>IF(A109=FALSE,"",IF(IM109="N/A",0,IF(INDEX(LISTES!$F$105:$F$109,MATCH(IM109,LISTES!$C$105:$C$109,0))="FIX",IF(INDEX(LISTES!$E$105:$E$109,MATCH(IM109,LISTES!$C$105:$C$109,0))=12,IN109/12*L109,IN109/365*M109),IO109*IL109)))</f>
        <v/>
      </c>
      <c r="IQ109" s="294" t="str">
        <f t="shared" si="702"/>
        <v/>
      </c>
      <c r="IR109" s="494" t="str">
        <f>IF(A109=FALSE,"",IQ109*Cotations!BH109)</f>
        <v/>
      </c>
      <c r="IS109" s="494" t="str">
        <f>IF(A109=FALSE,"",IQ109*Cotations!BI109)</f>
        <v/>
      </c>
      <c r="IT109" s="338" t="str">
        <f t="shared" si="703"/>
        <v/>
      </c>
      <c r="IU109" s="919" t="str">
        <f>IF(A109=FALSE,"",((IG109*TAXE)-(IG109*TAXE*II109))+IF(IM109="N/A",0,IF(INDEX(LISTES!$F$105:$F$109,MATCH(IM109,LISTES!$C$105:$C$109,0))="FIX",IN109,IO109*IL109)))</f>
        <v/>
      </c>
      <c r="JA109" s="492" t="str">
        <f>IF(A109=FALSE,"",Cotations!D109)</f>
        <v/>
      </c>
      <c r="JB109" s="495" t="str">
        <f>IF(A109=FALSE,"",IF(LISTES!$A$17=1,Cotations!BJ109,Cotations!$BK$4))</f>
        <v/>
      </c>
      <c r="JC109" s="291" t="str">
        <f t="shared" si="704"/>
        <v/>
      </c>
      <c r="JD109" s="291" t="str">
        <f t="shared" si="705"/>
        <v/>
      </c>
      <c r="JE109" s="456" t="str">
        <f t="shared" si="706"/>
        <v/>
      </c>
      <c r="JF109" s="496" t="str">
        <f>IF(A109=FALSE,"",IF(JA109="POEA",Cotations!BM109,IF(JA109="FIXE",Cotations!$BM$4,Cotations!$BO$4*Y109)))</f>
        <v/>
      </c>
      <c r="JG109" s="300" t="str">
        <f t="shared" si="707"/>
        <v/>
      </c>
      <c r="JH109" s="522" t="str">
        <f>IF(A109=FALSE,"",IF(Cotations!$BL$4="monthly",JG109/12*L109,JG109/365*M109))</f>
        <v/>
      </c>
      <c r="JI109" s="489" t="str">
        <f>IF(A109=FALSE,"",Cotations!$BP$4)</f>
        <v/>
      </c>
      <c r="JJ109" s="300" t="str">
        <f t="shared" si="708"/>
        <v/>
      </c>
      <c r="JK109" s="300" t="str">
        <f t="shared" si="709"/>
        <v/>
      </c>
      <c r="JL109" s="294" t="str">
        <f t="shared" si="710"/>
        <v/>
      </c>
      <c r="JM109" s="494" t="str">
        <f>IF(A109=FALSE,"",Cotations!$BQ$4)</f>
        <v/>
      </c>
      <c r="JN109" s="522" t="str">
        <f>IF(A109=FALSE,"",Cotations!$BR$4)</f>
        <v/>
      </c>
      <c r="JO109" s="489" t="str">
        <f>IF(A109=FALSE,"",Cotations!$BS$4)</f>
        <v/>
      </c>
      <c r="JP109" s="494" t="str">
        <f>IF(A109=FALSE,"",IF(JM109="N/A",0,IF(INDEX(LISTES!$F$105:$F$109,MATCH(JM109,LISTES!$C$105:$C$109,0))="FIX",IF(INDEX(LISTES!$E$105:$E$109,MATCH(JM109,LISTES!$C$105:$C$109,0))=12,JN109/12*L109,JN109/365*M109),JO109*JL109)))</f>
        <v/>
      </c>
      <c r="JQ109" s="294" t="str">
        <f t="shared" si="711"/>
        <v/>
      </c>
      <c r="JR109" s="494" t="str">
        <f>IF(A109=FALSE,"",JQ109*Cotations!$BT$4)</f>
        <v/>
      </c>
      <c r="JS109" s="494" t="str">
        <f>IF(A109=FALSE,"",JQ109*Cotations!$BU$4)</f>
        <v/>
      </c>
      <c r="JT109" s="294" t="str">
        <f t="shared" si="712"/>
        <v/>
      </c>
      <c r="JU109" s="919" t="str">
        <f>IF(A109=FALSE,"",((JG109*TAXE)-(JG109*TAXE*JI109))+IF(JM109="N/A",0,IF(INDEX(LISTES!$F$105:$F$109,MATCH(JM109,LISTES!$C$105:$C$109,0))="FIX",JN109,JO109*JL109)))</f>
        <v/>
      </c>
      <c r="KA109" s="492" t="str">
        <f>IF(A109=FALSE,"",Cotations!D109)</f>
        <v/>
      </c>
      <c r="KB109" s="491" t="str">
        <f>IF(A109=FALSE,"",IF(LISTES!$A$17=1,Cotations!BJ109,Cotations!BK109))</f>
        <v/>
      </c>
      <c r="KC109" s="285" t="str">
        <f t="shared" si="713"/>
        <v/>
      </c>
      <c r="KD109" s="300"/>
      <c r="KE109" s="461" t="str">
        <f t="shared" si="714"/>
        <v/>
      </c>
      <c r="KF109" s="490" t="str">
        <f>IF(A109=FALSE,"",IF(KA109="POEA",Cotations!BM109,IF(KA109="FIXE",Cotations!BN109,IF(Cotations!BO109*Y109&lt;50000,Z109,Cotations!BO109*Y109))))</f>
        <v/>
      </c>
      <c r="KG109" s="300" t="str">
        <f t="shared" si="715"/>
        <v/>
      </c>
      <c r="KH109" s="522" t="str">
        <f>IF(A109=FALSE,"",IF(Cotations!BL109="monthly",KG109/12*L109,KG109/365*M109))</f>
        <v/>
      </c>
      <c r="KI109" s="489" t="str">
        <f>IF(A109=FALSE,"",IF(Cotations!BP109="","",Cotations!BP109))</f>
        <v/>
      </c>
      <c r="KJ109" s="300" t="str">
        <f t="shared" si="716"/>
        <v/>
      </c>
      <c r="KK109" s="300" t="str">
        <f t="shared" si="717"/>
        <v/>
      </c>
      <c r="KL109" s="919" t="str">
        <f t="shared" si="718"/>
        <v/>
      </c>
      <c r="KM109" s="517" t="str">
        <f>IF(A109=FALSE,"",Cotations!BQ109)</f>
        <v/>
      </c>
      <c r="KN109" s="515" t="str">
        <f>IF(A109=FALSE,"",Cotations!BR109)</f>
        <v/>
      </c>
      <c r="KO109" s="493" t="str">
        <f>IF(A109=FALSE,"",Cotations!BS109)</f>
        <v/>
      </c>
      <c r="KP109" s="517" t="str">
        <f>IF(A109=FALSE,"",IF(KM109="N/A",0,IF(INDEX(LISTES!$F$105:$F$109,MATCH(KM109,LISTES!$C$105:$C$109,0))="FIX",IF(INDEX(LISTES!$E$105:$E$109,MATCH(KM109,LISTES!$C$105:$C$109,0))=12,KN109/12*L109,KN109/365*M109),KO109*KL109)))</f>
        <v/>
      </c>
      <c r="KQ109" s="294" t="str">
        <f t="shared" si="719"/>
        <v/>
      </c>
      <c r="KR109" s="494" t="str">
        <f>IF(A109=FALSE,"",KQ109*Cotations!BT109)</f>
        <v/>
      </c>
      <c r="KS109" s="494" t="str">
        <f>IF(A109=FALSE,"",KQ109*Cotations!BU109)</f>
        <v/>
      </c>
      <c r="KT109" s="338" t="str">
        <f t="shared" si="720"/>
        <v/>
      </c>
      <c r="KU109" s="919" t="str">
        <f>IF(A109=FALSE,"",((KG109*TAXE)-(KG109*TAXE*KI109))+IF(KM109="N/A",0,IF(INDEX(LISTES!$F$105:$F$109,MATCH(KM109,LISTES!$C$105:$C$109,0))="FIX",KN109,KO109*KL109)))</f>
        <v/>
      </c>
      <c r="LA109" s="497" t="str">
        <f>IF(A109=FALSE,"",Cotations!D109)</f>
        <v/>
      </c>
      <c r="LB109" s="498" t="str">
        <f>IF(A109=FALSE,"",IF(LISTES!$A$17=1,Cotations!BV109,Cotations!$BW$4))</f>
        <v/>
      </c>
      <c r="LC109" s="499" t="str">
        <f t="shared" si="721"/>
        <v/>
      </c>
      <c r="LD109" s="499" t="str">
        <f t="shared" si="722"/>
        <v/>
      </c>
      <c r="LE109" s="500" t="str">
        <f t="shared" si="723"/>
        <v/>
      </c>
      <c r="LF109" s="501" t="str">
        <f>IF(A109=FALSE,"",IF(LA109="POEA",Cotations!EJ109,IF(LA109="FIXE",Cotations!$BY$4,Cotations!$CA$4*Y109)))</f>
        <v/>
      </c>
      <c r="LG109" s="502" t="str">
        <f t="shared" si="724"/>
        <v/>
      </c>
      <c r="LH109" s="520" t="str">
        <f>IF(A109=FALSE,"",IF(Cotations!$BX$4="monthly",LG109/12*L109,LG109/365*M109))</f>
        <v/>
      </c>
      <c r="LI109" s="503" t="str">
        <f>IF(A109=FALSE,"",Cotations!$CB$4)</f>
        <v/>
      </c>
      <c r="LJ109" s="502" t="str">
        <f t="shared" si="725"/>
        <v/>
      </c>
      <c r="LK109" s="502" t="str">
        <f t="shared" si="726"/>
        <v/>
      </c>
      <c r="LL109" s="504" t="str">
        <f t="shared" si="727"/>
        <v/>
      </c>
      <c r="LM109" s="505" t="str">
        <f>IF(A109=FALSE,"",Cotations!$CC$4)</f>
        <v/>
      </c>
      <c r="LN109" s="503" t="str">
        <f>IF(A109=FALSE,"",Cotations!$CD$4)</f>
        <v/>
      </c>
      <c r="LO109" s="503" t="str">
        <f>IF(A109=FALSE,"",Cotations!$CE$4)</f>
        <v/>
      </c>
      <c r="LP109" s="505" t="str">
        <f>IF(A109=FALSE,"",IF(LM109="N/A",0,IF(INDEX(LISTES!$F$105:$F$109,MATCH(LM109,LISTES!$C$105:$C$109,0))="FIX",IF(INDEX(LISTES!$E$105:$E$109,MATCH(LM109,LISTES!$C$105:$C$109,0))=12,LN109/12*L109,LN109/365*M109),LO109*LL109)))</f>
        <v/>
      </c>
      <c r="LQ109" s="504" t="str">
        <f t="shared" si="728"/>
        <v/>
      </c>
      <c r="LR109" s="505" t="str">
        <f>IF(A109=FALSE,"",LQ109*Cotations!$CF$4)</f>
        <v/>
      </c>
      <c r="LS109" s="505" t="str">
        <f>IF(A109=FALSE,"",LQ109*Cotations!$CG$4)</f>
        <v/>
      </c>
      <c r="LT109" s="506" t="str">
        <f t="shared" si="729"/>
        <v/>
      </c>
      <c r="LU109" s="919" t="str">
        <f>IF(A109=FALSE,"",((LG109*TAXE)-(LG109*TAXE*LI109))+IF(LM109="N/A",0,IF(INDEX(LISTES!$F$105:$F$109,MATCH(LM109,LISTES!$C$105:$C$109,0))="FIX",LN109,LO109*LL109)))</f>
        <v/>
      </c>
      <c r="MA109" s="492" t="str">
        <f>IF(A109=FALSE,"",Cotations!D109)</f>
        <v/>
      </c>
      <c r="MB109" s="491" t="str">
        <f>IF(A109=FALSE,"",IF(LISTES!$A$17=1,Cotations!BV109,Cotations!BW109))</f>
        <v/>
      </c>
      <c r="MC109" s="285" t="str">
        <f t="shared" si="730"/>
        <v/>
      </c>
      <c r="MD109" s="300"/>
      <c r="ME109" s="461" t="str">
        <f t="shared" si="731"/>
        <v/>
      </c>
      <c r="MF109" s="490" t="str">
        <f>IF(A109=FALSE,"",IF(MA109="POEA",Cotations!BY109,IF(MA109="FIXE",Cotations!BZ109,IF(Cotations!CA109*Y109&lt;50000,Z109,Cotations!CA109*Y109))))</f>
        <v/>
      </c>
      <c r="MG109" s="300" t="str">
        <f t="shared" si="732"/>
        <v/>
      </c>
      <c r="MH109" s="522" t="str">
        <f>IF(A109=FALSE,"",IF(Cotations!BX109="monthly",MG109/12*L109,MG109/365*M109))</f>
        <v/>
      </c>
      <c r="MI109" s="489" t="str">
        <f>IF(A109=FALSE,"",IF(Cotations!CB109="","",Cotations!CB109))</f>
        <v/>
      </c>
      <c r="MJ109" s="300" t="str">
        <f t="shared" si="733"/>
        <v/>
      </c>
      <c r="MK109" s="300" t="str">
        <f t="shared" si="734"/>
        <v/>
      </c>
      <c r="ML109" s="919" t="str">
        <f t="shared" si="735"/>
        <v/>
      </c>
      <c r="MM109" s="517" t="str">
        <f>IF(A109=FALSE,"",Cotations!CC109)</f>
        <v/>
      </c>
      <c r="MN109" s="515" t="str">
        <f>IF(A109=FALSE,"",Cotations!CD109)</f>
        <v/>
      </c>
      <c r="MO109" s="493" t="str">
        <f>IF(A109=FALSE,"",Cotations!CE109)</f>
        <v/>
      </c>
      <c r="MP109" s="517" t="str">
        <f>IF(A109=FALSE,"",IF(MM109="N/A",0,IF(INDEX(LISTES!$F$105:$F$109,MATCH(MM109,LISTES!$C$105:$C$109,0))="FIX",IF(INDEX(LISTES!$E$105:$E$109,MATCH(MM109,LISTES!$C$105:$C$109,0))=12,MN109/12*L109,MN109/365*M109),MO109*ML109)))</f>
        <v/>
      </c>
      <c r="MQ109" s="294" t="str">
        <f t="shared" si="736"/>
        <v/>
      </c>
      <c r="MR109" s="494" t="str">
        <f>IF(A109=FALSE,"",MQ109*Cotations!CF109)</f>
        <v/>
      </c>
      <c r="MS109" s="494" t="str">
        <f>IF(A109=FALSE,"",MQ109*Cotations!CG109)</f>
        <v/>
      </c>
      <c r="MT109" s="338" t="str">
        <f t="shared" si="737"/>
        <v/>
      </c>
      <c r="MU109" s="919" t="str">
        <f>IF(A109=FALSE,"",((MG109*TAXE)-(MG109*TAXE*MI109))+IF(MM109="N/A",0,IF(INDEX(LISTES!$F$105:$F$109,MATCH(MM109,LISTES!$C$105:$C$109,0))="FIX",MN109,MO109*ML109)))</f>
        <v/>
      </c>
      <c r="NA109" s="497" t="str">
        <f>IF(A109=FALSE,"",Cotations!D109)</f>
        <v/>
      </c>
      <c r="NB109" s="498" t="str">
        <f>IF(A109=FALSE,"",IF(LISTES!$A$17=1,Cotations!CH109,Cotations!$CI$4))</f>
        <v/>
      </c>
      <c r="NC109" s="499" t="str">
        <f t="shared" si="738"/>
        <v/>
      </c>
      <c r="ND109" s="499" t="str">
        <f t="shared" si="739"/>
        <v/>
      </c>
      <c r="NE109" s="500" t="str">
        <f t="shared" si="740"/>
        <v/>
      </c>
      <c r="NF109" s="501" t="str">
        <f>IF(A109=FALSE,"",IF(NA109="POEA",Cotations!CK109,IF(NA109="FIXE",Cotations!$CK$4,Cotations!$CM$4*Y109)))</f>
        <v/>
      </c>
      <c r="NG109" s="502" t="str">
        <f t="shared" si="741"/>
        <v/>
      </c>
      <c r="NH109" s="520" t="str">
        <f>IF(A109=FALSE,"",IF(Cotations!$CJ$4="monthly",NG109/12*L109,NG109/365*M109))</f>
        <v/>
      </c>
      <c r="NI109" s="503" t="str">
        <f>IF(A109=FALSE,"",Cotations!$CN$4)</f>
        <v/>
      </c>
      <c r="NJ109" s="502" t="str">
        <f t="shared" si="742"/>
        <v/>
      </c>
      <c r="NK109" s="502" t="str">
        <f t="shared" si="743"/>
        <v/>
      </c>
      <c r="NL109" s="504" t="str">
        <f t="shared" si="744"/>
        <v/>
      </c>
      <c r="NM109" s="505" t="str">
        <f>IF(A109=FALSE,"",Cotations!$CO$4)</f>
        <v/>
      </c>
      <c r="NN109" s="520" t="str">
        <f>IF(A109=FALSE,"",Cotations!$CP$4)</f>
        <v/>
      </c>
      <c r="NO109" s="503" t="str">
        <f>IF(A109=FALSE,"",Cotations!$CQ$4)</f>
        <v/>
      </c>
      <c r="NP109" s="505" t="str">
        <f>IF(A109=FALSE,"",IF(NM109="N/A",0,IF(INDEX(LISTES!$F$105:$F$109,MATCH(NM109,LISTES!$C$105:$C$109,0))="FIX",IF(INDEX(LISTES!$E$105:$E$109,MATCH(NM109,LISTES!$C$105:$C$109,0))=12,NN109/12*L109,NN109/365*M109),NO109*NL109)))</f>
        <v/>
      </c>
      <c r="NQ109" s="504" t="str">
        <f t="shared" si="745"/>
        <v/>
      </c>
      <c r="NR109" s="505" t="str">
        <f>IF(A109=FALSE,"",NQ109*Cotations!$CR$4)</f>
        <v/>
      </c>
      <c r="NS109" s="505" t="str">
        <f>IF(A109=FALSE,"",NQ109*Cotations!$CS$4)</f>
        <v/>
      </c>
      <c r="NT109" s="506" t="str">
        <f t="shared" si="746"/>
        <v/>
      </c>
      <c r="NU109" s="919" t="str">
        <f>IF(A109=FALSE,"",((NG109*TAXE)-(NG109*TAXE*NI109))+IF(NM109="N/A",0,IF(INDEX(LISTES!$F$105:$F$109,MATCH(NM109,LISTES!$C$105:$C$109,0))="FIX",NN109,NO109*NL109)))</f>
        <v/>
      </c>
      <c r="OA109" s="492" t="str">
        <f>IF(A109=FALSE,"",Cotations!D109)</f>
        <v/>
      </c>
      <c r="OB109" s="491" t="str">
        <f>IF(A109=FALSE,"",IF(LISTES!$A$17=1,Cotations!CH109,Cotations!CI109))</f>
        <v/>
      </c>
      <c r="OC109" s="285" t="str">
        <f t="shared" si="747"/>
        <v/>
      </c>
      <c r="OD109" s="300"/>
      <c r="OE109" s="461" t="str">
        <f t="shared" si="748"/>
        <v/>
      </c>
      <c r="OF109" s="490" t="str">
        <f>IF(A109=FALSE,"",IF(OA109="POEA",Cotations!CK109,IF(OA109="FIXE",Cotations!CL109,IF(Cotations!CM109*Y109&lt;50000,Z109,Cotations!CM109*Y109))))</f>
        <v/>
      </c>
      <c r="OG109" s="300" t="str">
        <f t="shared" si="749"/>
        <v/>
      </c>
      <c r="OH109" s="522" t="str">
        <f>IF(A109=FALSE,"",IF(Cotations!CJ109="monthly",OG109/12*L109,OG109/365*M109))</f>
        <v/>
      </c>
      <c r="OI109" s="489" t="str">
        <f>IF(A109=FALSE,"",IF(Cotations!CN109="","",Cotations!CN109))</f>
        <v/>
      </c>
      <c r="OJ109" s="300" t="str">
        <f t="shared" si="750"/>
        <v/>
      </c>
      <c r="OK109" s="300" t="str">
        <f t="shared" si="751"/>
        <v/>
      </c>
      <c r="OL109" s="919" t="str">
        <f t="shared" si="752"/>
        <v/>
      </c>
      <c r="OM109" s="517" t="str">
        <f>IF(A109=FALSE,"",Cotations!CO109)</f>
        <v/>
      </c>
      <c r="ON109" s="515" t="str">
        <f>IF(A109=FALSE,"",Cotations!CP109)</f>
        <v/>
      </c>
      <c r="OO109" s="493" t="str">
        <f>IF(A109=FALSE,"",Cotations!CQ109)</f>
        <v/>
      </c>
      <c r="OP109" s="517" t="str">
        <f>IF(A109=FALSE,"",IF(OM109="N/A",0,IF(INDEX(LISTES!$F$105:$F$109,MATCH(OM109,LISTES!$C$105:$C$109,0))="FIX",IF(INDEX(LISTES!$E$105:$E$109,MATCH(OM109,LISTES!$C$105:$C$109,0))=12,ON109/12*L109,ON109/365*M109),OO109*OL109)))</f>
        <v/>
      </c>
      <c r="OQ109" s="294" t="str">
        <f t="shared" si="753"/>
        <v/>
      </c>
      <c r="OR109" s="494" t="str">
        <f>IF(A109=FALSE,"",OQ109*Cotations!CR109)</f>
        <v/>
      </c>
      <c r="OS109" s="494" t="str">
        <f>IF(A109=FALSE,"",OQ109*Cotations!CS109)</f>
        <v/>
      </c>
      <c r="OT109" s="338" t="str">
        <f t="shared" si="754"/>
        <v/>
      </c>
      <c r="OU109" s="919" t="str">
        <f>IF(A109=FALSE,"",((OG109*TAXE)-(OG109*TAXE*OI109))+IF(OM109="N/A",0,IF(INDEX(LISTES!$F$105:$F$109,MATCH(OM109,LISTES!$C$105:$C$109,0))="FIX",ON109,OO109*OL109)))</f>
        <v/>
      </c>
      <c r="PA109" s="497" t="str">
        <f t="shared" si="755"/>
        <v/>
      </c>
      <c r="PB109" s="498" t="str">
        <f>IF(A109=FALSE,"",IF(LISTES!$A$17=1,Cotations!CT109,Cotations!$CU$4))</f>
        <v/>
      </c>
      <c r="PC109" s="499" t="str">
        <f t="shared" si="756"/>
        <v/>
      </c>
      <c r="PD109" s="499" t="str">
        <f t="shared" si="757"/>
        <v/>
      </c>
      <c r="PE109" s="500" t="str">
        <f t="shared" si="758"/>
        <v/>
      </c>
      <c r="PF109" s="501" t="str">
        <f>IF(A109=FALSE,"",Cotations!$CY$4*Y109)</f>
        <v/>
      </c>
      <c r="PG109" s="502" t="str">
        <f t="shared" si="759"/>
        <v/>
      </c>
      <c r="PH109" s="520" t="str">
        <f>IF(A109=FALSE,"",IF(Cotations!$CV$4="monthly",PG109/12*L109,PG109/365*M109))</f>
        <v/>
      </c>
      <c r="PI109" s="503" t="str">
        <f>IF(A109=FALSE,"",Cotations!$CZ$4)</f>
        <v/>
      </c>
      <c r="PJ109" s="502" t="str">
        <f t="shared" si="760"/>
        <v/>
      </c>
      <c r="PK109" s="502" t="str">
        <f t="shared" si="761"/>
        <v/>
      </c>
      <c r="PL109" s="504" t="str">
        <f t="shared" si="762"/>
        <v/>
      </c>
      <c r="PM109" s="505" t="str">
        <f>IF(A109=FALSE,"",Cotations!$DA$4)</f>
        <v/>
      </c>
      <c r="PN109" s="520" t="str">
        <f>IF(A109=FALSE,"",Cotations!$DB$4)</f>
        <v/>
      </c>
      <c r="PO109" s="503" t="str">
        <f>IF(A109=FALSE,"",Cotations!$DC$4)</f>
        <v/>
      </c>
      <c r="PP109" s="505" t="str">
        <f>IF(A109=FALSE,"",IF(PM109="N/A",0,IF(INDEX(LISTES!$F$105:$F$109,MATCH(PM109,LISTES!$C$105:$C$109,0))="FIX",IF(INDEX(LISTES!$E$105:$E$109,MATCH(PM109,LISTES!$C$105:$C$109,0))=12,PN109/12*L109,PN109/365*M109),PO109*PL109)))</f>
        <v/>
      </c>
      <c r="PQ109" s="504" t="str">
        <f t="shared" si="763"/>
        <v/>
      </c>
      <c r="PR109" s="505" t="str">
        <f>IF(A109=FALSE,"",PQ109*Cotations!$DD$4)</f>
        <v/>
      </c>
      <c r="PS109" s="505" t="str">
        <f>IF(A109=FALSE,"",PQ109*Cotations!$DE$4)</f>
        <v/>
      </c>
      <c r="PT109" s="506" t="str">
        <f t="shared" si="764"/>
        <v/>
      </c>
      <c r="PU109" s="919" t="str">
        <f>IF(A109=FALSE,"",((PG109*TAXE)-(PG109*TAXE*PI109))+IF(PM109="N/A",0,IF(INDEX(LISTES!$F$105:$F$109,MATCH(PM109,LISTES!$C$105:$C$109,0))="FIX",PN109,PO109*PL109)))</f>
        <v/>
      </c>
      <c r="QA109" s="492" t="str">
        <f t="shared" si="765"/>
        <v/>
      </c>
      <c r="QB109" s="491" t="str">
        <f>IF(A109=FALSE,"",IF(LISTES!$A$17=1,Cotations!CT109,Cotations!CU109))</f>
        <v/>
      </c>
      <c r="QC109" s="285" t="str">
        <f t="shared" si="766"/>
        <v/>
      </c>
      <c r="QD109" s="300"/>
      <c r="QE109" s="461" t="str">
        <f t="shared" si="767"/>
        <v/>
      </c>
      <c r="QF109" s="490" t="str">
        <f>IF(A109=FALSE,"",Cotations!CY109*AA109)</f>
        <v/>
      </c>
      <c r="QG109" s="300" t="str">
        <f t="shared" si="768"/>
        <v/>
      </c>
      <c r="QH109" s="522" t="str">
        <f>IF(A109=FALSE,"",IF(Cotations!CV109="monthly",QG109/12*L109,QG109/365*M109))</f>
        <v/>
      </c>
      <c r="QI109" s="489" t="str">
        <f>IF(A109=FALSE,"",IF(Cotations!CZ109="","",Cotations!CZ109))</f>
        <v/>
      </c>
      <c r="QJ109" s="300" t="str">
        <f t="shared" si="769"/>
        <v/>
      </c>
      <c r="QK109" s="300" t="str">
        <f t="shared" si="770"/>
        <v/>
      </c>
      <c r="QL109" s="919" t="str">
        <f t="shared" si="771"/>
        <v/>
      </c>
      <c r="QM109" s="517" t="str">
        <f>IF(A109=FALSE,"",Cotations!DA109)</f>
        <v/>
      </c>
      <c r="QN109" s="515" t="str">
        <f>IF(A109=FALSE,"",Cotations!DB109)</f>
        <v/>
      </c>
      <c r="QO109" s="493" t="str">
        <f>IF(A109=FALSE,"",Cotations!DC109)</f>
        <v/>
      </c>
      <c r="QP109" s="517" t="str">
        <f>IF(A109=FALSE,"",IF(QM109="N/A",0,IF(INDEX(LISTES!$F$105:$F$109,MATCH(QM109,LISTES!$C$105:$C$109,0))="FIX",IF(INDEX(LISTES!$E$105:$E$109,MATCH(QM109,LISTES!$C$105:$C$109,0))=12,QN109/12*L109,QN109/365*M109),QO109*QL109)))</f>
        <v/>
      </c>
      <c r="QQ109" s="294" t="str">
        <f t="shared" si="772"/>
        <v/>
      </c>
      <c r="QR109" s="494" t="str">
        <f>IF(A109=FALSE,"",QQ109*Cotations!DD109)</f>
        <v/>
      </c>
      <c r="QS109" s="494" t="str">
        <f>IF(A109=FALSE,"",QQ109*Cotations!DE109)</f>
        <v/>
      </c>
      <c r="QT109" s="338" t="str">
        <f t="shared" si="773"/>
        <v/>
      </c>
      <c r="QU109" s="919" t="str">
        <f>IF(A109=FALSE,"",((QG109*TAXE)-(QG109*TAXE*QI109))+IF(QM109="N/A",0,IF(INDEX(LISTES!$F$105:$F$109,MATCH(QM109,LISTES!$C$105:$C$109,0))="FIX",QN109,QO109*QL109)))</f>
        <v/>
      </c>
      <c r="RA109" s="497" t="str">
        <f t="shared" si="774"/>
        <v/>
      </c>
      <c r="RB109" s="498" t="str">
        <f>IF(A109=FALSE,"",IF(LISTES!$A$17=1,Cotations!DF109,Cotations!$DG$4))</f>
        <v/>
      </c>
      <c r="RC109" s="499" t="str">
        <f t="shared" si="775"/>
        <v/>
      </c>
      <c r="RD109" s="499" t="str">
        <f t="shared" si="776"/>
        <v/>
      </c>
      <c r="RE109" s="500" t="str">
        <f t="shared" si="777"/>
        <v/>
      </c>
      <c r="RF109" s="501" t="str">
        <f>IF(A109=FALSE,"",Cotations!$DK$4*Y109)</f>
        <v/>
      </c>
      <c r="RG109" s="502" t="str">
        <f t="shared" si="778"/>
        <v/>
      </c>
      <c r="RH109" s="520" t="str">
        <f>IF(A109=FALSE,"",IF(Cotations!$DH$4="monthly",RG109/12*L109,RG109/365*M109))</f>
        <v/>
      </c>
      <c r="RI109" s="503" t="str">
        <f>IF(A109=FALSE,"",Cotations!$DL$4)</f>
        <v/>
      </c>
      <c r="RJ109" s="502" t="str">
        <f t="shared" si="779"/>
        <v/>
      </c>
      <c r="RK109" s="502" t="str">
        <f t="shared" si="780"/>
        <v/>
      </c>
      <c r="RL109" s="504" t="str">
        <f t="shared" si="781"/>
        <v/>
      </c>
      <c r="RM109" s="505" t="str">
        <f>IF(A109=FALSE,"",Cotations!$DM$4)</f>
        <v/>
      </c>
      <c r="RN109" s="520" t="str">
        <f>IF(A109=FALSE,"",Cotations!$DN$4)</f>
        <v/>
      </c>
      <c r="RO109" s="503" t="str">
        <f>IF(A109=FALSE,"",Cotations!$DO$4)</f>
        <v/>
      </c>
      <c r="RP109" s="505" t="str">
        <f>IF(A109=FALSE,"",IF(RM109="N/A",0,IF(INDEX(LISTES!$F$105:$F$109,MATCH(RM109,LISTES!$C$105:$C$109,0))="FIX",IF(INDEX(LISTES!$E$105:$E$109,MATCH(RM109,LISTES!$C$105:$C$109,0))=12,RN109/12*L109,RN109/365*M109),RO109*RL109)))</f>
        <v/>
      </c>
      <c r="RQ109" s="504" t="str">
        <f t="shared" si="782"/>
        <v/>
      </c>
      <c r="RR109" s="505" t="str">
        <f>IF(A109=FALSE,"",RQ109*Cotations!$DP$4)</f>
        <v/>
      </c>
      <c r="RS109" s="505" t="str">
        <f>IF(A109=FALSE,"",RQ109*Cotations!$DQ$4)</f>
        <v/>
      </c>
      <c r="RT109" s="506" t="str">
        <f t="shared" si="783"/>
        <v/>
      </c>
      <c r="RU109" s="919" t="str">
        <f>IF(A109=FALSE,"",((RG109*TAXE)-(RG109*TAXE*RI109))+IF(RM109="N/A",0,IF(INDEX(LISTES!$F$105:$F$109,MATCH(RM109,LISTES!$C$105:$C$109,0))="FIX",RN109,RO109*RL109)))</f>
        <v/>
      </c>
      <c r="SA109" s="492" t="str">
        <f t="shared" si="784"/>
        <v/>
      </c>
      <c r="SB109" s="491" t="str">
        <f>IF(A109=FALSE,"",IF(LISTES!$A$17=1,Cotations!DF109,Cotations!DG109))</f>
        <v/>
      </c>
      <c r="SC109" s="285" t="str">
        <f t="shared" si="785"/>
        <v/>
      </c>
      <c r="SD109" s="300"/>
      <c r="SE109" s="461" t="str">
        <f t="shared" si="786"/>
        <v/>
      </c>
      <c r="SF109" s="490" t="str">
        <f>IF(A109=FALSE,"",Cotations!DK109*AA109)</f>
        <v/>
      </c>
      <c r="SG109" s="300" t="str">
        <f t="shared" si="787"/>
        <v/>
      </c>
      <c r="SH109" s="522" t="str">
        <f>IF(A109=FALSE,"",IF(Cotations!DH109="monthly",SG109/12*L109,SG109/365*M109))</f>
        <v/>
      </c>
      <c r="SI109" s="489" t="str">
        <f>IF(A109=FALSE,"",IF(Cotations!DL109="","",Cotations!DL109))</f>
        <v/>
      </c>
      <c r="SJ109" s="300" t="str">
        <f t="shared" si="788"/>
        <v/>
      </c>
      <c r="SK109" s="300" t="str">
        <f t="shared" si="789"/>
        <v/>
      </c>
      <c r="SL109" s="919" t="str">
        <f t="shared" si="790"/>
        <v/>
      </c>
      <c r="SM109" s="285" t="str">
        <f>IF(A109=FALSE,"",Cotations!DM109)</f>
        <v/>
      </c>
      <c r="SN109" s="515" t="str">
        <f>IF(A109=FALSE,"",Cotations!DN109)</f>
        <v/>
      </c>
      <c r="SO109" s="493" t="str">
        <f>IF(A109=FALSE,"",Cotations!DO109)</f>
        <v/>
      </c>
      <c r="SP109" s="517" t="str">
        <f>IF(A109=FALSE,"",IF(SM109="N/A",0,IF(INDEX(LISTES!$F$105:$F$109,MATCH(SM109,LISTES!$C$105:$C$109,0))="FIX",IF(INDEX(LISTES!$E$105:$E$109,MATCH(SM109,LISTES!$C$105:$C$109,0))=12,SN109/12*L109,SN109/365*M109),SO109*SL109)))</f>
        <v/>
      </c>
      <c r="SQ109" s="294" t="str">
        <f t="shared" si="791"/>
        <v/>
      </c>
      <c r="SR109" s="494" t="str">
        <f>IF(A109=FALSE,"",SQ109*Cotations!DP109)</f>
        <v/>
      </c>
      <c r="SS109" s="494" t="str">
        <f>IF(A109=FALSE,"",SQ109*Cotations!DQ109)</f>
        <v/>
      </c>
      <c r="ST109" s="338" t="str">
        <f t="shared" si="792"/>
        <v/>
      </c>
      <c r="SU109" s="919" t="str">
        <f>IF(A109=FALSE,"",((SG109*TAXE)-(SG109*TAXE*SI109))+IF(SM109="N/A",0,IF(INDEX(LISTES!$F$105:$F$109,MATCH(SM109,LISTES!$C$105:$C$109,0))="FIX",SN109,SO109*SL109)))</f>
        <v/>
      </c>
      <c r="TA109" s="492" t="str">
        <f>IF(A109=FALSE,"",Cotations!D109)</f>
        <v/>
      </c>
      <c r="TB109" s="491" t="str">
        <f>IF(A109=FALSE,"",IF(LISTES!$A$17=1,Cotations!DR109,Cotations!DS109))</f>
        <v/>
      </c>
      <c r="TC109" s="285" t="str">
        <f t="shared" si="793"/>
        <v/>
      </c>
      <c r="TD109" s="300" t="str">
        <f>IF(A109=FALSE,"",Detail!CQ109)</f>
        <v/>
      </c>
      <c r="TE109" s="461" t="str">
        <f t="shared" si="794"/>
        <v/>
      </c>
      <c r="TF109" s="490" t="str">
        <f>IF(A109=FALSE,"",IF(TA109="FIXE",Cotations!DU109,Cotations!DV109*Y109))</f>
        <v/>
      </c>
      <c r="TG109" s="300" t="str">
        <f t="shared" si="795"/>
        <v/>
      </c>
      <c r="TH109" s="522" t="str">
        <f>IF(A109=FALSE,"",IF(Cotations!DT109="monthly",TG109/12*L109,TG109/365*M109))</f>
        <v/>
      </c>
      <c r="TI109" s="489" t="str">
        <f>IF(A109=FALSE,"",IF(Cotations!DW109="","",Cotations!DW109))</f>
        <v/>
      </c>
      <c r="TJ109" s="300" t="str">
        <f t="shared" si="796"/>
        <v/>
      </c>
      <c r="TK109" s="300" t="str">
        <f t="shared" si="797"/>
        <v/>
      </c>
      <c r="TL109" s="919" t="str">
        <f t="shared" si="798"/>
        <v/>
      </c>
      <c r="TM109" s="517" t="str">
        <f>IF(A109=FALSE,"",Cotations!DX109)</f>
        <v/>
      </c>
      <c r="TN109" s="517" t="str">
        <f>IF(A109=FALSE,"",Cotations!DY109)</f>
        <v/>
      </c>
      <c r="TO109" s="493" t="str">
        <f>IF(A109=FALSE,"",Cotations!DZ109)</f>
        <v/>
      </c>
      <c r="TP109" s="517" t="str">
        <f>IF(A109=FALSE,"",IF(TM109="N/A",0,IF(INDEX(LISTES!$F$105:$F$109,MATCH(TM109,LISTES!$C$105:$C$109,0))="FIX",IF(INDEX(LISTES!$E$105:$E$109,MATCH(TM109,LISTES!$C$105:$C$109,0))=12,TN109/12*L109,TN109/365*M109),TO109*TL109)))</f>
        <v/>
      </c>
      <c r="TQ109" s="294" t="str">
        <f t="shared" si="799"/>
        <v/>
      </c>
      <c r="TR109" s="494" t="str">
        <f>IF(A109=FALSE,"",TQ109*Cotations!EA109)</f>
        <v/>
      </c>
      <c r="TS109" s="494" t="str">
        <f>IF(A109=FALSE,"",TQ109*Cotations!EB109)</f>
        <v/>
      </c>
      <c r="TT109" s="338" t="str">
        <f t="shared" si="800"/>
        <v/>
      </c>
      <c r="TU109" s="919" t="str">
        <f>IF(A109=FALSE,"",((TG109*(1+TAXE)-(TG109*(1+TAXE)*TI109))+IF(TM109="N/A",0,IF(INDEX(LISTES!$F$105:$F$109,MATCH(TM109,LISTES!$C$105:$C$109,0))="FIX",TN109,TO109*TL109))))</f>
        <v/>
      </c>
      <c r="UA109" s="492" t="str">
        <f>IF(A109=FALSE,"",Cotations!D109)</f>
        <v/>
      </c>
      <c r="UB109" s="491" t="str">
        <f>IF(A109=FALSE,"",IF(LISTES!$A$17=1,Cotations!EC109,Cotations!ED109))</f>
        <v/>
      </c>
      <c r="UC109" s="285" t="str">
        <f t="shared" si="801"/>
        <v/>
      </c>
      <c r="UD109" s="300" t="str">
        <f>IF(A109=FALSE,"",Detail!CY109)</f>
        <v/>
      </c>
      <c r="UE109" s="461" t="str">
        <f t="shared" si="802"/>
        <v/>
      </c>
      <c r="UF109" s="490" t="str">
        <f>IF(A109=FALSE,"",IF(UA109="FIXE",Cotations!EF109,Cotations!EG109*Y109))</f>
        <v/>
      </c>
      <c r="UG109" s="300" t="str">
        <f t="shared" si="803"/>
        <v/>
      </c>
      <c r="UH109" s="522" t="str">
        <f>IF(A109=FALSE,"",IF(Cotations!EE109="monthly",UG109/12*L109,UG109/365*M109))</f>
        <v/>
      </c>
      <c r="UI109" s="489" t="str">
        <f>IF(A109=FALSE,"",IF(Cotations!EH109="","",Cotations!EH109))</f>
        <v/>
      </c>
      <c r="UJ109" s="300" t="str">
        <f t="shared" si="804"/>
        <v/>
      </c>
      <c r="UK109" s="300" t="str">
        <f t="shared" si="805"/>
        <v/>
      </c>
      <c r="UL109" s="919" t="str">
        <f t="shared" si="806"/>
        <v/>
      </c>
      <c r="UM109" s="517" t="str">
        <f>IF(A109=FALSE,"",Cotations!EI109)</f>
        <v/>
      </c>
      <c r="UN109" s="517" t="str">
        <f>IF(A109=FALSE,"",Cotations!EJ109)</f>
        <v/>
      </c>
      <c r="UO109" s="493" t="str">
        <f>IF(A109=FALSE,"",Cotations!EK109)</f>
        <v/>
      </c>
      <c r="UP109" s="517" t="str">
        <f>IF(A109=FALSE,"",IF(UM109="N/A",0,IF(INDEX(LISTES!$F$105:$F$109,MATCH(UM109,LISTES!$C$105:$C$109,0))="FIX",IF(INDEX(LISTES!$E$105:$E$109,MATCH(UM109,LISTES!$C$105:$C$109,0))=12,UN109/12*L109,UN109/365*M109),UO109*UL109)))</f>
        <v/>
      </c>
      <c r="UQ109" s="294" t="str">
        <f t="shared" si="807"/>
        <v/>
      </c>
      <c r="UR109" s="494" t="str">
        <f>IF(A109=FALSE,"",UQ109*Cotations!EL109)</f>
        <v/>
      </c>
      <c r="US109" s="494" t="str">
        <f>IF(A109=FALSE,"",UQ109*Cotations!EM109)</f>
        <v/>
      </c>
      <c r="UT109" s="338" t="str">
        <f t="shared" si="808"/>
        <v/>
      </c>
      <c r="UU109" s="919" t="str">
        <f>IF(A109=FALSE,"",((UG109*(1+TAXE)-(UG109*(1+TAXE)*UI109))+IF(UM109="N/A",0,IF(INDEX(LISTES!$F$105:$F$109,MATCH(UM109,LISTES!$C$105:$C$109,0))="FIX",UN109,UO109*UL109))))</f>
        <v/>
      </c>
      <c r="VA109" s="492" t="str">
        <f>IF(A109=FALSE,"",Cotations!D109)</f>
        <v/>
      </c>
      <c r="VB109" s="519" t="str">
        <f>IF(A109=FALSE,"",IF(LISTES!$A$17=1,Cotations!EN109,Cotations!EO109))</f>
        <v/>
      </c>
      <c r="VC109" s="291" t="str">
        <f t="shared" si="809"/>
        <v/>
      </c>
      <c r="VD109" s="291" t="str">
        <f t="shared" si="810"/>
        <v/>
      </c>
      <c r="VE109" s="291"/>
      <c r="VF109" s="463"/>
      <c r="VG109" s="463" t="str">
        <f t="shared" si="811"/>
        <v/>
      </c>
      <c r="VH109" s="522" t="str">
        <f>IF(A109=FALSE,"",IF(Cotations!$AQ$4="monthly",VG109/12*L109,VG109/365*M109))</f>
        <v/>
      </c>
      <c r="VI109" s="489" t="str">
        <f>IF(A109=FALSE,"",Cotations!$AR$4)</f>
        <v/>
      </c>
      <c r="VJ109" s="300" t="str">
        <f t="shared" si="812"/>
        <v/>
      </c>
      <c r="VK109" s="300" t="str">
        <f t="shared" si="813"/>
        <v/>
      </c>
      <c r="VL109" s="294" t="str">
        <f t="shared" si="814"/>
        <v/>
      </c>
      <c r="VM109" s="494" t="str">
        <f>IF(A109=FALSE,"",Cotations!$AS$4)</f>
        <v/>
      </c>
      <c r="VN109" s="494" t="str">
        <f>IF(A109=FALSE,"",Cotations!$AT$4)</f>
        <v/>
      </c>
      <c r="VO109" s="489" t="str">
        <f>IF(A109=FALSE,"",Cotations!$AU$4)</f>
        <v/>
      </c>
      <c r="VP109" s="494" t="str">
        <f>IF(A109=FALSE,"",IF(VM109="N/A",0,IF(INDEX(LISTES!$F$105:$F$109,MATCH(VM109,LISTES!$C$105:$C$109,0))="FIX",IF(INDEX(LISTES!$E$105:$E$109,MATCH(VM109,LISTES!$C$105:$C$109,0))=12,VN109/12*L109,VN109/365*M109),VO109*VL109)))</f>
        <v/>
      </c>
      <c r="VQ109" s="294" t="str">
        <f t="shared" si="815"/>
        <v/>
      </c>
      <c r="VR109" s="494" t="str">
        <f>IF(A109=FALSE,"",VQ109*Cotations!$AV$4)</f>
        <v/>
      </c>
      <c r="VS109" s="494" t="str">
        <f>IF(A109=FALSE,"",VQ109*Cotations!$AW$4)</f>
        <v/>
      </c>
      <c r="VT109" s="465" t="str">
        <f t="shared" si="816"/>
        <v/>
      </c>
      <c r="VU109" s="919" t="str">
        <f>IF(A109=FALSE,"",((VG109*TAXE)-(VG109*TAXE*VI109))+IF(VM109="N/A",0,IF(INDEX(LISTES!$F$105:$F$109,MATCH(VM109,LISTES!$C$105:$C$109,0))="FIX",VN109,VO109*VL109)))</f>
        <v/>
      </c>
      <c r="WA109" s="492" t="str">
        <f>IF(A109=FALSE,"",Cotations!D109)</f>
        <v/>
      </c>
      <c r="WB109" s="519" t="str">
        <f>IF(A109=FALSE,"",IF(LISTES!$A$17=1,Cotations!EW109,Cotations!EX109))</f>
        <v/>
      </c>
      <c r="WC109" s="291" t="str">
        <f t="shared" si="817"/>
        <v/>
      </c>
      <c r="WD109" s="291" t="str">
        <f t="shared" si="818"/>
        <v/>
      </c>
      <c r="WE109" s="291"/>
      <c r="WF109" s="463"/>
      <c r="WG109" s="463" t="str">
        <f t="shared" si="819"/>
        <v/>
      </c>
      <c r="WH109" s="522" t="str">
        <f>IF(A109=FALSE,"",IF(Cotations!$AQ$4="monthly",WG109/12*L109,WG109/365*M109))</f>
        <v/>
      </c>
      <c r="WI109" s="489" t="str">
        <f>IF(A109=FALSE,"",Cotations!$AR$4)</f>
        <v/>
      </c>
      <c r="WJ109" s="300" t="str">
        <f t="shared" si="820"/>
        <v/>
      </c>
      <c r="WK109" s="300" t="str">
        <f t="shared" si="821"/>
        <v/>
      </c>
      <c r="WL109" s="294" t="str">
        <f t="shared" si="822"/>
        <v/>
      </c>
      <c r="WM109" s="494" t="str">
        <f>IF(A109=FALSE,"",Cotations!$AS$4)</f>
        <v/>
      </c>
      <c r="WN109" s="494" t="str">
        <f>IF(A109=FALSE,"",Cotations!$AT$4)</f>
        <v/>
      </c>
      <c r="WO109" s="489" t="str">
        <f>IF(A109=FALSE,"",Cotations!$AU$4)</f>
        <v/>
      </c>
      <c r="WP109" s="494" t="str">
        <f>IF(A109=FALSE,"",IF(WM109="N/A",0,IF(INDEX(LISTES!$F$105:$F$109,MATCH(WM109,LISTES!$C$105:$C$109,0))="FIX",IF(INDEX(LISTES!$E$105:$E$109,MATCH(WM109,LISTES!$C$105:$C$109,0))=12,WN109/12*L109,WN109/365*M109),WO109*WL109)))</f>
        <v/>
      </c>
      <c r="WQ109" s="294" t="str">
        <f t="shared" si="823"/>
        <v/>
      </c>
      <c r="WR109" s="494" t="str">
        <f>IF(A109=FALSE,"",WQ109*Cotations!$AV$4)</f>
        <v/>
      </c>
      <c r="WS109" s="494" t="str">
        <f>IF(A109=FALSE,"",WQ109*Cotations!$AW$4)</f>
        <v/>
      </c>
      <c r="WT109" s="465" t="str">
        <f t="shared" si="824"/>
        <v/>
      </c>
      <c r="WU109" s="919" t="str">
        <f>IF(A109=FALSE,"",((WG109*TAXE)-(WG109*TAXE*WI109))+IF(WM109="N/A",0,IF(INDEX(LISTES!$F$105:$F$109,MATCH(WM109,LISTES!$C$105:$C$109,0))="FIX",WN109,WO109*WL109)))</f>
        <v/>
      </c>
    </row>
    <row r="110" spans="1:619">
      <c r="A110" s="942" t="b">
        <f t="shared" si="629"/>
        <v>0</v>
      </c>
      <c r="B110" s="942" t="b">
        <f>IF(NAMES!$B$9=TRUE,TRUE,FALSE)</f>
        <v>1</v>
      </c>
      <c r="C110" s="942" t="b">
        <f t="shared" si="825"/>
        <v>0</v>
      </c>
      <c r="D110" s="942" t="b">
        <f t="shared" si="826"/>
        <v>0</v>
      </c>
      <c r="E110" s="274" t="b">
        <f>IF(Cotations!C110="","",Cotations!C110)</f>
        <v>0</v>
      </c>
      <c r="F110" s="274" t="str">
        <f>IF(Cotations!D110="","",Cotations!D110)</f>
        <v>PROP</v>
      </c>
      <c r="G110" s="274" t="str">
        <f>IF(Cotations!E110="","",Cotations!E110)</f>
        <v>2016-2017!</v>
      </c>
      <c r="H110" s="274" t="str">
        <f>IF(Cotations!F110="","",Cotations!F110)</f>
        <v>SINGLE</v>
      </c>
      <c r="I110" s="274" t="str">
        <f>IF(Cotations!G110="","",Cotations!G110)</f>
        <v/>
      </c>
      <c r="J110" s="274" t="str">
        <f>IF(Cotations!H110="","",Cotations!H110)</f>
        <v/>
      </c>
      <c r="K110" s="274" t="str">
        <f>IF(Cotations!I110="","",Cotations!I110)</f>
        <v/>
      </c>
      <c r="L110" s="274" t="str">
        <f>IF(A110=FALSE,"",IF(Cotations!N110="","",Cotations!N110))</f>
        <v/>
      </c>
      <c r="M110" s="274" t="str">
        <f>IF(Cotations!P110="","",Cotations!P110)</f>
        <v/>
      </c>
      <c r="N110" s="724" t="str">
        <f>IF(NAMES!$B$10=TRUE,Cotations!J110,Cotations!L110)</f>
        <v/>
      </c>
      <c r="O110" s="724" t="str">
        <f>IF(NAMES!$B$10=TRUE,Cotations!K110,Cotations!M110)</f>
        <v/>
      </c>
      <c r="P110" s="943" t="str">
        <f t="shared" si="827"/>
        <v/>
      </c>
      <c r="Q110" s="724" t="str">
        <f>IF(A110=FALSE,"",IF(Crewlist!Y110="","",Crewlist!Y110))</f>
        <v/>
      </c>
      <c r="R110" s="78" t="str">
        <f>IF(Cotations!U110="","",Cotations!U110)</f>
        <v/>
      </c>
      <c r="S110" s="943" t="str">
        <f t="shared" si="828"/>
        <v/>
      </c>
      <c r="T110" s="919" t="str">
        <f>IF(A110=FALSE,"",VLOOKUP($U$15:$U$120,Currency!$A$2:$D$10,4,0)*Crewlist!N110)</f>
        <v/>
      </c>
      <c r="U110" s="1355" t="str">
        <f>IF(A110=FALSE,"",IF(IT110=0,Crewlist!M110&amp;"/"&amp;EX110,Crewlist!M110&amp;"/"&amp;IT110))</f>
        <v/>
      </c>
      <c r="V110" s="919" t="str">
        <f>IF(A110=FALSE,"",VLOOKUP($U$15:$U$120,Currency!$A$2:$D$10,4,0)*Detail!Q110)</f>
        <v/>
      </c>
      <c r="W110" s="1355" t="str">
        <f>IF(A110=FALSE,"",IF(IT110=0,Detail!R110&amp;"/"&amp;EX110,Detail!R110&amp;"/"&amp;IT110))</f>
        <v/>
      </c>
      <c r="X110" s="919" t="str">
        <f>IF(A110=FALSE,"",IF(LISTES!$C$17="Crewlist",Calcul!T110,Calcul!V110))</f>
        <v/>
      </c>
      <c r="Y110" s="758" t="str">
        <f t="shared" si="829"/>
        <v/>
      </c>
      <c r="Z110" s="758" t="str">
        <f>IF(A110=FALSE,"",IF(X110=0,0,IF((Cotations!BC110*12*X110)&lt;50000,50000,(12*X110))))</f>
        <v/>
      </c>
      <c r="AA110" s="758" t="str">
        <f t="shared" si="830"/>
        <v/>
      </c>
      <c r="AB110" s="758" t="str">
        <f>IF(A110=FALSE,"",IF(Crewlist!O110=0,"",Crewlist!O110))</f>
        <v/>
      </c>
      <c r="AC110" s="758" t="str">
        <f>IF(I110="","",VLOOKUP($AB$15:$AB$120,Currency!$A$15:$B$34,2,0))</f>
        <v/>
      </c>
      <c r="AD110" s="758" t="str">
        <f t="shared" si="831"/>
        <v/>
      </c>
      <c r="AE110" s="758" t="str">
        <f t="shared" si="832"/>
        <v/>
      </c>
      <c r="AF110" s="758" t="str">
        <f t="shared" si="833"/>
        <v/>
      </c>
      <c r="AG110" s="758" t="str">
        <f t="shared" si="834"/>
        <v/>
      </c>
      <c r="AH110" s="1355" t="str">
        <f t="shared" si="630"/>
        <v/>
      </c>
      <c r="AI110" s="919" t="str">
        <f t="shared" si="835"/>
        <v/>
      </c>
      <c r="AJ110" s="1382" t="str">
        <f t="shared" si="836"/>
        <v/>
      </c>
      <c r="AK110" s="1382" t="str">
        <f t="shared" si="837"/>
        <v/>
      </c>
      <c r="AL110" s="238" t="str">
        <f t="shared" si="631"/>
        <v/>
      </c>
      <c r="AM110" s="238" t="str">
        <f t="shared" si="632"/>
        <v/>
      </c>
      <c r="AN110" s="1374" t="str">
        <f t="shared" si="633"/>
        <v/>
      </c>
      <c r="AO110" s="238" t="str">
        <f t="shared" si="634"/>
        <v/>
      </c>
      <c r="AP110" s="342" t="str">
        <f>IF(A110=FALSE,"",INDEX(Rates!$Z$5:$Z$367,MATCH(EB110,colchoice,0)))</f>
        <v/>
      </c>
      <c r="AQ110" s="238" t="str">
        <f t="shared" si="635"/>
        <v/>
      </c>
      <c r="AR110" s="238" t="str">
        <f t="shared" si="636"/>
        <v/>
      </c>
      <c r="AS110" s="238" t="str">
        <f t="shared" si="637"/>
        <v/>
      </c>
      <c r="AT110" s="238" t="str">
        <f t="shared" si="638"/>
        <v/>
      </c>
      <c r="AU110" s="238" t="str">
        <f t="shared" si="639"/>
        <v/>
      </c>
      <c r="AV110" s="238" t="str">
        <f t="shared" si="838"/>
        <v/>
      </c>
      <c r="AW110" s="238" t="str">
        <f t="shared" si="640"/>
        <v/>
      </c>
      <c r="AX110" s="238" t="str">
        <f t="shared" si="641"/>
        <v/>
      </c>
      <c r="AY110" s="238" t="str">
        <f t="shared" si="642"/>
        <v/>
      </c>
      <c r="AZ110" s="238" t="str">
        <f t="shared" si="643"/>
        <v/>
      </c>
      <c r="BA110" s="238" t="str">
        <f t="shared" si="644"/>
        <v/>
      </c>
      <c r="BB110" s="552" t="str">
        <f t="shared" si="645"/>
        <v/>
      </c>
      <c r="BC110" s="347" t="str">
        <f t="shared" si="646"/>
        <v/>
      </c>
      <c r="BD110" s="239" t="str">
        <f t="shared" si="839"/>
        <v/>
      </c>
      <c r="BE110" s="239" t="str">
        <f>IF(A110=FALSE,"",IF(ALLTHESAME=TRUE,IF(DF110&lt;&gt;$BC$7,0,INDEX(DD110:DZ110,1,MATCH(Structure!$D$12,$DD$14:$DZ$14,0))),IF(EC110&lt;&gt;$BC$7,0,INDEX(EA110:EZ110,1,MATCH(Structure!$D$12,$EA$14:$EZ$14,0)))))</f>
        <v/>
      </c>
      <c r="BF110" s="239" t="str">
        <f>IF(A110=FALSE,"",IF(ALLTHESAME=TRUE,IF(FC110&lt;&gt;$BC$7,0,INDEX(FA110:FZ110,1,MATCH(Structure!$D$12,$FA$14:$FZ$14,0))),IF(GC110&lt;&gt;$BC$7,0,INDEX(GA110:GZ110,1,MATCH(Structure!$D$12,$GA$14:$GZ$14,0)))))</f>
        <v/>
      </c>
      <c r="BG110" s="239" t="str">
        <f>IF(A110=FALSE,"",IF(ALLTHESAME=TRUE,IF(VC110&lt;&gt;$BC$7,0,INDEX(VA110:VZ110,1,MATCH(Structure!$D$12,$VA$14:$VZ$14,0))),IF(VC110&lt;&gt;$BC$7,0,INDEX(VA110:VZ110,1,MATCH(Structure!$D$12,$VA$14:$VZ$14,0)))))</f>
        <v/>
      </c>
      <c r="BH110" s="239" t="str">
        <f>IF(A110=FALSE,"",IF(ALLTHESAME=TRUE,IF(WC110&lt;&gt;$BC$7,0,INDEX(WA110:WY110,1,MATCH(Structure!$D$12,$WA$14:$WZ$14,0))),IF(WC110&lt;&gt;$BC$7,0,INDEX(WA110:WZ110,1,MATCH(Structure!$D$12,$WA$14:$WZ$14,0)))))</f>
        <v/>
      </c>
      <c r="BI110" s="763" t="str">
        <f>IF(A110=FALSE,"",IF(ALLTHESAME=TRUE,IF(HC110&lt;&gt;$BC$7,0,INDEX(HA110:HZ110,1,MATCH(Structure!$D$12,$HA$14:$HZ$14,0)))+TK110,IF(IC110&lt;&gt;$BC$7,0,INDEX(IA110:IZ110,1,MATCH(Structure!$D$12,$IA$14:$IZ$14,0)))+TK110))</f>
        <v/>
      </c>
      <c r="BJ110" s="239" t="str">
        <f>IF(A110=FALSE,"",IF(ALLTHESAME=TRUE,IF(JC110&lt;&gt;$BC$7,0,INDEX(JA110:JZ110,1,MATCH(Structure!$D$12,$JA$14:$JZ$14,0))),IF(KC110&lt;&gt;$BC$7,0,INDEX(KA110:KZ110,1,MATCH(Structure!$D$12,$KA$14:$KZ$14,0)))))</f>
        <v/>
      </c>
      <c r="BK110" s="763" t="str">
        <f>IF(A110=FALSE,"",IF(ALLTHESAME=TRUE,IF(LC110&lt;&gt;$BC$7,0,INDEX(LA110:LZ110,1,MATCH(Structure!$D$12,$LA$14:$LZ$14,0)))+UK110,IF(MC110&lt;&gt;$BC$7,0,INDEX(MA110:MZ110,1,MATCH(Structure!$D$12,$MA$14:$MZ$14,0)))+UK110))</f>
        <v/>
      </c>
      <c r="BL110" s="239" t="str">
        <f>IF(A110=FALSE,"",IF(ALLTHESAME=TRUE,IF(NC110&lt;&gt;$BC$7,0,INDEX(NA110:NZ110,1,MATCH(Structure!$D$12,$NA$14:$NZ$14,0))),IF(OC110&lt;&gt;$BC$7,0,INDEX(OA110:OZ110,1,MATCH(Structure!$D$12,$OA$14:$OZ$14,0)))))</f>
        <v/>
      </c>
      <c r="BM110" s="239" t="str">
        <f>IF(A110=FALSE,"",IF(ALLTHESAME=TRUE,IF(PC110&lt;&gt;$BC$7,0,INDEX(PA110:PZ110,1,MATCH(Structure!$D$12,$PA$14:$PZ$14,0))),IF(QC110&lt;&gt;$BC$7,0,INDEX(QA110:QZ110,1,MATCH(Structure!$D$12,$QA$14:$QZ$14,0)))))</f>
        <v/>
      </c>
      <c r="BN110" s="341" t="str">
        <f>IF(A110=FALSE,"",IF(ALLTHESAME=TRUE,IF(RC110&lt;&gt;$BC$7,0,INDEX(RA110:RZ110,1,MATCH(Structure!$D$12,$RA$14:$RZ$14,0))),IF(SC110&lt;&gt;$BC$7,0,INDEX(SA110:TA110,1,MATCH(Structure!$D$12,$SA$14:$TA$14,0)))))</f>
        <v/>
      </c>
      <c r="BO110" s="507" t="str">
        <f t="shared" si="647"/>
        <v/>
      </c>
      <c r="BP110" s="239" t="str">
        <f t="shared" si="648"/>
        <v/>
      </c>
      <c r="BQ110" s="239" t="str">
        <f>IF(A110=FALSE,"",IF(ALLTHESAME=TRUE,IF(DF110&lt;&gt;$BO$7,0,INDEX(DD110:DZ110,1,MATCH(Structure!$D$12,$DD$14:$DZ$14,0))),IF(EC110&lt;&gt;$BO$7,0,INDEX(EA110:EZ110,1,MATCH(Structure!$D$12,$EA$14:$EZ$14,0)))))</f>
        <v/>
      </c>
      <c r="BR110" s="239" t="str">
        <f>IF(A110=FALSE,"",IF(ALLTHESAME=TRUE,IF(FC110&lt;&gt;$BO$7,0,INDEX(FA110:FZ110,1,MATCH(Structure!$D$12,$FA$14:$FZ$14,0))),IF(GC110&lt;&gt;$BO$7,0,INDEX(GA110:GZ110,1,MATCH(Structure!$D$12,$GA$14:$GZ$14,0)))))</f>
        <v/>
      </c>
      <c r="BS110" s="239" t="str">
        <f>IF(A110=FALSE,"",IF(ALLTHESAME=TRUE,IF(HC110&lt;&gt;$BO$7,0,INDEX(HA110:HZ110,1,MATCH(Structure!$D$12,$HA$14:$HZ$14,0))),IF(IC110&lt;&gt;$BO$7,0,INDEX(IA110:IZ110,1,MATCH(Structure!$D$12,$IA$14:$IZ$14,0)))))</f>
        <v/>
      </c>
      <c r="BT110" s="239" t="str">
        <f>IF(A110=FALSE,"",IF(ALLTHESAME=TRUE,IF(JC110&lt;&gt;$BO$7,0,INDEX(JA110:JZ110,1,MATCH(Structure!$D$12,$JA$14:$JZ$14,0))),IF(KC110&lt;&gt;$BO$7,0,INDEX(KA110:KZ110,1,MATCH(Structure!$D$12,$KA$14:$KZ$14,0)))))</f>
        <v/>
      </c>
      <c r="BU110" s="239" t="str">
        <f>IF(A110=FALSE,"",IF(ALLTHESAME=TRUE,IF(LC110&lt;&gt;$BO$7,0,INDEX(LA110:LZ110,1,MATCH(Structure!$D$12,$LA$14:$LZ$14,0))),IF(MC110&lt;&gt;$BO$7,0,INDEX(MA110:MZ110,1,MATCH(Structure!$D$12,$MA$14:$MZ$14,0)))))</f>
        <v/>
      </c>
      <c r="BV110" s="239" t="str">
        <f>IF(A110=FALSE,"",IF(ALLTHESAME=TRUE,IF(NC110&lt;&gt;$BO$7,0,INDEX(NA110:NZ110,1,MATCH(Structure!$D$12,$NA$14:$NZ$14,0))),IF(OC110&lt;&gt;$BO$7,0,INDEX(OA110:OZ110,1,MATCH(Structure!$D$12,$OA$14:$OZ$14,0)))))</f>
        <v/>
      </c>
      <c r="BW110" s="239" t="str">
        <f>IF(A110=FALSE,"",IF(ALLTHESAME=TRUE,IF(PC110&lt;&gt;$BO$7,0,INDEX(PA110:PZ110,1,MATCH(Structure!$D$12,$PA$14:$PZ$14,0))),IF(QC110&lt;&gt;$BO$7,0,INDEX(QA110:QZ110,1,MATCH(Structure!$D$12,$QA$14:$QZ$14,0)))))</f>
        <v/>
      </c>
      <c r="BX110" s="341" t="str">
        <f>IF(A110=FALSE,"",IF(ALLTHESAME=TRUE,IF(RC110&lt;&gt;$BO$7,0,INDEX(RA110:RZ110,1,MATCH(Structure!$D$12,$RA$14:$RZ$14,0))),IF(SC110&lt;&gt;$BO$7,0,INDEX(SA110:TA110,1,MATCH(Structure!$D$12,$SA$14:$TA$14,0)))))</f>
        <v/>
      </c>
      <c r="BY110" s="347" t="str">
        <f t="shared" si="649"/>
        <v/>
      </c>
      <c r="BZ110" s="507" t="str">
        <f t="shared" si="650"/>
        <v/>
      </c>
      <c r="CA110" s="239" t="str">
        <f t="shared" si="651"/>
        <v/>
      </c>
      <c r="CB110" s="239" t="str">
        <f>IF(A110=FALSE,"",IF(ALLTHESAME=TRUE,INDEX(DD110:DZ110,MATCH(DF110,DF110:DF215,0),MATCH(Structure!$D$17,$DD$14:$DZ$14,0)),INDEX(EA110:EZ110,MATCH(EC110,EC110:EC215,0),MATCH(Structure!$D$17,$EA$14:$EZ$14,0))))</f>
        <v/>
      </c>
      <c r="CC110" s="239" t="str">
        <f>IF(A110=FALSE,"",IF(ALLTHESAME=TRUE,INDEX(FA110:FZ110,MATCH(FC110,FC110:FC215,0),MATCH(Structure!$D$17,$FA$14:$FZ$14,0)),INDEX(GA110:GZ110,MATCH(GC110,GC110:GC215,0),MATCH(Structure!$D$17,$GA$14:$GZ$14,0))))</f>
        <v/>
      </c>
      <c r="CD110" s="239" t="str">
        <f>IF(A110=FALSE,"",IF(ALLTHESAME=TRUE,INDEX(HA110:HZ110,MATCH(HC110,HC110:HC215,0),MATCH(Structure!$D$17,$HA$14:$HZ$14,0)),INDEX(IA110:IZ110,MATCH(IC110,IC110:IC215,0),MATCH(Structure!$D$17,$IA$14:$IZ$14,0))))</f>
        <v/>
      </c>
      <c r="CE110" s="239" t="str">
        <f>IF(A110=FALSE,"",IF(ALLTHESAME=TRUE,INDEX(JA110:JZ110,MATCH(JC110,JC110:JC215,0),MATCH(Structure!$D$17,$JA$14:$JZ$14,0)),INDEX(KA110:KZ110,MATCH(KC110,KC110:KC215,0),MATCH(Structure!$D$17,$KA$14:$KZ$14,0))))</f>
        <v/>
      </c>
      <c r="CF110" s="239" t="str">
        <f>IF(A110=FALSE,"",IF(ALLTHESAME=TRUE,INDEX(LA110:LZ110,MATCH(LC110,LC110:LC215,0),MATCH(Structure!$D$17,$LA$14:$LZ$14,0)),INDEX(MA110:MZ110,MATCH(MC110,MC110:MC215,0),MATCH(Structure!$D$17,$MA$14:$MZ$14,0))))</f>
        <v/>
      </c>
      <c r="CG110" s="239" t="str">
        <f>IF(A110=FALSE,"",IF(ALLTHESAME=TRUE,INDEX(NA110:NZ110,MATCH(NC110,NC110:NC215,0),MATCH(Structure!$D$17,$NA$14:$NZ$14,0)),INDEX(OA110:OZ110,MATCH(OC110,OC110:OC215,0),MATCH(Structure!$D$17,$OA$14:$OZ$14,0))))</f>
        <v/>
      </c>
      <c r="CH110" s="239" t="str">
        <f>IF(A110=FALSE,"",IF(ALLTHESAME=TRUE,INDEX(PA110:PZ110,MATCH(PC110,PC110:PC215,0),MATCH(Structure!$D$17,$PA$14:$PZ$14,0)),INDEX(QA110:QZ110,MATCH(QC110,QC110:QC215,0),MATCH(Structure!$D$17,$QA$14:$QZ$14,0))))</f>
        <v/>
      </c>
      <c r="CI110" s="341" t="str">
        <f>IF(A110=FALSE,"",IF(ALLTHESAME=TRUE,INDEX(RA110:RZ110,MATCH(RC110,RC110:RC215,0),MATCH(Structure!$D$17,$RA$14:$RZ$14,0)),INDEX(SA110:TC110,MATCH(SC110,SC110:SC215,0),MATCH(Structure!$D$17,$SA$14:$TC$14,0))))</f>
        <v/>
      </c>
      <c r="CJ110" s="347"/>
      <c r="CK110" s="239" t="str">
        <f t="shared" si="652"/>
        <v/>
      </c>
      <c r="CL110" s="239" t="str">
        <f>IF(A110=FALSE,"",IF(ALLTHESAME=TRUE,INDEX(DD110:DZ110,MATCH(DF110,DF110:DF215,0),MATCH(Structure!$D$22,$DD$14:$DZ$14,0)),INDEX(EA110:EZ110,MATCH(EC110,EC110:EC215,0),MATCH(Structure!$D$22,$EA$14:$EZ$14,0))))</f>
        <v/>
      </c>
      <c r="CM110" s="239" t="str">
        <f>IF(A110=FALSE,"",IF(ALLTHESAME=TRUE,INDEX(FA110:FZ110,MATCH(FC110,FC110:FC215,0),MATCH(Structure!$D$22,$FA$14:$FZ$14,0)),INDEX(GA110:GZ110,MATCH(GC110,GC110:GC215,0),MATCH(Structure!$D$22,$GA$14:$GZ$14,0))))</f>
        <v/>
      </c>
      <c r="CN110" s="239" t="str">
        <f>IF(A110=FALSE,"",IF(ALLTHESAME=TRUE,INDEX(HA110:HZ110,MATCH(HC110,HC110:HC215,0),MATCH(Structure!$D$22,$HA$14:$HZ$14,0)),INDEX(IA110:IZ110,MATCH(IC110,IC110:IC215,0),MATCH(Structure!$D$22,$IA$14:$IZ$14,0))))</f>
        <v/>
      </c>
      <c r="CO110" s="239" t="str">
        <f>IF(A110=FALSE,"",IF(ALLTHESAME=TRUE,INDEX(JA110:JZ110,MATCH(JC110,JC110:JC215,0),MATCH(Structure!$D$22,$JA$14:$JZ$14,0)),INDEX(KA110:KZ110,MATCH(KC110,KC110:KC215,0),MATCH(Structure!$D$22,$KA$14:$KZ$14,0))))</f>
        <v/>
      </c>
      <c r="CP110" s="239" t="str">
        <f>IF(A110=FALSE,"",IF(ALLTHESAME=TRUE,INDEX(LA110:LZ110,MATCH(LC110,LC110:LC215,0),MATCH(Structure!$D$22,$LA$14:$LZ$14,0)),INDEX(MA110:MZ110,MATCH(MC110,MC110:MC215,0),MATCH(Structure!$D$22,$MA$14:$MZ$14,0))))</f>
        <v/>
      </c>
      <c r="CQ110" s="239" t="str">
        <f>IF(A110=FALSE,"",IF(ALLTHESAME=TRUE,INDEX(NA110:NZ110,MATCH(NC110,NC110:NC215,0),MATCH(Structure!$D$22,$NA$14:$NZ$14,0)),INDEX(OA110:OZ110,MATCH(OC110,OC110:OC215,0),MATCH(Structure!$D$22,$OA$14:$OZ$14,0))))</f>
        <v/>
      </c>
      <c r="CR110" s="239" t="str">
        <f>IF(A110=FALSE,"",IF(ALLTHESAME=TRUE,INDEX(PA110:PZ110,MATCH(PC110,PC110:PC215,0),MATCH(Structure!$D$22,$PA$14:$PZ$14,0)),INDEX(QA110:QZ110,MATCH(QC110,QC110:QC215,0),MATCH(Structure!$D$22,$QA$14:$QZ$14,0))))</f>
        <v/>
      </c>
      <c r="CS110" s="341" t="str">
        <f>IF(A110=FALSE,"",IF(ALLTHESAME=TRUE,INDEX(RA110:RZ110,MATCH(RC110,RC110:RC215,0),MATCH(Structure!$D$22,$RA$14:$RZ$14,0)),INDEX(SA110:TC110,MATCH(SC110,SC110:SC215,0),MATCH(Structure!$D$22,$SA$14:$TC$14,0))))</f>
        <v/>
      </c>
      <c r="CT110" s="347"/>
      <c r="CU110" s="239" t="str">
        <f t="shared" si="653"/>
        <v/>
      </c>
      <c r="CV110" s="239" t="str">
        <f>IF(A110=FALSE,"",IF(ALLTHESAME=TRUE,INDEX(DD110:DZ110,MATCH(DF110,DF110:DF215,0),MATCH(Structure!$D$8,$DD$14:$DZ$14,0)),INDEX(EA110:EZ110,MATCH(EC110,EC110:EC215,0),MATCH(Structure!$D$8,$EA$14:$EZ$14,0))))</f>
        <v/>
      </c>
      <c r="CW110" s="239" t="str">
        <f>IF(A110=FALSE,"",IF(ALLTHESAME=TRUE,INDEX(FA110:FZ110,MATCH(FC110,FC110:FC215,0),MATCH(Structure!$D$8,$FA$14:$FZ$14,0)),INDEX(GA110:GZ110,MATCH(GC110,GC110:GC215,0),MATCH(Structure!$D$8,$GA$14:$GZ$14,0))))</f>
        <v/>
      </c>
      <c r="CX110" s="239" t="str">
        <f>IF(A110=FALSE,"",IF(ALLTHESAME=TRUE,INDEX(HA110:HZ110,MATCH(HC110,HC110:HC215,0),MATCH(Structure!$D$8,$HA$14:$HZ$14,0)),INDEX(IA110:IZ110,MATCH(IC110,IC110:IC215,0),MATCH(Structure!$D$8,$IA$14:$IZ$14,0))))</f>
        <v/>
      </c>
      <c r="CY110" s="239" t="str">
        <f>IF(A110=FALSE,"",IF(ALLTHESAME=TRUE,INDEX(JA110:JZ110,MATCH(JC110,JC110:JC215,0),MATCH(Structure!$D$8,$JA$14:$JZ$14,0)),INDEX(KA110:KZ110,MATCH(KC110,KC110:KC215,0),MATCH(Structure!$D$8,$KA$14:$KZ$14,0))))</f>
        <v/>
      </c>
      <c r="CZ110" s="239" t="str">
        <f>IF(A110=FALSE,"",IF(ALLTHESAME=TRUE,INDEX(LA110:LZ110,MATCH(LC110,LC110:LC215,0),MATCH(Structure!$D$8,$LA$14:$LZ$14,0)),INDEX(MA110:MZ110,MATCH(MC110,MC110:MC215,0),MATCH(Structure!$D$8,$MA$14:$MZ$14,0))))</f>
        <v/>
      </c>
      <c r="DA110" s="239" t="str">
        <f>IF(A110=FALSE,"",IF(ALLTHESAME=TRUE,INDEX(NA110:NZ110,MATCH(NC110,NC110:NC215,0),MATCH(Structure!$D$8,$NA$14:$NZ$14,0)),INDEX(OA110:OZ110,MATCH(OC110,OC110:OC215,0),MATCH(Structure!$D$8,$OA$14:$OZ$14,0))))</f>
        <v/>
      </c>
      <c r="DB110" s="239" t="str">
        <f>IF(A110=FALSE,"",IF(ALLTHESAME=TRUE,INDEX(PA110:PZ110,MATCH(PC110,PC110:PC215,0),MATCH(Structure!$D$8,$PA$14:$PZ$14,0)),INDEX(QA110:QZ110,MATCH(QC110,QC110:QC215,0),MATCH(Structure!$D$8,$QA$14:$QZ$14,0))))</f>
        <v/>
      </c>
      <c r="DC110" s="341" t="str">
        <f>IF(A110=FALSE,"",IF(ALLTHESAME=TRUE,INDEX(RA110:RZ110,MATCH(RC110,RC110:RC215,0),MATCH(Structure!$D$8,$RA$14:$RZ$14,0)),INDEX(SA110:TC110,MATCH(SC110,SC110:SC215,0),MATCH(Structure!$D$8,$SA$14:$TC$14,0))))</f>
        <v/>
      </c>
      <c r="DD110" s="492" t="str">
        <f>IF(A110=FALSE,"",Cotations!D110)</f>
        <v/>
      </c>
      <c r="DE110" s="492" t="str">
        <f>IF(A110=FALSE,"",IF(LISTES!$A$17=1,Cotations!AF110,Cotations!$AG$4))</f>
        <v/>
      </c>
      <c r="DF110" s="291" t="str">
        <f t="shared" si="654"/>
        <v/>
      </c>
      <c r="DG110" s="291" t="str">
        <f t="shared" si="655"/>
        <v/>
      </c>
      <c r="DH110" s="291"/>
      <c r="DI110" s="463"/>
      <c r="DJ110" s="463" t="str">
        <f t="shared" si="656"/>
        <v/>
      </c>
      <c r="DK110" s="522" t="str">
        <f>IF(A110=FALSE,"",IF(Cotations!$AH$4="monthly",DJ110/12*L110,DJ110/365*M110))</f>
        <v/>
      </c>
      <c r="DL110" s="489" t="str">
        <f>IF(A110=FALSE,"",Cotations!$AI$4)</f>
        <v/>
      </c>
      <c r="DM110" s="300" t="str">
        <f t="shared" si="657"/>
        <v/>
      </c>
      <c r="DN110" s="300" t="str">
        <f t="shared" si="658"/>
        <v/>
      </c>
      <c r="DO110" s="294" t="str">
        <f t="shared" si="659"/>
        <v/>
      </c>
      <c r="DP110" s="494" t="str">
        <f>IF(A110=FALSE,"",Cotations!$AJ$4)</f>
        <v/>
      </c>
      <c r="DQ110" s="494" t="str">
        <f>IF(A110=FALSE,"",Cotations!$AK$4)</f>
        <v/>
      </c>
      <c r="DR110" s="489" t="str">
        <f>IF(A110=FALSE,"",Cotations!$AL$4)</f>
        <v/>
      </c>
      <c r="DS110" s="494" t="str">
        <f>IF(A110=FALSE,"",IF(DP110="N/A",0,IF(INDEX(LISTES!$F$105:$F$109,MATCH(DP110,LISTES!$C$105:$C$109,0))="FIX",IF(INDEX(LISTES!$E$105:$E$109,MATCH(DP110,LISTES!$C$105:$C$109,0))=12,DQ110/12*L110,DQ110/365*M110),DR110*DO110)))</f>
        <v/>
      </c>
      <c r="DT110" s="294" t="str">
        <f t="shared" si="660"/>
        <v/>
      </c>
      <c r="DU110" s="294" t="str">
        <f>IF(A110=FALSE,"",DT110*Cotations!$AM$4)</f>
        <v/>
      </c>
      <c r="DV110" s="294" t="str">
        <f>IF(A110=FALSE,"",DT110*Cotations!$AN$4)</f>
        <v/>
      </c>
      <c r="DW110" s="465" t="str">
        <f t="shared" si="661"/>
        <v/>
      </c>
      <c r="DX110" s="919" t="str">
        <f>IF(A110=FALSE,"",((DJ110*TAXE)-(DJ110*TAXE*DL110))+IF(DP110="N/A",0,IF(INDEX(LISTES!$F$105:$F$109,MATCH(DP110,LISTES!$C$105:$C$109,0))="FIX",DQ110,DR110*DO110)))</f>
        <v/>
      </c>
      <c r="DY110" s="466"/>
      <c r="DZ110" s="466"/>
      <c r="EA110" s="492" t="str">
        <f>IF(A110=FALSE,"",Cotations!D110)</f>
        <v/>
      </c>
      <c r="EB110" s="494" t="str">
        <f>IF(A110=FALSE,"",IF(LISTES!$A$17=1,Cotations!AF110,Cotations!AG110))</f>
        <v/>
      </c>
      <c r="EC110" s="284" t="str">
        <f t="shared" si="662"/>
        <v/>
      </c>
      <c r="ED110" s="284" t="str">
        <f t="shared" si="663"/>
        <v/>
      </c>
      <c r="EE110" s="284"/>
      <c r="EF110" s="284"/>
      <c r="EG110" s="284" t="str">
        <f t="shared" si="664"/>
        <v/>
      </c>
      <c r="EH110" s="1365" t="str">
        <f t="shared" si="665"/>
        <v/>
      </c>
      <c r="EI110" s="1365" t="str">
        <f t="shared" si="666"/>
        <v/>
      </c>
      <c r="EJ110" s="515" t="str">
        <f>IF(A110=FALSE,"",IF(Cotations!AH110="monthly",EG110/12*L110,EG110/365*M110))</f>
        <v/>
      </c>
      <c r="EK110" s="1364" t="str">
        <f>IF(A110=FALSE,"",IF(Cotations!AH110="monthly",EI110/12*L110,EI110/365*M110))</f>
        <v/>
      </c>
      <c r="EL110" s="493" t="str">
        <f>IF(A110=FALSE,"",IF(Cotations!AI110="","",Cotations!AI110))</f>
        <v/>
      </c>
      <c r="EM110" s="284" t="str">
        <f t="shared" si="667"/>
        <v/>
      </c>
      <c r="EN110" s="284" t="str">
        <f t="shared" si="668"/>
        <v/>
      </c>
      <c r="EO110" s="1365" t="str">
        <f t="shared" si="840"/>
        <v/>
      </c>
      <c r="EP110" s="284" t="str">
        <f t="shared" si="669"/>
        <v/>
      </c>
      <c r="EQ110" s="515" t="str">
        <f>IF(A110=FALSE,"",Cotations!AJ110)</f>
        <v/>
      </c>
      <c r="ER110" s="515" t="str">
        <f>IF(A110=FALSE,"",IF(Cotations!AK110="","",Cotations!AK110))</f>
        <v/>
      </c>
      <c r="ES110" s="493" t="str">
        <f>IF(A110=FALSE,"",Cotations!AL110)</f>
        <v/>
      </c>
      <c r="ET110" s="515" t="str">
        <f>IF(A110=FALSE,"",IF(EQ110="N/A",0,IF(INDEX(LISTES!$F$105:$F$109,MATCH(EQ110,LISTES!$C$105:$C$109,0))="FIX",IF(INDEX(LISTES!$E$105:$E$109,MATCH(EQ110,LISTES!$C$105:$C$109,0))=12,ER110/12*L110,ER110/365*M110),ES110*EP110)))</f>
        <v/>
      </c>
      <c r="EU110" s="294" t="str">
        <f t="shared" si="670"/>
        <v/>
      </c>
      <c r="EV110" s="494" t="str">
        <f>IF(A110=FALSE,"",EU110*Cotations!AM110)</f>
        <v/>
      </c>
      <c r="EW110" s="494" t="str">
        <f>IF(A110=FALSE,"",EU110*Cotations!AN110)</f>
        <v/>
      </c>
      <c r="EX110" s="334" t="str">
        <f t="shared" si="671"/>
        <v/>
      </c>
      <c r="EY110" s="919" t="str">
        <f>IF(A110=FALSE,"",((EG110*TAXE)-(EG110*TAXE*EL110)+EH110)+IF(EQ110="N/A",0,IF(INDEX(LISTES!$F$105:$F$109,MATCH(EQ110,LISTES!$C$105:$C$109,0))="FIX",ER110,ES110*EP110)))</f>
        <v/>
      </c>
      <c r="FA110" s="492" t="str">
        <f>IF(A110=FALSE,"",Cotations!D110)</f>
        <v/>
      </c>
      <c r="FB110" s="519" t="str">
        <f>IF(A110=FALSE,"",IF(LISTES!$A$17=1,Cotations!AO110,Cotations!$AP$4))</f>
        <v/>
      </c>
      <c r="FC110" s="291" t="str">
        <f t="shared" si="672"/>
        <v/>
      </c>
      <c r="FD110" s="291" t="str">
        <f t="shared" si="673"/>
        <v/>
      </c>
      <c r="FE110" s="291"/>
      <c r="FF110" s="463"/>
      <c r="FG110" s="463" t="str">
        <f t="shared" si="674"/>
        <v/>
      </c>
      <c r="FH110" s="522" t="str">
        <f>IF(A110=FALSE,"",IF(Cotations!$AQ$4="monthly",FG110/12*L110,FG110/365*M110))</f>
        <v/>
      </c>
      <c r="FI110" s="453" t="str">
        <f>IF(A110=FALSE,"",Cotations!$AR$4)</f>
        <v/>
      </c>
      <c r="FJ110" s="300" t="str">
        <f t="shared" si="675"/>
        <v/>
      </c>
      <c r="FK110" s="300" t="str">
        <f t="shared" si="676"/>
        <v/>
      </c>
      <c r="FL110" s="294" t="str">
        <f t="shared" si="677"/>
        <v/>
      </c>
      <c r="FM110" s="494" t="str">
        <f>IF(A110=FALSE,"",Cotations!$AS$4)</f>
        <v/>
      </c>
      <c r="FN110" s="494" t="str">
        <f>IF(A110=FALSE,"",Cotations!$AT$4)</f>
        <v/>
      </c>
      <c r="FO110" s="489" t="str">
        <f>IF(A110=FALSE,"",Cotations!$AU$4)</f>
        <v/>
      </c>
      <c r="FP110" s="494" t="str">
        <f>IF(A110=FALSE,"",IF(FM110="N/A",0,IF(INDEX(LISTES!$F$105:$F$109,MATCH(FM110,LISTES!$C$105:$C$109,0))="FIX",IF(INDEX(LISTES!$E$105:$E$109,MATCH(FM110,LISTES!$C$105:$C$109,0))=12,FN110/12*L110,FN110/365*M110),FO110*FL110)))</f>
        <v/>
      </c>
      <c r="FQ110" s="294" t="str">
        <f t="shared" si="678"/>
        <v/>
      </c>
      <c r="FR110" s="494" t="str">
        <f>IF(A110=FALSE,"",FQ110*Cotations!$AV$4)</f>
        <v/>
      </c>
      <c r="FS110" s="494" t="str">
        <f>IF(A110=FALSE,"",FQ110*Cotations!$AW$4)</f>
        <v/>
      </c>
      <c r="FT110" s="465" t="str">
        <f t="shared" si="679"/>
        <v/>
      </c>
      <c r="FU110" s="919" t="str">
        <f>IF(A110=FALSE,"",((FG110*TAXE)-(FG110*TAXE*FI110))+IF(FM110="N/A",0,IF(INDEX(LISTES!$F$105:$F$109,MATCH(FM110,LISTES!$C$105:$C$109,0))="FIX",FN110,FO110*FL110)))</f>
        <v/>
      </c>
      <c r="FV110" s="478"/>
      <c r="FW110" s="478"/>
      <c r="FX110" s="478"/>
      <c r="FY110" s="478"/>
      <c r="FZ110" s="478"/>
      <c r="GA110" s="492" t="str">
        <f>IF(A110=FALSE,"",Cotations!D110)</f>
        <v/>
      </c>
      <c r="GB110" s="494" t="str">
        <f>IF(A110=FALSE,"",IF(LISTES!$A$17=1,Cotations!AO110,Cotations!AP110))</f>
        <v/>
      </c>
      <c r="GC110" s="284" t="str">
        <f t="shared" si="680"/>
        <v/>
      </c>
      <c r="GD110" s="515" t="str">
        <f>IF(A110=FALSE,"",IF(Detail!AM110="","",Detail!AM110))</f>
        <v/>
      </c>
      <c r="GE110" s="284"/>
      <c r="GF110" s="284"/>
      <c r="GG110" s="284" t="str">
        <f t="shared" si="681"/>
        <v/>
      </c>
      <c r="GH110" s="515" t="str">
        <f>IF(A110=FALSE,"",IF(Cotations!AQ110="monthly",GG110/12*L110,GG110/365*M110))</f>
        <v/>
      </c>
      <c r="GI110" s="493" t="str">
        <f>IF(A110=FALSE,"",IF(Cotations!AR110="","",Cotations!AR110))</f>
        <v/>
      </c>
      <c r="GJ110" s="284" t="str">
        <f t="shared" si="682"/>
        <v/>
      </c>
      <c r="GK110" s="284" t="str">
        <f t="shared" si="683"/>
        <v/>
      </c>
      <c r="GL110" s="284" t="str">
        <f t="shared" si="684"/>
        <v/>
      </c>
      <c r="GM110" s="515" t="str">
        <f>IF(A110=FALSE,"",Cotations!AS110)</f>
        <v/>
      </c>
      <c r="GN110" s="515" t="str">
        <f>IF(A110=FALSE,"",Cotations!AT110)</f>
        <v/>
      </c>
      <c r="GO110" s="493" t="str">
        <f>IF(A110=FALSE,"",Cotations!AU110)</f>
        <v/>
      </c>
      <c r="GP110" s="515" t="str">
        <f>IF(A110=FALSE,"",IF(GM110="N/A",0,IF(INDEX(LISTES!$F$105:$F$109,MATCH(GM110,LISTES!$C$105:$C$109,0))="FIX",IF(INDEX(LISTES!$E$105:$E$109,MATCH(GM110,LISTES!$C$105:$C$109,0))=12,GN110/12*L110,GN110/365*M110),GO110*GL110)))</f>
        <v/>
      </c>
      <c r="GQ110" s="294" t="str">
        <f t="shared" si="685"/>
        <v/>
      </c>
      <c r="GR110" s="494" t="str">
        <f>IF(A110=FALSE,"",GQ110*Cotations!AV110)</f>
        <v/>
      </c>
      <c r="GS110" s="494" t="str">
        <f>IF(A110=FALSE,"",GQ110*Cotations!AW110)</f>
        <v/>
      </c>
      <c r="GT110" s="334" t="str">
        <f t="shared" si="686"/>
        <v/>
      </c>
      <c r="GU110" s="919" t="str">
        <f>IF(A110=FALSE,"",((GG110*TAXE)-(GG110*TAXE*GI110))+IF(GM110="N/A",0,IF(INDEX(LISTES!$F$105:$F$109,MATCH(GM110,LISTES!$C$105:$C$109,0))="FIX",GN110,GO110*GL110)))</f>
        <v/>
      </c>
      <c r="GV110" s="478"/>
      <c r="GW110" s="466"/>
      <c r="GX110" s="466"/>
      <c r="GY110" s="466"/>
      <c r="GZ110" s="466"/>
      <c r="HA110" s="492" t="str">
        <f>IF(A110=FALSE,"",Cotations!D110)</f>
        <v/>
      </c>
      <c r="HB110" s="495" t="str">
        <f>IF(A110=FALSE,"",IF(LISTES!$A$17=1,Cotations!AX110,Cotations!$AY$4))</f>
        <v/>
      </c>
      <c r="HC110" s="291" t="str">
        <f t="shared" si="687"/>
        <v/>
      </c>
      <c r="HD110" s="291" t="str">
        <f t="shared" si="688"/>
        <v/>
      </c>
      <c r="HE110" s="456" t="str">
        <f t="shared" si="689"/>
        <v/>
      </c>
      <c r="HF110" s="496" t="str">
        <f>IF(A110=FALSE,"",IF(HA110="POEA",Cotations!BA110,IF(HA110="FIXE",Cotations!$BA$4,Cotations!$BC$4*Y110)))</f>
        <v/>
      </c>
      <c r="HG110" s="300" t="str">
        <f t="shared" si="690"/>
        <v/>
      </c>
      <c r="HH110" s="522" t="str">
        <f>IF(A110=FALSE,"",IF(Cotations!$AZ$4="monthly",HG110/12*L110,HG110/365*M110))</f>
        <v/>
      </c>
      <c r="HI110" s="489" t="str">
        <f>IF(A110=FALSE,"",Cotations!$BD$4)</f>
        <v/>
      </c>
      <c r="HJ110" s="300" t="str">
        <f t="shared" si="691"/>
        <v/>
      </c>
      <c r="HK110" s="300" t="str">
        <f t="shared" si="692"/>
        <v/>
      </c>
      <c r="HL110" s="294" t="str">
        <f t="shared" si="693"/>
        <v/>
      </c>
      <c r="HM110" s="494" t="str">
        <f>IF(A110=FALSE,"",Cotations!$BE$4)</f>
        <v/>
      </c>
      <c r="HN110" s="522" t="str">
        <f>IF(A110=FALSE,"",Cotations!$BF$4)</f>
        <v/>
      </c>
      <c r="HO110" s="489" t="str">
        <f>IF(A110=FALSE,"",Cotations!$BG$4)</f>
        <v/>
      </c>
      <c r="HP110" s="494" t="str">
        <f>IF(A110=FALSE,"",IF(HM110="N/A",0,IF(INDEX(LISTES!$F$105:$F$109,MATCH(HM110,LISTES!$C$105:$C$109,0))="FIX",IF(INDEX(LISTES!$E$105:$E$109,MATCH(HM110,LISTES!$C$105:$C$109,0))=12,HN110/12*L110,HN110/365*M110),HO110*HL110)))</f>
        <v/>
      </c>
      <c r="HQ110" s="294" t="str">
        <f t="shared" si="694"/>
        <v/>
      </c>
      <c r="HR110" s="494" t="str">
        <f>IF(A110=FALSE,"",HQ110*Cotations!$BH$4)</f>
        <v/>
      </c>
      <c r="HS110" s="494" t="str">
        <f>IF(A110=FALSE,"",HQ110*Cotations!$BI$4)</f>
        <v/>
      </c>
      <c r="HT110" s="294" t="str">
        <f t="shared" si="695"/>
        <v/>
      </c>
      <c r="HU110" s="919" t="str">
        <f>IF(A110=FALSE,"",((HG110*TAXE)-(HG110*TAXE*HI110))+IF(HM110="N/A",0,IF(INDEX(LISTES!$F$105:$F$109,MATCH(HM110,LISTES!$C$105:$C$109,0))="FIX",HN110,HO110*HL110)))</f>
        <v/>
      </c>
      <c r="IA110" s="492" t="str">
        <f>IF(A110=FALSE,"",Cotations!D110)</f>
        <v/>
      </c>
      <c r="IB110" s="491" t="str">
        <f>IF(A110=FALSE,"",IF(LISTES!$A$17=1,Cotations!AX110,Cotations!AY110))</f>
        <v/>
      </c>
      <c r="IC110" s="285" t="str">
        <f t="shared" si="696"/>
        <v/>
      </c>
      <c r="ID110" s="300" t="str">
        <f>IF(A110=FALSE,"",IF(LISTES!$A$17=3,Detail!AU110,lig1_Formula_PREVOY))</f>
        <v/>
      </c>
      <c r="IE110" s="461" t="str">
        <f t="shared" si="697"/>
        <v/>
      </c>
      <c r="IF110" s="490" t="str">
        <f>IF(A110=FALSE,"",IF(IA110="POEA",Cotations!BA110,IF(HA110="FIXE",Cotations!BB110,IF(Cotations!BC110*Y110&lt;50000,Z110,Cotations!BC110*Y110))))</f>
        <v/>
      </c>
      <c r="IG110" s="300" t="str">
        <f t="shared" si="698"/>
        <v/>
      </c>
      <c r="IH110" s="522" t="str">
        <f>IF(A110=FALSE,"",IF(Cotations!AZ110="monthly",IG110/12*L110,IG110/365*M110))</f>
        <v/>
      </c>
      <c r="II110" s="489" t="str">
        <f>IF(A110=FALSE,"",IF(Cotations!BD110="","",Cotations!BD110))</f>
        <v/>
      </c>
      <c r="IJ110" s="300" t="str">
        <f t="shared" si="699"/>
        <v/>
      </c>
      <c r="IK110" s="300" t="str">
        <f t="shared" si="700"/>
        <v/>
      </c>
      <c r="IL110" s="919" t="str">
        <f t="shared" si="701"/>
        <v/>
      </c>
      <c r="IM110" s="517" t="str">
        <f>IF(A110=FALSE,"",Cotations!BE110)</f>
        <v/>
      </c>
      <c r="IN110" s="517" t="str">
        <f>IF(A110=FALSE,"",Cotations!BF110)</f>
        <v/>
      </c>
      <c r="IO110" s="493" t="str">
        <f>IF(A110=FALSE,"",Cotations!BG110)</f>
        <v/>
      </c>
      <c r="IP110" s="517" t="str">
        <f>IF(A110=FALSE,"",IF(IM110="N/A",0,IF(INDEX(LISTES!$F$105:$F$109,MATCH(IM110,LISTES!$C$105:$C$109,0))="FIX",IF(INDEX(LISTES!$E$105:$E$109,MATCH(IM110,LISTES!$C$105:$C$109,0))=12,IN110/12*L110,IN110/365*M110),IO110*IL110)))</f>
        <v/>
      </c>
      <c r="IQ110" s="294" t="str">
        <f t="shared" si="702"/>
        <v/>
      </c>
      <c r="IR110" s="494" t="str">
        <f>IF(A110=FALSE,"",IQ110*Cotations!BH110)</f>
        <v/>
      </c>
      <c r="IS110" s="494" t="str">
        <f>IF(A110=FALSE,"",IQ110*Cotations!BI110)</f>
        <v/>
      </c>
      <c r="IT110" s="338" t="str">
        <f t="shared" si="703"/>
        <v/>
      </c>
      <c r="IU110" s="919" t="str">
        <f>IF(A110=FALSE,"",((IG110*TAXE)-(IG110*TAXE*II110))+IF(IM110="N/A",0,IF(INDEX(LISTES!$F$105:$F$109,MATCH(IM110,LISTES!$C$105:$C$109,0))="FIX",IN110,IO110*IL110)))</f>
        <v/>
      </c>
      <c r="JA110" s="492" t="str">
        <f>IF(A110=FALSE,"",Cotations!D110)</f>
        <v/>
      </c>
      <c r="JB110" s="495" t="str">
        <f>IF(A110=FALSE,"",IF(LISTES!$A$17=1,Cotations!BJ110,Cotations!$BK$4))</f>
        <v/>
      </c>
      <c r="JC110" s="291" t="str">
        <f t="shared" si="704"/>
        <v/>
      </c>
      <c r="JD110" s="291" t="str">
        <f t="shared" si="705"/>
        <v/>
      </c>
      <c r="JE110" s="456" t="str">
        <f t="shared" si="706"/>
        <v/>
      </c>
      <c r="JF110" s="496" t="str">
        <f>IF(A110=FALSE,"",IF(JA110="POEA",Cotations!BM110,IF(JA110="FIXE",Cotations!$BM$4,Cotations!$BO$4*Y110)))</f>
        <v/>
      </c>
      <c r="JG110" s="300" t="str">
        <f t="shared" si="707"/>
        <v/>
      </c>
      <c r="JH110" s="522" t="str">
        <f>IF(A110=FALSE,"",IF(Cotations!$BL$4="monthly",JG110/12*L110,JG110/365*M110))</f>
        <v/>
      </c>
      <c r="JI110" s="489" t="str">
        <f>IF(A110=FALSE,"",Cotations!$BP$4)</f>
        <v/>
      </c>
      <c r="JJ110" s="300" t="str">
        <f t="shared" si="708"/>
        <v/>
      </c>
      <c r="JK110" s="300" t="str">
        <f t="shared" si="709"/>
        <v/>
      </c>
      <c r="JL110" s="294" t="str">
        <f t="shared" si="710"/>
        <v/>
      </c>
      <c r="JM110" s="494" t="str">
        <f>IF(A110=FALSE,"",Cotations!$BQ$4)</f>
        <v/>
      </c>
      <c r="JN110" s="522" t="str">
        <f>IF(A110=FALSE,"",Cotations!$BR$4)</f>
        <v/>
      </c>
      <c r="JO110" s="489" t="str">
        <f>IF(A110=FALSE,"",Cotations!$BS$4)</f>
        <v/>
      </c>
      <c r="JP110" s="494" t="str">
        <f>IF(A110=FALSE,"",IF(JM110="N/A",0,IF(INDEX(LISTES!$F$105:$F$109,MATCH(JM110,LISTES!$C$105:$C$109,0))="FIX",IF(INDEX(LISTES!$E$105:$E$109,MATCH(JM110,LISTES!$C$105:$C$109,0))=12,JN110/12*L110,JN110/365*M110),JO110*JL110)))</f>
        <v/>
      </c>
      <c r="JQ110" s="294" t="str">
        <f t="shared" si="711"/>
        <v/>
      </c>
      <c r="JR110" s="494" t="str">
        <f>IF(A110=FALSE,"",JQ110*Cotations!$BT$4)</f>
        <v/>
      </c>
      <c r="JS110" s="494" t="str">
        <f>IF(A110=FALSE,"",JQ110*Cotations!$BU$4)</f>
        <v/>
      </c>
      <c r="JT110" s="294" t="str">
        <f t="shared" si="712"/>
        <v/>
      </c>
      <c r="JU110" s="919" t="str">
        <f>IF(A110=FALSE,"",((JG110*TAXE)-(JG110*TAXE*JI110))+IF(JM110="N/A",0,IF(INDEX(LISTES!$F$105:$F$109,MATCH(JM110,LISTES!$C$105:$C$109,0))="FIX",JN110,JO110*JL110)))</f>
        <v/>
      </c>
      <c r="KA110" s="492" t="str">
        <f>IF(A110=FALSE,"",Cotations!D110)</f>
        <v/>
      </c>
      <c r="KB110" s="491" t="str">
        <f>IF(A110=FALSE,"",IF(LISTES!$A$17=1,Cotations!BJ110,Cotations!BK110))</f>
        <v/>
      </c>
      <c r="KC110" s="285" t="str">
        <f t="shared" si="713"/>
        <v/>
      </c>
      <c r="KD110" s="300"/>
      <c r="KE110" s="461" t="str">
        <f t="shared" si="714"/>
        <v/>
      </c>
      <c r="KF110" s="490" t="str">
        <f>IF(A110=FALSE,"",IF(KA110="POEA",Cotations!BM110,IF(KA110="FIXE",Cotations!BN110,IF(Cotations!BO110*Y110&lt;50000,Z110,Cotations!BO110*Y110))))</f>
        <v/>
      </c>
      <c r="KG110" s="300" t="str">
        <f t="shared" si="715"/>
        <v/>
      </c>
      <c r="KH110" s="522" t="str">
        <f>IF(A110=FALSE,"",IF(Cotations!BL110="monthly",KG110/12*L110,KG110/365*M110))</f>
        <v/>
      </c>
      <c r="KI110" s="489" t="str">
        <f>IF(A110=FALSE,"",IF(Cotations!BP110="","",Cotations!BP110))</f>
        <v/>
      </c>
      <c r="KJ110" s="300" t="str">
        <f t="shared" si="716"/>
        <v/>
      </c>
      <c r="KK110" s="300" t="str">
        <f t="shared" si="717"/>
        <v/>
      </c>
      <c r="KL110" s="919" t="str">
        <f t="shared" si="718"/>
        <v/>
      </c>
      <c r="KM110" s="517" t="str">
        <f>IF(A110=FALSE,"",Cotations!BQ110)</f>
        <v/>
      </c>
      <c r="KN110" s="515" t="str">
        <f>IF(A110=FALSE,"",Cotations!BR110)</f>
        <v/>
      </c>
      <c r="KO110" s="493" t="str">
        <f>IF(A110=FALSE,"",Cotations!BS110)</f>
        <v/>
      </c>
      <c r="KP110" s="517" t="str">
        <f>IF(A110=FALSE,"",IF(KM110="N/A",0,IF(INDEX(LISTES!$F$105:$F$109,MATCH(KM110,LISTES!$C$105:$C$109,0))="FIX",IF(INDEX(LISTES!$E$105:$E$109,MATCH(KM110,LISTES!$C$105:$C$109,0))=12,KN110/12*L110,KN110/365*M110),KO110*KL110)))</f>
        <v/>
      </c>
      <c r="KQ110" s="294" t="str">
        <f t="shared" si="719"/>
        <v/>
      </c>
      <c r="KR110" s="494" t="str">
        <f>IF(A110=FALSE,"",KQ110*Cotations!BT110)</f>
        <v/>
      </c>
      <c r="KS110" s="494" t="str">
        <f>IF(A110=FALSE,"",KQ110*Cotations!BU110)</f>
        <v/>
      </c>
      <c r="KT110" s="338" t="str">
        <f t="shared" si="720"/>
        <v/>
      </c>
      <c r="KU110" s="919" t="str">
        <f>IF(A110=FALSE,"",((KG110*TAXE)-(KG110*TAXE*KI110))+IF(KM110="N/A",0,IF(INDEX(LISTES!$F$105:$F$109,MATCH(KM110,LISTES!$C$105:$C$109,0))="FIX",KN110,KO110*KL110)))</f>
        <v/>
      </c>
      <c r="LA110" s="497" t="str">
        <f>IF(A110=FALSE,"",Cotations!D110)</f>
        <v/>
      </c>
      <c r="LB110" s="498" t="str">
        <f>IF(A110=FALSE,"",IF(LISTES!$A$17=1,Cotations!BV110,Cotations!$BW$4))</f>
        <v/>
      </c>
      <c r="LC110" s="499" t="str">
        <f t="shared" si="721"/>
        <v/>
      </c>
      <c r="LD110" s="499" t="str">
        <f t="shared" si="722"/>
        <v/>
      </c>
      <c r="LE110" s="500" t="str">
        <f t="shared" si="723"/>
        <v/>
      </c>
      <c r="LF110" s="501" t="str">
        <f>IF(A110=FALSE,"",IF(LA110="POEA",Cotations!EJ110,IF(LA110="FIXE",Cotations!$BY$4,Cotations!$CA$4*Y110)))</f>
        <v/>
      </c>
      <c r="LG110" s="502" t="str">
        <f t="shared" si="724"/>
        <v/>
      </c>
      <c r="LH110" s="520" t="str">
        <f>IF(A110=FALSE,"",IF(Cotations!$BX$4="monthly",LG110/12*L110,LG110/365*M110))</f>
        <v/>
      </c>
      <c r="LI110" s="503" t="str">
        <f>IF(A110=FALSE,"",Cotations!$CB$4)</f>
        <v/>
      </c>
      <c r="LJ110" s="502" t="str">
        <f t="shared" si="725"/>
        <v/>
      </c>
      <c r="LK110" s="502" t="str">
        <f t="shared" si="726"/>
        <v/>
      </c>
      <c r="LL110" s="504" t="str">
        <f t="shared" si="727"/>
        <v/>
      </c>
      <c r="LM110" s="505" t="str">
        <f>IF(A110=FALSE,"",Cotations!$CC$4)</f>
        <v/>
      </c>
      <c r="LN110" s="503" t="str">
        <f>IF(A110=FALSE,"",Cotations!$CD$4)</f>
        <v/>
      </c>
      <c r="LO110" s="503" t="str">
        <f>IF(A110=FALSE,"",Cotations!$CE$4)</f>
        <v/>
      </c>
      <c r="LP110" s="505" t="str">
        <f>IF(A110=FALSE,"",IF(LM110="N/A",0,IF(INDEX(LISTES!$F$105:$F$109,MATCH(LM110,LISTES!$C$105:$C$109,0))="FIX",IF(INDEX(LISTES!$E$105:$E$109,MATCH(LM110,LISTES!$C$105:$C$109,0))=12,LN110/12*L110,LN110/365*M110),LO110*LL110)))</f>
        <v/>
      </c>
      <c r="LQ110" s="504" t="str">
        <f t="shared" si="728"/>
        <v/>
      </c>
      <c r="LR110" s="505" t="str">
        <f>IF(A110=FALSE,"",LQ110*Cotations!$CF$4)</f>
        <v/>
      </c>
      <c r="LS110" s="505" t="str">
        <f>IF(A110=FALSE,"",LQ110*Cotations!$CG$4)</f>
        <v/>
      </c>
      <c r="LT110" s="506" t="str">
        <f t="shared" si="729"/>
        <v/>
      </c>
      <c r="LU110" s="919" t="str">
        <f>IF(A110=FALSE,"",((LG110*TAXE)-(LG110*TAXE*LI110))+IF(LM110="N/A",0,IF(INDEX(LISTES!$F$105:$F$109,MATCH(LM110,LISTES!$C$105:$C$109,0))="FIX",LN110,LO110*LL110)))</f>
        <v/>
      </c>
      <c r="MA110" s="492" t="str">
        <f>IF(A110=FALSE,"",Cotations!D110)</f>
        <v/>
      </c>
      <c r="MB110" s="491" t="str">
        <f>IF(A110=FALSE,"",IF(LISTES!$A$17=1,Cotations!BV110,Cotations!BW110))</f>
        <v/>
      </c>
      <c r="MC110" s="285" t="str">
        <f t="shared" si="730"/>
        <v/>
      </c>
      <c r="MD110" s="300"/>
      <c r="ME110" s="461" t="str">
        <f t="shared" si="731"/>
        <v/>
      </c>
      <c r="MF110" s="490" t="str">
        <f>IF(A110=FALSE,"",IF(MA110="POEA",Cotations!BY110,IF(MA110="FIXE",Cotations!BZ110,IF(Cotations!CA110*Y110&lt;50000,Z110,Cotations!CA110*Y110))))</f>
        <v/>
      </c>
      <c r="MG110" s="300" t="str">
        <f t="shared" si="732"/>
        <v/>
      </c>
      <c r="MH110" s="522" t="str">
        <f>IF(A110=FALSE,"",IF(Cotations!BX110="monthly",MG110/12*L110,MG110/365*M110))</f>
        <v/>
      </c>
      <c r="MI110" s="489" t="str">
        <f>IF(A110=FALSE,"",IF(Cotations!CB110="","",Cotations!CB110))</f>
        <v/>
      </c>
      <c r="MJ110" s="300" t="str">
        <f t="shared" si="733"/>
        <v/>
      </c>
      <c r="MK110" s="300" t="str">
        <f t="shared" si="734"/>
        <v/>
      </c>
      <c r="ML110" s="919" t="str">
        <f t="shared" si="735"/>
        <v/>
      </c>
      <c r="MM110" s="517" t="str">
        <f>IF(A110=FALSE,"",Cotations!CC110)</f>
        <v/>
      </c>
      <c r="MN110" s="515" t="str">
        <f>IF(A110=FALSE,"",Cotations!CD110)</f>
        <v/>
      </c>
      <c r="MO110" s="493" t="str">
        <f>IF(A110=FALSE,"",Cotations!CE110)</f>
        <v/>
      </c>
      <c r="MP110" s="517" t="str">
        <f>IF(A110=FALSE,"",IF(MM110="N/A",0,IF(INDEX(LISTES!$F$105:$F$109,MATCH(MM110,LISTES!$C$105:$C$109,0))="FIX",IF(INDEX(LISTES!$E$105:$E$109,MATCH(MM110,LISTES!$C$105:$C$109,0))=12,MN110/12*L110,MN110/365*M110),MO110*ML110)))</f>
        <v/>
      </c>
      <c r="MQ110" s="294" t="str">
        <f t="shared" si="736"/>
        <v/>
      </c>
      <c r="MR110" s="494" t="str">
        <f>IF(A110=FALSE,"",MQ110*Cotations!CF110)</f>
        <v/>
      </c>
      <c r="MS110" s="494" t="str">
        <f>IF(A110=FALSE,"",MQ110*Cotations!CG110)</f>
        <v/>
      </c>
      <c r="MT110" s="338" t="str">
        <f t="shared" si="737"/>
        <v/>
      </c>
      <c r="MU110" s="919" t="str">
        <f>IF(A110=FALSE,"",((MG110*TAXE)-(MG110*TAXE*MI110))+IF(MM110="N/A",0,IF(INDEX(LISTES!$F$105:$F$109,MATCH(MM110,LISTES!$C$105:$C$109,0))="FIX",MN110,MO110*ML110)))</f>
        <v/>
      </c>
      <c r="NA110" s="497" t="str">
        <f>IF(A110=FALSE,"",Cotations!D110)</f>
        <v/>
      </c>
      <c r="NB110" s="498" t="str">
        <f>IF(A110=FALSE,"",IF(LISTES!$A$17=1,Cotations!CH110,Cotations!$CI$4))</f>
        <v/>
      </c>
      <c r="NC110" s="499" t="str">
        <f t="shared" si="738"/>
        <v/>
      </c>
      <c r="ND110" s="499" t="str">
        <f t="shared" si="739"/>
        <v/>
      </c>
      <c r="NE110" s="500" t="str">
        <f t="shared" si="740"/>
        <v/>
      </c>
      <c r="NF110" s="501" t="str">
        <f>IF(A110=FALSE,"",IF(NA110="POEA",Cotations!CK110,IF(NA110="FIXE",Cotations!$CK$4,Cotations!$CM$4*Y110)))</f>
        <v/>
      </c>
      <c r="NG110" s="502" t="str">
        <f t="shared" si="741"/>
        <v/>
      </c>
      <c r="NH110" s="520" t="str">
        <f>IF(A110=FALSE,"",IF(Cotations!$CJ$4="monthly",NG110/12*L110,NG110/365*M110))</f>
        <v/>
      </c>
      <c r="NI110" s="503" t="str">
        <f>IF(A110=FALSE,"",Cotations!$CN$4)</f>
        <v/>
      </c>
      <c r="NJ110" s="502" t="str">
        <f t="shared" si="742"/>
        <v/>
      </c>
      <c r="NK110" s="502" t="str">
        <f t="shared" si="743"/>
        <v/>
      </c>
      <c r="NL110" s="504" t="str">
        <f t="shared" si="744"/>
        <v/>
      </c>
      <c r="NM110" s="505" t="str">
        <f>IF(A110=FALSE,"",Cotations!$CO$4)</f>
        <v/>
      </c>
      <c r="NN110" s="520" t="str">
        <f>IF(A110=FALSE,"",Cotations!$CP$4)</f>
        <v/>
      </c>
      <c r="NO110" s="503" t="str">
        <f>IF(A110=FALSE,"",Cotations!$CQ$4)</f>
        <v/>
      </c>
      <c r="NP110" s="505" t="str">
        <f>IF(A110=FALSE,"",IF(NM110="N/A",0,IF(INDEX(LISTES!$F$105:$F$109,MATCH(NM110,LISTES!$C$105:$C$109,0))="FIX",IF(INDEX(LISTES!$E$105:$E$109,MATCH(NM110,LISTES!$C$105:$C$109,0))=12,NN110/12*L110,NN110/365*M110),NO110*NL110)))</f>
        <v/>
      </c>
      <c r="NQ110" s="504" t="str">
        <f t="shared" si="745"/>
        <v/>
      </c>
      <c r="NR110" s="505" t="str">
        <f>IF(A110=FALSE,"",NQ110*Cotations!$CR$4)</f>
        <v/>
      </c>
      <c r="NS110" s="505" t="str">
        <f>IF(A110=FALSE,"",NQ110*Cotations!$CS$4)</f>
        <v/>
      </c>
      <c r="NT110" s="506" t="str">
        <f t="shared" si="746"/>
        <v/>
      </c>
      <c r="NU110" s="919" t="str">
        <f>IF(A110=FALSE,"",((NG110*TAXE)-(NG110*TAXE*NI110))+IF(NM110="N/A",0,IF(INDEX(LISTES!$F$105:$F$109,MATCH(NM110,LISTES!$C$105:$C$109,0))="FIX",NN110,NO110*NL110)))</f>
        <v/>
      </c>
      <c r="OA110" s="492" t="str">
        <f>IF(A110=FALSE,"",Cotations!D110)</f>
        <v/>
      </c>
      <c r="OB110" s="491" t="str">
        <f>IF(A110=FALSE,"",IF(LISTES!$A$17=1,Cotations!CH110,Cotations!CI110))</f>
        <v/>
      </c>
      <c r="OC110" s="285" t="str">
        <f t="shared" si="747"/>
        <v/>
      </c>
      <c r="OD110" s="300"/>
      <c r="OE110" s="461" t="str">
        <f t="shared" si="748"/>
        <v/>
      </c>
      <c r="OF110" s="490" t="str">
        <f>IF(A110=FALSE,"",IF(OA110="POEA",Cotations!CK110,IF(OA110="FIXE",Cotations!CL110,IF(Cotations!CM110*Y110&lt;50000,Z110,Cotations!CM110*Y110))))</f>
        <v/>
      </c>
      <c r="OG110" s="300" t="str">
        <f t="shared" si="749"/>
        <v/>
      </c>
      <c r="OH110" s="522" t="str">
        <f>IF(A110=FALSE,"",IF(Cotations!CJ110="monthly",OG110/12*L110,OG110/365*M110))</f>
        <v/>
      </c>
      <c r="OI110" s="489" t="str">
        <f>IF(A110=FALSE,"",IF(Cotations!CN110="","",Cotations!CN110))</f>
        <v/>
      </c>
      <c r="OJ110" s="300" t="str">
        <f t="shared" si="750"/>
        <v/>
      </c>
      <c r="OK110" s="300" t="str">
        <f t="shared" si="751"/>
        <v/>
      </c>
      <c r="OL110" s="919" t="str">
        <f t="shared" si="752"/>
        <v/>
      </c>
      <c r="OM110" s="517" t="str">
        <f>IF(A110=FALSE,"",Cotations!CO110)</f>
        <v/>
      </c>
      <c r="ON110" s="515" t="str">
        <f>IF(A110=FALSE,"",Cotations!CP110)</f>
        <v/>
      </c>
      <c r="OO110" s="493" t="str">
        <f>IF(A110=FALSE,"",Cotations!CQ110)</f>
        <v/>
      </c>
      <c r="OP110" s="517" t="str">
        <f>IF(A110=FALSE,"",IF(OM110="N/A",0,IF(INDEX(LISTES!$F$105:$F$109,MATCH(OM110,LISTES!$C$105:$C$109,0))="FIX",IF(INDEX(LISTES!$E$105:$E$109,MATCH(OM110,LISTES!$C$105:$C$109,0))=12,ON110/12*L110,ON110/365*M110),OO110*OL110)))</f>
        <v/>
      </c>
      <c r="OQ110" s="294" t="str">
        <f t="shared" si="753"/>
        <v/>
      </c>
      <c r="OR110" s="494" t="str">
        <f>IF(A110=FALSE,"",OQ110*Cotations!CR110)</f>
        <v/>
      </c>
      <c r="OS110" s="494" t="str">
        <f>IF(A110=FALSE,"",OQ110*Cotations!CS110)</f>
        <v/>
      </c>
      <c r="OT110" s="338" t="str">
        <f t="shared" si="754"/>
        <v/>
      </c>
      <c r="OU110" s="919" t="str">
        <f>IF(A110=FALSE,"",((OG110*TAXE)-(OG110*TAXE*OI110))+IF(OM110="N/A",0,IF(INDEX(LISTES!$F$105:$F$109,MATCH(OM110,LISTES!$C$105:$C$109,0))="FIX",ON110,OO110*OL110)))</f>
        <v/>
      </c>
      <c r="PA110" s="497" t="str">
        <f t="shared" si="755"/>
        <v/>
      </c>
      <c r="PB110" s="498" t="str">
        <f>IF(A110=FALSE,"",IF(LISTES!$A$17=1,Cotations!CT110,Cotations!$CU$4))</f>
        <v/>
      </c>
      <c r="PC110" s="499" t="str">
        <f t="shared" si="756"/>
        <v/>
      </c>
      <c r="PD110" s="499" t="str">
        <f t="shared" si="757"/>
        <v/>
      </c>
      <c r="PE110" s="500" t="str">
        <f t="shared" si="758"/>
        <v/>
      </c>
      <c r="PF110" s="501" t="str">
        <f>IF(A110=FALSE,"",Cotations!$CY$4*Y110)</f>
        <v/>
      </c>
      <c r="PG110" s="502" t="str">
        <f t="shared" si="759"/>
        <v/>
      </c>
      <c r="PH110" s="520" t="str">
        <f>IF(A110=FALSE,"",IF(Cotations!$CV$4="monthly",PG110/12*L110,PG110/365*M110))</f>
        <v/>
      </c>
      <c r="PI110" s="503" t="str">
        <f>IF(A110=FALSE,"",Cotations!$CZ$4)</f>
        <v/>
      </c>
      <c r="PJ110" s="502" t="str">
        <f t="shared" si="760"/>
        <v/>
      </c>
      <c r="PK110" s="502" t="str">
        <f t="shared" si="761"/>
        <v/>
      </c>
      <c r="PL110" s="504" t="str">
        <f t="shared" si="762"/>
        <v/>
      </c>
      <c r="PM110" s="505" t="str">
        <f>IF(A110=FALSE,"",Cotations!$DA$4)</f>
        <v/>
      </c>
      <c r="PN110" s="520" t="str">
        <f>IF(A110=FALSE,"",Cotations!$DB$4)</f>
        <v/>
      </c>
      <c r="PO110" s="503" t="str">
        <f>IF(A110=FALSE,"",Cotations!$DC$4)</f>
        <v/>
      </c>
      <c r="PP110" s="505" t="str">
        <f>IF(A110=FALSE,"",IF(PM110="N/A",0,IF(INDEX(LISTES!$F$105:$F$109,MATCH(PM110,LISTES!$C$105:$C$109,0))="FIX",IF(INDEX(LISTES!$E$105:$E$109,MATCH(PM110,LISTES!$C$105:$C$109,0))=12,PN110/12*L110,PN110/365*M110),PO110*PL110)))</f>
        <v/>
      </c>
      <c r="PQ110" s="504" t="str">
        <f t="shared" si="763"/>
        <v/>
      </c>
      <c r="PR110" s="505" t="str">
        <f>IF(A110=FALSE,"",PQ110*Cotations!$DD$4)</f>
        <v/>
      </c>
      <c r="PS110" s="505" t="str">
        <f>IF(A110=FALSE,"",PQ110*Cotations!$DE$4)</f>
        <v/>
      </c>
      <c r="PT110" s="506" t="str">
        <f t="shared" si="764"/>
        <v/>
      </c>
      <c r="PU110" s="919" t="str">
        <f>IF(A110=FALSE,"",((PG110*TAXE)-(PG110*TAXE*PI110))+IF(PM110="N/A",0,IF(INDEX(LISTES!$F$105:$F$109,MATCH(PM110,LISTES!$C$105:$C$109,0))="FIX",PN110,PO110*PL110)))</f>
        <v/>
      </c>
      <c r="QA110" s="492" t="str">
        <f t="shared" si="765"/>
        <v/>
      </c>
      <c r="QB110" s="491" t="str">
        <f>IF(A110=FALSE,"",IF(LISTES!$A$17=1,Cotations!CT110,Cotations!CU110))</f>
        <v/>
      </c>
      <c r="QC110" s="285" t="str">
        <f t="shared" si="766"/>
        <v/>
      </c>
      <c r="QD110" s="300"/>
      <c r="QE110" s="461" t="str">
        <f t="shared" si="767"/>
        <v/>
      </c>
      <c r="QF110" s="490" t="str">
        <f>IF(A110=FALSE,"",Cotations!CY110*AA110)</f>
        <v/>
      </c>
      <c r="QG110" s="300" t="str">
        <f t="shared" si="768"/>
        <v/>
      </c>
      <c r="QH110" s="522" t="str">
        <f>IF(A110=FALSE,"",IF(Cotations!CV110="monthly",QG110/12*L110,QG110/365*M110))</f>
        <v/>
      </c>
      <c r="QI110" s="489" t="str">
        <f>IF(A110=FALSE,"",IF(Cotations!CZ110="","",Cotations!CZ110))</f>
        <v/>
      </c>
      <c r="QJ110" s="300" t="str">
        <f t="shared" si="769"/>
        <v/>
      </c>
      <c r="QK110" s="300" t="str">
        <f t="shared" si="770"/>
        <v/>
      </c>
      <c r="QL110" s="919" t="str">
        <f t="shared" si="771"/>
        <v/>
      </c>
      <c r="QM110" s="517" t="str">
        <f>IF(A110=FALSE,"",Cotations!DA110)</f>
        <v/>
      </c>
      <c r="QN110" s="515" t="str">
        <f>IF(A110=FALSE,"",Cotations!DB110)</f>
        <v/>
      </c>
      <c r="QO110" s="493" t="str">
        <f>IF(A110=FALSE,"",Cotations!DC110)</f>
        <v/>
      </c>
      <c r="QP110" s="517" t="str">
        <f>IF(A110=FALSE,"",IF(QM110="N/A",0,IF(INDEX(LISTES!$F$105:$F$109,MATCH(QM110,LISTES!$C$105:$C$109,0))="FIX",IF(INDEX(LISTES!$E$105:$E$109,MATCH(QM110,LISTES!$C$105:$C$109,0))=12,QN110/12*L110,QN110/365*M110),QO110*QL110)))</f>
        <v/>
      </c>
      <c r="QQ110" s="294" t="str">
        <f t="shared" si="772"/>
        <v/>
      </c>
      <c r="QR110" s="494" t="str">
        <f>IF(A110=FALSE,"",QQ110*Cotations!DD110)</f>
        <v/>
      </c>
      <c r="QS110" s="494" t="str">
        <f>IF(A110=FALSE,"",QQ110*Cotations!DE110)</f>
        <v/>
      </c>
      <c r="QT110" s="338" t="str">
        <f t="shared" si="773"/>
        <v/>
      </c>
      <c r="QU110" s="919" t="str">
        <f>IF(A110=FALSE,"",((QG110*TAXE)-(QG110*TAXE*QI110))+IF(QM110="N/A",0,IF(INDEX(LISTES!$F$105:$F$109,MATCH(QM110,LISTES!$C$105:$C$109,0))="FIX",QN110,QO110*QL110)))</f>
        <v/>
      </c>
      <c r="RA110" s="497" t="str">
        <f t="shared" si="774"/>
        <v/>
      </c>
      <c r="RB110" s="498" t="str">
        <f>IF(A110=FALSE,"",IF(LISTES!$A$17=1,Cotations!DF110,Cotations!$DG$4))</f>
        <v/>
      </c>
      <c r="RC110" s="499" t="str">
        <f t="shared" si="775"/>
        <v/>
      </c>
      <c r="RD110" s="499" t="str">
        <f t="shared" si="776"/>
        <v/>
      </c>
      <c r="RE110" s="500" t="str">
        <f t="shared" si="777"/>
        <v/>
      </c>
      <c r="RF110" s="501" t="str">
        <f>IF(A110=FALSE,"",Cotations!$DK$4*Y110)</f>
        <v/>
      </c>
      <c r="RG110" s="502" t="str">
        <f t="shared" si="778"/>
        <v/>
      </c>
      <c r="RH110" s="520" t="str">
        <f>IF(A110=FALSE,"",IF(Cotations!$DH$4="monthly",RG110/12*L110,RG110/365*M110))</f>
        <v/>
      </c>
      <c r="RI110" s="503" t="str">
        <f>IF(A110=FALSE,"",Cotations!$DL$4)</f>
        <v/>
      </c>
      <c r="RJ110" s="502" t="str">
        <f t="shared" si="779"/>
        <v/>
      </c>
      <c r="RK110" s="502" t="str">
        <f t="shared" si="780"/>
        <v/>
      </c>
      <c r="RL110" s="504" t="str">
        <f t="shared" si="781"/>
        <v/>
      </c>
      <c r="RM110" s="505" t="str">
        <f>IF(A110=FALSE,"",Cotations!$DM$4)</f>
        <v/>
      </c>
      <c r="RN110" s="520" t="str">
        <f>IF(A110=FALSE,"",Cotations!$DN$4)</f>
        <v/>
      </c>
      <c r="RO110" s="503" t="str">
        <f>IF(A110=FALSE,"",Cotations!$DO$4)</f>
        <v/>
      </c>
      <c r="RP110" s="505" t="str">
        <f>IF(A110=FALSE,"",IF(RM110="N/A",0,IF(INDEX(LISTES!$F$105:$F$109,MATCH(RM110,LISTES!$C$105:$C$109,0))="FIX",IF(INDEX(LISTES!$E$105:$E$109,MATCH(RM110,LISTES!$C$105:$C$109,0))=12,RN110/12*L110,RN110/365*M110),RO110*RL110)))</f>
        <v/>
      </c>
      <c r="RQ110" s="504" t="str">
        <f t="shared" si="782"/>
        <v/>
      </c>
      <c r="RR110" s="505" t="str">
        <f>IF(A110=FALSE,"",RQ110*Cotations!$DP$4)</f>
        <v/>
      </c>
      <c r="RS110" s="505" t="str">
        <f>IF(A110=FALSE,"",RQ110*Cotations!$DQ$4)</f>
        <v/>
      </c>
      <c r="RT110" s="506" t="str">
        <f t="shared" si="783"/>
        <v/>
      </c>
      <c r="RU110" s="919" t="str">
        <f>IF(A110=FALSE,"",((RG110*TAXE)-(RG110*TAXE*RI110))+IF(RM110="N/A",0,IF(INDEX(LISTES!$F$105:$F$109,MATCH(RM110,LISTES!$C$105:$C$109,0))="FIX",RN110,RO110*RL110)))</f>
        <v/>
      </c>
      <c r="SA110" s="492" t="str">
        <f t="shared" si="784"/>
        <v/>
      </c>
      <c r="SB110" s="491" t="str">
        <f>IF(A110=FALSE,"",IF(LISTES!$A$17=1,Cotations!DF110,Cotations!DG110))</f>
        <v/>
      </c>
      <c r="SC110" s="285" t="str">
        <f t="shared" si="785"/>
        <v/>
      </c>
      <c r="SD110" s="300"/>
      <c r="SE110" s="461" t="str">
        <f t="shared" si="786"/>
        <v/>
      </c>
      <c r="SF110" s="490" t="str">
        <f>IF(A110=FALSE,"",Cotations!DK110*AA110)</f>
        <v/>
      </c>
      <c r="SG110" s="300" t="str">
        <f t="shared" si="787"/>
        <v/>
      </c>
      <c r="SH110" s="522" t="str">
        <f>IF(A110=FALSE,"",IF(Cotations!DH110="monthly",SG110/12*L110,SG110/365*M110))</f>
        <v/>
      </c>
      <c r="SI110" s="489" t="str">
        <f>IF(A110=FALSE,"",IF(Cotations!DL110="","",Cotations!DL110))</f>
        <v/>
      </c>
      <c r="SJ110" s="300" t="str">
        <f t="shared" si="788"/>
        <v/>
      </c>
      <c r="SK110" s="300" t="str">
        <f t="shared" si="789"/>
        <v/>
      </c>
      <c r="SL110" s="919" t="str">
        <f t="shared" si="790"/>
        <v/>
      </c>
      <c r="SM110" s="285" t="str">
        <f>IF(A110=FALSE,"",Cotations!DM110)</f>
        <v/>
      </c>
      <c r="SN110" s="515" t="str">
        <f>IF(A110=FALSE,"",Cotations!DN110)</f>
        <v/>
      </c>
      <c r="SO110" s="493" t="str">
        <f>IF(A110=FALSE,"",Cotations!DO110)</f>
        <v/>
      </c>
      <c r="SP110" s="517" t="str">
        <f>IF(A110=FALSE,"",IF(SM110="N/A",0,IF(INDEX(LISTES!$F$105:$F$109,MATCH(SM110,LISTES!$C$105:$C$109,0))="FIX",IF(INDEX(LISTES!$E$105:$E$109,MATCH(SM110,LISTES!$C$105:$C$109,0))=12,SN110/12*L110,SN110/365*M110),SO110*SL110)))</f>
        <v/>
      </c>
      <c r="SQ110" s="294" t="str">
        <f t="shared" si="791"/>
        <v/>
      </c>
      <c r="SR110" s="494" t="str">
        <f>IF(A110=FALSE,"",SQ110*Cotations!DP110)</f>
        <v/>
      </c>
      <c r="SS110" s="494" t="str">
        <f>IF(A110=FALSE,"",SQ110*Cotations!DQ110)</f>
        <v/>
      </c>
      <c r="ST110" s="338" t="str">
        <f t="shared" si="792"/>
        <v/>
      </c>
      <c r="SU110" s="919" t="str">
        <f>IF(A110=FALSE,"",((SG110*TAXE)-(SG110*TAXE*SI110))+IF(SM110="N/A",0,IF(INDEX(LISTES!$F$105:$F$109,MATCH(SM110,LISTES!$C$105:$C$109,0))="FIX",SN110,SO110*SL110)))</f>
        <v/>
      </c>
      <c r="TA110" s="492" t="str">
        <f>IF(A110=FALSE,"",Cotations!D110)</f>
        <v/>
      </c>
      <c r="TB110" s="491" t="str">
        <f>IF(A110=FALSE,"",IF(LISTES!$A$17=1,Cotations!DR110,Cotations!DS110))</f>
        <v/>
      </c>
      <c r="TC110" s="285" t="str">
        <f t="shared" si="793"/>
        <v/>
      </c>
      <c r="TD110" s="300" t="str">
        <f>IF(A110=FALSE,"",Detail!CQ110)</f>
        <v/>
      </c>
      <c r="TE110" s="461" t="str">
        <f t="shared" si="794"/>
        <v/>
      </c>
      <c r="TF110" s="490" t="str">
        <f>IF(A110=FALSE,"",IF(TA110="FIXE",Cotations!DU110,Cotations!DV110*Y110))</f>
        <v/>
      </c>
      <c r="TG110" s="300" t="str">
        <f t="shared" si="795"/>
        <v/>
      </c>
      <c r="TH110" s="522" t="str">
        <f>IF(A110=FALSE,"",IF(Cotations!DT110="monthly",TG110/12*L110,TG110/365*M110))</f>
        <v/>
      </c>
      <c r="TI110" s="489" t="str">
        <f>IF(A110=FALSE,"",IF(Cotations!DW110="","",Cotations!DW110))</f>
        <v/>
      </c>
      <c r="TJ110" s="300" t="str">
        <f t="shared" si="796"/>
        <v/>
      </c>
      <c r="TK110" s="300" t="str">
        <f t="shared" si="797"/>
        <v/>
      </c>
      <c r="TL110" s="919" t="str">
        <f t="shared" si="798"/>
        <v/>
      </c>
      <c r="TM110" s="517" t="str">
        <f>IF(A110=FALSE,"",Cotations!DX110)</f>
        <v/>
      </c>
      <c r="TN110" s="517" t="str">
        <f>IF(A110=FALSE,"",Cotations!DY110)</f>
        <v/>
      </c>
      <c r="TO110" s="493" t="str">
        <f>IF(A110=FALSE,"",Cotations!DZ110)</f>
        <v/>
      </c>
      <c r="TP110" s="517" t="str">
        <f>IF(A110=FALSE,"",IF(TM110="N/A",0,IF(INDEX(LISTES!$F$105:$F$109,MATCH(TM110,LISTES!$C$105:$C$109,0))="FIX",IF(INDEX(LISTES!$E$105:$E$109,MATCH(TM110,LISTES!$C$105:$C$109,0))=12,TN110/12*L110,TN110/365*M110),TO110*TL110)))</f>
        <v/>
      </c>
      <c r="TQ110" s="294" t="str">
        <f t="shared" si="799"/>
        <v/>
      </c>
      <c r="TR110" s="494" t="str">
        <f>IF(A110=FALSE,"",TQ110*Cotations!EA110)</f>
        <v/>
      </c>
      <c r="TS110" s="494" t="str">
        <f>IF(A110=FALSE,"",TQ110*Cotations!EB110)</f>
        <v/>
      </c>
      <c r="TT110" s="338" t="str">
        <f t="shared" si="800"/>
        <v/>
      </c>
      <c r="TU110" s="919" t="str">
        <f>IF(A110=FALSE,"",((TG110*(1+TAXE)-(TG110*(1+TAXE)*TI110))+IF(TM110="N/A",0,IF(INDEX(LISTES!$F$105:$F$109,MATCH(TM110,LISTES!$C$105:$C$109,0))="FIX",TN110,TO110*TL110))))</f>
        <v/>
      </c>
      <c r="UA110" s="492" t="str">
        <f>IF(A110=FALSE,"",Cotations!D110)</f>
        <v/>
      </c>
      <c r="UB110" s="491" t="str">
        <f>IF(A110=FALSE,"",IF(LISTES!$A$17=1,Cotations!EC110,Cotations!ED110))</f>
        <v/>
      </c>
      <c r="UC110" s="285" t="str">
        <f t="shared" si="801"/>
        <v/>
      </c>
      <c r="UD110" s="300" t="str">
        <f>IF(A110=FALSE,"",Detail!CY110)</f>
        <v/>
      </c>
      <c r="UE110" s="461" t="str">
        <f t="shared" si="802"/>
        <v/>
      </c>
      <c r="UF110" s="490" t="str">
        <f>IF(A110=FALSE,"",IF(UA110="FIXE",Cotations!EF110,Cotations!EG110*Y110))</f>
        <v/>
      </c>
      <c r="UG110" s="300" t="str">
        <f t="shared" si="803"/>
        <v/>
      </c>
      <c r="UH110" s="522" t="str">
        <f>IF(A110=FALSE,"",IF(Cotations!EE110="monthly",UG110/12*L110,UG110/365*M110))</f>
        <v/>
      </c>
      <c r="UI110" s="489" t="str">
        <f>IF(A110=FALSE,"",IF(Cotations!EH110="","",Cotations!EH110))</f>
        <v/>
      </c>
      <c r="UJ110" s="300" t="str">
        <f t="shared" si="804"/>
        <v/>
      </c>
      <c r="UK110" s="300" t="str">
        <f t="shared" si="805"/>
        <v/>
      </c>
      <c r="UL110" s="919" t="str">
        <f t="shared" si="806"/>
        <v/>
      </c>
      <c r="UM110" s="517" t="str">
        <f>IF(A110=FALSE,"",Cotations!EI110)</f>
        <v/>
      </c>
      <c r="UN110" s="517" t="str">
        <f>IF(A110=FALSE,"",Cotations!EJ110)</f>
        <v/>
      </c>
      <c r="UO110" s="493" t="str">
        <f>IF(A110=FALSE,"",Cotations!EK110)</f>
        <v/>
      </c>
      <c r="UP110" s="517" t="str">
        <f>IF(A110=FALSE,"",IF(UM110="N/A",0,IF(INDEX(LISTES!$F$105:$F$109,MATCH(UM110,LISTES!$C$105:$C$109,0))="FIX",IF(INDEX(LISTES!$E$105:$E$109,MATCH(UM110,LISTES!$C$105:$C$109,0))=12,UN110/12*L110,UN110/365*M110),UO110*UL110)))</f>
        <v/>
      </c>
      <c r="UQ110" s="294" t="str">
        <f t="shared" si="807"/>
        <v/>
      </c>
      <c r="UR110" s="494" t="str">
        <f>IF(A110=FALSE,"",UQ110*Cotations!EL110)</f>
        <v/>
      </c>
      <c r="US110" s="494" t="str">
        <f>IF(A110=FALSE,"",UQ110*Cotations!EM110)</f>
        <v/>
      </c>
      <c r="UT110" s="338" t="str">
        <f t="shared" si="808"/>
        <v/>
      </c>
      <c r="UU110" s="919" t="str">
        <f>IF(A110=FALSE,"",((UG110*(1+TAXE)-(UG110*(1+TAXE)*UI110))+IF(UM110="N/A",0,IF(INDEX(LISTES!$F$105:$F$109,MATCH(UM110,LISTES!$C$105:$C$109,0))="FIX",UN110,UO110*UL110))))</f>
        <v/>
      </c>
      <c r="VA110" s="492" t="str">
        <f>IF(A110=FALSE,"",Cotations!D110)</f>
        <v/>
      </c>
      <c r="VB110" s="519" t="str">
        <f>IF(A110=FALSE,"",IF(LISTES!$A$17=1,Cotations!EN110,Cotations!EO110))</f>
        <v/>
      </c>
      <c r="VC110" s="291" t="str">
        <f t="shared" si="809"/>
        <v/>
      </c>
      <c r="VD110" s="291" t="str">
        <f t="shared" si="810"/>
        <v/>
      </c>
      <c r="VE110" s="291"/>
      <c r="VF110" s="463"/>
      <c r="VG110" s="463" t="str">
        <f t="shared" si="811"/>
        <v/>
      </c>
      <c r="VH110" s="522" t="str">
        <f>IF(A110=FALSE,"",IF(Cotations!$AQ$4="monthly",VG110/12*L110,VG110/365*M110))</f>
        <v/>
      </c>
      <c r="VI110" s="489" t="str">
        <f>IF(A110=FALSE,"",Cotations!$AR$4)</f>
        <v/>
      </c>
      <c r="VJ110" s="300" t="str">
        <f t="shared" si="812"/>
        <v/>
      </c>
      <c r="VK110" s="300" t="str">
        <f t="shared" si="813"/>
        <v/>
      </c>
      <c r="VL110" s="294" t="str">
        <f t="shared" si="814"/>
        <v/>
      </c>
      <c r="VM110" s="494" t="str">
        <f>IF(A110=FALSE,"",Cotations!$AS$4)</f>
        <v/>
      </c>
      <c r="VN110" s="494" t="str">
        <f>IF(A110=FALSE,"",Cotations!$AT$4)</f>
        <v/>
      </c>
      <c r="VO110" s="489" t="str">
        <f>IF(A110=FALSE,"",Cotations!$AU$4)</f>
        <v/>
      </c>
      <c r="VP110" s="494" t="str">
        <f>IF(A110=FALSE,"",IF(VM110="N/A",0,IF(INDEX(LISTES!$F$105:$F$109,MATCH(VM110,LISTES!$C$105:$C$109,0))="FIX",IF(INDEX(LISTES!$E$105:$E$109,MATCH(VM110,LISTES!$C$105:$C$109,0))=12,VN110/12*L110,VN110/365*M110),VO110*VL110)))</f>
        <v/>
      </c>
      <c r="VQ110" s="294" t="str">
        <f t="shared" si="815"/>
        <v/>
      </c>
      <c r="VR110" s="494" t="str">
        <f>IF(A110=FALSE,"",VQ110*Cotations!$AV$4)</f>
        <v/>
      </c>
      <c r="VS110" s="494" t="str">
        <f>IF(A110=FALSE,"",VQ110*Cotations!$AW$4)</f>
        <v/>
      </c>
      <c r="VT110" s="465" t="str">
        <f t="shared" si="816"/>
        <v/>
      </c>
      <c r="VU110" s="919" t="str">
        <f>IF(A110=FALSE,"",((VG110*TAXE)-(VG110*TAXE*VI110))+IF(VM110="N/A",0,IF(INDEX(LISTES!$F$105:$F$109,MATCH(VM110,LISTES!$C$105:$C$109,0))="FIX",VN110,VO110*VL110)))</f>
        <v/>
      </c>
      <c r="WA110" s="492" t="str">
        <f>IF(A110=FALSE,"",Cotations!D110)</f>
        <v/>
      </c>
      <c r="WB110" s="519" t="str">
        <f>IF(A110=FALSE,"",IF(LISTES!$A$17=1,Cotations!EW110,Cotations!EX110))</f>
        <v/>
      </c>
      <c r="WC110" s="291" t="str">
        <f t="shared" si="817"/>
        <v/>
      </c>
      <c r="WD110" s="291" t="str">
        <f t="shared" si="818"/>
        <v/>
      </c>
      <c r="WE110" s="291"/>
      <c r="WF110" s="463"/>
      <c r="WG110" s="463" t="str">
        <f t="shared" si="819"/>
        <v/>
      </c>
      <c r="WH110" s="522" t="str">
        <f>IF(A110=FALSE,"",IF(Cotations!$AQ$4="monthly",WG110/12*L110,WG110/365*M110))</f>
        <v/>
      </c>
      <c r="WI110" s="489" t="str">
        <f>IF(A110=FALSE,"",Cotations!$AR$4)</f>
        <v/>
      </c>
      <c r="WJ110" s="300" t="str">
        <f t="shared" si="820"/>
        <v/>
      </c>
      <c r="WK110" s="300" t="str">
        <f t="shared" si="821"/>
        <v/>
      </c>
      <c r="WL110" s="294" t="str">
        <f t="shared" si="822"/>
        <v/>
      </c>
      <c r="WM110" s="494" t="str">
        <f>IF(A110=FALSE,"",Cotations!$AS$4)</f>
        <v/>
      </c>
      <c r="WN110" s="494" t="str">
        <f>IF(A110=FALSE,"",Cotations!$AT$4)</f>
        <v/>
      </c>
      <c r="WO110" s="489" t="str">
        <f>IF(A110=FALSE,"",Cotations!$AU$4)</f>
        <v/>
      </c>
      <c r="WP110" s="494" t="str">
        <f>IF(A110=FALSE,"",IF(WM110="N/A",0,IF(INDEX(LISTES!$F$105:$F$109,MATCH(WM110,LISTES!$C$105:$C$109,0))="FIX",IF(INDEX(LISTES!$E$105:$E$109,MATCH(WM110,LISTES!$C$105:$C$109,0))=12,WN110/12*L110,WN110/365*M110),WO110*WL110)))</f>
        <v/>
      </c>
      <c r="WQ110" s="294" t="str">
        <f t="shared" si="823"/>
        <v/>
      </c>
      <c r="WR110" s="494" t="str">
        <f>IF(A110=FALSE,"",WQ110*Cotations!$AV$4)</f>
        <v/>
      </c>
      <c r="WS110" s="494" t="str">
        <f>IF(A110=FALSE,"",WQ110*Cotations!$AW$4)</f>
        <v/>
      </c>
      <c r="WT110" s="465" t="str">
        <f t="shared" si="824"/>
        <v/>
      </c>
      <c r="WU110" s="919" t="str">
        <f>IF(A110=FALSE,"",((WG110*TAXE)-(WG110*TAXE*WI110))+IF(WM110="N/A",0,IF(INDEX(LISTES!$F$105:$F$109,MATCH(WM110,LISTES!$C$105:$C$109,0))="FIX",WN110,WO110*WL110)))</f>
        <v/>
      </c>
    </row>
    <row r="111" spans="1:619">
      <c r="A111" s="942" t="b">
        <f t="shared" ref="A111:A120" si="841">IF(B111=FALSE,FALSE,IF(C111=FALSE,FALSE,IF(D111=FALSE,FALSE,TRUE)))</f>
        <v>0</v>
      </c>
      <c r="B111" s="942" t="b">
        <f>IF(NAMES!$B$9=TRUE,TRUE,FALSE)</f>
        <v>1</v>
      </c>
      <c r="C111" s="942" t="b">
        <f t="shared" si="825"/>
        <v>0</v>
      </c>
      <c r="D111" s="942" t="b">
        <f t="shared" si="826"/>
        <v>0</v>
      </c>
      <c r="E111" s="274" t="b">
        <f>IF(Cotations!C111="","",Cotations!C111)</f>
        <v>0</v>
      </c>
      <c r="F111" s="274" t="str">
        <f>IF(Cotations!D111="","",Cotations!D111)</f>
        <v>PROP</v>
      </c>
      <c r="G111" s="274" t="str">
        <f>IF(Cotations!E111="","",Cotations!E111)</f>
        <v>2016-2017!</v>
      </c>
      <c r="H111" s="274" t="str">
        <f>IF(Cotations!F111="","",Cotations!F111)</f>
        <v>SINGLE</v>
      </c>
      <c r="I111" s="274" t="str">
        <f>IF(Cotations!G111="","",Cotations!G111)</f>
        <v/>
      </c>
      <c r="J111" s="274" t="str">
        <f>IF(Cotations!H111="","",Cotations!H111)</f>
        <v/>
      </c>
      <c r="K111" s="274" t="str">
        <f>IF(Cotations!I111="","",Cotations!I111)</f>
        <v/>
      </c>
      <c r="L111" s="274" t="str">
        <f>IF(A111=FALSE,"",IF(Cotations!N111="","",Cotations!N111))</f>
        <v/>
      </c>
      <c r="M111" s="274" t="str">
        <f>IF(Cotations!P111="","",Cotations!P111)</f>
        <v/>
      </c>
      <c r="N111" s="724" t="str">
        <f>IF(NAMES!$B$10=TRUE,Cotations!J111,Cotations!L111)</f>
        <v/>
      </c>
      <c r="O111" s="724" t="str">
        <f>IF(NAMES!$B$10=TRUE,Cotations!K111,Cotations!M111)</f>
        <v/>
      </c>
      <c r="P111" s="943" t="str">
        <f t="shared" si="827"/>
        <v/>
      </c>
      <c r="Q111" s="724" t="str">
        <f>IF(A111=FALSE,"",IF(Crewlist!Y111="","",Crewlist!Y111))</f>
        <v/>
      </c>
      <c r="R111" s="78" t="str">
        <f>IF(Cotations!U111="","",Cotations!U111)</f>
        <v/>
      </c>
      <c r="S111" s="943" t="str">
        <f t="shared" si="828"/>
        <v/>
      </c>
      <c r="T111" s="919" t="str">
        <f>IF(A111=FALSE,"",VLOOKUP($U$15:$U$120,Currency!$A$2:$D$10,4,0)*Crewlist!N111)</f>
        <v/>
      </c>
      <c r="U111" s="1355" t="str">
        <f>IF(A111=FALSE,"",IF(IT111=0,Crewlist!M111&amp;"/"&amp;EX111,Crewlist!M111&amp;"/"&amp;IT111))</f>
        <v/>
      </c>
      <c r="V111" s="919" t="str">
        <f>IF(A111=FALSE,"",VLOOKUP($U$15:$U$120,Currency!$A$2:$D$10,4,0)*Detail!Q111)</f>
        <v/>
      </c>
      <c r="W111" s="1355" t="str">
        <f>IF(A111=FALSE,"",IF(IT111=0,Detail!R111&amp;"/"&amp;EX111,Detail!R111&amp;"/"&amp;IT111))</f>
        <v/>
      </c>
      <c r="X111" s="919" t="str">
        <f>IF(A111=FALSE,"",IF(LISTES!$C$17="Crewlist",Calcul!T111,Calcul!V111))</f>
        <v/>
      </c>
      <c r="Y111" s="758" t="str">
        <f t="shared" si="829"/>
        <v/>
      </c>
      <c r="Z111" s="758" t="str">
        <f>IF(A111=FALSE,"",IF(X111=0,0,IF((Cotations!BC111*12*X111)&lt;50000,50000,(12*X111))))</f>
        <v/>
      </c>
      <c r="AA111" s="758" t="str">
        <f t="shared" si="830"/>
        <v/>
      </c>
      <c r="AB111" s="758" t="str">
        <f>IF(A111=FALSE,"",IF(Crewlist!O111=0,"",Crewlist!O111))</f>
        <v/>
      </c>
      <c r="AC111" s="758" t="str">
        <f>IF(I111="","",VLOOKUP($AB$15:$AB$120,Currency!$A$15:$B$34,2,0))</f>
        <v/>
      </c>
      <c r="AD111" s="758" t="str">
        <f t="shared" si="831"/>
        <v/>
      </c>
      <c r="AE111" s="758" t="str">
        <f t="shared" si="832"/>
        <v/>
      </c>
      <c r="AF111" s="758" t="str">
        <f t="shared" si="833"/>
        <v/>
      </c>
      <c r="AG111" s="758" t="str">
        <f t="shared" si="834"/>
        <v/>
      </c>
      <c r="AH111" s="1355" t="str">
        <f t="shared" ref="AH111:AH120" si="842">IF(A111=FALSE,"",EX111)</f>
        <v/>
      </c>
      <c r="AI111" s="919" t="str">
        <f t="shared" si="835"/>
        <v/>
      </c>
      <c r="AJ111" s="1382" t="str">
        <f t="shared" si="836"/>
        <v/>
      </c>
      <c r="AK111" s="1382" t="str">
        <f t="shared" si="837"/>
        <v/>
      </c>
      <c r="AL111" s="238" t="str">
        <f t="shared" ref="AL111:AL120" si="843">IF(A111=FALSE,"",BZ111+CA111)</f>
        <v/>
      </c>
      <c r="AM111" s="238" t="str">
        <f t="shared" ref="AM111:AM120" si="844">IF(A111=FALSE,"",AR111*(TAXE-1))</f>
        <v/>
      </c>
      <c r="AN111" s="1374" t="str">
        <f t="shared" ref="AN111:AN120" si="845">IF(A111=FALSE,"",EO111)</f>
        <v/>
      </c>
      <c r="AO111" s="238" t="str">
        <f t="shared" ref="AO111:AO120" si="846">IF(A111=FALSE,"",AL111+AM111)</f>
        <v/>
      </c>
      <c r="AP111" s="342" t="str">
        <f>IF(A111=FALSE,"",INDEX(Rates!$Z$5:$Z$367,MATCH(EB111,colchoice,0)))</f>
        <v/>
      </c>
      <c r="AQ111" s="238" t="str">
        <f t="shared" ref="AQ111:AQ120" si="847">IF(A111=FALSE,"",IF(AP111="NO",0,IF(AP111="WCA",L111,15/12*L111)))</f>
        <v/>
      </c>
      <c r="AR111" s="238" t="str">
        <f t="shared" ref="AR111:AR120" si="848">IF(A111=FALSE,"",BD111+BP111)</f>
        <v/>
      </c>
      <c r="AS111" s="238" t="str">
        <f t="shared" ref="AS111:AS120" si="849">IF(A111=FALSE,"",SUM(AU111:AV111)*TAXE)</f>
        <v/>
      </c>
      <c r="AT111" s="238" t="str">
        <f t="shared" ref="AT111:AT120" si="850">IF(A111=FALSE,"",SUM(AW111:BB111)*TAXE)</f>
        <v/>
      </c>
      <c r="AU111" s="238" t="str">
        <f t="shared" ref="AU111:AU120" si="851">IF(A111=FALSE,"",BE111+BQ111)</f>
        <v/>
      </c>
      <c r="AV111" s="238" t="str">
        <f t="shared" si="838"/>
        <v/>
      </c>
      <c r="AW111" s="238" t="str">
        <f t="shared" ref="AW111:AW120" si="852">IF(A111=FALSE,"",BI111+BS111)</f>
        <v/>
      </c>
      <c r="AX111" s="238" t="str">
        <f t="shared" ref="AX111:AX120" si="853">IF(A111=FALSE,"",BJ111+BT111)</f>
        <v/>
      </c>
      <c r="AY111" s="238" t="str">
        <f t="shared" ref="AY111:AY120" si="854">IF(A111=FALSE,"",BK111+BU111)</f>
        <v/>
      </c>
      <c r="AZ111" s="238" t="str">
        <f t="shared" ref="AZ111:AZ120" si="855">IF(A111=FALSE,"",BL111+BV111)</f>
        <v/>
      </c>
      <c r="BA111" s="238" t="str">
        <f t="shared" ref="BA111:BA120" si="856">IF(A111=FALSE,"",BM111+BW111)</f>
        <v/>
      </c>
      <c r="BB111" s="552" t="str">
        <f t="shared" ref="BB111:BB120" si="857">IF(A111=FALSE,"",BN111+BX111)</f>
        <v/>
      </c>
      <c r="BC111" s="347" t="str">
        <f t="shared" ref="BC111:BC120" si="858">IF(A111=FALSE,"",BD111*TAXE)</f>
        <v/>
      </c>
      <c r="BD111" s="239" t="str">
        <f t="shared" si="839"/>
        <v/>
      </c>
      <c r="BE111" s="239" t="str">
        <f>IF(A111=FALSE,"",IF(ALLTHESAME=TRUE,IF(DF111&lt;&gt;$BC$7,0,INDEX(DD111:DZ111,1,MATCH(Structure!$D$12,$DD$14:$DZ$14,0))),IF(EC111&lt;&gt;$BC$7,0,INDEX(EA111:EZ111,1,MATCH(Structure!$D$12,$EA$14:$EZ$14,0)))))</f>
        <v/>
      </c>
      <c r="BF111" s="239" t="str">
        <f>IF(A111=FALSE,"",IF(ALLTHESAME=TRUE,IF(FC111&lt;&gt;$BC$7,0,INDEX(FA111:FZ111,1,MATCH(Structure!$D$12,$FA$14:$FZ$14,0))),IF(GC111&lt;&gt;$BC$7,0,INDEX(GA111:GZ111,1,MATCH(Structure!$D$12,$GA$14:$GZ$14,0)))))</f>
        <v/>
      </c>
      <c r="BG111" s="239" t="str">
        <f>IF(A111=FALSE,"",IF(ALLTHESAME=TRUE,IF(VC111&lt;&gt;$BC$7,0,INDEX(VA111:VZ111,1,MATCH(Structure!$D$12,$VA$14:$VZ$14,0))),IF(VC111&lt;&gt;$BC$7,0,INDEX(VA111:VZ111,1,MATCH(Structure!$D$12,$VA$14:$VZ$14,0)))))</f>
        <v/>
      </c>
      <c r="BH111" s="239" t="str">
        <f>IF(A111=FALSE,"",IF(ALLTHESAME=TRUE,IF(WC111&lt;&gt;$BC$7,0,INDEX(WA111:WY111,1,MATCH(Structure!$D$12,$WA$14:$WZ$14,0))),IF(WC111&lt;&gt;$BC$7,0,INDEX(WA111:WZ111,1,MATCH(Structure!$D$12,$WA$14:$WZ$14,0)))))</f>
        <v/>
      </c>
      <c r="BI111" s="763" t="str">
        <f>IF(A111=FALSE,"",IF(ALLTHESAME=TRUE,IF(HC111&lt;&gt;$BC$7,0,INDEX(HA111:HZ111,1,MATCH(Structure!$D$12,$HA$14:$HZ$14,0)))+TK111,IF(IC111&lt;&gt;$BC$7,0,INDEX(IA111:IZ111,1,MATCH(Structure!$D$12,$IA$14:$IZ$14,0)))+TK111))</f>
        <v/>
      </c>
      <c r="BJ111" s="239" t="str">
        <f>IF(A111=FALSE,"",IF(ALLTHESAME=TRUE,IF(JC111&lt;&gt;$BC$7,0,INDEX(JA111:JZ111,1,MATCH(Structure!$D$12,$JA$14:$JZ$14,0))),IF(KC111&lt;&gt;$BC$7,0,INDEX(KA111:KZ111,1,MATCH(Structure!$D$12,$KA$14:$KZ$14,0)))))</f>
        <v/>
      </c>
      <c r="BK111" s="763" t="str">
        <f>IF(A111=FALSE,"",IF(ALLTHESAME=TRUE,IF(LC111&lt;&gt;$BC$7,0,INDEX(LA111:LZ111,1,MATCH(Structure!$D$12,$LA$14:$LZ$14,0)))+UK111,IF(MC111&lt;&gt;$BC$7,0,INDEX(MA111:MZ111,1,MATCH(Structure!$D$12,$MA$14:$MZ$14,0)))+UK111))</f>
        <v/>
      </c>
      <c r="BL111" s="239" t="str">
        <f>IF(A111=FALSE,"",IF(ALLTHESAME=TRUE,IF(NC111&lt;&gt;$BC$7,0,INDEX(NA111:NZ111,1,MATCH(Structure!$D$12,$NA$14:$NZ$14,0))),IF(OC111&lt;&gt;$BC$7,0,INDEX(OA111:OZ111,1,MATCH(Structure!$D$12,$OA$14:$OZ$14,0)))))</f>
        <v/>
      </c>
      <c r="BM111" s="239" t="str">
        <f>IF(A111=FALSE,"",IF(ALLTHESAME=TRUE,IF(PC111&lt;&gt;$BC$7,0,INDEX(PA111:PZ111,1,MATCH(Structure!$D$12,$PA$14:$PZ$14,0))),IF(QC111&lt;&gt;$BC$7,0,INDEX(QA111:QZ111,1,MATCH(Structure!$D$12,$QA$14:$QZ$14,0)))))</f>
        <v/>
      </c>
      <c r="BN111" s="341" t="str">
        <f>IF(A111=FALSE,"",IF(ALLTHESAME=TRUE,IF(RC111&lt;&gt;$BC$7,0,INDEX(RA111:RZ111,1,MATCH(Structure!$D$12,$RA$14:$RZ$14,0))),IF(SC111&lt;&gt;$BC$7,0,INDEX(SA111:TA111,1,MATCH(Structure!$D$12,$SA$14:$TA$14,0)))))</f>
        <v/>
      </c>
      <c r="BO111" s="507" t="str">
        <f t="shared" ref="BO111:BO120" si="859">IF(A111=FALSE,"",BP111*TAXE)</f>
        <v/>
      </c>
      <c r="BP111" s="239" t="str">
        <f t="shared" ref="BP111:BP120" si="860">IF(A111=FALSE,"",SUM(BQ111:BX111))</f>
        <v/>
      </c>
      <c r="BQ111" s="239" t="str">
        <f>IF(A111=FALSE,"",IF(ALLTHESAME=TRUE,IF(DF111&lt;&gt;$BO$7,0,INDEX(DD111:DZ111,1,MATCH(Structure!$D$12,$DD$14:$DZ$14,0))),IF(EC111&lt;&gt;$BO$7,0,INDEX(EA111:EZ111,1,MATCH(Structure!$D$12,$EA$14:$EZ$14,0)))))</f>
        <v/>
      </c>
      <c r="BR111" s="239" t="str">
        <f>IF(A111=FALSE,"",IF(ALLTHESAME=TRUE,IF(FC111&lt;&gt;$BO$7,0,INDEX(FA111:FZ111,1,MATCH(Structure!$D$12,$FA$14:$FZ$14,0))),IF(GC111&lt;&gt;$BO$7,0,INDEX(GA111:GZ111,1,MATCH(Structure!$D$12,$GA$14:$GZ$14,0)))))</f>
        <v/>
      </c>
      <c r="BS111" s="239" t="str">
        <f>IF(A111=FALSE,"",IF(ALLTHESAME=TRUE,IF(HC111&lt;&gt;$BO$7,0,INDEX(HA111:HZ111,1,MATCH(Structure!$D$12,$HA$14:$HZ$14,0))),IF(IC111&lt;&gt;$BO$7,0,INDEX(IA111:IZ111,1,MATCH(Structure!$D$12,$IA$14:$IZ$14,0)))))</f>
        <v/>
      </c>
      <c r="BT111" s="239" t="str">
        <f>IF(A111=FALSE,"",IF(ALLTHESAME=TRUE,IF(JC111&lt;&gt;$BO$7,0,INDEX(JA111:JZ111,1,MATCH(Structure!$D$12,$JA$14:$JZ$14,0))),IF(KC111&lt;&gt;$BO$7,0,INDEX(KA111:KZ111,1,MATCH(Structure!$D$12,$KA$14:$KZ$14,0)))))</f>
        <v/>
      </c>
      <c r="BU111" s="239" t="str">
        <f>IF(A111=FALSE,"",IF(ALLTHESAME=TRUE,IF(LC111&lt;&gt;$BO$7,0,INDEX(LA111:LZ111,1,MATCH(Structure!$D$12,$LA$14:$LZ$14,0))),IF(MC111&lt;&gt;$BO$7,0,INDEX(MA111:MZ111,1,MATCH(Structure!$D$12,$MA$14:$MZ$14,0)))))</f>
        <v/>
      </c>
      <c r="BV111" s="239" t="str">
        <f>IF(A111=FALSE,"",IF(ALLTHESAME=TRUE,IF(NC111&lt;&gt;$BO$7,0,INDEX(NA111:NZ111,1,MATCH(Structure!$D$12,$NA$14:$NZ$14,0))),IF(OC111&lt;&gt;$BO$7,0,INDEX(OA111:OZ111,1,MATCH(Structure!$D$12,$OA$14:$OZ$14,0)))))</f>
        <v/>
      </c>
      <c r="BW111" s="239" t="str">
        <f>IF(A111=FALSE,"",IF(ALLTHESAME=TRUE,IF(PC111&lt;&gt;$BO$7,0,INDEX(PA111:PZ111,1,MATCH(Structure!$D$12,$PA$14:$PZ$14,0))),IF(QC111&lt;&gt;$BO$7,0,INDEX(QA111:QZ111,1,MATCH(Structure!$D$12,$QA$14:$QZ$14,0)))))</f>
        <v/>
      </c>
      <c r="BX111" s="341" t="str">
        <f>IF(A111=FALSE,"",IF(ALLTHESAME=TRUE,IF(RC111&lt;&gt;$BO$7,0,INDEX(RA111:RZ111,1,MATCH(Structure!$D$12,$RA$14:$RZ$14,0))),IF(SC111&lt;&gt;$BO$7,0,INDEX(SA111:TA111,1,MATCH(Structure!$D$12,$SA$14:$TA$14,0)))))</f>
        <v/>
      </c>
      <c r="BY111" s="347" t="str">
        <f t="shared" ref="BY111:BY120" si="861">IF(A111=FALSE,"",IF(SUM(CD111:CI111)&gt;0,"PREV","MEDI"))</f>
        <v/>
      </c>
      <c r="BZ111" s="507" t="str">
        <f t="shared" ref="BZ111:BZ120" si="862">IF(A111=FALSE,"",SUM(CB111:CC111))</f>
        <v/>
      </c>
      <c r="CA111" s="239" t="str">
        <f t="shared" ref="CA111:CA120" si="863">IF(A111=FALSE,"",SUM(CD111:CI111))</f>
        <v/>
      </c>
      <c r="CB111" s="239" t="str">
        <f>IF(A111=FALSE,"",IF(ALLTHESAME=TRUE,INDEX(DD111:DZ111,MATCH(DF111,DF111:DF216,0),MATCH(Structure!$D$17,$DD$14:$DZ$14,0)),INDEX(EA111:EZ111,MATCH(EC111,EC111:EC216,0),MATCH(Structure!$D$17,$EA$14:$EZ$14,0))))</f>
        <v/>
      </c>
      <c r="CC111" s="239" t="str">
        <f>IF(A111=FALSE,"",IF(ALLTHESAME=TRUE,INDEX(FA111:FZ111,MATCH(FC111,FC111:FC216,0),MATCH(Structure!$D$17,$FA$14:$FZ$14,0)),INDEX(GA111:GZ111,MATCH(GC111,GC111:GC216,0),MATCH(Structure!$D$17,$GA$14:$GZ$14,0))))</f>
        <v/>
      </c>
      <c r="CD111" s="239" t="str">
        <f>IF(A111=FALSE,"",IF(ALLTHESAME=TRUE,INDEX(HA111:HZ111,MATCH(HC111,HC111:HC216,0),MATCH(Structure!$D$17,$HA$14:$HZ$14,0)),INDEX(IA111:IZ111,MATCH(IC111,IC111:IC216,0),MATCH(Structure!$D$17,$IA$14:$IZ$14,0))))</f>
        <v/>
      </c>
      <c r="CE111" s="239" t="str">
        <f>IF(A111=FALSE,"",IF(ALLTHESAME=TRUE,INDEX(JA111:JZ111,MATCH(JC111,JC111:JC216,0),MATCH(Structure!$D$17,$JA$14:$JZ$14,0)),INDEX(KA111:KZ111,MATCH(KC111,KC111:KC216,0),MATCH(Structure!$D$17,$KA$14:$KZ$14,0))))</f>
        <v/>
      </c>
      <c r="CF111" s="239" t="str">
        <f>IF(A111=FALSE,"",IF(ALLTHESAME=TRUE,INDEX(LA111:LZ111,MATCH(LC111,LC111:LC216,0),MATCH(Structure!$D$17,$LA$14:$LZ$14,0)),INDEX(MA111:MZ111,MATCH(MC111,MC111:MC216,0),MATCH(Structure!$D$17,$MA$14:$MZ$14,0))))</f>
        <v/>
      </c>
      <c r="CG111" s="239" t="str">
        <f>IF(A111=FALSE,"",IF(ALLTHESAME=TRUE,INDEX(NA111:NZ111,MATCH(NC111,NC111:NC216,0),MATCH(Structure!$D$17,$NA$14:$NZ$14,0)),INDEX(OA111:OZ111,MATCH(OC111,OC111:OC216,0),MATCH(Structure!$D$17,$OA$14:$OZ$14,0))))</f>
        <v/>
      </c>
      <c r="CH111" s="239" t="str">
        <f>IF(A111=FALSE,"",IF(ALLTHESAME=TRUE,INDEX(PA111:PZ111,MATCH(PC111,PC111:PC216,0),MATCH(Structure!$D$17,$PA$14:$PZ$14,0)),INDEX(QA111:QZ111,MATCH(QC111,QC111:QC216,0),MATCH(Structure!$D$17,$QA$14:$QZ$14,0))))</f>
        <v/>
      </c>
      <c r="CI111" s="341" t="str">
        <f>IF(A111=FALSE,"",IF(ALLTHESAME=TRUE,INDEX(RA111:RZ111,MATCH(RC111,RC111:RC216,0),MATCH(Structure!$D$17,$RA$14:$RZ$14,0)),INDEX(SA111:TC111,MATCH(SC111,SC111:SC216,0),MATCH(Structure!$D$17,$SA$14:$TC$14,0))))</f>
        <v/>
      </c>
      <c r="CJ111" s="347"/>
      <c r="CK111" s="239" t="str">
        <f t="shared" ref="CK111:CK120" si="864">IF(A111=FALSE,"",SUM(CL111:CS111))</f>
        <v/>
      </c>
      <c r="CL111" s="239" t="str">
        <f>IF(A111=FALSE,"",IF(ALLTHESAME=TRUE,INDEX(DD111:DZ111,MATCH(DF111,DF111:DF216,0),MATCH(Structure!$D$22,$DD$14:$DZ$14,0)),INDEX(EA111:EZ111,MATCH(EC111,EC111:EC216,0),MATCH(Structure!$D$22,$EA$14:$EZ$14,0))))</f>
        <v/>
      </c>
      <c r="CM111" s="239" t="str">
        <f>IF(A111=FALSE,"",IF(ALLTHESAME=TRUE,INDEX(FA111:FZ111,MATCH(FC111,FC111:FC216,0),MATCH(Structure!$D$22,$FA$14:$FZ$14,0)),INDEX(GA111:GZ111,MATCH(GC111,GC111:GC216,0),MATCH(Structure!$D$22,$GA$14:$GZ$14,0))))</f>
        <v/>
      </c>
      <c r="CN111" s="239" t="str">
        <f>IF(A111=FALSE,"",IF(ALLTHESAME=TRUE,INDEX(HA111:HZ111,MATCH(HC111,HC111:HC216,0),MATCH(Structure!$D$22,$HA$14:$HZ$14,0)),INDEX(IA111:IZ111,MATCH(IC111,IC111:IC216,0),MATCH(Structure!$D$22,$IA$14:$IZ$14,0))))</f>
        <v/>
      </c>
      <c r="CO111" s="239" t="str">
        <f>IF(A111=FALSE,"",IF(ALLTHESAME=TRUE,INDEX(JA111:JZ111,MATCH(JC111,JC111:JC216,0),MATCH(Structure!$D$22,$JA$14:$JZ$14,0)),INDEX(KA111:KZ111,MATCH(KC111,KC111:KC216,0),MATCH(Structure!$D$22,$KA$14:$KZ$14,0))))</f>
        <v/>
      </c>
      <c r="CP111" s="239" t="str">
        <f>IF(A111=FALSE,"",IF(ALLTHESAME=TRUE,INDEX(LA111:LZ111,MATCH(LC111,LC111:LC216,0),MATCH(Structure!$D$22,$LA$14:$LZ$14,0)),INDEX(MA111:MZ111,MATCH(MC111,MC111:MC216,0),MATCH(Structure!$D$22,$MA$14:$MZ$14,0))))</f>
        <v/>
      </c>
      <c r="CQ111" s="239" t="str">
        <f>IF(A111=FALSE,"",IF(ALLTHESAME=TRUE,INDEX(NA111:NZ111,MATCH(NC111,NC111:NC216,0),MATCH(Structure!$D$22,$NA$14:$NZ$14,0)),INDEX(OA111:OZ111,MATCH(OC111,OC111:OC216,0),MATCH(Structure!$D$22,$OA$14:$OZ$14,0))))</f>
        <v/>
      </c>
      <c r="CR111" s="239" t="str">
        <f>IF(A111=FALSE,"",IF(ALLTHESAME=TRUE,INDEX(PA111:PZ111,MATCH(PC111,PC111:PC216,0),MATCH(Structure!$D$22,$PA$14:$PZ$14,0)),INDEX(QA111:QZ111,MATCH(QC111,QC111:QC216,0),MATCH(Structure!$D$22,$QA$14:$QZ$14,0))))</f>
        <v/>
      </c>
      <c r="CS111" s="341" t="str">
        <f>IF(A111=FALSE,"",IF(ALLTHESAME=TRUE,INDEX(RA111:RZ111,MATCH(RC111,RC111:RC216,0),MATCH(Structure!$D$22,$RA$14:$RZ$14,0)),INDEX(SA111:TC111,MATCH(SC111,SC111:SC216,0),MATCH(Structure!$D$22,$SA$14:$TC$14,0))))</f>
        <v/>
      </c>
      <c r="CT111" s="347"/>
      <c r="CU111" s="239" t="str">
        <f t="shared" ref="CU111:CU120" si="865">IF(A111=FALSE,"",SUM(CV111:DC111))</f>
        <v/>
      </c>
      <c r="CV111" s="239" t="str">
        <f>IF(A111=FALSE,"",IF(ALLTHESAME=TRUE,INDEX(DD111:DZ111,MATCH(DF111,DF111:DF216,0),MATCH(Structure!$D$8,$DD$14:$DZ$14,0)),INDEX(EA111:EZ111,MATCH(EC111,EC111:EC216,0),MATCH(Structure!$D$8,$EA$14:$EZ$14,0))))</f>
        <v/>
      </c>
      <c r="CW111" s="239" t="str">
        <f>IF(A111=FALSE,"",IF(ALLTHESAME=TRUE,INDEX(FA111:FZ111,MATCH(FC111,FC111:FC216,0),MATCH(Structure!$D$8,$FA$14:$FZ$14,0)),INDEX(GA111:GZ111,MATCH(GC111,GC111:GC216,0),MATCH(Structure!$D$8,$GA$14:$GZ$14,0))))</f>
        <v/>
      </c>
      <c r="CX111" s="239" t="str">
        <f>IF(A111=FALSE,"",IF(ALLTHESAME=TRUE,INDEX(HA111:HZ111,MATCH(HC111,HC111:HC216,0),MATCH(Structure!$D$8,$HA$14:$HZ$14,0)),INDEX(IA111:IZ111,MATCH(IC111,IC111:IC216,0),MATCH(Structure!$D$8,$IA$14:$IZ$14,0))))</f>
        <v/>
      </c>
      <c r="CY111" s="239" t="str">
        <f>IF(A111=FALSE,"",IF(ALLTHESAME=TRUE,INDEX(JA111:JZ111,MATCH(JC111,JC111:JC216,0),MATCH(Structure!$D$8,$JA$14:$JZ$14,0)),INDEX(KA111:KZ111,MATCH(KC111,KC111:KC216,0),MATCH(Structure!$D$8,$KA$14:$KZ$14,0))))</f>
        <v/>
      </c>
      <c r="CZ111" s="239" t="str">
        <f>IF(A111=FALSE,"",IF(ALLTHESAME=TRUE,INDEX(LA111:LZ111,MATCH(LC111,LC111:LC216,0),MATCH(Structure!$D$8,$LA$14:$LZ$14,0)),INDEX(MA111:MZ111,MATCH(MC111,MC111:MC216,0),MATCH(Structure!$D$8,$MA$14:$MZ$14,0))))</f>
        <v/>
      </c>
      <c r="DA111" s="239" t="str">
        <f>IF(A111=FALSE,"",IF(ALLTHESAME=TRUE,INDEX(NA111:NZ111,MATCH(NC111,NC111:NC216,0),MATCH(Structure!$D$8,$NA$14:$NZ$14,0)),INDEX(OA111:OZ111,MATCH(OC111,OC111:OC216,0),MATCH(Structure!$D$8,$OA$14:$OZ$14,0))))</f>
        <v/>
      </c>
      <c r="DB111" s="239" t="str">
        <f>IF(A111=FALSE,"",IF(ALLTHESAME=TRUE,INDEX(PA111:PZ111,MATCH(PC111,PC111:PC216,0),MATCH(Structure!$D$8,$PA$14:$PZ$14,0)),INDEX(QA111:QZ111,MATCH(QC111,QC111:QC216,0),MATCH(Structure!$D$8,$QA$14:$QZ$14,0))))</f>
        <v/>
      </c>
      <c r="DC111" s="341" t="str">
        <f>IF(A111=FALSE,"",IF(ALLTHESAME=TRUE,INDEX(RA111:RZ111,MATCH(RC111,RC111:RC216,0),MATCH(Structure!$D$8,$RA$14:$RZ$14,0)),INDEX(SA111:TC111,MATCH(SC111,SC111:SC216,0),MATCH(Structure!$D$8,$SA$14:$TC$14,0))))</f>
        <v/>
      </c>
      <c r="DD111" s="492" t="str">
        <f>IF(A111=FALSE,"",Cotations!D111)</f>
        <v/>
      </c>
      <c r="DE111" s="492" t="str">
        <f>IF(A111=FALSE,"",IF(LISTES!$A$17=1,Cotations!AF111,Cotations!$AG$4))</f>
        <v/>
      </c>
      <c r="DF111" s="291" t="str">
        <f t="shared" ref="DF111:DF120" si="866">IF(A111=FALSE,"",INDEX(colAssureur,MATCH(DE111,colchoice,0)))</f>
        <v/>
      </c>
      <c r="DG111" s="291" t="str">
        <f t="shared" ref="DG111:DG120" si="867">IF(A111=FALSE,"",INDEX(colProduct,MATCH(DE111,colchoice,0)))</f>
        <v/>
      </c>
      <c r="DH111" s="291"/>
      <c r="DI111" s="463"/>
      <c r="DJ111" s="463" t="str">
        <f t="shared" ref="DJ111:DJ120" si="868">IF(A111=FALSE,"",INDEX(colRatesHT,MATCH(DE111,colchoice,0)))</f>
        <v/>
      </c>
      <c r="DK111" s="522" t="str">
        <f>IF(A111=FALSE,"",IF(Cotations!$AH$4="monthly",DJ111/12*L111,DJ111/365*M111))</f>
        <v/>
      </c>
      <c r="DL111" s="489" t="str">
        <f>IF(A111=FALSE,"",Cotations!$AI$4)</f>
        <v/>
      </c>
      <c r="DM111" s="300" t="str">
        <f t="shared" ref="DM111:DM120" si="869">IF(A111=FALSE,"",DK111*DL111)</f>
        <v/>
      </c>
      <c r="DN111" s="300" t="str">
        <f t="shared" ref="DN111:DN120" si="870">IF(A111=FALSE,"",DK111-DM111)</f>
        <v/>
      </c>
      <c r="DO111" s="294" t="str">
        <f t="shared" ref="DO111:DO120" si="871">IF(A111=FALSE,"",DN111*TAXE)</f>
        <v/>
      </c>
      <c r="DP111" s="494" t="str">
        <f>IF(A111=FALSE,"",Cotations!$AJ$4)</f>
        <v/>
      </c>
      <c r="DQ111" s="494" t="str">
        <f>IF(A111=FALSE,"",Cotations!$AK$4)</f>
        <v/>
      </c>
      <c r="DR111" s="489" t="str">
        <f>IF(A111=FALSE,"",Cotations!$AL$4)</f>
        <v/>
      </c>
      <c r="DS111" s="494" t="str">
        <f>IF(A111=FALSE,"",IF(DP111="N/A",0,IF(INDEX(LISTES!$F$105:$F$109,MATCH(DP111,LISTES!$C$105:$C$109,0))="FIX",IF(INDEX(LISTES!$E$105:$E$109,MATCH(DP111,LISTES!$C$105:$C$109,0))=12,DQ111/12*L111,DQ111/365*M111),DR111*DO111)))</f>
        <v/>
      </c>
      <c r="DT111" s="294" t="str">
        <f t="shared" ref="DT111:DT120" si="872">IF(A111=FALSE,"",DO111+DS111)</f>
        <v/>
      </c>
      <c r="DU111" s="294" t="str">
        <f>IF(A111=FALSE,"",DT111*Cotations!$AM$4)</f>
        <v/>
      </c>
      <c r="DV111" s="294" t="str">
        <f>IF(A111=FALSE,"",DT111*Cotations!$AN$4)</f>
        <v/>
      </c>
      <c r="DW111" s="465" t="str">
        <f t="shared" ref="DW111:DW120" si="873">IF(A111=FALSE,"",INDEX(colCurrency,MATCH(DE111,colchoice,0)))</f>
        <v/>
      </c>
      <c r="DX111" s="919" t="str">
        <f>IF(A111=FALSE,"",((DJ111*TAXE)-(DJ111*TAXE*DL111))+IF(DP111="N/A",0,IF(INDEX(LISTES!$F$105:$F$109,MATCH(DP111,LISTES!$C$105:$C$109,0))="FIX",DQ111,DR111*DO111)))</f>
        <v/>
      </c>
      <c r="DY111" s="466"/>
      <c r="DZ111" s="466"/>
      <c r="EA111" s="492" t="str">
        <f>IF(A111=FALSE,"",Cotations!D111)</f>
        <v/>
      </c>
      <c r="EB111" s="494" t="str">
        <f>IF(A111=FALSE,"",IF(LISTES!$A$17=1,Cotations!AF111,Cotations!AG111))</f>
        <v/>
      </c>
      <c r="EC111" s="284" t="str">
        <f t="shared" ref="EC111:EC120" si="874">IF(A111=FALSE,"",INDEX(colAssureur,MATCH(EB111,colchoice,0)))</f>
        <v/>
      </c>
      <c r="ED111" s="284" t="str">
        <f t="shared" ref="ED111:ED120" si="875">IF(A111=FALSE,"",IF(N111="","",INDEX(colProduct,MATCH(EB111,colchoice,0))))</f>
        <v/>
      </c>
      <c r="EE111" s="284"/>
      <c r="EF111" s="284"/>
      <c r="EG111" s="284" t="str">
        <f t="shared" ref="EG111:EG120" si="876">IF(A111=FALSE,"",INDEX(colRatesHT,MATCH(EB111,colchoice,0)))</f>
        <v/>
      </c>
      <c r="EH111" s="1365" t="str">
        <f t="shared" ref="EH111:EH120" si="877">IF(A111=FALSE,"",INDEX(colSURCOM,MATCH(EB111,colchoice,0)))</f>
        <v/>
      </c>
      <c r="EI111" s="1365" t="str">
        <f t="shared" ref="EI111:EI120" si="878">IF(A111=FALSE,"",INDEX(colRatesHTsurcom,MATCH(EB111,colchoice,0)))</f>
        <v/>
      </c>
      <c r="EJ111" s="515" t="str">
        <f>IF(A111=FALSE,"",IF(Cotations!AH111="monthly",EG111/12*L111,EG111/365*M111))</f>
        <v/>
      </c>
      <c r="EK111" s="1364" t="str">
        <f>IF(A111=FALSE,"",IF(Cotations!AH111="monthly",EI111/12*L111,EI111/365*M111))</f>
        <v/>
      </c>
      <c r="EL111" s="493" t="str">
        <f>IF(A111=FALSE,"",IF(Cotations!AI111="","",Cotations!AI111))</f>
        <v/>
      </c>
      <c r="EM111" s="284" t="str">
        <f t="shared" ref="EM111:EM120" si="879">IF(A111=FALSE,"",EJ111*EL111)</f>
        <v/>
      </c>
      <c r="EN111" s="284" t="str">
        <f t="shared" ref="EN111:EN120" si="880">IF(A111=FALSE,"",EJ111-EM111)</f>
        <v/>
      </c>
      <c r="EO111" s="1365" t="str">
        <f t="shared" si="840"/>
        <v/>
      </c>
      <c r="EP111" s="284" t="str">
        <f t="shared" ref="EP111:EP120" si="881">IF(A111=FALSE,"",(EN111*TAXE)+EO111)</f>
        <v/>
      </c>
      <c r="EQ111" s="515" t="str">
        <f>IF(A111=FALSE,"",Cotations!AJ111)</f>
        <v/>
      </c>
      <c r="ER111" s="515" t="str">
        <f>IF(A111=FALSE,"",IF(Cotations!AK111="","",Cotations!AK111))</f>
        <v/>
      </c>
      <c r="ES111" s="493" t="str">
        <f>IF(A111=FALSE,"",Cotations!AL111)</f>
        <v/>
      </c>
      <c r="ET111" s="515" t="str">
        <f>IF(A111=FALSE,"",IF(EQ111="N/A",0,IF(INDEX(LISTES!$F$105:$F$109,MATCH(EQ111,LISTES!$C$105:$C$109,0))="FIX",IF(INDEX(LISTES!$E$105:$E$109,MATCH(EQ111,LISTES!$C$105:$C$109,0))=12,ER111/12*L111,ER111/365*M111),ES111*EP111)))</f>
        <v/>
      </c>
      <c r="EU111" s="294" t="str">
        <f t="shared" ref="EU111:EU120" si="882">IF(A111=FALSE,"",EP111+ET111)</f>
        <v/>
      </c>
      <c r="EV111" s="494" t="str">
        <f>IF(A111=FALSE,"",EU111*Cotations!AM111)</f>
        <v/>
      </c>
      <c r="EW111" s="494" t="str">
        <f>IF(A111=FALSE,"",EU111*Cotations!AN111)</f>
        <v/>
      </c>
      <c r="EX111" s="334" t="str">
        <f t="shared" ref="EX111:EX120" si="883">IF(A111=FALSE,"",INDEX(colCurrency,MATCH(EB111,colchoice,0)))</f>
        <v/>
      </c>
      <c r="EY111" s="919" t="str">
        <f>IF(A111=FALSE,"",((EG111*TAXE)-(EG111*TAXE*EL111)+EH111)+IF(EQ111="N/A",0,IF(INDEX(LISTES!$F$105:$F$109,MATCH(EQ111,LISTES!$C$105:$C$109,0))="FIX",ER111,ES111*EP111)))</f>
        <v/>
      </c>
      <c r="FA111" s="492" t="str">
        <f>IF(A111=FALSE,"",Cotations!D111)</f>
        <v/>
      </c>
      <c r="FB111" s="519" t="str">
        <f>IF(A111=FALSE,"",IF(LISTES!$A$17=1,Cotations!AO111,Cotations!$AP$4))</f>
        <v/>
      </c>
      <c r="FC111" s="291" t="str">
        <f t="shared" ref="FC111:FC120" si="884">IF(A111=FALSE,"",INDEX(colAssureur,MATCH(FB111,colchoice,0)))</f>
        <v/>
      </c>
      <c r="FD111" s="291" t="str">
        <f t="shared" ref="FD111:FD120" si="885">IF(A111=FALSE,"",INDEX(colProduct,MATCH(FB111,colchoice,0)))</f>
        <v/>
      </c>
      <c r="FE111" s="291"/>
      <c r="FF111" s="463"/>
      <c r="FG111" s="463" t="str">
        <f t="shared" ref="FG111:FG120" si="886">IF(A111=FALSE,"",INDEX(colRatesHT,MATCH(FB111,colchoice,0)))</f>
        <v/>
      </c>
      <c r="FH111" s="522" t="str">
        <f>IF(A111=FALSE,"",IF(Cotations!$AQ$4="monthly",FG111/12*L111,FG111/365*M111))</f>
        <v/>
      </c>
      <c r="FI111" s="453" t="str">
        <f>IF(A111=FALSE,"",Cotations!$AR$4)</f>
        <v/>
      </c>
      <c r="FJ111" s="300" t="str">
        <f t="shared" ref="FJ111:FJ120" si="887">IF(A111=FALSE,"",FH111*FI111)</f>
        <v/>
      </c>
      <c r="FK111" s="300" t="str">
        <f t="shared" ref="FK111:FK120" si="888">IF(A111=FALSE,"",FH111-FJ111)</f>
        <v/>
      </c>
      <c r="FL111" s="294" t="str">
        <f t="shared" ref="FL111:FL120" si="889">IF(A111=FALSE,"",FK111*TAXE)</f>
        <v/>
      </c>
      <c r="FM111" s="494" t="str">
        <f>IF(A111=FALSE,"",Cotations!$AS$4)</f>
        <v/>
      </c>
      <c r="FN111" s="494" t="str">
        <f>IF(A111=FALSE,"",Cotations!$AT$4)</f>
        <v/>
      </c>
      <c r="FO111" s="489" t="str">
        <f>IF(A111=FALSE,"",Cotations!$AU$4)</f>
        <v/>
      </c>
      <c r="FP111" s="494" t="str">
        <f>IF(A111=FALSE,"",IF(FM111="N/A",0,IF(INDEX(LISTES!$F$105:$F$109,MATCH(FM111,LISTES!$C$105:$C$109,0))="FIX",IF(INDEX(LISTES!$E$105:$E$109,MATCH(FM111,LISTES!$C$105:$C$109,0))=12,FN111/12*L111,FN111/365*M111),FO111*FL111)))</f>
        <v/>
      </c>
      <c r="FQ111" s="294" t="str">
        <f t="shared" ref="FQ111:FQ120" si="890">IF(A111=FALSE,"",FL111+FP111)</f>
        <v/>
      </c>
      <c r="FR111" s="494" t="str">
        <f>IF(A111=FALSE,"",FQ111*Cotations!$AV$4)</f>
        <v/>
      </c>
      <c r="FS111" s="494" t="str">
        <f>IF(A111=FALSE,"",FQ111*Cotations!$AW$4)</f>
        <v/>
      </c>
      <c r="FT111" s="465" t="str">
        <f t="shared" ref="FT111:FT120" si="891">IF(A111=FALSE,"",INDEX(colCurrency,MATCH(FB111,colchoice,0)))</f>
        <v/>
      </c>
      <c r="FU111" s="919" t="str">
        <f>IF(A111=FALSE,"",((FG111*TAXE)-(FG111*TAXE*FI111))+IF(FM111="N/A",0,IF(INDEX(LISTES!$F$105:$F$109,MATCH(FM111,LISTES!$C$105:$C$109,0))="FIX",FN111,FO111*FL111)))</f>
        <v/>
      </c>
      <c r="FV111" s="478"/>
      <c r="FW111" s="478"/>
      <c r="FX111" s="478"/>
      <c r="FY111" s="478"/>
      <c r="FZ111" s="478"/>
      <c r="GA111" s="492" t="str">
        <f>IF(A111=FALSE,"",Cotations!D111)</f>
        <v/>
      </c>
      <c r="GB111" s="494" t="str">
        <f>IF(A111=FALSE,"",IF(LISTES!$A$17=1,Cotations!AO111,Cotations!AP111))</f>
        <v/>
      </c>
      <c r="GC111" s="284" t="str">
        <f t="shared" ref="GC111:GC120" si="892">IF(A111=FALSE,"",INDEX(colAssureur,MATCH(GB111,colchoice,0)))</f>
        <v/>
      </c>
      <c r="GD111" s="515" t="str">
        <f>IF(A111=FALSE,"",IF(Detail!AM111="","",Detail!AM111))</f>
        <v/>
      </c>
      <c r="GE111" s="284"/>
      <c r="GF111" s="284"/>
      <c r="GG111" s="284" t="str">
        <f t="shared" ref="GG111:GG120" si="893">IF(A111=FALSE,"",INDEX(colRatesHT,MATCH(GB111,colchoice,0)))</f>
        <v/>
      </c>
      <c r="GH111" s="515" t="str">
        <f>IF(A111=FALSE,"",IF(Cotations!AQ111="monthly",GG111/12*L111,GG111/365*M111))</f>
        <v/>
      </c>
      <c r="GI111" s="493" t="str">
        <f>IF(A111=FALSE,"",IF(Cotations!AR111="","",Cotations!AR111))</f>
        <v/>
      </c>
      <c r="GJ111" s="284" t="str">
        <f t="shared" ref="GJ111:GJ120" si="894">IF(A111=FALSE,"",GH111*GI111)</f>
        <v/>
      </c>
      <c r="GK111" s="284" t="str">
        <f t="shared" ref="GK111:GK120" si="895">IF(A111=FALSE,"",GH111-GJ111)</f>
        <v/>
      </c>
      <c r="GL111" s="284" t="str">
        <f t="shared" ref="GL111:GL120" si="896">IF(A111=FALSE,"",GK111*TAXE)</f>
        <v/>
      </c>
      <c r="GM111" s="515" t="str">
        <f>IF(A111=FALSE,"",Cotations!AS111)</f>
        <v/>
      </c>
      <c r="GN111" s="515" t="str">
        <f>IF(A111=FALSE,"",Cotations!AT111)</f>
        <v/>
      </c>
      <c r="GO111" s="493" t="str">
        <f>IF(A111=FALSE,"",Cotations!AU111)</f>
        <v/>
      </c>
      <c r="GP111" s="515" t="str">
        <f>IF(A111=FALSE,"",IF(GM111="N/A",0,IF(INDEX(LISTES!$F$105:$F$109,MATCH(GM111,LISTES!$C$105:$C$109,0))="FIX",IF(INDEX(LISTES!$E$105:$E$109,MATCH(GM111,LISTES!$C$105:$C$109,0))=12,GN111/12*L111,GN111/365*M111),GO111*GL111)))</f>
        <v/>
      </c>
      <c r="GQ111" s="294" t="str">
        <f t="shared" ref="GQ111:GQ120" si="897">IF(A111=FALSE,"",GL111+GP111)</f>
        <v/>
      </c>
      <c r="GR111" s="494" t="str">
        <f>IF(A111=FALSE,"",GQ111*Cotations!AV111)</f>
        <v/>
      </c>
      <c r="GS111" s="494" t="str">
        <f>IF(A111=FALSE,"",GQ111*Cotations!AW111)</f>
        <v/>
      </c>
      <c r="GT111" s="334" t="str">
        <f t="shared" ref="GT111:GT120" si="898">IF(A111=FALSE,"",INDEX(colCurrency,MATCH(GB111,colchoice,0)))</f>
        <v/>
      </c>
      <c r="GU111" s="919" t="str">
        <f>IF(A111=FALSE,"",((GG111*TAXE)-(GG111*TAXE*GI111))+IF(GM111="N/A",0,IF(INDEX(LISTES!$F$105:$F$109,MATCH(GM111,LISTES!$C$105:$C$109,0))="FIX",GN111,GO111*GL111)))</f>
        <v/>
      </c>
      <c r="GV111" s="478"/>
      <c r="GW111" s="466"/>
      <c r="GX111" s="466"/>
      <c r="GY111" s="466"/>
      <c r="GZ111" s="466"/>
      <c r="HA111" s="492" t="str">
        <f>IF(A111=FALSE,"",Cotations!D111)</f>
        <v/>
      </c>
      <c r="HB111" s="495" t="str">
        <f>IF(A111=FALSE,"",IF(LISTES!$A$17=1,Cotations!AX111,Cotations!$AY$4))</f>
        <v/>
      </c>
      <c r="HC111" s="291" t="str">
        <f t="shared" ref="HC111:HC120" si="899">IF(A111=FALSE,"",INDEX(colAssureur,MATCH(HB111,colchoice,0)))</f>
        <v/>
      </c>
      <c r="HD111" s="291" t="str">
        <f t="shared" ref="HD111:HD120" si="900">IF(A111=FALSE,"",INDEX(colProduct,MATCH(HB111,colchoice,0)))</f>
        <v/>
      </c>
      <c r="HE111" s="456" t="str">
        <f t="shared" ref="HE111:HE120" si="901">IF(A111=FALSE,"",IF(HA111="POEA",$HA$2,INDEX(colRatesHT,MATCH(HB111,colchoice,0))))</f>
        <v/>
      </c>
      <c r="HF111" s="496" t="str">
        <f>IF(A111=FALSE,"",IF(HA111="POEA",Cotations!BA111,IF(HA111="FIXE",Cotations!$BA$4,Cotations!$BC$4*Y111)))</f>
        <v/>
      </c>
      <c r="HG111" s="300" t="str">
        <f t="shared" ref="HG111:HG120" si="902">IF(A111=FALSE,"",IF(HB111="N/A",0,IF(HA111="POEA",HF111*$HA$2,HF111*HE111)))</f>
        <v/>
      </c>
      <c r="HH111" s="522" t="str">
        <f>IF(A111=FALSE,"",IF(Cotations!$AZ$4="monthly",HG111/12*L111,HG111/365*M111))</f>
        <v/>
      </c>
      <c r="HI111" s="489" t="str">
        <f>IF(A111=FALSE,"",Cotations!$BD$4)</f>
        <v/>
      </c>
      <c r="HJ111" s="300" t="str">
        <f t="shared" ref="HJ111:HJ120" si="903">IF(A111=FALSE,"",HH111*HI111)</f>
        <v/>
      </c>
      <c r="HK111" s="300" t="str">
        <f t="shared" ref="HK111:HK120" si="904">IF(A111=FALSE,"",HH111-HJ111)</f>
        <v/>
      </c>
      <c r="HL111" s="294" t="str">
        <f t="shared" ref="HL111:HL120" si="905">IF(A111=FALSE,"",HK111*TAXE)</f>
        <v/>
      </c>
      <c r="HM111" s="494" t="str">
        <f>IF(A111=FALSE,"",Cotations!$BE$4)</f>
        <v/>
      </c>
      <c r="HN111" s="522" t="str">
        <f>IF(A111=FALSE,"",Cotations!$BF$4)</f>
        <v/>
      </c>
      <c r="HO111" s="489" t="str">
        <f>IF(A111=FALSE,"",Cotations!$BG$4)</f>
        <v/>
      </c>
      <c r="HP111" s="494" t="str">
        <f>IF(A111=FALSE,"",IF(HM111="N/A",0,IF(INDEX(LISTES!$F$105:$F$109,MATCH(HM111,LISTES!$C$105:$C$109,0))="FIX",IF(INDEX(LISTES!$E$105:$E$109,MATCH(HM111,LISTES!$C$105:$C$109,0))=12,HN111/12*L111,HN111/365*M111),HO111*HL111)))</f>
        <v/>
      </c>
      <c r="HQ111" s="294" t="str">
        <f t="shared" ref="HQ111:HQ120" si="906">IF(A111=FALSE,"",HL111+HP111)</f>
        <v/>
      </c>
      <c r="HR111" s="494" t="str">
        <f>IF(A111=FALSE,"",HQ111*Cotations!$BH$4)</f>
        <v/>
      </c>
      <c r="HS111" s="494" t="str">
        <f>IF(A111=FALSE,"",HQ111*Cotations!$BI$4)</f>
        <v/>
      </c>
      <c r="HT111" s="294" t="str">
        <f t="shared" ref="HT111:HT120" si="907">IF(A111=FALSE,"",INDEX(colCurrency,MATCH(HB111,colchoice,0)))</f>
        <v/>
      </c>
      <c r="HU111" s="919" t="str">
        <f>IF(A111=FALSE,"",((HG111*TAXE)-(HG111*TAXE*HI111))+IF(HM111="N/A",0,IF(INDEX(LISTES!$F$105:$F$109,MATCH(HM111,LISTES!$C$105:$C$109,0))="FIX",HN111,HO111*HL111)))</f>
        <v/>
      </c>
      <c r="IA111" s="492" t="str">
        <f>IF(A111=FALSE,"",Cotations!D111)</f>
        <v/>
      </c>
      <c r="IB111" s="491" t="str">
        <f>IF(A111=FALSE,"",IF(LISTES!$A$17=1,Cotations!AX111,Cotations!AY111))</f>
        <v/>
      </c>
      <c r="IC111" s="285" t="str">
        <f t="shared" ref="IC111:IC120" si="908">IF(A111=FALSE,"",INDEX(colAssureur,MATCH(IB111,colchoice,0)))</f>
        <v/>
      </c>
      <c r="ID111" s="300" t="str">
        <f>IF(A111=FALSE,"",IF(LISTES!$A$17=3,Detail!AU111,lig1_Formula_PREVOY))</f>
        <v/>
      </c>
      <c r="IE111" s="461" t="str">
        <f t="shared" ref="IE111:IE120" si="909">IF(A111=FALSE,"",IF(IA111="POEA",$IA$2,INDEX(colRatesHT,MATCH(IB111,colchoice,0))))</f>
        <v/>
      </c>
      <c r="IF111" s="490" t="str">
        <f>IF(A111=FALSE,"",IF(IA111="POEA",Cotations!BA111,IF(HA111="FIXE",Cotations!BB111,IF(Cotations!BC111*Y111&lt;50000,Z111,Cotations!BC111*Y111))))</f>
        <v/>
      </c>
      <c r="IG111" s="300" t="str">
        <f t="shared" ref="IG111:IG120" si="910">IF(A111=FALSE,"",IF(IB111="N/A",0,IF111*IE111))</f>
        <v/>
      </c>
      <c r="IH111" s="522" t="str">
        <f>IF(A111=FALSE,"",IF(Cotations!AZ111="monthly",IG111/12*L111,IG111/365*M111))</f>
        <v/>
      </c>
      <c r="II111" s="489" t="str">
        <f>IF(A111=FALSE,"",IF(Cotations!BD111="","",Cotations!BD111))</f>
        <v/>
      </c>
      <c r="IJ111" s="300" t="str">
        <f t="shared" ref="IJ111:IJ120" si="911">IF(A111=FALSE,"",IH111*II111)</f>
        <v/>
      </c>
      <c r="IK111" s="300" t="str">
        <f t="shared" ref="IK111:IK120" si="912">IF(A111=FALSE,"",IH111-IJ111)</f>
        <v/>
      </c>
      <c r="IL111" s="919" t="str">
        <f t="shared" ref="IL111:IL120" si="913">IF(A111=FALSE,"",IK111*TAXE)</f>
        <v/>
      </c>
      <c r="IM111" s="517" t="str">
        <f>IF(A111=FALSE,"",Cotations!BE111)</f>
        <v/>
      </c>
      <c r="IN111" s="517" t="str">
        <f>IF(A111=FALSE,"",Cotations!BF111)</f>
        <v/>
      </c>
      <c r="IO111" s="493" t="str">
        <f>IF(A111=FALSE,"",Cotations!BG111)</f>
        <v/>
      </c>
      <c r="IP111" s="517" t="str">
        <f>IF(A111=FALSE,"",IF(IM111="N/A",0,IF(INDEX(LISTES!$F$105:$F$109,MATCH(IM111,LISTES!$C$105:$C$109,0))="FIX",IF(INDEX(LISTES!$E$105:$E$109,MATCH(IM111,LISTES!$C$105:$C$109,0))=12,IN111/12*L111,IN111/365*M111),IO111*IL111)))</f>
        <v/>
      </c>
      <c r="IQ111" s="294" t="str">
        <f t="shared" ref="IQ111:IQ120" si="914">IF(A111=FALSE,"",IL111+IP111)</f>
        <v/>
      </c>
      <c r="IR111" s="494" t="str">
        <f>IF(A111=FALSE,"",IQ111*Cotations!BH111)</f>
        <v/>
      </c>
      <c r="IS111" s="494" t="str">
        <f>IF(A111=FALSE,"",IQ111*Cotations!BI111)</f>
        <v/>
      </c>
      <c r="IT111" s="338" t="str">
        <f t="shared" ref="IT111:IT120" si="915">IF(A111=FALSE,"",INDEX(colCurrency,MATCH(IB111,colchoice,0)))</f>
        <v/>
      </c>
      <c r="IU111" s="919" t="str">
        <f>IF(A111=FALSE,"",((IG111*TAXE)-(IG111*TAXE*II111))+IF(IM111="N/A",0,IF(INDEX(LISTES!$F$105:$F$109,MATCH(IM111,LISTES!$C$105:$C$109,0))="FIX",IN111,IO111*IL111)))</f>
        <v/>
      </c>
      <c r="JA111" s="492" t="str">
        <f>IF(A111=FALSE,"",Cotations!D111)</f>
        <v/>
      </c>
      <c r="JB111" s="495" t="str">
        <f>IF(A111=FALSE,"",IF(LISTES!$A$17=1,Cotations!BJ111,Cotations!$BK$4))</f>
        <v/>
      </c>
      <c r="JC111" s="291" t="str">
        <f t="shared" ref="JC111:JC120" si="916">IF(A111=FALSE,"",INDEX(colAssureur,MATCH(JB111,colchoice,0)))</f>
        <v/>
      </c>
      <c r="JD111" s="291" t="str">
        <f t="shared" ref="JD111:JD120" si="917">IF(A111=FALSE,"",INDEX(colProduct,MATCH(JB111,colchoice,0)))</f>
        <v/>
      </c>
      <c r="JE111" s="456" t="str">
        <f t="shared" ref="JE111:JE120" si="918">IF(A111=FALSE,"",IF(JA111="POEA",$JA$2,INDEX(colRatesHT,MATCH(JB111,colchoice,0))))</f>
        <v/>
      </c>
      <c r="JF111" s="496" t="str">
        <f>IF(A111=FALSE,"",IF(JA111="POEA",Cotations!BM111,IF(JA111="FIXE",Cotations!$BM$4,Cotations!$BO$4*Y111)))</f>
        <v/>
      </c>
      <c r="JG111" s="300" t="str">
        <f t="shared" ref="JG111:JG120" si="919">IF(A111=FALSE,"",IF(JB111="N/A",0,IF(JA111="POEA",JF111*$JA$2,JF111*JE111)))</f>
        <v/>
      </c>
      <c r="JH111" s="522" t="str">
        <f>IF(A111=FALSE,"",IF(Cotations!$BL$4="monthly",JG111/12*L111,JG111/365*M111))</f>
        <v/>
      </c>
      <c r="JI111" s="489" t="str">
        <f>IF(A111=FALSE,"",Cotations!$BP$4)</f>
        <v/>
      </c>
      <c r="JJ111" s="300" t="str">
        <f t="shared" ref="JJ111:JJ120" si="920">IF(A111=FALSE,"",JH111*JI111)</f>
        <v/>
      </c>
      <c r="JK111" s="300" t="str">
        <f t="shared" ref="JK111:JK120" si="921">IF(A111=FALSE,"",JH111-JJ111)</f>
        <v/>
      </c>
      <c r="JL111" s="294" t="str">
        <f t="shared" ref="JL111:JL120" si="922">IF(A111=FALSE,"",JK111*TAXE)</f>
        <v/>
      </c>
      <c r="JM111" s="494" t="str">
        <f>IF(A111=FALSE,"",Cotations!$BQ$4)</f>
        <v/>
      </c>
      <c r="JN111" s="522" t="str">
        <f>IF(A111=FALSE,"",Cotations!$BR$4)</f>
        <v/>
      </c>
      <c r="JO111" s="489" t="str">
        <f>IF(A111=FALSE,"",Cotations!$BS$4)</f>
        <v/>
      </c>
      <c r="JP111" s="494" t="str">
        <f>IF(A111=FALSE,"",IF(JM111="N/A",0,IF(INDEX(LISTES!$F$105:$F$109,MATCH(JM111,LISTES!$C$105:$C$109,0))="FIX",IF(INDEX(LISTES!$E$105:$E$109,MATCH(JM111,LISTES!$C$105:$C$109,0))=12,JN111/12*L111,JN111/365*M111),JO111*JL111)))</f>
        <v/>
      </c>
      <c r="JQ111" s="294" t="str">
        <f t="shared" ref="JQ111:JQ120" si="923">IF(A111=FALSE,"",JL111+JP111)</f>
        <v/>
      </c>
      <c r="JR111" s="494" t="str">
        <f>IF(A111=FALSE,"",JQ111*Cotations!$BT$4)</f>
        <v/>
      </c>
      <c r="JS111" s="494" t="str">
        <f>IF(A111=FALSE,"",JQ111*Cotations!$BU$4)</f>
        <v/>
      </c>
      <c r="JT111" s="294" t="str">
        <f t="shared" ref="JT111:JT120" si="924">IF(A111=FALSE,"",INDEX(colCurrency,MATCH(JB111,colchoice,0)))</f>
        <v/>
      </c>
      <c r="JU111" s="919" t="str">
        <f>IF(A111=FALSE,"",((JG111*TAXE)-(JG111*TAXE*JI111))+IF(JM111="N/A",0,IF(INDEX(LISTES!$F$105:$F$109,MATCH(JM111,LISTES!$C$105:$C$109,0))="FIX",JN111,JO111*JL111)))</f>
        <v/>
      </c>
      <c r="KA111" s="492" t="str">
        <f>IF(A111=FALSE,"",Cotations!D111)</f>
        <v/>
      </c>
      <c r="KB111" s="491" t="str">
        <f>IF(A111=FALSE,"",IF(LISTES!$A$17=1,Cotations!BJ111,Cotations!BK111))</f>
        <v/>
      </c>
      <c r="KC111" s="285" t="str">
        <f t="shared" ref="KC111:KC120" si="925">IF(A111=FALSE,"",INDEX(colAssureur,MATCH(KB111,colchoice,0)))</f>
        <v/>
      </c>
      <c r="KD111" s="300"/>
      <c r="KE111" s="461" t="str">
        <f t="shared" ref="KE111:KE120" si="926">IF(A111=FALSE,"",IF(KA111="POEA",$KA$2,INDEX(colRatesHT,MATCH(KB111,colchoice,0))))</f>
        <v/>
      </c>
      <c r="KF111" s="490" t="str">
        <f>IF(A111=FALSE,"",IF(KA111="POEA",Cotations!BM111,IF(KA111="FIXE",Cotations!BN111,IF(Cotations!BO111*Y111&lt;50000,Z111,Cotations!BO111*Y111))))</f>
        <v/>
      </c>
      <c r="KG111" s="300" t="str">
        <f t="shared" ref="KG111:KG120" si="927">IF(A111=FALSE,"",IF(KB111="N/A",0,KF111*INDEX(colRatesHT,MATCH(KB111,colchoice,0))))</f>
        <v/>
      </c>
      <c r="KH111" s="522" t="str">
        <f>IF(A111=FALSE,"",IF(Cotations!BL111="monthly",KG111/12*L111,KG111/365*M111))</f>
        <v/>
      </c>
      <c r="KI111" s="489" t="str">
        <f>IF(A111=FALSE,"",IF(Cotations!BP111="","",Cotations!BP111))</f>
        <v/>
      </c>
      <c r="KJ111" s="300" t="str">
        <f t="shared" ref="KJ111:KJ120" si="928">IF(A111=FALSE,"",KH111*KI111)</f>
        <v/>
      </c>
      <c r="KK111" s="300" t="str">
        <f t="shared" ref="KK111:KK120" si="929">IF(A111=FALSE,"",KH111-KJ111)</f>
        <v/>
      </c>
      <c r="KL111" s="919" t="str">
        <f t="shared" ref="KL111:KL120" si="930">IF(A111=FALSE,"",KK111*TAXE)</f>
        <v/>
      </c>
      <c r="KM111" s="517" t="str">
        <f>IF(A111=FALSE,"",Cotations!BQ111)</f>
        <v/>
      </c>
      <c r="KN111" s="515" t="str">
        <f>IF(A111=FALSE,"",Cotations!BR111)</f>
        <v/>
      </c>
      <c r="KO111" s="493" t="str">
        <f>IF(A111=FALSE,"",Cotations!BS111)</f>
        <v/>
      </c>
      <c r="KP111" s="517" t="str">
        <f>IF(A111=FALSE,"",IF(KM111="N/A",0,IF(INDEX(LISTES!$F$105:$F$109,MATCH(KM111,LISTES!$C$105:$C$109,0))="FIX",IF(INDEX(LISTES!$E$105:$E$109,MATCH(KM111,LISTES!$C$105:$C$109,0))=12,KN111/12*L111,KN111/365*M111),KO111*KL111)))</f>
        <v/>
      </c>
      <c r="KQ111" s="294" t="str">
        <f t="shared" ref="KQ111:KQ120" si="931">IF(A111=FALSE,"",KL111+KP111)</f>
        <v/>
      </c>
      <c r="KR111" s="494" t="str">
        <f>IF(A111=FALSE,"",KQ111*Cotations!BT111)</f>
        <v/>
      </c>
      <c r="KS111" s="494" t="str">
        <f>IF(A111=FALSE,"",KQ111*Cotations!BU111)</f>
        <v/>
      </c>
      <c r="KT111" s="338" t="str">
        <f t="shared" ref="KT111:KT120" si="932">IF(A111=FALSE,"",INDEX(colCurrency,MATCH(KB111,colchoice,0)))</f>
        <v/>
      </c>
      <c r="KU111" s="919" t="str">
        <f>IF(A111=FALSE,"",((KG111*TAXE)-(KG111*TAXE*KI111))+IF(KM111="N/A",0,IF(INDEX(LISTES!$F$105:$F$109,MATCH(KM111,LISTES!$C$105:$C$109,0))="FIX",KN111,KO111*KL111)))</f>
        <v/>
      </c>
      <c r="LA111" s="497" t="str">
        <f>IF(A111=FALSE,"",Cotations!D111)</f>
        <v/>
      </c>
      <c r="LB111" s="498" t="str">
        <f>IF(A111=FALSE,"",IF(LISTES!$A$17=1,Cotations!BV111,Cotations!$BW$4))</f>
        <v/>
      </c>
      <c r="LC111" s="499" t="str">
        <f t="shared" ref="LC111:LC120" si="933">IF(A111=FALSE,"",INDEX(colAssureur,MATCH(LB111,colchoice,0)))</f>
        <v/>
      </c>
      <c r="LD111" s="499" t="str">
        <f t="shared" ref="LD111:LD120" si="934">IF(A111=FALSE,"",INDEX(colProduct,MATCH(LB111,colchoice,0)))</f>
        <v/>
      </c>
      <c r="LE111" s="500" t="str">
        <f t="shared" ref="LE111:LE120" si="935">IF(A111=FALSE,"",IF(LA111="POEA",$KA$2,INDEX(colRatesHT,MATCH(LB111,colchoice,0))))</f>
        <v/>
      </c>
      <c r="LF111" s="501" t="str">
        <f>IF(A111=FALSE,"",IF(LA111="POEA",Cotations!EJ111,IF(LA111="FIXE",Cotations!$BY$4,Cotations!$CA$4*Y111)))</f>
        <v/>
      </c>
      <c r="LG111" s="502" t="str">
        <f t="shared" ref="LG111:LG120" si="936">IF(A111=FALSE,"",IF(LB111="N/A",0,IF(LA111="POEA",LF111*$LA$2,LF111*LE111)))</f>
        <v/>
      </c>
      <c r="LH111" s="520" t="str">
        <f>IF(A111=FALSE,"",IF(Cotations!$BX$4="monthly",LG111/12*L111,LG111/365*M111))</f>
        <v/>
      </c>
      <c r="LI111" s="503" t="str">
        <f>IF(A111=FALSE,"",Cotations!$CB$4)</f>
        <v/>
      </c>
      <c r="LJ111" s="502" t="str">
        <f t="shared" ref="LJ111:LJ120" si="937">IF(A111=FALSE,"",LH111*LI111)</f>
        <v/>
      </c>
      <c r="LK111" s="502" t="str">
        <f t="shared" ref="LK111:LK120" si="938">IF(A111=FALSE,"",LH111-LJ111)</f>
        <v/>
      </c>
      <c r="LL111" s="504" t="str">
        <f t="shared" ref="LL111:LL120" si="939">IF(A111=FALSE,"",LK111*TAXE)</f>
        <v/>
      </c>
      <c r="LM111" s="505" t="str">
        <f>IF(A111=FALSE,"",Cotations!$CC$4)</f>
        <v/>
      </c>
      <c r="LN111" s="503" t="str">
        <f>IF(A111=FALSE,"",Cotations!$CD$4)</f>
        <v/>
      </c>
      <c r="LO111" s="503" t="str">
        <f>IF(A111=FALSE,"",Cotations!$CE$4)</f>
        <v/>
      </c>
      <c r="LP111" s="505" t="str">
        <f>IF(A111=FALSE,"",IF(LM111="N/A",0,IF(INDEX(LISTES!$F$105:$F$109,MATCH(LM111,LISTES!$C$105:$C$109,0))="FIX",IF(INDEX(LISTES!$E$105:$E$109,MATCH(LM111,LISTES!$C$105:$C$109,0))=12,LN111/12*L111,LN111/365*M111),LO111*LL111)))</f>
        <v/>
      </c>
      <c r="LQ111" s="504" t="str">
        <f t="shared" ref="LQ111:LQ120" si="940">IF(A111=FALSE,"",LL111+LP111)</f>
        <v/>
      </c>
      <c r="LR111" s="505" t="str">
        <f>IF(A111=FALSE,"",LQ111*Cotations!$CF$4)</f>
        <v/>
      </c>
      <c r="LS111" s="505" t="str">
        <f>IF(A111=FALSE,"",LQ111*Cotations!$CG$4)</f>
        <v/>
      </c>
      <c r="LT111" s="506" t="str">
        <f t="shared" ref="LT111:LT120" si="941">IF(A111=FALSE,"",INDEX(colCurrency,MATCH(LB111,colchoice,0)))</f>
        <v/>
      </c>
      <c r="LU111" s="919" t="str">
        <f>IF(A111=FALSE,"",((LG111*TAXE)-(LG111*TAXE*LI111))+IF(LM111="N/A",0,IF(INDEX(LISTES!$F$105:$F$109,MATCH(LM111,LISTES!$C$105:$C$109,0))="FIX",LN111,LO111*LL111)))</f>
        <v/>
      </c>
      <c r="MA111" s="492" t="str">
        <f>IF(A111=FALSE,"",Cotations!D111)</f>
        <v/>
      </c>
      <c r="MB111" s="491" t="str">
        <f>IF(A111=FALSE,"",IF(LISTES!$A$17=1,Cotations!BV111,Cotations!BW111))</f>
        <v/>
      </c>
      <c r="MC111" s="285" t="str">
        <f t="shared" ref="MC111:MC120" si="942">IF(A111=FALSE,"",INDEX(colAssureur,MATCH(MB111,colchoice,0)))</f>
        <v/>
      </c>
      <c r="MD111" s="300"/>
      <c r="ME111" s="461" t="str">
        <f t="shared" ref="ME111:ME120" si="943">IF(A111=FALSE,"",IF(MA111="POEA",$MA$2,INDEX(colRatesHT,MATCH(MB111,colchoice,0))))</f>
        <v/>
      </c>
      <c r="MF111" s="490" t="str">
        <f>IF(A111=FALSE,"",IF(MA111="POEA",Cotations!BY111,IF(MA111="FIXE",Cotations!BZ111,IF(Cotations!CA111*Y111&lt;50000,Z111,Cotations!CA111*Y111))))</f>
        <v/>
      </c>
      <c r="MG111" s="300" t="str">
        <f t="shared" ref="MG111:MG120" si="944">IF(A111=FALSE,"",IF(MB111="N/A",0,MF111*INDEX(colRatesHT,MATCH(MB111,colchoice,0))))</f>
        <v/>
      </c>
      <c r="MH111" s="522" t="str">
        <f>IF(A111=FALSE,"",IF(Cotations!BX111="monthly",MG111/12*L111,MG111/365*M111))</f>
        <v/>
      </c>
      <c r="MI111" s="489" t="str">
        <f>IF(A111=FALSE,"",IF(Cotations!CB111="","",Cotations!CB111))</f>
        <v/>
      </c>
      <c r="MJ111" s="300" t="str">
        <f t="shared" ref="MJ111:MJ120" si="945">IF(A111=FALSE,"",MH111*MI111)</f>
        <v/>
      </c>
      <c r="MK111" s="300" t="str">
        <f t="shared" ref="MK111:MK120" si="946">IF(A111=FALSE,"",MH111-MJ111)</f>
        <v/>
      </c>
      <c r="ML111" s="919" t="str">
        <f t="shared" ref="ML111:ML120" si="947">IF(A111=FALSE,"",MK111*TAXE)</f>
        <v/>
      </c>
      <c r="MM111" s="517" t="str">
        <f>IF(A111=FALSE,"",Cotations!CC111)</f>
        <v/>
      </c>
      <c r="MN111" s="515" t="str">
        <f>IF(A111=FALSE,"",Cotations!CD111)</f>
        <v/>
      </c>
      <c r="MO111" s="493" t="str">
        <f>IF(A111=FALSE,"",Cotations!CE111)</f>
        <v/>
      </c>
      <c r="MP111" s="517" t="str">
        <f>IF(A111=FALSE,"",IF(MM111="N/A",0,IF(INDEX(LISTES!$F$105:$F$109,MATCH(MM111,LISTES!$C$105:$C$109,0))="FIX",IF(INDEX(LISTES!$E$105:$E$109,MATCH(MM111,LISTES!$C$105:$C$109,0))=12,MN111/12*L111,MN111/365*M111),MO111*ML111)))</f>
        <v/>
      </c>
      <c r="MQ111" s="294" t="str">
        <f t="shared" ref="MQ111:MQ120" si="948">IF(A111=FALSE,"",ML111+MP111)</f>
        <v/>
      </c>
      <c r="MR111" s="494" t="str">
        <f>IF(A111=FALSE,"",MQ111*Cotations!CF111)</f>
        <v/>
      </c>
      <c r="MS111" s="494" t="str">
        <f>IF(A111=FALSE,"",MQ111*Cotations!CG111)</f>
        <v/>
      </c>
      <c r="MT111" s="338" t="str">
        <f t="shared" ref="MT111:MT120" si="949">IF(A111=FALSE,"",INDEX(colCurrency,MATCH(MB111,colchoice,0)))</f>
        <v/>
      </c>
      <c r="MU111" s="919" t="str">
        <f>IF(A111=FALSE,"",((MG111*TAXE)-(MG111*TAXE*MI111))+IF(MM111="N/A",0,IF(INDEX(LISTES!$F$105:$F$109,MATCH(MM111,LISTES!$C$105:$C$109,0))="FIX",MN111,MO111*ML111)))</f>
        <v/>
      </c>
      <c r="NA111" s="497" t="str">
        <f>IF(A111=FALSE,"",Cotations!D111)</f>
        <v/>
      </c>
      <c r="NB111" s="498" t="str">
        <f>IF(A111=FALSE,"",IF(LISTES!$A$17=1,Cotations!CH111,Cotations!$CI$4))</f>
        <v/>
      </c>
      <c r="NC111" s="499" t="str">
        <f t="shared" ref="NC111:NC119" si="950">IF(A111=FALSE,"",INDEX(colAssureur,MATCH(NB111,colchoice,0)))</f>
        <v/>
      </c>
      <c r="ND111" s="499" t="str">
        <f t="shared" ref="ND111:ND119" si="951">IF(A111=FALSE,"",INDEX(colProduct,MATCH(NB111,colchoice,0)))</f>
        <v/>
      </c>
      <c r="NE111" s="500" t="str">
        <f t="shared" ref="NE111:NE119" si="952">IF(A111=FALSE,"",IF(NA111="POEA",$NA$2,INDEX(colRatesHT,MATCH(NB111,colchoice,0))))</f>
        <v/>
      </c>
      <c r="NF111" s="501" t="str">
        <f>IF(A111=FALSE,"",IF(NA111="POEA",Cotations!CK111,IF(NA111="FIXE",Cotations!$CK$4,Cotations!$CM$4*Y111)))</f>
        <v/>
      </c>
      <c r="NG111" s="502" t="str">
        <f t="shared" ref="NG111:NG120" si="953">IF(A111=FALSE,"",IF(NB111="N/A",0,IF(NA111="POEA",NF111*$NA$2,NF111*NE111)))</f>
        <v/>
      </c>
      <c r="NH111" s="520" t="str">
        <f>IF(A111=FALSE,"",IF(Cotations!$CJ$4="monthly",NG111/12*L111,NG111/365*M111))</f>
        <v/>
      </c>
      <c r="NI111" s="503" t="str">
        <f>IF(A111=FALSE,"",Cotations!$CN$4)</f>
        <v/>
      </c>
      <c r="NJ111" s="502" t="str">
        <f t="shared" ref="NJ111:NJ120" si="954">IF(A111=FALSE,"",NH111*NI111)</f>
        <v/>
      </c>
      <c r="NK111" s="502" t="str">
        <f t="shared" ref="NK111:NK120" si="955">IF(A111=FALSE,"",NH111-NJ111)</f>
        <v/>
      </c>
      <c r="NL111" s="504" t="str">
        <f t="shared" ref="NL111:NL120" si="956">IF(A111=FALSE,"",NK111*TAXE)</f>
        <v/>
      </c>
      <c r="NM111" s="505" t="str">
        <f>IF(A111=FALSE,"",Cotations!$CO$4)</f>
        <v/>
      </c>
      <c r="NN111" s="520" t="str">
        <f>IF(A111=FALSE,"",Cotations!$CP$4)</f>
        <v/>
      </c>
      <c r="NO111" s="503" t="str">
        <f>IF(A111=FALSE,"",Cotations!$CQ$4)</f>
        <v/>
      </c>
      <c r="NP111" s="505" t="str">
        <f>IF(A111=FALSE,"",IF(NM111="N/A",0,IF(INDEX(LISTES!$F$105:$F$109,MATCH(NM111,LISTES!$C$105:$C$109,0))="FIX",IF(INDEX(LISTES!$E$105:$E$109,MATCH(NM111,LISTES!$C$105:$C$109,0))=12,NN111/12*L111,NN111/365*M111),NO111*NL111)))</f>
        <v/>
      </c>
      <c r="NQ111" s="504" t="str">
        <f t="shared" ref="NQ111:NQ120" si="957">IF(A111=FALSE,"",NL111+NP111)</f>
        <v/>
      </c>
      <c r="NR111" s="505" t="str">
        <f>IF(A111=FALSE,"",NQ111*Cotations!$CR$4)</f>
        <v/>
      </c>
      <c r="NS111" s="505" t="str">
        <f>IF(A111=FALSE,"",NQ111*Cotations!$CS$4)</f>
        <v/>
      </c>
      <c r="NT111" s="506" t="str">
        <f t="shared" ref="NT111:NT119" si="958">IF(A111=FALSE,"",INDEX(colCurrency,MATCH(NB111,colchoice,0)))</f>
        <v/>
      </c>
      <c r="NU111" s="919" t="str">
        <f>IF(A111=FALSE,"",((NG111*TAXE)-(NG111*TAXE*NI111))+IF(NM111="N/A",0,IF(INDEX(LISTES!$F$105:$F$109,MATCH(NM111,LISTES!$C$105:$C$109,0))="FIX",NN111,NO111*NL111)))</f>
        <v/>
      </c>
      <c r="OA111" s="492" t="str">
        <f>IF(A111=FALSE,"",Cotations!D111)</f>
        <v/>
      </c>
      <c r="OB111" s="491" t="str">
        <f>IF(A111=FALSE,"",IF(LISTES!$A$17=1,Cotations!CH111,Cotations!CI111))</f>
        <v/>
      </c>
      <c r="OC111" s="285" t="str">
        <f t="shared" ref="OC111:OC120" si="959">IF(A111=FALSE,"",INDEX(colAssureur,MATCH(OB111,colchoice,0)))</f>
        <v/>
      </c>
      <c r="OD111" s="300"/>
      <c r="OE111" s="461" t="str">
        <f t="shared" ref="OE111:OE120" si="960">IF(A111=FALSE,"",IF(OA111="POEA",$OA$2,INDEX(colRatesHT,MATCH(OB111,colchoice,0))))</f>
        <v/>
      </c>
      <c r="OF111" s="490" t="str">
        <f>IF(A111=FALSE,"",IF(OA111="POEA",Cotations!CK111,IF(OA111="FIXE",Cotations!CL111,IF(Cotations!CM111*Y111&lt;50000,Z111,Cotations!CM111*Y111))))</f>
        <v/>
      </c>
      <c r="OG111" s="300" t="str">
        <f t="shared" ref="OG111:OG120" si="961">IF(A111=FALSE,"",IF(OB111="N/A",0,OF111*INDEX(colRatesHT,MATCH(OB111,colchoice,0))))</f>
        <v/>
      </c>
      <c r="OH111" s="522" t="str">
        <f>IF(A111=FALSE,"",IF(Cotations!CJ111="monthly",OG111/12*L111,OG111/365*M111))</f>
        <v/>
      </c>
      <c r="OI111" s="489" t="str">
        <f>IF(A111=FALSE,"",IF(Cotations!CN111="","",Cotations!CN111))</f>
        <v/>
      </c>
      <c r="OJ111" s="300" t="str">
        <f t="shared" ref="OJ111:OJ120" si="962">IF(A111=FALSE,"",OH111*OI111)</f>
        <v/>
      </c>
      <c r="OK111" s="300" t="str">
        <f t="shared" ref="OK111:OK120" si="963">IF(A111=FALSE,"",OH111-OJ111)</f>
        <v/>
      </c>
      <c r="OL111" s="919" t="str">
        <f t="shared" ref="OL111:OL120" si="964">IF(A111=FALSE,"",OK111*TAXE)</f>
        <v/>
      </c>
      <c r="OM111" s="517" t="str">
        <f>IF(A111=FALSE,"",Cotations!CO111)</f>
        <v/>
      </c>
      <c r="ON111" s="515" t="str">
        <f>IF(A111=FALSE,"",Cotations!CP111)</f>
        <v/>
      </c>
      <c r="OO111" s="493" t="str">
        <f>IF(A111=FALSE,"",Cotations!CQ111)</f>
        <v/>
      </c>
      <c r="OP111" s="517" t="str">
        <f>IF(A111=FALSE,"",IF(OM111="N/A",0,IF(INDEX(LISTES!$F$105:$F$109,MATCH(OM111,LISTES!$C$105:$C$109,0))="FIX",IF(INDEX(LISTES!$E$105:$E$109,MATCH(OM111,LISTES!$C$105:$C$109,0))=12,ON111/12*L111,ON111/365*M111),OO111*OL111)))</f>
        <v/>
      </c>
      <c r="OQ111" s="294" t="str">
        <f t="shared" ref="OQ111:OQ120" si="965">IF(A111=FALSE,"",OL111+OP111)</f>
        <v/>
      </c>
      <c r="OR111" s="494" t="str">
        <f>IF(A111=FALSE,"",OQ111*Cotations!CR111)</f>
        <v/>
      </c>
      <c r="OS111" s="494" t="str">
        <f>IF(A111=FALSE,"",OQ111*Cotations!CS111)</f>
        <v/>
      </c>
      <c r="OT111" s="338" t="str">
        <f t="shared" ref="OT111:OT120" si="966">IF(A111=FALSE,"",INDEX(colCurrency,MATCH(OB111,colchoice,0)))</f>
        <v/>
      </c>
      <c r="OU111" s="919" t="str">
        <f>IF(A111=FALSE,"",((OG111*TAXE)-(OG111*TAXE*OI111))+IF(OM111="N/A",0,IF(INDEX(LISTES!$F$105:$F$109,MATCH(OM111,LISTES!$C$105:$C$109,0))="FIX",ON111,OO111*OL111)))</f>
        <v/>
      </c>
      <c r="PA111" s="497" t="str">
        <f t="shared" ref="PA111:PA120" si="967">IF(A111=FALSE,"","PROP")</f>
        <v/>
      </c>
      <c r="PB111" s="498" t="str">
        <f>IF(A111=FALSE,"",IF(LISTES!$A$17=1,Cotations!CT111,Cotations!$CU$4))</f>
        <v/>
      </c>
      <c r="PC111" s="499" t="str">
        <f t="shared" ref="PC111:PC120" si="968">IF(A111=FALSE,"",INDEX(colAssureur,MATCH(PB111,colchoice,0)))</f>
        <v/>
      </c>
      <c r="PD111" s="499" t="str">
        <f t="shared" ref="PD111:PD120" si="969">IF(A111=FALSE,"",INDEX(colProduct,MATCH(PB111,colchoice,0)))</f>
        <v/>
      </c>
      <c r="PE111" s="500" t="str">
        <f t="shared" ref="PE111:PE120" si="970">IF(A111=FALSE,"",IF(PA111="POEA",$PA$2,INDEX(colRatesHT,MATCH(PB111,colchoice,0))))</f>
        <v/>
      </c>
      <c r="PF111" s="501" t="str">
        <f>IF(A111=FALSE,"",Cotations!$CY$4*Y111)</f>
        <v/>
      </c>
      <c r="PG111" s="502" t="str">
        <f t="shared" ref="PG111:PG120" si="971">IF(A111=FALSE,"",IF(PB111="N/A",0,IF(PA111="POEA",PF111*$PA$2,PF111*PE111)))</f>
        <v/>
      </c>
      <c r="PH111" s="520" t="str">
        <f>IF(A111=FALSE,"",IF(Cotations!$CV$4="monthly",PG111/12*L111,PG111/365*M111))</f>
        <v/>
      </c>
      <c r="PI111" s="503" t="str">
        <f>IF(A111=FALSE,"",Cotations!$CZ$4)</f>
        <v/>
      </c>
      <c r="PJ111" s="502" t="str">
        <f t="shared" ref="PJ111:PJ120" si="972">IF(A111=FALSE,"",PH111*PI111)</f>
        <v/>
      </c>
      <c r="PK111" s="502" t="str">
        <f t="shared" ref="PK111:PK120" si="973">IF(A111=FALSE,"",PH111-PJ111)</f>
        <v/>
      </c>
      <c r="PL111" s="504" t="str">
        <f t="shared" ref="PL111:PL120" si="974">IF(A111=FALSE,"",PK111*TAXE)</f>
        <v/>
      </c>
      <c r="PM111" s="505" t="str">
        <f>IF(A111=FALSE,"",Cotations!$DA$4)</f>
        <v/>
      </c>
      <c r="PN111" s="520" t="str">
        <f>IF(A111=FALSE,"",Cotations!$DB$4)</f>
        <v/>
      </c>
      <c r="PO111" s="503" t="str">
        <f>IF(A111=FALSE,"",Cotations!$DC$4)</f>
        <v/>
      </c>
      <c r="PP111" s="505" t="str">
        <f>IF(A111=FALSE,"",IF(PM111="N/A",0,IF(INDEX(LISTES!$F$105:$F$109,MATCH(PM111,LISTES!$C$105:$C$109,0))="FIX",IF(INDEX(LISTES!$E$105:$E$109,MATCH(PM111,LISTES!$C$105:$C$109,0))=12,PN111/12*L111,PN111/365*M111),PO111*PL111)))</f>
        <v/>
      </c>
      <c r="PQ111" s="504" t="str">
        <f t="shared" ref="PQ111:PQ120" si="975">IF(A111=FALSE,"",PL111+PP111)</f>
        <v/>
      </c>
      <c r="PR111" s="505" t="str">
        <f>IF(A111=FALSE,"",PQ111*Cotations!$DD$4)</f>
        <v/>
      </c>
      <c r="PS111" s="505" t="str">
        <f>IF(A111=FALSE,"",PQ111*Cotations!$DE$4)</f>
        <v/>
      </c>
      <c r="PT111" s="506" t="str">
        <f t="shared" ref="PT111:PT120" si="976">IF(A111=FALSE,"",INDEX(colCurrency,MATCH(PB111,colchoice,0)))</f>
        <v/>
      </c>
      <c r="PU111" s="919" t="str">
        <f>IF(A111=FALSE,"",((PG111*TAXE)-(PG111*TAXE*PI111))+IF(PM111="N/A",0,IF(INDEX(LISTES!$F$105:$F$109,MATCH(PM111,LISTES!$C$105:$C$109,0))="FIX",PN111,PO111*PL111)))</f>
        <v/>
      </c>
      <c r="QA111" s="492" t="str">
        <f t="shared" ref="QA111:QA120" si="977">IF(A111=FALSE,"","PROP")</f>
        <v/>
      </c>
      <c r="QB111" s="491" t="str">
        <f>IF(A111=FALSE,"",IF(LISTES!$A$17=1,Cotations!CT111,Cotations!CU111))</f>
        <v/>
      </c>
      <c r="QC111" s="285" t="str">
        <f t="shared" ref="QC111:QC120" si="978">IF(A111=FALSE,"",INDEX(colAssureur,MATCH(QB111,colchoice,0)))</f>
        <v/>
      </c>
      <c r="QD111" s="300"/>
      <c r="QE111" s="461" t="str">
        <f t="shared" ref="QE111:QE120" si="979">IF(A111=FALSE,"",IF(QA111="POEA",$QA$2,INDEX(colRatesHT,MATCH(QB111,colchoice,0))))</f>
        <v/>
      </c>
      <c r="QF111" s="490" t="str">
        <f>IF(A111=FALSE,"",Cotations!CY111*AA111)</f>
        <v/>
      </c>
      <c r="QG111" s="300" t="str">
        <f t="shared" ref="QG111:QG120" si="980">IF(A111=FALSE,"",IF(QB111="N/A",0,QF111*INDEX(colRatesHT,MATCH(QB111,colchoice,0))))</f>
        <v/>
      </c>
      <c r="QH111" s="522" t="str">
        <f>IF(A111=FALSE,"",IF(Cotations!CV111="monthly",QG111/12*L111,QG111/365*M111))</f>
        <v/>
      </c>
      <c r="QI111" s="489" t="str">
        <f>IF(A111=FALSE,"",IF(Cotations!CZ111="","",Cotations!CZ111))</f>
        <v/>
      </c>
      <c r="QJ111" s="300" t="str">
        <f t="shared" ref="QJ111:QJ120" si="981">IF(A111=FALSE,"",QH111*QI111)</f>
        <v/>
      </c>
      <c r="QK111" s="300" t="str">
        <f t="shared" ref="QK111:QK120" si="982">IF(A111=FALSE,"",QH111-QJ111)</f>
        <v/>
      </c>
      <c r="QL111" s="919" t="str">
        <f t="shared" ref="QL111:QL120" si="983">IF(A111=FALSE,"",QK111*TAXE)</f>
        <v/>
      </c>
      <c r="QM111" s="517" t="str">
        <f>IF(A111=FALSE,"",Cotations!DA111)</f>
        <v/>
      </c>
      <c r="QN111" s="515" t="str">
        <f>IF(A111=FALSE,"",Cotations!DB111)</f>
        <v/>
      </c>
      <c r="QO111" s="493" t="str">
        <f>IF(A111=FALSE,"",Cotations!DC111)</f>
        <v/>
      </c>
      <c r="QP111" s="517" t="str">
        <f>IF(A111=FALSE,"",IF(QM111="N/A",0,IF(INDEX(LISTES!$F$105:$F$109,MATCH(QM111,LISTES!$C$105:$C$109,0))="FIX",IF(INDEX(LISTES!$E$105:$E$109,MATCH(QM111,LISTES!$C$105:$C$109,0))=12,QN111/12*L111,QN111/365*M111),QO111*QL111)))</f>
        <v/>
      </c>
      <c r="QQ111" s="294" t="str">
        <f t="shared" ref="QQ111:QQ120" si="984">IF(A111=FALSE,"",QL111+QP111)</f>
        <v/>
      </c>
      <c r="QR111" s="494" t="str">
        <f>IF(A111=FALSE,"",QQ111*Cotations!DD111)</f>
        <v/>
      </c>
      <c r="QS111" s="494" t="str">
        <f>IF(A111=FALSE,"",QQ111*Cotations!DE111)</f>
        <v/>
      </c>
      <c r="QT111" s="338" t="str">
        <f t="shared" ref="QT111:QT120" si="985">IF(A111=FALSE,"",INDEX(colCurrency,MATCH(QB111,colchoice,0)))</f>
        <v/>
      </c>
      <c r="QU111" s="919" t="str">
        <f>IF(A111=FALSE,"",((QG111*TAXE)-(QG111*TAXE*QI111))+IF(QM111="N/A",0,IF(INDEX(LISTES!$F$105:$F$109,MATCH(QM111,LISTES!$C$105:$C$109,0))="FIX",QN111,QO111*QL111)))</f>
        <v/>
      </c>
      <c r="RA111" s="497" t="str">
        <f t="shared" ref="RA111:RA120" si="986">IF(A111=FALSE,"","PROP")</f>
        <v/>
      </c>
      <c r="RB111" s="498" t="str">
        <f>IF(A111=FALSE,"",IF(LISTES!$A$17=1,Cotations!DF111,Cotations!$DG$4))</f>
        <v/>
      </c>
      <c r="RC111" s="499" t="str">
        <f t="shared" ref="RC111:RC120" si="987">IF(A111=FALSE,"",INDEX(colAssureur,MATCH(RB111,colchoice,0)))</f>
        <v/>
      </c>
      <c r="RD111" s="499" t="str">
        <f t="shared" ref="RD111:RD120" si="988">IF(A111=FALSE,"",INDEX(colProduct,MATCH(RB111,colchoice,0)))</f>
        <v/>
      </c>
      <c r="RE111" s="500" t="str">
        <f t="shared" ref="RE111:RE120" si="989">IF(A111=FALSE,"",IF(RA111="POEA",$RA$2,INDEX(colRatesHT,MATCH(RB111,colchoice,0))))</f>
        <v/>
      </c>
      <c r="RF111" s="501" t="str">
        <f>IF(A111=FALSE,"",Cotations!$DK$4*Y111)</f>
        <v/>
      </c>
      <c r="RG111" s="502" t="str">
        <f t="shared" ref="RG111:RG120" si="990">IF(A111=FALSE,"",IF(RB111="N/A",0,IF(RA111="POEA",RF111*$RA$2,RF111*RE111)))</f>
        <v/>
      </c>
      <c r="RH111" s="520" t="str">
        <f>IF(A111=FALSE,"",IF(Cotations!$DH$4="monthly",RG111/12*L111,RG111/365*M111))</f>
        <v/>
      </c>
      <c r="RI111" s="503" t="str">
        <f>IF(A111=FALSE,"",Cotations!$DL$4)</f>
        <v/>
      </c>
      <c r="RJ111" s="502" t="str">
        <f t="shared" ref="RJ111:RJ120" si="991">IF(A111=FALSE,"",RH111*RI111)</f>
        <v/>
      </c>
      <c r="RK111" s="502" t="str">
        <f t="shared" ref="RK111:RK120" si="992">IF(A111=FALSE,"",RH111-RJ111)</f>
        <v/>
      </c>
      <c r="RL111" s="504" t="str">
        <f t="shared" ref="RL111:RL120" si="993">IF(A111=FALSE,"",RK111*TAXE)</f>
        <v/>
      </c>
      <c r="RM111" s="505" t="str">
        <f>IF(A111=FALSE,"",Cotations!$DM$4)</f>
        <v/>
      </c>
      <c r="RN111" s="520" t="str">
        <f>IF(A111=FALSE,"",Cotations!$DN$4)</f>
        <v/>
      </c>
      <c r="RO111" s="503" t="str">
        <f>IF(A111=FALSE,"",Cotations!$DO$4)</f>
        <v/>
      </c>
      <c r="RP111" s="505" t="str">
        <f>IF(A111=FALSE,"",IF(RM111="N/A",0,IF(INDEX(LISTES!$F$105:$F$109,MATCH(RM111,LISTES!$C$105:$C$109,0))="FIX",IF(INDEX(LISTES!$E$105:$E$109,MATCH(RM111,LISTES!$C$105:$C$109,0))=12,RN111/12*L111,RN111/365*M111),RO111*RL111)))</f>
        <v/>
      </c>
      <c r="RQ111" s="504" t="str">
        <f t="shared" ref="RQ111:RQ120" si="994">IF(A111=FALSE,"",RL111+RP111)</f>
        <v/>
      </c>
      <c r="RR111" s="505" t="str">
        <f>IF(A111=FALSE,"",RQ111*Cotations!$DP$4)</f>
        <v/>
      </c>
      <c r="RS111" s="505" t="str">
        <f>IF(A111=FALSE,"",RQ111*Cotations!$DQ$4)</f>
        <v/>
      </c>
      <c r="RT111" s="506" t="str">
        <f t="shared" ref="RT111:RT120" si="995">IF(A111=FALSE,"",INDEX(colCurrency,MATCH(RB111,colchoice,0)))</f>
        <v/>
      </c>
      <c r="RU111" s="919" t="str">
        <f>IF(A111=FALSE,"",((RG111*TAXE)-(RG111*TAXE*RI111))+IF(RM111="N/A",0,IF(INDEX(LISTES!$F$105:$F$109,MATCH(RM111,LISTES!$C$105:$C$109,0))="FIX",RN111,RO111*RL111)))</f>
        <v/>
      </c>
      <c r="SA111" s="492" t="str">
        <f t="shared" ref="SA111:SA120" si="996">IF(A111=FALSE,"","PROP")</f>
        <v/>
      </c>
      <c r="SB111" s="491" t="str">
        <f>IF(A111=FALSE,"",IF(LISTES!$A$17=1,Cotations!DF111,Cotations!DG111))</f>
        <v/>
      </c>
      <c r="SC111" s="285" t="str">
        <f t="shared" ref="SC111:SC120" si="997">IF(A111=FALSE,"",INDEX(colAssureur,MATCH(SB111,colchoice,0)))</f>
        <v/>
      </c>
      <c r="SD111" s="300"/>
      <c r="SE111" s="461" t="str">
        <f t="shared" ref="SE111:SE120" si="998">IF(A111=FALSE,"",IF(SA111="POEA",$SA$2,INDEX(colRatesHT,MATCH(SB111,colchoice,0))))</f>
        <v/>
      </c>
      <c r="SF111" s="490" t="str">
        <f>IF(A111=FALSE,"",Cotations!DK111*AA111)</f>
        <v/>
      </c>
      <c r="SG111" s="300" t="str">
        <f t="shared" ref="SG111:SG120" si="999">IF(A111=FALSE,"",IF(SB111="N/A",0,SF111*INDEX(colRatesHT,MATCH(SB111,colchoice,0))))</f>
        <v/>
      </c>
      <c r="SH111" s="522" t="str">
        <f>IF(A111=FALSE,"",IF(Cotations!DH111="monthly",SG111/12*L111,SG111/365*M111))</f>
        <v/>
      </c>
      <c r="SI111" s="489" t="str">
        <f>IF(A111=FALSE,"",IF(Cotations!DL111="","",Cotations!DL111))</f>
        <v/>
      </c>
      <c r="SJ111" s="300" t="str">
        <f t="shared" ref="SJ111:SJ120" si="1000">IF(A111=FALSE,"",SH111*SI111)</f>
        <v/>
      </c>
      <c r="SK111" s="300" t="str">
        <f t="shared" ref="SK111:SK120" si="1001">IF(A111=FALSE,"",SH111-SJ111)</f>
        <v/>
      </c>
      <c r="SL111" s="919" t="str">
        <f t="shared" ref="SL111:SL120" si="1002">IF(A111=FALSE,"",SK111*TAXE)</f>
        <v/>
      </c>
      <c r="SM111" s="285" t="str">
        <f>IF(A111=FALSE,"",Cotations!DM111)</f>
        <v/>
      </c>
      <c r="SN111" s="515" t="str">
        <f>IF(A111=FALSE,"",Cotations!DN111)</f>
        <v/>
      </c>
      <c r="SO111" s="493" t="str">
        <f>IF(A111=FALSE,"",Cotations!DO111)</f>
        <v/>
      </c>
      <c r="SP111" s="517" t="str">
        <f>IF(A111=FALSE,"",IF(SM111="N/A",0,IF(INDEX(LISTES!$F$105:$F$109,MATCH(SM111,LISTES!$C$105:$C$109,0))="FIX",IF(INDEX(LISTES!$E$105:$E$109,MATCH(SM111,LISTES!$C$105:$C$109,0))=12,SN111/12*L111,SN111/365*M111),SO111*SL111)))</f>
        <v/>
      </c>
      <c r="SQ111" s="294" t="str">
        <f t="shared" ref="SQ111:SQ120" si="1003">IF(A111=FALSE,"",SL111+SP111)</f>
        <v/>
      </c>
      <c r="SR111" s="494" t="str">
        <f>IF(A111=FALSE,"",SQ111*Cotations!DP111)</f>
        <v/>
      </c>
      <c r="SS111" s="494" t="str">
        <f>IF(A111=FALSE,"",SQ111*Cotations!DQ111)</f>
        <v/>
      </c>
      <c r="ST111" s="338" t="str">
        <f t="shared" ref="ST111:ST120" si="1004">IF(A111=FALSE,"",INDEX(colCurrency,MATCH(SB111,colchoice,0)))</f>
        <v/>
      </c>
      <c r="SU111" s="919" t="str">
        <f>IF(A111=FALSE,"",((SG111*TAXE)-(SG111*TAXE*SI111))+IF(SM111="N/A",0,IF(INDEX(LISTES!$F$105:$F$109,MATCH(SM111,LISTES!$C$105:$C$109,0))="FIX",SN111,SO111*SL111)))</f>
        <v/>
      </c>
      <c r="TA111" s="492" t="str">
        <f>IF(A111=FALSE,"",Cotations!D111)</f>
        <v/>
      </c>
      <c r="TB111" s="491" t="str">
        <f>IF(A111=FALSE,"",IF(LISTES!$A$17=1,Cotations!DR111,Cotations!DS111))</f>
        <v/>
      </c>
      <c r="TC111" s="285" t="str">
        <f t="shared" ref="TC111:TC120" si="1005">IF(A111=FALSE,"",INDEX(colAssureur,MATCH(TB111,colchoice,0)))</f>
        <v/>
      </c>
      <c r="TD111" s="300" t="str">
        <f>IF(A111=FALSE,"",Detail!CQ111)</f>
        <v/>
      </c>
      <c r="TE111" s="461" t="str">
        <f t="shared" ref="TE111:TE120" si="1006">IF(A111=FALSE,"",IF(TB111="",0,INDEX(colRatesHT,MATCH(TB111,colchoice,0))))</f>
        <v/>
      </c>
      <c r="TF111" s="490" t="str">
        <f>IF(A111=FALSE,"",IF(TA111="FIXE",Cotations!DU111,Cotations!DV111*Y111))</f>
        <v/>
      </c>
      <c r="TG111" s="300" t="str">
        <f t="shared" ref="TG111:TG120" si="1007">IF(A111=FALSE,"",IF(TB111="N/A",0,TF111*INDEX(colRatesHT,MATCH(TB111,colchoice,0))))</f>
        <v/>
      </c>
      <c r="TH111" s="522" t="str">
        <f>IF(A111=FALSE,"",IF(Cotations!DT111="monthly",TG111/12*L111,TG111/365*M111))</f>
        <v/>
      </c>
      <c r="TI111" s="489" t="str">
        <f>IF(A111=FALSE,"",IF(Cotations!DW111="","",Cotations!DW111))</f>
        <v/>
      </c>
      <c r="TJ111" s="300" t="str">
        <f t="shared" ref="TJ111:TJ120" si="1008">IF(A111=FALSE,"",TH111*TI111)</f>
        <v/>
      </c>
      <c r="TK111" s="300" t="str">
        <f t="shared" ref="TK111:TK120" si="1009">IF(A111=FALSE,"",TH111-TJ111)</f>
        <v/>
      </c>
      <c r="TL111" s="919" t="str">
        <f t="shared" ref="TL111:TL120" si="1010">IF(A111=FALSE,"",TK111*(1+TAXE))</f>
        <v/>
      </c>
      <c r="TM111" s="517" t="str">
        <f>IF(A111=FALSE,"",Cotations!DX111)</f>
        <v/>
      </c>
      <c r="TN111" s="517" t="str">
        <f>IF(A111=FALSE,"",Cotations!DY111)</f>
        <v/>
      </c>
      <c r="TO111" s="493" t="str">
        <f>IF(A111=FALSE,"",Cotations!DZ111)</f>
        <v/>
      </c>
      <c r="TP111" s="517" t="str">
        <f>IF(A111=FALSE,"",IF(TM111="N/A",0,IF(INDEX(LISTES!$F$105:$F$109,MATCH(TM111,LISTES!$C$105:$C$109,0))="FIX",IF(INDEX(LISTES!$E$105:$E$109,MATCH(TM111,LISTES!$C$105:$C$109,0))=12,TN111/12*L111,TN111/365*M111),TO111*TL111)))</f>
        <v/>
      </c>
      <c r="TQ111" s="294" t="str">
        <f t="shared" ref="TQ111:TQ120" si="1011">IF(A111=FALSE,"",TL111+TP111)</f>
        <v/>
      </c>
      <c r="TR111" s="494" t="str">
        <f>IF(A111=FALSE,"",TQ111*Cotations!EA111)</f>
        <v/>
      </c>
      <c r="TS111" s="494" t="str">
        <f>IF(A111=FALSE,"",TQ111*Cotations!EB111)</f>
        <v/>
      </c>
      <c r="TT111" s="338" t="str">
        <f t="shared" ref="TT111:TT120" si="1012">IF(A111=FALSE,"",INDEX(colCurrency,MATCH(TB111,colchoice,0)))</f>
        <v/>
      </c>
      <c r="TU111" s="919" t="str">
        <f>IF(A111=FALSE,"",((TG111*(1+TAXE)-(TG111*(1+TAXE)*TI111))+IF(TM111="N/A",0,IF(INDEX(LISTES!$F$105:$F$109,MATCH(TM111,LISTES!$C$105:$C$109,0))="FIX",TN111,TO111*TL111))))</f>
        <v/>
      </c>
      <c r="UA111" s="492" t="str">
        <f>IF(A111=FALSE,"",Cotations!D111)</f>
        <v/>
      </c>
      <c r="UB111" s="491" t="str">
        <f>IF(A111=FALSE,"",IF(LISTES!$A$17=1,Cotations!EC111,Cotations!ED111))</f>
        <v/>
      </c>
      <c r="UC111" s="285" t="str">
        <f t="shared" ref="UC111:UC120" si="1013">IF(A111=FALSE,"",INDEX(colAssureur,MATCH(UB111,colchoice,0)))</f>
        <v/>
      </c>
      <c r="UD111" s="300" t="str">
        <f>IF(A111=FALSE,"",Detail!CY111)</f>
        <v/>
      </c>
      <c r="UE111" s="461" t="str">
        <f t="shared" ref="UE111:UE120" si="1014">IF(A111=FALSE,"",INDEX(colRatesHT,MATCH(UB111,colchoice,0)))</f>
        <v/>
      </c>
      <c r="UF111" s="490" t="str">
        <f>IF(A111=FALSE,"",IF(UA111="FIXE",Cotations!EF111,Cotations!EG111*Y111))</f>
        <v/>
      </c>
      <c r="UG111" s="300" t="str">
        <f t="shared" ref="UG111:UG120" si="1015">IF(A111=FALSE,"",IF(UB111="N/A",0,UF111*INDEX(colRatesHT,MATCH(UB111,colchoice,0))))</f>
        <v/>
      </c>
      <c r="UH111" s="522" t="str">
        <f>IF(A111=FALSE,"",IF(Cotations!EE111="monthly",UG111/12*L111,UG111/365*M111))</f>
        <v/>
      </c>
      <c r="UI111" s="489" t="str">
        <f>IF(A111=FALSE,"",IF(Cotations!EH111="","",Cotations!EH111))</f>
        <v/>
      </c>
      <c r="UJ111" s="300" t="str">
        <f t="shared" ref="UJ111:UJ120" si="1016">IF(A111=FALSE,"",UH111*UI111)</f>
        <v/>
      </c>
      <c r="UK111" s="300" t="str">
        <f t="shared" ref="UK111:UK120" si="1017">IF(A111=FALSE,"",UH111-UJ111)</f>
        <v/>
      </c>
      <c r="UL111" s="919" t="str">
        <f t="shared" ref="UL111:UL120" si="1018">IF(A111=FALSE,"",UK111*(1+TAXE))</f>
        <v/>
      </c>
      <c r="UM111" s="517" t="str">
        <f>IF(A111=FALSE,"",Cotations!EI111)</f>
        <v/>
      </c>
      <c r="UN111" s="517" t="str">
        <f>IF(A111=FALSE,"",Cotations!EJ111)</f>
        <v/>
      </c>
      <c r="UO111" s="493" t="str">
        <f>IF(A111=FALSE,"",Cotations!EK111)</f>
        <v/>
      </c>
      <c r="UP111" s="517" t="str">
        <f>IF(A111=FALSE,"",IF(UM111="N/A",0,IF(INDEX(LISTES!$F$105:$F$109,MATCH(UM111,LISTES!$C$105:$C$109,0))="FIX",IF(INDEX(LISTES!$E$105:$E$109,MATCH(UM111,LISTES!$C$105:$C$109,0))=12,UN111/12*L111,UN111/365*M111),UO111*UL111)))</f>
        <v/>
      </c>
      <c r="UQ111" s="294" t="str">
        <f t="shared" ref="UQ111:UQ120" si="1019">IF(A111=FALSE,"",UL111+UP111)</f>
        <v/>
      </c>
      <c r="UR111" s="494" t="str">
        <f>IF(A111=FALSE,"",UQ111*Cotations!EL111)</f>
        <v/>
      </c>
      <c r="US111" s="494" t="str">
        <f>IF(A111=FALSE,"",UQ111*Cotations!EM111)</f>
        <v/>
      </c>
      <c r="UT111" s="338" t="str">
        <f t="shared" ref="UT111:UT120" si="1020">IF(A111=FALSE,"",INDEX(colCurrency,MATCH(UB111,colchoice,0)))</f>
        <v/>
      </c>
      <c r="UU111" s="919" t="str">
        <f>IF(A111=FALSE,"",((UG111*(1+TAXE)-(UG111*(1+TAXE)*UI111))+IF(UM111="N/A",0,IF(INDEX(LISTES!$F$105:$F$109,MATCH(UM111,LISTES!$C$105:$C$109,0))="FIX",UN111,UO111*UL111))))</f>
        <v/>
      </c>
      <c r="VA111" s="492" t="str">
        <f>IF(A111=FALSE,"",Cotations!D111)</f>
        <v/>
      </c>
      <c r="VB111" s="519" t="str">
        <f>IF(A111=FALSE,"",IF(LISTES!$A$17=1,Cotations!EN111,Cotations!EO111))</f>
        <v/>
      </c>
      <c r="VC111" s="291" t="str">
        <f t="shared" ref="VC111:VC120" si="1021">IF(A111=FALSE,"",INDEX(colAssureur,MATCH(VB111,colchoice,0)))</f>
        <v/>
      </c>
      <c r="VD111" s="291" t="str">
        <f t="shared" ref="VD111:VD120" si="1022">IF(A111=FALSE,"",INDEX(colProduct,MATCH(VB111,colchoice,0)))</f>
        <v/>
      </c>
      <c r="VE111" s="291"/>
      <c r="VF111" s="463"/>
      <c r="VG111" s="463" t="str">
        <f t="shared" ref="VG111:VG120" si="1023">IF(A111=FALSE,"",INDEX(colRatesHT,MATCH(VB111,colchoice,0)))</f>
        <v/>
      </c>
      <c r="VH111" s="522" t="str">
        <f>IF(A111=FALSE,"",IF(Cotations!$AQ$4="monthly",VG111/12*L111,VG111/365*M111))</f>
        <v/>
      </c>
      <c r="VI111" s="489" t="str">
        <f>IF(A111=FALSE,"",Cotations!$AR$4)</f>
        <v/>
      </c>
      <c r="VJ111" s="300" t="str">
        <f t="shared" ref="VJ111:VJ120" si="1024">IF(A111=FALSE,"",VH111*VI111)</f>
        <v/>
      </c>
      <c r="VK111" s="300" t="str">
        <f t="shared" ref="VK111:VK120" si="1025">IF(A111=FALSE,"",VH111-VJ111)</f>
        <v/>
      </c>
      <c r="VL111" s="294" t="str">
        <f t="shared" ref="VL111:VL120" si="1026">IF(A111=FALSE,"",VK111*TAXE)</f>
        <v/>
      </c>
      <c r="VM111" s="494" t="str">
        <f>IF(A111=FALSE,"",Cotations!$AS$4)</f>
        <v/>
      </c>
      <c r="VN111" s="494" t="str">
        <f>IF(A111=FALSE,"",Cotations!$AT$4)</f>
        <v/>
      </c>
      <c r="VO111" s="489" t="str">
        <f>IF(A111=FALSE,"",Cotations!$AU$4)</f>
        <v/>
      </c>
      <c r="VP111" s="494" t="str">
        <f>IF(A111=FALSE,"",IF(VM111="N/A",0,IF(INDEX(LISTES!$F$105:$F$109,MATCH(VM111,LISTES!$C$105:$C$109,0))="FIX",IF(INDEX(LISTES!$E$105:$E$109,MATCH(VM111,LISTES!$C$105:$C$109,0))=12,VN111/12*L111,VN111/365*M111),VO111*VL111)))</f>
        <v/>
      </c>
      <c r="VQ111" s="294" t="str">
        <f t="shared" ref="VQ111:VQ120" si="1027">IF(A111=FALSE,"",VL111+VP111)</f>
        <v/>
      </c>
      <c r="VR111" s="494" t="str">
        <f>IF(A111=FALSE,"",VQ111*Cotations!$AV$4)</f>
        <v/>
      </c>
      <c r="VS111" s="494" t="str">
        <f>IF(A111=FALSE,"",VQ111*Cotations!$AW$4)</f>
        <v/>
      </c>
      <c r="VT111" s="465" t="str">
        <f t="shared" ref="VT111:VT120" si="1028">IF(A111=FALSE,"",INDEX(colCurrency,MATCH(VB111,colchoice,0)))</f>
        <v/>
      </c>
      <c r="VU111" s="919" t="str">
        <f>IF(A111=FALSE,"",((VG111*TAXE)-(VG111*TAXE*VI111))+IF(VM111="N/A",0,IF(INDEX(LISTES!$F$105:$F$109,MATCH(VM111,LISTES!$C$105:$C$109,0))="FIX",VN111,VO111*VL111)))</f>
        <v/>
      </c>
      <c r="WA111" s="492" t="str">
        <f>IF(A111=FALSE,"",Cotations!D111)</f>
        <v/>
      </c>
      <c r="WB111" s="519" t="str">
        <f>IF(A111=FALSE,"",IF(LISTES!$A$17=1,Cotations!EW111,Cotations!EX111))</f>
        <v/>
      </c>
      <c r="WC111" s="291" t="str">
        <f t="shared" ref="WC111:WC120" si="1029">IF(A111=FALSE,"",INDEX(colAssureur,MATCH(WB111,colchoice,0)))</f>
        <v/>
      </c>
      <c r="WD111" s="291" t="str">
        <f t="shared" ref="WD111:WD120" si="1030">IF(A111=FALSE,"",INDEX(colProduct,MATCH(WB111,colchoice,0)))</f>
        <v/>
      </c>
      <c r="WE111" s="291"/>
      <c r="WF111" s="463"/>
      <c r="WG111" s="463" t="str">
        <f t="shared" ref="WG111:WG120" si="1031">IF(A111=FALSE,"",INDEX(colRatesHT,MATCH(WB111,colchoice,0)))</f>
        <v/>
      </c>
      <c r="WH111" s="522" t="str">
        <f>IF(A111=FALSE,"",IF(Cotations!$AQ$4="monthly",WG111/12*L111,WG111/365*M111))</f>
        <v/>
      </c>
      <c r="WI111" s="489" t="str">
        <f>IF(A111=FALSE,"",Cotations!$AR$4)</f>
        <v/>
      </c>
      <c r="WJ111" s="300" t="str">
        <f t="shared" ref="WJ111:WJ120" si="1032">IF(A111=FALSE,"",WH111*WI111)</f>
        <v/>
      </c>
      <c r="WK111" s="300" t="str">
        <f t="shared" ref="WK111:WK120" si="1033">IF(A111=FALSE,"",WH111-WJ111)</f>
        <v/>
      </c>
      <c r="WL111" s="294" t="str">
        <f t="shared" ref="WL111:WL120" si="1034">IF(A111=FALSE,"",WK111*TAXE)</f>
        <v/>
      </c>
      <c r="WM111" s="494" t="str">
        <f>IF(A111=FALSE,"",Cotations!$AS$4)</f>
        <v/>
      </c>
      <c r="WN111" s="494" t="str">
        <f>IF(A111=FALSE,"",Cotations!$AT$4)</f>
        <v/>
      </c>
      <c r="WO111" s="489" t="str">
        <f>IF(A111=FALSE,"",Cotations!$AU$4)</f>
        <v/>
      </c>
      <c r="WP111" s="494" t="str">
        <f>IF(A111=FALSE,"",IF(WM111="N/A",0,IF(INDEX(LISTES!$F$105:$F$109,MATCH(WM111,LISTES!$C$105:$C$109,0))="FIX",IF(INDEX(LISTES!$E$105:$E$109,MATCH(WM111,LISTES!$C$105:$C$109,0))=12,WN111/12*L111,WN111/365*M111),WO111*WL111)))</f>
        <v/>
      </c>
      <c r="WQ111" s="294" t="str">
        <f t="shared" ref="WQ111:WQ120" si="1035">IF(A111=FALSE,"",WL111+WP111)</f>
        <v/>
      </c>
      <c r="WR111" s="494" t="str">
        <f>IF(A111=FALSE,"",WQ111*Cotations!$AV$4)</f>
        <v/>
      </c>
      <c r="WS111" s="494" t="str">
        <f>IF(A111=FALSE,"",WQ111*Cotations!$AW$4)</f>
        <v/>
      </c>
      <c r="WT111" s="465" t="str">
        <f t="shared" ref="WT111:WT120" si="1036">IF(A111=FALSE,"",INDEX(colCurrency,MATCH(WB111,colchoice,0)))</f>
        <v/>
      </c>
      <c r="WU111" s="919" t="str">
        <f>IF(A111=FALSE,"",((WG111*TAXE)-(WG111*TAXE*WI111))+IF(WM111="N/A",0,IF(INDEX(LISTES!$F$105:$F$109,MATCH(WM111,LISTES!$C$105:$C$109,0))="FIX",WN111,WO111*WL111)))</f>
        <v/>
      </c>
    </row>
    <row r="112" spans="1:619">
      <c r="A112" s="942" t="b">
        <f t="shared" si="841"/>
        <v>0</v>
      </c>
      <c r="B112" s="942" t="b">
        <f>IF(NAMES!$B$9=TRUE,TRUE,FALSE)</f>
        <v>1</v>
      </c>
      <c r="C112" s="942" t="b">
        <f t="shared" si="825"/>
        <v>0</v>
      </c>
      <c r="D112" s="942" t="b">
        <f t="shared" si="826"/>
        <v>0</v>
      </c>
      <c r="E112" s="274" t="b">
        <f>IF(Cotations!C112="","",Cotations!C112)</f>
        <v>0</v>
      </c>
      <c r="F112" s="274" t="str">
        <f>IF(Cotations!D112="","",Cotations!D112)</f>
        <v>PROP</v>
      </c>
      <c r="G112" s="274" t="str">
        <f>IF(Cotations!E112="","",Cotations!E112)</f>
        <v>2016-2017!</v>
      </c>
      <c r="H112" s="274" t="str">
        <f>IF(Cotations!F112="","",Cotations!F112)</f>
        <v/>
      </c>
      <c r="I112" s="274" t="str">
        <f>IF(Cotations!G112="","",Cotations!G112)</f>
        <v/>
      </c>
      <c r="J112" s="274" t="str">
        <f>IF(Cotations!H112="","",Cotations!H112)</f>
        <v/>
      </c>
      <c r="K112" s="274" t="str">
        <f>IF(Cotations!I112="","",Cotations!I112)</f>
        <v/>
      </c>
      <c r="L112" s="274" t="str">
        <f>IF(A112=FALSE,"",IF(Cotations!N112="","",Cotations!N112))</f>
        <v/>
      </c>
      <c r="M112" s="274" t="str">
        <f>IF(Cotations!P112="","",Cotations!P112)</f>
        <v/>
      </c>
      <c r="N112" s="724" t="str">
        <f>IF(NAMES!$B$10=TRUE,Cotations!J112,Cotations!L112)</f>
        <v/>
      </c>
      <c r="O112" s="724" t="str">
        <f>IF(NAMES!$B$10=TRUE,Cotations!K112,Cotations!M112)</f>
        <v/>
      </c>
      <c r="P112" s="943" t="str">
        <f t="shared" si="827"/>
        <v/>
      </c>
      <c r="Q112" s="724" t="str">
        <f>IF(A112=FALSE,"",IF(Crewlist!Y112="","",Crewlist!Y112))</f>
        <v/>
      </c>
      <c r="R112" s="78" t="str">
        <f>IF(Cotations!U112="","",Cotations!U112)</f>
        <v/>
      </c>
      <c r="S112" s="943" t="str">
        <f t="shared" si="828"/>
        <v/>
      </c>
      <c r="T112" s="919" t="str">
        <f>IF(A112=FALSE,"",VLOOKUP($U$15:$U$120,Currency!$A$2:$D$10,4,0)*Crewlist!N112)</f>
        <v/>
      </c>
      <c r="U112" s="1355" t="str">
        <f>IF(A112=FALSE,"",IF(IT112=0,Crewlist!M112&amp;"/"&amp;EX112,Crewlist!M112&amp;"/"&amp;IT112))</f>
        <v/>
      </c>
      <c r="V112" s="919" t="str">
        <f>IF(A112=FALSE,"",VLOOKUP($U$15:$U$120,Currency!$A$2:$D$10,4,0)*Detail!Q112)</f>
        <v/>
      </c>
      <c r="W112" s="1355" t="str">
        <f>IF(A112=FALSE,"",IF(IT112=0,Detail!R112&amp;"/"&amp;EX112,Detail!R112&amp;"/"&amp;IT112))</f>
        <v/>
      </c>
      <c r="X112" s="919" t="str">
        <f>IF(A112=FALSE,"",IF(LISTES!$C$17="Crewlist",Calcul!T112,Calcul!V112))</f>
        <v/>
      </c>
      <c r="Y112" s="758" t="str">
        <f t="shared" si="829"/>
        <v/>
      </c>
      <c r="Z112" s="758" t="str">
        <f>IF(A112=FALSE,"",IF(X112=0,0,IF((Cotations!BC112*12*X112)&lt;50000,50000,(12*X112))))</f>
        <v/>
      </c>
      <c r="AA112" s="758" t="str">
        <f t="shared" si="830"/>
        <v/>
      </c>
      <c r="AB112" s="758" t="str">
        <f>IF(A112=FALSE,"",IF(Crewlist!O112=0,"",Crewlist!O112))</f>
        <v/>
      </c>
      <c r="AC112" s="758" t="str">
        <f>IF(I112="","",VLOOKUP($AB$15:$AB$120,Currency!$A$15:$B$34,2,0))</f>
        <v/>
      </c>
      <c r="AD112" s="758" t="str">
        <f t="shared" si="831"/>
        <v/>
      </c>
      <c r="AE112" s="758" t="str">
        <f t="shared" si="832"/>
        <v/>
      </c>
      <c r="AF112" s="758" t="str">
        <f t="shared" si="833"/>
        <v/>
      </c>
      <c r="AG112" s="758" t="str">
        <f t="shared" si="834"/>
        <v/>
      </c>
      <c r="AH112" s="1355" t="str">
        <f t="shared" si="842"/>
        <v/>
      </c>
      <c r="AI112" s="919" t="str">
        <f t="shared" si="835"/>
        <v/>
      </c>
      <c r="AJ112" s="1382" t="str">
        <f t="shared" si="836"/>
        <v/>
      </c>
      <c r="AK112" s="1382" t="str">
        <f t="shared" si="837"/>
        <v/>
      </c>
      <c r="AL112" s="238" t="str">
        <f t="shared" si="843"/>
        <v/>
      </c>
      <c r="AM112" s="238" t="str">
        <f t="shared" si="844"/>
        <v/>
      </c>
      <c r="AN112" s="1374" t="str">
        <f t="shared" si="845"/>
        <v/>
      </c>
      <c r="AO112" s="238" t="str">
        <f t="shared" si="846"/>
        <v/>
      </c>
      <c r="AP112" s="342" t="str">
        <f>IF(A112=FALSE,"",INDEX(Rates!$Z$5:$Z$367,MATCH(EB112,colchoice,0)))</f>
        <v/>
      </c>
      <c r="AQ112" s="238" t="str">
        <f t="shared" si="847"/>
        <v/>
      </c>
      <c r="AR112" s="238" t="str">
        <f t="shared" si="848"/>
        <v/>
      </c>
      <c r="AS112" s="238" t="str">
        <f t="shared" si="849"/>
        <v/>
      </c>
      <c r="AT112" s="238" t="str">
        <f t="shared" si="850"/>
        <v/>
      </c>
      <c r="AU112" s="238" t="str">
        <f t="shared" si="851"/>
        <v/>
      </c>
      <c r="AV112" s="238" t="str">
        <f t="shared" si="838"/>
        <v/>
      </c>
      <c r="AW112" s="238" t="str">
        <f t="shared" si="852"/>
        <v/>
      </c>
      <c r="AX112" s="238" t="str">
        <f t="shared" si="853"/>
        <v/>
      </c>
      <c r="AY112" s="238" t="str">
        <f t="shared" si="854"/>
        <v/>
      </c>
      <c r="AZ112" s="238" t="str">
        <f t="shared" si="855"/>
        <v/>
      </c>
      <c r="BA112" s="238" t="str">
        <f t="shared" si="856"/>
        <v/>
      </c>
      <c r="BB112" s="552" t="str">
        <f t="shared" si="857"/>
        <v/>
      </c>
      <c r="BC112" s="347" t="str">
        <f t="shared" si="858"/>
        <v/>
      </c>
      <c r="BD112" s="239" t="str">
        <f t="shared" si="839"/>
        <v/>
      </c>
      <c r="BE112" s="239" t="str">
        <f>IF(A112=FALSE,"",IF(ALLTHESAME=TRUE,IF(DF112&lt;&gt;$BC$7,0,INDEX(DD112:DZ112,1,MATCH(Structure!$D$12,$DD$14:$DZ$14,0))),IF(EC112&lt;&gt;$BC$7,0,INDEX(EA112:EZ112,1,MATCH(Structure!$D$12,$EA$14:$EZ$14,0)))))</f>
        <v/>
      </c>
      <c r="BF112" s="239" t="str">
        <f>IF(A112=FALSE,"",IF(ALLTHESAME=TRUE,IF(FC112&lt;&gt;$BC$7,0,INDEX(FA112:FZ112,1,MATCH(Structure!$D$12,$FA$14:$FZ$14,0))),IF(GC112&lt;&gt;$BC$7,0,INDEX(GA112:GZ112,1,MATCH(Structure!$D$12,$GA$14:$GZ$14,0)))))</f>
        <v/>
      </c>
      <c r="BG112" s="239" t="str">
        <f>IF(A112=FALSE,"",IF(ALLTHESAME=TRUE,IF(VC112&lt;&gt;$BC$7,0,INDEX(VA112:VZ112,1,MATCH(Structure!$D$12,$VA$14:$VZ$14,0))),IF(VC112&lt;&gt;$BC$7,0,INDEX(VA112:VZ112,1,MATCH(Structure!$D$12,$VA$14:$VZ$14,0)))))</f>
        <v/>
      </c>
      <c r="BH112" s="239" t="str">
        <f>IF(A112=FALSE,"",IF(ALLTHESAME=TRUE,IF(WC112&lt;&gt;$BC$7,0,INDEX(WA112:WY112,1,MATCH(Structure!$D$12,$WA$14:$WZ$14,0))),IF(WC112&lt;&gt;$BC$7,0,INDEX(WA112:WZ112,1,MATCH(Structure!$D$12,$WA$14:$WZ$14,0)))))</f>
        <v/>
      </c>
      <c r="BI112" s="763" t="str">
        <f>IF(A112=FALSE,"",IF(ALLTHESAME=TRUE,IF(HC112&lt;&gt;$BC$7,0,INDEX(HA112:HZ112,1,MATCH(Structure!$D$12,$HA$14:$HZ$14,0)))+TK112,IF(IC112&lt;&gt;$BC$7,0,INDEX(IA112:IZ112,1,MATCH(Structure!$D$12,$IA$14:$IZ$14,0)))+TK112))</f>
        <v/>
      </c>
      <c r="BJ112" s="239" t="str">
        <f>IF(A112=FALSE,"",IF(ALLTHESAME=TRUE,IF(JC112&lt;&gt;$BC$7,0,INDEX(JA112:JZ112,1,MATCH(Structure!$D$12,$JA$14:$JZ$14,0))),IF(KC112&lt;&gt;$BC$7,0,INDEX(KA112:KZ112,1,MATCH(Structure!$D$12,$KA$14:$KZ$14,0)))))</f>
        <v/>
      </c>
      <c r="BK112" s="763" t="str">
        <f>IF(A112=FALSE,"",IF(ALLTHESAME=TRUE,IF(LC112&lt;&gt;$BC$7,0,INDEX(LA112:LZ112,1,MATCH(Structure!$D$12,$LA$14:$LZ$14,0)))+UK112,IF(MC112&lt;&gt;$BC$7,0,INDEX(MA112:MZ112,1,MATCH(Structure!$D$12,$MA$14:$MZ$14,0)))+UK112))</f>
        <v/>
      </c>
      <c r="BL112" s="239" t="str">
        <f>IF(A112=FALSE,"",IF(ALLTHESAME=TRUE,IF(NC112&lt;&gt;$BC$7,0,INDEX(NA112:NZ112,1,MATCH(Structure!$D$12,$NA$14:$NZ$14,0))),IF(OC112&lt;&gt;$BC$7,0,INDEX(OA112:OZ112,1,MATCH(Structure!$D$12,$OA$14:$OZ$14,0)))))</f>
        <v/>
      </c>
      <c r="BM112" s="239" t="str">
        <f>IF(A112=FALSE,"",IF(ALLTHESAME=TRUE,IF(PC112&lt;&gt;$BC$7,0,INDEX(PA112:PZ112,1,MATCH(Structure!$D$12,$PA$14:$PZ$14,0))),IF(QC112&lt;&gt;$BC$7,0,INDEX(QA112:QZ112,1,MATCH(Structure!$D$12,$QA$14:$QZ$14,0)))))</f>
        <v/>
      </c>
      <c r="BN112" s="341" t="str">
        <f>IF(A112=FALSE,"",IF(ALLTHESAME=TRUE,IF(RC112&lt;&gt;$BC$7,0,INDEX(RA112:RZ112,1,MATCH(Structure!$D$12,$RA$14:$RZ$14,0))),IF(SC112&lt;&gt;$BC$7,0,INDEX(SA112:TA112,1,MATCH(Structure!$D$12,$SA$14:$TA$14,0)))))</f>
        <v/>
      </c>
      <c r="BO112" s="507" t="str">
        <f t="shared" si="859"/>
        <v/>
      </c>
      <c r="BP112" s="239" t="str">
        <f t="shared" si="860"/>
        <v/>
      </c>
      <c r="BQ112" s="239" t="str">
        <f>IF(A112=FALSE,"",IF(ALLTHESAME=TRUE,IF(DF112&lt;&gt;$BO$7,0,INDEX(DD112:DZ112,1,MATCH(Structure!$D$12,$DD$14:$DZ$14,0))),IF(EC112&lt;&gt;$BO$7,0,INDEX(EA112:EZ112,1,MATCH(Structure!$D$12,$EA$14:$EZ$14,0)))))</f>
        <v/>
      </c>
      <c r="BR112" s="239" t="str">
        <f>IF(A112=FALSE,"",IF(ALLTHESAME=TRUE,IF(FC112&lt;&gt;$BO$7,0,INDEX(FA112:FZ112,1,MATCH(Structure!$D$12,$FA$14:$FZ$14,0))),IF(GC112&lt;&gt;$BO$7,0,INDEX(GA112:GZ112,1,MATCH(Structure!$D$12,$GA$14:$GZ$14,0)))))</f>
        <v/>
      </c>
      <c r="BS112" s="239" t="str">
        <f>IF(A112=FALSE,"",IF(ALLTHESAME=TRUE,IF(HC112&lt;&gt;$BO$7,0,INDEX(HA112:HZ112,1,MATCH(Structure!$D$12,$HA$14:$HZ$14,0))),IF(IC112&lt;&gt;$BO$7,0,INDEX(IA112:IZ112,1,MATCH(Structure!$D$12,$IA$14:$IZ$14,0)))))</f>
        <v/>
      </c>
      <c r="BT112" s="239" t="str">
        <f>IF(A112=FALSE,"",IF(ALLTHESAME=TRUE,IF(JC112&lt;&gt;$BO$7,0,INDEX(JA112:JZ112,1,MATCH(Structure!$D$12,$JA$14:$JZ$14,0))),IF(KC112&lt;&gt;$BO$7,0,INDEX(KA112:KZ112,1,MATCH(Structure!$D$12,$KA$14:$KZ$14,0)))))</f>
        <v/>
      </c>
      <c r="BU112" s="239" t="str">
        <f>IF(A112=FALSE,"",IF(ALLTHESAME=TRUE,IF(LC112&lt;&gt;$BO$7,0,INDEX(LA112:LZ112,1,MATCH(Structure!$D$12,$LA$14:$LZ$14,0))),IF(MC112&lt;&gt;$BO$7,0,INDEX(MA112:MZ112,1,MATCH(Structure!$D$12,$MA$14:$MZ$14,0)))))</f>
        <v/>
      </c>
      <c r="BV112" s="239" t="str">
        <f>IF(A112=FALSE,"",IF(ALLTHESAME=TRUE,IF(NC112&lt;&gt;$BO$7,0,INDEX(NA112:NZ112,1,MATCH(Structure!$D$12,$NA$14:$NZ$14,0))),IF(OC112&lt;&gt;$BO$7,0,INDEX(OA112:OZ112,1,MATCH(Structure!$D$12,$OA$14:$OZ$14,0)))))</f>
        <v/>
      </c>
      <c r="BW112" s="239" t="str">
        <f>IF(A112=FALSE,"",IF(ALLTHESAME=TRUE,IF(PC112&lt;&gt;$BO$7,0,INDEX(PA112:PZ112,1,MATCH(Structure!$D$12,$PA$14:$PZ$14,0))),IF(QC112&lt;&gt;$BO$7,0,INDEX(QA112:QZ112,1,MATCH(Structure!$D$12,$QA$14:$QZ$14,0)))))</f>
        <v/>
      </c>
      <c r="BX112" s="341" t="str">
        <f>IF(A112=FALSE,"",IF(ALLTHESAME=TRUE,IF(RC112&lt;&gt;$BO$7,0,INDEX(RA112:RZ112,1,MATCH(Structure!$D$12,$RA$14:$RZ$14,0))),IF(SC112&lt;&gt;$BO$7,0,INDEX(SA112:TA112,1,MATCH(Structure!$D$12,$SA$14:$TA$14,0)))))</f>
        <v/>
      </c>
      <c r="BY112" s="347" t="str">
        <f t="shared" si="861"/>
        <v/>
      </c>
      <c r="BZ112" s="507" t="str">
        <f t="shared" si="862"/>
        <v/>
      </c>
      <c r="CA112" s="239" t="str">
        <f t="shared" si="863"/>
        <v/>
      </c>
      <c r="CB112" s="239" t="str">
        <f>IF(A112=FALSE,"",IF(ALLTHESAME=TRUE,INDEX(DD112:DZ112,MATCH(DF112,DF112:DF217,0),MATCH(Structure!$D$17,$DD$14:$DZ$14,0)),INDEX(EA112:EZ112,MATCH(EC112,EC112:EC217,0),MATCH(Structure!$D$17,$EA$14:$EZ$14,0))))</f>
        <v/>
      </c>
      <c r="CC112" s="239" t="str">
        <f>IF(A112=FALSE,"",IF(ALLTHESAME=TRUE,INDEX(FA112:FZ112,MATCH(FC112,FC112:FC217,0),MATCH(Structure!$D$17,$FA$14:$FZ$14,0)),INDEX(GA112:GZ112,MATCH(GC112,GC112:GC217,0),MATCH(Structure!$D$17,$GA$14:$GZ$14,0))))</f>
        <v/>
      </c>
      <c r="CD112" s="239" t="str">
        <f>IF(A112=FALSE,"",IF(ALLTHESAME=TRUE,INDEX(HA112:HZ112,MATCH(HC112,HC112:HC217,0),MATCH(Structure!$D$17,$HA$14:$HZ$14,0)),INDEX(IA112:IZ112,MATCH(IC112,IC112:IC217,0),MATCH(Structure!$D$17,$IA$14:$IZ$14,0))))</f>
        <v/>
      </c>
      <c r="CE112" s="239" t="str">
        <f>IF(A112=FALSE,"",IF(ALLTHESAME=TRUE,INDEX(JA112:JZ112,MATCH(JC112,JC112:JC217,0),MATCH(Structure!$D$17,$JA$14:$JZ$14,0)),INDEX(KA112:KZ112,MATCH(KC112,KC112:KC217,0),MATCH(Structure!$D$17,$KA$14:$KZ$14,0))))</f>
        <v/>
      </c>
      <c r="CF112" s="239" t="str">
        <f>IF(A112=FALSE,"",IF(ALLTHESAME=TRUE,INDEX(LA112:LZ112,MATCH(LC112,LC112:LC217,0),MATCH(Structure!$D$17,$LA$14:$LZ$14,0)),INDEX(MA112:MZ112,MATCH(MC112,MC112:MC217,0),MATCH(Structure!$D$17,$MA$14:$MZ$14,0))))</f>
        <v/>
      </c>
      <c r="CG112" s="239" t="str">
        <f>IF(A112=FALSE,"",IF(ALLTHESAME=TRUE,INDEX(NA112:NZ112,MATCH(NC112,NC112:NC217,0),MATCH(Structure!$D$17,$NA$14:$NZ$14,0)),INDEX(OA112:OZ112,MATCH(OC112,OC112:OC217,0),MATCH(Structure!$D$17,$OA$14:$OZ$14,0))))</f>
        <v/>
      </c>
      <c r="CH112" s="239" t="str">
        <f>IF(A112=FALSE,"",IF(ALLTHESAME=TRUE,INDEX(PA112:PZ112,MATCH(PC112,PC112:PC217,0),MATCH(Structure!$D$17,$PA$14:$PZ$14,0)),INDEX(QA112:QZ112,MATCH(QC112,QC112:QC217,0),MATCH(Structure!$D$17,$QA$14:$QZ$14,0))))</f>
        <v/>
      </c>
      <c r="CI112" s="341" t="str">
        <f>IF(A112=FALSE,"",IF(ALLTHESAME=TRUE,INDEX(RA112:RZ112,MATCH(RC112,RC112:RC217,0),MATCH(Structure!$D$17,$RA$14:$RZ$14,0)),INDEX(SA112:TC112,MATCH(SC112,SC112:SC217,0),MATCH(Structure!$D$17,$SA$14:$TC$14,0))))</f>
        <v/>
      </c>
      <c r="CJ112" s="347"/>
      <c r="CK112" s="239" t="str">
        <f t="shared" si="864"/>
        <v/>
      </c>
      <c r="CL112" s="239" t="str">
        <f>IF(A112=FALSE,"",IF(ALLTHESAME=TRUE,INDEX(DD112:DZ112,MATCH(DF112,DF112:DF217,0),MATCH(Structure!$D$22,$DD$14:$DZ$14,0)),INDEX(EA112:EZ112,MATCH(EC112,EC112:EC217,0),MATCH(Structure!$D$22,$EA$14:$EZ$14,0))))</f>
        <v/>
      </c>
      <c r="CM112" s="239" t="str">
        <f>IF(A112=FALSE,"",IF(ALLTHESAME=TRUE,INDEX(FA112:FZ112,MATCH(FC112,FC112:FC217,0),MATCH(Structure!$D$22,$FA$14:$FZ$14,0)),INDEX(GA112:GZ112,MATCH(GC112,GC112:GC217,0),MATCH(Structure!$D$22,$GA$14:$GZ$14,0))))</f>
        <v/>
      </c>
      <c r="CN112" s="239" t="str">
        <f>IF(A112=FALSE,"",IF(ALLTHESAME=TRUE,INDEX(HA112:HZ112,MATCH(HC112,HC112:HC217,0),MATCH(Structure!$D$22,$HA$14:$HZ$14,0)),INDEX(IA112:IZ112,MATCH(IC112,IC112:IC217,0),MATCH(Structure!$D$22,$IA$14:$IZ$14,0))))</f>
        <v/>
      </c>
      <c r="CO112" s="239" t="str">
        <f>IF(A112=FALSE,"",IF(ALLTHESAME=TRUE,INDEX(JA112:JZ112,MATCH(JC112,JC112:JC217,0),MATCH(Structure!$D$22,$JA$14:$JZ$14,0)),INDEX(KA112:KZ112,MATCH(KC112,KC112:KC217,0),MATCH(Structure!$D$22,$KA$14:$KZ$14,0))))</f>
        <v/>
      </c>
      <c r="CP112" s="239" t="str">
        <f>IF(A112=FALSE,"",IF(ALLTHESAME=TRUE,INDEX(LA112:LZ112,MATCH(LC112,LC112:LC217,0),MATCH(Structure!$D$22,$LA$14:$LZ$14,0)),INDEX(MA112:MZ112,MATCH(MC112,MC112:MC217,0),MATCH(Structure!$D$22,$MA$14:$MZ$14,0))))</f>
        <v/>
      </c>
      <c r="CQ112" s="239" t="str">
        <f>IF(A112=FALSE,"",IF(ALLTHESAME=TRUE,INDEX(NA112:NZ112,MATCH(NC112,NC112:NC217,0),MATCH(Structure!$D$22,$NA$14:$NZ$14,0)),INDEX(OA112:OZ112,MATCH(OC112,OC112:OC217,0),MATCH(Structure!$D$22,$OA$14:$OZ$14,0))))</f>
        <v/>
      </c>
      <c r="CR112" s="239" t="str">
        <f>IF(A112=FALSE,"",IF(ALLTHESAME=TRUE,INDEX(PA112:PZ112,MATCH(PC112,PC112:PC217,0),MATCH(Structure!$D$22,$PA$14:$PZ$14,0)),INDEX(QA112:QZ112,MATCH(QC112,QC112:QC217,0),MATCH(Structure!$D$22,$QA$14:$QZ$14,0))))</f>
        <v/>
      </c>
      <c r="CS112" s="341" t="str">
        <f>IF(A112=FALSE,"",IF(ALLTHESAME=TRUE,INDEX(RA112:RZ112,MATCH(RC112,RC112:RC217,0),MATCH(Structure!$D$22,$RA$14:$RZ$14,0)),INDEX(SA112:TC112,MATCH(SC112,SC112:SC217,0),MATCH(Structure!$D$22,$SA$14:$TC$14,0))))</f>
        <v/>
      </c>
      <c r="CT112" s="347"/>
      <c r="CU112" s="239" t="str">
        <f t="shared" si="865"/>
        <v/>
      </c>
      <c r="CV112" s="239" t="str">
        <f>IF(A112=FALSE,"",IF(ALLTHESAME=TRUE,INDEX(DD112:DZ112,MATCH(DF112,DF112:DF217,0),MATCH(Structure!$D$8,$DD$14:$DZ$14,0)),INDEX(EA112:EZ112,MATCH(EC112,EC112:EC217,0),MATCH(Structure!$D$8,$EA$14:$EZ$14,0))))</f>
        <v/>
      </c>
      <c r="CW112" s="239" t="str">
        <f>IF(A112=FALSE,"",IF(ALLTHESAME=TRUE,INDEX(FA112:FZ112,MATCH(FC112,FC112:FC217,0),MATCH(Structure!$D$8,$FA$14:$FZ$14,0)),INDEX(GA112:GZ112,MATCH(GC112,GC112:GC217,0),MATCH(Structure!$D$8,$GA$14:$GZ$14,0))))</f>
        <v/>
      </c>
      <c r="CX112" s="239" t="str">
        <f>IF(A112=FALSE,"",IF(ALLTHESAME=TRUE,INDEX(HA112:HZ112,MATCH(HC112,HC112:HC217,0),MATCH(Structure!$D$8,$HA$14:$HZ$14,0)),INDEX(IA112:IZ112,MATCH(IC112,IC112:IC217,0),MATCH(Structure!$D$8,$IA$14:$IZ$14,0))))</f>
        <v/>
      </c>
      <c r="CY112" s="239" t="str">
        <f>IF(A112=FALSE,"",IF(ALLTHESAME=TRUE,INDEX(JA112:JZ112,MATCH(JC112,JC112:JC217,0),MATCH(Structure!$D$8,$JA$14:$JZ$14,0)),INDEX(KA112:KZ112,MATCH(KC112,KC112:KC217,0),MATCH(Structure!$D$8,$KA$14:$KZ$14,0))))</f>
        <v/>
      </c>
      <c r="CZ112" s="239" t="str">
        <f>IF(A112=FALSE,"",IF(ALLTHESAME=TRUE,INDEX(LA112:LZ112,MATCH(LC112,LC112:LC217,0),MATCH(Structure!$D$8,$LA$14:$LZ$14,0)),INDEX(MA112:MZ112,MATCH(MC112,MC112:MC217,0),MATCH(Structure!$D$8,$MA$14:$MZ$14,0))))</f>
        <v/>
      </c>
      <c r="DA112" s="239" t="str">
        <f>IF(A112=FALSE,"",IF(ALLTHESAME=TRUE,INDEX(NA112:NZ112,MATCH(NC112,NC112:NC217,0),MATCH(Structure!$D$8,$NA$14:$NZ$14,0)),INDEX(OA112:OZ112,MATCH(OC112,OC112:OC217,0),MATCH(Structure!$D$8,$OA$14:$OZ$14,0))))</f>
        <v/>
      </c>
      <c r="DB112" s="239" t="str">
        <f>IF(A112=FALSE,"",IF(ALLTHESAME=TRUE,INDEX(PA112:PZ112,MATCH(PC112,PC112:PC217,0),MATCH(Structure!$D$8,$PA$14:$PZ$14,0)),INDEX(QA112:QZ112,MATCH(QC112,QC112:QC217,0),MATCH(Structure!$D$8,$QA$14:$QZ$14,0))))</f>
        <v/>
      </c>
      <c r="DC112" s="341" t="str">
        <f>IF(A112=FALSE,"",IF(ALLTHESAME=TRUE,INDEX(RA112:RZ112,MATCH(RC112,RC112:RC217,0),MATCH(Structure!$D$8,$RA$14:$RZ$14,0)),INDEX(SA112:TC112,MATCH(SC112,SC112:SC217,0),MATCH(Structure!$D$8,$SA$14:$TC$14,0))))</f>
        <v/>
      </c>
      <c r="DD112" s="492" t="str">
        <f>IF(A112=FALSE,"",Cotations!D112)</f>
        <v/>
      </c>
      <c r="DE112" s="492" t="str">
        <f>IF(A112=FALSE,"",IF(LISTES!$A$17=1,Cotations!AF112,Cotations!$AG$4))</f>
        <v/>
      </c>
      <c r="DF112" s="291" t="str">
        <f t="shared" si="866"/>
        <v/>
      </c>
      <c r="DG112" s="291" t="str">
        <f t="shared" si="867"/>
        <v/>
      </c>
      <c r="DH112" s="291"/>
      <c r="DI112" s="463"/>
      <c r="DJ112" s="463" t="str">
        <f t="shared" si="868"/>
        <v/>
      </c>
      <c r="DK112" s="522" t="str">
        <f>IF(A112=FALSE,"",IF(Cotations!$AH$4="monthly",DJ112/12*L112,DJ112/365*M112))</f>
        <v/>
      </c>
      <c r="DL112" s="489" t="str">
        <f>IF(A112=FALSE,"",Cotations!$AI$4)</f>
        <v/>
      </c>
      <c r="DM112" s="300" t="str">
        <f t="shared" si="869"/>
        <v/>
      </c>
      <c r="DN112" s="300" t="str">
        <f t="shared" si="870"/>
        <v/>
      </c>
      <c r="DO112" s="294" t="str">
        <f t="shared" si="871"/>
        <v/>
      </c>
      <c r="DP112" s="494" t="str">
        <f>IF(A112=FALSE,"",Cotations!$AJ$4)</f>
        <v/>
      </c>
      <c r="DQ112" s="494" t="str">
        <f>IF(A112=FALSE,"",Cotations!$AK$4)</f>
        <v/>
      </c>
      <c r="DR112" s="489" t="str">
        <f>IF(A112=FALSE,"",Cotations!$AL$4)</f>
        <v/>
      </c>
      <c r="DS112" s="494" t="str">
        <f>IF(A112=FALSE,"",IF(DP112="N/A",0,IF(INDEX(LISTES!$F$105:$F$109,MATCH(DP112,LISTES!$C$105:$C$109,0))="FIX",IF(INDEX(LISTES!$E$105:$E$109,MATCH(DP112,LISTES!$C$105:$C$109,0))=12,DQ112/12*L112,DQ112/365*M112),DR112*DO112)))</f>
        <v/>
      </c>
      <c r="DT112" s="294" t="str">
        <f t="shared" si="872"/>
        <v/>
      </c>
      <c r="DU112" s="294" t="str">
        <f>IF(A112=FALSE,"",DT112*Cotations!$AM$4)</f>
        <v/>
      </c>
      <c r="DV112" s="294" t="str">
        <f>IF(A112=FALSE,"",DT112*Cotations!$AN$4)</f>
        <v/>
      </c>
      <c r="DW112" s="465" t="str">
        <f t="shared" si="873"/>
        <v/>
      </c>
      <c r="DX112" s="919" t="str">
        <f>IF(A112=FALSE,"",((DJ112*TAXE)-(DJ112*TAXE*DL112))+IF(DP112="N/A",0,IF(INDEX(LISTES!$F$105:$F$109,MATCH(DP112,LISTES!$C$105:$C$109,0))="FIX",DQ112,DR112*DO112)))</f>
        <v/>
      </c>
      <c r="DY112" s="466"/>
      <c r="DZ112" s="466"/>
      <c r="EA112" s="492" t="str">
        <f>IF(A112=FALSE,"",Cotations!D112)</f>
        <v/>
      </c>
      <c r="EB112" s="494" t="str">
        <f>IF(A112=FALSE,"",IF(LISTES!$A$17=1,Cotations!AF112,Cotations!AG112))</f>
        <v/>
      </c>
      <c r="EC112" s="284" t="str">
        <f t="shared" si="874"/>
        <v/>
      </c>
      <c r="ED112" s="284" t="str">
        <f t="shared" si="875"/>
        <v/>
      </c>
      <c r="EE112" s="284"/>
      <c r="EF112" s="284"/>
      <c r="EG112" s="284" t="str">
        <f t="shared" si="876"/>
        <v/>
      </c>
      <c r="EH112" s="1365" t="str">
        <f t="shared" si="877"/>
        <v/>
      </c>
      <c r="EI112" s="1365" t="str">
        <f t="shared" si="878"/>
        <v/>
      </c>
      <c r="EJ112" s="515" t="str">
        <f>IF(A112=FALSE,"",IF(Cotations!AH112="monthly",EG112/12*L112,EG112/365*M112))</f>
        <v/>
      </c>
      <c r="EK112" s="1364" t="str">
        <f>IF(A112=FALSE,"",IF(Cotations!AH112="monthly",EI112/12*L112,EI112/365*M112))</f>
        <v/>
      </c>
      <c r="EL112" s="493" t="str">
        <f>IF(A112=FALSE,"",IF(Cotations!AI112="","",Cotations!AI112))</f>
        <v/>
      </c>
      <c r="EM112" s="284" t="str">
        <f t="shared" si="879"/>
        <v/>
      </c>
      <c r="EN112" s="284" t="str">
        <f t="shared" si="880"/>
        <v/>
      </c>
      <c r="EO112" s="1365" t="str">
        <f t="shared" si="840"/>
        <v/>
      </c>
      <c r="EP112" s="284" t="str">
        <f t="shared" si="881"/>
        <v/>
      </c>
      <c r="EQ112" s="515" t="str">
        <f>IF(A112=FALSE,"",Cotations!AJ112)</f>
        <v/>
      </c>
      <c r="ER112" s="515" t="str">
        <f>IF(A112=FALSE,"",IF(Cotations!AK112="","",Cotations!AK112))</f>
        <v/>
      </c>
      <c r="ES112" s="493" t="str">
        <f>IF(A112=FALSE,"",Cotations!AL112)</f>
        <v/>
      </c>
      <c r="ET112" s="515" t="str">
        <f>IF(A112=FALSE,"",IF(EQ112="N/A",0,IF(INDEX(LISTES!$F$105:$F$109,MATCH(EQ112,LISTES!$C$105:$C$109,0))="FIX",IF(INDEX(LISTES!$E$105:$E$109,MATCH(EQ112,LISTES!$C$105:$C$109,0))=12,ER112/12*L112,ER112/365*M112),ES112*EP112)))</f>
        <v/>
      </c>
      <c r="EU112" s="294" t="str">
        <f t="shared" si="882"/>
        <v/>
      </c>
      <c r="EV112" s="494" t="str">
        <f>IF(A112=FALSE,"",EU112*Cotations!AM112)</f>
        <v/>
      </c>
      <c r="EW112" s="494" t="str">
        <f>IF(A112=FALSE,"",EU112*Cotations!AN112)</f>
        <v/>
      </c>
      <c r="EX112" s="334" t="str">
        <f t="shared" si="883"/>
        <v/>
      </c>
      <c r="EY112" s="919" t="str">
        <f>IF(A112=FALSE,"",((EG112*TAXE)-(EG112*TAXE*EL112)+EH112)+IF(EQ112="N/A",0,IF(INDEX(LISTES!$F$105:$F$109,MATCH(EQ112,LISTES!$C$105:$C$109,0))="FIX",ER112,ES112*EP112)))</f>
        <v/>
      </c>
      <c r="FA112" s="492" t="str">
        <f>IF(A112=FALSE,"",Cotations!D112)</f>
        <v/>
      </c>
      <c r="FB112" s="519" t="str">
        <f>IF(A112=FALSE,"",IF(LISTES!$A$17=1,Cotations!AO112,Cotations!$AP$4))</f>
        <v/>
      </c>
      <c r="FC112" s="291" t="str">
        <f t="shared" si="884"/>
        <v/>
      </c>
      <c r="FD112" s="291" t="str">
        <f t="shared" si="885"/>
        <v/>
      </c>
      <c r="FE112" s="291"/>
      <c r="FF112" s="463"/>
      <c r="FG112" s="463" t="str">
        <f t="shared" si="886"/>
        <v/>
      </c>
      <c r="FH112" s="522" t="str">
        <f>IF(A112=FALSE,"",IF(Cotations!$AQ$4="monthly",FG112/12*L112,FG112/365*M112))</f>
        <v/>
      </c>
      <c r="FI112" s="453" t="str">
        <f>IF(A112=FALSE,"",Cotations!$AR$4)</f>
        <v/>
      </c>
      <c r="FJ112" s="300" t="str">
        <f t="shared" si="887"/>
        <v/>
      </c>
      <c r="FK112" s="300" t="str">
        <f t="shared" si="888"/>
        <v/>
      </c>
      <c r="FL112" s="294" t="str">
        <f t="shared" si="889"/>
        <v/>
      </c>
      <c r="FM112" s="494" t="str">
        <f>IF(A112=FALSE,"",Cotations!$AS$4)</f>
        <v/>
      </c>
      <c r="FN112" s="494" t="str">
        <f>IF(A112=FALSE,"",Cotations!$AT$4)</f>
        <v/>
      </c>
      <c r="FO112" s="489" t="str">
        <f>IF(A112=FALSE,"",Cotations!$AU$4)</f>
        <v/>
      </c>
      <c r="FP112" s="494" t="str">
        <f>IF(A112=FALSE,"",IF(FM112="N/A",0,IF(INDEX(LISTES!$F$105:$F$109,MATCH(FM112,LISTES!$C$105:$C$109,0))="FIX",IF(INDEX(LISTES!$E$105:$E$109,MATCH(FM112,LISTES!$C$105:$C$109,0))=12,FN112/12*L112,FN112/365*M112),FO112*FL112)))</f>
        <v/>
      </c>
      <c r="FQ112" s="294" t="str">
        <f t="shared" si="890"/>
        <v/>
      </c>
      <c r="FR112" s="494" t="str">
        <f>IF(A112=FALSE,"",FQ112*Cotations!$AV$4)</f>
        <v/>
      </c>
      <c r="FS112" s="494" t="str">
        <f>IF(A112=FALSE,"",FQ112*Cotations!$AW$4)</f>
        <v/>
      </c>
      <c r="FT112" s="465" t="str">
        <f t="shared" si="891"/>
        <v/>
      </c>
      <c r="FU112" s="919" t="str">
        <f>IF(A112=FALSE,"",((FG112*TAXE)-(FG112*TAXE*FI112))+IF(FM112="N/A",0,IF(INDEX(LISTES!$F$105:$F$109,MATCH(FM112,LISTES!$C$105:$C$109,0))="FIX",FN112,FO112*FL112)))</f>
        <v/>
      </c>
      <c r="FV112" s="478"/>
      <c r="FW112" s="478"/>
      <c r="FX112" s="478"/>
      <c r="FY112" s="478"/>
      <c r="FZ112" s="478"/>
      <c r="GA112" s="492" t="str">
        <f>IF(A112=FALSE,"",Cotations!D112)</f>
        <v/>
      </c>
      <c r="GB112" s="494" t="str">
        <f>IF(A112=FALSE,"",IF(LISTES!$A$17=1,Cotations!AO112,Cotations!AP112))</f>
        <v/>
      </c>
      <c r="GC112" s="284" t="str">
        <f t="shared" si="892"/>
        <v/>
      </c>
      <c r="GD112" s="515" t="str">
        <f>IF(A112=FALSE,"",IF(Detail!AM112="","",Detail!AM112))</f>
        <v/>
      </c>
      <c r="GE112" s="284"/>
      <c r="GF112" s="284"/>
      <c r="GG112" s="284" t="str">
        <f t="shared" si="893"/>
        <v/>
      </c>
      <c r="GH112" s="515" t="str">
        <f>IF(A112=FALSE,"",IF(Cotations!AQ112="monthly",GG112/12*L112,GG112/365*M112))</f>
        <v/>
      </c>
      <c r="GI112" s="493" t="str">
        <f>IF(A112=FALSE,"",IF(Cotations!AR112="","",Cotations!AR112))</f>
        <v/>
      </c>
      <c r="GJ112" s="284" t="str">
        <f t="shared" si="894"/>
        <v/>
      </c>
      <c r="GK112" s="284" t="str">
        <f t="shared" si="895"/>
        <v/>
      </c>
      <c r="GL112" s="284" t="str">
        <f t="shared" si="896"/>
        <v/>
      </c>
      <c r="GM112" s="515" t="str">
        <f>IF(A112=FALSE,"",Cotations!AS112)</f>
        <v/>
      </c>
      <c r="GN112" s="515" t="str">
        <f>IF(A112=FALSE,"",Cotations!AT112)</f>
        <v/>
      </c>
      <c r="GO112" s="493" t="str">
        <f>IF(A112=FALSE,"",Cotations!AU112)</f>
        <v/>
      </c>
      <c r="GP112" s="515" t="str">
        <f>IF(A112=FALSE,"",IF(GM112="N/A",0,IF(INDEX(LISTES!$F$105:$F$109,MATCH(GM112,LISTES!$C$105:$C$109,0))="FIX",IF(INDEX(LISTES!$E$105:$E$109,MATCH(GM112,LISTES!$C$105:$C$109,0))=12,GN112/12*L112,GN112/365*M112),GO112*GL112)))</f>
        <v/>
      </c>
      <c r="GQ112" s="294" t="str">
        <f t="shared" si="897"/>
        <v/>
      </c>
      <c r="GR112" s="494" t="str">
        <f>IF(A112=FALSE,"",GQ112*Cotations!AV112)</f>
        <v/>
      </c>
      <c r="GS112" s="494" t="str">
        <f>IF(A112=FALSE,"",GQ112*Cotations!AW112)</f>
        <v/>
      </c>
      <c r="GT112" s="334" t="str">
        <f t="shared" si="898"/>
        <v/>
      </c>
      <c r="GU112" s="919" t="str">
        <f>IF(A112=FALSE,"",((GG112*TAXE)-(GG112*TAXE*GI112))+IF(GM112="N/A",0,IF(INDEX(LISTES!$F$105:$F$109,MATCH(GM112,LISTES!$C$105:$C$109,0))="FIX",GN112,GO112*GL112)))</f>
        <v/>
      </c>
      <c r="GV112" s="478"/>
      <c r="GW112" s="466"/>
      <c r="GX112" s="466"/>
      <c r="GY112" s="466"/>
      <c r="GZ112" s="466"/>
      <c r="HA112" s="492" t="str">
        <f>IF(A112=FALSE,"",Cotations!D112)</f>
        <v/>
      </c>
      <c r="HB112" s="495" t="str">
        <f>IF(A112=FALSE,"",IF(LISTES!$A$17=1,Cotations!AX112,Cotations!$AY$4))</f>
        <v/>
      </c>
      <c r="HC112" s="291" t="str">
        <f t="shared" si="899"/>
        <v/>
      </c>
      <c r="HD112" s="291" t="str">
        <f t="shared" si="900"/>
        <v/>
      </c>
      <c r="HE112" s="456" t="str">
        <f t="shared" si="901"/>
        <v/>
      </c>
      <c r="HF112" s="496" t="str">
        <f>IF(A112=FALSE,"",IF(HA112="POEA",Cotations!BA112,IF(HA112="FIXE",Cotations!$BA$4,Cotations!$BC$4*Y112)))</f>
        <v/>
      </c>
      <c r="HG112" s="300" t="str">
        <f t="shared" si="902"/>
        <v/>
      </c>
      <c r="HH112" s="522" t="str">
        <f>IF(A112=FALSE,"",IF(Cotations!$AZ$4="monthly",HG112/12*L112,HG112/365*M112))</f>
        <v/>
      </c>
      <c r="HI112" s="489" t="str">
        <f>IF(A112=FALSE,"",Cotations!$BD$4)</f>
        <v/>
      </c>
      <c r="HJ112" s="300" t="str">
        <f t="shared" si="903"/>
        <v/>
      </c>
      <c r="HK112" s="300" t="str">
        <f t="shared" si="904"/>
        <v/>
      </c>
      <c r="HL112" s="294" t="str">
        <f t="shared" si="905"/>
        <v/>
      </c>
      <c r="HM112" s="494" t="str">
        <f>IF(A112=FALSE,"",Cotations!$BE$4)</f>
        <v/>
      </c>
      <c r="HN112" s="522" t="str">
        <f>IF(A112=FALSE,"",Cotations!$BF$4)</f>
        <v/>
      </c>
      <c r="HO112" s="489" t="str">
        <f>IF(A112=FALSE,"",Cotations!$BG$4)</f>
        <v/>
      </c>
      <c r="HP112" s="494" t="str">
        <f>IF(A112=FALSE,"",IF(HM112="N/A",0,IF(INDEX(LISTES!$F$105:$F$109,MATCH(HM112,LISTES!$C$105:$C$109,0))="FIX",IF(INDEX(LISTES!$E$105:$E$109,MATCH(HM112,LISTES!$C$105:$C$109,0))=12,HN112/12*L112,HN112/365*M112),HO112*HL112)))</f>
        <v/>
      </c>
      <c r="HQ112" s="294" t="str">
        <f t="shared" si="906"/>
        <v/>
      </c>
      <c r="HR112" s="494" t="str">
        <f>IF(A112=FALSE,"",HQ112*Cotations!$BH$4)</f>
        <v/>
      </c>
      <c r="HS112" s="494" t="str">
        <f>IF(A112=FALSE,"",HQ112*Cotations!$BI$4)</f>
        <v/>
      </c>
      <c r="HT112" s="294" t="str">
        <f t="shared" si="907"/>
        <v/>
      </c>
      <c r="HU112" s="919" t="str">
        <f>IF(A112=FALSE,"",((HG112*TAXE)-(HG112*TAXE*HI112))+IF(HM112="N/A",0,IF(INDEX(LISTES!$F$105:$F$109,MATCH(HM112,LISTES!$C$105:$C$109,0))="FIX",HN112,HO112*HL112)))</f>
        <v/>
      </c>
      <c r="IA112" s="492" t="str">
        <f>IF(A112=FALSE,"",Cotations!D112)</f>
        <v/>
      </c>
      <c r="IB112" s="491" t="str">
        <f>IF(A112=FALSE,"",IF(LISTES!$A$17=1,Cotations!AX112,Cotations!AY112))</f>
        <v/>
      </c>
      <c r="IC112" s="285" t="str">
        <f t="shared" si="908"/>
        <v/>
      </c>
      <c r="ID112" s="300" t="str">
        <f>IF(A112=FALSE,"",IF(LISTES!$A$17=3,Detail!AU112,lig1_Formula_PREVOY))</f>
        <v/>
      </c>
      <c r="IE112" s="461" t="str">
        <f t="shared" si="909"/>
        <v/>
      </c>
      <c r="IF112" s="490" t="str">
        <f>IF(A112=FALSE,"",IF(IA112="POEA",Cotations!BA112,IF(HA112="FIXE",Cotations!BB112,IF(Cotations!BC112*Y112&lt;50000,Z112,Cotations!BC112*Y112))))</f>
        <v/>
      </c>
      <c r="IG112" s="300" t="str">
        <f t="shared" si="910"/>
        <v/>
      </c>
      <c r="IH112" s="522" t="str">
        <f>IF(A112=FALSE,"",IF(Cotations!AZ112="monthly",IG112/12*L112,IG112/365*M112))</f>
        <v/>
      </c>
      <c r="II112" s="489" t="str">
        <f>IF(A112=FALSE,"",IF(Cotations!BD112="","",Cotations!BD112))</f>
        <v/>
      </c>
      <c r="IJ112" s="300" t="str">
        <f t="shared" si="911"/>
        <v/>
      </c>
      <c r="IK112" s="300" t="str">
        <f t="shared" si="912"/>
        <v/>
      </c>
      <c r="IL112" s="919" t="str">
        <f t="shared" si="913"/>
        <v/>
      </c>
      <c r="IM112" s="517" t="str">
        <f>IF(A112=FALSE,"",Cotations!BE112)</f>
        <v/>
      </c>
      <c r="IN112" s="517" t="str">
        <f>IF(A112=FALSE,"",Cotations!BF112)</f>
        <v/>
      </c>
      <c r="IO112" s="493" t="str">
        <f>IF(A112=FALSE,"",Cotations!BG112)</f>
        <v/>
      </c>
      <c r="IP112" s="517" t="str">
        <f>IF(A112=FALSE,"",IF(IM112="N/A",0,IF(INDEX(LISTES!$F$105:$F$109,MATCH(IM112,LISTES!$C$105:$C$109,0))="FIX",IF(INDEX(LISTES!$E$105:$E$109,MATCH(IM112,LISTES!$C$105:$C$109,0))=12,IN112/12*L112,IN112/365*M112),IO112*IL112)))</f>
        <v/>
      </c>
      <c r="IQ112" s="294" t="str">
        <f t="shared" si="914"/>
        <v/>
      </c>
      <c r="IR112" s="494" t="str">
        <f>IF(A112=FALSE,"",IQ112*Cotations!BH112)</f>
        <v/>
      </c>
      <c r="IS112" s="494" t="str">
        <f>IF(A112=FALSE,"",IQ112*Cotations!BI112)</f>
        <v/>
      </c>
      <c r="IT112" s="338" t="str">
        <f t="shared" si="915"/>
        <v/>
      </c>
      <c r="IU112" s="919" t="str">
        <f>IF(A112=FALSE,"",((IG112*TAXE)-(IG112*TAXE*II112))+IF(IM112="N/A",0,IF(INDEX(LISTES!$F$105:$F$109,MATCH(IM112,LISTES!$C$105:$C$109,0))="FIX",IN112,IO112*IL112)))</f>
        <v/>
      </c>
      <c r="JA112" s="492" t="str">
        <f>IF(A112=FALSE,"",Cotations!D112)</f>
        <v/>
      </c>
      <c r="JB112" s="495" t="str">
        <f>IF(A112=FALSE,"",IF(LISTES!$A$17=1,Cotations!BJ112,Cotations!$BK$4))</f>
        <v/>
      </c>
      <c r="JC112" s="291" t="str">
        <f t="shared" si="916"/>
        <v/>
      </c>
      <c r="JD112" s="291" t="str">
        <f t="shared" si="917"/>
        <v/>
      </c>
      <c r="JE112" s="456" t="str">
        <f t="shared" si="918"/>
        <v/>
      </c>
      <c r="JF112" s="496" t="str">
        <f>IF(A112=FALSE,"",IF(JA112="POEA",Cotations!BM112,IF(JA112="FIXE",Cotations!$BM$4,Cotations!$BO$4*Y112)))</f>
        <v/>
      </c>
      <c r="JG112" s="300" t="str">
        <f t="shared" si="919"/>
        <v/>
      </c>
      <c r="JH112" s="522" t="str">
        <f>IF(A112=FALSE,"",IF(Cotations!$BL$4="monthly",JG112/12*L112,JG112/365*M112))</f>
        <v/>
      </c>
      <c r="JI112" s="489" t="str">
        <f>IF(A112=FALSE,"",Cotations!$BP$4)</f>
        <v/>
      </c>
      <c r="JJ112" s="300" t="str">
        <f t="shared" si="920"/>
        <v/>
      </c>
      <c r="JK112" s="300" t="str">
        <f t="shared" si="921"/>
        <v/>
      </c>
      <c r="JL112" s="294" t="str">
        <f t="shared" si="922"/>
        <v/>
      </c>
      <c r="JM112" s="494" t="str">
        <f>IF(A112=FALSE,"",Cotations!$BQ$4)</f>
        <v/>
      </c>
      <c r="JN112" s="522" t="str">
        <f>IF(A112=FALSE,"",Cotations!$BR$4)</f>
        <v/>
      </c>
      <c r="JO112" s="489" t="str">
        <f>IF(A112=FALSE,"",Cotations!$BS$4)</f>
        <v/>
      </c>
      <c r="JP112" s="494" t="str">
        <f>IF(A112=FALSE,"",IF(JM112="N/A",0,IF(INDEX(LISTES!$F$105:$F$109,MATCH(JM112,LISTES!$C$105:$C$109,0))="FIX",IF(INDEX(LISTES!$E$105:$E$109,MATCH(JM112,LISTES!$C$105:$C$109,0))=12,JN112/12*L112,JN112/365*M112),JO112*JL112)))</f>
        <v/>
      </c>
      <c r="JQ112" s="294" t="str">
        <f t="shared" si="923"/>
        <v/>
      </c>
      <c r="JR112" s="494" t="str">
        <f>IF(A112=FALSE,"",JQ112*Cotations!$BT$4)</f>
        <v/>
      </c>
      <c r="JS112" s="494" t="str">
        <f>IF(A112=FALSE,"",JQ112*Cotations!$BU$4)</f>
        <v/>
      </c>
      <c r="JT112" s="294" t="str">
        <f t="shared" si="924"/>
        <v/>
      </c>
      <c r="JU112" s="919" t="str">
        <f>IF(A112=FALSE,"",((JG112*TAXE)-(JG112*TAXE*JI112))+IF(JM112="N/A",0,IF(INDEX(LISTES!$F$105:$F$109,MATCH(JM112,LISTES!$C$105:$C$109,0))="FIX",JN112,JO112*JL112)))</f>
        <v/>
      </c>
      <c r="KA112" s="492" t="str">
        <f>IF(A112=FALSE,"",Cotations!D112)</f>
        <v/>
      </c>
      <c r="KB112" s="491" t="str">
        <f>IF(A112=FALSE,"",IF(LISTES!$A$17=1,Cotations!BJ112,Cotations!BK112))</f>
        <v/>
      </c>
      <c r="KC112" s="285" t="str">
        <f t="shared" si="925"/>
        <v/>
      </c>
      <c r="KD112" s="300"/>
      <c r="KE112" s="461" t="str">
        <f t="shared" si="926"/>
        <v/>
      </c>
      <c r="KF112" s="490" t="str">
        <f>IF(A112=FALSE,"",IF(KA112="POEA",Cotations!BM112,IF(KA112="FIXE",Cotations!BN112,IF(Cotations!BO112*Y112&lt;50000,Z112,Cotations!BO112*Y112))))</f>
        <v/>
      </c>
      <c r="KG112" s="300" t="str">
        <f t="shared" si="927"/>
        <v/>
      </c>
      <c r="KH112" s="522" t="str">
        <f>IF(A112=FALSE,"",IF(Cotations!BL112="monthly",KG112/12*L112,KG112/365*M112))</f>
        <v/>
      </c>
      <c r="KI112" s="489" t="str">
        <f>IF(A112=FALSE,"",IF(Cotations!BP112="","",Cotations!BP112))</f>
        <v/>
      </c>
      <c r="KJ112" s="300" t="str">
        <f t="shared" si="928"/>
        <v/>
      </c>
      <c r="KK112" s="300" t="str">
        <f t="shared" si="929"/>
        <v/>
      </c>
      <c r="KL112" s="919" t="str">
        <f t="shared" si="930"/>
        <v/>
      </c>
      <c r="KM112" s="517" t="str">
        <f>IF(A112=FALSE,"",Cotations!BQ112)</f>
        <v/>
      </c>
      <c r="KN112" s="515" t="str">
        <f>IF(A112=FALSE,"",Cotations!BR112)</f>
        <v/>
      </c>
      <c r="KO112" s="493" t="str">
        <f>IF(A112=FALSE,"",Cotations!BS112)</f>
        <v/>
      </c>
      <c r="KP112" s="517" t="str">
        <f>IF(A112=FALSE,"",IF(KM112="N/A",0,IF(INDEX(LISTES!$F$105:$F$109,MATCH(KM112,LISTES!$C$105:$C$109,0))="FIX",IF(INDEX(LISTES!$E$105:$E$109,MATCH(KM112,LISTES!$C$105:$C$109,0))=12,KN112/12*L112,KN112/365*M112),KO112*KL112)))</f>
        <v/>
      </c>
      <c r="KQ112" s="294" t="str">
        <f t="shared" si="931"/>
        <v/>
      </c>
      <c r="KR112" s="494" t="str">
        <f>IF(A112=FALSE,"",KQ112*Cotations!BT112)</f>
        <v/>
      </c>
      <c r="KS112" s="494" t="str">
        <f>IF(A112=FALSE,"",KQ112*Cotations!BU112)</f>
        <v/>
      </c>
      <c r="KT112" s="338" t="str">
        <f t="shared" si="932"/>
        <v/>
      </c>
      <c r="KU112" s="919" t="str">
        <f>IF(A112=FALSE,"",((KG112*TAXE)-(KG112*TAXE*KI112))+IF(KM112="N/A",0,IF(INDEX(LISTES!$F$105:$F$109,MATCH(KM112,LISTES!$C$105:$C$109,0))="FIX",KN112,KO112*KL112)))</f>
        <v/>
      </c>
      <c r="LA112" s="497" t="str">
        <f>IF(A112=FALSE,"",Cotations!D112)</f>
        <v/>
      </c>
      <c r="LB112" s="498" t="str">
        <f>IF(A112=FALSE,"",IF(LISTES!$A$17=1,Cotations!BV112,Cotations!$BW$4))</f>
        <v/>
      </c>
      <c r="LC112" s="499" t="str">
        <f t="shared" si="933"/>
        <v/>
      </c>
      <c r="LD112" s="499" t="str">
        <f t="shared" si="934"/>
        <v/>
      </c>
      <c r="LE112" s="500" t="str">
        <f t="shared" si="935"/>
        <v/>
      </c>
      <c r="LF112" s="501" t="str">
        <f>IF(A112=FALSE,"",IF(LA112="POEA",Cotations!EJ112,IF(LA112="FIXE",Cotations!$BY$4,Cotations!$CA$4*Y112)))</f>
        <v/>
      </c>
      <c r="LG112" s="502" t="str">
        <f t="shared" si="936"/>
        <v/>
      </c>
      <c r="LH112" s="520" t="str">
        <f>IF(A112=FALSE,"",IF(Cotations!$BX$4="monthly",LG112/12*L112,LG112/365*M112))</f>
        <v/>
      </c>
      <c r="LI112" s="503" t="str">
        <f>IF(A112=FALSE,"",Cotations!$CB$4)</f>
        <v/>
      </c>
      <c r="LJ112" s="502" t="str">
        <f t="shared" si="937"/>
        <v/>
      </c>
      <c r="LK112" s="502" t="str">
        <f t="shared" si="938"/>
        <v/>
      </c>
      <c r="LL112" s="504" t="str">
        <f t="shared" si="939"/>
        <v/>
      </c>
      <c r="LM112" s="505" t="str">
        <f>IF(A112=FALSE,"",Cotations!$CC$4)</f>
        <v/>
      </c>
      <c r="LN112" s="503" t="str">
        <f>IF(A112=FALSE,"",Cotations!$CD$4)</f>
        <v/>
      </c>
      <c r="LO112" s="503" t="str">
        <f>IF(A112=FALSE,"",Cotations!$CE$4)</f>
        <v/>
      </c>
      <c r="LP112" s="505" t="str">
        <f>IF(A112=FALSE,"",IF(LM112="N/A",0,IF(INDEX(LISTES!$F$105:$F$109,MATCH(LM112,LISTES!$C$105:$C$109,0))="FIX",IF(INDEX(LISTES!$E$105:$E$109,MATCH(LM112,LISTES!$C$105:$C$109,0))=12,LN112/12*L112,LN112/365*M112),LO112*LL112)))</f>
        <v/>
      </c>
      <c r="LQ112" s="504" t="str">
        <f t="shared" si="940"/>
        <v/>
      </c>
      <c r="LR112" s="505" t="str">
        <f>IF(A112=FALSE,"",LQ112*Cotations!$CF$4)</f>
        <v/>
      </c>
      <c r="LS112" s="505" t="str">
        <f>IF(A112=FALSE,"",LQ112*Cotations!$CG$4)</f>
        <v/>
      </c>
      <c r="LT112" s="506" t="str">
        <f t="shared" si="941"/>
        <v/>
      </c>
      <c r="LU112" s="919" t="str">
        <f>IF(A112=FALSE,"",((LG112*TAXE)-(LG112*TAXE*LI112))+IF(LM112="N/A",0,IF(INDEX(LISTES!$F$105:$F$109,MATCH(LM112,LISTES!$C$105:$C$109,0))="FIX",LN112,LO112*LL112)))</f>
        <v/>
      </c>
      <c r="MA112" s="492" t="str">
        <f>IF(A112=FALSE,"",Cotations!D112)</f>
        <v/>
      </c>
      <c r="MB112" s="491" t="str">
        <f>IF(A112=FALSE,"",IF(LISTES!$A$17=1,Cotations!BV112,Cotations!BW112))</f>
        <v/>
      </c>
      <c r="MC112" s="285" t="str">
        <f t="shared" si="942"/>
        <v/>
      </c>
      <c r="MD112" s="300"/>
      <c r="ME112" s="461" t="str">
        <f t="shared" si="943"/>
        <v/>
      </c>
      <c r="MF112" s="490" t="str">
        <f>IF(A112=FALSE,"",IF(MA112="POEA",Cotations!BY112,IF(MA112="FIXE",Cotations!BZ112,IF(Cotations!CA112*Y112&lt;50000,Z112,Cotations!CA112*Y112))))</f>
        <v/>
      </c>
      <c r="MG112" s="300" t="str">
        <f t="shared" si="944"/>
        <v/>
      </c>
      <c r="MH112" s="522" t="str">
        <f>IF(A112=FALSE,"",IF(Cotations!BX112="monthly",MG112/12*L112,MG112/365*M112))</f>
        <v/>
      </c>
      <c r="MI112" s="489" t="str">
        <f>IF(A112=FALSE,"",IF(Cotations!CB112="","",Cotations!CB112))</f>
        <v/>
      </c>
      <c r="MJ112" s="300" t="str">
        <f t="shared" si="945"/>
        <v/>
      </c>
      <c r="MK112" s="300" t="str">
        <f t="shared" si="946"/>
        <v/>
      </c>
      <c r="ML112" s="919" t="str">
        <f t="shared" si="947"/>
        <v/>
      </c>
      <c r="MM112" s="517" t="str">
        <f>IF(A112=FALSE,"",Cotations!CC112)</f>
        <v/>
      </c>
      <c r="MN112" s="515" t="str">
        <f>IF(A112=FALSE,"",Cotations!CD112)</f>
        <v/>
      </c>
      <c r="MO112" s="493" t="str">
        <f>IF(A112=FALSE,"",Cotations!CE112)</f>
        <v/>
      </c>
      <c r="MP112" s="517" t="str">
        <f>IF(A112=FALSE,"",IF(MM112="N/A",0,IF(INDEX(LISTES!$F$105:$F$109,MATCH(MM112,LISTES!$C$105:$C$109,0))="FIX",IF(INDEX(LISTES!$E$105:$E$109,MATCH(MM112,LISTES!$C$105:$C$109,0))=12,MN112/12*L112,MN112/365*M112),MO112*ML112)))</f>
        <v/>
      </c>
      <c r="MQ112" s="294" t="str">
        <f t="shared" si="948"/>
        <v/>
      </c>
      <c r="MR112" s="494" t="str">
        <f>IF(A112=FALSE,"",MQ112*Cotations!CF112)</f>
        <v/>
      </c>
      <c r="MS112" s="494" t="str">
        <f>IF(A112=FALSE,"",MQ112*Cotations!CG112)</f>
        <v/>
      </c>
      <c r="MT112" s="338" t="str">
        <f t="shared" si="949"/>
        <v/>
      </c>
      <c r="MU112" s="919" t="str">
        <f>IF(A112=FALSE,"",((MG112*TAXE)-(MG112*TAXE*MI112))+IF(MM112="N/A",0,IF(INDEX(LISTES!$F$105:$F$109,MATCH(MM112,LISTES!$C$105:$C$109,0))="FIX",MN112,MO112*ML112)))</f>
        <v/>
      </c>
      <c r="NA112" s="497" t="str">
        <f>IF(A112=FALSE,"",Cotations!D112)</f>
        <v/>
      </c>
      <c r="NB112" s="498" t="str">
        <f>IF(A112=FALSE,"",IF(LISTES!$A$17=1,Cotations!CH112,Cotations!$CI$4))</f>
        <v/>
      </c>
      <c r="NC112" s="499" t="str">
        <f t="shared" si="950"/>
        <v/>
      </c>
      <c r="ND112" s="499" t="str">
        <f t="shared" si="951"/>
        <v/>
      </c>
      <c r="NE112" s="500" t="str">
        <f t="shared" si="952"/>
        <v/>
      </c>
      <c r="NF112" s="501" t="str">
        <f>IF(A112=FALSE,"",IF(NA112="POEA",Cotations!CK112,IF(NA112="FIXE",Cotations!$CK$4,Cotations!$CM$4*Y112)))</f>
        <v/>
      </c>
      <c r="NG112" s="502" t="str">
        <f t="shared" si="953"/>
        <v/>
      </c>
      <c r="NH112" s="520" t="str">
        <f>IF(A112=FALSE,"",IF(Cotations!$CJ$4="monthly",NG112/12*L112,NG112/365*M112))</f>
        <v/>
      </c>
      <c r="NI112" s="503" t="str">
        <f>IF(A112=FALSE,"",Cotations!$CN$4)</f>
        <v/>
      </c>
      <c r="NJ112" s="502" t="str">
        <f t="shared" si="954"/>
        <v/>
      </c>
      <c r="NK112" s="502" t="str">
        <f t="shared" si="955"/>
        <v/>
      </c>
      <c r="NL112" s="504" t="str">
        <f t="shared" si="956"/>
        <v/>
      </c>
      <c r="NM112" s="505" t="str">
        <f>IF(A112=FALSE,"",Cotations!$CO$4)</f>
        <v/>
      </c>
      <c r="NN112" s="520" t="str">
        <f>IF(A112=FALSE,"",Cotations!$CP$4)</f>
        <v/>
      </c>
      <c r="NO112" s="503" t="str">
        <f>IF(A112=FALSE,"",Cotations!$CQ$4)</f>
        <v/>
      </c>
      <c r="NP112" s="505" t="str">
        <f>IF(A112=FALSE,"",IF(NM112="N/A",0,IF(INDEX(LISTES!$F$105:$F$109,MATCH(NM112,LISTES!$C$105:$C$109,0))="FIX",IF(INDEX(LISTES!$E$105:$E$109,MATCH(NM112,LISTES!$C$105:$C$109,0))=12,NN112/12*L112,NN112/365*M112),NO112*NL112)))</f>
        <v/>
      </c>
      <c r="NQ112" s="504" t="str">
        <f t="shared" si="957"/>
        <v/>
      </c>
      <c r="NR112" s="505" t="str">
        <f>IF(A112=FALSE,"",NQ112*Cotations!$CR$4)</f>
        <v/>
      </c>
      <c r="NS112" s="505" t="str">
        <f>IF(A112=FALSE,"",NQ112*Cotations!$CS$4)</f>
        <v/>
      </c>
      <c r="NT112" s="506" t="str">
        <f t="shared" si="958"/>
        <v/>
      </c>
      <c r="NU112" s="919" t="str">
        <f>IF(A112=FALSE,"",((NG112*TAXE)-(NG112*TAXE*NI112))+IF(NM112="N/A",0,IF(INDEX(LISTES!$F$105:$F$109,MATCH(NM112,LISTES!$C$105:$C$109,0))="FIX",NN112,NO112*NL112)))</f>
        <v/>
      </c>
      <c r="OA112" s="492" t="str">
        <f>IF(A112=FALSE,"",Cotations!D112)</f>
        <v/>
      </c>
      <c r="OB112" s="491" t="str">
        <f>IF(A112=FALSE,"",IF(LISTES!$A$17=1,Cotations!CH112,Cotations!CI112))</f>
        <v/>
      </c>
      <c r="OC112" s="285" t="str">
        <f t="shared" si="959"/>
        <v/>
      </c>
      <c r="OD112" s="300"/>
      <c r="OE112" s="461" t="str">
        <f t="shared" si="960"/>
        <v/>
      </c>
      <c r="OF112" s="490" t="str">
        <f>IF(A112=FALSE,"",IF(OA112="POEA",Cotations!CK112,IF(OA112="FIXE",Cotations!CL112,IF(Cotations!CM112*Y112&lt;50000,Z112,Cotations!CM112*Y112))))</f>
        <v/>
      </c>
      <c r="OG112" s="300" t="str">
        <f t="shared" si="961"/>
        <v/>
      </c>
      <c r="OH112" s="522" t="str">
        <f>IF(A112=FALSE,"",IF(Cotations!CJ112="monthly",OG112/12*L112,OG112/365*M112))</f>
        <v/>
      </c>
      <c r="OI112" s="489" t="str">
        <f>IF(A112=FALSE,"",IF(Cotations!CN112="","",Cotations!CN112))</f>
        <v/>
      </c>
      <c r="OJ112" s="300" t="str">
        <f t="shared" si="962"/>
        <v/>
      </c>
      <c r="OK112" s="300" t="str">
        <f t="shared" si="963"/>
        <v/>
      </c>
      <c r="OL112" s="919" t="str">
        <f t="shared" si="964"/>
        <v/>
      </c>
      <c r="OM112" s="517" t="str">
        <f>IF(A112=FALSE,"",Cotations!CO112)</f>
        <v/>
      </c>
      <c r="ON112" s="515" t="str">
        <f>IF(A112=FALSE,"",Cotations!CP112)</f>
        <v/>
      </c>
      <c r="OO112" s="493" t="str">
        <f>IF(A112=FALSE,"",Cotations!CQ112)</f>
        <v/>
      </c>
      <c r="OP112" s="517" t="str">
        <f>IF(A112=FALSE,"",IF(OM112="N/A",0,IF(INDEX(LISTES!$F$105:$F$109,MATCH(OM112,LISTES!$C$105:$C$109,0))="FIX",IF(INDEX(LISTES!$E$105:$E$109,MATCH(OM112,LISTES!$C$105:$C$109,0))=12,ON112/12*L112,ON112/365*M112),OO112*OL112)))</f>
        <v/>
      </c>
      <c r="OQ112" s="294" t="str">
        <f t="shared" si="965"/>
        <v/>
      </c>
      <c r="OR112" s="494" t="str">
        <f>IF(A112=FALSE,"",OQ112*Cotations!CR112)</f>
        <v/>
      </c>
      <c r="OS112" s="494" t="str">
        <f>IF(A112=FALSE,"",OQ112*Cotations!CS112)</f>
        <v/>
      </c>
      <c r="OT112" s="338" t="str">
        <f t="shared" si="966"/>
        <v/>
      </c>
      <c r="OU112" s="919" t="str">
        <f>IF(A112=FALSE,"",((OG112*TAXE)-(OG112*TAXE*OI112))+IF(OM112="N/A",0,IF(INDEX(LISTES!$F$105:$F$109,MATCH(OM112,LISTES!$C$105:$C$109,0))="FIX",ON112,OO112*OL112)))</f>
        <v/>
      </c>
      <c r="PA112" s="497" t="str">
        <f t="shared" si="967"/>
        <v/>
      </c>
      <c r="PB112" s="498" t="str">
        <f>IF(A112=FALSE,"",IF(LISTES!$A$17=1,Cotations!CT112,Cotations!$CU$4))</f>
        <v/>
      </c>
      <c r="PC112" s="499" t="str">
        <f t="shared" si="968"/>
        <v/>
      </c>
      <c r="PD112" s="499" t="str">
        <f t="shared" si="969"/>
        <v/>
      </c>
      <c r="PE112" s="500" t="str">
        <f t="shared" si="970"/>
        <v/>
      </c>
      <c r="PF112" s="501" t="str">
        <f>IF(A112=FALSE,"",Cotations!$CY$4*Y112)</f>
        <v/>
      </c>
      <c r="PG112" s="502" t="str">
        <f t="shared" si="971"/>
        <v/>
      </c>
      <c r="PH112" s="520" t="str">
        <f>IF(A112=FALSE,"",IF(Cotations!$CV$4="monthly",PG112/12*L112,PG112/365*M112))</f>
        <v/>
      </c>
      <c r="PI112" s="503" t="str">
        <f>IF(A112=FALSE,"",Cotations!$CZ$4)</f>
        <v/>
      </c>
      <c r="PJ112" s="502" t="str">
        <f t="shared" si="972"/>
        <v/>
      </c>
      <c r="PK112" s="502" t="str">
        <f t="shared" si="973"/>
        <v/>
      </c>
      <c r="PL112" s="504" t="str">
        <f t="shared" si="974"/>
        <v/>
      </c>
      <c r="PM112" s="505" t="str">
        <f>IF(A112=FALSE,"",Cotations!$DA$4)</f>
        <v/>
      </c>
      <c r="PN112" s="520" t="str">
        <f>IF(A112=FALSE,"",Cotations!$DB$4)</f>
        <v/>
      </c>
      <c r="PO112" s="503" t="str">
        <f>IF(A112=FALSE,"",Cotations!$DC$4)</f>
        <v/>
      </c>
      <c r="PP112" s="505" t="str">
        <f>IF(A112=FALSE,"",IF(PM112="N/A",0,IF(INDEX(LISTES!$F$105:$F$109,MATCH(PM112,LISTES!$C$105:$C$109,0))="FIX",IF(INDEX(LISTES!$E$105:$E$109,MATCH(PM112,LISTES!$C$105:$C$109,0))=12,PN112/12*L112,PN112/365*M112),PO112*PL112)))</f>
        <v/>
      </c>
      <c r="PQ112" s="504" t="str">
        <f t="shared" si="975"/>
        <v/>
      </c>
      <c r="PR112" s="505" t="str">
        <f>IF(A112=FALSE,"",PQ112*Cotations!$DD$4)</f>
        <v/>
      </c>
      <c r="PS112" s="505" t="str">
        <f>IF(A112=FALSE,"",PQ112*Cotations!$DE$4)</f>
        <v/>
      </c>
      <c r="PT112" s="506" t="str">
        <f t="shared" si="976"/>
        <v/>
      </c>
      <c r="PU112" s="919" t="str">
        <f>IF(A112=FALSE,"",((PG112*TAXE)-(PG112*TAXE*PI112))+IF(PM112="N/A",0,IF(INDEX(LISTES!$F$105:$F$109,MATCH(PM112,LISTES!$C$105:$C$109,0))="FIX",PN112,PO112*PL112)))</f>
        <v/>
      </c>
      <c r="QA112" s="492" t="str">
        <f t="shared" si="977"/>
        <v/>
      </c>
      <c r="QB112" s="491" t="str">
        <f>IF(A112=FALSE,"",IF(LISTES!$A$17=1,Cotations!CT112,Cotations!CU112))</f>
        <v/>
      </c>
      <c r="QC112" s="285" t="str">
        <f t="shared" si="978"/>
        <v/>
      </c>
      <c r="QD112" s="300"/>
      <c r="QE112" s="461" t="str">
        <f t="shared" si="979"/>
        <v/>
      </c>
      <c r="QF112" s="490" t="str">
        <f>IF(A112=FALSE,"",Cotations!CY112*AA112)</f>
        <v/>
      </c>
      <c r="QG112" s="300" t="str">
        <f t="shared" si="980"/>
        <v/>
      </c>
      <c r="QH112" s="522" t="str">
        <f>IF(A112=FALSE,"",IF(Cotations!CV112="monthly",QG112/12*L112,QG112/365*M112))</f>
        <v/>
      </c>
      <c r="QI112" s="489" t="str">
        <f>IF(A112=FALSE,"",IF(Cotations!CZ112="","",Cotations!CZ112))</f>
        <v/>
      </c>
      <c r="QJ112" s="300" t="str">
        <f t="shared" si="981"/>
        <v/>
      </c>
      <c r="QK112" s="300" t="str">
        <f t="shared" si="982"/>
        <v/>
      </c>
      <c r="QL112" s="919" t="str">
        <f t="shared" si="983"/>
        <v/>
      </c>
      <c r="QM112" s="517" t="str">
        <f>IF(A112=FALSE,"",Cotations!DA112)</f>
        <v/>
      </c>
      <c r="QN112" s="515" t="str">
        <f>IF(A112=FALSE,"",Cotations!DB112)</f>
        <v/>
      </c>
      <c r="QO112" s="493" t="str">
        <f>IF(A112=FALSE,"",Cotations!DC112)</f>
        <v/>
      </c>
      <c r="QP112" s="517" t="str">
        <f>IF(A112=FALSE,"",IF(QM112="N/A",0,IF(INDEX(LISTES!$F$105:$F$109,MATCH(QM112,LISTES!$C$105:$C$109,0))="FIX",IF(INDEX(LISTES!$E$105:$E$109,MATCH(QM112,LISTES!$C$105:$C$109,0))=12,QN112/12*L112,QN112/365*M112),QO112*QL112)))</f>
        <v/>
      </c>
      <c r="QQ112" s="294" t="str">
        <f t="shared" si="984"/>
        <v/>
      </c>
      <c r="QR112" s="494" t="str">
        <f>IF(A112=FALSE,"",QQ112*Cotations!DD112)</f>
        <v/>
      </c>
      <c r="QS112" s="494" t="str">
        <f>IF(A112=FALSE,"",QQ112*Cotations!DE112)</f>
        <v/>
      </c>
      <c r="QT112" s="338" t="str">
        <f t="shared" si="985"/>
        <v/>
      </c>
      <c r="QU112" s="919" t="str">
        <f>IF(A112=FALSE,"",((QG112*TAXE)-(QG112*TAXE*QI112))+IF(QM112="N/A",0,IF(INDEX(LISTES!$F$105:$F$109,MATCH(QM112,LISTES!$C$105:$C$109,0))="FIX",QN112,QO112*QL112)))</f>
        <v/>
      </c>
      <c r="RA112" s="497" t="str">
        <f t="shared" si="986"/>
        <v/>
      </c>
      <c r="RB112" s="498" t="str">
        <f>IF(A112=FALSE,"",IF(LISTES!$A$17=1,Cotations!DF112,Cotations!$DG$4))</f>
        <v/>
      </c>
      <c r="RC112" s="499" t="str">
        <f t="shared" si="987"/>
        <v/>
      </c>
      <c r="RD112" s="499" t="str">
        <f t="shared" si="988"/>
        <v/>
      </c>
      <c r="RE112" s="500" t="str">
        <f t="shared" si="989"/>
        <v/>
      </c>
      <c r="RF112" s="501" t="str">
        <f>IF(A112=FALSE,"",Cotations!$DK$4*Y112)</f>
        <v/>
      </c>
      <c r="RG112" s="502" t="str">
        <f t="shared" si="990"/>
        <v/>
      </c>
      <c r="RH112" s="520" t="str">
        <f>IF(A112=FALSE,"",IF(Cotations!$DH$4="monthly",RG112/12*L112,RG112/365*M112))</f>
        <v/>
      </c>
      <c r="RI112" s="503" t="str">
        <f>IF(A112=FALSE,"",Cotations!$DL$4)</f>
        <v/>
      </c>
      <c r="RJ112" s="502" t="str">
        <f t="shared" si="991"/>
        <v/>
      </c>
      <c r="RK112" s="502" t="str">
        <f t="shared" si="992"/>
        <v/>
      </c>
      <c r="RL112" s="504" t="str">
        <f t="shared" si="993"/>
        <v/>
      </c>
      <c r="RM112" s="505" t="str">
        <f>IF(A112=FALSE,"",Cotations!$DM$4)</f>
        <v/>
      </c>
      <c r="RN112" s="520" t="str">
        <f>IF(A112=FALSE,"",Cotations!$DN$4)</f>
        <v/>
      </c>
      <c r="RO112" s="503" t="str">
        <f>IF(A112=FALSE,"",Cotations!$DO$4)</f>
        <v/>
      </c>
      <c r="RP112" s="505" t="str">
        <f>IF(A112=FALSE,"",IF(RM112="N/A",0,IF(INDEX(LISTES!$F$105:$F$109,MATCH(RM112,LISTES!$C$105:$C$109,0))="FIX",IF(INDEX(LISTES!$E$105:$E$109,MATCH(RM112,LISTES!$C$105:$C$109,0))=12,RN112/12*L112,RN112/365*M112),RO112*RL112)))</f>
        <v/>
      </c>
      <c r="RQ112" s="504" t="str">
        <f t="shared" si="994"/>
        <v/>
      </c>
      <c r="RR112" s="505" t="str">
        <f>IF(A112=FALSE,"",RQ112*Cotations!$DP$4)</f>
        <v/>
      </c>
      <c r="RS112" s="505" t="str">
        <f>IF(A112=FALSE,"",RQ112*Cotations!$DQ$4)</f>
        <v/>
      </c>
      <c r="RT112" s="506" t="str">
        <f t="shared" si="995"/>
        <v/>
      </c>
      <c r="RU112" s="919" t="str">
        <f>IF(A112=FALSE,"",((RG112*TAXE)-(RG112*TAXE*RI112))+IF(RM112="N/A",0,IF(INDEX(LISTES!$F$105:$F$109,MATCH(RM112,LISTES!$C$105:$C$109,0))="FIX",RN112,RO112*RL112)))</f>
        <v/>
      </c>
      <c r="SA112" s="492" t="str">
        <f t="shared" si="996"/>
        <v/>
      </c>
      <c r="SB112" s="491" t="str">
        <f>IF(A112=FALSE,"",IF(LISTES!$A$17=1,Cotations!DF112,Cotations!DG112))</f>
        <v/>
      </c>
      <c r="SC112" s="285" t="str">
        <f t="shared" si="997"/>
        <v/>
      </c>
      <c r="SD112" s="300"/>
      <c r="SE112" s="461" t="str">
        <f t="shared" si="998"/>
        <v/>
      </c>
      <c r="SF112" s="490" t="str">
        <f>IF(A112=FALSE,"",Cotations!DK112*AA112)</f>
        <v/>
      </c>
      <c r="SG112" s="300" t="str">
        <f t="shared" si="999"/>
        <v/>
      </c>
      <c r="SH112" s="522" t="str">
        <f>IF(A112=FALSE,"",IF(Cotations!DH112="monthly",SG112/12*L112,SG112/365*M112))</f>
        <v/>
      </c>
      <c r="SI112" s="489" t="str">
        <f>IF(A112=FALSE,"",IF(Cotations!DL112="","",Cotations!DL112))</f>
        <v/>
      </c>
      <c r="SJ112" s="300" t="str">
        <f t="shared" si="1000"/>
        <v/>
      </c>
      <c r="SK112" s="300" t="str">
        <f t="shared" si="1001"/>
        <v/>
      </c>
      <c r="SL112" s="919" t="str">
        <f t="shared" si="1002"/>
        <v/>
      </c>
      <c r="SM112" s="285" t="str">
        <f>IF(A112=FALSE,"",Cotations!DM112)</f>
        <v/>
      </c>
      <c r="SN112" s="515" t="str">
        <f>IF(A112=FALSE,"",Cotations!DN112)</f>
        <v/>
      </c>
      <c r="SO112" s="493" t="str">
        <f>IF(A112=FALSE,"",Cotations!DO112)</f>
        <v/>
      </c>
      <c r="SP112" s="517" t="str">
        <f>IF(A112=FALSE,"",IF(SM112="N/A",0,IF(INDEX(LISTES!$F$105:$F$109,MATCH(SM112,LISTES!$C$105:$C$109,0))="FIX",IF(INDEX(LISTES!$E$105:$E$109,MATCH(SM112,LISTES!$C$105:$C$109,0))=12,SN112/12*L112,SN112/365*M112),SO112*SL112)))</f>
        <v/>
      </c>
      <c r="SQ112" s="294" t="str">
        <f t="shared" si="1003"/>
        <v/>
      </c>
      <c r="SR112" s="494" t="str">
        <f>IF(A112=FALSE,"",SQ112*Cotations!DP112)</f>
        <v/>
      </c>
      <c r="SS112" s="494" t="str">
        <f>IF(A112=FALSE,"",SQ112*Cotations!DQ112)</f>
        <v/>
      </c>
      <c r="ST112" s="338" t="str">
        <f t="shared" si="1004"/>
        <v/>
      </c>
      <c r="SU112" s="919" t="str">
        <f>IF(A112=FALSE,"",((SG112*TAXE)-(SG112*TAXE*SI112))+IF(SM112="N/A",0,IF(INDEX(LISTES!$F$105:$F$109,MATCH(SM112,LISTES!$C$105:$C$109,0))="FIX",SN112,SO112*SL112)))</f>
        <v/>
      </c>
      <c r="TA112" s="492" t="str">
        <f>IF(A112=FALSE,"",Cotations!D112)</f>
        <v/>
      </c>
      <c r="TB112" s="491" t="str">
        <f>IF(A112=FALSE,"",IF(LISTES!$A$17=1,Cotations!DR112,Cotations!DS112))</f>
        <v/>
      </c>
      <c r="TC112" s="285" t="str">
        <f t="shared" si="1005"/>
        <v/>
      </c>
      <c r="TD112" s="300" t="str">
        <f>IF(A112=FALSE,"",Detail!CQ112)</f>
        <v/>
      </c>
      <c r="TE112" s="461" t="str">
        <f t="shared" si="1006"/>
        <v/>
      </c>
      <c r="TF112" s="490" t="str">
        <f>IF(A112=FALSE,"",IF(TA112="FIXE",Cotations!DU112,Cotations!DV112*Y112))</f>
        <v/>
      </c>
      <c r="TG112" s="300" t="str">
        <f t="shared" si="1007"/>
        <v/>
      </c>
      <c r="TH112" s="522" t="str">
        <f>IF(A112=FALSE,"",IF(Cotations!DT112="monthly",TG112/12*L112,TG112/365*M112))</f>
        <v/>
      </c>
      <c r="TI112" s="489" t="str">
        <f>IF(A112=FALSE,"",IF(Cotations!DW112="","",Cotations!DW112))</f>
        <v/>
      </c>
      <c r="TJ112" s="300" t="str">
        <f t="shared" si="1008"/>
        <v/>
      </c>
      <c r="TK112" s="300" t="str">
        <f t="shared" si="1009"/>
        <v/>
      </c>
      <c r="TL112" s="919" t="str">
        <f t="shared" si="1010"/>
        <v/>
      </c>
      <c r="TM112" s="517" t="str">
        <f>IF(A112=FALSE,"",Cotations!DX112)</f>
        <v/>
      </c>
      <c r="TN112" s="517" t="str">
        <f>IF(A112=FALSE,"",Cotations!DY112)</f>
        <v/>
      </c>
      <c r="TO112" s="493" t="str">
        <f>IF(A112=FALSE,"",Cotations!DZ112)</f>
        <v/>
      </c>
      <c r="TP112" s="517" t="str">
        <f>IF(A112=FALSE,"",IF(TM112="N/A",0,IF(INDEX(LISTES!$F$105:$F$109,MATCH(TM112,LISTES!$C$105:$C$109,0))="FIX",IF(INDEX(LISTES!$E$105:$E$109,MATCH(TM112,LISTES!$C$105:$C$109,0))=12,TN112/12*L112,TN112/365*M112),TO112*TL112)))</f>
        <v/>
      </c>
      <c r="TQ112" s="294" t="str">
        <f t="shared" si="1011"/>
        <v/>
      </c>
      <c r="TR112" s="494" t="str">
        <f>IF(A112=FALSE,"",TQ112*Cotations!EA112)</f>
        <v/>
      </c>
      <c r="TS112" s="494" t="str">
        <f>IF(A112=FALSE,"",TQ112*Cotations!EB112)</f>
        <v/>
      </c>
      <c r="TT112" s="338" t="str">
        <f t="shared" si="1012"/>
        <v/>
      </c>
      <c r="TU112" s="919" t="str">
        <f>IF(A112=FALSE,"",((TG112*(1+TAXE)-(TG112*(1+TAXE)*TI112))+IF(TM112="N/A",0,IF(INDEX(LISTES!$F$105:$F$109,MATCH(TM112,LISTES!$C$105:$C$109,0))="FIX",TN112,TO112*TL112))))</f>
        <v/>
      </c>
      <c r="UA112" s="492" t="str">
        <f>IF(A112=FALSE,"",Cotations!D112)</f>
        <v/>
      </c>
      <c r="UB112" s="491" t="str">
        <f>IF(A112=FALSE,"",IF(LISTES!$A$17=1,Cotations!EC112,Cotations!ED112))</f>
        <v/>
      </c>
      <c r="UC112" s="285" t="str">
        <f t="shared" si="1013"/>
        <v/>
      </c>
      <c r="UD112" s="300" t="str">
        <f>IF(A112=FALSE,"",Detail!CY112)</f>
        <v/>
      </c>
      <c r="UE112" s="461" t="str">
        <f t="shared" si="1014"/>
        <v/>
      </c>
      <c r="UF112" s="490" t="str">
        <f>IF(A112=FALSE,"",IF(UA112="FIXE",Cotations!EF112,Cotations!EG112*Y112))</f>
        <v/>
      </c>
      <c r="UG112" s="300" t="str">
        <f t="shared" si="1015"/>
        <v/>
      </c>
      <c r="UH112" s="522" t="str">
        <f>IF(A112=FALSE,"",IF(Cotations!EE112="monthly",UG112/12*L112,UG112/365*M112))</f>
        <v/>
      </c>
      <c r="UI112" s="489" t="str">
        <f>IF(A112=FALSE,"",IF(Cotations!EH112="","",Cotations!EH112))</f>
        <v/>
      </c>
      <c r="UJ112" s="300" t="str">
        <f t="shared" si="1016"/>
        <v/>
      </c>
      <c r="UK112" s="300" t="str">
        <f t="shared" si="1017"/>
        <v/>
      </c>
      <c r="UL112" s="919" t="str">
        <f t="shared" si="1018"/>
        <v/>
      </c>
      <c r="UM112" s="517" t="str">
        <f>IF(A112=FALSE,"",Cotations!EI112)</f>
        <v/>
      </c>
      <c r="UN112" s="517" t="str">
        <f>IF(A112=FALSE,"",Cotations!EJ112)</f>
        <v/>
      </c>
      <c r="UO112" s="493" t="str">
        <f>IF(A112=FALSE,"",Cotations!EK112)</f>
        <v/>
      </c>
      <c r="UP112" s="517" t="str">
        <f>IF(A112=FALSE,"",IF(UM112="N/A",0,IF(INDEX(LISTES!$F$105:$F$109,MATCH(UM112,LISTES!$C$105:$C$109,0))="FIX",IF(INDEX(LISTES!$E$105:$E$109,MATCH(UM112,LISTES!$C$105:$C$109,0))=12,UN112/12*L112,UN112/365*M112),UO112*UL112)))</f>
        <v/>
      </c>
      <c r="UQ112" s="294" t="str">
        <f t="shared" si="1019"/>
        <v/>
      </c>
      <c r="UR112" s="494" t="str">
        <f>IF(A112=FALSE,"",UQ112*Cotations!EL112)</f>
        <v/>
      </c>
      <c r="US112" s="494" t="str">
        <f>IF(A112=FALSE,"",UQ112*Cotations!EM112)</f>
        <v/>
      </c>
      <c r="UT112" s="338" t="str">
        <f t="shared" si="1020"/>
        <v/>
      </c>
      <c r="UU112" s="919" t="str">
        <f>IF(A112=FALSE,"",((UG112*(1+TAXE)-(UG112*(1+TAXE)*UI112))+IF(UM112="N/A",0,IF(INDEX(LISTES!$F$105:$F$109,MATCH(UM112,LISTES!$C$105:$C$109,0))="FIX",UN112,UO112*UL112))))</f>
        <v/>
      </c>
      <c r="VA112" s="492" t="str">
        <f>IF(A112=FALSE,"",Cotations!D112)</f>
        <v/>
      </c>
      <c r="VB112" s="519" t="str">
        <f>IF(A112=FALSE,"",IF(LISTES!$A$17=1,Cotations!EN112,Cotations!EO112))</f>
        <v/>
      </c>
      <c r="VC112" s="291" t="str">
        <f t="shared" si="1021"/>
        <v/>
      </c>
      <c r="VD112" s="291" t="str">
        <f t="shared" si="1022"/>
        <v/>
      </c>
      <c r="VE112" s="291"/>
      <c r="VF112" s="463"/>
      <c r="VG112" s="463" t="str">
        <f t="shared" si="1023"/>
        <v/>
      </c>
      <c r="VH112" s="522" t="str">
        <f>IF(A112=FALSE,"",IF(Cotations!$AQ$4="monthly",VG112/12*L112,VG112/365*M112))</f>
        <v/>
      </c>
      <c r="VI112" s="489" t="str">
        <f>IF(A112=FALSE,"",Cotations!$AR$4)</f>
        <v/>
      </c>
      <c r="VJ112" s="300" t="str">
        <f t="shared" si="1024"/>
        <v/>
      </c>
      <c r="VK112" s="300" t="str">
        <f t="shared" si="1025"/>
        <v/>
      </c>
      <c r="VL112" s="294" t="str">
        <f t="shared" si="1026"/>
        <v/>
      </c>
      <c r="VM112" s="494" t="str">
        <f>IF(A112=FALSE,"",Cotations!$AS$4)</f>
        <v/>
      </c>
      <c r="VN112" s="494" t="str">
        <f>IF(A112=FALSE,"",Cotations!$AT$4)</f>
        <v/>
      </c>
      <c r="VO112" s="489" t="str">
        <f>IF(A112=FALSE,"",Cotations!$AU$4)</f>
        <v/>
      </c>
      <c r="VP112" s="494" t="str">
        <f>IF(A112=FALSE,"",IF(VM112="N/A",0,IF(INDEX(LISTES!$F$105:$F$109,MATCH(VM112,LISTES!$C$105:$C$109,0))="FIX",IF(INDEX(LISTES!$E$105:$E$109,MATCH(VM112,LISTES!$C$105:$C$109,0))=12,VN112/12*L112,VN112/365*M112),VO112*VL112)))</f>
        <v/>
      </c>
      <c r="VQ112" s="294" t="str">
        <f t="shared" si="1027"/>
        <v/>
      </c>
      <c r="VR112" s="494" t="str">
        <f>IF(A112=FALSE,"",VQ112*Cotations!$AV$4)</f>
        <v/>
      </c>
      <c r="VS112" s="494" t="str">
        <f>IF(A112=FALSE,"",VQ112*Cotations!$AW$4)</f>
        <v/>
      </c>
      <c r="VT112" s="465" t="str">
        <f t="shared" si="1028"/>
        <v/>
      </c>
      <c r="VU112" s="919" t="str">
        <f>IF(A112=FALSE,"",((VG112*TAXE)-(VG112*TAXE*VI112))+IF(VM112="N/A",0,IF(INDEX(LISTES!$F$105:$F$109,MATCH(VM112,LISTES!$C$105:$C$109,0))="FIX",VN112,VO112*VL112)))</f>
        <v/>
      </c>
      <c r="WA112" s="492" t="str">
        <f>IF(A112=FALSE,"",Cotations!D112)</f>
        <v/>
      </c>
      <c r="WB112" s="519" t="str">
        <f>IF(A112=FALSE,"",IF(LISTES!$A$17=1,Cotations!EW112,Cotations!EX112))</f>
        <v/>
      </c>
      <c r="WC112" s="291" t="str">
        <f t="shared" si="1029"/>
        <v/>
      </c>
      <c r="WD112" s="291" t="str">
        <f t="shared" si="1030"/>
        <v/>
      </c>
      <c r="WE112" s="291"/>
      <c r="WF112" s="463"/>
      <c r="WG112" s="463" t="str">
        <f t="shared" si="1031"/>
        <v/>
      </c>
      <c r="WH112" s="522" t="str">
        <f>IF(A112=FALSE,"",IF(Cotations!$AQ$4="monthly",WG112/12*L112,WG112/365*M112))</f>
        <v/>
      </c>
      <c r="WI112" s="489" t="str">
        <f>IF(A112=FALSE,"",Cotations!$AR$4)</f>
        <v/>
      </c>
      <c r="WJ112" s="300" t="str">
        <f t="shared" si="1032"/>
        <v/>
      </c>
      <c r="WK112" s="300" t="str">
        <f t="shared" si="1033"/>
        <v/>
      </c>
      <c r="WL112" s="294" t="str">
        <f t="shared" si="1034"/>
        <v/>
      </c>
      <c r="WM112" s="494" t="str">
        <f>IF(A112=FALSE,"",Cotations!$AS$4)</f>
        <v/>
      </c>
      <c r="WN112" s="494" t="str">
        <f>IF(A112=FALSE,"",Cotations!$AT$4)</f>
        <v/>
      </c>
      <c r="WO112" s="489" t="str">
        <f>IF(A112=FALSE,"",Cotations!$AU$4)</f>
        <v/>
      </c>
      <c r="WP112" s="494" t="str">
        <f>IF(A112=FALSE,"",IF(WM112="N/A",0,IF(INDEX(LISTES!$F$105:$F$109,MATCH(WM112,LISTES!$C$105:$C$109,0))="FIX",IF(INDEX(LISTES!$E$105:$E$109,MATCH(WM112,LISTES!$C$105:$C$109,0))=12,WN112/12*L112,WN112/365*M112),WO112*WL112)))</f>
        <v/>
      </c>
      <c r="WQ112" s="294" t="str">
        <f t="shared" si="1035"/>
        <v/>
      </c>
      <c r="WR112" s="494" t="str">
        <f>IF(A112=FALSE,"",WQ112*Cotations!$AV$4)</f>
        <v/>
      </c>
      <c r="WS112" s="494" t="str">
        <f>IF(A112=FALSE,"",WQ112*Cotations!$AW$4)</f>
        <v/>
      </c>
      <c r="WT112" s="465" t="str">
        <f t="shared" si="1036"/>
        <v/>
      </c>
      <c r="WU112" s="919" t="str">
        <f>IF(A112=FALSE,"",((WG112*TAXE)-(WG112*TAXE*WI112))+IF(WM112="N/A",0,IF(INDEX(LISTES!$F$105:$F$109,MATCH(WM112,LISTES!$C$105:$C$109,0))="FIX",WN112,WO112*WL112)))</f>
        <v/>
      </c>
    </row>
    <row r="113" spans="1:619">
      <c r="A113" s="942" t="b">
        <f t="shared" si="841"/>
        <v>0</v>
      </c>
      <c r="B113" s="942" t="b">
        <f>IF(NAMES!$B$9=TRUE,TRUE,FALSE)</f>
        <v>1</v>
      </c>
      <c r="C113" s="942" t="b">
        <f t="shared" si="825"/>
        <v>0</v>
      </c>
      <c r="D113" s="942" t="b">
        <f t="shared" si="826"/>
        <v>0</v>
      </c>
      <c r="E113" s="274" t="b">
        <f>IF(Cotations!C113="","",Cotations!C113)</f>
        <v>0</v>
      </c>
      <c r="F113" s="274" t="str">
        <f>IF(Cotations!D113="","",Cotations!D113)</f>
        <v>PROP</v>
      </c>
      <c r="G113" s="274" t="str">
        <f>IF(Cotations!E113="","",Cotations!E113)</f>
        <v>2016-2017!</v>
      </c>
      <c r="H113" s="274" t="str">
        <f>IF(Cotations!F113="","",Cotations!F113)</f>
        <v/>
      </c>
      <c r="I113" s="274" t="str">
        <f>IF(Cotations!G113="","",Cotations!G113)</f>
        <v/>
      </c>
      <c r="J113" s="274" t="str">
        <f>IF(Cotations!H113="","",Cotations!H113)</f>
        <v/>
      </c>
      <c r="K113" s="274" t="str">
        <f>IF(Cotations!I113="","",Cotations!I113)</f>
        <v/>
      </c>
      <c r="L113" s="274" t="str">
        <f>IF(A113=FALSE,"",IF(Cotations!N113="","",Cotations!N113))</f>
        <v/>
      </c>
      <c r="M113" s="274" t="str">
        <f>IF(Cotations!P113="","",Cotations!P113)</f>
        <v/>
      </c>
      <c r="N113" s="724" t="str">
        <f>IF(NAMES!$B$10=TRUE,Cotations!J113,Cotations!L113)</f>
        <v/>
      </c>
      <c r="O113" s="724" t="str">
        <f>IF(NAMES!$B$10=TRUE,Cotations!K113,Cotations!M113)</f>
        <v/>
      </c>
      <c r="P113" s="943" t="str">
        <f t="shared" si="827"/>
        <v/>
      </c>
      <c r="Q113" s="724" t="str">
        <f>IF(A113=FALSE,"",IF(Crewlist!Y113="","",Crewlist!Y113))</f>
        <v/>
      </c>
      <c r="R113" s="78" t="str">
        <f>IF(Cotations!U113="","",Cotations!U113)</f>
        <v/>
      </c>
      <c r="S113" s="943" t="str">
        <f t="shared" si="828"/>
        <v/>
      </c>
      <c r="T113" s="919" t="str">
        <f>IF(A113=FALSE,"",VLOOKUP($U$15:$U$120,Currency!$A$2:$D$10,4,0)*Crewlist!N113)</f>
        <v/>
      </c>
      <c r="U113" s="1355" t="str">
        <f>IF(A113=FALSE,"",IF(IT113=0,Crewlist!M113&amp;"/"&amp;EX113,Crewlist!M113&amp;"/"&amp;IT113))</f>
        <v/>
      </c>
      <c r="V113" s="919" t="str">
        <f>IF(A113=FALSE,"",VLOOKUP($U$15:$U$120,Currency!$A$2:$D$10,4,0)*Detail!Q113)</f>
        <v/>
      </c>
      <c r="W113" s="1355" t="str">
        <f>IF(A113=FALSE,"",IF(IT113=0,Detail!R113&amp;"/"&amp;EX113,Detail!R113&amp;"/"&amp;IT113))</f>
        <v/>
      </c>
      <c r="X113" s="919" t="str">
        <f>IF(A113=FALSE,"",IF(LISTES!$C$17="Crewlist",Calcul!T113,Calcul!V113))</f>
        <v/>
      </c>
      <c r="Y113" s="758" t="str">
        <f t="shared" si="829"/>
        <v/>
      </c>
      <c r="Z113" s="758" t="str">
        <f>IF(A113=FALSE,"",IF(X113=0,0,IF((Cotations!BC113*12*X113)&lt;50000,50000,(12*X113))))</f>
        <v/>
      </c>
      <c r="AA113" s="758" t="str">
        <f t="shared" si="830"/>
        <v/>
      </c>
      <c r="AB113" s="758" t="str">
        <f>IF(A113=FALSE,"",IF(Crewlist!O113=0,"",Crewlist!O113))</f>
        <v/>
      </c>
      <c r="AC113" s="758" t="str">
        <f>IF(I113="","",VLOOKUP($AB$15:$AB$120,Currency!$A$15:$B$34,2,0))</f>
        <v/>
      </c>
      <c r="AD113" s="758" t="str">
        <f t="shared" si="831"/>
        <v/>
      </c>
      <c r="AE113" s="758" t="str">
        <f t="shared" si="832"/>
        <v/>
      </c>
      <c r="AF113" s="758" t="str">
        <f t="shared" si="833"/>
        <v/>
      </c>
      <c r="AG113" s="758" t="str">
        <f t="shared" si="834"/>
        <v/>
      </c>
      <c r="AH113" s="1355" t="str">
        <f t="shared" si="842"/>
        <v/>
      </c>
      <c r="AI113" s="919" t="str">
        <f t="shared" si="835"/>
        <v/>
      </c>
      <c r="AJ113" s="1382" t="str">
        <f t="shared" si="836"/>
        <v/>
      </c>
      <c r="AK113" s="1382" t="str">
        <f t="shared" si="837"/>
        <v/>
      </c>
      <c r="AL113" s="238" t="str">
        <f t="shared" si="843"/>
        <v/>
      </c>
      <c r="AM113" s="238" t="str">
        <f t="shared" si="844"/>
        <v/>
      </c>
      <c r="AN113" s="1374" t="str">
        <f t="shared" si="845"/>
        <v/>
      </c>
      <c r="AO113" s="238" t="str">
        <f t="shared" si="846"/>
        <v/>
      </c>
      <c r="AP113" s="342" t="str">
        <f>IF(A113=FALSE,"",INDEX(Rates!$Z$5:$Z$367,MATCH(EB113,colchoice,0)))</f>
        <v/>
      </c>
      <c r="AQ113" s="238" t="str">
        <f t="shared" si="847"/>
        <v/>
      </c>
      <c r="AR113" s="238" t="str">
        <f t="shared" si="848"/>
        <v/>
      </c>
      <c r="AS113" s="238" t="str">
        <f t="shared" si="849"/>
        <v/>
      </c>
      <c r="AT113" s="238" t="str">
        <f t="shared" si="850"/>
        <v/>
      </c>
      <c r="AU113" s="238" t="str">
        <f t="shared" si="851"/>
        <v/>
      </c>
      <c r="AV113" s="238" t="str">
        <f t="shared" si="838"/>
        <v/>
      </c>
      <c r="AW113" s="238" t="str">
        <f t="shared" si="852"/>
        <v/>
      </c>
      <c r="AX113" s="238" t="str">
        <f t="shared" si="853"/>
        <v/>
      </c>
      <c r="AY113" s="238" t="str">
        <f t="shared" si="854"/>
        <v/>
      </c>
      <c r="AZ113" s="238" t="str">
        <f t="shared" si="855"/>
        <v/>
      </c>
      <c r="BA113" s="238" t="str">
        <f t="shared" si="856"/>
        <v/>
      </c>
      <c r="BB113" s="552" t="str">
        <f t="shared" si="857"/>
        <v/>
      </c>
      <c r="BC113" s="347" t="str">
        <f t="shared" si="858"/>
        <v/>
      </c>
      <c r="BD113" s="239" t="str">
        <f t="shared" si="839"/>
        <v/>
      </c>
      <c r="BE113" s="239" t="str">
        <f>IF(A113=FALSE,"",IF(ALLTHESAME=TRUE,IF(DF113&lt;&gt;$BC$7,0,INDEX(DD113:DZ113,1,MATCH(Structure!$D$12,$DD$14:$DZ$14,0))),IF(EC113&lt;&gt;$BC$7,0,INDEX(EA113:EZ113,1,MATCH(Structure!$D$12,$EA$14:$EZ$14,0)))))</f>
        <v/>
      </c>
      <c r="BF113" s="239" t="str">
        <f>IF(A113=FALSE,"",IF(ALLTHESAME=TRUE,IF(FC113&lt;&gt;$BC$7,0,INDEX(FA113:FZ113,1,MATCH(Structure!$D$12,$FA$14:$FZ$14,0))),IF(GC113&lt;&gt;$BC$7,0,INDEX(GA113:GZ113,1,MATCH(Structure!$D$12,$GA$14:$GZ$14,0)))))</f>
        <v/>
      </c>
      <c r="BG113" s="239" t="str">
        <f>IF(A113=FALSE,"",IF(ALLTHESAME=TRUE,IF(VC113&lt;&gt;$BC$7,0,INDEX(VA113:VZ113,1,MATCH(Structure!$D$12,$VA$14:$VZ$14,0))),IF(VC113&lt;&gt;$BC$7,0,INDEX(VA113:VZ113,1,MATCH(Structure!$D$12,$VA$14:$VZ$14,0)))))</f>
        <v/>
      </c>
      <c r="BH113" s="239" t="str">
        <f>IF(A113=FALSE,"",IF(ALLTHESAME=TRUE,IF(WC113&lt;&gt;$BC$7,0,INDEX(WA113:WY113,1,MATCH(Structure!$D$12,$WA$14:$WZ$14,0))),IF(WC113&lt;&gt;$BC$7,0,INDEX(WA113:WZ113,1,MATCH(Structure!$D$12,$WA$14:$WZ$14,0)))))</f>
        <v/>
      </c>
      <c r="BI113" s="763" t="str">
        <f>IF(A113=FALSE,"",IF(ALLTHESAME=TRUE,IF(HC113&lt;&gt;$BC$7,0,INDEX(HA113:HZ113,1,MATCH(Structure!$D$12,$HA$14:$HZ$14,0)))+TK113,IF(IC113&lt;&gt;$BC$7,0,INDEX(IA113:IZ113,1,MATCH(Structure!$D$12,$IA$14:$IZ$14,0)))+TK113))</f>
        <v/>
      </c>
      <c r="BJ113" s="239" t="str">
        <f>IF(A113=FALSE,"",IF(ALLTHESAME=TRUE,IF(JC113&lt;&gt;$BC$7,0,INDEX(JA113:JZ113,1,MATCH(Structure!$D$12,$JA$14:$JZ$14,0))),IF(KC113&lt;&gt;$BC$7,0,INDEX(KA113:KZ113,1,MATCH(Structure!$D$12,$KA$14:$KZ$14,0)))))</f>
        <v/>
      </c>
      <c r="BK113" s="763" t="str">
        <f>IF(A113=FALSE,"",IF(ALLTHESAME=TRUE,IF(LC113&lt;&gt;$BC$7,0,INDEX(LA113:LZ113,1,MATCH(Structure!$D$12,$LA$14:$LZ$14,0)))+UK113,IF(MC113&lt;&gt;$BC$7,0,INDEX(MA113:MZ113,1,MATCH(Structure!$D$12,$MA$14:$MZ$14,0)))+UK113))</f>
        <v/>
      </c>
      <c r="BL113" s="239" t="str">
        <f>IF(A113=FALSE,"",IF(ALLTHESAME=TRUE,IF(NC113&lt;&gt;$BC$7,0,INDEX(NA113:NZ113,1,MATCH(Structure!$D$12,$NA$14:$NZ$14,0))),IF(OC113&lt;&gt;$BC$7,0,INDEX(OA113:OZ113,1,MATCH(Structure!$D$12,$OA$14:$OZ$14,0)))))</f>
        <v/>
      </c>
      <c r="BM113" s="239" t="str">
        <f>IF(A113=FALSE,"",IF(ALLTHESAME=TRUE,IF(PC113&lt;&gt;$BC$7,0,INDEX(PA113:PZ113,1,MATCH(Structure!$D$12,$PA$14:$PZ$14,0))),IF(QC113&lt;&gt;$BC$7,0,INDEX(QA113:QZ113,1,MATCH(Structure!$D$12,$QA$14:$QZ$14,0)))))</f>
        <v/>
      </c>
      <c r="BN113" s="341" t="str">
        <f>IF(A113=FALSE,"",IF(ALLTHESAME=TRUE,IF(RC113&lt;&gt;$BC$7,0,INDEX(RA113:RZ113,1,MATCH(Structure!$D$12,$RA$14:$RZ$14,0))),IF(SC113&lt;&gt;$BC$7,0,INDEX(SA113:TA113,1,MATCH(Structure!$D$12,$SA$14:$TA$14,0)))))</f>
        <v/>
      </c>
      <c r="BO113" s="507" t="str">
        <f t="shared" si="859"/>
        <v/>
      </c>
      <c r="BP113" s="239" t="str">
        <f t="shared" si="860"/>
        <v/>
      </c>
      <c r="BQ113" s="239" t="str">
        <f>IF(A113=FALSE,"",IF(ALLTHESAME=TRUE,IF(DF113&lt;&gt;$BO$7,0,INDEX(DD113:DZ113,1,MATCH(Structure!$D$12,$DD$14:$DZ$14,0))),IF(EC113&lt;&gt;$BO$7,0,INDEX(EA113:EZ113,1,MATCH(Structure!$D$12,$EA$14:$EZ$14,0)))))</f>
        <v/>
      </c>
      <c r="BR113" s="239" t="str">
        <f>IF(A113=FALSE,"",IF(ALLTHESAME=TRUE,IF(FC113&lt;&gt;$BO$7,0,INDEX(FA113:FZ113,1,MATCH(Structure!$D$12,$FA$14:$FZ$14,0))),IF(GC113&lt;&gt;$BO$7,0,INDEX(GA113:GZ113,1,MATCH(Structure!$D$12,$GA$14:$GZ$14,0)))))</f>
        <v/>
      </c>
      <c r="BS113" s="239" t="str">
        <f>IF(A113=FALSE,"",IF(ALLTHESAME=TRUE,IF(HC113&lt;&gt;$BO$7,0,INDEX(HA113:HZ113,1,MATCH(Structure!$D$12,$HA$14:$HZ$14,0))),IF(IC113&lt;&gt;$BO$7,0,INDEX(IA113:IZ113,1,MATCH(Structure!$D$12,$IA$14:$IZ$14,0)))))</f>
        <v/>
      </c>
      <c r="BT113" s="239" t="str">
        <f>IF(A113=FALSE,"",IF(ALLTHESAME=TRUE,IF(JC113&lt;&gt;$BO$7,0,INDEX(JA113:JZ113,1,MATCH(Structure!$D$12,$JA$14:$JZ$14,0))),IF(KC113&lt;&gt;$BO$7,0,INDEX(KA113:KZ113,1,MATCH(Structure!$D$12,$KA$14:$KZ$14,0)))))</f>
        <v/>
      </c>
      <c r="BU113" s="239" t="str">
        <f>IF(A113=FALSE,"",IF(ALLTHESAME=TRUE,IF(LC113&lt;&gt;$BO$7,0,INDEX(LA113:LZ113,1,MATCH(Structure!$D$12,$LA$14:$LZ$14,0))),IF(MC113&lt;&gt;$BO$7,0,INDEX(MA113:MZ113,1,MATCH(Structure!$D$12,$MA$14:$MZ$14,0)))))</f>
        <v/>
      </c>
      <c r="BV113" s="239" t="str">
        <f>IF(A113=FALSE,"",IF(ALLTHESAME=TRUE,IF(NC113&lt;&gt;$BO$7,0,INDEX(NA113:NZ113,1,MATCH(Structure!$D$12,$NA$14:$NZ$14,0))),IF(OC113&lt;&gt;$BO$7,0,INDEX(OA113:OZ113,1,MATCH(Structure!$D$12,$OA$14:$OZ$14,0)))))</f>
        <v/>
      </c>
      <c r="BW113" s="239" t="str">
        <f>IF(A113=FALSE,"",IF(ALLTHESAME=TRUE,IF(PC113&lt;&gt;$BO$7,0,INDEX(PA113:PZ113,1,MATCH(Structure!$D$12,$PA$14:$PZ$14,0))),IF(QC113&lt;&gt;$BO$7,0,INDEX(QA113:QZ113,1,MATCH(Structure!$D$12,$QA$14:$QZ$14,0)))))</f>
        <v/>
      </c>
      <c r="BX113" s="341" t="str">
        <f>IF(A113=FALSE,"",IF(ALLTHESAME=TRUE,IF(RC113&lt;&gt;$BO$7,0,INDEX(RA113:RZ113,1,MATCH(Structure!$D$12,$RA$14:$RZ$14,0))),IF(SC113&lt;&gt;$BO$7,0,INDEX(SA113:TA113,1,MATCH(Structure!$D$12,$SA$14:$TA$14,0)))))</f>
        <v/>
      </c>
      <c r="BY113" s="347" t="str">
        <f t="shared" si="861"/>
        <v/>
      </c>
      <c r="BZ113" s="507" t="str">
        <f t="shared" si="862"/>
        <v/>
      </c>
      <c r="CA113" s="239" t="str">
        <f t="shared" si="863"/>
        <v/>
      </c>
      <c r="CB113" s="239" t="str">
        <f>IF(A113=FALSE,"",IF(ALLTHESAME=TRUE,INDEX(DD113:DZ113,MATCH(DF113,DF113:DF218,0),MATCH(Structure!$D$17,$DD$14:$DZ$14,0)),INDEX(EA113:EZ113,MATCH(EC113,EC113:EC218,0),MATCH(Structure!$D$17,$EA$14:$EZ$14,0))))</f>
        <v/>
      </c>
      <c r="CC113" s="239" t="str">
        <f>IF(A113=FALSE,"",IF(ALLTHESAME=TRUE,INDEX(FA113:FZ113,MATCH(FC113,FC113:FC218,0),MATCH(Structure!$D$17,$FA$14:$FZ$14,0)),INDEX(GA113:GZ113,MATCH(GC113,GC113:GC218,0),MATCH(Structure!$D$17,$GA$14:$GZ$14,0))))</f>
        <v/>
      </c>
      <c r="CD113" s="239" t="str">
        <f>IF(A113=FALSE,"",IF(ALLTHESAME=TRUE,INDEX(HA113:HZ113,MATCH(HC113,HC113:HC218,0),MATCH(Structure!$D$17,$HA$14:$HZ$14,0)),INDEX(IA113:IZ113,MATCH(IC113,IC113:IC218,0),MATCH(Structure!$D$17,$IA$14:$IZ$14,0))))</f>
        <v/>
      </c>
      <c r="CE113" s="239" t="str">
        <f>IF(A113=FALSE,"",IF(ALLTHESAME=TRUE,INDEX(JA113:JZ113,MATCH(JC113,JC113:JC218,0),MATCH(Structure!$D$17,$JA$14:$JZ$14,0)),INDEX(KA113:KZ113,MATCH(KC113,KC113:KC218,0),MATCH(Structure!$D$17,$KA$14:$KZ$14,0))))</f>
        <v/>
      </c>
      <c r="CF113" s="239" t="str">
        <f>IF(A113=FALSE,"",IF(ALLTHESAME=TRUE,INDEX(LA113:LZ113,MATCH(LC113,LC113:LC218,0),MATCH(Structure!$D$17,$LA$14:$LZ$14,0)),INDEX(MA113:MZ113,MATCH(MC113,MC113:MC218,0),MATCH(Structure!$D$17,$MA$14:$MZ$14,0))))</f>
        <v/>
      </c>
      <c r="CG113" s="239" t="str">
        <f>IF(A113=FALSE,"",IF(ALLTHESAME=TRUE,INDEX(NA113:NZ113,MATCH(NC113,NC113:NC218,0),MATCH(Structure!$D$17,$NA$14:$NZ$14,0)),INDEX(OA113:OZ113,MATCH(OC113,OC113:OC218,0),MATCH(Structure!$D$17,$OA$14:$OZ$14,0))))</f>
        <v/>
      </c>
      <c r="CH113" s="239" t="str">
        <f>IF(A113=FALSE,"",IF(ALLTHESAME=TRUE,INDEX(PA113:PZ113,MATCH(PC113,PC113:PC218,0),MATCH(Structure!$D$17,$PA$14:$PZ$14,0)),INDEX(QA113:QZ113,MATCH(QC113,QC113:QC218,0),MATCH(Structure!$D$17,$QA$14:$QZ$14,0))))</f>
        <v/>
      </c>
      <c r="CI113" s="341" t="str">
        <f>IF(A113=FALSE,"",IF(ALLTHESAME=TRUE,INDEX(RA113:RZ113,MATCH(RC113,RC113:RC218,0),MATCH(Structure!$D$17,$RA$14:$RZ$14,0)),INDEX(SA113:TC113,MATCH(SC113,SC113:SC218,0),MATCH(Structure!$D$17,$SA$14:$TC$14,0))))</f>
        <v/>
      </c>
      <c r="CJ113" s="347"/>
      <c r="CK113" s="239" t="str">
        <f t="shared" si="864"/>
        <v/>
      </c>
      <c r="CL113" s="239" t="str">
        <f>IF(A113=FALSE,"",IF(ALLTHESAME=TRUE,INDEX(DD113:DZ113,MATCH(DF113,DF113:DF218,0),MATCH(Structure!$D$22,$DD$14:$DZ$14,0)),INDEX(EA113:EZ113,MATCH(EC113,EC113:EC218,0),MATCH(Structure!$D$22,$EA$14:$EZ$14,0))))</f>
        <v/>
      </c>
      <c r="CM113" s="239" t="str">
        <f>IF(A113=FALSE,"",IF(ALLTHESAME=TRUE,INDEX(FA113:FZ113,MATCH(FC113,FC113:FC218,0),MATCH(Structure!$D$22,$FA$14:$FZ$14,0)),INDEX(GA113:GZ113,MATCH(GC113,GC113:GC218,0),MATCH(Structure!$D$22,$GA$14:$GZ$14,0))))</f>
        <v/>
      </c>
      <c r="CN113" s="239" t="str">
        <f>IF(A113=FALSE,"",IF(ALLTHESAME=TRUE,INDEX(HA113:HZ113,MATCH(HC113,HC113:HC218,0),MATCH(Structure!$D$22,$HA$14:$HZ$14,0)),INDEX(IA113:IZ113,MATCH(IC113,IC113:IC218,0),MATCH(Structure!$D$22,$IA$14:$IZ$14,0))))</f>
        <v/>
      </c>
      <c r="CO113" s="239" t="str">
        <f>IF(A113=FALSE,"",IF(ALLTHESAME=TRUE,INDEX(JA113:JZ113,MATCH(JC113,JC113:JC218,0),MATCH(Structure!$D$22,$JA$14:$JZ$14,0)),INDEX(KA113:KZ113,MATCH(KC113,KC113:KC218,0),MATCH(Structure!$D$22,$KA$14:$KZ$14,0))))</f>
        <v/>
      </c>
      <c r="CP113" s="239" t="str">
        <f>IF(A113=FALSE,"",IF(ALLTHESAME=TRUE,INDEX(LA113:LZ113,MATCH(LC113,LC113:LC218,0),MATCH(Structure!$D$22,$LA$14:$LZ$14,0)),INDEX(MA113:MZ113,MATCH(MC113,MC113:MC218,0),MATCH(Structure!$D$22,$MA$14:$MZ$14,0))))</f>
        <v/>
      </c>
      <c r="CQ113" s="239" t="str">
        <f>IF(A113=FALSE,"",IF(ALLTHESAME=TRUE,INDEX(NA113:NZ113,MATCH(NC113,NC113:NC218,0),MATCH(Structure!$D$22,$NA$14:$NZ$14,0)),INDEX(OA113:OZ113,MATCH(OC113,OC113:OC218,0),MATCH(Structure!$D$22,$OA$14:$OZ$14,0))))</f>
        <v/>
      </c>
      <c r="CR113" s="239" t="str">
        <f>IF(A113=FALSE,"",IF(ALLTHESAME=TRUE,INDEX(PA113:PZ113,MATCH(PC113,PC113:PC218,0),MATCH(Structure!$D$22,$PA$14:$PZ$14,0)),INDEX(QA113:QZ113,MATCH(QC113,QC113:QC218,0),MATCH(Structure!$D$22,$QA$14:$QZ$14,0))))</f>
        <v/>
      </c>
      <c r="CS113" s="341" t="str">
        <f>IF(A113=FALSE,"",IF(ALLTHESAME=TRUE,INDEX(RA113:RZ113,MATCH(RC113,RC113:RC218,0),MATCH(Structure!$D$22,$RA$14:$RZ$14,0)),INDEX(SA113:TC113,MATCH(SC113,SC113:SC218,0),MATCH(Structure!$D$22,$SA$14:$TC$14,0))))</f>
        <v/>
      </c>
      <c r="CT113" s="347"/>
      <c r="CU113" s="239" t="str">
        <f t="shared" si="865"/>
        <v/>
      </c>
      <c r="CV113" s="239" t="str">
        <f>IF(A113=FALSE,"",IF(ALLTHESAME=TRUE,INDEX(DD113:DZ113,MATCH(DF113,DF113:DF218,0),MATCH(Structure!$D$8,$DD$14:$DZ$14,0)),INDEX(EA113:EZ113,MATCH(EC113,EC113:EC218,0),MATCH(Structure!$D$8,$EA$14:$EZ$14,0))))</f>
        <v/>
      </c>
      <c r="CW113" s="239" t="str">
        <f>IF(A113=FALSE,"",IF(ALLTHESAME=TRUE,INDEX(FA113:FZ113,MATCH(FC113,FC113:FC218,0),MATCH(Structure!$D$8,$FA$14:$FZ$14,0)),INDEX(GA113:GZ113,MATCH(GC113,GC113:GC218,0),MATCH(Structure!$D$8,$GA$14:$GZ$14,0))))</f>
        <v/>
      </c>
      <c r="CX113" s="239" t="str">
        <f>IF(A113=FALSE,"",IF(ALLTHESAME=TRUE,INDEX(HA113:HZ113,MATCH(HC113,HC113:HC218,0),MATCH(Structure!$D$8,$HA$14:$HZ$14,0)),INDEX(IA113:IZ113,MATCH(IC113,IC113:IC218,0),MATCH(Structure!$D$8,$IA$14:$IZ$14,0))))</f>
        <v/>
      </c>
      <c r="CY113" s="239" t="str">
        <f>IF(A113=FALSE,"",IF(ALLTHESAME=TRUE,INDEX(JA113:JZ113,MATCH(JC113,JC113:JC218,0),MATCH(Structure!$D$8,$JA$14:$JZ$14,0)),INDEX(KA113:KZ113,MATCH(KC113,KC113:KC218,0),MATCH(Structure!$D$8,$KA$14:$KZ$14,0))))</f>
        <v/>
      </c>
      <c r="CZ113" s="239" t="str">
        <f>IF(A113=FALSE,"",IF(ALLTHESAME=TRUE,INDEX(LA113:LZ113,MATCH(LC113,LC113:LC218,0),MATCH(Structure!$D$8,$LA$14:$LZ$14,0)),INDEX(MA113:MZ113,MATCH(MC113,MC113:MC218,0),MATCH(Structure!$D$8,$MA$14:$MZ$14,0))))</f>
        <v/>
      </c>
      <c r="DA113" s="239" t="str">
        <f>IF(A113=FALSE,"",IF(ALLTHESAME=TRUE,INDEX(NA113:NZ113,MATCH(NC113,NC113:NC218,0),MATCH(Structure!$D$8,$NA$14:$NZ$14,0)),INDEX(OA113:OZ113,MATCH(OC113,OC113:OC218,0),MATCH(Structure!$D$8,$OA$14:$OZ$14,0))))</f>
        <v/>
      </c>
      <c r="DB113" s="239" t="str">
        <f>IF(A113=FALSE,"",IF(ALLTHESAME=TRUE,INDEX(PA113:PZ113,MATCH(PC113,PC113:PC218,0),MATCH(Structure!$D$8,$PA$14:$PZ$14,0)),INDEX(QA113:QZ113,MATCH(QC113,QC113:QC218,0),MATCH(Structure!$D$8,$QA$14:$QZ$14,0))))</f>
        <v/>
      </c>
      <c r="DC113" s="341" t="str">
        <f>IF(A113=FALSE,"",IF(ALLTHESAME=TRUE,INDEX(RA113:RZ113,MATCH(RC113,RC113:RC218,0),MATCH(Structure!$D$8,$RA$14:$RZ$14,0)),INDEX(SA113:TC113,MATCH(SC113,SC113:SC218,0),MATCH(Structure!$D$8,$SA$14:$TC$14,0))))</f>
        <v/>
      </c>
      <c r="DD113" s="492" t="str">
        <f>IF(A113=FALSE,"",Cotations!D113)</f>
        <v/>
      </c>
      <c r="DE113" s="492" t="str">
        <f>IF(A113=FALSE,"",IF(LISTES!$A$17=1,Cotations!AF113,Cotations!$AG$4))</f>
        <v/>
      </c>
      <c r="DF113" s="291" t="str">
        <f t="shared" si="866"/>
        <v/>
      </c>
      <c r="DG113" s="291" t="str">
        <f t="shared" si="867"/>
        <v/>
      </c>
      <c r="DH113" s="291"/>
      <c r="DI113" s="463"/>
      <c r="DJ113" s="463" t="str">
        <f t="shared" si="868"/>
        <v/>
      </c>
      <c r="DK113" s="522" t="str">
        <f>IF(A113=FALSE,"",IF(Cotations!$AH$4="monthly",DJ113/12*L113,DJ113/365*M113))</f>
        <v/>
      </c>
      <c r="DL113" s="489" t="str">
        <f>IF(A113=FALSE,"",Cotations!$AI$4)</f>
        <v/>
      </c>
      <c r="DM113" s="300" t="str">
        <f t="shared" si="869"/>
        <v/>
      </c>
      <c r="DN113" s="300" t="str">
        <f t="shared" si="870"/>
        <v/>
      </c>
      <c r="DO113" s="294" t="str">
        <f t="shared" si="871"/>
        <v/>
      </c>
      <c r="DP113" s="494" t="str">
        <f>IF(A113=FALSE,"",Cotations!$AJ$4)</f>
        <v/>
      </c>
      <c r="DQ113" s="494" t="str">
        <f>IF(A113=FALSE,"",Cotations!$AK$4)</f>
        <v/>
      </c>
      <c r="DR113" s="489" t="str">
        <f>IF(A113=FALSE,"",Cotations!$AL$4)</f>
        <v/>
      </c>
      <c r="DS113" s="494" t="str">
        <f>IF(A113=FALSE,"",IF(DP113="N/A",0,IF(INDEX(LISTES!$F$105:$F$109,MATCH(DP113,LISTES!$C$105:$C$109,0))="FIX",IF(INDEX(LISTES!$E$105:$E$109,MATCH(DP113,LISTES!$C$105:$C$109,0))=12,DQ113/12*L113,DQ113/365*M113),DR113*DO113)))</f>
        <v/>
      </c>
      <c r="DT113" s="294" t="str">
        <f t="shared" si="872"/>
        <v/>
      </c>
      <c r="DU113" s="294" t="str">
        <f>IF(A113=FALSE,"",DT113*Cotations!$AM$4)</f>
        <v/>
      </c>
      <c r="DV113" s="294" t="str">
        <f>IF(A113=FALSE,"",DT113*Cotations!$AN$4)</f>
        <v/>
      </c>
      <c r="DW113" s="465" t="str">
        <f t="shared" si="873"/>
        <v/>
      </c>
      <c r="DX113" s="919" t="str">
        <f>IF(A113=FALSE,"",((DJ113*TAXE)-(DJ113*TAXE*DL113))+IF(DP113="N/A",0,IF(INDEX(LISTES!$F$105:$F$109,MATCH(DP113,LISTES!$C$105:$C$109,0))="FIX",DQ113,DR113*DO113)))</f>
        <v/>
      </c>
      <c r="DY113" s="466"/>
      <c r="DZ113" s="466"/>
      <c r="EA113" s="492" t="str">
        <f>IF(A113=FALSE,"",Cotations!D113)</f>
        <v/>
      </c>
      <c r="EB113" s="494" t="str">
        <f>IF(A113=FALSE,"",IF(LISTES!$A$17=1,Cotations!AF113,Cotations!AG113))</f>
        <v/>
      </c>
      <c r="EC113" s="284" t="str">
        <f t="shared" si="874"/>
        <v/>
      </c>
      <c r="ED113" s="284" t="str">
        <f t="shared" si="875"/>
        <v/>
      </c>
      <c r="EE113" s="284"/>
      <c r="EF113" s="284"/>
      <c r="EG113" s="284" t="str">
        <f t="shared" si="876"/>
        <v/>
      </c>
      <c r="EH113" s="1365" t="str">
        <f t="shared" si="877"/>
        <v/>
      </c>
      <c r="EI113" s="1365" t="str">
        <f t="shared" si="878"/>
        <v/>
      </c>
      <c r="EJ113" s="515" t="str">
        <f>IF(A113=FALSE,"",IF(Cotations!AH113="monthly",EG113/12*L113,EG113/365*M113))</f>
        <v/>
      </c>
      <c r="EK113" s="1364" t="str">
        <f>IF(A113=FALSE,"",IF(Cotations!AH113="monthly",EI113/12*L113,EI113/365*M113))</f>
        <v/>
      </c>
      <c r="EL113" s="493" t="str">
        <f>IF(A113=FALSE,"",IF(Cotations!AI113="","",Cotations!AI113))</f>
        <v/>
      </c>
      <c r="EM113" s="284" t="str">
        <f t="shared" si="879"/>
        <v/>
      </c>
      <c r="EN113" s="284" t="str">
        <f t="shared" si="880"/>
        <v/>
      </c>
      <c r="EO113" s="1365" t="str">
        <f t="shared" si="840"/>
        <v/>
      </c>
      <c r="EP113" s="284" t="str">
        <f t="shared" si="881"/>
        <v/>
      </c>
      <c r="EQ113" s="515" t="str">
        <f>IF(A113=FALSE,"",Cotations!AJ113)</f>
        <v/>
      </c>
      <c r="ER113" s="515" t="str">
        <f>IF(A113=FALSE,"",IF(Cotations!AK113="","",Cotations!AK113))</f>
        <v/>
      </c>
      <c r="ES113" s="493" t="str">
        <f>IF(A113=FALSE,"",Cotations!AL113)</f>
        <v/>
      </c>
      <c r="ET113" s="515" t="str">
        <f>IF(A113=FALSE,"",IF(EQ113="N/A",0,IF(INDEX(LISTES!$F$105:$F$109,MATCH(EQ113,LISTES!$C$105:$C$109,0))="FIX",IF(INDEX(LISTES!$E$105:$E$109,MATCH(EQ113,LISTES!$C$105:$C$109,0))=12,ER113/12*L113,ER113/365*M113),ES113*EP113)))</f>
        <v/>
      </c>
      <c r="EU113" s="294" t="str">
        <f t="shared" si="882"/>
        <v/>
      </c>
      <c r="EV113" s="494" t="str">
        <f>IF(A113=FALSE,"",EU113*Cotations!AM113)</f>
        <v/>
      </c>
      <c r="EW113" s="494" t="str">
        <f>IF(A113=FALSE,"",EU113*Cotations!AN113)</f>
        <v/>
      </c>
      <c r="EX113" s="334" t="str">
        <f t="shared" si="883"/>
        <v/>
      </c>
      <c r="EY113" s="919" t="str">
        <f>IF(A113=FALSE,"",((EG113*TAXE)-(EG113*TAXE*EL113)+EH113)+IF(EQ113="N/A",0,IF(INDEX(LISTES!$F$105:$F$109,MATCH(EQ113,LISTES!$C$105:$C$109,0))="FIX",ER113,ES113*EP113)))</f>
        <v/>
      </c>
      <c r="FA113" s="492" t="str">
        <f>IF(A113=FALSE,"",Cotations!D113)</f>
        <v/>
      </c>
      <c r="FB113" s="519" t="str">
        <f>IF(A113=FALSE,"",IF(LISTES!$A$17=1,Cotations!AO113,Cotations!$AP$4))</f>
        <v/>
      </c>
      <c r="FC113" s="291" t="str">
        <f t="shared" si="884"/>
        <v/>
      </c>
      <c r="FD113" s="291" t="str">
        <f t="shared" si="885"/>
        <v/>
      </c>
      <c r="FE113" s="291"/>
      <c r="FF113" s="463"/>
      <c r="FG113" s="463" t="str">
        <f t="shared" si="886"/>
        <v/>
      </c>
      <c r="FH113" s="522" t="str">
        <f>IF(A113=FALSE,"",IF(Cotations!$AQ$4="monthly",FG113/12*L113,FG113/365*M113))</f>
        <v/>
      </c>
      <c r="FI113" s="453" t="str">
        <f>IF(A113=FALSE,"",Cotations!$AR$4)</f>
        <v/>
      </c>
      <c r="FJ113" s="300" t="str">
        <f t="shared" si="887"/>
        <v/>
      </c>
      <c r="FK113" s="300" t="str">
        <f t="shared" si="888"/>
        <v/>
      </c>
      <c r="FL113" s="294" t="str">
        <f t="shared" si="889"/>
        <v/>
      </c>
      <c r="FM113" s="494" t="str">
        <f>IF(A113=FALSE,"",Cotations!$AS$4)</f>
        <v/>
      </c>
      <c r="FN113" s="494" t="str">
        <f>IF(A113=FALSE,"",Cotations!$AT$4)</f>
        <v/>
      </c>
      <c r="FO113" s="489" t="str">
        <f>IF(A113=FALSE,"",Cotations!$AU$4)</f>
        <v/>
      </c>
      <c r="FP113" s="494" t="str">
        <f>IF(A113=FALSE,"",IF(FM113="N/A",0,IF(INDEX(LISTES!$F$105:$F$109,MATCH(FM113,LISTES!$C$105:$C$109,0))="FIX",IF(INDEX(LISTES!$E$105:$E$109,MATCH(FM113,LISTES!$C$105:$C$109,0))=12,FN113/12*L113,FN113/365*M113),FO113*FL113)))</f>
        <v/>
      </c>
      <c r="FQ113" s="294" t="str">
        <f t="shared" si="890"/>
        <v/>
      </c>
      <c r="FR113" s="494" t="str">
        <f>IF(A113=FALSE,"",FQ113*Cotations!$AV$4)</f>
        <v/>
      </c>
      <c r="FS113" s="494" t="str">
        <f>IF(A113=FALSE,"",FQ113*Cotations!$AW$4)</f>
        <v/>
      </c>
      <c r="FT113" s="465" t="str">
        <f t="shared" si="891"/>
        <v/>
      </c>
      <c r="FU113" s="919" t="str">
        <f>IF(A113=FALSE,"",((FG113*TAXE)-(FG113*TAXE*FI113))+IF(FM113="N/A",0,IF(INDEX(LISTES!$F$105:$F$109,MATCH(FM113,LISTES!$C$105:$C$109,0))="FIX",FN113,FO113*FL113)))</f>
        <v/>
      </c>
      <c r="FV113" s="478"/>
      <c r="FW113" s="478"/>
      <c r="FX113" s="478"/>
      <c r="FY113" s="478"/>
      <c r="FZ113" s="478"/>
      <c r="GA113" s="492" t="str">
        <f>IF(A113=FALSE,"",Cotations!D113)</f>
        <v/>
      </c>
      <c r="GB113" s="494" t="str">
        <f>IF(A113=FALSE,"",IF(LISTES!$A$17=1,Cotations!AO113,Cotations!AP113))</f>
        <v/>
      </c>
      <c r="GC113" s="284" t="str">
        <f t="shared" si="892"/>
        <v/>
      </c>
      <c r="GD113" s="515" t="str">
        <f>IF(A113=FALSE,"",IF(Detail!AM113="","",Detail!AM113))</f>
        <v/>
      </c>
      <c r="GE113" s="284"/>
      <c r="GF113" s="284"/>
      <c r="GG113" s="284" t="str">
        <f t="shared" si="893"/>
        <v/>
      </c>
      <c r="GH113" s="515" t="str">
        <f>IF(A113=FALSE,"",IF(Cotations!AQ113="monthly",GG113/12*L113,GG113/365*M113))</f>
        <v/>
      </c>
      <c r="GI113" s="493" t="str">
        <f>IF(A113=FALSE,"",IF(Cotations!AR113="","",Cotations!AR113))</f>
        <v/>
      </c>
      <c r="GJ113" s="284" t="str">
        <f t="shared" si="894"/>
        <v/>
      </c>
      <c r="GK113" s="284" t="str">
        <f t="shared" si="895"/>
        <v/>
      </c>
      <c r="GL113" s="284" t="str">
        <f t="shared" si="896"/>
        <v/>
      </c>
      <c r="GM113" s="515" t="str">
        <f>IF(A113=FALSE,"",Cotations!AS113)</f>
        <v/>
      </c>
      <c r="GN113" s="515" t="str">
        <f>IF(A113=FALSE,"",Cotations!AT113)</f>
        <v/>
      </c>
      <c r="GO113" s="493" t="str">
        <f>IF(A113=FALSE,"",Cotations!AU113)</f>
        <v/>
      </c>
      <c r="GP113" s="515" t="str">
        <f>IF(A113=FALSE,"",IF(GM113="N/A",0,IF(INDEX(LISTES!$F$105:$F$109,MATCH(GM113,LISTES!$C$105:$C$109,0))="FIX",IF(INDEX(LISTES!$E$105:$E$109,MATCH(GM113,LISTES!$C$105:$C$109,0))=12,GN113/12*L113,GN113/365*M113),GO113*GL113)))</f>
        <v/>
      </c>
      <c r="GQ113" s="294" t="str">
        <f t="shared" si="897"/>
        <v/>
      </c>
      <c r="GR113" s="494" t="str">
        <f>IF(A113=FALSE,"",GQ113*Cotations!AV113)</f>
        <v/>
      </c>
      <c r="GS113" s="494" t="str">
        <f>IF(A113=FALSE,"",GQ113*Cotations!AW113)</f>
        <v/>
      </c>
      <c r="GT113" s="334" t="str">
        <f t="shared" si="898"/>
        <v/>
      </c>
      <c r="GU113" s="919" t="str">
        <f>IF(A113=FALSE,"",((GG113*TAXE)-(GG113*TAXE*GI113))+IF(GM113="N/A",0,IF(INDEX(LISTES!$F$105:$F$109,MATCH(GM113,LISTES!$C$105:$C$109,0))="FIX",GN113,GO113*GL113)))</f>
        <v/>
      </c>
      <c r="GV113" s="478"/>
      <c r="GW113" s="466"/>
      <c r="GX113" s="466"/>
      <c r="GY113" s="466"/>
      <c r="GZ113" s="466"/>
      <c r="HA113" s="492" t="str">
        <f>IF(A113=FALSE,"",Cotations!D113)</f>
        <v/>
      </c>
      <c r="HB113" s="495" t="str">
        <f>IF(A113=FALSE,"",IF(LISTES!$A$17=1,Cotations!AX113,Cotations!$AY$4))</f>
        <v/>
      </c>
      <c r="HC113" s="291" t="str">
        <f t="shared" si="899"/>
        <v/>
      </c>
      <c r="HD113" s="291" t="str">
        <f t="shared" si="900"/>
        <v/>
      </c>
      <c r="HE113" s="456" t="str">
        <f t="shared" si="901"/>
        <v/>
      </c>
      <c r="HF113" s="496" t="str">
        <f>IF(A113=FALSE,"",IF(HA113="POEA",Cotations!BA113,IF(HA113="FIXE",Cotations!$BA$4,Cotations!$BC$4*Y113)))</f>
        <v/>
      </c>
      <c r="HG113" s="300" t="str">
        <f t="shared" si="902"/>
        <v/>
      </c>
      <c r="HH113" s="522" t="str">
        <f>IF(A113=FALSE,"",IF(Cotations!$AZ$4="monthly",HG113/12*L113,HG113/365*M113))</f>
        <v/>
      </c>
      <c r="HI113" s="489" t="str">
        <f>IF(A113=FALSE,"",Cotations!$BD$4)</f>
        <v/>
      </c>
      <c r="HJ113" s="300" t="str">
        <f t="shared" si="903"/>
        <v/>
      </c>
      <c r="HK113" s="300" t="str">
        <f t="shared" si="904"/>
        <v/>
      </c>
      <c r="HL113" s="294" t="str">
        <f t="shared" si="905"/>
        <v/>
      </c>
      <c r="HM113" s="494" t="str">
        <f>IF(A113=FALSE,"",Cotations!$BE$4)</f>
        <v/>
      </c>
      <c r="HN113" s="522" t="str">
        <f>IF(A113=FALSE,"",Cotations!$BF$4)</f>
        <v/>
      </c>
      <c r="HO113" s="489" t="str">
        <f>IF(A113=FALSE,"",Cotations!$BG$4)</f>
        <v/>
      </c>
      <c r="HP113" s="494" t="str">
        <f>IF(A113=FALSE,"",IF(HM113="N/A",0,IF(INDEX(LISTES!$F$105:$F$109,MATCH(HM113,LISTES!$C$105:$C$109,0))="FIX",IF(INDEX(LISTES!$E$105:$E$109,MATCH(HM113,LISTES!$C$105:$C$109,0))=12,HN113/12*L113,HN113/365*M113),HO113*HL113)))</f>
        <v/>
      </c>
      <c r="HQ113" s="294" t="str">
        <f t="shared" si="906"/>
        <v/>
      </c>
      <c r="HR113" s="494" t="str">
        <f>IF(A113=FALSE,"",HQ113*Cotations!$BH$4)</f>
        <v/>
      </c>
      <c r="HS113" s="494" t="str">
        <f>IF(A113=FALSE,"",HQ113*Cotations!$BI$4)</f>
        <v/>
      </c>
      <c r="HT113" s="294" t="str">
        <f t="shared" si="907"/>
        <v/>
      </c>
      <c r="HU113" s="919" t="str">
        <f>IF(A113=FALSE,"",((HG113*TAXE)-(HG113*TAXE*HI113))+IF(HM113="N/A",0,IF(INDEX(LISTES!$F$105:$F$109,MATCH(HM113,LISTES!$C$105:$C$109,0))="FIX",HN113,HO113*HL113)))</f>
        <v/>
      </c>
      <c r="IA113" s="492" t="str">
        <f>IF(A113=FALSE,"",Cotations!D113)</f>
        <v/>
      </c>
      <c r="IB113" s="491" t="str">
        <f>IF(A113=FALSE,"",IF(LISTES!$A$17=1,Cotations!AX113,Cotations!AY113))</f>
        <v/>
      </c>
      <c r="IC113" s="285" t="str">
        <f t="shared" si="908"/>
        <v/>
      </c>
      <c r="ID113" s="300" t="str">
        <f>IF(A113=FALSE,"",IF(LISTES!$A$17=3,Detail!AU113,lig1_Formula_PREVOY))</f>
        <v/>
      </c>
      <c r="IE113" s="461" t="str">
        <f t="shared" si="909"/>
        <v/>
      </c>
      <c r="IF113" s="490" t="str">
        <f>IF(A113=FALSE,"",IF(IA113="POEA",Cotations!BA113,IF(HA113="FIXE",Cotations!BB113,IF(Cotations!BC113*Y113&lt;50000,Z113,Cotations!BC113*Y113))))</f>
        <v/>
      </c>
      <c r="IG113" s="300" t="str">
        <f t="shared" si="910"/>
        <v/>
      </c>
      <c r="IH113" s="522" t="str">
        <f>IF(A113=FALSE,"",IF(Cotations!AZ113="monthly",IG113/12*L113,IG113/365*M113))</f>
        <v/>
      </c>
      <c r="II113" s="489" t="str">
        <f>IF(A113=FALSE,"",IF(Cotations!BD113="","",Cotations!BD113))</f>
        <v/>
      </c>
      <c r="IJ113" s="300" t="str">
        <f t="shared" si="911"/>
        <v/>
      </c>
      <c r="IK113" s="300" t="str">
        <f t="shared" si="912"/>
        <v/>
      </c>
      <c r="IL113" s="919" t="str">
        <f t="shared" si="913"/>
        <v/>
      </c>
      <c r="IM113" s="517" t="str">
        <f>IF(A113=FALSE,"",Cotations!BE113)</f>
        <v/>
      </c>
      <c r="IN113" s="517" t="str">
        <f>IF(A113=FALSE,"",Cotations!BF113)</f>
        <v/>
      </c>
      <c r="IO113" s="493" t="str">
        <f>IF(A113=FALSE,"",Cotations!BG113)</f>
        <v/>
      </c>
      <c r="IP113" s="517" t="str">
        <f>IF(A113=FALSE,"",IF(IM113="N/A",0,IF(INDEX(LISTES!$F$105:$F$109,MATCH(IM113,LISTES!$C$105:$C$109,0))="FIX",IF(INDEX(LISTES!$E$105:$E$109,MATCH(IM113,LISTES!$C$105:$C$109,0))=12,IN113/12*L113,IN113/365*M113),IO113*IL113)))</f>
        <v/>
      </c>
      <c r="IQ113" s="294" t="str">
        <f t="shared" si="914"/>
        <v/>
      </c>
      <c r="IR113" s="494" t="str">
        <f>IF(A113=FALSE,"",IQ113*Cotations!BH113)</f>
        <v/>
      </c>
      <c r="IS113" s="494" t="str">
        <f>IF(A113=FALSE,"",IQ113*Cotations!BI113)</f>
        <v/>
      </c>
      <c r="IT113" s="338" t="str">
        <f t="shared" si="915"/>
        <v/>
      </c>
      <c r="IU113" s="919" t="str">
        <f>IF(A113=FALSE,"",((IG113*TAXE)-(IG113*TAXE*II113))+IF(IM113="N/A",0,IF(INDEX(LISTES!$F$105:$F$109,MATCH(IM113,LISTES!$C$105:$C$109,0))="FIX",IN113,IO113*IL113)))</f>
        <v/>
      </c>
      <c r="JA113" s="492" t="str">
        <f>IF(A113=FALSE,"",Cotations!D113)</f>
        <v/>
      </c>
      <c r="JB113" s="495" t="str">
        <f>IF(A113=FALSE,"",IF(LISTES!$A$17=1,Cotations!BJ113,Cotations!$BK$4))</f>
        <v/>
      </c>
      <c r="JC113" s="291" t="str">
        <f t="shared" si="916"/>
        <v/>
      </c>
      <c r="JD113" s="291" t="str">
        <f t="shared" si="917"/>
        <v/>
      </c>
      <c r="JE113" s="456" t="str">
        <f t="shared" si="918"/>
        <v/>
      </c>
      <c r="JF113" s="496" t="str">
        <f>IF(A113=FALSE,"",IF(JA113="POEA",Cotations!BM113,IF(JA113="FIXE",Cotations!$BM$4,Cotations!$BO$4*Y113)))</f>
        <v/>
      </c>
      <c r="JG113" s="300" t="str">
        <f t="shared" si="919"/>
        <v/>
      </c>
      <c r="JH113" s="522" t="str">
        <f>IF(A113=FALSE,"",IF(Cotations!$BL$4="monthly",JG113/12*L113,JG113/365*M113))</f>
        <v/>
      </c>
      <c r="JI113" s="489" t="str">
        <f>IF(A113=FALSE,"",Cotations!$BP$4)</f>
        <v/>
      </c>
      <c r="JJ113" s="300" t="str">
        <f t="shared" si="920"/>
        <v/>
      </c>
      <c r="JK113" s="300" t="str">
        <f t="shared" si="921"/>
        <v/>
      </c>
      <c r="JL113" s="294" t="str">
        <f t="shared" si="922"/>
        <v/>
      </c>
      <c r="JM113" s="494" t="str">
        <f>IF(A113=FALSE,"",Cotations!$BQ$4)</f>
        <v/>
      </c>
      <c r="JN113" s="522" t="str">
        <f>IF(A113=FALSE,"",Cotations!$BR$4)</f>
        <v/>
      </c>
      <c r="JO113" s="489" t="str">
        <f>IF(A113=FALSE,"",Cotations!$BS$4)</f>
        <v/>
      </c>
      <c r="JP113" s="494" t="str">
        <f>IF(A113=FALSE,"",IF(JM113="N/A",0,IF(INDEX(LISTES!$F$105:$F$109,MATCH(JM113,LISTES!$C$105:$C$109,0))="FIX",IF(INDEX(LISTES!$E$105:$E$109,MATCH(JM113,LISTES!$C$105:$C$109,0))=12,JN113/12*L113,JN113/365*M113),JO113*JL113)))</f>
        <v/>
      </c>
      <c r="JQ113" s="294" t="str">
        <f t="shared" si="923"/>
        <v/>
      </c>
      <c r="JR113" s="494" t="str">
        <f>IF(A113=FALSE,"",JQ113*Cotations!$BT$4)</f>
        <v/>
      </c>
      <c r="JS113" s="494" t="str">
        <f>IF(A113=FALSE,"",JQ113*Cotations!$BU$4)</f>
        <v/>
      </c>
      <c r="JT113" s="294" t="str">
        <f t="shared" si="924"/>
        <v/>
      </c>
      <c r="JU113" s="919" t="str">
        <f>IF(A113=FALSE,"",((JG113*TAXE)-(JG113*TAXE*JI113))+IF(JM113="N/A",0,IF(INDEX(LISTES!$F$105:$F$109,MATCH(JM113,LISTES!$C$105:$C$109,0))="FIX",JN113,JO113*JL113)))</f>
        <v/>
      </c>
      <c r="KA113" s="492" t="str">
        <f>IF(A113=FALSE,"",Cotations!D113)</f>
        <v/>
      </c>
      <c r="KB113" s="491" t="str">
        <f>IF(A113=FALSE,"",IF(LISTES!$A$17=1,Cotations!BJ113,Cotations!BK113))</f>
        <v/>
      </c>
      <c r="KC113" s="285" t="str">
        <f t="shared" si="925"/>
        <v/>
      </c>
      <c r="KD113" s="300"/>
      <c r="KE113" s="461" t="str">
        <f t="shared" si="926"/>
        <v/>
      </c>
      <c r="KF113" s="490" t="str">
        <f>IF(A113=FALSE,"",IF(KA113="POEA",Cotations!BM113,IF(KA113="FIXE",Cotations!BN113,IF(Cotations!BO113*Y113&lt;50000,Z113,Cotations!BO113*Y113))))</f>
        <v/>
      </c>
      <c r="KG113" s="300" t="str">
        <f t="shared" si="927"/>
        <v/>
      </c>
      <c r="KH113" s="522" t="str">
        <f>IF(A113=FALSE,"",IF(Cotations!BL113="monthly",KG113/12*L113,KG113/365*M113))</f>
        <v/>
      </c>
      <c r="KI113" s="489" t="str">
        <f>IF(A113=FALSE,"",IF(Cotations!BP113="","",Cotations!BP113))</f>
        <v/>
      </c>
      <c r="KJ113" s="300" t="str">
        <f t="shared" si="928"/>
        <v/>
      </c>
      <c r="KK113" s="300" t="str">
        <f t="shared" si="929"/>
        <v/>
      </c>
      <c r="KL113" s="919" t="str">
        <f t="shared" si="930"/>
        <v/>
      </c>
      <c r="KM113" s="517" t="str">
        <f>IF(A113=FALSE,"",Cotations!BQ113)</f>
        <v/>
      </c>
      <c r="KN113" s="515" t="str">
        <f>IF(A113=FALSE,"",Cotations!BR113)</f>
        <v/>
      </c>
      <c r="KO113" s="493" t="str">
        <f>IF(A113=FALSE,"",Cotations!BS113)</f>
        <v/>
      </c>
      <c r="KP113" s="517" t="str">
        <f>IF(A113=FALSE,"",IF(KM113="N/A",0,IF(INDEX(LISTES!$F$105:$F$109,MATCH(KM113,LISTES!$C$105:$C$109,0))="FIX",IF(INDEX(LISTES!$E$105:$E$109,MATCH(KM113,LISTES!$C$105:$C$109,0))=12,KN113/12*L113,KN113/365*M113),KO113*KL113)))</f>
        <v/>
      </c>
      <c r="KQ113" s="294" t="str">
        <f t="shared" si="931"/>
        <v/>
      </c>
      <c r="KR113" s="494" t="str">
        <f>IF(A113=FALSE,"",KQ113*Cotations!BT113)</f>
        <v/>
      </c>
      <c r="KS113" s="494" t="str">
        <f>IF(A113=FALSE,"",KQ113*Cotations!BU113)</f>
        <v/>
      </c>
      <c r="KT113" s="338" t="str">
        <f t="shared" si="932"/>
        <v/>
      </c>
      <c r="KU113" s="919" t="str">
        <f>IF(A113=FALSE,"",((KG113*TAXE)-(KG113*TAXE*KI113))+IF(KM113="N/A",0,IF(INDEX(LISTES!$F$105:$F$109,MATCH(KM113,LISTES!$C$105:$C$109,0))="FIX",KN113,KO113*KL113)))</f>
        <v/>
      </c>
      <c r="LA113" s="497" t="str">
        <f>IF(A113=FALSE,"",Cotations!D113)</f>
        <v/>
      </c>
      <c r="LB113" s="498" t="str">
        <f>IF(A113=FALSE,"",IF(LISTES!$A$17=1,Cotations!BV113,Cotations!$BW$4))</f>
        <v/>
      </c>
      <c r="LC113" s="499" t="str">
        <f t="shared" si="933"/>
        <v/>
      </c>
      <c r="LD113" s="499" t="str">
        <f t="shared" si="934"/>
        <v/>
      </c>
      <c r="LE113" s="500" t="str">
        <f t="shared" si="935"/>
        <v/>
      </c>
      <c r="LF113" s="501" t="str">
        <f>IF(A113=FALSE,"",IF(LA113="POEA",Cotations!EJ113,IF(LA113="FIXE",Cotations!$BY$4,Cotations!$CA$4*Y113)))</f>
        <v/>
      </c>
      <c r="LG113" s="502" t="str">
        <f t="shared" si="936"/>
        <v/>
      </c>
      <c r="LH113" s="520" t="str">
        <f>IF(A113=FALSE,"",IF(Cotations!$BX$4="monthly",LG113/12*L113,LG113/365*M113))</f>
        <v/>
      </c>
      <c r="LI113" s="503" t="str">
        <f>IF(A113=FALSE,"",Cotations!$CB$4)</f>
        <v/>
      </c>
      <c r="LJ113" s="502" t="str">
        <f t="shared" si="937"/>
        <v/>
      </c>
      <c r="LK113" s="502" t="str">
        <f t="shared" si="938"/>
        <v/>
      </c>
      <c r="LL113" s="504" t="str">
        <f t="shared" si="939"/>
        <v/>
      </c>
      <c r="LM113" s="505" t="str">
        <f>IF(A113=FALSE,"",Cotations!$CC$4)</f>
        <v/>
      </c>
      <c r="LN113" s="503" t="str">
        <f>IF(A113=FALSE,"",Cotations!$CD$4)</f>
        <v/>
      </c>
      <c r="LO113" s="503" t="str">
        <f>IF(A113=FALSE,"",Cotations!$CE$4)</f>
        <v/>
      </c>
      <c r="LP113" s="505" t="str">
        <f>IF(A113=FALSE,"",IF(LM113="N/A",0,IF(INDEX(LISTES!$F$105:$F$109,MATCH(LM113,LISTES!$C$105:$C$109,0))="FIX",IF(INDEX(LISTES!$E$105:$E$109,MATCH(LM113,LISTES!$C$105:$C$109,0))=12,LN113/12*L113,LN113/365*M113),LO113*LL113)))</f>
        <v/>
      </c>
      <c r="LQ113" s="504" t="str">
        <f t="shared" si="940"/>
        <v/>
      </c>
      <c r="LR113" s="505" t="str">
        <f>IF(A113=FALSE,"",LQ113*Cotations!$CF$4)</f>
        <v/>
      </c>
      <c r="LS113" s="505" t="str">
        <f>IF(A113=FALSE,"",LQ113*Cotations!$CG$4)</f>
        <v/>
      </c>
      <c r="LT113" s="506" t="str">
        <f t="shared" si="941"/>
        <v/>
      </c>
      <c r="LU113" s="919" t="str">
        <f>IF(A113=FALSE,"",((LG113*TAXE)-(LG113*TAXE*LI113))+IF(LM113="N/A",0,IF(INDEX(LISTES!$F$105:$F$109,MATCH(LM113,LISTES!$C$105:$C$109,0))="FIX",LN113,LO113*LL113)))</f>
        <v/>
      </c>
      <c r="MA113" s="492" t="str">
        <f>IF(A113=FALSE,"",Cotations!D113)</f>
        <v/>
      </c>
      <c r="MB113" s="491" t="str">
        <f>IF(A113=FALSE,"",IF(LISTES!$A$17=1,Cotations!BV113,Cotations!BW113))</f>
        <v/>
      </c>
      <c r="MC113" s="285" t="str">
        <f t="shared" si="942"/>
        <v/>
      </c>
      <c r="MD113" s="300"/>
      <c r="ME113" s="461" t="str">
        <f t="shared" si="943"/>
        <v/>
      </c>
      <c r="MF113" s="490" t="str">
        <f>IF(A113=FALSE,"",IF(MA113="POEA",Cotations!BY113,IF(MA113="FIXE",Cotations!BZ113,IF(Cotations!CA113*Y113&lt;50000,Z113,Cotations!CA113*Y113))))</f>
        <v/>
      </c>
      <c r="MG113" s="300" t="str">
        <f t="shared" si="944"/>
        <v/>
      </c>
      <c r="MH113" s="522" t="str">
        <f>IF(A113=FALSE,"",IF(Cotations!BX113="monthly",MG113/12*L113,MG113/365*M113))</f>
        <v/>
      </c>
      <c r="MI113" s="489" t="str">
        <f>IF(A113=FALSE,"",IF(Cotations!CB113="","",Cotations!CB113))</f>
        <v/>
      </c>
      <c r="MJ113" s="300" t="str">
        <f t="shared" si="945"/>
        <v/>
      </c>
      <c r="MK113" s="300" t="str">
        <f t="shared" si="946"/>
        <v/>
      </c>
      <c r="ML113" s="919" t="str">
        <f t="shared" si="947"/>
        <v/>
      </c>
      <c r="MM113" s="517" t="str">
        <f>IF(A113=FALSE,"",Cotations!CC113)</f>
        <v/>
      </c>
      <c r="MN113" s="515" t="str">
        <f>IF(A113=FALSE,"",Cotations!CD113)</f>
        <v/>
      </c>
      <c r="MO113" s="493" t="str">
        <f>IF(A113=FALSE,"",Cotations!CE113)</f>
        <v/>
      </c>
      <c r="MP113" s="517" t="str">
        <f>IF(A113=FALSE,"",IF(MM113="N/A",0,IF(INDEX(LISTES!$F$105:$F$109,MATCH(MM113,LISTES!$C$105:$C$109,0))="FIX",IF(INDEX(LISTES!$E$105:$E$109,MATCH(MM113,LISTES!$C$105:$C$109,0))=12,MN113/12*L113,MN113/365*M113),MO113*ML113)))</f>
        <v/>
      </c>
      <c r="MQ113" s="294" t="str">
        <f t="shared" si="948"/>
        <v/>
      </c>
      <c r="MR113" s="494" t="str">
        <f>IF(A113=FALSE,"",MQ113*Cotations!CF113)</f>
        <v/>
      </c>
      <c r="MS113" s="494" t="str">
        <f>IF(A113=FALSE,"",MQ113*Cotations!CG113)</f>
        <v/>
      </c>
      <c r="MT113" s="338" t="str">
        <f t="shared" si="949"/>
        <v/>
      </c>
      <c r="MU113" s="919" t="str">
        <f>IF(A113=FALSE,"",((MG113*TAXE)-(MG113*TAXE*MI113))+IF(MM113="N/A",0,IF(INDEX(LISTES!$F$105:$F$109,MATCH(MM113,LISTES!$C$105:$C$109,0))="FIX",MN113,MO113*ML113)))</f>
        <v/>
      </c>
      <c r="NA113" s="497" t="str">
        <f>IF(A113=FALSE,"",Cotations!D113)</f>
        <v/>
      </c>
      <c r="NB113" s="498" t="str">
        <f>IF(A113=FALSE,"",IF(LISTES!$A$17=1,Cotations!CH113,Cotations!$CI$4))</f>
        <v/>
      </c>
      <c r="NC113" s="499" t="str">
        <f t="shared" si="950"/>
        <v/>
      </c>
      <c r="ND113" s="499" t="str">
        <f t="shared" si="951"/>
        <v/>
      </c>
      <c r="NE113" s="500" t="str">
        <f t="shared" si="952"/>
        <v/>
      </c>
      <c r="NF113" s="501" t="str">
        <f>IF(A113=FALSE,"",IF(NA113="POEA",Cotations!CK113,IF(NA113="FIXE",Cotations!$CK$4,Cotations!$CM$4*Y113)))</f>
        <v/>
      </c>
      <c r="NG113" s="502" t="str">
        <f t="shared" si="953"/>
        <v/>
      </c>
      <c r="NH113" s="520" t="str">
        <f>IF(A113=FALSE,"",IF(Cotations!$CJ$4="monthly",NG113/12*L113,NG113/365*M113))</f>
        <v/>
      </c>
      <c r="NI113" s="503" t="str">
        <f>IF(A113=FALSE,"",Cotations!$CN$4)</f>
        <v/>
      </c>
      <c r="NJ113" s="502" t="str">
        <f t="shared" si="954"/>
        <v/>
      </c>
      <c r="NK113" s="502" t="str">
        <f t="shared" si="955"/>
        <v/>
      </c>
      <c r="NL113" s="504" t="str">
        <f t="shared" si="956"/>
        <v/>
      </c>
      <c r="NM113" s="505" t="str">
        <f>IF(A113=FALSE,"",Cotations!$CO$4)</f>
        <v/>
      </c>
      <c r="NN113" s="520" t="str">
        <f>IF(A113=FALSE,"",Cotations!$CP$4)</f>
        <v/>
      </c>
      <c r="NO113" s="503" t="str">
        <f>IF(A113=FALSE,"",Cotations!$CQ$4)</f>
        <v/>
      </c>
      <c r="NP113" s="505" t="str">
        <f>IF(A113=FALSE,"",IF(NM113="N/A",0,IF(INDEX(LISTES!$F$105:$F$109,MATCH(NM113,LISTES!$C$105:$C$109,0))="FIX",IF(INDEX(LISTES!$E$105:$E$109,MATCH(NM113,LISTES!$C$105:$C$109,0))=12,NN113/12*L113,NN113/365*M113),NO113*NL113)))</f>
        <v/>
      </c>
      <c r="NQ113" s="504" t="str">
        <f t="shared" si="957"/>
        <v/>
      </c>
      <c r="NR113" s="505" t="str">
        <f>IF(A113=FALSE,"",NQ113*Cotations!$CR$4)</f>
        <v/>
      </c>
      <c r="NS113" s="505" t="str">
        <f>IF(A113=FALSE,"",NQ113*Cotations!$CS$4)</f>
        <v/>
      </c>
      <c r="NT113" s="506" t="str">
        <f t="shared" si="958"/>
        <v/>
      </c>
      <c r="NU113" s="919" t="str">
        <f>IF(A113=FALSE,"",((NG113*TAXE)-(NG113*TAXE*NI113))+IF(NM113="N/A",0,IF(INDEX(LISTES!$F$105:$F$109,MATCH(NM113,LISTES!$C$105:$C$109,0))="FIX",NN113,NO113*NL113)))</f>
        <v/>
      </c>
      <c r="OA113" s="492" t="str">
        <f>IF(A113=FALSE,"",Cotations!D113)</f>
        <v/>
      </c>
      <c r="OB113" s="491" t="str">
        <f>IF(A113=FALSE,"",IF(LISTES!$A$17=1,Cotations!CH113,Cotations!CI113))</f>
        <v/>
      </c>
      <c r="OC113" s="285" t="str">
        <f t="shared" si="959"/>
        <v/>
      </c>
      <c r="OD113" s="300"/>
      <c r="OE113" s="461" t="str">
        <f t="shared" si="960"/>
        <v/>
      </c>
      <c r="OF113" s="490" t="str">
        <f>IF(A113=FALSE,"",IF(OA113="POEA",Cotations!CK113,IF(OA113="FIXE",Cotations!CL113,IF(Cotations!CM113*Y113&lt;50000,Z113,Cotations!CM113*Y113))))</f>
        <v/>
      </c>
      <c r="OG113" s="300" t="str">
        <f t="shared" si="961"/>
        <v/>
      </c>
      <c r="OH113" s="522" t="str">
        <f>IF(A113=FALSE,"",IF(Cotations!CJ113="monthly",OG113/12*L113,OG113/365*M113))</f>
        <v/>
      </c>
      <c r="OI113" s="489" t="str">
        <f>IF(A113=FALSE,"",IF(Cotations!CN113="","",Cotations!CN113))</f>
        <v/>
      </c>
      <c r="OJ113" s="300" t="str">
        <f t="shared" si="962"/>
        <v/>
      </c>
      <c r="OK113" s="300" t="str">
        <f t="shared" si="963"/>
        <v/>
      </c>
      <c r="OL113" s="919" t="str">
        <f t="shared" si="964"/>
        <v/>
      </c>
      <c r="OM113" s="517" t="str">
        <f>IF(A113=FALSE,"",Cotations!CO113)</f>
        <v/>
      </c>
      <c r="ON113" s="515" t="str">
        <f>IF(A113=FALSE,"",Cotations!CP113)</f>
        <v/>
      </c>
      <c r="OO113" s="493" t="str">
        <f>IF(A113=FALSE,"",Cotations!CQ113)</f>
        <v/>
      </c>
      <c r="OP113" s="517" t="str">
        <f>IF(A113=FALSE,"",IF(OM113="N/A",0,IF(INDEX(LISTES!$F$105:$F$109,MATCH(OM113,LISTES!$C$105:$C$109,0))="FIX",IF(INDEX(LISTES!$E$105:$E$109,MATCH(OM113,LISTES!$C$105:$C$109,0))=12,ON113/12*L113,ON113/365*M113),OO113*OL113)))</f>
        <v/>
      </c>
      <c r="OQ113" s="294" t="str">
        <f t="shared" si="965"/>
        <v/>
      </c>
      <c r="OR113" s="494" t="str">
        <f>IF(A113=FALSE,"",OQ113*Cotations!CR113)</f>
        <v/>
      </c>
      <c r="OS113" s="494" t="str">
        <f>IF(A113=FALSE,"",OQ113*Cotations!CS113)</f>
        <v/>
      </c>
      <c r="OT113" s="338" t="str">
        <f t="shared" si="966"/>
        <v/>
      </c>
      <c r="OU113" s="919" t="str">
        <f>IF(A113=FALSE,"",((OG113*TAXE)-(OG113*TAXE*OI113))+IF(OM113="N/A",0,IF(INDEX(LISTES!$F$105:$F$109,MATCH(OM113,LISTES!$C$105:$C$109,0))="FIX",ON113,OO113*OL113)))</f>
        <v/>
      </c>
      <c r="PA113" s="497" t="str">
        <f t="shared" si="967"/>
        <v/>
      </c>
      <c r="PB113" s="498" t="str">
        <f>IF(A113=FALSE,"",IF(LISTES!$A$17=1,Cotations!CT113,Cotations!$CU$4))</f>
        <v/>
      </c>
      <c r="PC113" s="499" t="str">
        <f t="shared" si="968"/>
        <v/>
      </c>
      <c r="PD113" s="499" t="str">
        <f t="shared" si="969"/>
        <v/>
      </c>
      <c r="PE113" s="500" t="str">
        <f t="shared" si="970"/>
        <v/>
      </c>
      <c r="PF113" s="501" t="str">
        <f>IF(A113=FALSE,"",Cotations!$CY$4*Y113)</f>
        <v/>
      </c>
      <c r="PG113" s="502" t="str">
        <f t="shared" si="971"/>
        <v/>
      </c>
      <c r="PH113" s="520" t="str">
        <f>IF(A113=FALSE,"",IF(Cotations!$CV$4="monthly",PG113/12*L113,PG113/365*M113))</f>
        <v/>
      </c>
      <c r="PI113" s="503" t="str">
        <f>IF(A113=FALSE,"",Cotations!$CZ$4)</f>
        <v/>
      </c>
      <c r="PJ113" s="502" t="str">
        <f t="shared" si="972"/>
        <v/>
      </c>
      <c r="PK113" s="502" t="str">
        <f t="shared" si="973"/>
        <v/>
      </c>
      <c r="PL113" s="504" t="str">
        <f t="shared" si="974"/>
        <v/>
      </c>
      <c r="PM113" s="505" t="str">
        <f>IF(A113=FALSE,"",Cotations!$DA$4)</f>
        <v/>
      </c>
      <c r="PN113" s="520" t="str">
        <f>IF(A113=FALSE,"",Cotations!$DB$4)</f>
        <v/>
      </c>
      <c r="PO113" s="503" t="str">
        <f>IF(A113=FALSE,"",Cotations!$DC$4)</f>
        <v/>
      </c>
      <c r="PP113" s="505" t="str">
        <f>IF(A113=FALSE,"",IF(PM113="N/A",0,IF(INDEX(LISTES!$F$105:$F$109,MATCH(PM113,LISTES!$C$105:$C$109,0))="FIX",IF(INDEX(LISTES!$E$105:$E$109,MATCH(PM113,LISTES!$C$105:$C$109,0))=12,PN113/12*L113,PN113/365*M113),PO113*PL113)))</f>
        <v/>
      </c>
      <c r="PQ113" s="504" t="str">
        <f t="shared" si="975"/>
        <v/>
      </c>
      <c r="PR113" s="505" t="str">
        <f>IF(A113=FALSE,"",PQ113*Cotations!$DD$4)</f>
        <v/>
      </c>
      <c r="PS113" s="505" t="str">
        <f>IF(A113=FALSE,"",PQ113*Cotations!$DE$4)</f>
        <v/>
      </c>
      <c r="PT113" s="506" t="str">
        <f t="shared" si="976"/>
        <v/>
      </c>
      <c r="PU113" s="919" t="str">
        <f>IF(A113=FALSE,"",((PG113*TAXE)-(PG113*TAXE*PI113))+IF(PM113="N/A",0,IF(INDEX(LISTES!$F$105:$F$109,MATCH(PM113,LISTES!$C$105:$C$109,0))="FIX",PN113,PO113*PL113)))</f>
        <v/>
      </c>
      <c r="QA113" s="492" t="str">
        <f t="shared" si="977"/>
        <v/>
      </c>
      <c r="QB113" s="491" t="str">
        <f>IF(A113=FALSE,"",IF(LISTES!$A$17=1,Cotations!CT113,Cotations!CU113))</f>
        <v/>
      </c>
      <c r="QC113" s="285" t="str">
        <f t="shared" si="978"/>
        <v/>
      </c>
      <c r="QD113" s="300"/>
      <c r="QE113" s="461" t="str">
        <f t="shared" si="979"/>
        <v/>
      </c>
      <c r="QF113" s="490" t="str">
        <f>IF(A113=FALSE,"",Cotations!CY113*AA113)</f>
        <v/>
      </c>
      <c r="QG113" s="300" t="str">
        <f t="shared" si="980"/>
        <v/>
      </c>
      <c r="QH113" s="522" t="str">
        <f>IF(A113=FALSE,"",IF(Cotations!CV113="monthly",QG113/12*L113,QG113/365*M113))</f>
        <v/>
      </c>
      <c r="QI113" s="489" t="str">
        <f>IF(A113=FALSE,"",IF(Cotations!CZ113="","",Cotations!CZ113))</f>
        <v/>
      </c>
      <c r="QJ113" s="300" t="str">
        <f t="shared" si="981"/>
        <v/>
      </c>
      <c r="QK113" s="300" t="str">
        <f t="shared" si="982"/>
        <v/>
      </c>
      <c r="QL113" s="919" t="str">
        <f t="shared" si="983"/>
        <v/>
      </c>
      <c r="QM113" s="517" t="str">
        <f>IF(A113=FALSE,"",Cotations!DA113)</f>
        <v/>
      </c>
      <c r="QN113" s="515" t="str">
        <f>IF(A113=FALSE,"",Cotations!DB113)</f>
        <v/>
      </c>
      <c r="QO113" s="493" t="str">
        <f>IF(A113=FALSE,"",Cotations!DC113)</f>
        <v/>
      </c>
      <c r="QP113" s="517" t="str">
        <f>IF(A113=FALSE,"",IF(QM113="N/A",0,IF(INDEX(LISTES!$F$105:$F$109,MATCH(QM113,LISTES!$C$105:$C$109,0))="FIX",IF(INDEX(LISTES!$E$105:$E$109,MATCH(QM113,LISTES!$C$105:$C$109,0))=12,QN113/12*L113,QN113/365*M113),QO113*QL113)))</f>
        <v/>
      </c>
      <c r="QQ113" s="294" t="str">
        <f t="shared" si="984"/>
        <v/>
      </c>
      <c r="QR113" s="494" t="str">
        <f>IF(A113=FALSE,"",QQ113*Cotations!DD113)</f>
        <v/>
      </c>
      <c r="QS113" s="494" t="str">
        <f>IF(A113=FALSE,"",QQ113*Cotations!DE113)</f>
        <v/>
      </c>
      <c r="QT113" s="338" t="str">
        <f t="shared" si="985"/>
        <v/>
      </c>
      <c r="QU113" s="919" t="str">
        <f>IF(A113=FALSE,"",((QG113*TAXE)-(QG113*TAXE*QI113))+IF(QM113="N/A",0,IF(INDEX(LISTES!$F$105:$F$109,MATCH(QM113,LISTES!$C$105:$C$109,0))="FIX",QN113,QO113*QL113)))</f>
        <v/>
      </c>
      <c r="RA113" s="497" t="str">
        <f t="shared" si="986"/>
        <v/>
      </c>
      <c r="RB113" s="498" t="str">
        <f>IF(A113=FALSE,"",IF(LISTES!$A$17=1,Cotations!DF113,Cotations!$DG$4))</f>
        <v/>
      </c>
      <c r="RC113" s="499" t="str">
        <f t="shared" si="987"/>
        <v/>
      </c>
      <c r="RD113" s="499" t="str">
        <f t="shared" si="988"/>
        <v/>
      </c>
      <c r="RE113" s="500" t="str">
        <f t="shared" si="989"/>
        <v/>
      </c>
      <c r="RF113" s="501" t="str">
        <f>IF(A113=FALSE,"",Cotations!$DK$4*Y113)</f>
        <v/>
      </c>
      <c r="RG113" s="502" t="str">
        <f t="shared" si="990"/>
        <v/>
      </c>
      <c r="RH113" s="520" t="str">
        <f>IF(A113=FALSE,"",IF(Cotations!$DH$4="monthly",RG113/12*L113,RG113/365*M113))</f>
        <v/>
      </c>
      <c r="RI113" s="503" t="str">
        <f>IF(A113=FALSE,"",Cotations!$DL$4)</f>
        <v/>
      </c>
      <c r="RJ113" s="502" t="str">
        <f t="shared" si="991"/>
        <v/>
      </c>
      <c r="RK113" s="502" t="str">
        <f t="shared" si="992"/>
        <v/>
      </c>
      <c r="RL113" s="504" t="str">
        <f t="shared" si="993"/>
        <v/>
      </c>
      <c r="RM113" s="505" t="str">
        <f>IF(A113=FALSE,"",Cotations!$DM$4)</f>
        <v/>
      </c>
      <c r="RN113" s="520" t="str">
        <f>IF(A113=FALSE,"",Cotations!$DN$4)</f>
        <v/>
      </c>
      <c r="RO113" s="503" t="str">
        <f>IF(A113=FALSE,"",Cotations!$DO$4)</f>
        <v/>
      </c>
      <c r="RP113" s="505" t="str">
        <f>IF(A113=FALSE,"",IF(RM113="N/A",0,IF(INDEX(LISTES!$F$105:$F$109,MATCH(RM113,LISTES!$C$105:$C$109,0))="FIX",IF(INDEX(LISTES!$E$105:$E$109,MATCH(RM113,LISTES!$C$105:$C$109,0))=12,RN113/12*L113,RN113/365*M113),RO113*RL113)))</f>
        <v/>
      </c>
      <c r="RQ113" s="504" t="str">
        <f t="shared" si="994"/>
        <v/>
      </c>
      <c r="RR113" s="505" t="str">
        <f>IF(A113=FALSE,"",RQ113*Cotations!$DP$4)</f>
        <v/>
      </c>
      <c r="RS113" s="505" t="str">
        <f>IF(A113=FALSE,"",RQ113*Cotations!$DQ$4)</f>
        <v/>
      </c>
      <c r="RT113" s="506" t="str">
        <f t="shared" si="995"/>
        <v/>
      </c>
      <c r="RU113" s="919" t="str">
        <f>IF(A113=FALSE,"",((RG113*TAXE)-(RG113*TAXE*RI113))+IF(RM113="N/A",0,IF(INDEX(LISTES!$F$105:$F$109,MATCH(RM113,LISTES!$C$105:$C$109,0))="FIX",RN113,RO113*RL113)))</f>
        <v/>
      </c>
      <c r="SA113" s="492" t="str">
        <f t="shared" si="996"/>
        <v/>
      </c>
      <c r="SB113" s="491" t="str">
        <f>IF(A113=FALSE,"",IF(LISTES!$A$17=1,Cotations!DF113,Cotations!DG113))</f>
        <v/>
      </c>
      <c r="SC113" s="285" t="str">
        <f t="shared" si="997"/>
        <v/>
      </c>
      <c r="SD113" s="300"/>
      <c r="SE113" s="461" t="str">
        <f t="shared" si="998"/>
        <v/>
      </c>
      <c r="SF113" s="490" t="str">
        <f>IF(A113=FALSE,"",Cotations!DK113*AA113)</f>
        <v/>
      </c>
      <c r="SG113" s="300" t="str">
        <f t="shared" si="999"/>
        <v/>
      </c>
      <c r="SH113" s="522" t="str">
        <f>IF(A113=FALSE,"",IF(Cotations!DH113="monthly",SG113/12*L113,SG113/365*M113))</f>
        <v/>
      </c>
      <c r="SI113" s="489" t="str">
        <f>IF(A113=FALSE,"",IF(Cotations!DL113="","",Cotations!DL113))</f>
        <v/>
      </c>
      <c r="SJ113" s="300" t="str">
        <f t="shared" si="1000"/>
        <v/>
      </c>
      <c r="SK113" s="300" t="str">
        <f t="shared" si="1001"/>
        <v/>
      </c>
      <c r="SL113" s="919" t="str">
        <f t="shared" si="1002"/>
        <v/>
      </c>
      <c r="SM113" s="285" t="str">
        <f>IF(A113=FALSE,"",Cotations!DM113)</f>
        <v/>
      </c>
      <c r="SN113" s="515" t="str">
        <f>IF(A113=FALSE,"",Cotations!DN113)</f>
        <v/>
      </c>
      <c r="SO113" s="493" t="str">
        <f>IF(A113=FALSE,"",Cotations!DO113)</f>
        <v/>
      </c>
      <c r="SP113" s="517" t="str">
        <f>IF(A113=FALSE,"",IF(SM113="N/A",0,IF(INDEX(LISTES!$F$105:$F$109,MATCH(SM113,LISTES!$C$105:$C$109,0))="FIX",IF(INDEX(LISTES!$E$105:$E$109,MATCH(SM113,LISTES!$C$105:$C$109,0))=12,SN113/12*L113,SN113/365*M113),SO113*SL113)))</f>
        <v/>
      </c>
      <c r="SQ113" s="294" t="str">
        <f t="shared" si="1003"/>
        <v/>
      </c>
      <c r="SR113" s="494" t="str">
        <f>IF(A113=FALSE,"",SQ113*Cotations!DP113)</f>
        <v/>
      </c>
      <c r="SS113" s="494" t="str">
        <f>IF(A113=FALSE,"",SQ113*Cotations!DQ113)</f>
        <v/>
      </c>
      <c r="ST113" s="338" t="str">
        <f t="shared" si="1004"/>
        <v/>
      </c>
      <c r="SU113" s="919" t="str">
        <f>IF(A113=FALSE,"",((SG113*TAXE)-(SG113*TAXE*SI113))+IF(SM113="N/A",0,IF(INDEX(LISTES!$F$105:$F$109,MATCH(SM113,LISTES!$C$105:$C$109,0))="FIX",SN113,SO113*SL113)))</f>
        <v/>
      </c>
      <c r="TA113" s="492" t="str">
        <f>IF(A113=FALSE,"",Cotations!D113)</f>
        <v/>
      </c>
      <c r="TB113" s="491" t="str">
        <f>IF(A113=FALSE,"",IF(LISTES!$A$17=1,Cotations!DR113,Cotations!DS113))</f>
        <v/>
      </c>
      <c r="TC113" s="285" t="str">
        <f t="shared" si="1005"/>
        <v/>
      </c>
      <c r="TD113" s="300" t="str">
        <f>IF(A113=FALSE,"",Detail!CQ113)</f>
        <v/>
      </c>
      <c r="TE113" s="461" t="str">
        <f t="shared" si="1006"/>
        <v/>
      </c>
      <c r="TF113" s="490" t="str">
        <f>IF(A113=FALSE,"",IF(TA113="FIXE",Cotations!DU113,Cotations!DV113*Y113))</f>
        <v/>
      </c>
      <c r="TG113" s="300" t="str">
        <f t="shared" si="1007"/>
        <v/>
      </c>
      <c r="TH113" s="522" t="str">
        <f>IF(A113=FALSE,"",IF(Cotations!DT113="monthly",TG113/12*L113,TG113/365*M113))</f>
        <v/>
      </c>
      <c r="TI113" s="489" t="str">
        <f>IF(A113=FALSE,"",IF(Cotations!DW113="","",Cotations!DW113))</f>
        <v/>
      </c>
      <c r="TJ113" s="300" t="str">
        <f t="shared" si="1008"/>
        <v/>
      </c>
      <c r="TK113" s="300" t="str">
        <f t="shared" si="1009"/>
        <v/>
      </c>
      <c r="TL113" s="919" t="str">
        <f t="shared" si="1010"/>
        <v/>
      </c>
      <c r="TM113" s="517" t="str">
        <f>IF(A113=FALSE,"",Cotations!DX113)</f>
        <v/>
      </c>
      <c r="TN113" s="517" t="str">
        <f>IF(A113=FALSE,"",Cotations!DY113)</f>
        <v/>
      </c>
      <c r="TO113" s="493" t="str">
        <f>IF(A113=FALSE,"",Cotations!DZ113)</f>
        <v/>
      </c>
      <c r="TP113" s="517" t="str">
        <f>IF(A113=FALSE,"",IF(TM113="N/A",0,IF(INDEX(LISTES!$F$105:$F$109,MATCH(TM113,LISTES!$C$105:$C$109,0))="FIX",IF(INDEX(LISTES!$E$105:$E$109,MATCH(TM113,LISTES!$C$105:$C$109,0))=12,TN113/12*L113,TN113/365*M113),TO113*TL113)))</f>
        <v/>
      </c>
      <c r="TQ113" s="294" t="str">
        <f t="shared" si="1011"/>
        <v/>
      </c>
      <c r="TR113" s="494" t="str">
        <f>IF(A113=FALSE,"",TQ113*Cotations!EA113)</f>
        <v/>
      </c>
      <c r="TS113" s="494" t="str">
        <f>IF(A113=FALSE,"",TQ113*Cotations!EB113)</f>
        <v/>
      </c>
      <c r="TT113" s="338" t="str">
        <f t="shared" si="1012"/>
        <v/>
      </c>
      <c r="TU113" s="919" t="str">
        <f>IF(A113=FALSE,"",((TG113*(1+TAXE)-(TG113*(1+TAXE)*TI113))+IF(TM113="N/A",0,IF(INDEX(LISTES!$F$105:$F$109,MATCH(TM113,LISTES!$C$105:$C$109,0))="FIX",TN113,TO113*TL113))))</f>
        <v/>
      </c>
      <c r="UA113" s="492" t="str">
        <f>IF(A113=FALSE,"",Cotations!D113)</f>
        <v/>
      </c>
      <c r="UB113" s="491" t="str">
        <f>IF(A113=FALSE,"",IF(LISTES!$A$17=1,Cotations!EC113,Cotations!ED113))</f>
        <v/>
      </c>
      <c r="UC113" s="285" t="str">
        <f t="shared" si="1013"/>
        <v/>
      </c>
      <c r="UD113" s="300" t="str">
        <f>IF(A113=FALSE,"",Detail!CY113)</f>
        <v/>
      </c>
      <c r="UE113" s="461" t="str">
        <f t="shared" si="1014"/>
        <v/>
      </c>
      <c r="UF113" s="490" t="str">
        <f>IF(A113=FALSE,"",IF(UA113="FIXE",Cotations!EF113,Cotations!EG113*Y113))</f>
        <v/>
      </c>
      <c r="UG113" s="300" t="str">
        <f t="shared" si="1015"/>
        <v/>
      </c>
      <c r="UH113" s="522" t="str">
        <f>IF(A113=FALSE,"",IF(Cotations!EE113="monthly",UG113/12*L113,UG113/365*M113))</f>
        <v/>
      </c>
      <c r="UI113" s="489" t="str">
        <f>IF(A113=FALSE,"",IF(Cotations!EH113="","",Cotations!EH113))</f>
        <v/>
      </c>
      <c r="UJ113" s="300" t="str">
        <f t="shared" si="1016"/>
        <v/>
      </c>
      <c r="UK113" s="300" t="str">
        <f t="shared" si="1017"/>
        <v/>
      </c>
      <c r="UL113" s="919" t="str">
        <f t="shared" si="1018"/>
        <v/>
      </c>
      <c r="UM113" s="517" t="str">
        <f>IF(A113=FALSE,"",Cotations!EI113)</f>
        <v/>
      </c>
      <c r="UN113" s="517" t="str">
        <f>IF(A113=FALSE,"",Cotations!EJ113)</f>
        <v/>
      </c>
      <c r="UO113" s="493" t="str">
        <f>IF(A113=FALSE,"",Cotations!EK113)</f>
        <v/>
      </c>
      <c r="UP113" s="517" t="str">
        <f>IF(A113=FALSE,"",IF(UM113="N/A",0,IF(INDEX(LISTES!$F$105:$F$109,MATCH(UM113,LISTES!$C$105:$C$109,0))="FIX",IF(INDEX(LISTES!$E$105:$E$109,MATCH(UM113,LISTES!$C$105:$C$109,0))=12,UN113/12*L113,UN113/365*M113),UO113*UL113)))</f>
        <v/>
      </c>
      <c r="UQ113" s="294" t="str">
        <f t="shared" si="1019"/>
        <v/>
      </c>
      <c r="UR113" s="494" t="str">
        <f>IF(A113=FALSE,"",UQ113*Cotations!EL113)</f>
        <v/>
      </c>
      <c r="US113" s="494" t="str">
        <f>IF(A113=FALSE,"",UQ113*Cotations!EM113)</f>
        <v/>
      </c>
      <c r="UT113" s="338" t="str">
        <f t="shared" si="1020"/>
        <v/>
      </c>
      <c r="UU113" s="919" t="str">
        <f>IF(A113=FALSE,"",((UG113*(1+TAXE)-(UG113*(1+TAXE)*UI113))+IF(UM113="N/A",0,IF(INDEX(LISTES!$F$105:$F$109,MATCH(UM113,LISTES!$C$105:$C$109,0))="FIX",UN113,UO113*UL113))))</f>
        <v/>
      </c>
      <c r="VA113" s="492" t="str">
        <f>IF(A113=FALSE,"",Cotations!D113)</f>
        <v/>
      </c>
      <c r="VB113" s="519" t="str">
        <f>IF(A113=FALSE,"",IF(LISTES!$A$17=1,Cotations!EN113,Cotations!EO113))</f>
        <v/>
      </c>
      <c r="VC113" s="291" t="str">
        <f t="shared" si="1021"/>
        <v/>
      </c>
      <c r="VD113" s="291" t="str">
        <f t="shared" si="1022"/>
        <v/>
      </c>
      <c r="VE113" s="291"/>
      <c r="VF113" s="463"/>
      <c r="VG113" s="463" t="str">
        <f t="shared" si="1023"/>
        <v/>
      </c>
      <c r="VH113" s="522" t="str">
        <f>IF(A113=FALSE,"",IF(Cotations!$AQ$4="monthly",VG113/12*L113,VG113/365*M113))</f>
        <v/>
      </c>
      <c r="VI113" s="489" t="str">
        <f>IF(A113=FALSE,"",Cotations!$AR$4)</f>
        <v/>
      </c>
      <c r="VJ113" s="300" t="str">
        <f t="shared" si="1024"/>
        <v/>
      </c>
      <c r="VK113" s="300" t="str">
        <f t="shared" si="1025"/>
        <v/>
      </c>
      <c r="VL113" s="294" t="str">
        <f t="shared" si="1026"/>
        <v/>
      </c>
      <c r="VM113" s="494" t="str">
        <f>IF(A113=FALSE,"",Cotations!$AS$4)</f>
        <v/>
      </c>
      <c r="VN113" s="494" t="str">
        <f>IF(A113=FALSE,"",Cotations!$AT$4)</f>
        <v/>
      </c>
      <c r="VO113" s="489" t="str">
        <f>IF(A113=FALSE,"",Cotations!$AU$4)</f>
        <v/>
      </c>
      <c r="VP113" s="494" t="str">
        <f>IF(A113=FALSE,"",IF(VM113="N/A",0,IF(INDEX(LISTES!$F$105:$F$109,MATCH(VM113,LISTES!$C$105:$C$109,0))="FIX",IF(INDEX(LISTES!$E$105:$E$109,MATCH(VM113,LISTES!$C$105:$C$109,0))=12,VN113/12*L113,VN113/365*M113),VO113*VL113)))</f>
        <v/>
      </c>
      <c r="VQ113" s="294" t="str">
        <f t="shared" si="1027"/>
        <v/>
      </c>
      <c r="VR113" s="494" t="str">
        <f>IF(A113=FALSE,"",VQ113*Cotations!$AV$4)</f>
        <v/>
      </c>
      <c r="VS113" s="494" t="str">
        <f>IF(A113=FALSE,"",VQ113*Cotations!$AW$4)</f>
        <v/>
      </c>
      <c r="VT113" s="465" t="str">
        <f t="shared" si="1028"/>
        <v/>
      </c>
      <c r="VU113" s="919" t="str">
        <f>IF(A113=FALSE,"",((VG113*TAXE)-(VG113*TAXE*VI113))+IF(VM113="N/A",0,IF(INDEX(LISTES!$F$105:$F$109,MATCH(VM113,LISTES!$C$105:$C$109,0))="FIX",VN113,VO113*VL113)))</f>
        <v/>
      </c>
      <c r="WA113" s="492" t="str">
        <f>IF(A113=FALSE,"",Cotations!D113)</f>
        <v/>
      </c>
      <c r="WB113" s="519" t="str">
        <f>IF(A113=FALSE,"",IF(LISTES!$A$17=1,Cotations!EW113,Cotations!EX113))</f>
        <v/>
      </c>
      <c r="WC113" s="291" t="str">
        <f t="shared" si="1029"/>
        <v/>
      </c>
      <c r="WD113" s="291" t="str">
        <f t="shared" si="1030"/>
        <v/>
      </c>
      <c r="WE113" s="291"/>
      <c r="WF113" s="463"/>
      <c r="WG113" s="463" t="str">
        <f t="shared" si="1031"/>
        <v/>
      </c>
      <c r="WH113" s="522" t="str">
        <f>IF(A113=FALSE,"",IF(Cotations!$AQ$4="monthly",WG113/12*L113,WG113/365*M113))</f>
        <v/>
      </c>
      <c r="WI113" s="489" t="str">
        <f>IF(A113=FALSE,"",Cotations!$AR$4)</f>
        <v/>
      </c>
      <c r="WJ113" s="300" t="str">
        <f t="shared" si="1032"/>
        <v/>
      </c>
      <c r="WK113" s="300" t="str">
        <f t="shared" si="1033"/>
        <v/>
      </c>
      <c r="WL113" s="294" t="str">
        <f t="shared" si="1034"/>
        <v/>
      </c>
      <c r="WM113" s="494" t="str">
        <f>IF(A113=FALSE,"",Cotations!$AS$4)</f>
        <v/>
      </c>
      <c r="WN113" s="494" t="str">
        <f>IF(A113=FALSE,"",Cotations!$AT$4)</f>
        <v/>
      </c>
      <c r="WO113" s="489" t="str">
        <f>IF(A113=FALSE,"",Cotations!$AU$4)</f>
        <v/>
      </c>
      <c r="WP113" s="494" t="str">
        <f>IF(A113=FALSE,"",IF(WM113="N/A",0,IF(INDEX(LISTES!$F$105:$F$109,MATCH(WM113,LISTES!$C$105:$C$109,0))="FIX",IF(INDEX(LISTES!$E$105:$E$109,MATCH(WM113,LISTES!$C$105:$C$109,0))=12,WN113/12*L113,WN113/365*M113),WO113*WL113)))</f>
        <v/>
      </c>
      <c r="WQ113" s="294" t="str">
        <f t="shared" si="1035"/>
        <v/>
      </c>
      <c r="WR113" s="494" t="str">
        <f>IF(A113=FALSE,"",WQ113*Cotations!$AV$4)</f>
        <v/>
      </c>
      <c r="WS113" s="494" t="str">
        <f>IF(A113=FALSE,"",WQ113*Cotations!$AW$4)</f>
        <v/>
      </c>
      <c r="WT113" s="465" t="str">
        <f t="shared" si="1036"/>
        <v/>
      </c>
      <c r="WU113" s="919" t="str">
        <f>IF(A113=FALSE,"",((WG113*TAXE)-(WG113*TAXE*WI113))+IF(WM113="N/A",0,IF(INDEX(LISTES!$F$105:$F$109,MATCH(WM113,LISTES!$C$105:$C$109,0))="FIX",WN113,WO113*WL113)))</f>
        <v/>
      </c>
    </row>
    <row r="114" spans="1:619">
      <c r="A114" s="942" t="b">
        <f t="shared" si="841"/>
        <v>0</v>
      </c>
      <c r="B114" s="942" t="b">
        <f>IF(NAMES!$B$9=TRUE,TRUE,FALSE)</f>
        <v>1</v>
      </c>
      <c r="C114" s="942" t="b">
        <f t="shared" si="825"/>
        <v>0</v>
      </c>
      <c r="D114" s="942" t="b">
        <f t="shared" si="826"/>
        <v>0</v>
      </c>
      <c r="E114" s="274" t="b">
        <f>IF(Cotations!C114="","",Cotations!C114)</f>
        <v>0</v>
      </c>
      <c r="F114" s="274" t="str">
        <f>IF(Cotations!D114="","",Cotations!D114)</f>
        <v>PROP</v>
      </c>
      <c r="G114" s="274" t="str">
        <f>IF(Cotations!E114="","",Cotations!E114)</f>
        <v>2016-2017!</v>
      </c>
      <c r="H114" s="274" t="str">
        <f>IF(Cotations!F114="","",Cotations!F114)</f>
        <v/>
      </c>
      <c r="I114" s="274" t="str">
        <f>IF(Cotations!G114="","",Cotations!G114)</f>
        <v/>
      </c>
      <c r="J114" s="274" t="str">
        <f>IF(Cotations!H114="","",Cotations!H114)</f>
        <v/>
      </c>
      <c r="K114" s="274" t="str">
        <f>IF(Cotations!I114="","",Cotations!I114)</f>
        <v/>
      </c>
      <c r="L114" s="274" t="str">
        <f>IF(A114=FALSE,"",IF(Cotations!N114="","",Cotations!N114))</f>
        <v/>
      </c>
      <c r="M114" s="274" t="str">
        <f>IF(Cotations!P114="","",Cotations!P114)</f>
        <v/>
      </c>
      <c r="N114" s="724" t="str">
        <f>IF(NAMES!$B$10=TRUE,Cotations!J114,Cotations!L114)</f>
        <v/>
      </c>
      <c r="O114" s="724" t="str">
        <f>IF(NAMES!$B$10=TRUE,Cotations!K114,Cotations!M114)</f>
        <v/>
      </c>
      <c r="P114" s="943" t="str">
        <f t="shared" si="827"/>
        <v/>
      </c>
      <c r="Q114" s="724" t="str">
        <f>IF(A114=FALSE,"",IF(Crewlist!Y114="","",Crewlist!Y114))</f>
        <v/>
      </c>
      <c r="R114" s="78" t="str">
        <f>IF(Cotations!U114="","",Cotations!U114)</f>
        <v/>
      </c>
      <c r="S114" s="943" t="str">
        <f t="shared" si="828"/>
        <v/>
      </c>
      <c r="T114" s="919" t="str">
        <f>IF(A114=FALSE,"",VLOOKUP($U$15:$U$120,Currency!$A$2:$D$10,4,0)*Crewlist!N114)</f>
        <v/>
      </c>
      <c r="U114" s="1355" t="str">
        <f>IF(A114=FALSE,"",IF(IT114=0,Crewlist!M114&amp;"/"&amp;EX114,Crewlist!M114&amp;"/"&amp;IT114))</f>
        <v/>
      </c>
      <c r="V114" s="919" t="str">
        <f>IF(A114=FALSE,"",VLOOKUP($U$15:$U$120,Currency!$A$2:$D$10,4,0)*Detail!Q114)</f>
        <v/>
      </c>
      <c r="W114" s="1355" t="str">
        <f>IF(A114=FALSE,"",IF(IT114=0,Detail!R114&amp;"/"&amp;EX114,Detail!R114&amp;"/"&amp;IT114))</f>
        <v/>
      </c>
      <c r="X114" s="919" t="str">
        <f>IF(A114=FALSE,"",IF(LISTES!$C$17="Crewlist",Calcul!T114,Calcul!V114))</f>
        <v/>
      </c>
      <c r="Y114" s="758" t="str">
        <f t="shared" si="829"/>
        <v/>
      </c>
      <c r="Z114" s="758" t="str">
        <f>IF(A114=FALSE,"",IF(X114=0,0,IF((Cotations!BC114*12*X114)&lt;50000,50000,(12*X114))))</f>
        <v/>
      </c>
      <c r="AA114" s="758" t="str">
        <f t="shared" si="830"/>
        <v/>
      </c>
      <c r="AB114" s="758" t="str">
        <f>IF(A114=FALSE,"",IF(Crewlist!O114=0,"",Crewlist!O114))</f>
        <v/>
      </c>
      <c r="AC114" s="758" t="str">
        <f>IF(I114="","",VLOOKUP($AB$15:$AB$120,Currency!$A$15:$B$34,2,0))</f>
        <v/>
      </c>
      <c r="AD114" s="758" t="str">
        <f t="shared" si="831"/>
        <v/>
      </c>
      <c r="AE114" s="758" t="str">
        <f t="shared" si="832"/>
        <v/>
      </c>
      <c r="AF114" s="758" t="str">
        <f t="shared" si="833"/>
        <v/>
      </c>
      <c r="AG114" s="758" t="str">
        <f t="shared" si="834"/>
        <v/>
      </c>
      <c r="AH114" s="1355" t="str">
        <f t="shared" si="842"/>
        <v/>
      </c>
      <c r="AI114" s="919" t="str">
        <f t="shared" si="835"/>
        <v/>
      </c>
      <c r="AJ114" s="1382" t="str">
        <f t="shared" si="836"/>
        <v/>
      </c>
      <c r="AK114" s="1382" t="str">
        <f t="shared" si="837"/>
        <v/>
      </c>
      <c r="AL114" s="238" t="str">
        <f t="shared" si="843"/>
        <v/>
      </c>
      <c r="AM114" s="238" t="str">
        <f t="shared" si="844"/>
        <v/>
      </c>
      <c r="AN114" s="1374" t="str">
        <f t="shared" si="845"/>
        <v/>
      </c>
      <c r="AO114" s="238" t="str">
        <f t="shared" si="846"/>
        <v/>
      </c>
      <c r="AP114" s="342" t="str">
        <f>IF(A114=FALSE,"",INDEX(Rates!$Z$5:$Z$367,MATCH(EB114,colchoice,0)))</f>
        <v/>
      </c>
      <c r="AQ114" s="238" t="str">
        <f t="shared" si="847"/>
        <v/>
      </c>
      <c r="AR114" s="238" t="str">
        <f t="shared" si="848"/>
        <v/>
      </c>
      <c r="AS114" s="238" t="str">
        <f t="shared" si="849"/>
        <v/>
      </c>
      <c r="AT114" s="238" t="str">
        <f t="shared" si="850"/>
        <v/>
      </c>
      <c r="AU114" s="238" t="str">
        <f t="shared" si="851"/>
        <v/>
      </c>
      <c r="AV114" s="238" t="str">
        <f t="shared" si="838"/>
        <v/>
      </c>
      <c r="AW114" s="238" t="str">
        <f t="shared" si="852"/>
        <v/>
      </c>
      <c r="AX114" s="238" t="str">
        <f t="shared" si="853"/>
        <v/>
      </c>
      <c r="AY114" s="238" t="str">
        <f t="shared" si="854"/>
        <v/>
      </c>
      <c r="AZ114" s="238" t="str">
        <f t="shared" si="855"/>
        <v/>
      </c>
      <c r="BA114" s="238" t="str">
        <f t="shared" si="856"/>
        <v/>
      </c>
      <c r="BB114" s="552" t="str">
        <f t="shared" si="857"/>
        <v/>
      </c>
      <c r="BC114" s="347" t="str">
        <f t="shared" si="858"/>
        <v/>
      </c>
      <c r="BD114" s="239" t="str">
        <f t="shared" si="839"/>
        <v/>
      </c>
      <c r="BE114" s="239" t="str">
        <f>IF(A114=FALSE,"",IF(ALLTHESAME=TRUE,IF(DF114&lt;&gt;$BC$7,0,INDEX(DD114:DZ114,1,MATCH(Structure!$D$12,$DD$14:$DZ$14,0))),IF(EC114&lt;&gt;$BC$7,0,INDEX(EA114:EZ114,1,MATCH(Structure!$D$12,$EA$14:$EZ$14,0)))))</f>
        <v/>
      </c>
      <c r="BF114" s="239" t="str">
        <f>IF(A114=FALSE,"",IF(ALLTHESAME=TRUE,IF(FC114&lt;&gt;$BC$7,0,INDEX(FA114:FZ114,1,MATCH(Structure!$D$12,$FA$14:$FZ$14,0))),IF(GC114&lt;&gt;$BC$7,0,INDEX(GA114:GZ114,1,MATCH(Structure!$D$12,$GA$14:$GZ$14,0)))))</f>
        <v/>
      </c>
      <c r="BG114" s="239" t="str">
        <f>IF(A114=FALSE,"",IF(ALLTHESAME=TRUE,IF(VC114&lt;&gt;$BC$7,0,INDEX(VA114:VZ114,1,MATCH(Structure!$D$12,$VA$14:$VZ$14,0))),IF(VC114&lt;&gt;$BC$7,0,INDEX(VA114:VZ114,1,MATCH(Structure!$D$12,$VA$14:$VZ$14,0)))))</f>
        <v/>
      </c>
      <c r="BH114" s="239" t="str">
        <f>IF(A114=FALSE,"",IF(ALLTHESAME=TRUE,IF(WC114&lt;&gt;$BC$7,0,INDEX(WA114:WY114,1,MATCH(Structure!$D$12,$WA$14:$WZ$14,0))),IF(WC114&lt;&gt;$BC$7,0,INDEX(WA114:WZ114,1,MATCH(Structure!$D$12,$WA$14:$WZ$14,0)))))</f>
        <v/>
      </c>
      <c r="BI114" s="763" t="str">
        <f>IF(A114=FALSE,"",IF(ALLTHESAME=TRUE,IF(HC114&lt;&gt;$BC$7,0,INDEX(HA114:HZ114,1,MATCH(Structure!$D$12,$HA$14:$HZ$14,0)))+TK114,IF(IC114&lt;&gt;$BC$7,0,INDEX(IA114:IZ114,1,MATCH(Structure!$D$12,$IA$14:$IZ$14,0)))+TK114))</f>
        <v/>
      </c>
      <c r="BJ114" s="239" t="str">
        <f>IF(A114=FALSE,"",IF(ALLTHESAME=TRUE,IF(JC114&lt;&gt;$BC$7,0,INDEX(JA114:JZ114,1,MATCH(Structure!$D$12,$JA$14:$JZ$14,0))),IF(KC114&lt;&gt;$BC$7,0,INDEX(KA114:KZ114,1,MATCH(Structure!$D$12,$KA$14:$KZ$14,0)))))</f>
        <v/>
      </c>
      <c r="BK114" s="763" t="str">
        <f>IF(A114=FALSE,"",IF(ALLTHESAME=TRUE,IF(LC114&lt;&gt;$BC$7,0,INDEX(LA114:LZ114,1,MATCH(Structure!$D$12,$LA$14:$LZ$14,0)))+UK114,IF(MC114&lt;&gt;$BC$7,0,INDEX(MA114:MZ114,1,MATCH(Structure!$D$12,$MA$14:$MZ$14,0)))+UK114))</f>
        <v/>
      </c>
      <c r="BL114" s="239" t="str">
        <f>IF(A114=FALSE,"",IF(ALLTHESAME=TRUE,IF(NC114&lt;&gt;$BC$7,0,INDEX(NA114:NZ114,1,MATCH(Structure!$D$12,$NA$14:$NZ$14,0))),IF(OC114&lt;&gt;$BC$7,0,INDEX(OA114:OZ114,1,MATCH(Structure!$D$12,$OA$14:$OZ$14,0)))))</f>
        <v/>
      </c>
      <c r="BM114" s="239" t="str">
        <f>IF(A114=FALSE,"",IF(ALLTHESAME=TRUE,IF(PC114&lt;&gt;$BC$7,0,INDEX(PA114:PZ114,1,MATCH(Structure!$D$12,$PA$14:$PZ$14,0))),IF(QC114&lt;&gt;$BC$7,0,INDEX(QA114:QZ114,1,MATCH(Structure!$D$12,$QA$14:$QZ$14,0)))))</f>
        <v/>
      </c>
      <c r="BN114" s="341" t="str">
        <f>IF(A114=FALSE,"",IF(ALLTHESAME=TRUE,IF(RC114&lt;&gt;$BC$7,0,INDEX(RA114:RZ114,1,MATCH(Structure!$D$12,$RA$14:$RZ$14,0))),IF(SC114&lt;&gt;$BC$7,0,INDEX(SA114:TA114,1,MATCH(Structure!$D$12,$SA$14:$TA$14,0)))))</f>
        <v/>
      </c>
      <c r="BO114" s="507" t="str">
        <f t="shared" si="859"/>
        <v/>
      </c>
      <c r="BP114" s="239" t="str">
        <f t="shared" si="860"/>
        <v/>
      </c>
      <c r="BQ114" s="239" t="str">
        <f>IF(A114=FALSE,"",IF(ALLTHESAME=TRUE,IF(DF114&lt;&gt;$BO$7,0,INDEX(DD114:DZ114,1,MATCH(Structure!$D$12,$DD$14:$DZ$14,0))),IF(EC114&lt;&gt;$BO$7,0,INDEX(EA114:EZ114,1,MATCH(Structure!$D$12,$EA$14:$EZ$14,0)))))</f>
        <v/>
      </c>
      <c r="BR114" s="239" t="str">
        <f>IF(A114=FALSE,"",IF(ALLTHESAME=TRUE,IF(FC114&lt;&gt;$BO$7,0,INDEX(FA114:FZ114,1,MATCH(Structure!$D$12,$FA$14:$FZ$14,0))),IF(GC114&lt;&gt;$BO$7,0,INDEX(GA114:GZ114,1,MATCH(Structure!$D$12,$GA$14:$GZ$14,0)))))</f>
        <v/>
      </c>
      <c r="BS114" s="239" t="str">
        <f>IF(A114=FALSE,"",IF(ALLTHESAME=TRUE,IF(HC114&lt;&gt;$BO$7,0,INDEX(HA114:HZ114,1,MATCH(Structure!$D$12,$HA$14:$HZ$14,0))),IF(IC114&lt;&gt;$BO$7,0,INDEX(IA114:IZ114,1,MATCH(Structure!$D$12,$IA$14:$IZ$14,0)))))</f>
        <v/>
      </c>
      <c r="BT114" s="239" t="str">
        <f>IF(A114=FALSE,"",IF(ALLTHESAME=TRUE,IF(JC114&lt;&gt;$BO$7,0,INDEX(JA114:JZ114,1,MATCH(Structure!$D$12,$JA$14:$JZ$14,0))),IF(KC114&lt;&gt;$BO$7,0,INDEX(KA114:KZ114,1,MATCH(Structure!$D$12,$KA$14:$KZ$14,0)))))</f>
        <v/>
      </c>
      <c r="BU114" s="239" t="str">
        <f>IF(A114=FALSE,"",IF(ALLTHESAME=TRUE,IF(LC114&lt;&gt;$BO$7,0,INDEX(LA114:LZ114,1,MATCH(Structure!$D$12,$LA$14:$LZ$14,0))),IF(MC114&lt;&gt;$BO$7,0,INDEX(MA114:MZ114,1,MATCH(Structure!$D$12,$MA$14:$MZ$14,0)))))</f>
        <v/>
      </c>
      <c r="BV114" s="239" t="str">
        <f>IF(A114=FALSE,"",IF(ALLTHESAME=TRUE,IF(NC114&lt;&gt;$BO$7,0,INDEX(NA114:NZ114,1,MATCH(Structure!$D$12,$NA$14:$NZ$14,0))),IF(OC114&lt;&gt;$BO$7,0,INDEX(OA114:OZ114,1,MATCH(Structure!$D$12,$OA$14:$OZ$14,0)))))</f>
        <v/>
      </c>
      <c r="BW114" s="239" t="str">
        <f>IF(A114=FALSE,"",IF(ALLTHESAME=TRUE,IF(PC114&lt;&gt;$BO$7,0,INDEX(PA114:PZ114,1,MATCH(Structure!$D$12,$PA$14:$PZ$14,0))),IF(QC114&lt;&gt;$BO$7,0,INDEX(QA114:QZ114,1,MATCH(Structure!$D$12,$QA$14:$QZ$14,0)))))</f>
        <v/>
      </c>
      <c r="BX114" s="341" t="str">
        <f>IF(A114=FALSE,"",IF(ALLTHESAME=TRUE,IF(RC114&lt;&gt;$BO$7,0,INDEX(RA114:RZ114,1,MATCH(Structure!$D$12,$RA$14:$RZ$14,0))),IF(SC114&lt;&gt;$BO$7,0,INDEX(SA114:TA114,1,MATCH(Structure!$D$12,$SA$14:$TA$14,0)))))</f>
        <v/>
      </c>
      <c r="BY114" s="347" t="str">
        <f t="shared" si="861"/>
        <v/>
      </c>
      <c r="BZ114" s="507" t="str">
        <f t="shared" si="862"/>
        <v/>
      </c>
      <c r="CA114" s="239" t="str">
        <f t="shared" si="863"/>
        <v/>
      </c>
      <c r="CB114" s="239" t="str">
        <f>IF(A114=FALSE,"",IF(ALLTHESAME=TRUE,INDEX(DD114:DZ114,MATCH(DF114,DF114:DF219,0),MATCH(Structure!$D$17,$DD$14:$DZ$14,0)),INDEX(EA114:EZ114,MATCH(EC114,EC114:EC219,0),MATCH(Structure!$D$17,$EA$14:$EZ$14,0))))</f>
        <v/>
      </c>
      <c r="CC114" s="239" t="str">
        <f>IF(A114=FALSE,"",IF(ALLTHESAME=TRUE,INDEX(FA114:FZ114,MATCH(FC114,FC114:FC219,0),MATCH(Structure!$D$17,$FA$14:$FZ$14,0)),INDEX(GA114:GZ114,MATCH(GC114,GC114:GC219,0),MATCH(Structure!$D$17,$GA$14:$GZ$14,0))))</f>
        <v/>
      </c>
      <c r="CD114" s="239" t="str">
        <f>IF(A114=FALSE,"",IF(ALLTHESAME=TRUE,INDEX(HA114:HZ114,MATCH(HC114,HC114:HC219,0),MATCH(Structure!$D$17,$HA$14:$HZ$14,0)),INDEX(IA114:IZ114,MATCH(IC114,IC114:IC219,0),MATCH(Structure!$D$17,$IA$14:$IZ$14,0))))</f>
        <v/>
      </c>
      <c r="CE114" s="239" t="str">
        <f>IF(A114=FALSE,"",IF(ALLTHESAME=TRUE,INDEX(JA114:JZ114,MATCH(JC114,JC114:JC219,0),MATCH(Structure!$D$17,$JA$14:$JZ$14,0)),INDEX(KA114:KZ114,MATCH(KC114,KC114:KC219,0),MATCH(Structure!$D$17,$KA$14:$KZ$14,0))))</f>
        <v/>
      </c>
      <c r="CF114" s="239" t="str">
        <f>IF(A114=FALSE,"",IF(ALLTHESAME=TRUE,INDEX(LA114:LZ114,MATCH(LC114,LC114:LC219,0),MATCH(Structure!$D$17,$LA$14:$LZ$14,0)),INDEX(MA114:MZ114,MATCH(MC114,MC114:MC219,0),MATCH(Structure!$D$17,$MA$14:$MZ$14,0))))</f>
        <v/>
      </c>
      <c r="CG114" s="239" t="str">
        <f>IF(A114=FALSE,"",IF(ALLTHESAME=TRUE,INDEX(NA114:NZ114,MATCH(NC114,NC114:NC219,0),MATCH(Structure!$D$17,$NA$14:$NZ$14,0)),INDEX(OA114:OZ114,MATCH(OC114,OC114:OC219,0),MATCH(Structure!$D$17,$OA$14:$OZ$14,0))))</f>
        <v/>
      </c>
      <c r="CH114" s="239" t="str">
        <f>IF(A114=FALSE,"",IF(ALLTHESAME=TRUE,INDEX(PA114:PZ114,MATCH(PC114,PC114:PC219,0),MATCH(Structure!$D$17,$PA$14:$PZ$14,0)),INDEX(QA114:QZ114,MATCH(QC114,QC114:QC219,0),MATCH(Structure!$D$17,$QA$14:$QZ$14,0))))</f>
        <v/>
      </c>
      <c r="CI114" s="341" t="str">
        <f>IF(A114=FALSE,"",IF(ALLTHESAME=TRUE,INDEX(RA114:RZ114,MATCH(RC114,RC114:RC219,0),MATCH(Structure!$D$17,$RA$14:$RZ$14,0)),INDEX(SA114:TC114,MATCH(SC114,SC114:SC219,0),MATCH(Structure!$D$17,$SA$14:$TC$14,0))))</f>
        <v/>
      </c>
      <c r="CJ114" s="347"/>
      <c r="CK114" s="239" t="str">
        <f t="shared" si="864"/>
        <v/>
      </c>
      <c r="CL114" s="239" t="str">
        <f>IF(A114=FALSE,"",IF(ALLTHESAME=TRUE,INDEX(DD114:DZ114,MATCH(DF114,DF114:DF219,0),MATCH(Structure!$D$22,$DD$14:$DZ$14,0)),INDEX(EA114:EZ114,MATCH(EC114,EC114:EC219,0),MATCH(Structure!$D$22,$EA$14:$EZ$14,0))))</f>
        <v/>
      </c>
      <c r="CM114" s="239" t="str">
        <f>IF(A114=FALSE,"",IF(ALLTHESAME=TRUE,INDEX(FA114:FZ114,MATCH(FC114,FC114:FC219,0),MATCH(Structure!$D$22,$FA$14:$FZ$14,0)),INDEX(GA114:GZ114,MATCH(GC114,GC114:GC219,0),MATCH(Structure!$D$22,$GA$14:$GZ$14,0))))</f>
        <v/>
      </c>
      <c r="CN114" s="239" t="str">
        <f>IF(A114=FALSE,"",IF(ALLTHESAME=TRUE,INDEX(HA114:HZ114,MATCH(HC114,HC114:HC219,0),MATCH(Structure!$D$22,$HA$14:$HZ$14,0)),INDEX(IA114:IZ114,MATCH(IC114,IC114:IC219,0),MATCH(Structure!$D$22,$IA$14:$IZ$14,0))))</f>
        <v/>
      </c>
      <c r="CO114" s="239" t="str">
        <f>IF(A114=FALSE,"",IF(ALLTHESAME=TRUE,INDEX(JA114:JZ114,MATCH(JC114,JC114:JC219,0),MATCH(Structure!$D$22,$JA$14:$JZ$14,0)),INDEX(KA114:KZ114,MATCH(KC114,KC114:KC219,0),MATCH(Structure!$D$22,$KA$14:$KZ$14,0))))</f>
        <v/>
      </c>
      <c r="CP114" s="239" t="str">
        <f>IF(A114=FALSE,"",IF(ALLTHESAME=TRUE,INDEX(LA114:LZ114,MATCH(LC114,LC114:LC219,0),MATCH(Structure!$D$22,$LA$14:$LZ$14,0)),INDEX(MA114:MZ114,MATCH(MC114,MC114:MC219,0),MATCH(Structure!$D$22,$MA$14:$MZ$14,0))))</f>
        <v/>
      </c>
      <c r="CQ114" s="239" t="str">
        <f>IF(A114=FALSE,"",IF(ALLTHESAME=TRUE,INDEX(NA114:NZ114,MATCH(NC114,NC114:NC219,0),MATCH(Structure!$D$22,$NA$14:$NZ$14,0)),INDEX(OA114:OZ114,MATCH(OC114,OC114:OC219,0),MATCH(Structure!$D$22,$OA$14:$OZ$14,0))))</f>
        <v/>
      </c>
      <c r="CR114" s="239" t="str">
        <f>IF(A114=FALSE,"",IF(ALLTHESAME=TRUE,INDEX(PA114:PZ114,MATCH(PC114,PC114:PC219,0),MATCH(Structure!$D$22,$PA$14:$PZ$14,0)),INDEX(QA114:QZ114,MATCH(QC114,QC114:QC219,0),MATCH(Structure!$D$22,$QA$14:$QZ$14,0))))</f>
        <v/>
      </c>
      <c r="CS114" s="341" t="str">
        <f>IF(A114=FALSE,"",IF(ALLTHESAME=TRUE,INDEX(RA114:RZ114,MATCH(RC114,RC114:RC219,0),MATCH(Structure!$D$22,$RA$14:$RZ$14,0)),INDEX(SA114:TC114,MATCH(SC114,SC114:SC219,0),MATCH(Structure!$D$22,$SA$14:$TC$14,0))))</f>
        <v/>
      </c>
      <c r="CT114" s="347"/>
      <c r="CU114" s="239" t="str">
        <f t="shared" si="865"/>
        <v/>
      </c>
      <c r="CV114" s="239" t="str">
        <f>IF(A114=FALSE,"",IF(ALLTHESAME=TRUE,INDEX(DD114:DZ114,MATCH(DF114,DF114:DF219,0),MATCH(Structure!$D$8,$DD$14:$DZ$14,0)),INDEX(EA114:EZ114,MATCH(EC114,EC114:EC219,0),MATCH(Structure!$D$8,$EA$14:$EZ$14,0))))</f>
        <v/>
      </c>
      <c r="CW114" s="239" t="str">
        <f>IF(A114=FALSE,"",IF(ALLTHESAME=TRUE,INDEX(FA114:FZ114,MATCH(FC114,FC114:FC219,0),MATCH(Structure!$D$8,$FA$14:$FZ$14,0)),INDEX(GA114:GZ114,MATCH(GC114,GC114:GC219,0),MATCH(Structure!$D$8,$GA$14:$GZ$14,0))))</f>
        <v/>
      </c>
      <c r="CX114" s="239" t="str">
        <f>IF(A114=FALSE,"",IF(ALLTHESAME=TRUE,INDEX(HA114:HZ114,MATCH(HC114,HC114:HC219,0),MATCH(Structure!$D$8,$HA$14:$HZ$14,0)),INDEX(IA114:IZ114,MATCH(IC114,IC114:IC219,0),MATCH(Structure!$D$8,$IA$14:$IZ$14,0))))</f>
        <v/>
      </c>
      <c r="CY114" s="239" t="str">
        <f>IF(A114=FALSE,"",IF(ALLTHESAME=TRUE,INDEX(JA114:JZ114,MATCH(JC114,JC114:JC219,0),MATCH(Structure!$D$8,$JA$14:$JZ$14,0)),INDEX(KA114:KZ114,MATCH(KC114,KC114:KC219,0),MATCH(Structure!$D$8,$KA$14:$KZ$14,0))))</f>
        <v/>
      </c>
      <c r="CZ114" s="239" t="str">
        <f>IF(A114=FALSE,"",IF(ALLTHESAME=TRUE,INDEX(LA114:LZ114,MATCH(LC114,LC114:LC219,0),MATCH(Structure!$D$8,$LA$14:$LZ$14,0)),INDEX(MA114:MZ114,MATCH(MC114,MC114:MC219,0),MATCH(Structure!$D$8,$MA$14:$MZ$14,0))))</f>
        <v/>
      </c>
      <c r="DA114" s="239" t="str">
        <f>IF(A114=FALSE,"",IF(ALLTHESAME=TRUE,INDEX(NA114:NZ114,MATCH(NC114,NC114:NC219,0),MATCH(Structure!$D$8,$NA$14:$NZ$14,0)),INDEX(OA114:OZ114,MATCH(OC114,OC114:OC219,0),MATCH(Structure!$D$8,$OA$14:$OZ$14,0))))</f>
        <v/>
      </c>
      <c r="DB114" s="239" t="str">
        <f>IF(A114=FALSE,"",IF(ALLTHESAME=TRUE,INDEX(PA114:PZ114,MATCH(PC114,PC114:PC219,0),MATCH(Structure!$D$8,$PA$14:$PZ$14,0)),INDEX(QA114:QZ114,MATCH(QC114,QC114:QC219,0),MATCH(Structure!$D$8,$QA$14:$QZ$14,0))))</f>
        <v/>
      </c>
      <c r="DC114" s="341" t="str">
        <f>IF(A114=FALSE,"",IF(ALLTHESAME=TRUE,INDEX(RA114:RZ114,MATCH(RC114,RC114:RC219,0),MATCH(Structure!$D$8,$RA$14:$RZ$14,0)),INDEX(SA114:TC114,MATCH(SC114,SC114:SC219,0),MATCH(Structure!$D$8,$SA$14:$TC$14,0))))</f>
        <v/>
      </c>
      <c r="DD114" s="492" t="str">
        <f>IF(A114=FALSE,"",Cotations!D114)</f>
        <v/>
      </c>
      <c r="DE114" s="492" t="str">
        <f>IF(A114=FALSE,"",IF(LISTES!$A$17=1,Cotations!AF114,Cotations!$AG$4))</f>
        <v/>
      </c>
      <c r="DF114" s="291" t="str">
        <f t="shared" si="866"/>
        <v/>
      </c>
      <c r="DG114" s="291" t="str">
        <f t="shared" si="867"/>
        <v/>
      </c>
      <c r="DH114" s="291"/>
      <c r="DI114" s="463"/>
      <c r="DJ114" s="463" t="str">
        <f t="shared" si="868"/>
        <v/>
      </c>
      <c r="DK114" s="522" t="str">
        <f>IF(A114=FALSE,"",IF(Cotations!$AH$4="monthly",DJ114/12*L114,DJ114/365*M114))</f>
        <v/>
      </c>
      <c r="DL114" s="489" t="str">
        <f>IF(A114=FALSE,"",Cotations!$AI$4)</f>
        <v/>
      </c>
      <c r="DM114" s="300" t="str">
        <f t="shared" si="869"/>
        <v/>
      </c>
      <c r="DN114" s="300" t="str">
        <f t="shared" si="870"/>
        <v/>
      </c>
      <c r="DO114" s="294" t="str">
        <f t="shared" si="871"/>
        <v/>
      </c>
      <c r="DP114" s="494" t="str">
        <f>IF(A114=FALSE,"",Cotations!$AJ$4)</f>
        <v/>
      </c>
      <c r="DQ114" s="494" t="str">
        <f>IF(A114=FALSE,"",Cotations!$AK$4)</f>
        <v/>
      </c>
      <c r="DR114" s="489" t="str">
        <f>IF(A114=FALSE,"",Cotations!$AL$4)</f>
        <v/>
      </c>
      <c r="DS114" s="494" t="str">
        <f>IF(A114=FALSE,"",IF(DP114="N/A",0,IF(INDEX(LISTES!$F$105:$F$109,MATCH(DP114,LISTES!$C$105:$C$109,0))="FIX",IF(INDEX(LISTES!$E$105:$E$109,MATCH(DP114,LISTES!$C$105:$C$109,0))=12,DQ114/12*L114,DQ114/365*M114),DR114*DO114)))</f>
        <v/>
      </c>
      <c r="DT114" s="294" t="str">
        <f t="shared" si="872"/>
        <v/>
      </c>
      <c r="DU114" s="294" t="str">
        <f>IF(A114=FALSE,"",DT114*Cotations!$AM$4)</f>
        <v/>
      </c>
      <c r="DV114" s="294" t="str">
        <f>IF(A114=FALSE,"",DT114*Cotations!$AN$4)</f>
        <v/>
      </c>
      <c r="DW114" s="465" t="str">
        <f t="shared" si="873"/>
        <v/>
      </c>
      <c r="DX114" s="919" t="str">
        <f>IF(A114=FALSE,"",((DJ114*TAXE)-(DJ114*TAXE*DL114))+IF(DP114="N/A",0,IF(INDEX(LISTES!$F$105:$F$109,MATCH(DP114,LISTES!$C$105:$C$109,0))="FIX",DQ114,DR114*DO114)))</f>
        <v/>
      </c>
      <c r="DY114" s="466"/>
      <c r="DZ114" s="466"/>
      <c r="EA114" s="492" t="str">
        <f>IF(A114=FALSE,"",Cotations!D114)</f>
        <v/>
      </c>
      <c r="EB114" s="494" t="str">
        <f>IF(A114=FALSE,"",IF(LISTES!$A$17=1,Cotations!AF114,Cotations!AG114))</f>
        <v/>
      </c>
      <c r="EC114" s="284" t="str">
        <f t="shared" si="874"/>
        <v/>
      </c>
      <c r="ED114" s="284" t="str">
        <f t="shared" si="875"/>
        <v/>
      </c>
      <c r="EE114" s="284"/>
      <c r="EF114" s="284"/>
      <c r="EG114" s="284" t="str">
        <f t="shared" si="876"/>
        <v/>
      </c>
      <c r="EH114" s="1365" t="str">
        <f t="shared" si="877"/>
        <v/>
      </c>
      <c r="EI114" s="1365" t="str">
        <f t="shared" si="878"/>
        <v/>
      </c>
      <c r="EJ114" s="515" t="str">
        <f>IF(A114=FALSE,"",IF(Cotations!AH114="monthly",EG114/12*L114,EG114/365*M114))</f>
        <v/>
      </c>
      <c r="EK114" s="1364" t="str">
        <f>IF(A114=FALSE,"",IF(Cotations!AH114="monthly",EI114/12*L114,EI114/365*M114))</f>
        <v/>
      </c>
      <c r="EL114" s="493" t="str">
        <f>IF(A114=FALSE,"",IF(Cotations!AI114="","",Cotations!AI114))</f>
        <v/>
      </c>
      <c r="EM114" s="284" t="str">
        <f t="shared" si="879"/>
        <v/>
      </c>
      <c r="EN114" s="284" t="str">
        <f t="shared" si="880"/>
        <v/>
      </c>
      <c r="EO114" s="1365" t="str">
        <f t="shared" si="840"/>
        <v/>
      </c>
      <c r="EP114" s="284" t="str">
        <f t="shared" si="881"/>
        <v/>
      </c>
      <c r="EQ114" s="515" t="str">
        <f>IF(A114=FALSE,"",Cotations!AJ114)</f>
        <v/>
      </c>
      <c r="ER114" s="515" t="str">
        <f>IF(A114=FALSE,"",IF(Cotations!AK114="","",Cotations!AK114))</f>
        <v/>
      </c>
      <c r="ES114" s="493" t="str">
        <f>IF(A114=FALSE,"",Cotations!AL114)</f>
        <v/>
      </c>
      <c r="ET114" s="515" t="str">
        <f>IF(A114=FALSE,"",IF(EQ114="N/A",0,IF(INDEX(LISTES!$F$105:$F$109,MATCH(EQ114,LISTES!$C$105:$C$109,0))="FIX",IF(INDEX(LISTES!$E$105:$E$109,MATCH(EQ114,LISTES!$C$105:$C$109,0))=12,ER114/12*L114,ER114/365*M114),ES114*EP114)))</f>
        <v/>
      </c>
      <c r="EU114" s="294" t="str">
        <f t="shared" si="882"/>
        <v/>
      </c>
      <c r="EV114" s="494" t="str">
        <f>IF(A114=FALSE,"",EU114*Cotations!AM114)</f>
        <v/>
      </c>
      <c r="EW114" s="494" t="str">
        <f>IF(A114=FALSE,"",EU114*Cotations!AN114)</f>
        <v/>
      </c>
      <c r="EX114" s="334" t="str">
        <f t="shared" si="883"/>
        <v/>
      </c>
      <c r="EY114" s="919" t="str">
        <f>IF(A114=FALSE,"",((EG114*TAXE)-(EG114*TAXE*EL114)+EH114)+IF(EQ114="N/A",0,IF(INDEX(LISTES!$F$105:$F$109,MATCH(EQ114,LISTES!$C$105:$C$109,0))="FIX",ER114,ES114*EP114)))</f>
        <v/>
      </c>
      <c r="FA114" s="492" t="str">
        <f>IF(A114=FALSE,"",Cotations!D114)</f>
        <v/>
      </c>
      <c r="FB114" s="519" t="str">
        <f>IF(A114=FALSE,"",IF(LISTES!$A$17=1,Cotations!AO114,Cotations!$AP$4))</f>
        <v/>
      </c>
      <c r="FC114" s="291" t="str">
        <f t="shared" si="884"/>
        <v/>
      </c>
      <c r="FD114" s="291" t="str">
        <f t="shared" si="885"/>
        <v/>
      </c>
      <c r="FE114" s="291"/>
      <c r="FF114" s="463"/>
      <c r="FG114" s="463" t="str">
        <f t="shared" si="886"/>
        <v/>
      </c>
      <c r="FH114" s="522" t="str">
        <f>IF(A114=FALSE,"",IF(Cotations!$AQ$4="monthly",FG114/12*L114,FG114/365*M114))</f>
        <v/>
      </c>
      <c r="FI114" s="453" t="str">
        <f>IF(A114=FALSE,"",Cotations!$AR$4)</f>
        <v/>
      </c>
      <c r="FJ114" s="300" t="str">
        <f t="shared" si="887"/>
        <v/>
      </c>
      <c r="FK114" s="300" t="str">
        <f t="shared" si="888"/>
        <v/>
      </c>
      <c r="FL114" s="294" t="str">
        <f t="shared" si="889"/>
        <v/>
      </c>
      <c r="FM114" s="494" t="str">
        <f>IF(A114=FALSE,"",Cotations!$AS$4)</f>
        <v/>
      </c>
      <c r="FN114" s="494" t="str">
        <f>IF(A114=FALSE,"",Cotations!$AT$4)</f>
        <v/>
      </c>
      <c r="FO114" s="489" t="str">
        <f>IF(A114=FALSE,"",Cotations!$AU$4)</f>
        <v/>
      </c>
      <c r="FP114" s="494" t="str">
        <f>IF(A114=FALSE,"",IF(FM114="N/A",0,IF(INDEX(LISTES!$F$105:$F$109,MATCH(FM114,LISTES!$C$105:$C$109,0))="FIX",IF(INDEX(LISTES!$E$105:$E$109,MATCH(FM114,LISTES!$C$105:$C$109,0))=12,FN114/12*L114,FN114/365*M114),FO114*FL114)))</f>
        <v/>
      </c>
      <c r="FQ114" s="294" t="str">
        <f t="shared" si="890"/>
        <v/>
      </c>
      <c r="FR114" s="494" t="str">
        <f>IF(A114=FALSE,"",FQ114*Cotations!$AV$4)</f>
        <v/>
      </c>
      <c r="FS114" s="494" t="str">
        <f>IF(A114=FALSE,"",FQ114*Cotations!$AW$4)</f>
        <v/>
      </c>
      <c r="FT114" s="465" t="str">
        <f t="shared" si="891"/>
        <v/>
      </c>
      <c r="FU114" s="919" t="str">
        <f>IF(A114=FALSE,"",((FG114*TAXE)-(FG114*TAXE*FI114))+IF(FM114="N/A",0,IF(INDEX(LISTES!$F$105:$F$109,MATCH(FM114,LISTES!$C$105:$C$109,0))="FIX",FN114,FO114*FL114)))</f>
        <v/>
      </c>
      <c r="FV114" s="478"/>
      <c r="FW114" s="478"/>
      <c r="FX114" s="478"/>
      <c r="FY114" s="478"/>
      <c r="FZ114" s="478"/>
      <c r="GA114" s="492" t="str">
        <f>IF(A114=FALSE,"",Cotations!D114)</f>
        <v/>
      </c>
      <c r="GB114" s="494" t="str">
        <f>IF(A114=FALSE,"",IF(LISTES!$A$17=1,Cotations!AO114,Cotations!AP114))</f>
        <v/>
      </c>
      <c r="GC114" s="284" t="str">
        <f t="shared" si="892"/>
        <v/>
      </c>
      <c r="GD114" s="515" t="str">
        <f>IF(A114=FALSE,"",IF(Detail!AM114="","",Detail!AM114))</f>
        <v/>
      </c>
      <c r="GE114" s="284"/>
      <c r="GF114" s="284"/>
      <c r="GG114" s="284" t="str">
        <f t="shared" si="893"/>
        <v/>
      </c>
      <c r="GH114" s="515" t="str">
        <f>IF(A114=FALSE,"",IF(Cotations!AQ114="monthly",GG114/12*L114,GG114/365*M114))</f>
        <v/>
      </c>
      <c r="GI114" s="493" t="str">
        <f>IF(A114=FALSE,"",IF(Cotations!AR114="","",Cotations!AR114))</f>
        <v/>
      </c>
      <c r="GJ114" s="284" t="str">
        <f t="shared" si="894"/>
        <v/>
      </c>
      <c r="GK114" s="284" t="str">
        <f t="shared" si="895"/>
        <v/>
      </c>
      <c r="GL114" s="284" t="str">
        <f t="shared" si="896"/>
        <v/>
      </c>
      <c r="GM114" s="515" t="str">
        <f>IF(A114=FALSE,"",Cotations!AS114)</f>
        <v/>
      </c>
      <c r="GN114" s="515" t="str">
        <f>IF(A114=FALSE,"",Cotations!AT114)</f>
        <v/>
      </c>
      <c r="GO114" s="493" t="str">
        <f>IF(A114=FALSE,"",Cotations!AU114)</f>
        <v/>
      </c>
      <c r="GP114" s="515" t="str">
        <f>IF(A114=FALSE,"",IF(GM114="N/A",0,IF(INDEX(LISTES!$F$105:$F$109,MATCH(GM114,LISTES!$C$105:$C$109,0))="FIX",IF(INDEX(LISTES!$E$105:$E$109,MATCH(GM114,LISTES!$C$105:$C$109,0))=12,GN114/12*L114,GN114/365*M114),GO114*GL114)))</f>
        <v/>
      </c>
      <c r="GQ114" s="294" t="str">
        <f t="shared" si="897"/>
        <v/>
      </c>
      <c r="GR114" s="494" t="str">
        <f>IF(A114=FALSE,"",GQ114*Cotations!AV114)</f>
        <v/>
      </c>
      <c r="GS114" s="494" t="str">
        <f>IF(A114=FALSE,"",GQ114*Cotations!AW114)</f>
        <v/>
      </c>
      <c r="GT114" s="334" t="str">
        <f t="shared" si="898"/>
        <v/>
      </c>
      <c r="GU114" s="919" t="str">
        <f>IF(A114=FALSE,"",((GG114*TAXE)-(GG114*TAXE*GI114))+IF(GM114="N/A",0,IF(INDEX(LISTES!$F$105:$F$109,MATCH(GM114,LISTES!$C$105:$C$109,0))="FIX",GN114,GO114*GL114)))</f>
        <v/>
      </c>
      <c r="GV114" s="478"/>
      <c r="GW114" s="466"/>
      <c r="GX114" s="466"/>
      <c r="GY114" s="466"/>
      <c r="GZ114" s="466"/>
      <c r="HA114" s="492" t="str">
        <f>IF(A114=FALSE,"",Cotations!D114)</f>
        <v/>
      </c>
      <c r="HB114" s="495" t="str">
        <f>IF(A114=FALSE,"",IF(LISTES!$A$17=1,Cotations!AX114,Cotations!$AY$4))</f>
        <v/>
      </c>
      <c r="HC114" s="291" t="str">
        <f t="shared" si="899"/>
        <v/>
      </c>
      <c r="HD114" s="291" t="str">
        <f t="shared" si="900"/>
        <v/>
      </c>
      <c r="HE114" s="456" t="str">
        <f t="shared" si="901"/>
        <v/>
      </c>
      <c r="HF114" s="496" t="str">
        <f>IF(A114=FALSE,"",IF(HA114="POEA",Cotations!BA114,IF(HA114="FIXE",Cotations!$BA$4,Cotations!$BC$4*Y114)))</f>
        <v/>
      </c>
      <c r="HG114" s="300" t="str">
        <f t="shared" si="902"/>
        <v/>
      </c>
      <c r="HH114" s="522" t="str">
        <f>IF(A114=FALSE,"",IF(Cotations!$AZ$4="monthly",HG114/12*L114,HG114/365*M114))</f>
        <v/>
      </c>
      <c r="HI114" s="489" t="str">
        <f>IF(A114=FALSE,"",Cotations!$BD$4)</f>
        <v/>
      </c>
      <c r="HJ114" s="300" t="str">
        <f t="shared" si="903"/>
        <v/>
      </c>
      <c r="HK114" s="300" t="str">
        <f t="shared" si="904"/>
        <v/>
      </c>
      <c r="HL114" s="294" t="str">
        <f t="shared" si="905"/>
        <v/>
      </c>
      <c r="HM114" s="494" t="str">
        <f>IF(A114=FALSE,"",Cotations!$BE$4)</f>
        <v/>
      </c>
      <c r="HN114" s="522" t="str">
        <f>IF(A114=FALSE,"",Cotations!$BF$4)</f>
        <v/>
      </c>
      <c r="HO114" s="489" t="str">
        <f>IF(A114=FALSE,"",Cotations!$BG$4)</f>
        <v/>
      </c>
      <c r="HP114" s="494" t="str">
        <f>IF(A114=FALSE,"",IF(HM114="N/A",0,IF(INDEX(LISTES!$F$105:$F$109,MATCH(HM114,LISTES!$C$105:$C$109,0))="FIX",IF(INDEX(LISTES!$E$105:$E$109,MATCH(HM114,LISTES!$C$105:$C$109,0))=12,HN114/12*L114,HN114/365*M114),HO114*HL114)))</f>
        <v/>
      </c>
      <c r="HQ114" s="294" t="str">
        <f t="shared" si="906"/>
        <v/>
      </c>
      <c r="HR114" s="494" t="str">
        <f>IF(A114=FALSE,"",HQ114*Cotations!$BH$4)</f>
        <v/>
      </c>
      <c r="HS114" s="494" t="str">
        <f>IF(A114=FALSE,"",HQ114*Cotations!$BI$4)</f>
        <v/>
      </c>
      <c r="HT114" s="294" t="str">
        <f t="shared" si="907"/>
        <v/>
      </c>
      <c r="HU114" s="919" t="str">
        <f>IF(A114=FALSE,"",((HG114*TAXE)-(HG114*TAXE*HI114))+IF(HM114="N/A",0,IF(INDEX(LISTES!$F$105:$F$109,MATCH(HM114,LISTES!$C$105:$C$109,0))="FIX",HN114,HO114*HL114)))</f>
        <v/>
      </c>
      <c r="IA114" s="492" t="str">
        <f>IF(A114=FALSE,"",Cotations!D114)</f>
        <v/>
      </c>
      <c r="IB114" s="491" t="str">
        <f>IF(A114=FALSE,"",IF(LISTES!$A$17=1,Cotations!AX114,Cotations!AY114))</f>
        <v/>
      </c>
      <c r="IC114" s="285" t="str">
        <f t="shared" si="908"/>
        <v/>
      </c>
      <c r="ID114" s="300" t="str">
        <f>IF(A114=FALSE,"",IF(LISTES!$A$17=3,Detail!AU114,lig1_Formula_PREVOY))</f>
        <v/>
      </c>
      <c r="IE114" s="461" t="str">
        <f t="shared" si="909"/>
        <v/>
      </c>
      <c r="IF114" s="490" t="str">
        <f>IF(A114=FALSE,"",IF(IA114="POEA",Cotations!BA114,IF(HA114="FIXE",Cotations!BB114,IF(Cotations!BC114*Y114&lt;50000,Z114,Cotations!BC114*Y114))))</f>
        <v/>
      </c>
      <c r="IG114" s="300" t="str">
        <f t="shared" si="910"/>
        <v/>
      </c>
      <c r="IH114" s="522" t="str">
        <f>IF(A114=FALSE,"",IF(Cotations!AZ114="monthly",IG114/12*L114,IG114/365*M114))</f>
        <v/>
      </c>
      <c r="II114" s="489" t="str">
        <f>IF(A114=FALSE,"",IF(Cotations!BD114="","",Cotations!BD114))</f>
        <v/>
      </c>
      <c r="IJ114" s="300" t="str">
        <f t="shared" si="911"/>
        <v/>
      </c>
      <c r="IK114" s="300" t="str">
        <f t="shared" si="912"/>
        <v/>
      </c>
      <c r="IL114" s="919" t="str">
        <f t="shared" si="913"/>
        <v/>
      </c>
      <c r="IM114" s="517" t="str">
        <f>IF(A114=FALSE,"",Cotations!BE114)</f>
        <v/>
      </c>
      <c r="IN114" s="517" t="str">
        <f>IF(A114=FALSE,"",Cotations!BF114)</f>
        <v/>
      </c>
      <c r="IO114" s="493" t="str">
        <f>IF(A114=FALSE,"",Cotations!BG114)</f>
        <v/>
      </c>
      <c r="IP114" s="517" t="str">
        <f>IF(A114=FALSE,"",IF(IM114="N/A",0,IF(INDEX(LISTES!$F$105:$F$109,MATCH(IM114,LISTES!$C$105:$C$109,0))="FIX",IF(INDEX(LISTES!$E$105:$E$109,MATCH(IM114,LISTES!$C$105:$C$109,0))=12,IN114/12*L114,IN114/365*M114),IO114*IL114)))</f>
        <v/>
      </c>
      <c r="IQ114" s="294" t="str">
        <f t="shared" si="914"/>
        <v/>
      </c>
      <c r="IR114" s="494" t="str">
        <f>IF(A114=FALSE,"",IQ114*Cotations!BH114)</f>
        <v/>
      </c>
      <c r="IS114" s="494" t="str">
        <f>IF(A114=FALSE,"",IQ114*Cotations!BI114)</f>
        <v/>
      </c>
      <c r="IT114" s="338" t="str">
        <f t="shared" si="915"/>
        <v/>
      </c>
      <c r="IU114" s="919" t="str">
        <f>IF(A114=FALSE,"",((IG114*TAXE)-(IG114*TAXE*II114))+IF(IM114="N/A",0,IF(INDEX(LISTES!$F$105:$F$109,MATCH(IM114,LISTES!$C$105:$C$109,0))="FIX",IN114,IO114*IL114)))</f>
        <v/>
      </c>
      <c r="JA114" s="492" t="str">
        <f>IF(A114=FALSE,"",Cotations!D114)</f>
        <v/>
      </c>
      <c r="JB114" s="495" t="str">
        <f>IF(A114=FALSE,"",IF(LISTES!$A$17=1,Cotations!BJ114,Cotations!$BK$4))</f>
        <v/>
      </c>
      <c r="JC114" s="291" t="str">
        <f t="shared" si="916"/>
        <v/>
      </c>
      <c r="JD114" s="291" t="str">
        <f t="shared" si="917"/>
        <v/>
      </c>
      <c r="JE114" s="456" t="str">
        <f t="shared" si="918"/>
        <v/>
      </c>
      <c r="JF114" s="496" t="str">
        <f>IF(A114=FALSE,"",IF(JA114="POEA",Cotations!BM114,IF(JA114="FIXE",Cotations!$BM$4,Cotations!$BO$4*Y114)))</f>
        <v/>
      </c>
      <c r="JG114" s="300" t="str">
        <f t="shared" si="919"/>
        <v/>
      </c>
      <c r="JH114" s="522" t="str">
        <f>IF(A114=FALSE,"",IF(Cotations!$BL$4="monthly",JG114/12*L114,JG114/365*M114))</f>
        <v/>
      </c>
      <c r="JI114" s="489" t="str">
        <f>IF(A114=FALSE,"",Cotations!$BP$4)</f>
        <v/>
      </c>
      <c r="JJ114" s="300" t="str">
        <f t="shared" si="920"/>
        <v/>
      </c>
      <c r="JK114" s="300" t="str">
        <f t="shared" si="921"/>
        <v/>
      </c>
      <c r="JL114" s="294" t="str">
        <f t="shared" si="922"/>
        <v/>
      </c>
      <c r="JM114" s="494" t="str">
        <f>IF(A114=FALSE,"",Cotations!$BQ$4)</f>
        <v/>
      </c>
      <c r="JN114" s="522" t="str">
        <f>IF(A114=FALSE,"",Cotations!$BR$4)</f>
        <v/>
      </c>
      <c r="JO114" s="489" t="str">
        <f>IF(A114=FALSE,"",Cotations!$BS$4)</f>
        <v/>
      </c>
      <c r="JP114" s="494" t="str">
        <f>IF(A114=FALSE,"",IF(JM114="N/A",0,IF(INDEX(LISTES!$F$105:$F$109,MATCH(JM114,LISTES!$C$105:$C$109,0))="FIX",IF(INDEX(LISTES!$E$105:$E$109,MATCH(JM114,LISTES!$C$105:$C$109,0))=12,JN114/12*L114,JN114/365*M114),JO114*JL114)))</f>
        <v/>
      </c>
      <c r="JQ114" s="294" t="str">
        <f t="shared" si="923"/>
        <v/>
      </c>
      <c r="JR114" s="494" t="str">
        <f>IF(A114=FALSE,"",JQ114*Cotations!$BT$4)</f>
        <v/>
      </c>
      <c r="JS114" s="494" t="str">
        <f>IF(A114=FALSE,"",JQ114*Cotations!$BU$4)</f>
        <v/>
      </c>
      <c r="JT114" s="294" t="str">
        <f t="shared" si="924"/>
        <v/>
      </c>
      <c r="JU114" s="919" t="str">
        <f>IF(A114=FALSE,"",((JG114*TAXE)-(JG114*TAXE*JI114))+IF(JM114="N/A",0,IF(INDEX(LISTES!$F$105:$F$109,MATCH(JM114,LISTES!$C$105:$C$109,0))="FIX",JN114,JO114*JL114)))</f>
        <v/>
      </c>
      <c r="KA114" s="492" t="str">
        <f>IF(A114=FALSE,"",Cotations!D114)</f>
        <v/>
      </c>
      <c r="KB114" s="491" t="str">
        <f>IF(A114=FALSE,"",IF(LISTES!$A$17=1,Cotations!BJ114,Cotations!BK114))</f>
        <v/>
      </c>
      <c r="KC114" s="285" t="str">
        <f t="shared" si="925"/>
        <v/>
      </c>
      <c r="KD114" s="300"/>
      <c r="KE114" s="461" t="str">
        <f t="shared" si="926"/>
        <v/>
      </c>
      <c r="KF114" s="490" t="str">
        <f>IF(A114=FALSE,"",IF(KA114="POEA",Cotations!BM114,IF(KA114="FIXE",Cotations!BN114,IF(Cotations!BO114*Y114&lt;50000,Z114,Cotations!BO114*Y114))))</f>
        <v/>
      </c>
      <c r="KG114" s="300" t="str">
        <f t="shared" si="927"/>
        <v/>
      </c>
      <c r="KH114" s="522" t="str">
        <f>IF(A114=FALSE,"",IF(Cotations!BL114="monthly",KG114/12*L114,KG114/365*M114))</f>
        <v/>
      </c>
      <c r="KI114" s="489" t="str">
        <f>IF(A114=FALSE,"",IF(Cotations!BP114="","",Cotations!BP114))</f>
        <v/>
      </c>
      <c r="KJ114" s="300" t="str">
        <f t="shared" si="928"/>
        <v/>
      </c>
      <c r="KK114" s="300" t="str">
        <f t="shared" si="929"/>
        <v/>
      </c>
      <c r="KL114" s="919" t="str">
        <f t="shared" si="930"/>
        <v/>
      </c>
      <c r="KM114" s="517" t="str">
        <f>IF(A114=FALSE,"",Cotations!BQ114)</f>
        <v/>
      </c>
      <c r="KN114" s="515" t="str">
        <f>IF(A114=FALSE,"",Cotations!BR114)</f>
        <v/>
      </c>
      <c r="KO114" s="493" t="str">
        <f>IF(A114=FALSE,"",Cotations!BS114)</f>
        <v/>
      </c>
      <c r="KP114" s="517" t="str">
        <f>IF(A114=FALSE,"",IF(KM114="N/A",0,IF(INDEX(LISTES!$F$105:$F$109,MATCH(KM114,LISTES!$C$105:$C$109,0))="FIX",IF(INDEX(LISTES!$E$105:$E$109,MATCH(KM114,LISTES!$C$105:$C$109,0))=12,KN114/12*L114,KN114/365*M114),KO114*KL114)))</f>
        <v/>
      </c>
      <c r="KQ114" s="294" t="str">
        <f t="shared" si="931"/>
        <v/>
      </c>
      <c r="KR114" s="494" t="str">
        <f>IF(A114=FALSE,"",KQ114*Cotations!BT114)</f>
        <v/>
      </c>
      <c r="KS114" s="494" t="str">
        <f>IF(A114=FALSE,"",KQ114*Cotations!BU114)</f>
        <v/>
      </c>
      <c r="KT114" s="338" t="str">
        <f t="shared" si="932"/>
        <v/>
      </c>
      <c r="KU114" s="919" t="str">
        <f>IF(A114=FALSE,"",((KG114*TAXE)-(KG114*TAXE*KI114))+IF(KM114="N/A",0,IF(INDEX(LISTES!$F$105:$F$109,MATCH(KM114,LISTES!$C$105:$C$109,0))="FIX",KN114,KO114*KL114)))</f>
        <v/>
      </c>
      <c r="LA114" s="497" t="str">
        <f>IF(A114=FALSE,"",Cotations!D114)</f>
        <v/>
      </c>
      <c r="LB114" s="498" t="str">
        <f>IF(A114=FALSE,"",IF(LISTES!$A$17=1,Cotations!BV114,Cotations!$BW$4))</f>
        <v/>
      </c>
      <c r="LC114" s="499" t="str">
        <f t="shared" si="933"/>
        <v/>
      </c>
      <c r="LD114" s="499" t="str">
        <f t="shared" si="934"/>
        <v/>
      </c>
      <c r="LE114" s="500" t="str">
        <f t="shared" si="935"/>
        <v/>
      </c>
      <c r="LF114" s="501" t="str">
        <f>IF(A114=FALSE,"",IF(LA114="POEA",Cotations!EJ114,IF(LA114="FIXE",Cotations!$BY$4,Cotations!$CA$4*Y114)))</f>
        <v/>
      </c>
      <c r="LG114" s="502" t="str">
        <f t="shared" si="936"/>
        <v/>
      </c>
      <c r="LH114" s="520" t="str">
        <f>IF(A114=FALSE,"",IF(Cotations!$BX$4="monthly",LG114/12*L114,LG114/365*M114))</f>
        <v/>
      </c>
      <c r="LI114" s="503" t="str">
        <f>IF(A114=FALSE,"",Cotations!$CB$4)</f>
        <v/>
      </c>
      <c r="LJ114" s="502" t="str">
        <f t="shared" si="937"/>
        <v/>
      </c>
      <c r="LK114" s="502" t="str">
        <f t="shared" si="938"/>
        <v/>
      </c>
      <c r="LL114" s="504" t="str">
        <f t="shared" si="939"/>
        <v/>
      </c>
      <c r="LM114" s="505" t="str">
        <f>IF(A114=FALSE,"",Cotations!$CC$4)</f>
        <v/>
      </c>
      <c r="LN114" s="503" t="str">
        <f>IF(A114=FALSE,"",Cotations!$CD$4)</f>
        <v/>
      </c>
      <c r="LO114" s="503" t="str">
        <f>IF(A114=FALSE,"",Cotations!$CE$4)</f>
        <v/>
      </c>
      <c r="LP114" s="505" t="str">
        <f>IF(A114=FALSE,"",IF(LM114="N/A",0,IF(INDEX(LISTES!$F$105:$F$109,MATCH(LM114,LISTES!$C$105:$C$109,0))="FIX",IF(INDEX(LISTES!$E$105:$E$109,MATCH(LM114,LISTES!$C$105:$C$109,0))=12,LN114/12*L114,LN114/365*M114),LO114*LL114)))</f>
        <v/>
      </c>
      <c r="LQ114" s="504" t="str">
        <f t="shared" si="940"/>
        <v/>
      </c>
      <c r="LR114" s="505" t="str">
        <f>IF(A114=FALSE,"",LQ114*Cotations!$CF$4)</f>
        <v/>
      </c>
      <c r="LS114" s="505" t="str">
        <f>IF(A114=FALSE,"",LQ114*Cotations!$CG$4)</f>
        <v/>
      </c>
      <c r="LT114" s="506" t="str">
        <f t="shared" si="941"/>
        <v/>
      </c>
      <c r="LU114" s="919" t="str">
        <f>IF(A114=FALSE,"",((LG114*TAXE)-(LG114*TAXE*LI114))+IF(LM114="N/A",0,IF(INDEX(LISTES!$F$105:$F$109,MATCH(LM114,LISTES!$C$105:$C$109,0))="FIX",LN114,LO114*LL114)))</f>
        <v/>
      </c>
      <c r="MA114" s="492" t="str">
        <f>IF(A114=FALSE,"",Cotations!D114)</f>
        <v/>
      </c>
      <c r="MB114" s="491" t="str">
        <f>IF(A114=FALSE,"",IF(LISTES!$A$17=1,Cotations!BV114,Cotations!BW114))</f>
        <v/>
      </c>
      <c r="MC114" s="285" t="str">
        <f t="shared" si="942"/>
        <v/>
      </c>
      <c r="MD114" s="300"/>
      <c r="ME114" s="461" t="str">
        <f t="shared" si="943"/>
        <v/>
      </c>
      <c r="MF114" s="490" t="str">
        <f>IF(A114=FALSE,"",IF(MA114="POEA",Cotations!BY114,IF(MA114="FIXE",Cotations!BZ114,IF(Cotations!CA114*Y114&lt;50000,Z114,Cotations!CA114*Y114))))</f>
        <v/>
      </c>
      <c r="MG114" s="300" t="str">
        <f t="shared" si="944"/>
        <v/>
      </c>
      <c r="MH114" s="522" t="str">
        <f>IF(A114=FALSE,"",IF(Cotations!BX114="monthly",MG114/12*L114,MG114/365*M114))</f>
        <v/>
      </c>
      <c r="MI114" s="489" t="str">
        <f>IF(A114=FALSE,"",IF(Cotations!CB114="","",Cotations!CB114))</f>
        <v/>
      </c>
      <c r="MJ114" s="300" t="str">
        <f t="shared" si="945"/>
        <v/>
      </c>
      <c r="MK114" s="300" t="str">
        <f t="shared" si="946"/>
        <v/>
      </c>
      <c r="ML114" s="919" t="str">
        <f t="shared" si="947"/>
        <v/>
      </c>
      <c r="MM114" s="517" t="str">
        <f>IF(A114=FALSE,"",Cotations!CC114)</f>
        <v/>
      </c>
      <c r="MN114" s="515" t="str">
        <f>IF(A114=FALSE,"",Cotations!CD114)</f>
        <v/>
      </c>
      <c r="MO114" s="493" t="str">
        <f>IF(A114=FALSE,"",Cotations!CE114)</f>
        <v/>
      </c>
      <c r="MP114" s="517" t="str">
        <f>IF(A114=FALSE,"",IF(MM114="N/A",0,IF(INDEX(LISTES!$F$105:$F$109,MATCH(MM114,LISTES!$C$105:$C$109,0))="FIX",IF(INDEX(LISTES!$E$105:$E$109,MATCH(MM114,LISTES!$C$105:$C$109,0))=12,MN114/12*L114,MN114/365*M114),MO114*ML114)))</f>
        <v/>
      </c>
      <c r="MQ114" s="294" t="str">
        <f t="shared" si="948"/>
        <v/>
      </c>
      <c r="MR114" s="494" t="str">
        <f>IF(A114=FALSE,"",MQ114*Cotations!CF114)</f>
        <v/>
      </c>
      <c r="MS114" s="494" t="str">
        <f>IF(A114=FALSE,"",MQ114*Cotations!CG114)</f>
        <v/>
      </c>
      <c r="MT114" s="338" t="str">
        <f t="shared" si="949"/>
        <v/>
      </c>
      <c r="MU114" s="919" t="str">
        <f>IF(A114=FALSE,"",((MG114*TAXE)-(MG114*TAXE*MI114))+IF(MM114="N/A",0,IF(INDEX(LISTES!$F$105:$F$109,MATCH(MM114,LISTES!$C$105:$C$109,0))="FIX",MN114,MO114*ML114)))</f>
        <v/>
      </c>
      <c r="NA114" s="497" t="str">
        <f>IF(A114=FALSE,"",Cotations!D114)</f>
        <v/>
      </c>
      <c r="NB114" s="498" t="str">
        <f>IF(A114=FALSE,"",IF(LISTES!$A$17=1,Cotations!CH114,Cotations!$CI$4))</f>
        <v/>
      </c>
      <c r="NC114" s="499" t="str">
        <f t="shared" si="950"/>
        <v/>
      </c>
      <c r="ND114" s="499" t="str">
        <f t="shared" si="951"/>
        <v/>
      </c>
      <c r="NE114" s="500" t="str">
        <f t="shared" si="952"/>
        <v/>
      </c>
      <c r="NF114" s="501" t="str">
        <f>IF(A114=FALSE,"",IF(NA114="POEA",Cotations!CK114,IF(NA114="FIXE",Cotations!$CK$4,Cotations!$CM$4*Y114)))</f>
        <v/>
      </c>
      <c r="NG114" s="502" t="str">
        <f t="shared" si="953"/>
        <v/>
      </c>
      <c r="NH114" s="520" t="str">
        <f>IF(A114=FALSE,"",IF(Cotations!$CJ$4="monthly",NG114/12*L114,NG114/365*M114))</f>
        <v/>
      </c>
      <c r="NI114" s="503" t="str">
        <f>IF(A114=FALSE,"",Cotations!$CN$4)</f>
        <v/>
      </c>
      <c r="NJ114" s="502" t="str">
        <f t="shared" si="954"/>
        <v/>
      </c>
      <c r="NK114" s="502" t="str">
        <f t="shared" si="955"/>
        <v/>
      </c>
      <c r="NL114" s="504" t="str">
        <f t="shared" si="956"/>
        <v/>
      </c>
      <c r="NM114" s="505" t="str">
        <f>IF(A114=FALSE,"",Cotations!$CO$4)</f>
        <v/>
      </c>
      <c r="NN114" s="520" t="str">
        <f>IF(A114=FALSE,"",Cotations!$CP$4)</f>
        <v/>
      </c>
      <c r="NO114" s="503" t="str">
        <f>IF(A114=FALSE,"",Cotations!$CQ$4)</f>
        <v/>
      </c>
      <c r="NP114" s="505" t="str">
        <f>IF(A114=FALSE,"",IF(NM114="N/A",0,IF(INDEX(LISTES!$F$105:$F$109,MATCH(NM114,LISTES!$C$105:$C$109,0))="FIX",IF(INDEX(LISTES!$E$105:$E$109,MATCH(NM114,LISTES!$C$105:$C$109,0))=12,NN114/12*L114,NN114/365*M114),NO114*NL114)))</f>
        <v/>
      </c>
      <c r="NQ114" s="504" t="str">
        <f t="shared" si="957"/>
        <v/>
      </c>
      <c r="NR114" s="505" t="str">
        <f>IF(A114=FALSE,"",NQ114*Cotations!$CR$4)</f>
        <v/>
      </c>
      <c r="NS114" s="505" t="str">
        <f>IF(A114=FALSE,"",NQ114*Cotations!$CS$4)</f>
        <v/>
      </c>
      <c r="NT114" s="506" t="str">
        <f t="shared" si="958"/>
        <v/>
      </c>
      <c r="NU114" s="919" t="str">
        <f>IF(A114=FALSE,"",((NG114*TAXE)-(NG114*TAXE*NI114))+IF(NM114="N/A",0,IF(INDEX(LISTES!$F$105:$F$109,MATCH(NM114,LISTES!$C$105:$C$109,0))="FIX",NN114,NO114*NL114)))</f>
        <v/>
      </c>
      <c r="OA114" s="492" t="str">
        <f>IF(A114=FALSE,"",Cotations!D114)</f>
        <v/>
      </c>
      <c r="OB114" s="491" t="str">
        <f>IF(A114=FALSE,"",IF(LISTES!$A$17=1,Cotations!CH114,Cotations!CI114))</f>
        <v/>
      </c>
      <c r="OC114" s="285" t="str">
        <f t="shared" si="959"/>
        <v/>
      </c>
      <c r="OD114" s="300"/>
      <c r="OE114" s="461" t="str">
        <f t="shared" si="960"/>
        <v/>
      </c>
      <c r="OF114" s="490" t="str">
        <f>IF(A114=FALSE,"",IF(OA114="POEA",Cotations!CK114,IF(OA114="FIXE",Cotations!CL114,IF(Cotations!CM114*Y114&lt;50000,Z114,Cotations!CM114*Y114))))</f>
        <v/>
      </c>
      <c r="OG114" s="300" t="str">
        <f t="shared" si="961"/>
        <v/>
      </c>
      <c r="OH114" s="522" t="str">
        <f>IF(A114=FALSE,"",IF(Cotations!CJ114="monthly",OG114/12*L114,OG114/365*M114))</f>
        <v/>
      </c>
      <c r="OI114" s="489" t="str">
        <f>IF(A114=FALSE,"",IF(Cotations!CN114="","",Cotations!CN114))</f>
        <v/>
      </c>
      <c r="OJ114" s="300" t="str">
        <f t="shared" si="962"/>
        <v/>
      </c>
      <c r="OK114" s="300" t="str">
        <f t="shared" si="963"/>
        <v/>
      </c>
      <c r="OL114" s="919" t="str">
        <f t="shared" si="964"/>
        <v/>
      </c>
      <c r="OM114" s="517" t="str">
        <f>IF(A114=FALSE,"",Cotations!CO114)</f>
        <v/>
      </c>
      <c r="ON114" s="515" t="str">
        <f>IF(A114=FALSE,"",Cotations!CP114)</f>
        <v/>
      </c>
      <c r="OO114" s="493" t="str">
        <f>IF(A114=FALSE,"",Cotations!CQ114)</f>
        <v/>
      </c>
      <c r="OP114" s="517" t="str">
        <f>IF(A114=FALSE,"",IF(OM114="N/A",0,IF(INDEX(LISTES!$F$105:$F$109,MATCH(OM114,LISTES!$C$105:$C$109,0))="FIX",IF(INDEX(LISTES!$E$105:$E$109,MATCH(OM114,LISTES!$C$105:$C$109,0))=12,ON114/12*L114,ON114/365*M114),OO114*OL114)))</f>
        <v/>
      </c>
      <c r="OQ114" s="294" t="str">
        <f t="shared" si="965"/>
        <v/>
      </c>
      <c r="OR114" s="494" t="str">
        <f>IF(A114=FALSE,"",OQ114*Cotations!CR114)</f>
        <v/>
      </c>
      <c r="OS114" s="494" t="str">
        <f>IF(A114=FALSE,"",OQ114*Cotations!CS114)</f>
        <v/>
      </c>
      <c r="OT114" s="338" t="str">
        <f t="shared" si="966"/>
        <v/>
      </c>
      <c r="OU114" s="919" t="str">
        <f>IF(A114=FALSE,"",((OG114*TAXE)-(OG114*TAXE*OI114))+IF(OM114="N/A",0,IF(INDEX(LISTES!$F$105:$F$109,MATCH(OM114,LISTES!$C$105:$C$109,0))="FIX",ON114,OO114*OL114)))</f>
        <v/>
      </c>
      <c r="PA114" s="497" t="str">
        <f t="shared" si="967"/>
        <v/>
      </c>
      <c r="PB114" s="498" t="str">
        <f>IF(A114=FALSE,"",IF(LISTES!$A$17=1,Cotations!CT114,Cotations!$CU$4))</f>
        <v/>
      </c>
      <c r="PC114" s="499" t="str">
        <f t="shared" si="968"/>
        <v/>
      </c>
      <c r="PD114" s="499" t="str">
        <f t="shared" si="969"/>
        <v/>
      </c>
      <c r="PE114" s="500" t="str">
        <f t="shared" si="970"/>
        <v/>
      </c>
      <c r="PF114" s="501" t="str">
        <f>IF(A114=FALSE,"",Cotations!$CY$4*Y114)</f>
        <v/>
      </c>
      <c r="PG114" s="502" t="str">
        <f t="shared" si="971"/>
        <v/>
      </c>
      <c r="PH114" s="520" t="str">
        <f>IF(A114=FALSE,"",IF(Cotations!$CV$4="monthly",PG114/12*L114,PG114/365*M114))</f>
        <v/>
      </c>
      <c r="PI114" s="503" t="str">
        <f>IF(A114=FALSE,"",Cotations!$CZ$4)</f>
        <v/>
      </c>
      <c r="PJ114" s="502" t="str">
        <f t="shared" si="972"/>
        <v/>
      </c>
      <c r="PK114" s="502" t="str">
        <f t="shared" si="973"/>
        <v/>
      </c>
      <c r="PL114" s="504" t="str">
        <f t="shared" si="974"/>
        <v/>
      </c>
      <c r="PM114" s="505" t="str">
        <f>IF(A114=FALSE,"",Cotations!$DA$4)</f>
        <v/>
      </c>
      <c r="PN114" s="520" t="str">
        <f>IF(A114=FALSE,"",Cotations!$DB$4)</f>
        <v/>
      </c>
      <c r="PO114" s="503" t="str">
        <f>IF(A114=FALSE,"",Cotations!$DC$4)</f>
        <v/>
      </c>
      <c r="PP114" s="505" t="str">
        <f>IF(A114=FALSE,"",IF(PM114="N/A",0,IF(INDEX(LISTES!$F$105:$F$109,MATCH(PM114,LISTES!$C$105:$C$109,0))="FIX",IF(INDEX(LISTES!$E$105:$E$109,MATCH(PM114,LISTES!$C$105:$C$109,0))=12,PN114/12*L114,PN114/365*M114),PO114*PL114)))</f>
        <v/>
      </c>
      <c r="PQ114" s="504" t="str">
        <f t="shared" si="975"/>
        <v/>
      </c>
      <c r="PR114" s="505" t="str">
        <f>IF(A114=FALSE,"",PQ114*Cotations!$DD$4)</f>
        <v/>
      </c>
      <c r="PS114" s="505" t="str">
        <f>IF(A114=FALSE,"",PQ114*Cotations!$DE$4)</f>
        <v/>
      </c>
      <c r="PT114" s="506" t="str">
        <f t="shared" si="976"/>
        <v/>
      </c>
      <c r="PU114" s="919" t="str">
        <f>IF(A114=FALSE,"",((PG114*TAXE)-(PG114*TAXE*PI114))+IF(PM114="N/A",0,IF(INDEX(LISTES!$F$105:$F$109,MATCH(PM114,LISTES!$C$105:$C$109,0))="FIX",PN114,PO114*PL114)))</f>
        <v/>
      </c>
      <c r="QA114" s="492" t="str">
        <f t="shared" si="977"/>
        <v/>
      </c>
      <c r="QB114" s="491" t="str">
        <f>IF(A114=FALSE,"",IF(LISTES!$A$17=1,Cotations!CT114,Cotations!CU114))</f>
        <v/>
      </c>
      <c r="QC114" s="285" t="str">
        <f t="shared" si="978"/>
        <v/>
      </c>
      <c r="QD114" s="300"/>
      <c r="QE114" s="461" t="str">
        <f t="shared" si="979"/>
        <v/>
      </c>
      <c r="QF114" s="490" t="str">
        <f>IF(A114=FALSE,"",Cotations!CY114*AA114)</f>
        <v/>
      </c>
      <c r="QG114" s="300" t="str">
        <f t="shared" si="980"/>
        <v/>
      </c>
      <c r="QH114" s="522" t="str">
        <f>IF(A114=FALSE,"",IF(Cotations!CV114="monthly",QG114/12*L114,QG114/365*M114))</f>
        <v/>
      </c>
      <c r="QI114" s="489" t="str">
        <f>IF(A114=FALSE,"",IF(Cotations!CZ114="","",Cotations!CZ114))</f>
        <v/>
      </c>
      <c r="QJ114" s="300" t="str">
        <f t="shared" si="981"/>
        <v/>
      </c>
      <c r="QK114" s="300" t="str">
        <f t="shared" si="982"/>
        <v/>
      </c>
      <c r="QL114" s="919" t="str">
        <f t="shared" si="983"/>
        <v/>
      </c>
      <c r="QM114" s="517" t="str">
        <f>IF(A114=FALSE,"",Cotations!DA114)</f>
        <v/>
      </c>
      <c r="QN114" s="515" t="str">
        <f>IF(A114=FALSE,"",Cotations!DB114)</f>
        <v/>
      </c>
      <c r="QO114" s="493" t="str">
        <f>IF(A114=FALSE,"",Cotations!DC114)</f>
        <v/>
      </c>
      <c r="QP114" s="517" t="str">
        <f>IF(A114=FALSE,"",IF(QM114="N/A",0,IF(INDEX(LISTES!$F$105:$F$109,MATCH(QM114,LISTES!$C$105:$C$109,0))="FIX",IF(INDEX(LISTES!$E$105:$E$109,MATCH(QM114,LISTES!$C$105:$C$109,0))=12,QN114/12*L114,QN114/365*M114),QO114*QL114)))</f>
        <v/>
      </c>
      <c r="QQ114" s="294" t="str">
        <f t="shared" si="984"/>
        <v/>
      </c>
      <c r="QR114" s="494" t="str">
        <f>IF(A114=FALSE,"",QQ114*Cotations!DD114)</f>
        <v/>
      </c>
      <c r="QS114" s="494" t="str">
        <f>IF(A114=FALSE,"",QQ114*Cotations!DE114)</f>
        <v/>
      </c>
      <c r="QT114" s="338" t="str">
        <f t="shared" si="985"/>
        <v/>
      </c>
      <c r="QU114" s="919" t="str">
        <f>IF(A114=FALSE,"",((QG114*TAXE)-(QG114*TAXE*QI114))+IF(QM114="N/A",0,IF(INDEX(LISTES!$F$105:$F$109,MATCH(QM114,LISTES!$C$105:$C$109,0))="FIX",QN114,QO114*QL114)))</f>
        <v/>
      </c>
      <c r="RA114" s="497" t="str">
        <f t="shared" si="986"/>
        <v/>
      </c>
      <c r="RB114" s="498" t="str">
        <f>IF(A114=FALSE,"",IF(LISTES!$A$17=1,Cotations!DF114,Cotations!$DG$4))</f>
        <v/>
      </c>
      <c r="RC114" s="499" t="str">
        <f t="shared" si="987"/>
        <v/>
      </c>
      <c r="RD114" s="499" t="str">
        <f t="shared" si="988"/>
        <v/>
      </c>
      <c r="RE114" s="500" t="str">
        <f t="shared" si="989"/>
        <v/>
      </c>
      <c r="RF114" s="501" t="str">
        <f>IF(A114=FALSE,"",Cotations!$DK$4*Y114)</f>
        <v/>
      </c>
      <c r="RG114" s="502" t="str">
        <f t="shared" si="990"/>
        <v/>
      </c>
      <c r="RH114" s="520" t="str">
        <f>IF(A114=FALSE,"",IF(Cotations!$DH$4="monthly",RG114/12*L114,RG114/365*M114))</f>
        <v/>
      </c>
      <c r="RI114" s="503" t="str">
        <f>IF(A114=FALSE,"",Cotations!$DL$4)</f>
        <v/>
      </c>
      <c r="RJ114" s="502" t="str">
        <f t="shared" si="991"/>
        <v/>
      </c>
      <c r="RK114" s="502" t="str">
        <f t="shared" si="992"/>
        <v/>
      </c>
      <c r="RL114" s="504" t="str">
        <f t="shared" si="993"/>
        <v/>
      </c>
      <c r="RM114" s="505" t="str">
        <f>IF(A114=FALSE,"",Cotations!$DM$4)</f>
        <v/>
      </c>
      <c r="RN114" s="520" t="str">
        <f>IF(A114=FALSE,"",Cotations!$DN$4)</f>
        <v/>
      </c>
      <c r="RO114" s="503" t="str">
        <f>IF(A114=FALSE,"",Cotations!$DO$4)</f>
        <v/>
      </c>
      <c r="RP114" s="505" t="str">
        <f>IF(A114=FALSE,"",IF(RM114="N/A",0,IF(INDEX(LISTES!$F$105:$F$109,MATCH(RM114,LISTES!$C$105:$C$109,0))="FIX",IF(INDEX(LISTES!$E$105:$E$109,MATCH(RM114,LISTES!$C$105:$C$109,0))=12,RN114/12*L114,RN114/365*M114),RO114*RL114)))</f>
        <v/>
      </c>
      <c r="RQ114" s="504" t="str">
        <f t="shared" si="994"/>
        <v/>
      </c>
      <c r="RR114" s="505" t="str">
        <f>IF(A114=FALSE,"",RQ114*Cotations!$DP$4)</f>
        <v/>
      </c>
      <c r="RS114" s="505" t="str">
        <f>IF(A114=FALSE,"",RQ114*Cotations!$DQ$4)</f>
        <v/>
      </c>
      <c r="RT114" s="506" t="str">
        <f t="shared" si="995"/>
        <v/>
      </c>
      <c r="RU114" s="919" t="str">
        <f>IF(A114=FALSE,"",((RG114*TAXE)-(RG114*TAXE*RI114))+IF(RM114="N/A",0,IF(INDEX(LISTES!$F$105:$F$109,MATCH(RM114,LISTES!$C$105:$C$109,0))="FIX",RN114,RO114*RL114)))</f>
        <v/>
      </c>
      <c r="SA114" s="492" t="str">
        <f t="shared" si="996"/>
        <v/>
      </c>
      <c r="SB114" s="491" t="str">
        <f>IF(A114=FALSE,"",IF(LISTES!$A$17=1,Cotations!DF114,Cotations!DG114))</f>
        <v/>
      </c>
      <c r="SC114" s="285" t="str">
        <f t="shared" si="997"/>
        <v/>
      </c>
      <c r="SD114" s="300"/>
      <c r="SE114" s="461" t="str">
        <f t="shared" si="998"/>
        <v/>
      </c>
      <c r="SF114" s="490" t="str">
        <f>IF(A114=FALSE,"",Cotations!DK114*AA114)</f>
        <v/>
      </c>
      <c r="SG114" s="300" t="str">
        <f t="shared" si="999"/>
        <v/>
      </c>
      <c r="SH114" s="522" t="str">
        <f>IF(A114=FALSE,"",IF(Cotations!DH114="monthly",SG114/12*L114,SG114/365*M114))</f>
        <v/>
      </c>
      <c r="SI114" s="489" t="str">
        <f>IF(A114=FALSE,"",IF(Cotations!DL114="","",Cotations!DL114))</f>
        <v/>
      </c>
      <c r="SJ114" s="300" t="str">
        <f t="shared" si="1000"/>
        <v/>
      </c>
      <c r="SK114" s="300" t="str">
        <f t="shared" si="1001"/>
        <v/>
      </c>
      <c r="SL114" s="919" t="str">
        <f t="shared" si="1002"/>
        <v/>
      </c>
      <c r="SM114" s="285" t="str">
        <f>IF(A114=FALSE,"",Cotations!DM114)</f>
        <v/>
      </c>
      <c r="SN114" s="515" t="str">
        <f>IF(A114=FALSE,"",Cotations!DN114)</f>
        <v/>
      </c>
      <c r="SO114" s="493" t="str">
        <f>IF(A114=FALSE,"",Cotations!DO114)</f>
        <v/>
      </c>
      <c r="SP114" s="517" t="str">
        <f>IF(A114=FALSE,"",IF(SM114="N/A",0,IF(INDEX(LISTES!$F$105:$F$109,MATCH(SM114,LISTES!$C$105:$C$109,0))="FIX",IF(INDEX(LISTES!$E$105:$E$109,MATCH(SM114,LISTES!$C$105:$C$109,0))=12,SN114/12*L114,SN114/365*M114),SO114*SL114)))</f>
        <v/>
      </c>
      <c r="SQ114" s="294" t="str">
        <f t="shared" si="1003"/>
        <v/>
      </c>
      <c r="SR114" s="494" t="str">
        <f>IF(A114=FALSE,"",SQ114*Cotations!DP114)</f>
        <v/>
      </c>
      <c r="SS114" s="494" t="str">
        <f>IF(A114=FALSE,"",SQ114*Cotations!DQ114)</f>
        <v/>
      </c>
      <c r="ST114" s="338" t="str">
        <f t="shared" si="1004"/>
        <v/>
      </c>
      <c r="SU114" s="919" t="str">
        <f>IF(A114=FALSE,"",((SG114*TAXE)-(SG114*TAXE*SI114))+IF(SM114="N/A",0,IF(INDEX(LISTES!$F$105:$F$109,MATCH(SM114,LISTES!$C$105:$C$109,0))="FIX",SN114,SO114*SL114)))</f>
        <v/>
      </c>
      <c r="TA114" s="492" t="str">
        <f>IF(A114=FALSE,"",Cotations!D114)</f>
        <v/>
      </c>
      <c r="TB114" s="491" t="str">
        <f>IF(A114=FALSE,"",IF(LISTES!$A$17=1,Cotations!DR114,Cotations!DS114))</f>
        <v/>
      </c>
      <c r="TC114" s="285" t="str">
        <f t="shared" si="1005"/>
        <v/>
      </c>
      <c r="TD114" s="300" t="str">
        <f>IF(A114=FALSE,"",Detail!CQ114)</f>
        <v/>
      </c>
      <c r="TE114" s="461" t="str">
        <f t="shared" si="1006"/>
        <v/>
      </c>
      <c r="TF114" s="490" t="str">
        <f>IF(A114=FALSE,"",IF(TA114="FIXE",Cotations!DU114,Cotations!DV114*Y114))</f>
        <v/>
      </c>
      <c r="TG114" s="300" t="str">
        <f t="shared" si="1007"/>
        <v/>
      </c>
      <c r="TH114" s="522" t="str">
        <f>IF(A114=FALSE,"",IF(Cotations!DT114="monthly",TG114/12*L114,TG114/365*M114))</f>
        <v/>
      </c>
      <c r="TI114" s="489" t="str">
        <f>IF(A114=FALSE,"",IF(Cotations!DW114="","",Cotations!DW114))</f>
        <v/>
      </c>
      <c r="TJ114" s="300" t="str">
        <f t="shared" si="1008"/>
        <v/>
      </c>
      <c r="TK114" s="300" t="str">
        <f t="shared" si="1009"/>
        <v/>
      </c>
      <c r="TL114" s="919" t="str">
        <f t="shared" si="1010"/>
        <v/>
      </c>
      <c r="TM114" s="517" t="str">
        <f>IF(A114=FALSE,"",Cotations!DX114)</f>
        <v/>
      </c>
      <c r="TN114" s="517" t="str">
        <f>IF(A114=FALSE,"",Cotations!DY114)</f>
        <v/>
      </c>
      <c r="TO114" s="493" t="str">
        <f>IF(A114=FALSE,"",Cotations!DZ114)</f>
        <v/>
      </c>
      <c r="TP114" s="517" t="str">
        <f>IF(A114=FALSE,"",IF(TM114="N/A",0,IF(INDEX(LISTES!$F$105:$F$109,MATCH(TM114,LISTES!$C$105:$C$109,0))="FIX",IF(INDEX(LISTES!$E$105:$E$109,MATCH(TM114,LISTES!$C$105:$C$109,0))=12,TN114/12*L114,TN114/365*M114),TO114*TL114)))</f>
        <v/>
      </c>
      <c r="TQ114" s="294" t="str">
        <f t="shared" si="1011"/>
        <v/>
      </c>
      <c r="TR114" s="494" t="str">
        <f>IF(A114=FALSE,"",TQ114*Cotations!EA114)</f>
        <v/>
      </c>
      <c r="TS114" s="494" t="str">
        <f>IF(A114=FALSE,"",TQ114*Cotations!EB114)</f>
        <v/>
      </c>
      <c r="TT114" s="338" t="str">
        <f t="shared" si="1012"/>
        <v/>
      </c>
      <c r="TU114" s="919" t="str">
        <f>IF(A114=FALSE,"",((TG114*(1+TAXE)-(TG114*(1+TAXE)*TI114))+IF(TM114="N/A",0,IF(INDEX(LISTES!$F$105:$F$109,MATCH(TM114,LISTES!$C$105:$C$109,0))="FIX",TN114,TO114*TL114))))</f>
        <v/>
      </c>
      <c r="UA114" s="492" t="str">
        <f>IF(A114=FALSE,"",Cotations!D114)</f>
        <v/>
      </c>
      <c r="UB114" s="491" t="str">
        <f>IF(A114=FALSE,"",IF(LISTES!$A$17=1,Cotations!EC114,Cotations!ED114))</f>
        <v/>
      </c>
      <c r="UC114" s="285" t="str">
        <f t="shared" si="1013"/>
        <v/>
      </c>
      <c r="UD114" s="300" t="str">
        <f>IF(A114=FALSE,"",Detail!CY114)</f>
        <v/>
      </c>
      <c r="UE114" s="461" t="str">
        <f t="shared" si="1014"/>
        <v/>
      </c>
      <c r="UF114" s="490" t="str">
        <f>IF(A114=FALSE,"",IF(UA114="FIXE",Cotations!EF114,Cotations!EG114*Y114))</f>
        <v/>
      </c>
      <c r="UG114" s="300" t="str">
        <f t="shared" si="1015"/>
        <v/>
      </c>
      <c r="UH114" s="522" t="str">
        <f>IF(A114=FALSE,"",IF(Cotations!EE114="monthly",UG114/12*L114,UG114/365*M114))</f>
        <v/>
      </c>
      <c r="UI114" s="489" t="str">
        <f>IF(A114=FALSE,"",IF(Cotations!EH114="","",Cotations!EH114))</f>
        <v/>
      </c>
      <c r="UJ114" s="300" t="str">
        <f t="shared" si="1016"/>
        <v/>
      </c>
      <c r="UK114" s="300" t="str">
        <f t="shared" si="1017"/>
        <v/>
      </c>
      <c r="UL114" s="919" t="str">
        <f t="shared" si="1018"/>
        <v/>
      </c>
      <c r="UM114" s="517" t="str">
        <f>IF(A114=FALSE,"",Cotations!EI114)</f>
        <v/>
      </c>
      <c r="UN114" s="517" t="str">
        <f>IF(A114=FALSE,"",Cotations!EJ114)</f>
        <v/>
      </c>
      <c r="UO114" s="493" t="str">
        <f>IF(A114=FALSE,"",Cotations!EK114)</f>
        <v/>
      </c>
      <c r="UP114" s="517" t="str">
        <f>IF(A114=FALSE,"",IF(UM114="N/A",0,IF(INDEX(LISTES!$F$105:$F$109,MATCH(UM114,LISTES!$C$105:$C$109,0))="FIX",IF(INDEX(LISTES!$E$105:$E$109,MATCH(UM114,LISTES!$C$105:$C$109,0))=12,UN114/12*L114,UN114/365*M114),UO114*UL114)))</f>
        <v/>
      </c>
      <c r="UQ114" s="294" t="str">
        <f t="shared" si="1019"/>
        <v/>
      </c>
      <c r="UR114" s="494" t="str">
        <f>IF(A114=FALSE,"",UQ114*Cotations!EL114)</f>
        <v/>
      </c>
      <c r="US114" s="494" t="str">
        <f>IF(A114=FALSE,"",UQ114*Cotations!EM114)</f>
        <v/>
      </c>
      <c r="UT114" s="338" t="str">
        <f t="shared" si="1020"/>
        <v/>
      </c>
      <c r="UU114" s="919" t="str">
        <f>IF(A114=FALSE,"",((UG114*(1+TAXE)-(UG114*(1+TAXE)*UI114))+IF(UM114="N/A",0,IF(INDEX(LISTES!$F$105:$F$109,MATCH(UM114,LISTES!$C$105:$C$109,0))="FIX",UN114,UO114*UL114))))</f>
        <v/>
      </c>
      <c r="VA114" s="492" t="str">
        <f>IF(A114=FALSE,"",Cotations!D114)</f>
        <v/>
      </c>
      <c r="VB114" s="519" t="str">
        <f>IF(A114=FALSE,"",IF(LISTES!$A$17=1,Cotations!EN114,Cotations!EO114))</f>
        <v/>
      </c>
      <c r="VC114" s="291" t="str">
        <f t="shared" si="1021"/>
        <v/>
      </c>
      <c r="VD114" s="291" t="str">
        <f t="shared" si="1022"/>
        <v/>
      </c>
      <c r="VE114" s="291"/>
      <c r="VF114" s="463"/>
      <c r="VG114" s="463" t="str">
        <f t="shared" si="1023"/>
        <v/>
      </c>
      <c r="VH114" s="522" t="str">
        <f>IF(A114=FALSE,"",IF(Cotations!$AQ$4="monthly",VG114/12*L114,VG114/365*M114))</f>
        <v/>
      </c>
      <c r="VI114" s="489" t="str">
        <f>IF(A114=FALSE,"",Cotations!$AR$4)</f>
        <v/>
      </c>
      <c r="VJ114" s="300" t="str">
        <f t="shared" si="1024"/>
        <v/>
      </c>
      <c r="VK114" s="300" t="str">
        <f t="shared" si="1025"/>
        <v/>
      </c>
      <c r="VL114" s="294" t="str">
        <f t="shared" si="1026"/>
        <v/>
      </c>
      <c r="VM114" s="494" t="str">
        <f>IF(A114=FALSE,"",Cotations!$AS$4)</f>
        <v/>
      </c>
      <c r="VN114" s="494" t="str">
        <f>IF(A114=FALSE,"",Cotations!$AT$4)</f>
        <v/>
      </c>
      <c r="VO114" s="489" t="str">
        <f>IF(A114=FALSE,"",Cotations!$AU$4)</f>
        <v/>
      </c>
      <c r="VP114" s="494" t="str">
        <f>IF(A114=FALSE,"",IF(VM114="N/A",0,IF(INDEX(LISTES!$F$105:$F$109,MATCH(VM114,LISTES!$C$105:$C$109,0))="FIX",IF(INDEX(LISTES!$E$105:$E$109,MATCH(VM114,LISTES!$C$105:$C$109,0))=12,VN114/12*L114,VN114/365*M114),VO114*VL114)))</f>
        <v/>
      </c>
      <c r="VQ114" s="294" t="str">
        <f t="shared" si="1027"/>
        <v/>
      </c>
      <c r="VR114" s="494" t="str">
        <f>IF(A114=FALSE,"",VQ114*Cotations!$AV$4)</f>
        <v/>
      </c>
      <c r="VS114" s="494" t="str">
        <f>IF(A114=FALSE,"",VQ114*Cotations!$AW$4)</f>
        <v/>
      </c>
      <c r="VT114" s="465" t="str">
        <f t="shared" si="1028"/>
        <v/>
      </c>
      <c r="VU114" s="919" t="str">
        <f>IF(A114=FALSE,"",((VG114*TAXE)-(VG114*TAXE*VI114))+IF(VM114="N/A",0,IF(INDEX(LISTES!$F$105:$F$109,MATCH(VM114,LISTES!$C$105:$C$109,0))="FIX",VN114,VO114*VL114)))</f>
        <v/>
      </c>
      <c r="WA114" s="492" t="str">
        <f>IF(A114=FALSE,"",Cotations!D114)</f>
        <v/>
      </c>
      <c r="WB114" s="519" t="str">
        <f>IF(A114=FALSE,"",IF(LISTES!$A$17=1,Cotations!EW114,Cotations!EX114))</f>
        <v/>
      </c>
      <c r="WC114" s="291" t="str">
        <f t="shared" si="1029"/>
        <v/>
      </c>
      <c r="WD114" s="291" t="str">
        <f t="shared" si="1030"/>
        <v/>
      </c>
      <c r="WE114" s="291"/>
      <c r="WF114" s="463"/>
      <c r="WG114" s="463" t="str">
        <f t="shared" si="1031"/>
        <v/>
      </c>
      <c r="WH114" s="522" t="str">
        <f>IF(A114=FALSE,"",IF(Cotations!$AQ$4="monthly",WG114/12*L114,WG114/365*M114))</f>
        <v/>
      </c>
      <c r="WI114" s="489" t="str">
        <f>IF(A114=FALSE,"",Cotations!$AR$4)</f>
        <v/>
      </c>
      <c r="WJ114" s="300" t="str">
        <f t="shared" si="1032"/>
        <v/>
      </c>
      <c r="WK114" s="300" t="str">
        <f t="shared" si="1033"/>
        <v/>
      </c>
      <c r="WL114" s="294" t="str">
        <f t="shared" si="1034"/>
        <v/>
      </c>
      <c r="WM114" s="494" t="str">
        <f>IF(A114=FALSE,"",Cotations!$AS$4)</f>
        <v/>
      </c>
      <c r="WN114" s="494" t="str">
        <f>IF(A114=FALSE,"",Cotations!$AT$4)</f>
        <v/>
      </c>
      <c r="WO114" s="489" t="str">
        <f>IF(A114=FALSE,"",Cotations!$AU$4)</f>
        <v/>
      </c>
      <c r="WP114" s="494" t="str">
        <f>IF(A114=FALSE,"",IF(WM114="N/A",0,IF(INDEX(LISTES!$F$105:$F$109,MATCH(WM114,LISTES!$C$105:$C$109,0))="FIX",IF(INDEX(LISTES!$E$105:$E$109,MATCH(WM114,LISTES!$C$105:$C$109,0))=12,WN114/12*L114,WN114/365*M114),WO114*WL114)))</f>
        <v/>
      </c>
      <c r="WQ114" s="294" t="str">
        <f t="shared" si="1035"/>
        <v/>
      </c>
      <c r="WR114" s="494" t="str">
        <f>IF(A114=FALSE,"",WQ114*Cotations!$AV$4)</f>
        <v/>
      </c>
      <c r="WS114" s="494" t="str">
        <f>IF(A114=FALSE,"",WQ114*Cotations!$AW$4)</f>
        <v/>
      </c>
      <c r="WT114" s="465" t="str">
        <f t="shared" si="1036"/>
        <v/>
      </c>
      <c r="WU114" s="919" t="str">
        <f>IF(A114=FALSE,"",((WG114*TAXE)-(WG114*TAXE*WI114))+IF(WM114="N/A",0,IF(INDEX(LISTES!$F$105:$F$109,MATCH(WM114,LISTES!$C$105:$C$109,0))="FIX",WN114,WO114*WL114)))</f>
        <v/>
      </c>
    </row>
    <row r="115" spans="1:619">
      <c r="A115" s="942" t="b">
        <f t="shared" si="841"/>
        <v>0</v>
      </c>
      <c r="B115" s="942" t="b">
        <f>IF(NAMES!$B$9=TRUE,TRUE,FALSE)</f>
        <v>1</v>
      </c>
      <c r="C115" s="942" t="b">
        <f t="shared" si="825"/>
        <v>0</v>
      </c>
      <c r="D115" s="942" t="b">
        <f t="shared" si="826"/>
        <v>0</v>
      </c>
      <c r="E115" s="274" t="b">
        <f>IF(Cotations!C115="","",Cotations!C115)</f>
        <v>0</v>
      </c>
      <c r="F115" s="274" t="str">
        <f>IF(Cotations!D115="","",Cotations!D115)</f>
        <v>PROP</v>
      </c>
      <c r="G115" s="274" t="str">
        <f>IF(Cotations!E115="","",Cotations!E115)</f>
        <v>2016-2017!</v>
      </c>
      <c r="H115" s="274" t="str">
        <f>IF(Cotations!F115="","",Cotations!F115)</f>
        <v/>
      </c>
      <c r="I115" s="274" t="str">
        <f>IF(Cotations!G115="","",Cotations!G115)</f>
        <v/>
      </c>
      <c r="J115" s="274" t="str">
        <f>IF(Cotations!H115="","",Cotations!H115)</f>
        <v/>
      </c>
      <c r="K115" s="274" t="str">
        <f>IF(Cotations!I115="","",Cotations!I115)</f>
        <v/>
      </c>
      <c r="L115" s="274" t="str">
        <f>IF(A115=FALSE,"",IF(Cotations!N115="","",Cotations!N115))</f>
        <v/>
      </c>
      <c r="M115" s="274" t="str">
        <f>IF(Cotations!P115="","",Cotations!P115)</f>
        <v/>
      </c>
      <c r="N115" s="724" t="str">
        <f>IF(NAMES!$B$10=TRUE,Cotations!J115,Cotations!L115)</f>
        <v/>
      </c>
      <c r="O115" s="724" t="str">
        <f>IF(NAMES!$B$10=TRUE,Cotations!K115,Cotations!M115)</f>
        <v/>
      </c>
      <c r="P115" s="943" t="str">
        <f t="shared" si="827"/>
        <v/>
      </c>
      <c r="Q115" s="724" t="str">
        <f>IF(A115=FALSE,"",IF(Crewlist!Y115="","",Crewlist!Y115))</f>
        <v/>
      </c>
      <c r="R115" s="78" t="str">
        <f>IF(Cotations!U115="","",Cotations!U115)</f>
        <v/>
      </c>
      <c r="S115" s="943" t="str">
        <f t="shared" si="828"/>
        <v/>
      </c>
      <c r="T115" s="919" t="str">
        <f>IF(A115=FALSE,"",VLOOKUP($U$15:$U$120,Currency!$A$2:$D$10,4,0)*Crewlist!N115)</f>
        <v/>
      </c>
      <c r="U115" s="1355" t="str">
        <f>IF(A115=FALSE,"",IF(IT115=0,Crewlist!M115&amp;"/"&amp;EX115,Crewlist!M115&amp;"/"&amp;IT115))</f>
        <v/>
      </c>
      <c r="V115" s="919" t="str">
        <f>IF(A115=FALSE,"",VLOOKUP($U$15:$U$120,Currency!$A$2:$D$10,4,0)*Detail!Q115)</f>
        <v/>
      </c>
      <c r="W115" s="1355" t="str">
        <f>IF(A115=FALSE,"",IF(IT115=0,Detail!R115&amp;"/"&amp;EX115,Detail!R115&amp;"/"&amp;IT115))</f>
        <v/>
      </c>
      <c r="X115" s="919" t="str">
        <f>IF(A115=FALSE,"",IF(LISTES!$C$17="Crewlist",Calcul!T115,Calcul!V115))</f>
        <v/>
      </c>
      <c r="Y115" s="758" t="str">
        <f t="shared" si="829"/>
        <v/>
      </c>
      <c r="Z115" s="758" t="str">
        <f>IF(A115=FALSE,"",IF(X115=0,0,IF((Cotations!BC115*12*X115)&lt;50000,50000,(12*X115))))</f>
        <v/>
      </c>
      <c r="AA115" s="758" t="str">
        <f t="shared" si="830"/>
        <v/>
      </c>
      <c r="AB115" s="758" t="str">
        <f>IF(A115=FALSE,"",IF(Crewlist!O115=0,"",Crewlist!O115))</f>
        <v/>
      </c>
      <c r="AC115" s="758" t="str">
        <f>IF(I115="","",VLOOKUP($AB$15:$AB$120,Currency!$A$15:$B$34,2,0))</f>
        <v/>
      </c>
      <c r="AD115" s="758" t="str">
        <f t="shared" si="831"/>
        <v/>
      </c>
      <c r="AE115" s="758" t="str">
        <f t="shared" si="832"/>
        <v/>
      </c>
      <c r="AF115" s="758" t="str">
        <f t="shared" si="833"/>
        <v/>
      </c>
      <c r="AG115" s="758" t="str">
        <f t="shared" si="834"/>
        <v/>
      </c>
      <c r="AH115" s="1355" t="str">
        <f t="shared" si="842"/>
        <v/>
      </c>
      <c r="AI115" s="919" t="str">
        <f t="shared" si="835"/>
        <v/>
      </c>
      <c r="AJ115" s="1382" t="str">
        <f t="shared" si="836"/>
        <v/>
      </c>
      <c r="AK115" s="1382" t="str">
        <f t="shared" si="837"/>
        <v/>
      </c>
      <c r="AL115" s="238" t="str">
        <f t="shared" si="843"/>
        <v/>
      </c>
      <c r="AM115" s="238" t="str">
        <f t="shared" si="844"/>
        <v/>
      </c>
      <c r="AN115" s="1374" t="str">
        <f t="shared" si="845"/>
        <v/>
      </c>
      <c r="AO115" s="238" t="str">
        <f t="shared" si="846"/>
        <v/>
      </c>
      <c r="AP115" s="342" t="str">
        <f>IF(A115=FALSE,"",INDEX(Rates!$Z$5:$Z$367,MATCH(EB115,colchoice,0)))</f>
        <v/>
      </c>
      <c r="AQ115" s="238" t="str">
        <f t="shared" si="847"/>
        <v/>
      </c>
      <c r="AR115" s="238" t="str">
        <f t="shared" si="848"/>
        <v/>
      </c>
      <c r="AS115" s="238" t="str">
        <f t="shared" si="849"/>
        <v/>
      </c>
      <c r="AT115" s="238" t="str">
        <f t="shared" si="850"/>
        <v/>
      </c>
      <c r="AU115" s="238" t="str">
        <f t="shared" si="851"/>
        <v/>
      </c>
      <c r="AV115" s="238" t="str">
        <f t="shared" si="838"/>
        <v/>
      </c>
      <c r="AW115" s="238" t="str">
        <f t="shared" si="852"/>
        <v/>
      </c>
      <c r="AX115" s="238" t="str">
        <f t="shared" si="853"/>
        <v/>
      </c>
      <c r="AY115" s="238" t="str">
        <f t="shared" si="854"/>
        <v/>
      </c>
      <c r="AZ115" s="238" t="str">
        <f t="shared" si="855"/>
        <v/>
      </c>
      <c r="BA115" s="238" t="str">
        <f t="shared" si="856"/>
        <v/>
      </c>
      <c r="BB115" s="552" t="str">
        <f t="shared" si="857"/>
        <v/>
      </c>
      <c r="BC115" s="347" t="str">
        <f t="shared" si="858"/>
        <v/>
      </c>
      <c r="BD115" s="239" t="str">
        <f t="shared" si="839"/>
        <v/>
      </c>
      <c r="BE115" s="239" t="str">
        <f>IF(A115=FALSE,"",IF(ALLTHESAME=TRUE,IF(DF115&lt;&gt;$BC$7,0,INDEX(DD115:DZ115,1,MATCH(Structure!$D$12,$DD$14:$DZ$14,0))),IF(EC115&lt;&gt;$BC$7,0,INDEX(EA115:EZ115,1,MATCH(Structure!$D$12,$EA$14:$EZ$14,0)))))</f>
        <v/>
      </c>
      <c r="BF115" s="239" t="str">
        <f>IF(A115=FALSE,"",IF(ALLTHESAME=TRUE,IF(FC115&lt;&gt;$BC$7,0,INDEX(FA115:FZ115,1,MATCH(Structure!$D$12,$FA$14:$FZ$14,0))),IF(GC115&lt;&gt;$BC$7,0,INDEX(GA115:GZ115,1,MATCH(Structure!$D$12,$GA$14:$GZ$14,0)))))</f>
        <v/>
      </c>
      <c r="BG115" s="239" t="str">
        <f>IF(A115=FALSE,"",IF(ALLTHESAME=TRUE,IF(VC115&lt;&gt;$BC$7,0,INDEX(VA115:VZ115,1,MATCH(Structure!$D$12,$VA$14:$VZ$14,0))),IF(VC115&lt;&gt;$BC$7,0,INDEX(VA115:VZ115,1,MATCH(Structure!$D$12,$VA$14:$VZ$14,0)))))</f>
        <v/>
      </c>
      <c r="BH115" s="239" t="str">
        <f>IF(A115=FALSE,"",IF(ALLTHESAME=TRUE,IF(WC115&lt;&gt;$BC$7,0,INDEX(WA115:WY115,1,MATCH(Structure!$D$12,$WA$14:$WZ$14,0))),IF(WC115&lt;&gt;$BC$7,0,INDEX(WA115:WZ115,1,MATCH(Structure!$D$12,$WA$14:$WZ$14,0)))))</f>
        <v/>
      </c>
      <c r="BI115" s="763" t="str">
        <f>IF(A115=FALSE,"",IF(ALLTHESAME=TRUE,IF(HC115&lt;&gt;$BC$7,0,INDEX(HA115:HZ115,1,MATCH(Structure!$D$12,$HA$14:$HZ$14,0)))+TK115,IF(IC115&lt;&gt;$BC$7,0,INDEX(IA115:IZ115,1,MATCH(Structure!$D$12,$IA$14:$IZ$14,0)))+TK115))</f>
        <v/>
      </c>
      <c r="BJ115" s="239" t="str">
        <f>IF(A115=FALSE,"",IF(ALLTHESAME=TRUE,IF(JC115&lt;&gt;$BC$7,0,INDEX(JA115:JZ115,1,MATCH(Structure!$D$12,$JA$14:$JZ$14,0))),IF(KC115&lt;&gt;$BC$7,0,INDEX(KA115:KZ115,1,MATCH(Structure!$D$12,$KA$14:$KZ$14,0)))))</f>
        <v/>
      </c>
      <c r="BK115" s="763" t="str">
        <f>IF(A115=FALSE,"",IF(ALLTHESAME=TRUE,IF(LC115&lt;&gt;$BC$7,0,INDEX(LA115:LZ115,1,MATCH(Structure!$D$12,$LA$14:$LZ$14,0)))+UK115,IF(MC115&lt;&gt;$BC$7,0,INDEX(MA115:MZ115,1,MATCH(Structure!$D$12,$MA$14:$MZ$14,0)))+UK115))</f>
        <v/>
      </c>
      <c r="BL115" s="239" t="str">
        <f>IF(A115=FALSE,"",IF(ALLTHESAME=TRUE,IF(NC115&lt;&gt;$BC$7,0,INDEX(NA115:NZ115,1,MATCH(Structure!$D$12,$NA$14:$NZ$14,0))),IF(OC115&lt;&gt;$BC$7,0,INDEX(OA115:OZ115,1,MATCH(Structure!$D$12,$OA$14:$OZ$14,0)))))</f>
        <v/>
      </c>
      <c r="BM115" s="239" t="str">
        <f>IF(A115=FALSE,"",IF(ALLTHESAME=TRUE,IF(PC115&lt;&gt;$BC$7,0,INDEX(PA115:PZ115,1,MATCH(Structure!$D$12,$PA$14:$PZ$14,0))),IF(QC115&lt;&gt;$BC$7,0,INDEX(QA115:QZ115,1,MATCH(Structure!$D$12,$QA$14:$QZ$14,0)))))</f>
        <v/>
      </c>
      <c r="BN115" s="341" t="str">
        <f>IF(A115=FALSE,"",IF(ALLTHESAME=TRUE,IF(RC115&lt;&gt;$BC$7,0,INDEX(RA115:RZ115,1,MATCH(Structure!$D$12,$RA$14:$RZ$14,0))),IF(SC115&lt;&gt;$BC$7,0,INDEX(SA115:TA115,1,MATCH(Structure!$D$12,$SA$14:$TA$14,0)))))</f>
        <v/>
      </c>
      <c r="BO115" s="507" t="str">
        <f t="shared" si="859"/>
        <v/>
      </c>
      <c r="BP115" s="239" t="str">
        <f t="shared" si="860"/>
        <v/>
      </c>
      <c r="BQ115" s="239" t="str">
        <f>IF(A115=FALSE,"",IF(ALLTHESAME=TRUE,IF(DF115&lt;&gt;$BO$7,0,INDEX(DD115:DZ115,1,MATCH(Structure!$D$12,$DD$14:$DZ$14,0))),IF(EC115&lt;&gt;$BO$7,0,INDEX(EA115:EZ115,1,MATCH(Structure!$D$12,$EA$14:$EZ$14,0)))))</f>
        <v/>
      </c>
      <c r="BR115" s="239" t="str">
        <f>IF(A115=FALSE,"",IF(ALLTHESAME=TRUE,IF(FC115&lt;&gt;$BO$7,0,INDEX(FA115:FZ115,1,MATCH(Structure!$D$12,$FA$14:$FZ$14,0))),IF(GC115&lt;&gt;$BO$7,0,INDEX(GA115:GZ115,1,MATCH(Structure!$D$12,$GA$14:$GZ$14,0)))))</f>
        <v/>
      </c>
      <c r="BS115" s="239" t="str">
        <f>IF(A115=FALSE,"",IF(ALLTHESAME=TRUE,IF(HC115&lt;&gt;$BO$7,0,INDEX(HA115:HZ115,1,MATCH(Structure!$D$12,$HA$14:$HZ$14,0))),IF(IC115&lt;&gt;$BO$7,0,INDEX(IA115:IZ115,1,MATCH(Structure!$D$12,$IA$14:$IZ$14,0)))))</f>
        <v/>
      </c>
      <c r="BT115" s="239" t="str">
        <f>IF(A115=FALSE,"",IF(ALLTHESAME=TRUE,IF(JC115&lt;&gt;$BO$7,0,INDEX(JA115:JZ115,1,MATCH(Structure!$D$12,$JA$14:$JZ$14,0))),IF(KC115&lt;&gt;$BO$7,0,INDEX(KA115:KZ115,1,MATCH(Structure!$D$12,$KA$14:$KZ$14,0)))))</f>
        <v/>
      </c>
      <c r="BU115" s="239" t="str">
        <f>IF(A115=FALSE,"",IF(ALLTHESAME=TRUE,IF(LC115&lt;&gt;$BO$7,0,INDEX(LA115:LZ115,1,MATCH(Structure!$D$12,$LA$14:$LZ$14,0))),IF(MC115&lt;&gt;$BO$7,0,INDEX(MA115:MZ115,1,MATCH(Structure!$D$12,$MA$14:$MZ$14,0)))))</f>
        <v/>
      </c>
      <c r="BV115" s="239" t="str">
        <f>IF(A115=FALSE,"",IF(ALLTHESAME=TRUE,IF(NC115&lt;&gt;$BO$7,0,INDEX(NA115:NZ115,1,MATCH(Structure!$D$12,$NA$14:$NZ$14,0))),IF(OC115&lt;&gt;$BO$7,0,INDEX(OA115:OZ115,1,MATCH(Structure!$D$12,$OA$14:$OZ$14,0)))))</f>
        <v/>
      </c>
      <c r="BW115" s="239" t="str">
        <f>IF(A115=FALSE,"",IF(ALLTHESAME=TRUE,IF(PC115&lt;&gt;$BO$7,0,INDEX(PA115:PZ115,1,MATCH(Structure!$D$12,$PA$14:$PZ$14,0))),IF(QC115&lt;&gt;$BO$7,0,INDEX(QA115:QZ115,1,MATCH(Structure!$D$12,$QA$14:$QZ$14,0)))))</f>
        <v/>
      </c>
      <c r="BX115" s="341" t="str">
        <f>IF(A115=FALSE,"",IF(ALLTHESAME=TRUE,IF(RC115&lt;&gt;$BO$7,0,INDEX(RA115:RZ115,1,MATCH(Structure!$D$12,$RA$14:$RZ$14,0))),IF(SC115&lt;&gt;$BO$7,0,INDEX(SA115:TA115,1,MATCH(Structure!$D$12,$SA$14:$TA$14,0)))))</f>
        <v/>
      </c>
      <c r="BY115" s="347" t="str">
        <f t="shared" si="861"/>
        <v/>
      </c>
      <c r="BZ115" s="507" t="str">
        <f t="shared" si="862"/>
        <v/>
      </c>
      <c r="CA115" s="239" t="str">
        <f t="shared" si="863"/>
        <v/>
      </c>
      <c r="CB115" s="239" t="str">
        <f>IF(A115=FALSE,"",IF(ALLTHESAME=TRUE,INDEX(DD115:DZ115,MATCH(DF115,DF115:DF220,0),MATCH(Structure!$D$17,$DD$14:$DZ$14,0)),INDEX(EA115:EZ115,MATCH(EC115,EC115:EC220,0),MATCH(Structure!$D$17,$EA$14:$EZ$14,0))))</f>
        <v/>
      </c>
      <c r="CC115" s="239" t="str">
        <f>IF(A115=FALSE,"",IF(ALLTHESAME=TRUE,INDEX(FA115:FZ115,MATCH(FC115,FC115:FC220,0),MATCH(Structure!$D$17,$FA$14:$FZ$14,0)),INDEX(GA115:GZ115,MATCH(GC115,GC115:GC220,0),MATCH(Structure!$D$17,$GA$14:$GZ$14,0))))</f>
        <v/>
      </c>
      <c r="CD115" s="239" t="str">
        <f>IF(A115=FALSE,"",IF(ALLTHESAME=TRUE,INDEX(HA115:HZ115,MATCH(HC115,HC115:HC220,0),MATCH(Structure!$D$17,$HA$14:$HZ$14,0)),INDEX(IA115:IZ115,MATCH(IC115,IC115:IC220,0),MATCH(Structure!$D$17,$IA$14:$IZ$14,0))))</f>
        <v/>
      </c>
      <c r="CE115" s="239" t="str">
        <f>IF(A115=FALSE,"",IF(ALLTHESAME=TRUE,INDEX(JA115:JZ115,MATCH(JC115,JC115:JC220,0),MATCH(Structure!$D$17,$JA$14:$JZ$14,0)),INDEX(KA115:KZ115,MATCH(KC115,KC115:KC220,0),MATCH(Structure!$D$17,$KA$14:$KZ$14,0))))</f>
        <v/>
      </c>
      <c r="CF115" s="239" t="str">
        <f>IF(A115=FALSE,"",IF(ALLTHESAME=TRUE,INDEX(LA115:LZ115,MATCH(LC115,LC115:LC220,0),MATCH(Structure!$D$17,$LA$14:$LZ$14,0)),INDEX(MA115:MZ115,MATCH(MC115,MC115:MC220,0),MATCH(Structure!$D$17,$MA$14:$MZ$14,0))))</f>
        <v/>
      </c>
      <c r="CG115" s="239" t="str">
        <f>IF(A115=FALSE,"",IF(ALLTHESAME=TRUE,INDEX(NA115:NZ115,MATCH(NC115,NC115:NC220,0),MATCH(Structure!$D$17,$NA$14:$NZ$14,0)),INDEX(OA115:OZ115,MATCH(OC115,OC115:OC220,0),MATCH(Structure!$D$17,$OA$14:$OZ$14,0))))</f>
        <v/>
      </c>
      <c r="CH115" s="239" t="str">
        <f>IF(A115=FALSE,"",IF(ALLTHESAME=TRUE,INDEX(PA115:PZ115,MATCH(PC115,PC115:PC220,0),MATCH(Structure!$D$17,$PA$14:$PZ$14,0)),INDEX(QA115:QZ115,MATCH(QC115,QC115:QC220,0),MATCH(Structure!$D$17,$QA$14:$QZ$14,0))))</f>
        <v/>
      </c>
      <c r="CI115" s="341" t="str">
        <f>IF(A115=FALSE,"",IF(ALLTHESAME=TRUE,INDEX(RA115:RZ115,MATCH(RC115,RC115:RC220,0),MATCH(Structure!$D$17,$RA$14:$RZ$14,0)),INDEX(SA115:TC115,MATCH(SC115,SC115:SC220,0),MATCH(Structure!$D$17,$SA$14:$TC$14,0))))</f>
        <v/>
      </c>
      <c r="CJ115" s="347"/>
      <c r="CK115" s="239" t="str">
        <f t="shared" si="864"/>
        <v/>
      </c>
      <c r="CL115" s="239" t="str">
        <f>IF(A115=FALSE,"",IF(ALLTHESAME=TRUE,INDEX(DD115:DZ115,MATCH(DF115,DF115:DF220,0),MATCH(Structure!$D$22,$DD$14:$DZ$14,0)),INDEX(EA115:EZ115,MATCH(EC115,EC115:EC220,0),MATCH(Structure!$D$22,$EA$14:$EZ$14,0))))</f>
        <v/>
      </c>
      <c r="CM115" s="239" t="str">
        <f>IF(A115=FALSE,"",IF(ALLTHESAME=TRUE,INDEX(FA115:FZ115,MATCH(FC115,FC115:FC220,0),MATCH(Structure!$D$22,$FA$14:$FZ$14,0)),INDEX(GA115:GZ115,MATCH(GC115,GC115:GC220,0),MATCH(Structure!$D$22,$GA$14:$GZ$14,0))))</f>
        <v/>
      </c>
      <c r="CN115" s="239" t="str">
        <f>IF(A115=FALSE,"",IF(ALLTHESAME=TRUE,INDEX(HA115:HZ115,MATCH(HC115,HC115:HC220,0),MATCH(Structure!$D$22,$HA$14:$HZ$14,0)),INDEX(IA115:IZ115,MATCH(IC115,IC115:IC220,0),MATCH(Structure!$D$22,$IA$14:$IZ$14,0))))</f>
        <v/>
      </c>
      <c r="CO115" s="239" t="str">
        <f>IF(A115=FALSE,"",IF(ALLTHESAME=TRUE,INDEX(JA115:JZ115,MATCH(JC115,JC115:JC220,0),MATCH(Structure!$D$22,$JA$14:$JZ$14,0)),INDEX(KA115:KZ115,MATCH(KC115,KC115:KC220,0),MATCH(Structure!$D$22,$KA$14:$KZ$14,0))))</f>
        <v/>
      </c>
      <c r="CP115" s="239" t="str">
        <f>IF(A115=FALSE,"",IF(ALLTHESAME=TRUE,INDEX(LA115:LZ115,MATCH(LC115,LC115:LC220,0),MATCH(Structure!$D$22,$LA$14:$LZ$14,0)),INDEX(MA115:MZ115,MATCH(MC115,MC115:MC220,0),MATCH(Structure!$D$22,$MA$14:$MZ$14,0))))</f>
        <v/>
      </c>
      <c r="CQ115" s="239" t="str">
        <f>IF(A115=FALSE,"",IF(ALLTHESAME=TRUE,INDEX(NA115:NZ115,MATCH(NC115,NC115:NC220,0),MATCH(Structure!$D$22,$NA$14:$NZ$14,0)),INDEX(OA115:OZ115,MATCH(OC115,OC115:OC220,0),MATCH(Structure!$D$22,$OA$14:$OZ$14,0))))</f>
        <v/>
      </c>
      <c r="CR115" s="239" t="str">
        <f>IF(A115=FALSE,"",IF(ALLTHESAME=TRUE,INDEX(PA115:PZ115,MATCH(PC115,PC115:PC220,0),MATCH(Structure!$D$22,$PA$14:$PZ$14,0)),INDEX(QA115:QZ115,MATCH(QC115,QC115:QC220,0),MATCH(Structure!$D$22,$QA$14:$QZ$14,0))))</f>
        <v/>
      </c>
      <c r="CS115" s="341" t="str">
        <f>IF(A115=FALSE,"",IF(ALLTHESAME=TRUE,INDEX(RA115:RZ115,MATCH(RC115,RC115:RC220,0),MATCH(Structure!$D$22,$RA$14:$RZ$14,0)),INDEX(SA115:TC115,MATCH(SC115,SC115:SC220,0),MATCH(Structure!$D$22,$SA$14:$TC$14,0))))</f>
        <v/>
      </c>
      <c r="CT115" s="347"/>
      <c r="CU115" s="239" t="str">
        <f t="shared" si="865"/>
        <v/>
      </c>
      <c r="CV115" s="239" t="str">
        <f>IF(A115=FALSE,"",IF(ALLTHESAME=TRUE,INDEX(DD115:DZ115,MATCH(DF115,DF115:DF220,0),MATCH(Structure!$D$8,$DD$14:$DZ$14,0)),INDEX(EA115:EZ115,MATCH(EC115,EC115:EC220,0),MATCH(Structure!$D$8,$EA$14:$EZ$14,0))))</f>
        <v/>
      </c>
      <c r="CW115" s="239" t="str">
        <f>IF(A115=FALSE,"",IF(ALLTHESAME=TRUE,INDEX(FA115:FZ115,MATCH(FC115,FC115:FC220,0),MATCH(Structure!$D$8,$FA$14:$FZ$14,0)),INDEX(GA115:GZ115,MATCH(GC115,GC115:GC220,0),MATCH(Structure!$D$8,$GA$14:$GZ$14,0))))</f>
        <v/>
      </c>
      <c r="CX115" s="239" t="str">
        <f>IF(A115=FALSE,"",IF(ALLTHESAME=TRUE,INDEX(HA115:HZ115,MATCH(HC115,HC115:HC220,0),MATCH(Structure!$D$8,$HA$14:$HZ$14,0)),INDEX(IA115:IZ115,MATCH(IC115,IC115:IC220,0),MATCH(Structure!$D$8,$IA$14:$IZ$14,0))))</f>
        <v/>
      </c>
      <c r="CY115" s="239" t="str">
        <f>IF(A115=FALSE,"",IF(ALLTHESAME=TRUE,INDEX(JA115:JZ115,MATCH(JC115,JC115:JC220,0),MATCH(Structure!$D$8,$JA$14:$JZ$14,0)),INDEX(KA115:KZ115,MATCH(KC115,KC115:KC220,0),MATCH(Structure!$D$8,$KA$14:$KZ$14,0))))</f>
        <v/>
      </c>
      <c r="CZ115" s="239" t="str">
        <f>IF(A115=FALSE,"",IF(ALLTHESAME=TRUE,INDEX(LA115:LZ115,MATCH(LC115,LC115:LC220,0),MATCH(Structure!$D$8,$LA$14:$LZ$14,0)),INDEX(MA115:MZ115,MATCH(MC115,MC115:MC220,0),MATCH(Structure!$D$8,$MA$14:$MZ$14,0))))</f>
        <v/>
      </c>
      <c r="DA115" s="239" t="str">
        <f>IF(A115=FALSE,"",IF(ALLTHESAME=TRUE,INDEX(NA115:NZ115,MATCH(NC115,NC115:NC220,0),MATCH(Structure!$D$8,$NA$14:$NZ$14,0)),INDEX(OA115:OZ115,MATCH(OC115,OC115:OC220,0),MATCH(Structure!$D$8,$OA$14:$OZ$14,0))))</f>
        <v/>
      </c>
      <c r="DB115" s="239" t="str">
        <f>IF(A115=FALSE,"",IF(ALLTHESAME=TRUE,INDEX(PA115:PZ115,MATCH(PC115,PC115:PC220,0),MATCH(Structure!$D$8,$PA$14:$PZ$14,0)),INDEX(QA115:QZ115,MATCH(QC115,QC115:QC220,0),MATCH(Structure!$D$8,$QA$14:$QZ$14,0))))</f>
        <v/>
      </c>
      <c r="DC115" s="341" t="str">
        <f>IF(A115=FALSE,"",IF(ALLTHESAME=TRUE,INDEX(RA115:RZ115,MATCH(RC115,RC115:RC220,0),MATCH(Structure!$D$8,$RA$14:$RZ$14,0)),INDEX(SA115:TC115,MATCH(SC115,SC115:SC220,0),MATCH(Structure!$D$8,$SA$14:$TC$14,0))))</f>
        <v/>
      </c>
      <c r="DD115" s="492" t="str">
        <f>IF(A115=FALSE,"",Cotations!D115)</f>
        <v/>
      </c>
      <c r="DE115" s="492" t="str">
        <f>IF(A115=FALSE,"",IF(LISTES!$A$17=1,Cotations!AF115,Cotations!$AG$4))</f>
        <v/>
      </c>
      <c r="DF115" s="291" t="str">
        <f t="shared" si="866"/>
        <v/>
      </c>
      <c r="DG115" s="291" t="str">
        <f t="shared" si="867"/>
        <v/>
      </c>
      <c r="DH115" s="291"/>
      <c r="DI115" s="463"/>
      <c r="DJ115" s="463" t="str">
        <f t="shared" si="868"/>
        <v/>
      </c>
      <c r="DK115" s="522" t="str">
        <f>IF(A115=FALSE,"",IF(Cotations!$AH$4="monthly",DJ115/12*L115,DJ115/365*M115))</f>
        <v/>
      </c>
      <c r="DL115" s="489" t="str">
        <f>IF(A115=FALSE,"",Cotations!$AI$4)</f>
        <v/>
      </c>
      <c r="DM115" s="300" t="str">
        <f t="shared" si="869"/>
        <v/>
      </c>
      <c r="DN115" s="300" t="str">
        <f t="shared" si="870"/>
        <v/>
      </c>
      <c r="DO115" s="294" t="str">
        <f t="shared" si="871"/>
        <v/>
      </c>
      <c r="DP115" s="494" t="str">
        <f>IF(A115=FALSE,"",Cotations!$AJ$4)</f>
        <v/>
      </c>
      <c r="DQ115" s="494" t="str">
        <f>IF(A115=FALSE,"",Cotations!$AK$4)</f>
        <v/>
      </c>
      <c r="DR115" s="489" t="str">
        <f>IF(A115=FALSE,"",Cotations!$AL$4)</f>
        <v/>
      </c>
      <c r="DS115" s="494" t="str">
        <f>IF(A115=FALSE,"",IF(DP115="N/A",0,IF(INDEX(LISTES!$F$105:$F$109,MATCH(DP115,LISTES!$C$105:$C$109,0))="FIX",IF(INDEX(LISTES!$E$105:$E$109,MATCH(DP115,LISTES!$C$105:$C$109,0))=12,DQ115/12*L115,DQ115/365*M115),DR115*DO115)))</f>
        <v/>
      </c>
      <c r="DT115" s="294" t="str">
        <f t="shared" si="872"/>
        <v/>
      </c>
      <c r="DU115" s="294" t="str">
        <f>IF(A115=FALSE,"",DT115*Cotations!$AM$4)</f>
        <v/>
      </c>
      <c r="DV115" s="294" t="str">
        <f>IF(A115=FALSE,"",DT115*Cotations!$AN$4)</f>
        <v/>
      </c>
      <c r="DW115" s="465" t="str">
        <f t="shared" si="873"/>
        <v/>
      </c>
      <c r="DX115" s="919" t="str">
        <f>IF(A115=FALSE,"",((DJ115*TAXE)-(DJ115*TAXE*DL115))+IF(DP115="N/A",0,IF(INDEX(LISTES!$F$105:$F$109,MATCH(DP115,LISTES!$C$105:$C$109,0))="FIX",DQ115,DR115*DO115)))</f>
        <v/>
      </c>
      <c r="DY115" s="466"/>
      <c r="DZ115" s="466"/>
      <c r="EA115" s="492" t="str">
        <f>IF(A115=FALSE,"",Cotations!D115)</f>
        <v/>
      </c>
      <c r="EB115" s="494" t="str">
        <f>IF(A115=FALSE,"",IF(LISTES!$A$17=1,Cotations!AF115,Cotations!AG115))</f>
        <v/>
      </c>
      <c r="EC115" s="284" t="str">
        <f t="shared" si="874"/>
        <v/>
      </c>
      <c r="ED115" s="284" t="str">
        <f t="shared" si="875"/>
        <v/>
      </c>
      <c r="EE115" s="284"/>
      <c r="EF115" s="284"/>
      <c r="EG115" s="284" t="str">
        <f t="shared" si="876"/>
        <v/>
      </c>
      <c r="EH115" s="1365" t="str">
        <f t="shared" si="877"/>
        <v/>
      </c>
      <c r="EI115" s="1365" t="str">
        <f t="shared" si="878"/>
        <v/>
      </c>
      <c r="EJ115" s="515" t="str">
        <f>IF(A115=FALSE,"",IF(Cotations!AH115="monthly",EG115/12*L115,EG115/365*M115))</f>
        <v/>
      </c>
      <c r="EK115" s="1364" t="str">
        <f>IF(A115=FALSE,"",IF(Cotations!AH115="monthly",EI115/12*L115,EI115/365*M115))</f>
        <v/>
      </c>
      <c r="EL115" s="493" t="str">
        <f>IF(A115=FALSE,"",IF(Cotations!AI115="","",Cotations!AI115))</f>
        <v/>
      </c>
      <c r="EM115" s="284" t="str">
        <f t="shared" si="879"/>
        <v/>
      </c>
      <c r="EN115" s="284" t="str">
        <f t="shared" si="880"/>
        <v/>
      </c>
      <c r="EO115" s="1365" t="str">
        <f t="shared" si="840"/>
        <v/>
      </c>
      <c r="EP115" s="284" t="str">
        <f t="shared" si="881"/>
        <v/>
      </c>
      <c r="EQ115" s="515" t="str">
        <f>IF(A115=FALSE,"",Cotations!AJ115)</f>
        <v/>
      </c>
      <c r="ER115" s="515" t="str">
        <f>IF(A115=FALSE,"",IF(Cotations!AK115="","",Cotations!AK115))</f>
        <v/>
      </c>
      <c r="ES115" s="493" t="str">
        <f>IF(A115=FALSE,"",Cotations!AL115)</f>
        <v/>
      </c>
      <c r="ET115" s="515" t="str">
        <f>IF(A115=FALSE,"",IF(EQ115="N/A",0,IF(INDEX(LISTES!$F$105:$F$109,MATCH(EQ115,LISTES!$C$105:$C$109,0))="FIX",IF(INDEX(LISTES!$E$105:$E$109,MATCH(EQ115,LISTES!$C$105:$C$109,0))=12,ER115/12*L115,ER115/365*M115),ES115*EP115)))</f>
        <v/>
      </c>
      <c r="EU115" s="294" t="str">
        <f t="shared" si="882"/>
        <v/>
      </c>
      <c r="EV115" s="494" t="str">
        <f>IF(A115=FALSE,"",EU115*Cotations!AM115)</f>
        <v/>
      </c>
      <c r="EW115" s="494" t="str">
        <f>IF(A115=FALSE,"",EU115*Cotations!AN115)</f>
        <v/>
      </c>
      <c r="EX115" s="334" t="str">
        <f t="shared" si="883"/>
        <v/>
      </c>
      <c r="EY115" s="919" t="str">
        <f>IF(A115=FALSE,"",((EG115*TAXE)-(EG115*TAXE*EL115)+EH115)+IF(EQ115="N/A",0,IF(INDEX(LISTES!$F$105:$F$109,MATCH(EQ115,LISTES!$C$105:$C$109,0))="FIX",ER115,ES115*EP115)))</f>
        <v/>
      </c>
      <c r="FA115" s="492" t="str">
        <f>IF(A115=FALSE,"",Cotations!D115)</f>
        <v/>
      </c>
      <c r="FB115" s="519" t="str">
        <f>IF(A115=FALSE,"",IF(LISTES!$A$17=1,Cotations!AO115,Cotations!$AP$4))</f>
        <v/>
      </c>
      <c r="FC115" s="291" t="str">
        <f t="shared" si="884"/>
        <v/>
      </c>
      <c r="FD115" s="291" t="str">
        <f t="shared" si="885"/>
        <v/>
      </c>
      <c r="FE115" s="291"/>
      <c r="FF115" s="463"/>
      <c r="FG115" s="463" t="str">
        <f t="shared" si="886"/>
        <v/>
      </c>
      <c r="FH115" s="522" t="str">
        <f>IF(A115=FALSE,"",IF(Cotations!$AQ$4="monthly",FG115/12*L115,FG115/365*M115))</f>
        <v/>
      </c>
      <c r="FI115" s="453" t="str">
        <f>IF(A115=FALSE,"",Cotations!$AR$4)</f>
        <v/>
      </c>
      <c r="FJ115" s="300" t="str">
        <f t="shared" si="887"/>
        <v/>
      </c>
      <c r="FK115" s="300" t="str">
        <f t="shared" si="888"/>
        <v/>
      </c>
      <c r="FL115" s="294" t="str">
        <f t="shared" si="889"/>
        <v/>
      </c>
      <c r="FM115" s="494" t="str">
        <f>IF(A115=FALSE,"",Cotations!$AS$4)</f>
        <v/>
      </c>
      <c r="FN115" s="494" t="str">
        <f>IF(A115=FALSE,"",Cotations!$AT$4)</f>
        <v/>
      </c>
      <c r="FO115" s="489" t="str">
        <f>IF(A115=FALSE,"",Cotations!$AU$4)</f>
        <v/>
      </c>
      <c r="FP115" s="494" t="str">
        <f>IF(A115=FALSE,"",IF(FM115="N/A",0,IF(INDEX(LISTES!$F$105:$F$109,MATCH(FM115,LISTES!$C$105:$C$109,0))="FIX",IF(INDEX(LISTES!$E$105:$E$109,MATCH(FM115,LISTES!$C$105:$C$109,0))=12,FN115/12*L115,FN115/365*M115),FO115*FL115)))</f>
        <v/>
      </c>
      <c r="FQ115" s="294" t="str">
        <f t="shared" si="890"/>
        <v/>
      </c>
      <c r="FR115" s="494" t="str">
        <f>IF(A115=FALSE,"",FQ115*Cotations!$AV$4)</f>
        <v/>
      </c>
      <c r="FS115" s="494" t="str">
        <f>IF(A115=FALSE,"",FQ115*Cotations!$AW$4)</f>
        <v/>
      </c>
      <c r="FT115" s="465" t="str">
        <f t="shared" si="891"/>
        <v/>
      </c>
      <c r="FU115" s="919" t="str">
        <f>IF(A115=FALSE,"",((FG115*TAXE)-(FG115*TAXE*FI115))+IF(FM115="N/A",0,IF(INDEX(LISTES!$F$105:$F$109,MATCH(FM115,LISTES!$C$105:$C$109,0))="FIX",FN115,FO115*FL115)))</f>
        <v/>
      </c>
      <c r="FV115" s="478"/>
      <c r="FW115" s="478"/>
      <c r="FX115" s="478"/>
      <c r="FY115" s="478"/>
      <c r="FZ115" s="478"/>
      <c r="GA115" s="492" t="str">
        <f>IF(A115=FALSE,"",Cotations!D115)</f>
        <v/>
      </c>
      <c r="GB115" s="494" t="str">
        <f>IF(A115=FALSE,"",IF(LISTES!$A$17=1,Cotations!AO115,Cotations!AP115))</f>
        <v/>
      </c>
      <c r="GC115" s="284" t="str">
        <f t="shared" si="892"/>
        <v/>
      </c>
      <c r="GD115" s="515" t="str">
        <f>IF(A115=FALSE,"",IF(Detail!AM115="","",Detail!AM115))</f>
        <v/>
      </c>
      <c r="GE115" s="284"/>
      <c r="GF115" s="284"/>
      <c r="GG115" s="284" t="str">
        <f t="shared" si="893"/>
        <v/>
      </c>
      <c r="GH115" s="515" t="str">
        <f>IF(A115=FALSE,"",IF(Cotations!AQ115="monthly",GG115/12*L115,GG115/365*M115))</f>
        <v/>
      </c>
      <c r="GI115" s="493" t="str">
        <f>IF(A115=FALSE,"",IF(Cotations!AR115="","",Cotations!AR115))</f>
        <v/>
      </c>
      <c r="GJ115" s="284" t="str">
        <f t="shared" si="894"/>
        <v/>
      </c>
      <c r="GK115" s="284" t="str">
        <f t="shared" si="895"/>
        <v/>
      </c>
      <c r="GL115" s="284" t="str">
        <f t="shared" si="896"/>
        <v/>
      </c>
      <c r="GM115" s="515" t="str">
        <f>IF(A115=FALSE,"",Cotations!AS115)</f>
        <v/>
      </c>
      <c r="GN115" s="515" t="str">
        <f>IF(A115=FALSE,"",Cotations!AT115)</f>
        <v/>
      </c>
      <c r="GO115" s="493" t="str">
        <f>IF(A115=FALSE,"",Cotations!AU115)</f>
        <v/>
      </c>
      <c r="GP115" s="515" t="str">
        <f>IF(A115=FALSE,"",IF(GM115="N/A",0,IF(INDEX(LISTES!$F$105:$F$109,MATCH(GM115,LISTES!$C$105:$C$109,0))="FIX",IF(INDEX(LISTES!$E$105:$E$109,MATCH(GM115,LISTES!$C$105:$C$109,0))=12,GN115/12*L115,GN115/365*M115),GO115*GL115)))</f>
        <v/>
      </c>
      <c r="GQ115" s="294" t="str">
        <f t="shared" si="897"/>
        <v/>
      </c>
      <c r="GR115" s="494" t="str">
        <f>IF(A115=FALSE,"",GQ115*Cotations!AV115)</f>
        <v/>
      </c>
      <c r="GS115" s="494" t="str">
        <f>IF(A115=FALSE,"",GQ115*Cotations!AW115)</f>
        <v/>
      </c>
      <c r="GT115" s="334" t="str">
        <f t="shared" si="898"/>
        <v/>
      </c>
      <c r="GU115" s="919" t="str">
        <f>IF(A115=FALSE,"",((GG115*TAXE)-(GG115*TAXE*GI115))+IF(GM115="N/A",0,IF(INDEX(LISTES!$F$105:$F$109,MATCH(GM115,LISTES!$C$105:$C$109,0))="FIX",GN115,GO115*GL115)))</f>
        <v/>
      </c>
      <c r="GV115" s="478"/>
      <c r="GW115" s="466"/>
      <c r="GX115" s="466"/>
      <c r="GY115" s="466"/>
      <c r="GZ115" s="466"/>
      <c r="HA115" s="492" t="str">
        <f>IF(A115=FALSE,"",Cotations!D115)</f>
        <v/>
      </c>
      <c r="HB115" s="495" t="str">
        <f>IF(A115=FALSE,"",IF(LISTES!$A$17=1,Cotations!AX115,Cotations!$AY$4))</f>
        <v/>
      </c>
      <c r="HC115" s="291" t="str">
        <f t="shared" si="899"/>
        <v/>
      </c>
      <c r="HD115" s="291" t="str">
        <f t="shared" si="900"/>
        <v/>
      </c>
      <c r="HE115" s="456" t="str">
        <f t="shared" si="901"/>
        <v/>
      </c>
      <c r="HF115" s="496" t="str">
        <f>IF(A115=FALSE,"",IF(HA115="POEA",Cotations!BA115,IF(HA115="FIXE",Cotations!$BA$4,Cotations!$BC$4*Y115)))</f>
        <v/>
      </c>
      <c r="HG115" s="300" t="str">
        <f t="shared" si="902"/>
        <v/>
      </c>
      <c r="HH115" s="522" t="str">
        <f>IF(A115=FALSE,"",IF(Cotations!$AZ$4="monthly",HG115/12*L115,HG115/365*M115))</f>
        <v/>
      </c>
      <c r="HI115" s="489" t="str">
        <f>IF(A115=FALSE,"",Cotations!$BD$4)</f>
        <v/>
      </c>
      <c r="HJ115" s="300" t="str">
        <f t="shared" si="903"/>
        <v/>
      </c>
      <c r="HK115" s="300" t="str">
        <f t="shared" si="904"/>
        <v/>
      </c>
      <c r="HL115" s="294" t="str">
        <f t="shared" si="905"/>
        <v/>
      </c>
      <c r="HM115" s="494" t="str">
        <f>IF(A115=FALSE,"",Cotations!$BE$4)</f>
        <v/>
      </c>
      <c r="HN115" s="522" t="str">
        <f>IF(A115=FALSE,"",Cotations!$BF$4)</f>
        <v/>
      </c>
      <c r="HO115" s="489" t="str">
        <f>IF(A115=FALSE,"",Cotations!$BG$4)</f>
        <v/>
      </c>
      <c r="HP115" s="494" t="str">
        <f>IF(A115=FALSE,"",IF(HM115="N/A",0,IF(INDEX(LISTES!$F$105:$F$109,MATCH(HM115,LISTES!$C$105:$C$109,0))="FIX",IF(INDEX(LISTES!$E$105:$E$109,MATCH(HM115,LISTES!$C$105:$C$109,0))=12,HN115/12*L115,HN115/365*M115),HO115*HL115)))</f>
        <v/>
      </c>
      <c r="HQ115" s="294" t="str">
        <f t="shared" si="906"/>
        <v/>
      </c>
      <c r="HR115" s="494" t="str">
        <f>IF(A115=FALSE,"",HQ115*Cotations!$BH$4)</f>
        <v/>
      </c>
      <c r="HS115" s="494" t="str">
        <f>IF(A115=FALSE,"",HQ115*Cotations!$BI$4)</f>
        <v/>
      </c>
      <c r="HT115" s="294" t="str">
        <f t="shared" si="907"/>
        <v/>
      </c>
      <c r="HU115" s="919" t="str">
        <f>IF(A115=FALSE,"",((HG115*TAXE)-(HG115*TAXE*HI115))+IF(HM115="N/A",0,IF(INDEX(LISTES!$F$105:$F$109,MATCH(HM115,LISTES!$C$105:$C$109,0))="FIX",HN115,HO115*HL115)))</f>
        <v/>
      </c>
      <c r="IA115" s="492" t="str">
        <f>IF(A115=FALSE,"",Cotations!D115)</f>
        <v/>
      </c>
      <c r="IB115" s="491" t="str">
        <f>IF(A115=FALSE,"",IF(LISTES!$A$17=1,Cotations!AX115,Cotations!AY115))</f>
        <v/>
      </c>
      <c r="IC115" s="285" t="str">
        <f t="shared" si="908"/>
        <v/>
      </c>
      <c r="ID115" s="300" t="str">
        <f>IF(A115=FALSE,"",IF(LISTES!$A$17=3,Detail!AU115,lig1_Formula_PREVOY))</f>
        <v/>
      </c>
      <c r="IE115" s="461" t="str">
        <f t="shared" si="909"/>
        <v/>
      </c>
      <c r="IF115" s="490" t="str">
        <f>IF(A115=FALSE,"",IF(IA115="POEA",Cotations!BA115,IF(HA115="FIXE",Cotations!BB115,IF(Cotations!BC115*Y115&lt;50000,Z115,Cotations!BC115*Y115))))</f>
        <v/>
      </c>
      <c r="IG115" s="300" t="str">
        <f t="shared" si="910"/>
        <v/>
      </c>
      <c r="IH115" s="522" t="str">
        <f>IF(A115=FALSE,"",IF(Cotations!AZ115="monthly",IG115/12*L115,IG115/365*M115))</f>
        <v/>
      </c>
      <c r="II115" s="489" t="str">
        <f>IF(A115=FALSE,"",IF(Cotations!BD115="","",Cotations!BD115))</f>
        <v/>
      </c>
      <c r="IJ115" s="300" t="str">
        <f t="shared" si="911"/>
        <v/>
      </c>
      <c r="IK115" s="300" t="str">
        <f t="shared" si="912"/>
        <v/>
      </c>
      <c r="IL115" s="919" t="str">
        <f t="shared" si="913"/>
        <v/>
      </c>
      <c r="IM115" s="517" t="str">
        <f>IF(A115=FALSE,"",Cotations!BE115)</f>
        <v/>
      </c>
      <c r="IN115" s="517" t="str">
        <f>IF(A115=FALSE,"",Cotations!BF115)</f>
        <v/>
      </c>
      <c r="IO115" s="493" t="str">
        <f>IF(A115=FALSE,"",Cotations!BG115)</f>
        <v/>
      </c>
      <c r="IP115" s="517" t="str">
        <f>IF(A115=FALSE,"",IF(IM115="N/A",0,IF(INDEX(LISTES!$F$105:$F$109,MATCH(IM115,LISTES!$C$105:$C$109,0))="FIX",IF(INDEX(LISTES!$E$105:$E$109,MATCH(IM115,LISTES!$C$105:$C$109,0))=12,IN115/12*L115,IN115/365*M115),IO115*IL115)))</f>
        <v/>
      </c>
      <c r="IQ115" s="294" t="str">
        <f t="shared" si="914"/>
        <v/>
      </c>
      <c r="IR115" s="494" t="str">
        <f>IF(A115=FALSE,"",IQ115*Cotations!BH115)</f>
        <v/>
      </c>
      <c r="IS115" s="494" t="str">
        <f>IF(A115=FALSE,"",IQ115*Cotations!BI115)</f>
        <v/>
      </c>
      <c r="IT115" s="338" t="str">
        <f t="shared" si="915"/>
        <v/>
      </c>
      <c r="IU115" s="919" t="str">
        <f>IF(A115=FALSE,"",((IG115*TAXE)-(IG115*TAXE*II115))+IF(IM115="N/A",0,IF(INDEX(LISTES!$F$105:$F$109,MATCH(IM115,LISTES!$C$105:$C$109,0))="FIX",IN115,IO115*IL115)))</f>
        <v/>
      </c>
      <c r="JA115" s="492" t="str">
        <f>IF(A115=FALSE,"",Cotations!D115)</f>
        <v/>
      </c>
      <c r="JB115" s="495" t="str">
        <f>IF(A115=FALSE,"",IF(LISTES!$A$17=1,Cotations!BJ115,Cotations!$BK$4))</f>
        <v/>
      </c>
      <c r="JC115" s="291" t="str">
        <f t="shared" si="916"/>
        <v/>
      </c>
      <c r="JD115" s="291" t="str">
        <f t="shared" si="917"/>
        <v/>
      </c>
      <c r="JE115" s="456" t="str">
        <f t="shared" si="918"/>
        <v/>
      </c>
      <c r="JF115" s="496" t="str">
        <f>IF(A115=FALSE,"",IF(JA115="POEA",Cotations!BM115,IF(JA115="FIXE",Cotations!$BM$4,Cotations!$BO$4*Y115)))</f>
        <v/>
      </c>
      <c r="JG115" s="300" t="str">
        <f t="shared" si="919"/>
        <v/>
      </c>
      <c r="JH115" s="522" t="str">
        <f>IF(A115=FALSE,"",IF(Cotations!$BL$4="monthly",JG115/12*L115,JG115/365*M115))</f>
        <v/>
      </c>
      <c r="JI115" s="489" t="str">
        <f>IF(A115=FALSE,"",Cotations!$BP$4)</f>
        <v/>
      </c>
      <c r="JJ115" s="300" t="str">
        <f t="shared" si="920"/>
        <v/>
      </c>
      <c r="JK115" s="300" t="str">
        <f t="shared" si="921"/>
        <v/>
      </c>
      <c r="JL115" s="294" t="str">
        <f t="shared" si="922"/>
        <v/>
      </c>
      <c r="JM115" s="494" t="str">
        <f>IF(A115=FALSE,"",Cotations!$BQ$4)</f>
        <v/>
      </c>
      <c r="JN115" s="522" t="str">
        <f>IF(A115=FALSE,"",Cotations!$BR$4)</f>
        <v/>
      </c>
      <c r="JO115" s="489" t="str">
        <f>IF(A115=FALSE,"",Cotations!$BS$4)</f>
        <v/>
      </c>
      <c r="JP115" s="494" t="str">
        <f>IF(A115=FALSE,"",IF(JM115="N/A",0,IF(INDEX(LISTES!$F$105:$F$109,MATCH(JM115,LISTES!$C$105:$C$109,0))="FIX",IF(INDEX(LISTES!$E$105:$E$109,MATCH(JM115,LISTES!$C$105:$C$109,0))=12,JN115/12*L115,JN115/365*M115),JO115*JL115)))</f>
        <v/>
      </c>
      <c r="JQ115" s="294" t="str">
        <f t="shared" si="923"/>
        <v/>
      </c>
      <c r="JR115" s="494" t="str">
        <f>IF(A115=FALSE,"",JQ115*Cotations!$BT$4)</f>
        <v/>
      </c>
      <c r="JS115" s="494" t="str">
        <f>IF(A115=FALSE,"",JQ115*Cotations!$BU$4)</f>
        <v/>
      </c>
      <c r="JT115" s="294" t="str">
        <f t="shared" si="924"/>
        <v/>
      </c>
      <c r="JU115" s="919" t="str">
        <f>IF(A115=FALSE,"",((JG115*TAXE)-(JG115*TAXE*JI115))+IF(JM115="N/A",0,IF(INDEX(LISTES!$F$105:$F$109,MATCH(JM115,LISTES!$C$105:$C$109,0))="FIX",JN115,JO115*JL115)))</f>
        <v/>
      </c>
      <c r="KA115" s="492" t="str">
        <f>IF(A115=FALSE,"",Cotations!D115)</f>
        <v/>
      </c>
      <c r="KB115" s="491" t="str">
        <f>IF(A115=FALSE,"",IF(LISTES!$A$17=1,Cotations!BJ115,Cotations!BK115))</f>
        <v/>
      </c>
      <c r="KC115" s="285" t="str">
        <f t="shared" si="925"/>
        <v/>
      </c>
      <c r="KD115" s="300"/>
      <c r="KE115" s="461" t="str">
        <f t="shared" si="926"/>
        <v/>
      </c>
      <c r="KF115" s="490" t="str">
        <f>IF(A115=FALSE,"",IF(KA115="POEA",Cotations!BM115,IF(KA115="FIXE",Cotations!BN115,IF(Cotations!BO115*Y115&lt;50000,Z115,Cotations!BO115*Y115))))</f>
        <v/>
      </c>
      <c r="KG115" s="300" t="str">
        <f t="shared" si="927"/>
        <v/>
      </c>
      <c r="KH115" s="522" t="str">
        <f>IF(A115=FALSE,"",IF(Cotations!BL115="monthly",KG115/12*L115,KG115/365*M115))</f>
        <v/>
      </c>
      <c r="KI115" s="489" t="str">
        <f>IF(A115=FALSE,"",IF(Cotations!BP115="","",Cotations!BP115))</f>
        <v/>
      </c>
      <c r="KJ115" s="300" t="str">
        <f t="shared" si="928"/>
        <v/>
      </c>
      <c r="KK115" s="300" t="str">
        <f t="shared" si="929"/>
        <v/>
      </c>
      <c r="KL115" s="919" t="str">
        <f t="shared" si="930"/>
        <v/>
      </c>
      <c r="KM115" s="517" t="str">
        <f>IF(A115=FALSE,"",Cotations!BQ115)</f>
        <v/>
      </c>
      <c r="KN115" s="515" t="str">
        <f>IF(A115=FALSE,"",Cotations!BR115)</f>
        <v/>
      </c>
      <c r="KO115" s="493" t="str">
        <f>IF(A115=FALSE,"",Cotations!BS115)</f>
        <v/>
      </c>
      <c r="KP115" s="517" t="str">
        <f>IF(A115=FALSE,"",IF(KM115="N/A",0,IF(INDEX(LISTES!$F$105:$F$109,MATCH(KM115,LISTES!$C$105:$C$109,0))="FIX",IF(INDEX(LISTES!$E$105:$E$109,MATCH(KM115,LISTES!$C$105:$C$109,0))=12,KN115/12*L115,KN115/365*M115),KO115*KL115)))</f>
        <v/>
      </c>
      <c r="KQ115" s="294" t="str">
        <f t="shared" si="931"/>
        <v/>
      </c>
      <c r="KR115" s="494" t="str">
        <f>IF(A115=FALSE,"",KQ115*Cotations!BT115)</f>
        <v/>
      </c>
      <c r="KS115" s="494" t="str">
        <f>IF(A115=FALSE,"",KQ115*Cotations!BU115)</f>
        <v/>
      </c>
      <c r="KT115" s="338" t="str">
        <f t="shared" si="932"/>
        <v/>
      </c>
      <c r="KU115" s="919" t="str">
        <f>IF(A115=FALSE,"",((KG115*TAXE)-(KG115*TAXE*KI115))+IF(KM115="N/A",0,IF(INDEX(LISTES!$F$105:$F$109,MATCH(KM115,LISTES!$C$105:$C$109,0))="FIX",KN115,KO115*KL115)))</f>
        <v/>
      </c>
      <c r="LA115" s="497" t="str">
        <f>IF(A115=FALSE,"",Cotations!D115)</f>
        <v/>
      </c>
      <c r="LB115" s="498" t="str">
        <f>IF(A115=FALSE,"",IF(LISTES!$A$17=1,Cotations!BV115,Cotations!$BW$4))</f>
        <v/>
      </c>
      <c r="LC115" s="499" t="str">
        <f t="shared" si="933"/>
        <v/>
      </c>
      <c r="LD115" s="499" t="str">
        <f t="shared" si="934"/>
        <v/>
      </c>
      <c r="LE115" s="500" t="str">
        <f t="shared" si="935"/>
        <v/>
      </c>
      <c r="LF115" s="501" t="str">
        <f>IF(A115=FALSE,"",IF(LA115="POEA",Cotations!EJ115,IF(LA115="FIXE",Cotations!$BY$4,Cotations!$CA$4*Y115)))</f>
        <v/>
      </c>
      <c r="LG115" s="502" t="str">
        <f t="shared" si="936"/>
        <v/>
      </c>
      <c r="LH115" s="520" t="str">
        <f>IF(A115=FALSE,"",IF(Cotations!$BX$4="monthly",LG115/12*L115,LG115/365*M115))</f>
        <v/>
      </c>
      <c r="LI115" s="503" t="str">
        <f>IF(A115=FALSE,"",Cotations!$CB$4)</f>
        <v/>
      </c>
      <c r="LJ115" s="502" t="str">
        <f t="shared" si="937"/>
        <v/>
      </c>
      <c r="LK115" s="502" t="str">
        <f t="shared" si="938"/>
        <v/>
      </c>
      <c r="LL115" s="504" t="str">
        <f t="shared" si="939"/>
        <v/>
      </c>
      <c r="LM115" s="505" t="str">
        <f>IF(A115=FALSE,"",Cotations!$CC$4)</f>
        <v/>
      </c>
      <c r="LN115" s="503" t="str">
        <f>IF(A115=FALSE,"",Cotations!$CD$4)</f>
        <v/>
      </c>
      <c r="LO115" s="503" t="str">
        <f>IF(A115=FALSE,"",Cotations!$CE$4)</f>
        <v/>
      </c>
      <c r="LP115" s="505" t="str">
        <f>IF(A115=FALSE,"",IF(LM115="N/A",0,IF(INDEX(LISTES!$F$105:$F$109,MATCH(LM115,LISTES!$C$105:$C$109,0))="FIX",IF(INDEX(LISTES!$E$105:$E$109,MATCH(LM115,LISTES!$C$105:$C$109,0))=12,LN115/12*L115,LN115/365*M115),LO115*LL115)))</f>
        <v/>
      </c>
      <c r="LQ115" s="504" t="str">
        <f t="shared" si="940"/>
        <v/>
      </c>
      <c r="LR115" s="505" t="str">
        <f>IF(A115=FALSE,"",LQ115*Cotations!$CF$4)</f>
        <v/>
      </c>
      <c r="LS115" s="505" t="str">
        <f>IF(A115=FALSE,"",LQ115*Cotations!$CG$4)</f>
        <v/>
      </c>
      <c r="LT115" s="506" t="str">
        <f t="shared" si="941"/>
        <v/>
      </c>
      <c r="LU115" s="919" t="str">
        <f>IF(A115=FALSE,"",((LG115*TAXE)-(LG115*TAXE*LI115))+IF(LM115="N/A",0,IF(INDEX(LISTES!$F$105:$F$109,MATCH(LM115,LISTES!$C$105:$C$109,0))="FIX",LN115,LO115*LL115)))</f>
        <v/>
      </c>
      <c r="MA115" s="492" t="str">
        <f>IF(A115=FALSE,"",Cotations!D115)</f>
        <v/>
      </c>
      <c r="MB115" s="491" t="str">
        <f>IF(A115=FALSE,"",IF(LISTES!$A$17=1,Cotations!BV115,Cotations!BW115))</f>
        <v/>
      </c>
      <c r="MC115" s="285" t="str">
        <f t="shared" si="942"/>
        <v/>
      </c>
      <c r="MD115" s="300"/>
      <c r="ME115" s="461" t="str">
        <f t="shared" si="943"/>
        <v/>
      </c>
      <c r="MF115" s="490" t="str">
        <f>IF(A115=FALSE,"",IF(MA115="POEA",Cotations!BY115,IF(MA115="FIXE",Cotations!BZ115,IF(Cotations!CA115*Y115&lt;50000,Z115,Cotations!CA115*Y115))))</f>
        <v/>
      </c>
      <c r="MG115" s="300" t="str">
        <f t="shared" si="944"/>
        <v/>
      </c>
      <c r="MH115" s="522" t="str">
        <f>IF(A115=FALSE,"",IF(Cotations!BX115="monthly",MG115/12*L115,MG115/365*M115))</f>
        <v/>
      </c>
      <c r="MI115" s="489" t="str">
        <f>IF(A115=FALSE,"",IF(Cotations!CB115="","",Cotations!CB115))</f>
        <v/>
      </c>
      <c r="MJ115" s="300" t="str">
        <f t="shared" si="945"/>
        <v/>
      </c>
      <c r="MK115" s="300" t="str">
        <f t="shared" si="946"/>
        <v/>
      </c>
      <c r="ML115" s="919" t="str">
        <f t="shared" si="947"/>
        <v/>
      </c>
      <c r="MM115" s="517" t="str">
        <f>IF(A115=FALSE,"",Cotations!CC115)</f>
        <v/>
      </c>
      <c r="MN115" s="515" t="str">
        <f>IF(A115=FALSE,"",Cotations!CD115)</f>
        <v/>
      </c>
      <c r="MO115" s="493" t="str">
        <f>IF(A115=FALSE,"",Cotations!CE115)</f>
        <v/>
      </c>
      <c r="MP115" s="517" t="str">
        <f>IF(A115=FALSE,"",IF(MM115="N/A",0,IF(INDEX(LISTES!$F$105:$F$109,MATCH(MM115,LISTES!$C$105:$C$109,0))="FIX",IF(INDEX(LISTES!$E$105:$E$109,MATCH(MM115,LISTES!$C$105:$C$109,0))=12,MN115/12*L115,MN115/365*M115),MO115*ML115)))</f>
        <v/>
      </c>
      <c r="MQ115" s="294" t="str">
        <f t="shared" si="948"/>
        <v/>
      </c>
      <c r="MR115" s="494" t="str">
        <f>IF(A115=FALSE,"",MQ115*Cotations!CF115)</f>
        <v/>
      </c>
      <c r="MS115" s="494" t="str">
        <f>IF(A115=FALSE,"",MQ115*Cotations!CG115)</f>
        <v/>
      </c>
      <c r="MT115" s="338" t="str">
        <f t="shared" si="949"/>
        <v/>
      </c>
      <c r="MU115" s="919" t="str">
        <f>IF(A115=FALSE,"",((MG115*TAXE)-(MG115*TAXE*MI115))+IF(MM115="N/A",0,IF(INDEX(LISTES!$F$105:$F$109,MATCH(MM115,LISTES!$C$105:$C$109,0))="FIX",MN115,MO115*ML115)))</f>
        <v/>
      </c>
      <c r="NA115" s="497" t="str">
        <f>IF(A115=FALSE,"",Cotations!D115)</f>
        <v/>
      </c>
      <c r="NB115" s="498" t="str">
        <f>IF(A115=FALSE,"",IF(LISTES!$A$17=1,Cotations!CH115,Cotations!$CI$4))</f>
        <v/>
      </c>
      <c r="NC115" s="499" t="str">
        <f t="shared" si="950"/>
        <v/>
      </c>
      <c r="ND115" s="499" t="str">
        <f t="shared" si="951"/>
        <v/>
      </c>
      <c r="NE115" s="500" t="str">
        <f t="shared" si="952"/>
        <v/>
      </c>
      <c r="NF115" s="501" t="str">
        <f>IF(A115=FALSE,"",IF(NA115="POEA",Cotations!CK115,IF(NA115="FIXE",Cotations!$CK$4,Cotations!$CM$4*Y115)))</f>
        <v/>
      </c>
      <c r="NG115" s="502" t="str">
        <f t="shared" si="953"/>
        <v/>
      </c>
      <c r="NH115" s="520" t="str">
        <f>IF(A115=FALSE,"",IF(Cotations!$CJ$4="monthly",NG115/12*L115,NG115/365*M115))</f>
        <v/>
      </c>
      <c r="NI115" s="503" t="str">
        <f>IF(A115=FALSE,"",Cotations!$CN$4)</f>
        <v/>
      </c>
      <c r="NJ115" s="502" t="str">
        <f t="shared" si="954"/>
        <v/>
      </c>
      <c r="NK115" s="502" t="str">
        <f t="shared" si="955"/>
        <v/>
      </c>
      <c r="NL115" s="504" t="str">
        <f t="shared" si="956"/>
        <v/>
      </c>
      <c r="NM115" s="505" t="str">
        <f>IF(A115=FALSE,"",Cotations!$CO$4)</f>
        <v/>
      </c>
      <c r="NN115" s="520" t="str">
        <f>IF(A115=FALSE,"",Cotations!$CP$4)</f>
        <v/>
      </c>
      <c r="NO115" s="503" t="str">
        <f>IF(A115=FALSE,"",Cotations!$CQ$4)</f>
        <v/>
      </c>
      <c r="NP115" s="505" t="str">
        <f>IF(A115=FALSE,"",IF(NM115="N/A",0,IF(INDEX(LISTES!$F$105:$F$109,MATCH(NM115,LISTES!$C$105:$C$109,0))="FIX",IF(INDEX(LISTES!$E$105:$E$109,MATCH(NM115,LISTES!$C$105:$C$109,0))=12,NN115/12*L115,NN115/365*M115),NO115*NL115)))</f>
        <v/>
      </c>
      <c r="NQ115" s="504" t="str">
        <f t="shared" si="957"/>
        <v/>
      </c>
      <c r="NR115" s="505" t="str">
        <f>IF(A115=FALSE,"",NQ115*Cotations!$CR$4)</f>
        <v/>
      </c>
      <c r="NS115" s="505" t="str">
        <f>IF(A115=FALSE,"",NQ115*Cotations!$CS$4)</f>
        <v/>
      </c>
      <c r="NT115" s="506" t="str">
        <f t="shared" si="958"/>
        <v/>
      </c>
      <c r="NU115" s="919" t="str">
        <f>IF(A115=FALSE,"",((NG115*TAXE)-(NG115*TAXE*NI115))+IF(NM115="N/A",0,IF(INDEX(LISTES!$F$105:$F$109,MATCH(NM115,LISTES!$C$105:$C$109,0))="FIX",NN115,NO115*NL115)))</f>
        <v/>
      </c>
      <c r="OA115" s="492" t="str">
        <f>IF(A115=FALSE,"",Cotations!D115)</f>
        <v/>
      </c>
      <c r="OB115" s="491" t="str">
        <f>IF(A115=FALSE,"",IF(LISTES!$A$17=1,Cotations!CH115,Cotations!CI115))</f>
        <v/>
      </c>
      <c r="OC115" s="285" t="str">
        <f t="shared" si="959"/>
        <v/>
      </c>
      <c r="OD115" s="300"/>
      <c r="OE115" s="461" t="str">
        <f t="shared" si="960"/>
        <v/>
      </c>
      <c r="OF115" s="490" t="str">
        <f>IF(A115=FALSE,"",IF(OA115="POEA",Cotations!CK115,IF(OA115="FIXE",Cotations!CL115,IF(Cotations!CM115*Y115&lt;50000,Z115,Cotations!CM115*Y115))))</f>
        <v/>
      </c>
      <c r="OG115" s="300" t="str">
        <f t="shared" si="961"/>
        <v/>
      </c>
      <c r="OH115" s="522" t="str">
        <f>IF(A115=FALSE,"",IF(Cotations!CJ115="monthly",OG115/12*L115,OG115/365*M115))</f>
        <v/>
      </c>
      <c r="OI115" s="489" t="str">
        <f>IF(A115=FALSE,"",IF(Cotations!CN115="","",Cotations!CN115))</f>
        <v/>
      </c>
      <c r="OJ115" s="300" t="str">
        <f t="shared" si="962"/>
        <v/>
      </c>
      <c r="OK115" s="300" t="str">
        <f t="shared" si="963"/>
        <v/>
      </c>
      <c r="OL115" s="919" t="str">
        <f t="shared" si="964"/>
        <v/>
      </c>
      <c r="OM115" s="517" t="str">
        <f>IF(A115=FALSE,"",Cotations!CO115)</f>
        <v/>
      </c>
      <c r="ON115" s="515" t="str">
        <f>IF(A115=FALSE,"",Cotations!CP115)</f>
        <v/>
      </c>
      <c r="OO115" s="493" t="str">
        <f>IF(A115=FALSE,"",Cotations!CQ115)</f>
        <v/>
      </c>
      <c r="OP115" s="517" t="str">
        <f>IF(A115=FALSE,"",IF(OM115="N/A",0,IF(INDEX(LISTES!$F$105:$F$109,MATCH(OM115,LISTES!$C$105:$C$109,0))="FIX",IF(INDEX(LISTES!$E$105:$E$109,MATCH(OM115,LISTES!$C$105:$C$109,0))=12,ON115/12*L115,ON115/365*M115),OO115*OL115)))</f>
        <v/>
      </c>
      <c r="OQ115" s="294" t="str">
        <f t="shared" si="965"/>
        <v/>
      </c>
      <c r="OR115" s="494" t="str">
        <f>IF(A115=FALSE,"",OQ115*Cotations!CR115)</f>
        <v/>
      </c>
      <c r="OS115" s="494" t="str">
        <f>IF(A115=FALSE,"",OQ115*Cotations!CS115)</f>
        <v/>
      </c>
      <c r="OT115" s="338" t="str">
        <f t="shared" si="966"/>
        <v/>
      </c>
      <c r="OU115" s="919" t="str">
        <f>IF(A115=FALSE,"",((OG115*TAXE)-(OG115*TAXE*OI115))+IF(OM115="N/A",0,IF(INDEX(LISTES!$F$105:$F$109,MATCH(OM115,LISTES!$C$105:$C$109,0))="FIX",ON115,OO115*OL115)))</f>
        <v/>
      </c>
      <c r="PA115" s="497" t="str">
        <f t="shared" si="967"/>
        <v/>
      </c>
      <c r="PB115" s="498" t="str">
        <f>IF(A115=FALSE,"",IF(LISTES!$A$17=1,Cotations!CT115,Cotations!$CU$4))</f>
        <v/>
      </c>
      <c r="PC115" s="499" t="str">
        <f t="shared" si="968"/>
        <v/>
      </c>
      <c r="PD115" s="499" t="str">
        <f t="shared" si="969"/>
        <v/>
      </c>
      <c r="PE115" s="500" t="str">
        <f t="shared" si="970"/>
        <v/>
      </c>
      <c r="PF115" s="501" t="str">
        <f>IF(A115=FALSE,"",Cotations!$CY$4*Y115)</f>
        <v/>
      </c>
      <c r="PG115" s="502" t="str">
        <f t="shared" si="971"/>
        <v/>
      </c>
      <c r="PH115" s="520" t="str">
        <f>IF(A115=FALSE,"",IF(Cotations!$CV$4="monthly",PG115/12*L115,PG115/365*M115))</f>
        <v/>
      </c>
      <c r="PI115" s="503" t="str">
        <f>IF(A115=FALSE,"",Cotations!$CZ$4)</f>
        <v/>
      </c>
      <c r="PJ115" s="502" t="str">
        <f t="shared" si="972"/>
        <v/>
      </c>
      <c r="PK115" s="502" t="str">
        <f t="shared" si="973"/>
        <v/>
      </c>
      <c r="PL115" s="504" t="str">
        <f t="shared" si="974"/>
        <v/>
      </c>
      <c r="PM115" s="505" t="str">
        <f>IF(A115=FALSE,"",Cotations!$DA$4)</f>
        <v/>
      </c>
      <c r="PN115" s="520" t="str">
        <f>IF(A115=FALSE,"",Cotations!$DB$4)</f>
        <v/>
      </c>
      <c r="PO115" s="503" t="str">
        <f>IF(A115=FALSE,"",Cotations!$DC$4)</f>
        <v/>
      </c>
      <c r="PP115" s="505" t="str">
        <f>IF(A115=FALSE,"",IF(PM115="N/A",0,IF(INDEX(LISTES!$F$105:$F$109,MATCH(PM115,LISTES!$C$105:$C$109,0))="FIX",IF(INDEX(LISTES!$E$105:$E$109,MATCH(PM115,LISTES!$C$105:$C$109,0))=12,PN115/12*L115,PN115/365*M115),PO115*PL115)))</f>
        <v/>
      </c>
      <c r="PQ115" s="504" t="str">
        <f t="shared" si="975"/>
        <v/>
      </c>
      <c r="PR115" s="505" t="str">
        <f>IF(A115=FALSE,"",PQ115*Cotations!$DD$4)</f>
        <v/>
      </c>
      <c r="PS115" s="505" t="str">
        <f>IF(A115=FALSE,"",PQ115*Cotations!$DE$4)</f>
        <v/>
      </c>
      <c r="PT115" s="506" t="str">
        <f t="shared" si="976"/>
        <v/>
      </c>
      <c r="PU115" s="919" t="str">
        <f>IF(A115=FALSE,"",((PG115*TAXE)-(PG115*TAXE*PI115))+IF(PM115="N/A",0,IF(INDEX(LISTES!$F$105:$F$109,MATCH(PM115,LISTES!$C$105:$C$109,0))="FIX",PN115,PO115*PL115)))</f>
        <v/>
      </c>
      <c r="QA115" s="492" t="str">
        <f t="shared" si="977"/>
        <v/>
      </c>
      <c r="QB115" s="491" t="str">
        <f>IF(A115=FALSE,"",IF(LISTES!$A$17=1,Cotations!CT115,Cotations!CU115))</f>
        <v/>
      </c>
      <c r="QC115" s="285" t="str">
        <f t="shared" si="978"/>
        <v/>
      </c>
      <c r="QD115" s="300"/>
      <c r="QE115" s="461" t="str">
        <f t="shared" si="979"/>
        <v/>
      </c>
      <c r="QF115" s="490" t="str">
        <f>IF(A115=FALSE,"",Cotations!CY115*AA115)</f>
        <v/>
      </c>
      <c r="QG115" s="300" t="str">
        <f t="shared" si="980"/>
        <v/>
      </c>
      <c r="QH115" s="522" t="str">
        <f>IF(A115=FALSE,"",IF(Cotations!CV115="monthly",QG115/12*L115,QG115/365*M115))</f>
        <v/>
      </c>
      <c r="QI115" s="489" t="str">
        <f>IF(A115=FALSE,"",IF(Cotations!CZ115="","",Cotations!CZ115))</f>
        <v/>
      </c>
      <c r="QJ115" s="300" t="str">
        <f t="shared" si="981"/>
        <v/>
      </c>
      <c r="QK115" s="300" t="str">
        <f t="shared" si="982"/>
        <v/>
      </c>
      <c r="QL115" s="919" t="str">
        <f t="shared" si="983"/>
        <v/>
      </c>
      <c r="QM115" s="517" t="str">
        <f>IF(A115=FALSE,"",Cotations!DA115)</f>
        <v/>
      </c>
      <c r="QN115" s="515" t="str">
        <f>IF(A115=FALSE,"",Cotations!DB115)</f>
        <v/>
      </c>
      <c r="QO115" s="493" t="str">
        <f>IF(A115=FALSE,"",Cotations!DC115)</f>
        <v/>
      </c>
      <c r="QP115" s="517" t="str">
        <f>IF(A115=FALSE,"",IF(QM115="N/A",0,IF(INDEX(LISTES!$F$105:$F$109,MATCH(QM115,LISTES!$C$105:$C$109,0))="FIX",IF(INDEX(LISTES!$E$105:$E$109,MATCH(QM115,LISTES!$C$105:$C$109,0))=12,QN115/12*L115,QN115/365*M115),QO115*QL115)))</f>
        <v/>
      </c>
      <c r="QQ115" s="294" t="str">
        <f t="shared" si="984"/>
        <v/>
      </c>
      <c r="QR115" s="494" t="str">
        <f>IF(A115=FALSE,"",QQ115*Cotations!DD115)</f>
        <v/>
      </c>
      <c r="QS115" s="494" t="str">
        <f>IF(A115=FALSE,"",QQ115*Cotations!DE115)</f>
        <v/>
      </c>
      <c r="QT115" s="338" t="str">
        <f t="shared" si="985"/>
        <v/>
      </c>
      <c r="QU115" s="919" t="str">
        <f>IF(A115=FALSE,"",((QG115*TAXE)-(QG115*TAXE*QI115))+IF(QM115="N/A",0,IF(INDEX(LISTES!$F$105:$F$109,MATCH(QM115,LISTES!$C$105:$C$109,0))="FIX",QN115,QO115*QL115)))</f>
        <v/>
      </c>
      <c r="RA115" s="497" t="str">
        <f t="shared" si="986"/>
        <v/>
      </c>
      <c r="RB115" s="498" t="str">
        <f>IF(A115=FALSE,"",IF(LISTES!$A$17=1,Cotations!DF115,Cotations!$DG$4))</f>
        <v/>
      </c>
      <c r="RC115" s="499" t="str">
        <f t="shared" si="987"/>
        <v/>
      </c>
      <c r="RD115" s="499" t="str">
        <f t="shared" si="988"/>
        <v/>
      </c>
      <c r="RE115" s="500" t="str">
        <f t="shared" si="989"/>
        <v/>
      </c>
      <c r="RF115" s="501" t="str">
        <f>IF(A115=FALSE,"",Cotations!$DK$4*Y115)</f>
        <v/>
      </c>
      <c r="RG115" s="502" t="str">
        <f t="shared" si="990"/>
        <v/>
      </c>
      <c r="RH115" s="520" t="str">
        <f>IF(A115=FALSE,"",IF(Cotations!$DH$4="monthly",RG115/12*L115,RG115/365*M115))</f>
        <v/>
      </c>
      <c r="RI115" s="503" t="str">
        <f>IF(A115=FALSE,"",Cotations!$DL$4)</f>
        <v/>
      </c>
      <c r="RJ115" s="502" t="str">
        <f t="shared" si="991"/>
        <v/>
      </c>
      <c r="RK115" s="502" t="str">
        <f t="shared" si="992"/>
        <v/>
      </c>
      <c r="RL115" s="504" t="str">
        <f t="shared" si="993"/>
        <v/>
      </c>
      <c r="RM115" s="505" t="str">
        <f>IF(A115=FALSE,"",Cotations!$DM$4)</f>
        <v/>
      </c>
      <c r="RN115" s="520" t="str">
        <f>IF(A115=FALSE,"",Cotations!$DN$4)</f>
        <v/>
      </c>
      <c r="RO115" s="503" t="str">
        <f>IF(A115=FALSE,"",Cotations!$DO$4)</f>
        <v/>
      </c>
      <c r="RP115" s="505" t="str">
        <f>IF(A115=FALSE,"",IF(RM115="N/A",0,IF(INDEX(LISTES!$F$105:$F$109,MATCH(RM115,LISTES!$C$105:$C$109,0))="FIX",IF(INDEX(LISTES!$E$105:$E$109,MATCH(RM115,LISTES!$C$105:$C$109,0))=12,RN115/12*L115,RN115/365*M115),RO115*RL115)))</f>
        <v/>
      </c>
      <c r="RQ115" s="504" t="str">
        <f t="shared" si="994"/>
        <v/>
      </c>
      <c r="RR115" s="505" t="str">
        <f>IF(A115=FALSE,"",RQ115*Cotations!$DP$4)</f>
        <v/>
      </c>
      <c r="RS115" s="505" t="str">
        <f>IF(A115=FALSE,"",RQ115*Cotations!$DQ$4)</f>
        <v/>
      </c>
      <c r="RT115" s="506" t="str">
        <f t="shared" si="995"/>
        <v/>
      </c>
      <c r="RU115" s="919" t="str">
        <f>IF(A115=FALSE,"",((RG115*TAXE)-(RG115*TAXE*RI115))+IF(RM115="N/A",0,IF(INDEX(LISTES!$F$105:$F$109,MATCH(RM115,LISTES!$C$105:$C$109,0))="FIX",RN115,RO115*RL115)))</f>
        <v/>
      </c>
      <c r="SA115" s="492" t="str">
        <f t="shared" si="996"/>
        <v/>
      </c>
      <c r="SB115" s="491" t="str">
        <f>IF(A115=FALSE,"",IF(LISTES!$A$17=1,Cotations!DF115,Cotations!DG115))</f>
        <v/>
      </c>
      <c r="SC115" s="285" t="str">
        <f t="shared" si="997"/>
        <v/>
      </c>
      <c r="SD115" s="300"/>
      <c r="SE115" s="461" t="str">
        <f t="shared" si="998"/>
        <v/>
      </c>
      <c r="SF115" s="490" t="str">
        <f>IF(A115=FALSE,"",Cotations!DK115*AA115)</f>
        <v/>
      </c>
      <c r="SG115" s="300" t="str">
        <f t="shared" si="999"/>
        <v/>
      </c>
      <c r="SH115" s="522" t="str">
        <f>IF(A115=FALSE,"",IF(Cotations!DH115="monthly",SG115/12*L115,SG115/365*M115))</f>
        <v/>
      </c>
      <c r="SI115" s="489" t="str">
        <f>IF(A115=FALSE,"",IF(Cotations!DL115="","",Cotations!DL115))</f>
        <v/>
      </c>
      <c r="SJ115" s="300" t="str">
        <f t="shared" si="1000"/>
        <v/>
      </c>
      <c r="SK115" s="300" t="str">
        <f t="shared" si="1001"/>
        <v/>
      </c>
      <c r="SL115" s="919" t="str">
        <f t="shared" si="1002"/>
        <v/>
      </c>
      <c r="SM115" s="285" t="str">
        <f>IF(A115=FALSE,"",Cotations!DM115)</f>
        <v/>
      </c>
      <c r="SN115" s="515" t="str">
        <f>IF(A115=FALSE,"",Cotations!DN115)</f>
        <v/>
      </c>
      <c r="SO115" s="493" t="str">
        <f>IF(A115=FALSE,"",Cotations!DO115)</f>
        <v/>
      </c>
      <c r="SP115" s="517" t="str">
        <f>IF(A115=FALSE,"",IF(SM115="N/A",0,IF(INDEX(LISTES!$F$105:$F$109,MATCH(SM115,LISTES!$C$105:$C$109,0))="FIX",IF(INDEX(LISTES!$E$105:$E$109,MATCH(SM115,LISTES!$C$105:$C$109,0))=12,SN115/12*L115,SN115/365*M115),SO115*SL115)))</f>
        <v/>
      </c>
      <c r="SQ115" s="294" t="str">
        <f t="shared" si="1003"/>
        <v/>
      </c>
      <c r="SR115" s="494" t="str">
        <f>IF(A115=FALSE,"",SQ115*Cotations!DP115)</f>
        <v/>
      </c>
      <c r="SS115" s="494" t="str">
        <f>IF(A115=FALSE,"",SQ115*Cotations!DQ115)</f>
        <v/>
      </c>
      <c r="ST115" s="338" t="str">
        <f t="shared" si="1004"/>
        <v/>
      </c>
      <c r="SU115" s="919" t="str">
        <f>IF(A115=FALSE,"",((SG115*TAXE)-(SG115*TAXE*SI115))+IF(SM115="N/A",0,IF(INDEX(LISTES!$F$105:$F$109,MATCH(SM115,LISTES!$C$105:$C$109,0))="FIX",SN115,SO115*SL115)))</f>
        <v/>
      </c>
      <c r="TA115" s="492" t="str">
        <f>IF(A115=FALSE,"",Cotations!D115)</f>
        <v/>
      </c>
      <c r="TB115" s="491" t="str">
        <f>IF(A115=FALSE,"",IF(LISTES!$A$17=1,Cotations!DR115,Cotations!DS115))</f>
        <v/>
      </c>
      <c r="TC115" s="285" t="str">
        <f t="shared" si="1005"/>
        <v/>
      </c>
      <c r="TD115" s="300" t="str">
        <f>IF(A115=FALSE,"",Detail!CQ115)</f>
        <v/>
      </c>
      <c r="TE115" s="461" t="str">
        <f t="shared" si="1006"/>
        <v/>
      </c>
      <c r="TF115" s="490" t="str">
        <f>IF(A115=FALSE,"",IF(TA115="FIXE",Cotations!DU115,Cotations!DV115*Y115))</f>
        <v/>
      </c>
      <c r="TG115" s="300" t="str">
        <f t="shared" si="1007"/>
        <v/>
      </c>
      <c r="TH115" s="522" t="str">
        <f>IF(A115=FALSE,"",IF(Cotations!DT115="monthly",TG115/12*L115,TG115/365*M115))</f>
        <v/>
      </c>
      <c r="TI115" s="489" t="str">
        <f>IF(A115=FALSE,"",IF(Cotations!DW115="","",Cotations!DW115))</f>
        <v/>
      </c>
      <c r="TJ115" s="300" t="str">
        <f t="shared" si="1008"/>
        <v/>
      </c>
      <c r="TK115" s="300" t="str">
        <f t="shared" si="1009"/>
        <v/>
      </c>
      <c r="TL115" s="919" t="str">
        <f t="shared" si="1010"/>
        <v/>
      </c>
      <c r="TM115" s="517" t="str">
        <f>IF(A115=FALSE,"",Cotations!DX115)</f>
        <v/>
      </c>
      <c r="TN115" s="517" t="str">
        <f>IF(A115=FALSE,"",Cotations!DY115)</f>
        <v/>
      </c>
      <c r="TO115" s="493" t="str">
        <f>IF(A115=FALSE,"",Cotations!DZ115)</f>
        <v/>
      </c>
      <c r="TP115" s="517" t="str">
        <f>IF(A115=FALSE,"",IF(TM115="N/A",0,IF(INDEX(LISTES!$F$105:$F$109,MATCH(TM115,LISTES!$C$105:$C$109,0))="FIX",IF(INDEX(LISTES!$E$105:$E$109,MATCH(TM115,LISTES!$C$105:$C$109,0))=12,TN115/12*L115,TN115/365*M115),TO115*TL115)))</f>
        <v/>
      </c>
      <c r="TQ115" s="294" t="str">
        <f t="shared" si="1011"/>
        <v/>
      </c>
      <c r="TR115" s="494" t="str">
        <f>IF(A115=FALSE,"",TQ115*Cotations!EA115)</f>
        <v/>
      </c>
      <c r="TS115" s="494" t="str">
        <f>IF(A115=FALSE,"",TQ115*Cotations!EB115)</f>
        <v/>
      </c>
      <c r="TT115" s="338" t="str">
        <f t="shared" si="1012"/>
        <v/>
      </c>
      <c r="TU115" s="919" t="str">
        <f>IF(A115=FALSE,"",((TG115*(1+TAXE)-(TG115*(1+TAXE)*TI115))+IF(TM115="N/A",0,IF(INDEX(LISTES!$F$105:$F$109,MATCH(TM115,LISTES!$C$105:$C$109,0))="FIX",TN115,TO115*TL115))))</f>
        <v/>
      </c>
      <c r="UA115" s="492" t="str">
        <f>IF(A115=FALSE,"",Cotations!D115)</f>
        <v/>
      </c>
      <c r="UB115" s="491" t="str">
        <f>IF(A115=FALSE,"",IF(LISTES!$A$17=1,Cotations!EC115,Cotations!ED115))</f>
        <v/>
      </c>
      <c r="UC115" s="285" t="str">
        <f t="shared" si="1013"/>
        <v/>
      </c>
      <c r="UD115" s="300" t="str">
        <f>IF(A115=FALSE,"",Detail!CY115)</f>
        <v/>
      </c>
      <c r="UE115" s="461" t="str">
        <f t="shared" si="1014"/>
        <v/>
      </c>
      <c r="UF115" s="490" t="str">
        <f>IF(A115=FALSE,"",IF(UA115="FIXE",Cotations!EF115,Cotations!EG115*Y115))</f>
        <v/>
      </c>
      <c r="UG115" s="300" t="str">
        <f t="shared" si="1015"/>
        <v/>
      </c>
      <c r="UH115" s="522" t="str">
        <f>IF(A115=FALSE,"",IF(Cotations!EE115="monthly",UG115/12*L115,UG115/365*M115))</f>
        <v/>
      </c>
      <c r="UI115" s="489" t="str">
        <f>IF(A115=FALSE,"",IF(Cotations!EH115="","",Cotations!EH115))</f>
        <v/>
      </c>
      <c r="UJ115" s="300" t="str">
        <f t="shared" si="1016"/>
        <v/>
      </c>
      <c r="UK115" s="300" t="str">
        <f t="shared" si="1017"/>
        <v/>
      </c>
      <c r="UL115" s="919" t="str">
        <f t="shared" si="1018"/>
        <v/>
      </c>
      <c r="UM115" s="517" t="str">
        <f>IF(A115=FALSE,"",Cotations!EI115)</f>
        <v/>
      </c>
      <c r="UN115" s="517" t="str">
        <f>IF(A115=FALSE,"",Cotations!EJ115)</f>
        <v/>
      </c>
      <c r="UO115" s="493" t="str">
        <f>IF(A115=FALSE,"",Cotations!EK115)</f>
        <v/>
      </c>
      <c r="UP115" s="517" t="str">
        <f>IF(A115=FALSE,"",IF(UM115="N/A",0,IF(INDEX(LISTES!$F$105:$F$109,MATCH(UM115,LISTES!$C$105:$C$109,0))="FIX",IF(INDEX(LISTES!$E$105:$E$109,MATCH(UM115,LISTES!$C$105:$C$109,0))=12,UN115/12*L115,UN115/365*M115),UO115*UL115)))</f>
        <v/>
      </c>
      <c r="UQ115" s="294" t="str">
        <f t="shared" si="1019"/>
        <v/>
      </c>
      <c r="UR115" s="494" t="str">
        <f>IF(A115=FALSE,"",UQ115*Cotations!EL115)</f>
        <v/>
      </c>
      <c r="US115" s="494" t="str">
        <f>IF(A115=FALSE,"",UQ115*Cotations!EM115)</f>
        <v/>
      </c>
      <c r="UT115" s="338" t="str">
        <f t="shared" si="1020"/>
        <v/>
      </c>
      <c r="UU115" s="919" t="str">
        <f>IF(A115=FALSE,"",((UG115*(1+TAXE)-(UG115*(1+TAXE)*UI115))+IF(UM115="N/A",0,IF(INDEX(LISTES!$F$105:$F$109,MATCH(UM115,LISTES!$C$105:$C$109,0))="FIX",UN115,UO115*UL115))))</f>
        <v/>
      </c>
      <c r="VA115" s="492" t="str">
        <f>IF(A115=FALSE,"",Cotations!D115)</f>
        <v/>
      </c>
      <c r="VB115" s="519" t="str">
        <f>IF(A115=FALSE,"",IF(LISTES!$A$17=1,Cotations!EN115,Cotations!EO115))</f>
        <v/>
      </c>
      <c r="VC115" s="291" t="str">
        <f t="shared" si="1021"/>
        <v/>
      </c>
      <c r="VD115" s="291" t="str">
        <f t="shared" si="1022"/>
        <v/>
      </c>
      <c r="VE115" s="291"/>
      <c r="VF115" s="463"/>
      <c r="VG115" s="463" t="str">
        <f t="shared" si="1023"/>
        <v/>
      </c>
      <c r="VH115" s="522" t="str">
        <f>IF(A115=FALSE,"",IF(Cotations!$AQ$4="monthly",VG115/12*L115,VG115/365*M115))</f>
        <v/>
      </c>
      <c r="VI115" s="489" t="str">
        <f>IF(A115=FALSE,"",Cotations!$AR$4)</f>
        <v/>
      </c>
      <c r="VJ115" s="300" t="str">
        <f t="shared" si="1024"/>
        <v/>
      </c>
      <c r="VK115" s="300" t="str">
        <f t="shared" si="1025"/>
        <v/>
      </c>
      <c r="VL115" s="294" t="str">
        <f t="shared" si="1026"/>
        <v/>
      </c>
      <c r="VM115" s="494" t="str">
        <f>IF(A115=FALSE,"",Cotations!$AS$4)</f>
        <v/>
      </c>
      <c r="VN115" s="494" t="str">
        <f>IF(A115=FALSE,"",Cotations!$AT$4)</f>
        <v/>
      </c>
      <c r="VO115" s="489" t="str">
        <f>IF(A115=FALSE,"",Cotations!$AU$4)</f>
        <v/>
      </c>
      <c r="VP115" s="494" t="str">
        <f>IF(A115=FALSE,"",IF(VM115="N/A",0,IF(INDEX(LISTES!$F$105:$F$109,MATCH(VM115,LISTES!$C$105:$C$109,0))="FIX",IF(INDEX(LISTES!$E$105:$E$109,MATCH(VM115,LISTES!$C$105:$C$109,0))=12,VN115/12*L115,VN115/365*M115),VO115*VL115)))</f>
        <v/>
      </c>
      <c r="VQ115" s="294" t="str">
        <f t="shared" si="1027"/>
        <v/>
      </c>
      <c r="VR115" s="494" t="str">
        <f>IF(A115=FALSE,"",VQ115*Cotations!$AV$4)</f>
        <v/>
      </c>
      <c r="VS115" s="494" t="str">
        <f>IF(A115=FALSE,"",VQ115*Cotations!$AW$4)</f>
        <v/>
      </c>
      <c r="VT115" s="465" t="str">
        <f t="shared" si="1028"/>
        <v/>
      </c>
      <c r="VU115" s="919" t="str">
        <f>IF(A115=FALSE,"",((VG115*TAXE)-(VG115*TAXE*VI115))+IF(VM115="N/A",0,IF(INDEX(LISTES!$F$105:$F$109,MATCH(VM115,LISTES!$C$105:$C$109,0))="FIX",VN115,VO115*VL115)))</f>
        <v/>
      </c>
      <c r="WA115" s="492" t="str">
        <f>IF(A115=FALSE,"",Cotations!D115)</f>
        <v/>
      </c>
      <c r="WB115" s="519" t="str">
        <f>IF(A115=FALSE,"",IF(LISTES!$A$17=1,Cotations!EW115,Cotations!EX115))</f>
        <v/>
      </c>
      <c r="WC115" s="291" t="str">
        <f t="shared" si="1029"/>
        <v/>
      </c>
      <c r="WD115" s="291" t="str">
        <f t="shared" si="1030"/>
        <v/>
      </c>
      <c r="WE115" s="291"/>
      <c r="WF115" s="463"/>
      <c r="WG115" s="463" t="str">
        <f t="shared" si="1031"/>
        <v/>
      </c>
      <c r="WH115" s="522" t="str">
        <f>IF(A115=FALSE,"",IF(Cotations!$AQ$4="monthly",WG115/12*L115,WG115/365*M115))</f>
        <v/>
      </c>
      <c r="WI115" s="489" t="str">
        <f>IF(A115=FALSE,"",Cotations!$AR$4)</f>
        <v/>
      </c>
      <c r="WJ115" s="300" t="str">
        <f t="shared" si="1032"/>
        <v/>
      </c>
      <c r="WK115" s="300" t="str">
        <f t="shared" si="1033"/>
        <v/>
      </c>
      <c r="WL115" s="294" t="str">
        <f t="shared" si="1034"/>
        <v/>
      </c>
      <c r="WM115" s="494" t="str">
        <f>IF(A115=FALSE,"",Cotations!$AS$4)</f>
        <v/>
      </c>
      <c r="WN115" s="494" t="str">
        <f>IF(A115=FALSE,"",Cotations!$AT$4)</f>
        <v/>
      </c>
      <c r="WO115" s="489" t="str">
        <f>IF(A115=FALSE,"",Cotations!$AU$4)</f>
        <v/>
      </c>
      <c r="WP115" s="494" t="str">
        <f>IF(A115=FALSE,"",IF(WM115="N/A",0,IF(INDEX(LISTES!$F$105:$F$109,MATCH(WM115,LISTES!$C$105:$C$109,0))="FIX",IF(INDEX(LISTES!$E$105:$E$109,MATCH(WM115,LISTES!$C$105:$C$109,0))=12,WN115/12*L115,WN115/365*M115),WO115*WL115)))</f>
        <v/>
      </c>
      <c r="WQ115" s="294" t="str">
        <f t="shared" si="1035"/>
        <v/>
      </c>
      <c r="WR115" s="494" t="str">
        <f>IF(A115=FALSE,"",WQ115*Cotations!$AV$4)</f>
        <v/>
      </c>
      <c r="WS115" s="494" t="str">
        <f>IF(A115=FALSE,"",WQ115*Cotations!$AW$4)</f>
        <v/>
      </c>
      <c r="WT115" s="465" t="str">
        <f t="shared" si="1036"/>
        <v/>
      </c>
      <c r="WU115" s="919" t="str">
        <f>IF(A115=FALSE,"",((WG115*TAXE)-(WG115*TAXE*WI115))+IF(WM115="N/A",0,IF(INDEX(LISTES!$F$105:$F$109,MATCH(WM115,LISTES!$C$105:$C$109,0))="FIX",WN115,WO115*WL115)))</f>
        <v/>
      </c>
    </row>
    <row r="116" spans="1:619">
      <c r="A116" s="942" t="b">
        <f t="shared" si="841"/>
        <v>0</v>
      </c>
      <c r="B116" s="942" t="b">
        <f>IF(NAMES!$B$9=TRUE,TRUE,FALSE)</f>
        <v>1</v>
      </c>
      <c r="C116" s="942" t="b">
        <f t="shared" si="825"/>
        <v>0</v>
      </c>
      <c r="D116" s="942" t="b">
        <f t="shared" si="826"/>
        <v>0</v>
      </c>
      <c r="E116" s="274" t="b">
        <f>IF(Cotations!C116="","",Cotations!C116)</f>
        <v>0</v>
      </c>
      <c r="F116" s="274" t="str">
        <f>IF(Cotations!D116="","",Cotations!D116)</f>
        <v>PROP</v>
      </c>
      <c r="G116" s="274" t="str">
        <f>IF(Cotations!E116="","",Cotations!E116)</f>
        <v>2016-2017!</v>
      </c>
      <c r="H116" s="274" t="str">
        <f>IF(Cotations!F116="","",Cotations!F116)</f>
        <v/>
      </c>
      <c r="I116" s="274" t="str">
        <f>IF(Cotations!G116="","",Cotations!G116)</f>
        <v/>
      </c>
      <c r="J116" s="274" t="str">
        <f>IF(Cotations!H116="","",Cotations!H116)</f>
        <v/>
      </c>
      <c r="K116" s="274" t="str">
        <f>IF(Cotations!I116="","",Cotations!I116)</f>
        <v/>
      </c>
      <c r="L116" s="274" t="str">
        <f>IF(A116=FALSE,"",IF(Cotations!N116="","",Cotations!N116))</f>
        <v/>
      </c>
      <c r="M116" s="274" t="str">
        <f>IF(Cotations!P116="","",Cotations!P116)</f>
        <v/>
      </c>
      <c r="N116" s="724" t="str">
        <f>IF(NAMES!$B$10=TRUE,Cotations!J116,Cotations!L116)</f>
        <v/>
      </c>
      <c r="O116" s="724" t="str">
        <f>IF(NAMES!$B$10=TRUE,Cotations!K116,Cotations!M116)</f>
        <v/>
      </c>
      <c r="P116" s="943" t="str">
        <f t="shared" si="827"/>
        <v/>
      </c>
      <c r="Q116" s="724" t="str">
        <f>IF(A116=FALSE,"",IF(Crewlist!Y116="","",Crewlist!Y116))</f>
        <v/>
      </c>
      <c r="R116" s="78" t="str">
        <f>IF(Cotations!U116="","",Cotations!U116)</f>
        <v/>
      </c>
      <c r="S116" s="943" t="str">
        <f t="shared" si="828"/>
        <v/>
      </c>
      <c r="T116" s="919" t="str">
        <f>IF(A116=FALSE,"",VLOOKUP($U$15:$U$120,Currency!$A$2:$D$10,4,0)*Crewlist!N116)</f>
        <v/>
      </c>
      <c r="U116" s="1355" t="str">
        <f>IF(A116=FALSE,"",IF(IT116=0,Crewlist!M116&amp;"/"&amp;EX116,Crewlist!M116&amp;"/"&amp;IT116))</f>
        <v/>
      </c>
      <c r="V116" s="919" t="str">
        <f>IF(A116=FALSE,"",VLOOKUP($U$15:$U$120,Currency!$A$2:$D$10,4,0)*Detail!Q116)</f>
        <v/>
      </c>
      <c r="W116" s="1355" t="str">
        <f>IF(A116=FALSE,"",IF(IT116=0,Detail!R116&amp;"/"&amp;EX116,Detail!R116&amp;"/"&amp;IT116))</f>
        <v/>
      </c>
      <c r="X116" s="919" t="str">
        <f>IF(A116=FALSE,"",IF(LISTES!$C$17="Crewlist",Calcul!T116,Calcul!V116))</f>
        <v/>
      </c>
      <c r="Y116" s="758" t="str">
        <f t="shared" si="829"/>
        <v/>
      </c>
      <c r="Z116" s="758" t="str">
        <f>IF(A116=FALSE,"",IF(X116=0,0,IF((Cotations!BC116*12*X116)&lt;50000,50000,(12*X116))))</f>
        <v/>
      </c>
      <c r="AA116" s="758" t="str">
        <f t="shared" si="830"/>
        <v/>
      </c>
      <c r="AB116" s="758" t="str">
        <f>IF(A116=FALSE,"",IF(Crewlist!O116=0,"",Crewlist!O116))</f>
        <v/>
      </c>
      <c r="AC116" s="758" t="str">
        <f>IF(I116="","",VLOOKUP($AB$15:$AB$120,Currency!$A$15:$B$34,2,0))</f>
        <v/>
      </c>
      <c r="AD116" s="758" t="str">
        <f t="shared" si="831"/>
        <v/>
      </c>
      <c r="AE116" s="758" t="str">
        <f t="shared" si="832"/>
        <v/>
      </c>
      <c r="AF116" s="758" t="str">
        <f t="shared" si="833"/>
        <v/>
      </c>
      <c r="AG116" s="758" t="str">
        <f t="shared" si="834"/>
        <v/>
      </c>
      <c r="AH116" s="1355" t="str">
        <f t="shared" si="842"/>
        <v/>
      </c>
      <c r="AI116" s="919" t="str">
        <f t="shared" si="835"/>
        <v/>
      </c>
      <c r="AJ116" s="1382" t="str">
        <f t="shared" si="836"/>
        <v/>
      </c>
      <c r="AK116" s="1382" t="str">
        <f t="shared" si="837"/>
        <v/>
      </c>
      <c r="AL116" s="238" t="str">
        <f t="shared" si="843"/>
        <v/>
      </c>
      <c r="AM116" s="238" t="str">
        <f t="shared" si="844"/>
        <v/>
      </c>
      <c r="AN116" s="1374" t="str">
        <f t="shared" si="845"/>
        <v/>
      </c>
      <c r="AO116" s="238" t="str">
        <f t="shared" si="846"/>
        <v/>
      </c>
      <c r="AP116" s="342" t="str">
        <f>IF(A116=FALSE,"",INDEX(Rates!$Z$5:$Z$367,MATCH(EB116,colchoice,0)))</f>
        <v/>
      </c>
      <c r="AQ116" s="238" t="str">
        <f t="shared" si="847"/>
        <v/>
      </c>
      <c r="AR116" s="238" t="str">
        <f t="shared" si="848"/>
        <v/>
      </c>
      <c r="AS116" s="238" t="str">
        <f t="shared" si="849"/>
        <v/>
      </c>
      <c r="AT116" s="238" t="str">
        <f t="shared" si="850"/>
        <v/>
      </c>
      <c r="AU116" s="238" t="str">
        <f t="shared" si="851"/>
        <v/>
      </c>
      <c r="AV116" s="238" t="str">
        <f t="shared" si="838"/>
        <v/>
      </c>
      <c r="AW116" s="238" t="str">
        <f t="shared" si="852"/>
        <v/>
      </c>
      <c r="AX116" s="238" t="str">
        <f t="shared" si="853"/>
        <v/>
      </c>
      <c r="AY116" s="238" t="str">
        <f t="shared" si="854"/>
        <v/>
      </c>
      <c r="AZ116" s="238" t="str">
        <f t="shared" si="855"/>
        <v/>
      </c>
      <c r="BA116" s="238" t="str">
        <f t="shared" si="856"/>
        <v/>
      </c>
      <c r="BB116" s="552" t="str">
        <f t="shared" si="857"/>
        <v/>
      </c>
      <c r="BC116" s="347" t="str">
        <f t="shared" si="858"/>
        <v/>
      </c>
      <c r="BD116" s="239" t="str">
        <f t="shared" si="839"/>
        <v/>
      </c>
      <c r="BE116" s="239" t="str">
        <f>IF(A116=FALSE,"",IF(ALLTHESAME=TRUE,IF(DF116&lt;&gt;$BC$7,0,INDEX(DD116:DZ116,1,MATCH(Structure!$D$12,$DD$14:$DZ$14,0))),IF(EC116&lt;&gt;$BC$7,0,INDEX(EA116:EZ116,1,MATCH(Structure!$D$12,$EA$14:$EZ$14,0)))))</f>
        <v/>
      </c>
      <c r="BF116" s="239" t="str">
        <f>IF(A116=FALSE,"",IF(ALLTHESAME=TRUE,IF(FC116&lt;&gt;$BC$7,0,INDEX(FA116:FZ116,1,MATCH(Structure!$D$12,$FA$14:$FZ$14,0))),IF(GC116&lt;&gt;$BC$7,0,INDEX(GA116:GZ116,1,MATCH(Structure!$D$12,$GA$14:$GZ$14,0)))))</f>
        <v/>
      </c>
      <c r="BG116" s="239" t="str">
        <f>IF(A116=FALSE,"",IF(ALLTHESAME=TRUE,IF(VC116&lt;&gt;$BC$7,0,INDEX(VA116:VZ116,1,MATCH(Structure!$D$12,$VA$14:$VZ$14,0))),IF(VC116&lt;&gt;$BC$7,0,INDEX(VA116:VZ116,1,MATCH(Structure!$D$12,$VA$14:$VZ$14,0)))))</f>
        <v/>
      </c>
      <c r="BH116" s="239" t="str">
        <f>IF(A116=FALSE,"",IF(ALLTHESAME=TRUE,IF(WC116&lt;&gt;$BC$7,0,INDEX(WA116:WY116,1,MATCH(Structure!$D$12,$WA$14:$WZ$14,0))),IF(WC116&lt;&gt;$BC$7,0,INDEX(WA116:WZ116,1,MATCH(Structure!$D$12,$WA$14:$WZ$14,0)))))</f>
        <v/>
      </c>
      <c r="BI116" s="763" t="str">
        <f>IF(A116=FALSE,"",IF(ALLTHESAME=TRUE,IF(HC116&lt;&gt;$BC$7,0,INDEX(HA116:HZ116,1,MATCH(Structure!$D$12,$HA$14:$HZ$14,0)))+TK116,IF(IC116&lt;&gt;$BC$7,0,INDEX(IA116:IZ116,1,MATCH(Structure!$D$12,$IA$14:$IZ$14,0)))+TK116))</f>
        <v/>
      </c>
      <c r="BJ116" s="239" t="str">
        <f>IF(A116=FALSE,"",IF(ALLTHESAME=TRUE,IF(JC116&lt;&gt;$BC$7,0,INDEX(JA116:JZ116,1,MATCH(Structure!$D$12,$JA$14:$JZ$14,0))),IF(KC116&lt;&gt;$BC$7,0,INDEX(KA116:KZ116,1,MATCH(Structure!$D$12,$KA$14:$KZ$14,0)))))</f>
        <v/>
      </c>
      <c r="BK116" s="763" t="str">
        <f>IF(A116=FALSE,"",IF(ALLTHESAME=TRUE,IF(LC116&lt;&gt;$BC$7,0,INDEX(LA116:LZ116,1,MATCH(Structure!$D$12,$LA$14:$LZ$14,0)))+UK116,IF(MC116&lt;&gt;$BC$7,0,INDEX(MA116:MZ116,1,MATCH(Structure!$D$12,$MA$14:$MZ$14,0)))+UK116))</f>
        <v/>
      </c>
      <c r="BL116" s="239" t="str">
        <f>IF(A116=FALSE,"",IF(ALLTHESAME=TRUE,IF(NC116&lt;&gt;$BC$7,0,INDEX(NA116:NZ116,1,MATCH(Structure!$D$12,$NA$14:$NZ$14,0))),IF(OC116&lt;&gt;$BC$7,0,INDEX(OA116:OZ116,1,MATCH(Structure!$D$12,$OA$14:$OZ$14,0)))))</f>
        <v/>
      </c>
      <c r="BM116" s="239" t="str">
        <f>IF(A116=FALSE,"",IF(ALLTHESAME=TRUE,IF(PC116&lt;&gt;$BC$7,0,INDEX(PA116:PZ116,1,MATCH(Structure!$D$12,$PA$14:$PZ$14,0))),IF(QC116&lt;&gt;$BC$7,0,INDEX(QA116:QZ116,1,MATCH(Structure!$D$12,$QA$14:$QZ$14,0)))))</f>
        <v/>
      </c>
      <c r="BN116" s="341" t="str">
        <f>IF(A116=FALSE,"",IF(ALLTHESAME=TRUE,IF(RC116&lt;&gt;$BC$7,0,INDEX(RA116:RZ116,1,MATCH(Structure!$D$12,$RA$14:$RZ$14,0))),IF(SC116&lt;&gt;$BC$7,0,INDEX(SA116:TA116,1,MATCH(Structure!$D$12,$SA$14:$TA$14,0)))))</f>
        <v/>
      </c>
      <c r="BO116" s="507" t="str">
        <f t="shared" si="859"/>
        <v/>
      </c>
      <c r="BP116" s="239" t="str">
        <f t="shared" si="860"/>
        <v/>
      </c>
      <c r="BQ116" s="239" t="str">
        <f>IF(A116=FALSE,"",IF(ALLTHESAME=TRUE,IF(DF116&lt;&gt;$BO$7,0,INDEX(DD116:DZ116,1,MATCH(Structure!$D$12,$DD$14:$DZ$14,0))),IF(EC116&lt;&gt;$BO$7,0,INDEX(EA116:EZ116,1,MATCH(Structure!$D$12,$EA$14:$EZ$14,0)))))</f>
        <v/>
      </c>
      <c r="BR116" s="239" t="str">
        <f>IF(A116=FALSE,"",IF(ALLTHESAME=TRUE,IF(FC116&lt;&gt;$BO$7,0,INDEX(FA116:FZ116,1,MATCH(Structure!$D$12,$FA$14:$FZ$14,0))),IF(GC116&lt;&gt;$BO$7,0,INDEX(GA116:GZ116,1,MATCH(Structure!$D$12,$GA$14:$GZ$14,0)))))</f>
        <v/>
      </c>
      <c r="BS116" s="239" t="str">
        <f>IF(A116=FALSE,"",IF(ALLTHESAME=TRUE,IF(HC116&lt;&gt;$BO$7,0,INDEX(HA116:HZ116,1,MATCH(Structure!$D$12,$HA$14:$HZ$14,0))),IF(IC116&lt;&gt;$BO$7,0,INDEX(IA116:IZ116,1,MATCH(Structure!$D$12,$IA$14:$IZ$14,0)))))</f>
        <v/>
      </c>
      <c r="BT116" s="239" t="str">
        <f>IF(A116=FALSE,"",IF(ALLTHESAME=TRUE,IF(JC116&lt;&gt;$BO$7,0,INDEX(JA116:JZ116,1,MATCH(Structure!$D$12,$JA$14:$JZ$14,0))),IF(KC116&lt;&gt;$BO$7,0,INDEX(KA116:KZ116,1,MATCH(Structure!$D$12,$KA$14:$KZ$14,0)))))</f>
        <v/>
      </c>
      <c r="BU116" s="239" t="str">
        <f>IF(A116=FALSE,"",IF(ALLTHESAME=TRUE,IF(LC116&lt;&gt;$BO$7,0,INDEX(LA116:LZ116,1,MATCH(Structure!$D$12,$LA$14:$LZ$14,0))),IF(MC116&lt;&gt;$BO$7,0,INDEX(MA116:MZ116,1,MATCH(Structure!$D$12,$MA$14:$MZ$14,0)))))</f>
        <v/>
      </c>
      <c r="BV116" s="239" t="str">
        <f>IF(A116=FALSE,"",IF(ALLTHESAME=TRUE,IF(NC116&lt;&gt;$BO$7,0,INDEX(NA116:NZ116,1,MATCH(Structure!$D$12,$NA$14:$NZ$14,0))),IF(OC116&lt;&gt;$BO$7,0,INDEX(OA116:OZ116,1,MATCH(Structure!$D$12,$OA$14:$OZ$14,0)))))</f>
        <v/>
      </c>
      <c r="BW116" s="239" t="str">
        <f>IF(A116=FALSE,"",IF(ALLTHESAME=TRUE,IF(PC116&lt;&gt;$BO$7,0,INDEX(PA116:PZ116,1,MATCH(Structure!$D$12,$PA$14:$PZ$14,0))),IF(QC116&lt;&gt;$BO$7,0,INDEX(QA116:QZ116,1,MATCH(Structure!$D$12,$QA$14:$QZ$14,0)))))</f>
        <v/>
      </c>
      <c r="BX116" s="341" t="str">
        <f>IF(A116=FALSE,"",IF(ALLTHESAME=TRUE,IF(RC116&lt;&gt;$BO$7,0,INDEX(RA116:RZ116,1,MATCH(Structure!$D$12,$RA$14:$RZ$14,0))),IF(SC116&lt;&gt;$BO$7,0,INDEX(SA116:TA116,1,MATCH(Structure!$D$12,$SA$14:$TA$14,0)))))</f>
        <v/>
      </c>
      <c r="BY116" s="347" t="str">
        <f t="shared" si="861"/>
        <v/>
      </c>
      <c r="BZ116" s="507" t="str">
        <f t="shared" si="862"/>
        <v/>
      </c>
      <c r="CA116" s="239" t="str">
        <f t="shared" si="863"/>
        <v/>
      </c>
      <c r="CB116" s="239" t="str">
        <f>IF(A116=FALSE,"",IF(ALLTHESAME=TRUE,INDEX(DD116:DZ116,MATCH(DF116,DF116:DF221,0),MATCH(Structure!$D$17,$DD$14:$DZ$14,0)),INDEX(EA116:EZ116,MATCH(EC116,EC116:EC221,0),MATCH(Structure!$D$17,$EA$14:$EZ$14,0))))</f>
        <v/>
      </c>
      <c r="CC116" s="239" t="str">
        <f>IF(A116=FALSE,"",IF(ALLTHESAME=TRUE,INDEX(FA116:FZ116,MATCH(FC116,FC116:FC221,0),MATCH(Structure!$D$17,$FA$14:$FZ$14,0)),INDEX(GA116:GZ116,MATCH(GC116,GC116:GC221,0),MATCH(Structure!$D$17,$GA$14:$GZ$14,0))))</f>
        <v/>
      </c>
      <c r="CD116" s="239" t="str">
        <f>IF(A116=FALSE,"",IF(ALLTHESAME=TRUE,INDEX(HA116:HZ116,MATCH(HC116,HC116:HC221,0),MATCH(Structure!$D$17,$HA$14:$HZ$14,0)),INDEX(IA116:IZ116,MATCH(IC116,IC116:IC221,0),MATCH(Structure!$D$17,$IA$14:$IZ$14,0))))</f>
        <v/>
      </c>
      <c r="CE116" s="239" t="str">
        <f>IF(A116=FALSE,"",IF(ALLTHESAME=TRUE,INDEX(JA116:JZ116,MATCH(JC116,JC116:JC221,0),MATCH(Structure!$D$17,$JA$14:$JZ$14,0)),INDEX(KA116:KZ116,MATCH(KC116,KC116:KC221,0),MATCH(Structure!$D$17,$KA$14:$KZ$14,0))))</f>
        <v/>
      </c>
      <c r="CF116" s="239" t="str">
        <f>IF(A116=FALSE,"",IF(ALLTHESAME=TRUE,INDEX(LA116:LZ116,MATCH(LC116,LC116:LC221,0),MATCH(Structure!$D$17,$LA$14:$LZ$14,0)),INDEX(MA116:MZ116,MATCH(MC116,MC116:MC221,0),MATCH(Structure!$D$17,$MA$14:$MZ$14,0))))</f>
        <v/>
      </c>
      <c r="CG116" s="239" t="str">
        <f>IF(A116=FALSE,"",IF(ALLTHESAME=TRUE,INDEX(NA116:NZ116,MATCH(NC116,NC116:NC221,0),MATCH(Structure!$D$17,$NA$14:$NZ$14,0)),INDEX(OA116:OZ116,MATCH(OC116,OC116:OC221,0),MATCH(Structure!$D$17,$OA$14:$OZ$14,0))))</f>
        <v/>
      </c>
      <c r="CH116" s="239" t="str">
        <f>IF(A116=FALSE,"",IF(ALLTHESAME=TRUE,INDEX(PA116:PZ116,MATCH(PC116,PC116:PC221,0),MATCH(Structure!$D$17,$PA$14:$PZ$14,0)),INDEX(QA116:QZ116,MATCH(QC116,QC116:QC221,0),MATCH(Structure!$D$17,$QA$14:$QZ$14,0))))</f>
        <v/>
      </c>
      <c r="CI116" s="341" t="str">
        <f>IF(A116=FALSE,"",IF(ALLTHESAME=TRUE,INDEX(RA116:RZ116,MATCH(RC116,RC116:RC221,0),MATCH(Structure!$D$17,$RA$14:$RZ$14,0)),INDEX(SA116:TC116,MATCH(SC116,SC116:SC221,0),MATCH(Structure!$D$17,$SA$14:$TC$14,0))))</f>
        <v/>
      </c>
      <c r="CJ116" s="347"/>
      <c r="CK116" s="239" t="str">
        <f t="shared" si="864"/>
        <v/>
      </c>
      <c r="CL116" s="239" t="str">
        <f>IF(A116=FALSE,"",IF(ALLTHESAME=TRUE,INDEX(DD116:DZ116,MATCH(DF116,DF116:DF221,0),MATCH(Structure!$D$22,$DD$14:$DZ$14,0)),INDEX(EA116:EZ116,MATCH(EC116,EC116:EC221,0),MATCH(Structure!$D$22,$EA$14:$EZ$14,0))))</f>
        <v/>
      </c>
      <c r="CM116" s="239" t="str">
        <f>IF(A116=FALSE,"",IF(ALLTHESAME=TRUE,INDEX(FA116:FZ116,MATCH(FC116,FC116:FC221,0),MATCH(Structure!$D$22,$FA$14:$FZ$14,0)),INDEX(GA116:GZ116,MATCH(GC116,GC116:GC221,0),MATCH(Structure!$D$22,$GA$14:$GZ$14,0))))</f>
        <v/>
      </c>
      <c r="CN116" s="239" t="str">
        <f>IF(A116=FALSE,"",IF(ALLTHESAME=TRUE,INDEX(HA116:HZ116,MATCH(HC116,HC116:HC221,0),MATCH(Structure!$D$22,$HA$14:$HZ$14,0)),INDEX(IA116:IZ116,MATCH(IC116,IC116:IC221,0),MATCH(Structure!$D$22,$IA$14:$IZ$14,0))))</f>
        <v/>
      </c>
      <c r="CO116" s="239" t="str">
        <f>IF(A116=FALSE,"",IF(ALLTHESAME=TRUE,INDEX(JA116:JZ116,MATCH(JC116,JC116:JC221,0),MATCH(Structure!$D$22,$JA$14:$JZ$14,0)),INDEX(KA116:KZ116,MATCH(KC116,KC116:KC221,0),MATCH(Structure!$D$22,$KA$14:$KZ$14,0))))</f>
        <v/>
      </c>
      <c r="CP116" s="239" t="str">
        <f>IF(A116=FALSE,"",IF(ALLTHESAME=TRUE,INDEX(LA116:LZ116,MATCH(LC116,LC116:LC221,0),MATCH(Structure!$D$22,$LA$14:$LZ$14,0)),INDEX(MA116:MZ116,MATCH(MC116,MC116:MC221,0),MATCH(Structure!$D$22,$MA$14:$MZ$14,0))))</f>
        <v/>
      </c>
      <c r="CQ116" s="239" t="str">
        <f>IF(A116=FALSE,"",IF(ALLTHESAME=TRUE,INDEX(NA116:NZ116,MATCH(NC116,NC116:NC221,0),MATCH(Structure!$D$22,$NA$14:$NZ$14,0)),INDEX(OA116:OZ116,MATCH(OC116,OC116:OC221,0),MATCH(Structure!$D$22,$OA$14:$OZ$14,0))))</f>
        <v/>
      </c>
      <c r="CR116" s="239" t="str">
        <f>IF(A116=FALSE,"",IF(ALLTHESAME=TRUE,INDEX(PA116:PZ116,MATCH(PC116,PC116:PC221,0),MATCH(Structure!$D$22,$PA$14:$PZ$14,0)),INDEX(QA116:QZ116,MATCH(QC116,QC116:QC221,0),MATCH(Structure!$D$22,$QA$14:$QZ$14,0))))</f>
        <v/>
      </c>
      <c r="CS116" s="341" t="str">
        <f>IF(A116=FALSE,"",IF(ALLTHESAME=TRUE,INDEX(RA116:RZ116,MATCH(RC116,RC116:RC221,0),MATCH(Structure!$D$22,$RA$14:$RZ$14,0)),INDEX(SA116:TC116,MATCH(SC116,SC116:SC221,0),MATCH(Structure!$D$22,$SA$14:$TC$14,0))))</f>
        <v/>
      </c>
      <c r="CT116" s="347"/>
      <c r="CU116" s="239" t="str">
        <f t="shared" si="865"/>
        <v/>
      </c>
      <c r="CV116" s="239" t="str">
        <f>IF(A116=FALSE,"",IF(ALLTHESAME=TRUE,INDEX(DD116:DZ116,MATCH(DF116,DF116:DF221,0),MATCH(Structure!$D$8,$DD$14:$DZ$14,0)),INDEX(EA116:EZ116,MATCH(EC116,EC116:EC221,0),MATCH(Structure!$D$8,$EA$14:$EZ$14,0))))</f>
        <v/>
      </c>
      <c r="CW116" s="239" t="str">
        <f>IF(A116=FALSE,"",IF(ALLTHESAME=TRUE,INDEX(FA116:FZ116,MATCH(FC116,FC116:FC221,0),MATCH(Structure!$D$8,$FA$14:$FZ$14,0)),INDEX(GA116:GZ116,MATCH(GC116,GC116:GC221,0),MATCH(Structure!$D$8,$GA$14:$GZ$14,0))))</f>
        <v/>
      </c>
      <c r="CX116" s="239" t="str">
        <f>IF(A116=FALSE,"",IF(ALLTHESAME=TRUE,INDEX(HA116:HZ116,MATCH(HC116,HC116:HC221,0),MATCH(Structure!$D$8,$HA$14:$HZ$14,0)),INDEX(IA116:IZ116,MATCH(IC116,IC116:IC221,0),MATCH(Structure!$D$8,$IA$14:$IZ$14,0))))</f>
        <v/>
      </c>
      <c r="CY116" s="239" t="str">
        <f>IF(A116=FALSE,"",IF(ALLTHESAME=TRUE,INDEX(JA116:JZ116,MATCH(JC116,JC116:JC221,0),MATCH(Structure!$D$8,$JA$14:$JZ$14,0)),INDEX(KA116:KZ116,MATCH(KC116,KC116:KC221,0),MATCH(Structure!$D$8,$KA$14:$KZ$14,0))))</f>
        <v/>
      </c>
      <c r="CZ116" s="239" t="str">
        <f>IF(A116=FALSE,"",IF(ALLTHESAME=TRUE,INDEX(LA116:LZ116,MATCH(LC116,LC116:LC221,0),MATCH(Structure!$D$8,$LA$14:$LZ$14,0)),INDEX(MA116:MZ116,MATCH(MC116,MC116:MC221,0),MATCH(Structure!$D$8,$MA$14:$MZ$14,0))))</f>
        <v/>
      </c>
      <c r="DA116" s="239" t="str">
        <f>IF(A116=FALSE,"",IF(ALLTHESAME=TRUE,INDEX(NA116:NZ116,MATCH(NC116,NC116:NC221,0),MATCH(Structure!$D$8,$NA$14:$NZ$14,0)),INDEX(OA116:OZ116,MATCH(OC116,OC116:OC221,0),MATCH(Structure!$D$8,$OA$14:$OZ$14,0))))</f>
        <v/>
      </c>
      <c r="DB116" s="239" t="str">
        <f>IF(A116=FALSE,"",IF(ALLTHESAME=TRUE,INDEX(PA116:PZ116,MATCH(PC116,PC116:PC221,0),MATCH(Structure!$D$8,$PA$14:$PZ$14,0)),INDEX(QA116:QZ116,MATCH(QC116,QC116:QC221,0),MATCH(Structure!$D$8,$QA$14:$QZ$14,0))))</f>
        <v/>
      </c>
      <c r="DC116" s="341" t="str">
        <f>IF(A116=FALSE,"",IF(ALLTHESAME=TRUE,INDEX(RA116:RZ116,MATCH(RC116,RC116:RC221,0),MATCH(Structure!$D$8,$RA$14:$RZ$14,0)),INDEX(SA116:TC116,MATCH(SC116,SC116:SC221,0),MATCH(Structure!$D$8,$SA$14:$TC$14,0))))</f>
        <v/>
      </c>
      <c r="DD116" s="492" t="str">
        <f>IF(A116=FALSE,"",Cotations!D116)</f>
        <v/>
      </c>
      <c r="DE116" s="492" t="str">
        <f>IF(A116=FALSE,"",IF(LISTES!$A$17=1,Cotations!AF116,Cotations!$AG$4))</f>
        <v/>
      </c>
      <c r="DF116" s="291" t="str">
        <f t="shared" si="866"/>
        <v/>
      </c>
      <c r="DG116" s="291" t="str">
        <f t="shared" si="867"/>
        <v/>
      </c>
      <c r="DH116" s="291"/>
      <c r="DI116" s="463"/>
      <c r="DJ116" s="463" t="str">
        <f t="shared" si="868"/>
        <v/>
      </c>
      <c r="DK116" s="522" t="str">
        <f>IF(A116=FALSE,"",IF(Cotations!$AH$4="monthly",DJ116/12*L116,DJ116/365*M116))</f>
        <v/>
      </c>
      <c r="DL116" s="489" t="str">
        <f>IF(A116=FALSE,"",Cotations!$AI$4)</f>
        <v/>
      </c>
      <c r="DM116" s="300" t="str">
        <f t="shared" si="869"/>
        <v/>
      </c>
      <c r="DN116" s="300" t="str">
        <f t="shared" si="870"/>
        <v/>
      </c>
      <c r="DO116" s="294" t="str">
        <f t="shared" si="871"/>
        <v/>
      </c>
      <c r="DP116" s="494" t="str">
        <f>IF(A116=FALSE,"",Cotations!$AJ$4)</f>
        <v/>
      </c>
      <c r="DQ116" s="494" t="str">
        <f>IF(A116=FALSE,"",Cotations!$AK$4)</f>
        <v/>
      </c>
      <c r="DR116" s="489" t="str">
        <f>IF(A116=FALSE,"",Cotations!$AL$4)</f>
        <v/>
      </c>
      <c r="DS116" s="494" t="str">
        <f>IF(A116=FALSE,"",IF(DP116="N/A",0,IF(INDEX(LISTES!$F$105:$F$109,MATCH(DP116,LISTES!$C$105:$C$109,0))="FIX",IF(INDEX(LISTES!$E$105:$E$109,MATCH(DP116,LISTES!$C$105:$C$109,0))=12,DQ116/12*L116,DQ116/365*M116),DR116*DO116)))</f>
        <v/>
      </c>
      <c r="DT116" s="294" t="str">
        <f t="shared" si="872"/>
        <v/>
      </c>
      <c r="DU116" s="294" t="str">
        <f>IF(A116=FALSE,"",DT116*Cotations!$AM$4)</f>
        <v/>
      </c>
      <c r="DV116" s="294" t="str">
        <f>IF(A116=FALSE,"",DT116*Cotations!$AN$4)</f>
        <v/>
      </c>
      <c r="DW116" s="465" t="str">
        <f t="shared" si="873"/>
        <v/>
      </c>
      <c r="DX116" s="919" t="str">
        <f>IF(A116=FALSE,"",((DJ116*TAXE)-(DJ116*TAXE*DL116))+IF(DP116="N/A",0,IF(INDEX(LISTES!$F$105:$F$109,MATCH(DP116,LISTES!$C$105:$C$109,0))="FIX",DQ116,DR116*DO116)))</f>
        <v/>
      </c>
      <c r="DY116" s="466"/>
      <c r="DZ116" s="466"/>
      <c r="EA116" s="492" t="str">
        <f>IF(A116=FALSE,"",Cotations!D116)</f>
        <v/>
      </c>
      <c r="EB116" s="494" t="str">
        <f>IF(A116=FALSE,"",IF(LISTES!$A$17=1,Cotations!AF116,Cotations!AG116))</f>
        <v/>
      </c>
      <c r="EC116" s="284" t="str">
        <f t="shared" si="874"/>
        <v/>
      </c>
      <c r="ED116" s="284" t="str">
        <f t="shared" si="875"/>
        <v/>
      </c>
      <c r="EE116" s="284"/>
      <c r="EF116" s="284"/>
      <c r="EG116" s="284" t="str">
        <f t="shared" si="876"/>
        <v/>
      </c>
      <c r="EH116" s="1365" t="str">
        <f t="shared" si="877"/>
        <v/>
      </c>
      <c r="EI116" s="1365" t="str">
        <f t="shared" si="878"/>
        <v/>
      </c>
      <c r="EJ116" s="515" t="str">
        <f>IF(A116=FALSE,"",IF(Cotations!AH116="monthly",EG116/12*L116,EG116/365*M116))</f>
        <v/>
      </c>
      <c r="EK116" s="1364" t="str">
        <f>IF(A116=FALSE,"",IF(Cotations!AH116="monthly",EI116/12*L116,EI116/365*M116))</f>
        <v/>
      </c>
      <c r="EL116" s="493" t="str">
        <f>IF(A116=FALSE,"",IF(Cotations!AI116="","",Cotations!AI116))</f>
        <v/>
      </c>
      <c r="EM116" s="284" t="str">
        <f t="shared" si="879"/>
        <v/>
      </c>
      <c r="EN116" s="284" t="str">
        <f t="shared" si="880"/>
        <v/>
      </c>
      <c r="EO116" s="1365" t="str">
        <f t="shared" si="840"/>
        <v/>
      </c>
      <c r="EP116" s="284" t="str">
        <f t="shared" si="881"/>
        <v/>
      </c>
      <c r="EQ116" s="515" t="str">
        <f>IF(A116=FALSE,"",Cotations!AJ116)</f>
        <v/>
      </c>
      <c r="ER116" s="515" t="str">
        <f>IF(A116=FALSE,"",IF(Cotations!AK116="","",Cotations!AK116))</f>
        <v/>
      </c>
      <c r="ES116" s="493" t="str">
        <f>IF(A116=FALSE,"",Cotations!AL116)</f>
        <v/>
      </c>
      <c r="ET116" s="515" t="str">
        <f>IF(A116=FALSE,"",IF(EQ116="N/A",0,IF(INDEX(LISTES!$F$105:$F$109,MATCH(EQ116,LISTES!$C$105:$C$109,0))="FIX",IF(INDEX(LISTES!$E$105:$E$109,MATCH(EQ116,LISTES!$C$105:$C$109,0))=12,ER116/12*L116,ER116/365*M116),ES116*EP116)))</f>
        <v/>
      </c>
      <c r="EU116" s="294" t="str">
        <f t="shared" si="882"/>
        <v/>
      </c>
      <c r="EV116" s="494" t="str">
        <f>IF(A116=FALSE,"",EU116*Cotations!AM116)</f>
        <v/>
      </c>
      <c r="EW116" s="494" t="str">
        <f>IF(A116=FALSE,"",EU116*Cotations!AN116)</f>
        <v/>
      </c>
      <c r="EX116" s="334" t="str">
        <f t="shared" si="883"/>
        <v/>
      </c>
      <c r="EY116" s="919" t="str">
        <f>IF(A116=FALSE,"",((EG116*TAXE)-(EG116*TAXE*EL116)+EH116)+IF(EQ116="N/A",0,IF(INDEX(LISTES!$F$105:$F$109,MATCH(EQ116,LISTES!$C$105:$C$109,0))="FIX",ER116,ES116*EP116)))</f>
        <v/>
      </c>
      <c r="FA116" s="492" t="str">
        <f>IF(A116=FALSE,"",Cotations!D116)</f>
        <v/>
      </c>
      <c r="FB116" s="519" t="str">
        <f>IF(A116=FALSE,"",IF(LISTES!$A$17=1,Cotations!AO116,Cotations!$AP$4))</f>
        <v/>
      </c>
      <c r="FC116" s="291" t="str">
        <f t="shared" si="884"/>
        <v/>
      </c>
      <c r="FD116" s="291" t="str">
        <f t="shared" si="885"/>
        <v/>
      </c>
      <c r="FE116" s="291"/>
      <c r="FF116" s="463"/>
      <c r="FG116" s="463" t="str">
        <f t="shared" si="886"/>
        <v/>
      </c>
      <c r="FH116" s="522" t="str">
        <f>IF(A116=FALSE,"",IF(Cotations!$AQ$4="monthly",FG116/12*L116,FG116/365*M116))</f>
        <v/>
      </c>
      <c r="FI116" s="453" t="str">
        <f>IF(A116=FALSE,"",Cotations!$AR$4)</f>
        <v/>
      </c>
      <c r="FJ116" s="300" t="str">
        <f t="shared" si="887"/>
        <v/>
      </c>
      <c r="FK116" s="300" t="str">
        <f t="shared" si="888"/>
        <v/>
      </c>
      <c r="FL116" s="294" t="str">
        <f t="shared" si="889"/>
        <v/>
      </c>
      <c r="FM116" s="494" t="str">
        <f>IF(A116=FALSE,"",Cotations!$AS$4)</f>
        <v/>
      </c>
      <c r="FN116" s="494" t="str">
        <f>IF(A116=FALSE,"",Cotations!$AT$4)</f>
        <v/>
      </c>
      <c r="FO116" s="489" t="str">
        <f>IF(A116=FALSE,"",Cotations!$AU$4)</f>
        <v/>
      </c>
      <c r="FP116" s="494" t="str">
        <f>IF(A116=FALSE,"",IF(FM116="N/A",0,IF(INDEX(LISTES!$F$105:$F$109,MATCH(FM116,LISTES!$C$105:$C$109,0))="FIX",IF(INDEX(LISTES!$E$105:$E$109,MATCH(FM116,LISTES!$C$105:$C$109,0))=12,FN116/12*L116,FN116/365*M116),FO116*FL116)))</f>
        <v/>
      </c>
      <c r="FQ116" s="294" t="str">
        <f t="shared" si="890"/>
        <v/>
      </c>
      <c r="FR116" s="494" t="str">
        <f>IF(A116=FALSE,"",FQ116*Cotations!$AV$4)</f>
        <v/>
      </c>
      <c r="FS116" s="494" t="str">
        <f>IF(A116=FALSE,"",FQ116*Cotations!$AW$4)</f>
        <v/>
      </c>
      <c r="FT116" s="465" t="str">
        <f t="shared" si="891"/>
        <v/>
      </c>
      <c r="FU116" s="919" t="str">
        <f>IF(A116=FALSE,"",((FG116*TAXE)-(FG116*TAXE*FI116))+IF(FM116="N/A",0,IF(INDEX(LISTES!$F$105:$F$109,MATCH(FM116,LISTES!$C$105:$C$109,0))="FIX",FN116,FO116*FL116)))</f>
        <v/>
      </c>
      <c r="FV116" s="478"/>
      <c r="FW116" s="478"/>
      <c r="FX116" s="478"/>
      <c r="FY116" s="478"/>
      <c r="FZ116" s="478"/>
      <c r="GA116" s="492" t="str">
        <f>IF(A116=FALSE,"",Cotations!D116)</f>
        <v/>
      </c>
      <c r="GB116" s="494" t="str">
        <f>IF(A116=FALSE,"",IF(LISTES!$A$17=1,Cotations!AO116,Cotations!AP116))</f>
        <v/>
      </c>
      <c r="GC116" s="284" t="str">
        <f t="shared" si="892"/>
        <v/>
      </c>
      <c r="GD116" s="515" t="str">
        <f>IF(A116=FALSE,"",IF(Detail!AM116="","",Detail!AM116))</f>
        <v/>
      </c>
      <c r="GE116" s="284"/>
      <c r="GF116" s="284"/>
      <c r="GG116" s="284" t="str">
        <f t="shared" si="893"/>
        <v/>
      </c>
      <c r="GH116" s="515" t="str">
        <f>IF(A116=FALSE,"",IF(Cotations!AQ116="monthly",GG116/12*L116,GG116/365*M116))</f>
        <v/>
      </c>
      <c r="GI116" s="493" t="str">
        <f>IF(A116=FALSE,"",IF(Cotations!AR116="","",Cotations!AR116))</f>
        <v/>
      </c>
      <c r="GJ116" s="284" t="str">
        <f t="shared" si="894"/>
        <v/>
      </c>
      <c r="GK116" s="284" t="str">
        <f t="shared" si="895"/>
        <v/>
      </c>
      <c r="GL116" s="284" t="str">
        <f t="shared" si="896"/>
        <v/>
      </c>
      <c r="GM116" s="515" t="str">
        <f>IF(A116=FALSE,"",Cotations!AS116)</f>
        <v/>
      </c>
      <c r="GN116" s="515" t="str">
        <f>IF(A116=FALSE,"",Cotations!AT116)</f>
        <v/>
      </c>
      <c r="GO116" s="493" t="str">
        <f>IF(A116=FALSE,"",Cotations!AU116)</f>
        <v/>
      </c>
      <c r="GP116" s="515" t="str">
        <f>IF(A116=FALSE,"",IF(GM116="N/A",0,IF(INDEX(LISTES!$F$105:$F$109,MATCH(GM116,LISTES!$C$105:$C$109,0))="FIX",IF(INDEX(LISTES!$E$105:$E$109,MATCH(GM116,LISTES!$C$105:$C$109,0))=12,GN116/12*L116,GN116/365*M116),GO116*GL116)))</f>
        <v/>
      </c>
      <c r="GQ116" s="294" t="str">
        <f t="shared" si="897"/>
        <v/>
      </c>
      <c r="GR116" s="494" t="str">
        <f>IF(A116=FALSE,"",GQ116*Cotations!AV116)</f>
        <v/>
      </c>
      <c r="GS116" s="494" t="str">
        <f>IF(A116=FALSE,"",GQ116*Cotations!AW116)</f>
        <v/>
      </c>
      <c r="GT116" s="334" t="str">
        <f t="shared" si="898"/>
        <v/>
      </c>
      <c r="GU116" s="919" t="str">
        <f>IF(A116=FALSE,"",((GG116*TAXE)-(GG116*TAXE*GI116))+IF(GM116="N/A",0,IF(INDEX(LISTES!$F$105:$F$109,MATCH(GM116,LISTES!$C$105:$C$109,0))="FIX",GN116,GO116*GL116)))</f>
        <v/>
      </c>
      <c r="GV116" s="478"/>
      <c r="GW116" s="466"/>
      <c r="GX116" s="466"/>
      <c r="GY116" s="466"/>
      <c r="GZ116" s="466"/>
      <c r="HA116" s="492" t="str">
        <f>IF(A116=FALSE,"",Cotations!D116)</f>
        <v/>
      </c>
      <c r="HB116" s="495" t="str">
        <f>IF(A116=FALSE,"",IF(LISTES!$A$17=1,Cotations!AX116,Cotations!$AY$4))</f>
        <v/>
      </c>
      <c r="HC116" s="291" t="str">
        <f t="shared" si="899"/>
        <v/>
      </c>
      <c r="HD116" s="291" t="str">
        <f t="shared" si="900"/>
        <v/>
      </c>
      <c r="HE116" s="456" t="str">
        <f t="shared" si="901"/>
        <v/>
      </c>
      <c r="HF116" s="496" t="str">
        <f>IF(A116=FALSE,"",IF(HA116="POEA",Cotations!BA116,IF(HA116="FIXE",Cotations!$BA$4,Cotations!$BC$4*Y116)))</f>
        <v/>
      </c>
      <c r="HG116" s="300" t="str">
        <f t="shared" si="902"/>
        <v/>
      </c>
      <c r="HH116" s="522" t="str">
        <f>IF(A116=FALSE,"",IF(Cotations!$AZ$4="monthly",HG116/12*L116,HG116/365*M116))</f>
        <v/>
      </c>
      <c r="HI116" s="489" t="str">
        <f>IF(A116=FALSE,"",Cotations!$BD$4)</f>
        <v/>
      </c>
      <c r="HJ116" s="300" t="str">
        <f t="shared" si="903"/>
        <v/>
      </c>
      <c r="HK116" s="300" t="str">
        <f t="shared" si="904"/>
        <v/>
      </c>
      <c r="HL116" s="294" t="str">
        <f t="shared" si="905"/>
        <v/>
      </c>
      <c r="HM116" s="494" t="str">
        <f>IF(A116=FALSE,"",Cotations!$BE$4)</f>
        <v/>
      </c>
      <c r="HN116" s="522" t="str">
        <f>IF(A116=FALSE,"",Cotations!$BF$4)</f>
        <v/>
      </c>
      <c r="HO116" s="489" t="str">
        <f>IF(A116=FALSE,"",Cotations!$BG$4)</f>
        <v/>
      </c>
      <c r="HP116" s="494" t="str">
        <f>IF(A116=FALSE,"",IF(HM116="N/A",0,IF(INDEX(LISTES!$F$105:$F$109,MATCH(HM116,LISTES!$C$105:$C$109,0))="FIX",IF(INDEX(LISTES!$E$105:$E$109,MATCH(HM116,LISTES!$C$105:$C$109,0))=12,HN116/12*L116,HN116/365*M116),HO116*HL116)))</f>
        <v/>
      </c>
      <c r="HQ116" s="294" t="str">
        <f t="shared" si="906"/>
        <v/>
      </c>
      <c r="HR116" s="494" t="str">
        <f>IF(A116=FALSE,"",HQ116*Cotations!$BH$4)</f>
        <v/>
      </c>
      <c r="HS116" s="494" t="str">
        <f>IF(A116=FALSE,"",HQ116*Cotations!$BI$4)</f>
        <v/>
      </c>
      <c r="HT116" s="294" t="str">
        <f t="shared" si="907"/>
        <v/>
      </c>
      <c r="HU116" s="919" t="str">
        <f>IF(A116=FALSE,"",((HG116*TAXE)-(HG116*TAXE*HI116))+IF(HM116="N/A",0,IF(INDEX(LISTES!$F$105:$F$109,MATCH(HM116,LISTES!$C$105:$C$109,0))="FIX",HN116,HO116*HL116)))</f>
        <v/>
      </c>
      <c r="IA116" s="492" t="str">
        <f>IF(A116=FALSE,"",Cotations!D116)</f>
        <v/>
      </c>
      <c r="IB116" s="491" t="str">
        <f>IF(A116=FALSE,"",IF(LISTES!$A$17=1,Cotations!AX116,Cotations!AY116))</f>
        <v/>
      </c>
      <c r="IC116" s="285" t="str">
        <f t="shared" si="908"/>
        <v/>
      </c>
      <c r="ID116" s="300" t="str">
        <f>IF(A116=FALSE,"",IF(LISTES!$A$17=3,Detail!AU116,lig1_Formula_PREVOY))</f>
        <v/>
      </c>
      <c r="IE116" s="461" t="str">
        <f t="shared" si="909"/>
        <v/>
      </c>
      <c r="IF116" s="490" t="str">
        <f>IF(A116=FALSE,"",IF(IA116="POEA",Cotations!BA116,IF(HA116="FIXE",Cotations!BB116,IF(Cotations!BC116*Y116&lt;50000,Z116,Cotations!BC116*Y116))))</f>
        <v/>
      </c>
      <c r="IG116" s="300" t="str">
        <f t="shared" si="910"/>
        <v/>
      </c>
      <c r="IH116" s="522" t="str">
        <f>IF(A116=FALSE,"",IF(Cotations!AZ116="monthly",IG116/12*L116,IG116/365*M116))</f>
        <v/>
      </c>
      <c r="II116" s="489" t="str">
        <f>IF(A116=FALSE,"",IF(Cotations!BD116="","",Cotations!BD116))</f>
        <v/>
      </c>
      <c r="IJ116" s="300" t="str">
        <f t="shared" si="911"/>
        <v/>
      </c>
      <c r="IK116" s="300" t="str">
        <f t="shared" si="912"/>
        <v/>
      </c>
      <c r="IL116" s="919" t="str">
        <f t="shared" si="913"/>
        <v/>
      </c>
      <c r="IM116" s="517" t="str">
        <f>IF(A116=FALSE,"",Cotations!BE116)</f>
        <v/>
      </c>
      <c r="IN116" s="517" t="str">
        <f>IF(A116=FALSE,"",Cotations!BF116)</f>
        <v/>
      </c>
      <c r="IO116" s="493" t="str">
        <f>IF(A116=FALSE,"",Cotations!BG116)</f>
        <v/>
      </c>
      <c r="IP116" s="517" t="str">
        <f>IF(A116=FALSE,"",IF(IM116="N/A",0,IF(INDEX(LISTES!$F$105:$F$109,MATCH(IM116,LISTES!$C$105:$C$109,0))="FIX",IF(INDEX(LISTES!$E$105:$E$109,MATCH(IM116,LISTES!$C$105:$C$109,0))=12,IN116/12*L116,IN116/365*M116),IO116*IL116)))</f>
        <v/>
      </c>
      <c r="IQ116" s="294" t="str">
        <f t="shared" si="914"/>
        <v/>
      </c>
      <c r="IR116" s="494" t="str">
        <f>IF(A116=FALSE,"",IQ116*Cotations!BH116)</f>
        <v/>
      </c>
      <c r="IS116" s="494" t="str">
        <f>IF(A116=FALSE,"",IQ116*Cotations!BI116)</f>
        <v/>
      </c>
      <c r="IT116" s="338" t="str">
        <f t="shared" si="915"/>
        <v/>
      </c>
      <c r="IU116" s="919" t="str">
        <f>IF(A116=FALSE,"",((IG116*TAXE)-(IG116*TAXE*II116))+IF(IM116="N/A",0,IF(INDEX(LISTES!$F$105:$F$109,MATCH(IM116,LISTES!$C$105:$C$109,0))="FIX",IN116,IO116*IL116)))</f>
        <v/>
      </c>
      <c r="JA116" s="492" t="str">
        <f>IF(A116=FALSE,"",Cotations!D116)</f>
        <v/>
      </c>
      <c r="JB116" s="495" t="str">
        <f>IF(A116=FALSE,"",IF(LISTES!$A$17=1,Cotations!BJ116,Cotations!$BK$4))</f>
        <v/>
      </c>
      <c r="JC116" s="291" t="str">
        <f t="shared" si="916"/>
        <v/>
      </c>
      <c r="JD116" s="291" t="str">
        <f t="shared" si="917"/>
        <v/>
      </c>
      <c r="JE116" s="456" t="str">
        <f t="shared" si="918"/>
        <v/>
      </c>
      <c r="JF116" s="496" t="str">
        <f>IF(A116=FALSE,"",IF(JA116="POEA",Cotations!BM116,IF(JA116="FIXE",Cotations!$BM$4,Cotations!$BO$4*Y116)))</f>
        <v/>
      </c>
      <c r="JG116" s="300" t="str">
        <f t="shared" si="919"/>
        <v/>
      </c>
      <c r="JH116" s="522" t="str">
        <f>IF(A116=FALSE,"",IF(Cotations!$BL$4="monthly",JG116/12*L116,JG116/365*M116))</f>
        <v/>
      </c>
      <c r="JI116" s="489" t="str">
        <f>IF(A116=FALSE,"",Cotations!$BP$4)</f>
        <v/>
      </c>
      <c r="JJ116" s="300" t="str">
        <f t="shared" si="920"/>
        <v/>
      </c>
      <c r="JK116" s="300" t="str">
        <f t="shared" si="921"/>
        <v/>
      </c>
      <c r="JL116" s="294" t="str">
        <f t="shared" si="922"/>
        <v/>
      </c>
      <c r="JM116" s="494" t="str">
        <f>IF(A116=FALSE,"",Cotations!$BQ$4)</f>
        <v/>
      </c>
      <c r="JN116" s="522" t="str">
        <f>IF(A116=FALSE,"",Cotations!$BR$4)</f>
        <v/>
      </c>
      <c r="JO116" s="489" t="str">
        <f>IF(A116=FALSE,"",Cotations!$BS$4)</f>
        <v/>
      </c>
      <c r="JP116" s="494" t="str">
        <f>IF(A116=FALSE,"",IF(JM116="N/A",0,IF(INDEX(LISTES!$F$105:$F$109,MATCH(JM116,LISTES!$C$105:$C$109,0))="FIX",IF(INDEX(LISTES!$E$105:$E$109,MATCH(JM116,LISTES!$C$105:$C$109,0))=12,JN116/12*L116,JN116/365*M116),JO116*JL116)))</f>
        <v/>
      </c>
      <c r="JQ116" s="294" t="str">
        <f t="shared" si="923"/>
        <v/>
      </c>
      <c r="JR116" s="494" t="str">
        <f>IF(A116=FALSE,"",JQ116*Cotations!$BT$4)</f>
        <v/>
      </c>
      <c r="JS116" s="494" t="str">
        <f>IF(A116=FALSE,"",JQ116*Cotations!$BU$4)</f>
        <v/>
      </c>
      <c r="JT116" s="294" t="str">
        <f t="shared" si="924"/>
        <v/>
      </c>
      <c r="JU116" s="919" t="str">
        <f>IF(A116=FALSE,"",((JG116*TAXE)-(JG116*TAXE*JI116))+IF(JM116="N/A",0,IF(INDEX(LISTES!$F$105:$F$109,MATCH(JM116,LISTES!$C$105:$C$109,0))="FIX",JN116,JO116*JL116)))</f>
        <v/>
      </c>
      <c r="KA116" s="492" t="str">
        <f>IF(A116=FALSE,"",Cotations!D116)</f>
        <v/>
      </c>
      <c r="KB116" s="491" t="str">
        <f>IF(A116=FALSE,"",IF(LISTES!$A$17=1,Cotations!BJ116,Cotations!BK116))</f>
        <v/>
      </c>
      <c r="KC116" s="285" t="str">
        <f t="shared" si="925"/>
        <v/>
      </c>
      <c r="KD116" s="300"/>
      <c r="KE116" s="461" t="str">
        <f t="shared" si="926"/>
        <v/>
      </c>
      <c r="KF116" s="490" t="str">
        <f>IF(A116=FALSE,"",IF(KA116="POEA",Cotations!BM116,IF(KA116="FIXE",Cotations!BN116,IF(Cotations!BO116*Y116&lt;50000,Z116,Cotations!BO116*Y116))))</f>
        <v/>
      </c>
      <c r="KG116" s="300" t="str">
        <f t="shared" si="927"/>
        <v/>
      </c>
      <c r="KH116" s="522" t="str">
        <f>IF(A116=FALSE,"",IF(Cotations!BL116="monthly",KG116/12*L116,KG116/365*M116))</f>
        <v/>
      </c>
      <c r="KI116" s="489" t="str">
        <f>IF(A116=FALSE,"",IF(Cotations!BP116="","",Cotations!BP116))</f>
        <v/>
      </c>
      <c r="KJ116" s="300" t="str">
        <f t="shared" si="928"/>
        <v/>
      </c>
      <c r="KK116" s="300" t="str">
        <f t="shared" si="929"/>
        <v/>
      </c>
      <c r="KL116" s="919" t="str">
        <f t="shared" si="930"/>
        <v/>
      </c>
      <c r="KM116" s="517" t="str">
        <f>IF(A116=FALSE,"",Cotations!BQ116)</f>
        <v/>
      </c>
      <c r="KN116" s="515" t="str">
        <f>IF(A116=FALSE,"",Cotations!BR116)</f>
        <v/>
      </c>
      <c r="KO116" s="493" t="str">
        <f>IF(A116=FALSE,"",Cotations!BS116)</f>
        <v/>
      </c>
      <c r="KP116" s="517" t="str">
        <f>IF(A116=FALSE,"",IF(KM116="N/A",0,IF(INDEX(LISTES!$F$105:$F$109,MATCH(KM116,LISTES!$C$105:$C$109,0))="FIX",IF(INDEX(LISTES!$E$105:$E$109,MATCH(KM116,LISTES!$C$105:$C$109,0))=12,KN116/12*L116,KN116/365*M116),KO116*KL116)))</f>
        <v/>
      </c>
      <c r="KQ116" s="294" t="str">
        <f t="shared" si="931"/>
        <v/>
      </c>
      <c r="KR116" s="494" t="str">
        <f>IF(A116=FALSE,"",KQ116*Cotations!BT116)</f>
        <v/>
      </c>
      <c r="KS116" s="494" t="str">
        <f>IF(A116=FALSE,"",KQ116*Cotations!BU116)</f>
        <v/>
      </c>
      <c r="KT116" s="338" t="str">
        <f t="shared" si="932"/>
        <v/>
      </c>
      <c r="KU116" s="919" t="str">
        <f>IF(A116=FALSE,"",((KG116*TAXE)-(KG116*TAXE*KI116))+IF(KM116="N/A",0,IF(INDEX(LISTES!$F$105:$F$109,MATCH(KM116,LISTES!$C$105:$C$109,0))="FIX",KN116,KO116*KL116)))</f>
        <v/>
      </c>
      <c r="LA116" s="497" t="str">
        <f>IF(A116=FALSE,"",Cotations!D116)</f>
        <v/>
      </c>
      <c r="LB116" s="498" t="str">
        <f>IF(A116=FALSE,"",IF(LISTES!$A$17=1,Cotations!BV116,Cotations!$BW$4))</f>
        <v/>
      </c>
      <c r="LC116" s="499" t="str">
        <f t="shared" si="933"/>
        <v/>
      </c>
      <c r="LD116" s="499" t="str">
        <f t="shared" si="934"/>
        <v/>
      </c>
      <c r="LE116" s="500" t="str">
        <f t="shared" si="935"/>
        <v/>
      </c>
      <c r="LF116" s="501" t="str">
        <f>IF(A116=FALSE,"",IF(LA116="POEA",Cotations!EJ116,IF(LA116="FIXE",Cotations!$BY$4,Cotations!$CA$4*Y116)))</f>
        <v/>
      </c>
      <c r="LG116" s="502" t="str">
        <f t="shared" si="936"/>
        <v/>
      </c>
      <c r="LH116" s="520" t="str">
        <f>IF(A116=FALSE,"",IF(Cotations!$BX$4="monthly",LG116/12*L116,LG116/365*M116))</f>
        <v/>
      </c>
      <c r="LI116" s="503" t="str">
        <f>IF(A116=FALSE,"",Cotations!$CB$4)</f>
        <v/>
      </c>
      <c r="LJ116" s="502" t="str">
        <f t="shared" si="937"/>
        <v/>
      </c>
      <c r="LK116" s="502" t="str">
        <f t="shared" si="938"/>
        <v/>
      </c>
      <c r="LL116" s="504" t="str">
        <f t="shared" si="939"/>
        <v/>
      </c>
      <c r="LM116" s="505" t="str">
        <f>IF(A116=FALSE,"",Cotations!$CC$4)</f>
        <v/>
      </c>
      <c r="LN116" s="503" t="str">
        <f>IF(A116=FALSE,"",Cotations!$CD$4)</f>
        <v/>
      </c>
      <c r="LO116" s="503" t="str">
        <f>IF(A116=FALSE,"",Cotations!$CE$4)</f>
        <v/>
      </c>
      <c r="LP116" s="505" t="str">
        <f>IF(A116=FALSE,"",IF(LM116="N/A",0,IF(INDEX(LISTES!$F$105:$F$109,MATCH(LM116,LISTES!$C$105:$C$109,0))="FIX",IF(INDEX(LISTES!$E$105:$E$109,MATCH(LM116,LISTES!$C$105:$C$109,0))=12,LN116/12*L116,LN116/365*M116),LO116*LL116)))</f>
        <v/>
      </c>
      <c r="LQ116" s="504" t="str">
        <f t="shared" si="940"/>
        <v/>
      </c>
      <c r="LR116" s="505" t="str">
        <f>IF(A116=FALSE,"",LQ116*Cotations!$CF$4)</f>
        <v/>
      </c>
      <c r="LS116" s="505" t="str">
        <f>IF(A116=FALSE,"",LQ116*Cotations!$CG$4)</f>
        <v/>
      </c>
      <c r="LT116" s="506" t="str">
        <f t="shared" si="941"/>
        <v/>
      </c>
      <c r="LU116" s="919" t="str">
        <f>IF(A116=FALSE,"",((LG116*TAXE)-(LG116*TAXE*LI116))+IF(LM116="N/A",0,IF(INDEX(LISTES!$F$105:$F$109,MATCH(LM116,LISTES!$C$105:$C$109,0))="FIX",LN116,LO116*LL116)))</f>
        <v/>
      </c>
      <c r="MA116" s="492" t="str">
        <f>IF(A116=FALSE,"",Cotations!D116)</f>
        <v/>
      </c>
      <c r="MB116" s="491" t="str">
        <f>IF(A116=FALSE,"",IF(LISTES!$A$17=1,Cotations!BV116,Cotations!BW116))</f>
        <v/>
      </c>
      <c r="MC116" s="285" t="str">
        <f t="shared" si="942"/>
        <v/>
      </c>
      <c r="MD116" s="300"/>
      <c r="ME116" s="461" t="str">
        <f t="shared" si="943"/>
        <v/>
      </c>
      <c r="MF116" s="490" t="str">
        <f>IF(A116=FALSE,"",IF(MA116="POEA",Cotations!BY116,IF(MA116="FIXE",Cotations!BZ116,IF(Cotations!CA116*Y116&lt;50000,Z116,Cotations!CA116*Y116))))</f>
        <v/>
      </c>
      <c r="MG116" s="300" t="str">
        <f t="shared" si="944"/>
        <v/>
      </c>
      <c r="MH116" s="522" t="str">
        <f>IF(A116=FALSE,"",IF(Cotations!BX116="monthly",MG116/12*L116,MG116/365*M116))</f>
        <v/>
      </c>
      <c r="MI116" s="489" t="str">
        <f>IF(A116=FALSE,"",IF(Cotations!CB116="","",Cotations!CB116))</f>
        <v/>
      </c>
      <c r="MJ116" s="300" t="str">
        <f t="shared" si="945"/>
        <v/>
      </c>
      <c r="MK116" s="300" t="str">
        <f t="shared" si="946"/>
        <v/>
      </c>
      <c r="ML116" s="919" t="str">
        <f t="shared" si="947"/>
        <v/>
      </c>
      <c r="MM116" s="517" t="str">
        <f>IF(A116=FALSE,"",Cotations!CC116)</f>
        <v/>
      </c>
      <c r="MN116" s="515" t="str">
        <f>IF(A116=FALSE,"",Cotations!CD116)</f>
        <v/>
      </c>
      <c r="MO116" s="493" t="str">
        <f>IF(A116=FALSE,"",Cotations!CE116)</f>
        <v/>
      </c>
      <c r="MP116" s="517" t="str">
        <f>IF(A116=FALSE,"",IF(MM116="N/A",0,IF(INDEX(LISTES!$F$105:$F$109,MATCH(MM116,LISTES!$C$105:$C$109,0))="FIX",IF(INDEX(LISTES!$E$105:$E$109,MATCH(MM116,LISTES!$C$105:$C$109,0))=12,MN116/12*L116,MN116/365*M116),MO116*ML116)))</f>
        <v/>
      </c>
      <c r="MQ116" s="294" t="str">
        <f t="shared" si="948"/>
        <v/>
      </c>
      <c r="MR116" s="494" t="str">
        <f>IF(A116=FALSE,"",MQ116*Cotations!CF116)</f>
        <v/>
      </c>
      <c r="MS116" s="494" t="str">
        <f>IF(A116=FALSE,"",MQ116*Cotations!CG116)</f>
        <v/>
      </c>
      <c r="MT116" s="338" t="str">
        <f t="shared" si="949"/>
        <v/>
      </c>
      <c r="MU116" s="919" t="str">
        <f>IF(A116=FALSE,"",((MG116*TAXE)-(MG116*TAXE*MI116))+IF(MM116="N/A",0,IF(INDEX(LISTES!$F$105:$F$109,MATCH(MM116,LISTES!$C$105:$C$109,0))="FIX",MN116,MO116*ML116)))</f>
        <v/>
      </c>
      <c r="NA116" s="497" t="str">
        <f>IF(A116=FALSE,"",Cotations!D116)</f>
        <v/>
      </c>
      <c r="NB116" s="498" t="str">
        <f>IF(A116=FALSE,"",IF(LISTES!$A$17=1,Cotations!CH116,Cotations!$CI$4))</f>
        <v/>
      </c>
      <c r="NC116" s="499" t="str">
        <f t="shared" si="950"/>
        <v/>
      </c>
      <c r="ND116" s="499" t="str">
        <f t="shared" si="951"/>
        <v/>
      </c>
      <c r="NE116" s="500" t="str">
        <f t="shared" si="952"/>
        <v/>
      </c>
      <c r="NF116" s="501" t="str">
        <f>IF(A116=FALSE,"",IF(NA116="POEA",Cotations!CK116,IF(NA116="FIXE",Cotations!$CK$4,Cotations!$CM$4*Y116)))</f>
        <v/>
      </c>
      <c r="NG116" s="502" t="str">
        <f t="shared" si="953"/>
        <v/>
      </c>
      <c r="NH116" s="520" t="str">
        <f>IF(A116=FALSE,"",IF(Cotations!$CJ$4="monthly",NG116/12*L116,NG116/365*M116))</f>
        <v/>
      </c>
      <c r="NI116" s="503" t="str">
        <f>IF(A116=FALSE,"",Cotations!$CN$4)</f>
        <v/>
      </c>
      <c r="NJ116" s="502" t="str">
        <f t="shared" si="954"/>
        <v/>
      </c>
      <c r="NK116" s="502" t="str">
        <f t="shared" si="955"/>
        <v/>
      </c>
      <c r="NL116" s="504" t="str">
        <f t="shared" si="956"/>
        <v/>
      </c>
      <c r="NM116" s="505" t="str">
        <f>IF(A116=FALSE,"",Cotations!$CO$4)</f>
        <v/>
      </c>
      <c r="NN116" s="520" t="str">
        <f>IF(A116=FALSE,"",Cotations!$CP$4)</f>
        <v/>
      </c>
      <c r="NO116" s="503" t="str">
        <f>IF(A116=FALSE,"",Cotations!$CQ$4)</f>
        <v/>
      </c>
      <c r="NP116" s="505" t="str">
        <f>IF(A116=FALSE,"",IF(NM116="N/A",0,IF(INDEX(LISTES!$F$105:$F$109,MATCH(NM116,LISTES!$C$105:$C$109,0))="FIX",IF(INDEX(LISTES!$E$105:$E$109,MATCH(NM116,LISTES!$C$105:$C$109,0))=12,NN116/12*L116,NN116/365*M116),NO116*NL116)))</f>
        <v/>
      </c>
      <c r="NQ116" s="504" t="str">
        <f t="shared" si="957"/>
        <v/>
      </c>
      <c r="NR116" s="505" t="str">
        <f>IF(A116=FALSE,"",NQ116*Cotations!$CR$4)</f>
        <v/>
      </c>
      <c r="NS116" s="505" t="str">
        <f>IF(A116=FALSE,"",NQ116*Cotations!$CS$4)</f>
        <v/>
      </c>
      <c r="NT116" s="506" t="str">
        <f t="shared" si="958"/>
        <v/>
      </c>
      <c r="NU116" s="919" t="str">
        <f>IF(A116=FALSE,"",((NG116*TAXE)-(NG116*TAXE*NI116))+IF(NM116="N/A",0,IF(INDEX(LISTES!$F$105:$F$109,MATCH(NM116,LISTES!$C$105:$C$109,0))="FIX",NN116,NO116*NL116)))</f>
        <v/>
      </c>
      <c r="OA116" s="492" t="str">
        <f>IF(A116=FALSE,"",Cotations!D116)</f>
        <v/>
      </c>
      <c r="OB116" s="491" t="str">
        <f>IF(A116=FALSE,"",IF(LISTES!$A$17=1,Cotations!CH116,Cotations!CI116))</f>
        <v/>
      </c>
      <c r="OC116" s="285" t="str">
        <f t="shared" si="959"/>
        <v/>
      </c>
      <c r="OD116" s="300"/>
      <c r="OE116" s="461" t="str">
        <f t="shared" si="960"/>
        <v/>
      </c>
      <c r="OF116" s="490" t="str">
        <f>IF(A116=FALSE,"",IF(OA116="POEA",Cotations!CK116,IF(OA116="FIXE",Cotations!CL116,IF(Cotations!CM116*Y116&lt;50000,Z116,Cotations!CM116*Y116))))</f>
        <v/>
      </c>
      <c r="OG116" s="300" t="str">
        <f t="shared" si="961"/>
        <v/>
      </c>
      <c r="OH116" s="522" t="str">
        <f>IF(A116=FALSE,"",IF(Cotations!CJ116="monthly",OG116/12*L116,OG116/365*M116))</f>
        <v/>
      </c>
      <c r="OI116" s="489" t="str">
        <f>IF(A116=FALSE,"",IF(Cotations!CN116="","",Cotations!CN116))</f>
        <v/>
      </c>
      <c r="OJ116" s="300" t="str">
        <f t="shared" si="962"/>
        <v/>
      </c>
      <c r="OK116" s="300" t="str">
        <f t="shared" si="963"/>
        <v/>
      </c>
      <c r="OL116" s="919" t="str">
        <f t="shared" si="964"/>
        <v/>
      </c>
      <c r="OM116" s="517" t="str">
        <f>IF(A116=FALSE,"",Cotations!CO116)</f>
        <v/>
      </c>
      <c r="ON116" s="515" t="str">
        <f>IF(A116=FALSE,"",Cotations!CP116)</f>
        <v/>
      </c>
      <c r="OO116" s="493" t="str">
        <f>IF(A116=FALSE,"",Cotations!CQ116)</f>
        <v/>
      </c>
      <c r="OP116" s="517" t="str">
        <f>IF(A116=FALSE,"",IF(OM116="N/A",0,IF(INDEX(LISTES!$F$105:$F$109,MATCH(OM116,LISTES!$C$105:$C$109,0))="FIX",IF(INDEX(LISTES!$E$105:$E$109,MATCH(OM116,LISTES!$C$105:$C$109,0))=12,ON116/12*L116,ON116/365*M116),OO116*OL116)))</f>
        <v/>
      </c>
      <c r="OQ116" s="294" t="str">
        <f t="shared" si="965"/>
        <v/>
      </c>
      <c r="OR116" s="494" t="str">
        <f>IF(A116=FALSE,"",OQ116*Cotations!CR116)</f>
        <v/>
      </c>
      <c r="OS116" s="494" t="str">
        <f>IF(A116=FALSE,"",OQ116*Cotations!CS116)</f>
        <v/>
      </c>
      <c r="OT116" s="338" t="str">
        <f t="shared" si="966"/>
        <v/>
      </c>
      <c r="OU116" s="919" t="str">
        <f>IF(A116=FALSE,"",((OG116*TAXE)-(OG116*TAXE*OI116))+IF(OM116="N/A",0,IF(INDEX(LISTES!$F$105:$F$109,MATCH(OM116,LISTES!$C$105:$C$109,0))="FIX",ON116,OO116*OL116)))</f>
        <v/>
      </c>
      <c r="PA116" s="497" t="str">
        <f t="shared" si="967"/>
        <v/>
      </c>
      <c r="PB116" s="498" t="str">
        <f>IF(A116=FALSE,"",IF(LISTES!$A$17=1,Cotations!CT116,Cotations!$CU$4))</f>
        <v/>
      </c>
      <c r="PC116" s="499" t="str">
        <f t="shared" si="968"/>
        <v/>
      </c>
      <c r="PD116" s="499" t="str">
        <f t="shared" si="969"/>
        <v/>
      </c>
      <c r="PE116" s="500" t="str">
        <f t="shared" si="970"/>
        <v/>
      </c>
      <c r="PF116" s="501" t="str">
        <f>IF(A116=FALSE,"",Cotations!$CY$4*Y116)</f>
        <v/>
      </c>
      <c r="PG116" s="502" t="str">
        <f t="shared" si="971"/>
        <v/>
      </c>
      <c r="PH116" s="520" t="str">
        <f>IF(A116=FALSE,"",IF(Cotations!$CV$4="monthly",PG116/12*L116,PG116/365*M116))</f>
        <v/>
      </c>
      <c r="PI116" s="503" t="str">
        <f>IF(A116=FALSE,"",Cotations!$CZ$4)</f>
        <v/>
      </c>
      <c r="PJ116" s="502" t="str">
        <f t="shared" si="972"/>
        <v/>
      </c>
      <c r="PK116" s="502" t="str">
        <f t="shared" si="973"/>
        <v/>
      </c>
      <c r="PL116" s="504" t="str">
        <f t="shared" si="974"/>
        <v/>
      </c>
      <c r="PM116" s="505" t="str">
        <f>IF(A116=FALSE,"",Cotations!$DA$4)</f>
        <v/>
      </c>
      <c r="PN116" s="520" t="str">
        <f>IF(A116=FALSE,"",Cotations!$DB$4)</f>
        <v/>
      </c>
      <c r="PO116" s="503" t="str">
        <f>IF(A116=FALSE,"",Cotations!$DC$4)</f>
        <v/>
      </c>
      <c r="PP116" s="505" t="str">
        <f>IF(A116=FALSE,"",IF(PM116="N/A",0,IF(INDEX(LISTES!$F$105:$F$109,MATCH(PM116,LISTES!$C$105:$C$109,0))="FIX",IF(INDEX(LISTES!$E$105:$E$109,MATCH(PM116,LISTES!$C$105:$C$109,0))=12,PN116/12*L116,PN116/365*M116),PO116*PL116)))</f>
        <v/>
      </c>
      <c r="PQ116" s="504" t="str">
        <f t="shared" si="975"/>
        <v/>
      </c>
      <c r="PR116" s="505" t="str">
        <f>IF(A116=FALSE,"",PQ116*Cotations!$DD$4)</f>
        <v/>
      </c>
      <c r="PS116" s="505" t="str">
        <f>IF(A116=FALSE,"",PQ116*Cotations!$DE$4)</f>
        <v/>
      </c>
      <c r="PT116" s="506" t="str">
        <f t="shared" si="976"/>
        <v/>
      </c>
      <c r="PU116" s="919" t="str">
        <f>IF(A116=FALSE,"",((PG116*TAXE)-(PG116*TAXE*PI116))+IF(PM116="N/A",0,IF(INDEX(LISTES!$F$105:$F$109,MATCH(PM116,LISTES!$C$105:$C$109,0))="FIX",PN116,PO116*PL116)))</f>
        <v/>
      </c>
      <c r="QA116" s="492" t="str">
        <f t="shared" si="977"/>
        <v/>
      </c>
      <c r="QB116" s="491" t="str">
        <f>IF(A116=FALSE,"",IF(LISTES!$A$17=1,Cotations!CT116,Cotations!CU116))</f>
        <v/>
      </c>
      <c r="QC116" s="285" t="str">
        <f t="shared" si="978"/>
        <v/>
      </c>
      <c r="QD116" s="300"/>
      <c r="QE116" s="461" t="str">
        <f t="shared" si="979"/>
        <v/>
      </c>
      <c r="QF116" s="490" t="str">
        <f>IF(A116=FALSE,"",Cotations!CY116*AA116)</f>
        <v/>
      </c>
      <c r="QG116" s="300" t="str">
        <f t="shared" si="980"/>
        <v/>
      </c>
      <c r="QH116" s="522" t="str">
        <f>IF(A116=FALSE,"",IF(Cotations!CV116="monthly",QG116/12*L116,QG116/365*M116))</f>
        <v/>
      </c>
      <c r="QI116" s="489" t="str">
        <f>IF(A116=FALSE,"",IF(Cotations!CZ116="","",Cotations!CZ116))</f>
        <v/>
      </c>
      <c r="QJ116" s="300" t="str">
        <f t="shared" si="981"/>
        <v/>
      </c>
      <c r="QK116" s="300" t="str">
        <f t="shared" si="982"/>
        <v/>
      </c>
      <c r="QL116" s="919" t="str">
        <f t="shared" si="983"/>
        <v/>
      </c>
      <c r="QM116" s="517" t="str">
        <f>IF(A116=FALSE,"",Cotations!DA116)</f>
        <v/>
      </c>
      <c r="QN116" s="515" t="str">
        <f>IF(A116=FALSE,"",Cotations!DB116)</f>
        <v/>
      </c>
      <c r="QO116" s="493" t="str">
        <f>IF(A116=FALSE,"",Cotations!DC116)</f>
        <v/>
      </c>
      <c r="QP116" s="517" t="str">
        <f>IF(A116=FALSE,"",IF(QM116="N/A",0,IF(INDEX(LISTES!$F$105:$F$109,MATCH(QM116,LISTES!$C$105:$C$109,0))="FIX",IF(INDEX(LISTES!$E$105:$E$109,MATCH(QM116,LISTES!$C$105:$C$109,0))=12,QN116/12*L116,QN116/365*M116),QO116*QL116)))</f>
        <v/>
      </c>
      <c r="QQ116" s="294" t="str">
        <f t="shared" si="984"/>
        <v/>
      </c>
      <c r="QR116" s="494" t="str">
        <f>IF(A116=FALSE,"",QQ116*Cotations!DD116)</f>
        <v/>
      </c>
      <c r="QS116" s="494" t="str">
        <f>IF(A116=FALSE,"",QQ116*Cotations!DE116)</f>
        <v/>
      </c>
      <c r="QT116" s="338" t="str">
        <f t="shared" si="985"/>
        <v/>
      </c>
      <c r="QU116" s="919" t="str">
        <f>IF(A116=FALSE,"",((QG116*TAXE)-(QG116*TAXE*QI116))+IF(QM116="N/A",0,IF(INDEX(LISTES!$F$105:$F$109,MATCH(QM116,LISTES!$C$105:$C$109,0))="FIX",QN116,QO116*QL116)))</f>
        <v/>
      </c>
      <c r="RA116" s="497" t="str">
        <f t="shared" si="986"/>
        <v/>
      </c>
      <c r="RB116" s="498" t="str">
        <f>IF(A116=FALSE,"",IF(LISTES!$A$17=1,Cotations!DF116,Cotations!$DG$4))</f>
        <v/>
      </c>
      <c r="RC116" s="499" t="str">
        <f t="shared" si="987"/>
        <v/>
      </c>
      <c r="RD116" s="499" t="str">
        <f t="shared" si="988"/>
        <v/>
      </c>
      <c r="RE116" s="500" t="str">
        <f t="shared" si="989"/>
        <v/>
      </c>
      <c r="RF116" s="501" t="str">
        <f>IF(A116=FALSE,"",Cotations!$DK$4*Y116)</f>
        <v/>
      </c>
      <c r="RG116" s="502" t="str">
        <f t="shared" si="990"/>
        <v/>
      </c>
      <c r="RH116" s="520" t="str">
        <f>IF(A116=FALSE,"",IF(Cotations!$DH$4="monthly",RG116/12*L116,RG116/365*M116))</f>
        <v/>
      </c>
      <c r="RI116" s="503" t="str">
        <f>IF(A116=FALSE,"",Cotations!$DL$4)</f>
        <v/>
      </c>
      <c r="RJ116" s="502" t="str">
        <f t="shared" si="991"/>
        <v/>
      </c>
      <c r="RK116" s="502" t="str">
        <f t="shared" si="992"/>
        <v/>
      </c>
      <c r="RL116" s="504" t="str">
        <f t="shared" si="993"/>
        <v/>
      </c>
      <c r="RM116" s="505" t="str">
        <f>IF(A116=FALSE,"",Cotations!$DM$4)</f>
        <v/>
      </c>
      <c r="RN116" s="520" t="str">
        <f>IF(A116=FALSE,"",Cotations!$DN$4)</f>
        <v/>
      </c>
      <c r="RO116" s="503" t="str">
        <f>IF(A116=FALSE,"",Cotations!$DO$4)</f>
        <v/>
      </c>
      <c r="RP116" s="505" t="str">
        <f>IF(A116=FALSE,"",IF(RM116="N/A",0,IF(INDEX(LISTES!$F$105:$F$109,MATCH(RM116,LISTES!$C$105:$C$109,0))="FIX",IF(INDEX(LISTES!$E$105:$E$109,MATCH(RM116,LISTES!$C$105:$C$109,0))=12,RN116/12*L116,RN116/365*M116),RO116*RL116)))</f>
        <v/>
      </c>
      <c r="RQ116" s="504" t="str">
        <f t="shared" si="994"/>
        <v/>
      </c>
      <c r="RR116" s="505" t="str">
        <f>IF(A116=FALSE,"",RQ116*Cotations!$DP$4)</f>
        <v/>
      </c>
      <c r="RS116" s="505" t="str">
        <f>IF(A116=FALSE,"",RQ116*Cotations!$DQ$4)</f>
        <v/>
      </c>
      <c r="RT116" s="506" t="str">
        <f t="shared" si="995"/>
        <v/>
      </c>
      <c r="RU116" s="919" t="str">
        <f>IF(A116=FALSE,"",((RG116*TAXE)-(RG116*TAXE*RI116))+IF(RM116="N/A",0,IF(INDEX(LISTES!$F$105:$F$109,MATCH(RM116,LISTES!$C$105:$C$109,0))="FIX",RN116,RO116*RL116)))</f>
        <v/>
      </c>
      <c r="SA116" s="492" t="str">
        <f t="shared" si="996"/>
        <v/>
      </c>
      <c r="SB116" s="491" t="str">
        <f>IF(A116=FALSE,"",IF(LISTES!$A$17=1,Cotations!DF116,Cotations!DG116))</f>
        <v/>
      </c>
      <c r="SC116" s="285" t="str">
        <f t="shared" si="997"/>
        <v/>
      </c>
      <c r="SD116" s="300"/>
      <c r="SE116" s="461" t="str">
        <f t="shared" si="998"/>
        <v/>
      </c>
      <c r="SF116" s="490" t="str">
        <f>IF(A116=FALSE,"",Cotations!DK116*AA116)</f>
        <v/>
      </c>
      <c r="SG116" s="300" t="str">
        <f t="shared" si="999"/>
        <v/>
      </c>
      <c r="SH116" s="522" t="str">
        <f>IF(A116=FALSE,"",IF(Cotations!DH116="monthly",SG116/12*L116,SG116/365*M116))</f>
        <v/>
      </c>
      <c r="SI116" s="489" t="str">
        <f>IF(A116=FALSE,"",IF(Cotations!DL116="","",Cotations!DL116))</f>
        <v/>
      </c>
      <c r="SJ116" s="300" t="str">
        <f t="shared" si="1000"/>
        <v/>
      </c>
      <c r="SK116" s="300" t="str">
        <f t="shared" si="1001"/>
        <v/>
      </c>
      <c r="SL116" s="919" t="str">
        <f t="shared" si="1002"/>
        <v/>
      </c>
      <c r="SM116" s="285" t="str">
        <f>IF(A116=FALSE,"",Cotations!DM116)</f>
        <v/>
      </c>
      <c r="SN116" s="515" t="str">
        <f>IF(A116=FALSE,"",Cotations!DN116)</f>
        <v/>
      </c>
      <c r="SO116" s="493" t="str">
        <f>IF(A116=FALSE,"",Cotations!DO116)</f>
        <v/>
      </c>
      <c r="SP116" s="517" t="str">
        <f>IF(A116=FALSE,"",IF(SM116="N/A",0,IF(INDEX(LISTES!$F$105:$F$109,MATCH(SM116,LISTES!$C$105:$C$109,0))="FIX",IF(INDEX(LISTES!$E$105:$E$109,MATCH(SM116,LISTES!$C$105:$C$109,0))=12,SN116/12*L116,SN116/365*M116),SO116*SL116)))</f>
        <v/>
      </c>
      <c r="SQ116" s="294" t="str">
        <f t="shared" si="1003"/>
        <v/>
      </c>
      <c r="SR116" s="494" t="str">
        <f>IF(A116=FALSE,"",SQ116*Cotations!DP116)</f>
        <v/>
      </c>
      <c r="SS116" s="494" t="str">
        <f>IF(A116=FALSE,"",SQ116*Cotations!DQ116)</f>
        <v/>
      </c>
      <c r="ST116" s="338" t="str">
        <f t="shared" si="1004"/>
        <v/>
      </c>
      <c r="SU116" s="919" t="str">
        <f>IF(A116=FALSE,"",((SG116*TAXE)-(SG116*TAXE*SI116))+IF(SM116="N/A",0,IF(INDEX(LISTES!$F$105:$F$109,MATCH(SM116,LISTES!$C$105:$C$109,0))="FIX",SN116,SO116*SL116)))</f>
        <v/>
      </c>
      <c r="TA116" s="492" t="str">
        <f>IF(A116=FALSE,"",Cotations!D116)</f>
        <v/>
      </c>
      <c r="TB116" s="491" t="str">
        <f>IF(A116=FALSE,"",IF(LISTES!$A$17=1,Cotations!DR116,Cotations!DS116))</f>
        <v/>
      </c>
      <c r="TC116" s="285" t="str">
        <f t="shared" si="1005"/>
        <v/>
      </c>
      <c r="TD116" s="300" t="str">
        <f>IF(A116=FALSE,"",Detail!CQ116)</f>
        <v/>
      </c>
      <c r="TE116" s="461" t="str">
        <f t="shared" si="1006"/>
        <v/>
      </c>
      <c r="TF116" s="490" t="str">
        <f>IF(A116=FALSE,"",IF(TA116="FIXE",Cotations!DU116,Cotations!DV116*Y116))</f>
        <v/>
      </c>
      <c r="TG116" s="300" t="str">
        <f t="shared" si="1007"/>
        <v/>
      </c>
      <c r="TH116" s="522" t="str">
        <f>IF(A116=FALSE,"",IF(Cotations!DT116="monthly",TG116/12*L116,TG116/365*M116))</f>
        <v/>
      </c>
      <c r="TI116" s="489" t="str">
        <f>IF(A116=FALSE,"",IF(Cotations!DW116="","",Cotations!DW116))</f>
        <v/>
      </c>
      <c r="TJ116" s="300" t="str">
        <f t="shared" si="1008"/>
        <v/>
      </c>
      <c r="TK116" s="300" t="str">
        <f t="shared" si="1009"/>
        <v/>
      </c>
      <c r="TL116" s="919" t="str">
        <f t="shared" si="1010"/>
        <v/>
      </c>
      <c r="TM116" s="517" t="str">
        <f>IF(A116=FALSE,"",Cotations!DX116)</f>
        <v/>
      </c>
      <c r="TN116" s="517" t="str">
        <f>IF(A116=FALSE,"",Cotations!DY116)</f>
        <v/>
      </c>
      <c r="TO116" s="493" t="str">
        <f>IF(A116=FALSE,"",Cotations!DZ116)</f>
        <v/>
      </c>
      <c r="TP116" s="517" t="str">
        <f>IF(A116=FALSE,"",IF(TM116="N/A",0,IF(INDEX(LISTES!$F$105:$F$109,MATCH(TM116,LISTES!$C$105:$C$109,0))="FIX",IF(INDEX(LISTES!$E$105:$E$109,MATCH(TM116,LISTES!$C$105:$C$109,0))=12,TN116/12*L116,TN116/365*M116),TO116*TL116)))</f>
        <v/>
      </c>
      <c r="TQ116" s="294" t="str">
        <f t="shared" si="1011"/>
        <v/>
      </c>
      <c r="TR116" s="494" t="str">
        <f>IF(A116=FALSE,"",TQ116*Cotations!EA116)</f>
        <v/>
      </c>
      <c r="TS116" s="494" t="str">
        <f>IF(A116=FALSE,"",TQ116*Cotations!EB116)</f>
        <v/>
      </c>
      <c r="TT116" s="338" t="str">
        <f t="shared" si="1012"/>
        <v/>
      </c>
      <c r="TU116" s="919" t="str">
        <f>IF(A116=FALSE,"",((TG116*(1+TAXE)-(TG116*(1+TAXE)*TI116))+IF(TM116="N/A",0,IF(INDEX(LISTES!$F$105:$F$109,MATCH(TM116,LISTES!$C$105:$C$109,0))="FIX",TN116,TO116*TL116))))</f>
        <v/>
      </c>
      <c r="UA116" s="492" t="str">
        <f>IF(A116=FALSE,"",Cotations!D116)</f>
        <v/>
      </c>
      <c r="UB116" s="491" t="str">
        <f>IF(A116=FALSE,"",IF(LISTES!$A$17=1,Cotations!EC116,Cotations!ED116))</f>
        <v/>
      </c>
      <c r="UC116" s="285" t="str">
        <f t="shared" si="1013"/>
        <v/>
      </c>
      <c r="UD116" s="300" t="str">
        <f>IF(A116=FALSE,"",Detail!CY116)</f>
        <v/>
      </c>
      <c r="UE116" s="461" t="str">
        <f t="shared" si="1014"/>
        <v/>
      </c>
      <c r="UF116" s="490" t="str">
        <f>IF(A116=FALSE,"",IF(UA116="FIXE",Cotations!EF116,Cotations!EG116*Y116))</f>
        <v/>
      </c>
      <c r="UG116" s="300" t="str">
        <f t="shared" si="1015"/>
        <v/>
      </c>
      <c r="UH116" s="522" t="str">
        <f>IF(A116=FALSE,"",IF(Cotations!EE116="monthly",UG116/12*L116,UG116/365*M116))</f>
        <v/>
      </c>
      <c r="UI116" s="489" t="str">
        <f>IF(A116=FALSE,"",IF(Cotations!EH116="","",Cotations!EH116))</f>
        <v/>
      </c>
      <c r="UJ116" s="300" t="str">
        <f t="shared" si="1016"/>
        <v/>
      </c>
      <c r="UK116" s="300" t="str">
        <f t="shared" si="1017"/>
        <v/>
      </c>
      <c r="UL116" s="919" t="str">
        <f t="shared" si="1018"/>
        <v/>
      </c>
      <c r="UM116" s="517" t="str">
        <f>IF(A116=FALSE,"",Cotations!EI116)</f>
        <v/>
      </c>
      <c r="UN116" s="517" t="str">
        <f>IF(A116=FALSE,"",Cotations!EJ116)</f>
        <v/>
      </c>
      <c r="UO116" s="493" t="str">
        <f>IF(A116=FALSE,"",Cotations!EK116)</f>
        <v/>
      </c>
      <c r="UP116" s="517" t="str">
        <f>IF(A116=FALSE,"",IF(UM116="N/A",0,IF(INDEX(LISTES!$F$105:$F$109,MATCH(UM116,LISTES!$C$105:$C$109,0))="FIX",IF(INDEX(LISTES!$E$105:$E$109,MATCH(UM116,LISTES!$C$105:$C$109,0))=12,UN116/12*L116,UN116/365*M116),UO116*UL116)))</f>
        <v/>
      </c>
      <c r="UQ116" s="294" t="str">
        <f t="shared" si="1019"/>
        <v/>
      </c>
      <c r="UR116" s="494" t="str">
        <f>IF(A116=FALSE,"",UQ116*Cotations!EL116)</f>
        <v/>
      </c>
      <c r="US116" s="494" t="str">
        <f>IF(A116=FALSE,"",UQ116*Cotations!EM116)</f>
        <v/>
      </c>
      <c r="UT116" s="338" t="str">
        <f t="shared" si="1020"/>
        <v/>
      </c>
      <c r="UU116" s="919" t="str">
        <f>IF(A116=FALSE,"",((UG116*(1+TAXE)-(UG116*(1+TAXE)*UI116))+IF(UM116="N/A",0,IF(INDEX(LISTES!$F$105:$F$109,MATCH(UM116,LISTES!$C$105:$C$109,0))="FIX",UN116,UO116*UL116))))</f>
        <v/>
      </c>
      <c r="VA116" s="492" t="str">
        <f>IF(A116=FALSE,"",Cotations!D116)</f>
        <v/>
      </c>
      <c r="VB116" s="519" t="str">
        <f>IF(A116=FALSE,"",IF(LISTES!$A$17=1,Cotations!EN116,Cotations!EO116))</f>
        <v/>
      </c>
      <c r="VC116" s="291" t="str">
        <f t="shared" si="1021"/>
        <v/>
      </c>
      <c r="VD116" s="291" t="str">
        <f t="shared" si="1022"/>
        <v/>
      </c>
      <c r="VE116" s="291"/>
      <c r="VF116" s="463"/>
      <c r="VG116" s="463" t="str">
        <f t="shared" si="1023"/>
        <v/>
      </c>
      <c r="VH116" s="522" t="str">
        <f>IF(A116=FALSE,"",IF(Cotations!$AQ$4="monthly",VG116/12*L116,VG116/365*M116))</f>
        <v/>
      </c>
      <c r="VI116" s="489" t="str">
        <f>IF(A116=FALSE,"",Cotations!$AR$4)</f>
        <v/>
      </c>
      <c r="VJ116" s="300" t="str">
        <f t="shared" si="1024"/>
        <v/>
      </c>
      <c r="VK116" s="300" t="str">
        <f t="shared" si="1025"/>
        <v/>
      </c>
      <c r="VL116" s="294" t="str">
        <f t="shared" si="1026"/>
        <v/>
      </c>
      <c r="VM116" s="494" t="str">
        <f>IF(A116=FALSE,"",Cotations!$AS$4)</f>
        <v/>
      </c>
      <c r="VN116" s="494" t="str">
        <f>IF(A116=FALSE,"",Cotations!$AT$4)</f>
        <v/>
      </c>
      <c r="VO116" s="489" t="str">
        <f>IF(A116=FALSE,"",Cotations!$AU$4)</f>
        <v/>
      </c>
      <c r="VP116" s="494" t="str">
        <f>IF(A116=FALSE,"",IF(VM116="N/A",0,IF(INDEX(LISTES!$F$105:$F$109,MATCH(VM116,LISTES!$C$105:$C$109,0))="FIX",IF(INDEX(LISTES!$E$105:$E$109,MATCH(VM116,LISTES!$C$105:$C$109,0))=12,VN116/12*L116,VN116/365*M116),VO116*VL116)))</f>
        <v/>
      </c>
      <c r="VQ116" s="294" t="str">
        <f t="shared" si="1027"/>
        <v/>
      </c>
      <c r="VR116" s="494" t="str">
        <f>IF(A116=FALSE,"",VQ116*Cotations!$AV$4)</f>
        <v/>
      </c>
      <c r="VS116" s="494" t="str">
        <f>IF(A116=FALSE,"",VQ116*Cotations!$AW$4)</f>
        <v/>
      </c>
      <c r="VT116" s="465" t="str">
        <f t="shared" si="1028"/>
        <v/>
      </c>
      <c r="VU116" s="919" t="str">
        <f>IF(A116=FALSE,"",((VG116*TAXE)-(VG116*TAXE*VI116))+IF(VM116="N/A",0,IF(INDEX(LISTES!$F$105:$F$109,MATCH(VM116,LISTES!$C$105:$C$109,0))="FIX",VN116,VO116*VL116)))</f>
        <v/>
      </c>
      <c r="WA116" s="492" t="str">
        <f>IF(A116=FALSE,"",Cotations!D116)</f>
        <v/>
      </c>
      <c r="WB116" s="519" t="str">
        <f>IF(A116=FALSE,"",IF(LISTES!$A$17=1,Cotations!EW116,Cotations!EX116))</f>
        <v/>
      </c>
      <c r="WC116" s="291" t="str">
        <f t="shared" si="1029"/>
        <v/>
      </c>
      <c r="WD116" s="291" t="str">
        <f t="shared" si="1030"/>
        <v/>
      </c>
      <c r="WE116" s="291"/>
      <c r="WF116" s="463"/>
      <c r="WG116" s="463" t="str">
        <f t="shared" si="1031"/>
        <v/>
      </c>
      <c r="WH116" s="522" t="str">
        <f>IF(A116=FALSE,"",IF(Cotations!$AQ$4="monthly",WG116/12*L116,WG116/365*M116))</f>
        <v/>
      </c>
      <c r="WI116" s="489" t="str">
        <f>IF(A116=FALSE,"",Cotations!$AR$4)</f>
        <v/>
      </c>
      <c r="WJ116" s="300" t="str">
        <f t="shared" si="1032"/>
        <v/>
      </c>
      <c r="WK116" s="300" t="str">
        <f t="shared" si="1033"/>
        <v/>
      </c>
      <c r="WL116" s="294" t="str">
        <f t="shared" si="1034"/>
        <v/>
      </c>
      <c r="WM116" s="494" t="str">
        <f>IF(A116=FALSE,"",Cotations!$AS$4)</f>
        <v/>
      </c>
      <c r="WN116" s="494" t="str">
        <f>IF(A116=FALSE,"",Cotations!$AT$4)</f>
        <v/>
      </c>
      <c r="WO116" s="489" t="str">
        <f>IF(A116=FALSE,"",Cotations!$AU$4)</f>
        <v/>
      </c>
      <c r="WP116" s="494" t="str">
        <f>IF(A116=FALSE,"",IF(WM116="N/A",0,IF(INDEX(LISTES!$F$105:$F$109,MATCH(WM116,LISTES!$C$105:$C$109,0))="FIX",IF(INDEX(LISTES!$E$105:$E$109,MATCH(WM116,LISTES!$C$105:$C$109,0))=12,WN116/12*L116,WN116/365*M116),WO116*WL116)))</f>
        <v/>
      </c>
      <c r="WQ116" s="294" t="str">
        <f t="shared" si="1035"/>
        <v/>
      </c>
      <c r="WR116" s="494" t="str">
        <f>IF(A116=FALSE,"",WQ116*Cotations!$AV$4)</f>
        <v/>
      </c>
      <c r="WS116" s="494" t="str">
        <f>IF(A116=FALSE,"",WQ116*Cotations!$AW$4)</f>
        <v/>
      </c>
      <c r="WT116" s="465" t="str">
        <f t="shared" si="1036"/>
        <v/>
      </c>
      <c r="WU116" s="919" t="str">
        <f>IF(A116=FALSE,"",((WG116*TAXE)-(WG116*TAXE*WI116))+IF(WM116="N/A",0,IF(INDEX(LISTES!$F$105:$F$109,MATCH(WM116,LISTES!$C$105:$C$109,0))="FIX",WN116,WO116*WL116)))</f>
        <v/>
      </c>
    </row>
    <row r="117" spans="1:619">
      <c r="A117" s="942" t="b">
        <f t="shared" si="841"/>
        <v>0</v>
      </c>
      <c r="B117" s="942" t="b">
        <f>IF(NAMES!$B$9=TRUE,TRUE,FALSE)</f>
        <v>1</v>
      </c>
      <c r="C117" s="942" t="b">
        <f t="shared" si="825"/>
        <v>0</v>
      </c>
      <c r="D117" s="942" t="b">
        <f t="shared" si="826"/>
        <v>0</v>
      </c>
      <c r="E117" s="274" t="b">
        <f>IF(Cotations!C117="","",Cotations!C117)</f>
        <v>0</v>
      </c>
      <c r="F117" s="274" t="str">
        <f>IF(Cotations!D117="","",Cotations!D117)</f>
        <v>PROP</v>
      </c>
      <c r="G117" s="274" t="str">
        <f>IF(Cotations!E117="","",Cotations!E117)</f>
        <v>2016-2017!</v>
      </c>
      <c r="H117" s="274" t="str">
        <f>IF(Cotations!F117="","",Cotations!F117)</f>
        <v/>
      </c>
      <c r="I117" s="274" t="str">
        <f>IF(Cotations!G117="","",Cotations!G117)</f>
        <v/>
      </c>
      <c r="J117" s="274" t="str">
        <f>IF(Cotations!H117="","",Cotations!H117)</f>
        <v/>
      </c>
      <c r="K117" s="274" t="str">
        <f>IF(Cotations!I117="","",Cotations!I117)</f>
        <v/>
      </c>
      <c r="L117" s="274" t="str">
        <f>IF(A117=FALSE,"",IF(Cotations!N117="","",Cotations!N117))</f>
        <v/>
      </c>
      <c r="M117" s="274" t="str">
        <f>IF(Cotations!P117="","",Cotations!P117)</f>
        <v/>
      </c>
      <c r="N117" s="724" t="str">
        <f>IF(NAMES!$B$10=TRUE,Cotations!J117,Cotations!L117)</f>
        <v/>
      </c>
      <c r="O117" s="724" t="str">
        <f>IF(NAMES!$B$10=TRUE,Cotations!K117,Cotations!M117)</f>
        <v/>
      </c>
      <c r="P117" s="943" t="str">
        <f t="shared" si="827"/>
        <v/>
      </c>
      <c r="Q117" s="724" t="str">
        <f>IF(A117=FALSE,"",IF(Crewlist!Y117="","",Crewlist!Y117))</f>
        <v/>
      </c>
      <c r="R117" s="78" t="str">
        <f>IF(Cotations!U117="","",Cotations!U117)</f>
        <v/>
      </c>
      <c r="S117" s="943" t="str">
        <f t="shared" si="828"/>
        <v/>
      </c>
      <c r="T117" s="919" t="str">
        <f>IF(A117=FALSE,"",VLOOKUP($U$15:$U$120,Currency!$A$2:$D$10,4,0)*Crewlist!N117)</f>
        <v/>
      </c>
      <c r="U117" s="1355" t="str">
        <f>IF(A117=FALSE,"",IF(IT117=0,Crewlist!M117&amp;"/"&amp;EX117,Crewlist!M117&amp;"/"&amp;IT117))</f>
        <v/>
      </c>
      <c r="V117" s="919" t="str">
        <f>IF(A117=FALSE,"",VLOOKUP($U$15:$U$120,Currency!$A$2:$D$10,4,0)*Detail!Q117)</f>
        <v/>
      </c>
      <c r="W117" s="1355" t="str">
        <f>IF(A117=FALSE,"",IF(IT117=0,Detail!R117&amp;"/"&amp;EX117,Detail!R117&amp;"/"&amp;IT117))</f>
        <v/>
      </c>
      <c r="X117" s="919" t="str">
        <f>IF(A117=FALSE,"",IF(LISTES!$C$17="Crewlist",Calcul!T117,Calcul!V117))</f>
        <v/>
      </c>
      <c r="Y117" s="758" t="str">
        <f t="shared" si="829"/>
        <v/>
      </c>
      <c r="Z117" s="758" t="str">
        <f>IF(A117=FALSE,"",IF(X117=0,0,IF((Cotations!BC117*12*X117)&lt;50000,50000,(12*X117))))</f>
        <v/>
      </c>
      <c r="AA117" s="758" t="str">
        <f t="shared" si="830"/>
        <v/>
      </c>
      <c r="AB117" s="758" t="str">
        <f>IF(A117=FALSE,"",IF(Crewlist!O117=0,"",Crewlist!O117))</f>
        <v/>
      </c>
      <c r="AC117" s="758" t="str">
        <f>IF(I117="","",VLOOKUP($AB$15:$AB$120,Currency!$A$15:$B$34,2,0))</f>
        <v/>
      </c>
      <c r="AD117" s="758" t="str">
        <f t="shared" si="831"/>
        <v/>
      </c>
      <c r="AE117" s="758" t="str">
        <f t="shared" si="832"/>
        <v/>
      </c>
      <c r="AF117" s="758" t="str">
        <f t="shared" si="833"/>
        <v/>
      </c>
      <c r="AG117" s="758" t="str">
        <f t="shared" si="834"/>
        <v/>
      </c>
      <c r="AH117" s="1355" t="str">
        <f t="shared" si="842"/>
        <v/>
      </c>
      <c r="AI117" s="919" t="str">
        <f t="shared" si="835"/>
        <v/>
      </c>
      <c r="AJ117" s="1382" t="str">
        <f t="shared" si="836"/>
        <v/>
      </c>
      <c r="AK117" s="1382" t="str">
        <f t="shared" si="837"/>
        <v/>
      </c>
      <c r="AL117" s="238" t="str">
        <f t="shared" si="843"/>
        <v/>
      </c>
      <c r="AM117" s="238" t="str">
        <f t="shared" si="844"/>
        <v/>
      </c>
      <c r="AN117" s="1374" t="str">
        <f t="shared" si="845"/>
        <v/>
      </c>
      <c r="AO117" s="238" t="str">
        <f t="shared" si="846"/>
        <v/>
      </c>
      <c r="AP117" s="342" t="str">
        <f>IF(A117=FALSE,"",INDEX(Rates!$Z$5:$Z$367,MATCH(EB117,colchoice,0)))</f>
        <v/>
      </c>
      <c r="AQ117" s="238" t="str">
        <f t="shared" si="847"/>
        <v/>
      </c>
      <c r="AR117" s="238" t="str">
        <f t="shared" si="848"/>
        <v/>
      </c>
      <c r="AS117" s="238" t="str">
        <f t="shared" si="849"/>
        <v/>
      </c>
      <c r="AT117" s="238" t="str">
        <f t="shared" si="850"/>
        <v/>
      </c>
      <c r="AU117" s="238" t="str">
        <f t="shared" si="851"/>
        <v/>
      </c>
      <c r="AV117" s="238" t="str">
        <f t="shared" si="838"/>
        <v/>
      </c>
      <c r="AW117" s="238" t="str">
        <f t="shared" si="852"/>
        <v/>
      </c>
      <c r="AX117" s="238" t="str">
        <f t="shared" si="853"/>
        <v/>
      </c>
      <c r="AY117" s="238" t="str">
        <f t="shared" si="854"/>
        <v/>
      </c>
      <c r="AZ117" s="238" t="str">
        <f t="shared" si="855"/>
        <v/>
      </c>
      <c r="BA117" s="238" t="str">
        <f t="shared" si="856"/>
        <v/>
      </c>
      <c r="BB117" s="552" t="str">
        <f t="shared" si="857"/>
        <v/>
      </c>
      <c r="BC117" s="347" t="str">
        <f t="shared" si="858"/>
        <v/>
      </c>
      <c r="BD117" s="239" t="str">
        <f t="shared" si="839"/>
        <v/>
      </c>
      <c r="BE117" s="239" t="str">
        <f>IF(A117=FALSE,"",IF(ALLTHESAME=TRUE,IF(DF117&lt;&gt;$BC$7,0,INDEX(DD117:DZ117,1,MATCH(Structure!$D$12,$DD$14:$DZ$14,0))),IF(EC117&lt;&gt;$BC$7,0,INDEX(EA117:EZ117,1,MATCH(Structure!$D$12,$EA$14:$EZ$14,0)))))</f>
        <v/>
      </c>
      <c r="BF117" s="239" t="str">
        <f>IF(A117=FALSE,"",IF(ALLTHESAME=TRUE,IF(FC117&lt;&gt;$BC$7,0,INDEX(FA117:FZ117,1,MATCH(Structure!$D$12,$FA$14:$FZ$14,0))),IF(GC117&lt;&gt;$BC$7,0,INDEX(GA117:GZ117,1,MATCH(Structure!$D$12,$GA$14:$GZ$14,0)))))</f>
        <v/>
      </c>
      <c r="BG117" s="239" t="str">
        <f>IF(A117=FALSE,"",IF(ALLTHESAME=TRUE,IF(VC117&lt;&gt;$BC$7,0,INDEX(VA117:VZ117,1,MATCH(Structure!$D$12,$VA$14:$VZ$14,0))),IF(VC117&lt;&gt;$BC$7,0,INDEX(VA117:VZ117,1,MATCH(Structure!$D$12,$VA$14:$VZ$14,0)))))</f>
        <v/>
      </c>
      <c r="BH117" s="239" t="str">
        <f>IF(A117=FALSE,"",IF(ALLTHESAME=TRUE,IF(WC117&lt;&gt;$BC$7,0,INDEX(WA117:WY117,1,MATCH(Structure!$D$12,$WA$14:$WZ$14,0))),IF(WC117&lt;&gt;$BC$7,0,INDEX(WA117:WZ117,1,MATCH(Structure!$D$12,$WA$14:$WZ$14,0)))))</f>
        <v/>
      </c>
      <c r="BI117" s="763" t="str">
        <f>IF(A117=FALSE,"",IF(ALLTHESAME=TRUE,IF(HC117&lt;&gt;$BC$7,0,INDEX(HA117:HZ117,1,MATCH(Structure!$D$12,$HA$14:$HZ$14,0)))+TK117,IF(IC117&lt;&gt;$BC$7,0,INDEX(IA117:IZ117,1,MATCH(Structure!$D$12,$IA$14:$IZ$14,0)))+TK117))</f>
        <v/>
      </c>
      <c r="BJ117" s="239" t="str">
        <f>IF(A117=FALSE,"",IF(ALLTHESAME=TRUE,IF(JC117&lt;&gt;$BC$7,0,INDEX(JA117:JZ117,1,MATCH(Structure!$D$12,$JA$14:$JZ$14,0))),IF(KC117&lt;&gt;$BC$7,0,INDEX(KA117:KZ117,1,MATCH(Structure!$D$12,$KA$14:$KZ$14,0)))))</f>
        <v/>
      </c>
      <c r="BK117" s="763" t="str">
        <f>IF(A117=FALSE,"",IF(ALLTHESAME=TRUE,IF(LC117&lt;&gt;$BC$7,0,INDEX(LA117:LZ117,1,MATCH(Structure!$D$12,$LA$14:$LZ$14,0)))+UK117,IF(MC117&lt;&gt;$BC$7,0,INDEX(MA117:MZ117,1,MATCH(Structure!$D$12,$MA$14:$MZ$14,0)))+UK117))</f>
        <v/>
      </c>
      <c r="BL117" s="239" t="str">
        <f>IF(A117=FALSE,"",IF(ALLTHESAME=TRUE,IF(NC117&lt;&gt;$BC$7,0,INDEX(NA117:NZ117,1,MATCH(Structure!$D$12,$NA$14:$NZ$14,0))),IF(OC117&lt;&gt;$BC$7,0,INDEX(OA117:OZ117,1,MATCH(Structure!$D$12,$OA$14:$OZ$14,0)))))</f>
        <v/>
      </c>
      <c r="BM117" s="239" t="str">
        <f>IF(A117=FALSE,"",IF(ALLTHESAME=TRUE,IF(PC117&lt;&gt;$BC$7,0,INDEX(PA117:PZ117,1,MATCH(Structure!$D$12,$PA$14:$PZ$14,0))),IF(QC117&lt;&gt;$BC$7,0,INDEX(QA117:QZ117,1,MATCH(Structure!$D$12,$QA$14:$QZ$14,0)))))</f>
        <v/>
      </c>
      <c r="BN117" s="341" t="str">
        <f>IF(A117=FALSE,"",IF(ALLTHESAME=TRUE,IF(RC117&lt;&gt;$BC$7,0,INDEX(RA117:RZ117,1,MATCH(Structure!$D$12,$RA$14:$RZ$14,0))),IF(SC117&lt;&gt;$BC$7,0,INDEX(SA117:TA117,1,MATCH(Structure!$D$12,$SA$14:$TA$14,0)))))</f>
        <v/>
      </c>
      <c r="BO117" s="507" t="str">
        <f t="shared" si="859"/>
        <v/>
      </c>
      <c r="BP117" s="239" t="str">
        <f t="shared" si="860"/>
        <v/>
      </c>
      <c r="BQ117" s="239" t="str">
        <f>IF(A117=FALSE,"",IF(ALLTHESAME=TRUE,IF(DF117&lt;&gt;$BO$7,0,INDEX(DD117:DZ117,1,MATCH(Structure!$D$12,$DD$14:$DZ$14,0))),IF(EC117&lt;&gt;$BO$7,0,INDEX(EA117:EZ117,1,MATCH(Structure!$D$12,$EA$14:$EZ$14,0)))))</f>
        <v/>
      </c>
      <c r="BR117" s="239" t="str">
        <f>IF(A117=FALSE,"",IF(ALLTHESAME=TRUE,IF(FC117&lt;&gt;$BO$7,0,INDEX(FA117:FZ117,1,MATCH(Structure!$D$12,$FA$14:$FZ$14,0))),IF(GC117&lt;&gt;$BO$7,0,INDEX(GA117:GZ117,1,MATCH(Structure!$D$12,$GA$14:$GZ$14,0)))))</f>
        <v/>
      </c>
      <c r="BS117" s="239" t="str">
        <f>IF(A117=FALSE,"",IF(ALLTHESAME=TRUE,IF(HC117&lt;&gt;$BO$7,0,INDEX(HA117:HZ117,1,MATCH(Structure!$D$12,$HA$14:$HZ$14,0))),IF(IC117&lt;&gt;$BO$7,0,INDEX(IA117:IZ117,1,MATCH(Structure!$D$12,$IA$14:$IZ$14,0)))))</f>
        <v/>
      </c>
      <c r="BT117" s="239" t="str">
        <f>IF(A117=FALSE,"",IF(ALLTHESAME=TRUE,IF(JC117&lt;&gt;$BO$7,0,INDEX(JA117:JZ117,1,MATCH(Structure!$D$12,$JA$14:$JZ$14,0))),IF(KC117&lt;&gt;$BO$7,0,INDEX(KA117:KZ117,1,MATCH(Structure!$D$12,$KA$14:$KZ$14,0)))))</f>
        <v/>
      </c>
      <c r="BU117" s="239" t="str">
        <f>IF(A117=FALSE,"",IF(ALLTHESAME=TRUE,IF(LC117&lt;&gt;$BO$7,0,INDEX(LA117:LZ117,1,MATCH(Structure!$D$12,$LA$14:$LZ$14,0))),IF(MC117&lt;&gt;$BO$7,0,INDEX(MA117:MZ117,1,MATCH(Structure!$D$12,$MA$14:$MZ$14,0)))))</f>
        <v/>
      </c>
      <c r="BV117" s="239" t="str">
        <f>IF(A117=FALSE,"",IF(ALLTHESAME=TRUE,IF(NC117&lt;&gt;$BO$7,0,INDEX(NA117:NZ117,1,MATCH(Structure!$D$12,$NA$14:$NZ$14,0))),IF(OC117&lt;&gt;$BO$7,0,INDEX(OA117:OZ117,1,MATCH(Structure!$D$12,$OA$14:$OZ$14,0)))))</f>
        <v/>
      </c>
      <c r="BW117" s="239" t="str">
        <f>IF(A117=FALSE,"",IF(ALLTHESAME=TRUE,IF(PC117&lt;&gt;$BO$7,0,INDEX(PA117:PZ117,1,MATCH(Structure!$D$12,$PA$14:$PZ$14,0))),IF(QC117&lt;&gt;$BO$7,0,INDEX(QA117:QZ117,1,MATCH(Structure!$D$12,$QA$14:$QZ$14,0)))))</f>
        <v/>
      </c>
      <c r="BX117" s="341" t="str">
        <f>IF(A117=FALSE,"",IF(ALLTHESAME=TRUE,IF(RC117&lt;&gt;$BO$7,0,INDEX(RA117:RZ117,1,MATCH(Structure!$D$12,$RA$14:$RZ$14,0))),IF(SC117&lt;&gt;$BO$7,0,INDEX(SA117:TA117,1,MATCH(Structure!$D$12,$SA$14:$TA$14,0)))))</f>
        <v/>
      </c>
      <c r="BY117" s="347" t="str">
        <f t="shared" si="861"/>
        <v/>
      </c>
      <c r="BZ117" s="507" t="str">
        <f t="shared" si="862"/>
        <v/>
      </c>
      <c r="CA117" s="239" t="str">
        <f t="shared" si="863"/>
        <v/>
      </c>
      <c r="CB117" s="239" t="str">
        <f>IF(A117=FALSE,"",IF(ALLTHESAME=TRUE,INDEX(DD117:DZ117,MATCH(DF117,DF117:DF222,0),MATCH(Structure!$D$17,$DD$14:$DZ$14,0)),INDEX(EA117:EZ117,MATCH(EC117,EC117:EC222,0),MATCH(Structure!$D$17,$EA$14:$EZ$14,0))))</f>
        <v/>
      </c>
      <c r="CC117" s="239" t="str">
        <f>IF(A117=FALSE,"",IF(ALLTHESAME=TRUE,INDEX(FA117:FZ117,MATCH(FC117,FC117:FC222,0),MATCH(Structure!$D$17,$FA$14:$FZ$14,0)),INDEX(GA117:GZ117,MATCH(GC117,GC117:GC222,0),MATCH(Structure!$D$17,$GA$14:$GZ$14,0))))</f>
        <v/>
      </c>
      <c r="CD117" s="239" t="str">
        <f>IF(A117=FALSE,"",IF(ALLTHESAME=TRUE,INDEX(HA117:HZ117,MATCH(HC117,HC117:HC222,0),MATCH(Structure!$D$17,$HA$14:$HZ$14,0)),INDEX(IA117:IZ117,MATCH(IC117,IC117:IC222,0),MATCH(Structure!$D$17,$IA$14:$IZ$14,0))))</f>
        <v/>
      </c>
      <c r="CE117" s="239" t="str">
        <f>IF(A117=FALSE,"",IF(ALLTHESAME=TRUE,INDEX(JA117:JZ117,MATCH(JC117,JC117:JC222,0),MATCH(Structure!$D$17,$JA$14:$JZ$14,0)),INDEX(KA117:KZ117,MATCH(KC117,KC117:KC222,0),MATCH(Structure!$D$17,$KA$14:$KZ$14,0))))</f>
        <v/>
      </c>
      <c r="CF117" s="239" t="str">
        <f>IF(A117=FALSE,"",IF(ALLTHESAME=TRUE,INDEX(LA117:LZ117,MATCH(LC117,LC117:LC222,0),MATCH(Structure!$D$17,$LA$14:$LZ$14,0)),INDEX(MA117:MZ117,MATCH(MC117,MC117:MC222,0),MATCH(Structure!$D$17,$MA$14:$MZ$14,0))))</f>
        <v/>
      </c>
      <c r="CG117" s="239" t="str">
        <f>IF(A117=FALSE,"",IF(ALLTHESAME=TRUE,INDEX(NA117:NZ117,MATCH(NC117,NC117:NC222,0),MATCH(Structure!$D$17,$NA$14:$NZ$14,0)),INDEX(OA117:OZ117,MATCH(OC117,OC117:OC222,0),MATCH(Structure!$D$17,$OA$14:$OZ$14,0))))</f>
        <v/>
      </c>
      <c r="CH117" s="239" t="str">
        <f>IF(A117=FALSE,"",IF(ALLTHESAME=TRUE,INDEX(PA117:PZ117,MATCH(PC117,PC117:PC222,0),MATCH(Structure!$D$17,$PA$14:$PZ$14,0)),INDEX(QA117:QZ117,MATCH(QC117,QC117:QC222,0),MATCH(Structure!$D$17,$QA$14:$QZ$14,0))))</f>
        <v/>
      </c>
      <c r="CI117" s="341" t="str">
        <f>IF(A117=FALSE,"",IF(ALLTHESAME=TRUE,INDEX(RA117:RZ117,MATCH(RC117,RC117:RC222,0),MATCH(Structure!$D$17,$RA$14:$RZ$14,0)),INDEX(SA117:TC117,MATCH(SC117,SC117:SC222,0),MATCH(Structure!$D$17,$SA$14:$TC$14,0))))</f>
        <v/>
      </c>
      <c r="CJ117" s="347"/>
      <c r="CK117" s="239" t="str">
        <f t="shared" si="864"/>
        <v/>
      </c>
      <c r="CL117" s="239" t="str">
        <f>IF(A117=FALSE,"",IF(ALLTHESAME=TRUE,INDEX(DD117:DZ117,MATCH(DF117,DF117:DF222,0),MATCH(Structure!$D$22,$DD$14:$DZ$14,0)),INDEX(EA117:EZ117,MATCH(EC117,EC117:EC222,0),MATCH(Structure!$D$22,$EA$14:$EZ$14,0))))</f>
        <v/>
      </c>
      <c r="CM117" s="239" t="str">
        <f>IF(A117=FALSE,"",IF(ALLTHESAME=TRUE,INDEX(FA117:FZ117,MATCH(FC117,FC117:FC222,0),MATCH(Structure!$D$22,$FA$14:$FZ$14,0)),INDEX(GA117:GZ117,MATCH(GC117,GC117:GC222,0),MATCH(Structure!$D$22,$GA$14:$GZ$14,0))))</f>
        <v/>
      </c>
      <c r="CN117" s="239" t="str">
        <f>IF(A117=FALSE,"",IF(ALLTHESAME=TRUE,INDEX(HA117:HZ117,MATCH(HC117,HC117:HC222,0),MATCH(Structure!$D$22,$HA$14:$HZ$14,0)),INDEX(IA117:IZ117,MATCH(IC117,IC117:IC222,0),MATCH(Structure!$D$22,$IA$14:$IZ$14,0))))</f>
        <v/>
      </c>
      <c r="CO117" s="239" t="str">
        <f>IF(A117=FALSE,"",IF(ALLTHESAME=TRUE,INDEX(JA117:JZ117,MATCH(JC117,JC117:JC222,0),MATCH(Structure!$D$22,$JA$14:$JZ$14,0)),INDEX(KA117:KZ117,MATCH(KC117,KC117:KC222,0),MATCH(Structure!$D$22,$KA$14:$KZ$14,0))))</f>
        <v/>
      </c>
      <c r="CP117" s="239" t="str">
        <f>IF(A117=FALSE,"",IF(ALLTHESAME=TRUE,INDEX(LA117:LZ117,MATCH(LC117,LC117:LC222,0),MATCH(Structure!$D$22,$LA$14:$LZ$14,0)),INDEX(MA117:MZ117,MATCH(MC117,MC117:MC222,0),MATCH(Structure!$D$22,$MA$14:$MZ$14,0))))</f>
        <v/>
      </c>
      <c r="CQ117" s="239" t="str">
        <f>IF(A117=FALSE,"",IF(ALLTHESAME=TRUE,INDEX(NA117:NZ117,MATCH(NC117,NC117:NC222,0),MATCH(Structure!$D$22,$NA$14:$NZ$14,0)),INDEX(OA117:OZ117,MATCH(OC117,OC117:OC222,0),MATCH(Structure!$D$22,$OA$14:$OZ$14,0))))</f>
        <v/>
      </c>
      <c r="CR117" s="239" t="str">
        <f>IF(A117=FALSE,"",IF(ALLTHESAME=TRUE,INDEX(PA117:PZ117,MATCH(PC117,PC117:PC222,0),MATCH(Structure!$D$22,$PA$14:$PZ$14,0)),INDEX(QA117:QZ117,MATCH(QC117,QC117:QC222,0),MATCH(Structure!$D$22,$QA$14:$QZ$14,0))))</f>
        <v/>
      </c>
      <c r="CS117" s="341" t="str">
        <f>IF(A117=FALSE,"",IF(ALLTHESAME=TRUE,INDEX(RA117:RZ117,MATCH(RC117,RC117:RC222,0),MATCH(Structure!$D$22,$RA$14:$RZ$14,0)),INDEX(SA117:TC117,MATCH(SC117,SC117:SC222,0),MATCH(Structure!$D$22,$SA$14:$TC$14,0))))</f>
        <v/>
      </c>
      <c r="CT117" s="347"/>
      <c r="CU117" s="239" t="str">
        <f t="shared" si="865"/>
        <v/>
      </c>
      <c r="CV117" s="239" t="str">
        <f>IF(A117=FALSE,"",IF(ALLTHESAME=TRUE,INDEX(DD117:DZ117,MATCH(DF117,DF117:DF222,0),MATCH(Structure!$D$8,$DD$14:$DZ$14,0)),INDEX(EA117:EZ117,MATCH(EC117,EC117:EC222,0),MATCH(Structure!$D$8,$EA$14:$EZ$14,0))))</f>
        <v/>
      </c>
      <c r="CW117" s="239" t="str">
        <f>IF(A117=FALSE,"",IF(ALLTHESAME=TRUE,INDEX(FA117:FZ117,MATCH(FC117,FC117:FC222,0),MATCH(Structure!$D$8,$FA$14:$FZ$14,0)),INDEX(GA117:GZ117,MATCH(GC117,GC117:GC222,0),MATCH(Structure!$D$8,$GA$14:$GZ$14,0))))</f>
        <v/>
      </c>
      <c r="CX117" s="239" t="str">
        <f>IF(A117=FALSE,"",IF(ALLTHESAME=TRUE,INDEX(HA117:HZ117,MATCH(HC117,HC117:HC222,0),MATCH(Structure!$D$8,$HA$14:$HZ$14,0)),INDEX(IA117:IZ117,MATCH(IC117,IC117:IC222,0),MATCH(Structure!$D$8,$IA$14:$IZ$14,0))))</f>
        <v/>
      </c>
      <c r="CY117" s="239" t="str">
        <f>IF(A117=FALSE,"",IF(ALLTHESAME=TRUE,INDEX(JA117:JZ117,MATCH(JC117,JC117:JC222,0),MATCH(Structure!$D$8,$JA$14:$JZ$14,0)),INDEX(KA117:KZ117,MATCH(KC117,KC117:KC222,0),MATCH(Structure!$D$8,$KA$14:$KZ$14,0))))</f>
        <v/>
      </c>
      <c r="CZ117" s="239" t="str">
        <f>IF(A117=FALSE,"",IF(ALLTHESAME=TRUE,INDEX(LA117:LZ117,MATCH(LC117,LC117:LC222,0),MATCH(Structure!$D$8,$LA$14:$LZ$14,0)),INDEX(MA117:MZ117,MATCH(MC117,MC117:MC222,0),MATCH(Structure!$D$8,$MA$14:$MZ$14,0))))</f>
        <v/>
      </c>
      <c r="DA117" s="239" t="str">
        <f>IF(A117=FALSE,"",IF(ALLTHESAME=TRUE,INDEX(NA117:NZ117,MATCH(NC117,NC117:NC222,0),MATCH(Structure!$D$8,$NA$14:$NZ$14,0)),INDEX(OA117:OZ117,MATCH(OC117,OC117:OC222,0),MATCH(Structure!$D$8,$OA$14:$OZ$14,0))))</f>
        <v/>
      </c>
      <c r="DB117" s="239" t="str">
        <f>IF(A117=FALSE,"",IF(ALLTHESAME=TRUE,INDEX(PA117:PZ117,MATCH(PC117,PC117:PC222,0),MATCH(Structure!$D$8,$PA$14:$PZ$14,0)),INDEX(QA117:QZ117,MATCH(QC117,QC117:QC222,0),MATCH(Structure!$D$8,$QA$14:$QZ$14,0))))</f>
        <v/>
      </c>
      <c r="DC117" s="341" t="str">
        <f>IF(A117=FALSE,"",IF(ALLTHESAME=TRUE,INDEX(RA117:RZ117,MATCH(RC117,RC117:RC222,0),MATCH(Structure!$D$8,$RA$14:$RZ$14,0)),INDEX(SA117:TC117,MATCH(SC117,SC117:SC222,0),MATCH(Structure!$D$8,$SA$14:$TC$14,0))))</f>
        <v/>
      </c>
      <c r="DD117" s="492" t="str">
        <f>IF(A117=FALSE,"",Cotations!D117)</f>
        <v/>
      </c>
      <c r="DE117" s="492" t="str">
        <f>IF(A117=FALSE,"",IF(LISTES!$A$17=1,Cotations!AF117,Cotations!$AG$4))</f>
        <v/>
      </c>
      <c r="DF117" s="291" t="str">
        <f t="shared" si="866"/>
        <v/>
      </c>
      <c r="DG117" s="291" t="str">
        <f t="shared" si="867"/>
        <v/>
      </c>
      <c r="DH117" s="291"/>
      <c r="DI117" s="463"/>
      <c r="DJ117" s="463" t="str">
        <f t="shared" si="868"/>
        <v/>
      </c>
      <c r="DK117" s="522" t="str">
        <f>IF(A117=FALSE,"",IF(Cotations!$AH$4="monthly",DJ117/12*L117,DJ117/365*M117))</f>
        <v/>
      </c>
      <c r="DL117" s="489" t="str">
        <f>IF(A117=FALSE,"",Cotations!$AI$4)</f>
        <v/>
      </c>
      <c r="DM117" s="300" t="str">
        <f t="shared" si="869"/>
        <v/>
      </c>
      <c r="DN117" s="300" t="str">
        <f t="shared" si="870"/>
        <v/>
      </c>
      <c r="DO117" s="294" t="str">
        <f t="shared" si="871"/>
        <v/>
      </c>
      <c r="DP117" s="494" t="str">
        <f>IF(A117=FALSE,"",Cotations!$AJ$4)</f>
        <v/>
      </c>
      <c r="DQ117" s="494" t="str">
        <f>IF(A117=FALSE,"",Cotations!$AK$4)</f>
        <v/>
      </c>
      <c r="DR117" s="489" t="str">
        <f>IF(A117=FALSE,"",Cotations!$AL$4)</f>
        <v/>
      </c>
      <c r="DS117" s="494" t="str">
        <f>IF(A117=FALSE,"",IF(DP117="N/A",0,IF(INDEX(LISTES!$F$105:$F$109,MATCH(DP117,LISTES!$C$105:$C$109,0))="FIX",IF(INDEX(LISTES!$E$105:$E$109,MATCH(DP117,LISTES!$C$105:$C$109,0))=12,DQ117/12*L117,DQ117/365*M117),DR117*DO117)))</f>
        <v/>
      </c>
      <c r="DT117" s="294" t="str">
        <f t="shared" si="872"/>
        <v/>
      </c>
      <c r="DU117" s="294" t="str">
        <f>IF(A117=FALSE,"",DT117*Cotations!$AM$4)</f>
        <v/>
      </c>
      <c r="DV117" s="294" t="str">
        <f>IF(A117=FALSE,"",DT117*Cotations!$AN$4)</f>
        <v/>
      </c>
      <c r="DW117" s="465" t="str">
        <f t="shared" si="873"/>
        <v/>
      </c>
      <c r="DX117" s="919" t="str">
        <f>IF(A117=FALSE,"",((DJ117*TAXE)-(DJ117*TAXE*DL117))+IF(DP117="N/A",0,IF(INDEX(LISTES!$F$105:$F$109,MATCH(DP117,LISTES!$C$105:$C$109,0))="FIX",DQ117,DR117*DO117)))</f>
        <v/>
      </c>
      <c r="DY117" s="466"/>
      <c r="DZ117" s="466"/>
      <c r="EA117" s="492" t="str">
        <f>IF(A117=FALSE,"",Cotations!D117)</f>
        <v/>
      </c>
      <c r="EB117" s="494" t="str">
        <f>IF(A117=FALSE,"",IF(LISTES!$A$17=1,Cotations!AF117,Cotations!AG117))</f>
        <v/>
      </c>
      <c r="EC117" s="284" t="str">
        <f t="shared" si="874"/>
        <v/>
      </c>
      <c r="ED117" s="284" t="str">
        <f t="shared" si="875"/>
        <v/>
      </c>
      <c r="EE117" s="284"/>
      <c r="EF117" s="284"/>
      <c r="EG117" s="284" t="str">
        <f t="shared" si="876"/>
        <v/>
      </c>
      <c r="EH117" s="1365" t="str">
        <f t="shared" si="877"/>
        <v/>
      </c>
      <c r="EI117" s="1365" t="str">
        <f t="shared" si="878"/>
        <v/>
      </c>
      <c r="EJ117" s="515" t="str">
        <f>IF(A117=FALSE,"",IF(Cotations!AH117="monthly",EG117/12*L117,EG117/365*M117))</f>
        <v/>
      </c>
      <c r="EK117" s="1364" t="str">
        <f>IF(A117=FALSE,"",IF(Cotations!AH117="monthly",EI117/12*L117,EI117/365*M117))</f>
        <v/>
      </c>
      <c r="EL117" s="493" t="str">
        <f>IF(A117=FALSE,"",IF(Cotations!AI117="","",Cotations!AI117))</f>
        <v/>
      </c>
      <c r="EM117" s="284" t="str">
        <f t="shared" si="879"/>
        <v/>
      </c>
      <c r="EN117" s="284" t="str">
        <f t="shared" si="880"/>
        <v/>
      </c>
      <c r="EO117" s="1365" t="str">
        <f t="shared" si="840"/>
        <v/>
      </c>
      <c r="EP117" s="284" t="str">
        <f t="shared" si="881"/>
        <v/>
      </c>
      <c r="EQ117" s="515" t="str">
        <f>IF(A117=FALSE,"",Cotations!AJ117)</f>
        <v/>
      </c>
      <c r="ER117" s="515" t="str">
        <f>IF(A117=FALSE,"",IF(Cotations!AK117="","",Cotations!AK117))</f>
        <v/>
      </c>
      <c r="ES117" s="493" t="str">
        <f>IF(A117=FALSE,"",Cotations!AL117)</f>
        <v/>
      </c>
      <c r="ET117" s="515" t="str">
        <f>IF(A117=FALSE,"",IF(EQ117="N/A",0,IF(INDEX(LISTES!$F$105:$F$109,MATCH(EQ117,LISTES!$C$105:$C$109,0))="FIX",IF(INDEX(LISTES!$E$105:$E$109,MATCH(EQ117,LISTES!$C$105:$C$109,0))=12,ER117/12*L117,ER117/365*M117),ES117*EP117)))</f>
        <v/>
      </c>
      <c r="EU117" s="294" t="str">
        <f t="shared" si="882"/>
        <v/>
      </c>
      <c r="EV117" s="494" t="str">
        <f>IF(A117=FALSE,"",EU117*Cotations!AM117)</f>
        <v/>
      </c>
      <c r="EW117" s="494" t="str">
        <f>IF(A117=FALSE,"",EU117*Cotations!AN117)</f>
        <v/>
      </c>
      <c r="EX117" s="334" t="str">
        <f t="shared" si="883"/>
        <v/>
      </c>
      <c r="EY117" s="919" t="str">
        <f>IF(A117=FALSE,"",((EG117*TAXE)-(EG117*TAXE*EL117)+EH117)+IF(EQ117="N/A",0,IF(INDEX(LISTES!$F$105:$F$109,MATCH(EQ117,LISTES!$C$105:$C$109,0))="FIX",ER117,ES117*EP117)))</f>
        <v/>
      </c>
      <c r="FA117" s="492" t="str">
        <f>IF(A117=FALSE,"",Cotations!D117)</f>
        <v/>
      </c>
      <c r="FB117" s="519" t="str">
        <f>IF(A117=FALSE,"",IF(LISTES!$A$17=1,Cotations!AO117,Cotations!$AP$4))</f>
        <v/>
      </c>
      <c r="FC117" s="291" t="str">
        <f t="shared" si="884"/>
        <v/>
      </c>
      <c r="FD117" s="291" t="str">
        <f t="shared" si="885"/>
        <v/>
      </c>
      <c r="FE117" s="291"/>
      <c r="FF117" s="463"/>
      <c r="FG117" s="463" t="str">
        <f t="shared" si="886"/>
        <v/>
      </c>
      <c r="FH117" s="522" t="str">
        <f>IF(A117=FALSE,"",IF(Cotations!$AQ$4="monthly",FG117/12*L117,FG117/365*M117))</f>
        <v/>
      </c>
      <c r="FI117" s="453" t="str">
        <f>IF(A117=FALSE,"",Cotations!$AR$4)</f>
        <v/>
      </c>
      <c r="FJ117" s="300" t="str">
        <f t="shared" si="887"/>
        <v/>
      </c>
      <c r="FK117" s="300" t="str">
        <f t="shared" si="888"/>
        <v/>
      </c>
      <c r="FL117" s="294" t="str">
        <f t="shared" si="889"/>
        <v/>
      </c>
      <c r="FM117" s="494" t="str">
        <f>IF(A117=FALSE,"",Cotations!$AS$4)</f>
        <v/>
      </c>
      <c r="FN117" s="494" t="str">
        <f>IF(A117=FALSE,"",Cotations!$AT$4)</f>
        <v/>
      </c>
      <c r="FO117" s="489" t="str">
        <f>IF(A117=FALSE,"",Cotations!$AU$4)</f>
        <v/>
      </c>
      <c r="FP117" s="494" t="str">
        <f>IF(A117=FALSE,"",IF(FM117="N/A",0,IF(INDEX(LISTES!$F$105:$F$109,MATCH(FM117,LISTES!$C$105:$C$109,0))="FIX",IF(INDEX(LISTES!$E$105:$E$109,MATCH(FM117,LISTES!$C$105:$C$109,0))=12,FN117/12*L117,FN117/365*M117),FO117*FL117)))</f>
        <v/>
      </c>
      <c r="FQ117" s="294" t="str">
        <f t="shared" si="890"/>
        <v/>
      </c>
      <c r="FR117" s="494" t="str">
        <f>IF(A117=FALSE,"",FQ117*Cotations!$AV$4)</f>
        <v/>
      </c>
      <c r="FS117" s="494" t="str">
        <f>IF(A117=FALSE,"",FQ117*Cotations!$AW$4)</f>
        <v/>
      </c>
      <c r="FT117" s="465" t="str">
        <f t="shared" si="891"/>
        <v/>
      </c>
      <c r="FU117" s="919" t="str">
        <f>IF(A117=FALSE,"",((FG117*TAXE)-(FG117*TAXE*FI117))+IF(FM117="N/A",0,IF(INDEX(LISTES!$F$105:$F$109,MATCH(FM117,LISTES!$C$105:$C$109,0))="FIX",FN117,FO117*FL117)))</f>
        <v/>
      </c>
      <c r="FV117" s="478"/>
      <c r="FW117" s="478"/>
      <c r="FX117" s="478"/>
      <c r="FY117" s="478"/>
      <c r="FZ117" s="478"/>
      <c r="GA117" s="492" t="str">
        <f>IF(A117=FALSE,"",Cotations!D117)</f>
        <v/>
      </c>
      <c r="GB117" s="494" t="str">
        <f>IF(A117=FALSE,"",IF(LISTES!$A$17=1,Cotations!AO117,Cotations!AP117))</f>
        <v/>
      </c>
      <c r="GC117" s="284" t="str">
        <f t="shared" si="892"/>
        <v/>
      </c>
      <c r="GD117" s="515" t="str">
        <f>IF(A117=FALSE,"",IF(Detail!AM117="","",Detail!AM117))</f>
        <v/>
      </c>
      <c r="GE117" s="284"/>
      <c r="GF117" s="284"/>
      <c r="GG117" s="284" t="str">
        <f t="shared" si="893"/>
        <v/>
      </c>
      <c r="GH117" s="515" t="str">
        <f>IF(A117=FALSE,"",IF(Cotations!AQ117="monthly",GG117/12*L117,GG117/365*M117))</f>
        <v/>
      </c>
      <c r="GI117" s="493" t="str">
        <f>IF(A117=FALSE,"",IF(Cotations!AR117="","",Cotations!AR117))</f>
        <v/>
      </c>
      <c r="GJ117" s="284" t="str">
        <f t="shared" si="894"/>
        <v/>
      </c>
      <c r="GK117" s="284" t="str">
        <f t="shared" si="895"/>
        <v/>
      </c>
      <c r="GL117" s="284" t="str">
        <f t="shared" si="896"/>
        <v/>
      </c>
      <c r="GM117" s="515" t="str">
        <f>IF(A117=FALSE,"",Cotations!AS117)</f>
        <v/>
      </c>
      <c r="GN117" s="515" t="str">
        <f>IF(A117=FALSE,"",Cotations!AT117)</f>
        <v/>
      </c>
      <c r="GO117" s="493" t="str">
        <f>IF(A117=FALSE,"",Cotations!AU117)</f>
        <v/>
      </c>
      <c r="GP117" s="515" t="str">
        <f>IF(A117=FALSE,"",IF(GM117="N/A",0,IF(INDEX(LISTES!$F$105:$F$109,MATCH(GM117,LISTES!$C$105:$C$109,0))="FIX",IF(INDEX(LISTES!$E$105:$E$109,MATCH(GM117,LISTES!$C$105:$C$109,0))=12,GN117/12*L117,GN117/365*M117),GO117*GL117)))</f>
        <v/>
      </c>
      <c r="GQ117" s="294" t="str">
        <f t="shared" si="897"/>
        <v/>
      </c>
      <c r="GR117" s="494" t="str">
        <f>IF(A117=FALSE,"",GQ117*Cotations!AV117)</f>
        <v/>
      </c>
      <c r="GS117" s="494" t="str">
        <f>IF(A117=FALSE,"",GQ117*Cotations!AW117)</f>
        <v/>
      </c>
      <c r="GT117" s="334" t="str">
        <f t="shared" si="898"/>
        <v/>
      </c>
      <c r="GU117" s="919" t="str">
        <f>IF(A117=FALSE,"",((GG117*TAXE)-(GG117*TAXE*GI117))+IF(GM117="N/A",0,IF(INDEX(LISTES!$F$105:$F$109,MATCH(GM117,LISTES!$C$105:$C$109,0))="FIX",GN117,GO117*GL117)))</f>
        <v/>
      </c>
      <c r="GV117" s="478"/>
      <c r="GW117" s="466"/>
      <c r="GX117" s="466"/>
      <c r="GY117" s="466"/>
      <c r="GZ117" s="466"/>
      <c r="HA117" s="492" t="str">
        <f>IF(A117=FALSE,"",Cotations!D117)</f>
        <v/>
      </c>
      <c r="HB117" s="495" t="str">
        <f>IF(A117=FALSE,"",IF(LISTES!$A$17=1,Cotations!AX117,Cotations!$AY$4))</f>
        <v/>
      </c>
      <c r="HC117" s="291" t="str">
        <f t="shared" si="899"/>
        <v/>
      </c>
      <c r="HD117" s="291" t="str">
        <f t="shared" si="900"/>
        <v/>
      </c>
      <c r="HE117" s="456" t="str">
        <f t="shared" si="901"/>
        <v/>
      </c>
      <c r="HF117" s="496" t="str">
        <f>IF(A117=FALSE,"",IF(HA117="POEA",Cotations!BA117,IF(HA117="FIXE",Cotations!$BA$4,Cotations!$BC$4*Y117)))</f>
        <v/>
      </c>
      <c r="HG117" s="300" t="str">
        <f t="shared" si="902"/>
        <v/>
      </c>
      <c r="HH117" s="522" t="str">
        <f>IF(A117=FALSE,"",IF(Cotations!$AZ$4="monthly",HG117/12*L117,HG117/365*M117))</f>
        <v/>
      </c>
      <c r="HI117" s="489" t="str">
        <f>IF(A117=FALSE,"",Cotations!$BD$4)</f>
        <v/>
      </c>
      <c r="HJ117" s="300" t="str">
        <f t="shared" si="903"/>
        <v/>
      </c>
      <c r="HK117" s="300" t="str">
        <f t="shared" si="904"/>
        <v/>
      </c>
      <c r="HL117" s="294" t="str">
        <f t="shared" si="905"/>
        <v/>
      </c>
      <c r="HM117" s="494" t="str">
        <f>IF(A117=FALSE,"",Cotations!$BE$4)</f>
        <v/>
      </c>
      <c r="HN117" s="522" t="str">
        <f>IF(A117=FALSE,"",Cotations!$BF$4)</f>
        <v/>
      </c>
      <c r="HO117" s="489" t="str">
        <f>IF(A117=FALSE,"",Cotations!$BG$4)</f>
        <v/>
      </c>
      <c r="HP117" s="494" t="str">
        <f>IF(A117=FALSE,"",IF(HM117="N/A",0,IF(INDEX(LISTES!$F$105:$F$109,MATCH(HM117,LISTES!$C$105:$C$109,0))="FIX",IF(INDEX(LISTES!$E$105:$E$109,MATCH(HM117,LISTES!$C$105:$C$109,0))=12,HN117/12*L117,HN117/365*M117),HO117*HL117)))</f>
        <v/>
      </c>
      <c r="HQ117" s="294" t="str">
        <f t="shared" si="906"/>
        <v/>
      </c>
      <c r="HR117" s="494" t="str">
        <f>IF(A117=FALSE,"",HQ117*Cotations!$BH$4)</f>
        <v/>
      </c>
      <c r="HS117" s="494" t="str">
        <f>IF(A117=FALSE,"",HQ117*Cotations!$BI$4)</f>
        <v/>
      </c>
      <c r="HT117" s="294" t="str">
        <f t="shared" si="907"/>
        <v/>
      </c>
      <c r="HU117" s="919" t="str">
        <f>IF(A117=FALSE,"",((HG117*TAXE)-(HG117*TAXE*HI117))+IF(HM117="N/A",0,IF(INDEX(LISTES!$F$105:$F$109,MATCH(HM117,LISTES!$C$105:$C$109,0))="FIX",HN117,HO117*HL117)))</f>
        <v/>
      </c>
      <c r="IA117" s="492" t="str">
        <f>IF(A117=FALSE,"",Cotations!D117)</f>
        <v/>
      </c>
      <c r="IB117" s="491" t="str">
        <f>IF(A117=FALSE,"",IF(LISTES!$A$17=1,Cotations!AX117,Cotations!AY117))</f>
        <v/>
      </c>
      <c r="IC117" s="285" t="str">
        <f t="shared" si="908"/>
        <v/>
      </c>
      <c r="ID117" s="300" t="str">
        <f>IF(A117=FALSE,"",IF(LISTES!$A$17=3,Detail!AU117,lig1_Formula_PREVOY))</f>
        <v/>
      </c>
      <c r="IE117" s="461" t="str">
        <f t="shared" si="909"/>
        <v/>
      </c>
      <c r="IF117" s="490" t="str">
        <f>IF(A117=FALSE,"",IF(IA117="POEA",Cotations!BA117,IF(HA117="FIXE",Cotations!BB117,IF(Cotations!BC117*Y117&lt;50000,Z117,Cotations!BC117*Y117))))</f>
        <v/>
      </c>
      <c r="IG117" s="300" t="str">
        <f t="shared" si="910"/>
        <v/>
      </c>
      <c r="IH117" s="522" t="str">
        <f>IF(A117=FALSE,"",IF(Cotations!AZ117="monthly",IG117/12*L117,IG117/365*M117))</f>
        <v/>
      </c>
      <c r="II117" s="489" t="str">
        <f>IF(A117=FALSE,"",IF(Cotations!BD117="","",Cotations!BD117))</f>
        <v/>
      </c>
      <c r="IJ117" s="300" t="str">
        <f t="shared" si="911"/>
        <v/>
      </c>
      <c r="IK117" s="300" t="str">
        <f t="shared" si="912"/>
        <v/>
      </c>
      <c r="IL117" s="919" t="str">
        <f t="shared" si="913"/>
        <v/>
      </c>
      <c r="IM117" s="517" t="str">
        <f>IF(A117=FALSE,"",Cotations!BE117)</f>
        <v/>
      </c>
      <c r="IN117" s="517" t="str">
        <f>IF(A117=FALSE,"",Cotations!BF117)</f>
        <v/>
      </c>
      <c r="IO117" s="493" t="str">
        <f>IF(A117=FALSE,"",Cotations!BG117)</f>
        <v/>
      </c>
      <c r="IP117" s="517" t="str">
        <f>IF(A117=FALSE,"",IF(IM117="N/A",0,IF(INDEX(LISTES!$F$105:$F$109,MATCH(IM117,LISTES!$C$105:$C$109,0))="FIX",IF(INDEX(LISTES!$E$105:$E$109,MATCH(IM117,LISTES!$C$105:$C$109,0))=12,IN117/12*L117,IN117/365*M117),IO117*IL117)))</f>
        <v/>
      </c>
      <c r="IQ117" s="294" t="str">
        <f t="shared" si="914"/>
        <v/>
      </c>
      <c r="IR117" s="494" t="str">
        <f>IF(A117=FALSE,"",IQ117*Cotations!BH117)</f>
        <v/>
      </c>
      <c r="IS117" s="494" t="str">
        <f>IF(A117=FALSE,"",IQ117*Cotations!BI117)</f>
        <v/>
      </c>
      <c r="IT117" s="338" t="str">
        <f t="shared" si="915"/>
        <v/>
      </c>
      <c r="IU117" s="919" t="str">
        <f>IF(A117=FALSE,"",((IG117*TAXE)-(IG117*TAXE*II117))+IF(IM117="N/A",0,IF(INDEX(LISTES!$F$105:$F$109,MATCH(IM117,LISTES!$C$105:$C$109,0))="FIX",IN117,IO117*IL117)))</f>
        <v/>
      </c>
      <c r="JA117" s="492" t="str">
        <f>IF(A117=FALSE,"",Cotations!D117)</f>
        <v/>
      </c>
      <c r="JB117" s="495" t="str">
        <f>IF(A117=FALSE,"",IF(LISTES!$A$17=1,Cotations!BJ117,Cotations!$BK$4))</f>
        <v/>
      </c>
      <c r="JC117" s="291" t="str">
        <f t="shared" si="916"/>
        <v/>
      </c>
      <c r="JD117" s="291" t="str">
        <f t="shared" si="917"/>
        <v/>
      </c>
      <c r="JE117" s="456" t="str">
        <f t="shared" si="918"/>
        <v/>
      </c>
      <c r="JF117" s="496" t="str">
        <f>IF(A117=FALSE,"",IF(JA117="POEA",Cotations!BM117,IF(JA117="FIXE",Cotations!$BM$4,Cotations!$BO$4*Y117)))</f>
        <v/>
      </c>
      <c r="JG117" s="300" t="str">
        <f t="shared" si="919"/>
        <v/>
      </c>
      <c r="JH117" s="522" t="str">
        <f>IF(A117=FALSE,"",IF(Cotations!$BL$4="monthly",JG117/12*L117,JG117/365*M117))</f>
        <v/>
      </c>
      <c r="JI117" s="489" t="str">
        <f>IF(A117=FALSE,"",Cotations!$BP$4)</f>
        <v/>
      </c>
      <c r="JJ117" s="300" t="str">
        <f t="shared" si="920"/>
        <v/>
      </c>
      <c r="JK117" s="300" t="str">
        <f t="shared" si="921"/>
        <v/>
      </c>
      <c r="JL117" s="294" t="str">
        <f t="shared" si="922"/>
        <v/>
      </c>
      <c r="JM117" s="494" t="str">
        <f>IF(A117=FALSE,"",Cotations!$BQ$4)</f>
        <v/>
      </c>
      <c r="JN117" s="522" t="str">
        <f>IF(A117=FALSE,"",Cotations!$BR$4)</f>
        <v/>
      </c>
      <c r="JO117" s="489" t="str">
        <f>IF(A117=FALSE,"",Cotations!$BS$4)</f>
        <v/>
      </c>
      <c r="JP117" s="494" t="str">
        <f>IF(A117=FALSE,"",IF(JM117="N/A",0,IF(INDEX(LISTES!$F$105:$F$109,MATCH(JM117,LISTES!$C$105:$C$109,0))="FIX",IF(INDEX(LISTES!$E$105:$E$109,MATCH(JM117,LISTES!$C$105:$C$109,0))=12,JN117/12*L117,JN117/365*M117),JO117*JL117)))</f>
        <v/>
      </c>
      <c r="JQ117" s="294" t="str">
        <f t="shared" si="923"/>
        <v/>
      </c>
      <c r="JR117" s="494" t="str">
        <f>IF(A117=FALSE,"",JQ117*Cotations!$BT$4)</f>
        <v/>
      </c>
      <c r="JS117" s="494" t="str">
        <f>IF(A117=FALSE,"",JQ117*Cotations!$BU$4)</f>
        <v/>
      </c>
      <c r="JT117" s="294" t="str">
        <f t="shared" si="924"/>
        <v/>
      </c>
      <c r="JU117" s="919" t="str">
        <f>IF(A117=FALSE,"",((JG117*TAXE)-(JG117*TAXE*JI117))+IF(JM117="N/A",0,IF(INDEX(LISTES!$F$105:$F$109,MATCH(JM117,LISTES!$C$105:$C$109,0))="FIX",JN117,JO117*JL117)))</f>
        <v/>
      </c>
      <c r="KA117" s="492" t="str">
        <f>IF(A117=FALSE,"",Cotations!D117)</f>
        <v/>
      </c>
      <c r="KB117" s="491" t="str">
        <f>IF(A117=FALSE,"",IF(LISTES!$A$17=1,Cotations!BJ117,Cotations!BK117))</f>
        <v/>
      </c>
      <c r="KC117" s="285" t="str">
        <f t="shared" si="925"/>
        <v/>
      </c>
      <c r="KD117" s="300"/>
      <c r="KE117" s="461" t="str">
        <f t="shared" si="926"/>
        <v/>
      </c>
      <c r="KF117" s="490" t="str">
        <f>IF(A117=FALSE,"",IF(KA117="POEA",Cotations!BM117,IF(KA117="FIXE",Cotations!BN117,IF(Cotations!BO117*Y117&lt;50000,Z117,Cotations!BO117*Y117))))</f>
        <v/>
      </c>
      <c r="KG117" s="300" t="str">
        <f t="shared" si="927"/>
        <v/>
      </c>
      <c r="KH117" s="522" t="str">
        <f>IF(A117=FALSE,"",IF(Cotations!BL117="monthly",KG117/12*L117,KG117/365*M117))</f>
        <v/>
      </c>
      <c r="KI117" s="489" t="str">
        <f>IF(A117=FALSE,"",IF(Cotations!BP117="","",Cotations!BP117))</f>
        <v/>
      </c>
      <c r="KJ117" s="300" t="str">
        <f t="shared" si="928"/>
        <v/>
      </c>
      <c r="KK117" s="300" t="str">
        <f t="shared" si="929"/>
        <v/>
      </c>
      <c r="KL117" s="919" t="str">
        <f t="shared" si="930"/>
        <v/>
      </c>
      <c r="KM117" s="517" t="str">
        <f>IF(A117=FALSE,"",Cotations!BQ117)</f>
        <v/>
      </c>
      <c r="KN117" s="515" t="str">
        <f>IF(A117=FALSE,"",Cotations!BR117)</f>
        <v/>
      </c>
      <c r="KO117" s="493" t="str">
        <f>IF(A117=FALSE,"",Cotations!BS117)</f>
        <v/>
      </c>
      <c r="KP117" s="517" t="str">
        <f>IF(A117=FALSE,"",IF(KM117="N/A",0,IF(INDEX(LISTES!$F$105:$F$109,MATCH(KM117,LISTES!$C$105:$C$109,0))="FIX",IF(INDEX(LISTES!$E$105:$E$109,MATCH(KM117,LISTES!$C$105:$C$109,0))=12,KN117/12*L117,KN117/365*M117),KO117*KL117)))</f>
        <v/>
      </c>
      <c r="KQ117" s="294" t="str">
        <f t="shared" si="931"/>
        <v/>
      </c>
      <c r="KR117" s="494" t="str">
        <f>IF(A117=FALSE,"",KQ117*Cotations!BT117)</f>
        <v/>
      </c>
      <c r="KS117" s="494" t="str">
        <f>IF(A117=FALSE,"",KQ117*Cotations!BU117)</f>
        <v/>
      </c>
      <c r="KT117" s="338" t="str">
        <f t="shared" si="932"/>
        <v/>
      </c>
      <c r="KU117" s="919" t="str">
        <f>IF(A117=FALSE,"",((KG117*TAXE)-(KG117*TAXE*KI117))+IF(KM117="N/A",0,IF(INDEX(LISTES!$F$105:$F$109,MATCH(KM117,LISTES!$C$105:$C$109,0))="FIX",KN117,KO117*KL117)))</f>
        <v/>
      </c>
      <c r="LA117" s="497" t="str">
        <f>IF(A117=FALSE,"",Cotations!D117)</f>
        <v/>
      </c>
      <c r="LB117" s="498" t="str">
        <f>IF(A117=FALSE,"",IF(LISTES!$A$17=1,Cotations!BV117,Cotations!$BW$4))</f>
        <v/>
      </c>
      <c r="LC117" s="499" t="str">
        <f t="shared" si="933"/>
        <v/>
      </c>
      <c r="LD117" s="499" t="str">
        <f t="shared" si="934"/>
        <v/>
      </c>
      <c r="LE117" s="500" t="str">
        <f t="shared" si="935"/>
        <v/>
      </c>
      <c r="LF117" s="501" t="str">
        <f>IF(A117=FALSE,"",IF(LA117="POEA",Cotations!EJ117,IF(LA117="FIXE",Cotations!$BY$4,Cotations!$CA$4*Y117)))</f>
        <v/>
      </c>
      <c r="LG117" s="502" t="str">
        <f t="shared" si="936"/>
        <v/>
      </c>
      <c r="LH117" s="520" t="str">
        <f>IF(A117=FALSE,"",IF(Cotations!$BX$4="monthly",LG117/12*L117,LG117/365*M117))</f>
        <v/>
      </c>
      <c r="LI117" s="503" t="str">
        <f>IF(A117=FALSE,"",Cotations!$CB$4)</f>
        <v/>
      </c>
      <c r="LJ117" s="502" t="str">
        <f t="shared" si="937"/>
        <v/>
      </c>
      <c r="LK117" s="502" t="str">
        <f t="shared" si="938"/>
        <v/>
      </c>
      <c r="LL117" s="504" t="str">
        <f t="shared" si="939"/>
        <v/>
      </c>
      <c r="LM117" s="505" t="str">
        <f>IF(A117=FALSE,"",Cotations!$CC$4)</f>
        <v/>
      </c>
      <c r="LN117" s="503" t="str">
        <f>IF(A117=FALSE,"",Cotations!$CD$4)</f>
        <v/>
      </c>
      <c r="LO117" s="503" t="str">
        <f>IF(A117=FALSE,"",Cotations!$CE$4)</f>
        <v/>
      </c>
      <c r="LP117" s="505" t="str">
        <f>IF(A117=FALSE,"",IF(LM117="N/A",0,IF(INDEX(LISTES!$F$105:$F$109,MATCH(LM117,LISTES!$C$105:$C$109,0))="FIX",IF(INDEX(LISTES!$E$105:$E$109,MATCH(LM117,LISTES!$C$105:$C$109,0))=12,LN117/12*L117,LN117/365*M117),LO117*LL117)))</f>
        <v/>
      </c>
      <c r="LQ117" s="504" t="str">
        <f t="shared" si="940"/>
        <v/>
      </c>
      <c r="LR117" s="505" t="str">
        <f>IF(A117=FALSE,"",LQ117*Cotations!$CF$4)</f>
        <v/>
      </c>
      <c r="LS117" s="505" t="str">
        <f>IF(A117=FALSE,"",LQ117*Cotations!$CG$4)</f>
        <v/>
      </c>
      <c r="LT117" s="506" t="str">
        <f t="shared" si="941"/>
        <v/>
      </c>
      <c r="LU117" s="919" t="str">
        <f>IF(A117=FALSE,"",((LG117*TAXE)-(LG117*TAXE*LI117))+IF(LM117="N/A",0,IF(INDEX(LISTES!$F$105:$F$109,MATCH(LM117,LISTES!$C$105:$C$109,0))="FIX",LN117,LO117*LL117)))</f>
        <v/>
      </c>
      <c r="MA117" s="492" t="str">
        <f>IF(A117=FALSE,"",Cotations!D117)</f>
        <v/>
      </c>
      <c r="MB117" s="491" t="str">
        <f>IF(A117=FALSE,"",IF(LISTES!$A$17=1,Cotations!BV117,Cotations!BW117))</f>
        <v/>
      </c>
      <c r="MC117" s="285" t="str">
        <f t="shared" si="942"/>
        <v/>
      </c>
      <c r="MD117" s="300"/>
      <c r="ME117" s="461" t="str">
        <f t="shared" si="943"/>
        <v/>
      </c>
      <c r="MF117" s="490" t="str">
        <f>IF(A117=FALSE,"",IF(MA117="POEA",Cotations!BY117,IF(MA117="FIXE",Cotations!BZ117,IF(Cotations!CA117*Y117&lt;50000,Z117,Cotations!CA117*Y117))))</f>
        <v/>
      </c>
      <c r="MG117" s="300" t="str">
        <f t="shared" si="944"/>
        <v/>
      </c>
      <c r="MH117" s="522" t="str">
        <f>IF(A117=FALSE,"",IF(Cotations!BX117="monthly",MG117/12*L117,MG117/365*M117))</f>
        <v/>
      </c>
      <c r="MI117" s="489" t="str">
        <f>IF(A117=FALSE,"",IF(Cotations!CB117="","",Cotations!CB117))</f>
        <v/>
      </c>
      <c r="MJ117" s="300" t="str">
        <f t="shared" si="945"/>
        <v/>
      </c>
      <c r="MK117" s="300" t="str">
        <f t="shared" si="946"/>
        <v/>
      </c>
      <c r="ML117" s="919" t="str">
        <f t="shared" si="947"/>
        <v/>
      </c>
      <c r="MM117" s="517" t="str">
        <f>IF(A117=FALSE,"",Cotations!CC117)</f>
        <v/>
      </c>
      <c r="MN117" s="515" t="str">
        <f>IF(A117=FALSE,"",Cotations!CD117)</f>
        <v/>
      </c>
      <c r="MO117" s="493" t="str">
        <f>IF(A117=FALSE,"",Cotations!CE117)</f>
        <v/>
      </c>
      <c r="MP117" s="517" t="str">
        <f>IF(A117=FALSE,"",IF(MM117="N/A",0,IF(INDEX(LISTES!$F$105:$F$109,MATCH(MM117,LISTES!$C$105:$C$109,0))="FIX",IF(INDEX(LISTES!$E$105:$E$109,MATCH(MM117,LISTES!$C$105:$C$109,0))=12,MN117/12*L117,MN117/365*M117),MO117*ML117)))</f>
        <v/>
      </c>
      <c r="MQ117" s="294" t="str">
        <f t="shared" si="948"/>
        <v/>
      </c>
      <c r="MR117" s="494" t="str">
        <f>IF(A117=FALSE,"",MQ117*Cotations!CF117)</f>
        <v/>
      </c>
      <c r="MS117" s="494" t="str">
        <f>IF(A117=FALSE,"",MQ117*Cotations!CG117)</f>
        <v/>
      </c>
      <c r="MT117" s="338" t="str">
        <f t="shared" si="949"/>
        <v/>
      </c>
      <c r="MU117" s="919" t="str">
        <f>IF(A117=FALSE,"",((MG117*TAXE)-(MG117*TAXE*MI117))+IF(MM117="N/A",0,IF(INDEX(LISTES!$F$105:$F$109,MATCH(MM117,LISTES!$C$105:$C$109,0))="FIX",MN117,MO117*ML117)))</f>
        <v/>
      </c>
      <c r="NA117" s="497" t="str">
        <f>IF(A117=FALSE,"",Cotations!D117)</f>
        <v/>
      </c>
      <c r="NB117" s="498" t="str">
        <f>IF(A117=FALSE,"",IF(LISTES!$A$17=1,Cotations!CH117,Cotations!$CI$4))</f>
        <v/>
      </c>
      <c r="NC117" s="499" t="str">
        <f t="shared" si="950"/>
        <v/>
      </c>
      <c r="ND117" s="499" t="str">
        <f t="shared" si="951"/>
        <v/>
      </c>
      <c r="NE117" s="500" t="str">
        <f t="shared" si="952"/>
        <v/>
      </c>
      <c r="NF117" s="501" t="str">
        <f>IF(A117=FALSE,"",IF(NA117="POEA",Cotations!CK117,IF(NA117="FIXE",Cotations!$CK$4,Cotations!$CM$4*Y117)))</f>
        <v/>
      </c>
      <c r="NG117" s="502" t="str">
        <f t="shared" si="953"/>
        <v/>
      </c>
      <c r="NH117" s="520" t="str">
        <f>IF(A117=FALSE,"",IF(Cotations!$CJ$4="monthly",NG117/12*L117,NG117/365*M117))</f>
        <v/>
      </c>
      <c r="NI117" s="503" t="str">
        <f>IF(A117=FALSE,"",Cotations!$CN$4)</f>
        <v/>
      </c>
      <c r="NJ117" s="502" t="str">
        <f t="shared" si="954"/>
        <v/>
      </c>
      <c r="NK117" s="502" t="str">
        <f t="shared" si="955"/>
        <v/>
      </c>
      <c r="NL117" s="504" t="str">
        <f t="shared" si="956"/>
        <v/>
      </c>
      <c r="NM117" s="505" t="str">
        <f>IF(A117=FALSE,"",Cotations!$CO$4)</f>
        <v/>
      </c>
      <c r="NN117" s="520" t="str">
        <f>IF(A117=FALSE,"",Cotations!$CP$4)</f>
        <v/>
      </c>
      <c r="NO117" s="503" t="str">
        <f>IF(A117=FALSE,"",Cotations!$CQ$4)</f>
        <v/>
      </c>
      <c r="NP117" s="505" t="str">
        <f>IF(A117=FALSE,"",IF(NM117="N/A",0,IF(INDEX(LISTES!$F$105:$F$109,MATCH(NM117,LISTES!$C$105:$C$109,0))="FIX",IF(INDEX(LISTES!$E$105:$E$109,MATCH(NM117,LISTES!$C$105:$C$109,0))=12,NN117/12*L117,NN117/365*M117),NO117*NL117)))</f>
        <v/>
      </c>
      <c r="NQ117" s="504" t="str">
        <f t="shared" si="957"/>
        <v/>
      </c>
      <c r="NR117" s="505" t="str">
        <f>IF(A117=FALSE,"",NQ117*Cotations!$CR$4)</f>
        <v/>
      </c>
      <c r="NS117" s="505" t="str">
        <f>IF(A117=FALSE,"",NQ117*Cotations!$CS$4)</f>
        <v/>
      </c>
      <c r="NT117" s="506" t="str">
        <f t="shared" si="958"/>
        <v/>
      </c>
      <c r="NU117" s="919" t="str">
        <f>IF(A117=FALSE,"",((NG117*TAXE)-(NG117*TAXE*NI117))+IF(NM117="N/A",0,IF(INDEX(LISTES!$F$105:$F$109,MATCH(NM117,LISTES!$C$105:$C$109,0))="FIX",NN117,NO117*NL117)))</f>
        <v/>
      </c>
      <c r="OA117" s="492" t="str">
        <f>IF(A117=FALSE,"",Cotations!D117)</f>
        <v/>
      </c>
      <c r="OB117" s="491" t="str">
        <f>IF(A117=FALSE,"",IF(LISTES!$A$17=1,Cotations!CH117,Cotations!CI117))</f>
        <v/>
      </c>
      <c r="OC117" s="285" t="str">
        <f t="shared" si="959"/>
        <v/>
      </c>
      <c r="OD117" s="300"/>
      <c r="OE117" s="461" t="str">
        <f t="shared" si="960"/>
        <v/>
      </c>
      <c r="OF117" s="490" t="str">
        <f>IF(A117=FALSE,"",IF(OA117="POEA",Cotations!CK117,IF(OA117="FIXE",Cotations!CL117,IF(Cotations!CM117*Y117&lt;50000,Z117,Cotations!CM117*Y117))))</f>
        <v/>
      </c>
      <c r="OG117" s="300" t="str">
        <f t="shared" si="961"/>
        <v/>
      </c>
      <c r="OH117" s="522" t="str">
        <f>IF(A117=FALSE,"",IF(Cotations!CJ117="monthly",OG117/12*L117,OG117/365*M117))</f>
        <v/>
      </c>
      <c r="OI117" s="489" t="str">
        <f>IF(A117=FALSE,"",IF(Cotations!CN117="","",Cotations!CN117))</f>
        <v/>
      </c>
      <c r="OJ117" s="300" t="str">
        <f t="shared" si="962"/>
        <v/>
      </c>
      <c r="OK117" s="300" t="str">
        <f t="shared" si="963"/>
        <v/>
      </c>
      <c r="OL117" s="919" t="str">
        <f t="shared" si="964"/>
        <v/>
      </c>
      <c r="OM117" s="517" t="str">
        <f>IF(A117=FALSE,"",Cotations!CO117)</f>
        <v/>
      </c>
      <c r="ON117" s="515" t="str">
        <f>IF(A117=FALSE,"",Cotations!CP117)</f>
        <v/>
      </c>
      <c r="OO117" s="493" t="str">
        <f>IF(A117=FALSE,"",Cotations!CQ117)</f>
        <v/>
      </c>
      <c r="OP117" s="517" t="str">
        <f>IF(A117=FALSE,"",IF(OM117="N/A",0,IF(INDEX(LISTES!$F$105:$F$109,MATCH(OM117,LISTES!$C$105:$C$109,0))="FIX",IF(INDEX(LISTES!$E$105:$E$109,MATCH(OM117,LISTES!$C$105:$C$109,0))=12,ON117/12*L117,ON117/365*M117),OO117*OL117)))</f>
        <v/>
      </c>
      <c r="OQ117" s="294" t="str">
        <f t="shared" si="965"/>
        <v/>
      </c>
      <c r="OR117" s="494" t="str">
        <f>IF(A117=FALSE,"",OQ117*Cotations!CR117)</f>
        <v/>
      </c>
      <c r="OS117" s="494" t="str">
        <f>IF(A117=FALSE,"",OQ117*Cotations!CS117)</f>
        <v/>
      </c>
      <c r="OT117" s="338" t="str">
        <f t="shared" si="966"/>
        <v/>
      </c>
      <c r="OU117" s="919" t="str">
        <f>IF(A117=FALSE,"",((OG117*TAXE)-(OG117*TAXE*OI117))+IF(OM117="N/A",0,IF(INDEX(LISTES!$F$105:$F$109,MATCH(OM117,LISTES!$C$105:$C$109,0))="FIX",ON117,OO117*OL117)))</f>
        <v/>
      </c>
      <c r="PA117" s="497" t="str">
        <f t="shared" si="967"/>
        <v/>
      </c>
      <c r="PB117" s="498" t="str">
        <f>IF(A117=FALSE,"",IF(LISTES!$A$17=1,Cotations!CT117,Cotations!$CU$4))</f>
        <v/>
      </c>
      <c r="PC117" s="499" t="str">
        <f t="shared" si="968"/>
        <v/>
      </c>
      <c r="PD117" s="499" t="str">
        <f t="shared" si="969"/>
        <v/>
      </c>
      <c r="PE117" s="500" t="str">
        <f t="shared" si="970"/>
        <v/>
      </c>
      <c r="PF117" s="501" t="str">
        <f>IF(A117=FALSE,"",Cotations!$CY$4*Y117)</f>
        <v/>
      </c>
      <c r="PG117" s="502" t="str">
        <f t="shared" si="971"/>
        <v/>
      </c>
      <c r="PH117" s="520" t="str">
        <f>IF(A117=FALSE,"",IF(Cotations!$CV$4="monthly",PG117/12*L117,PG117/365*M117))</f>
        <v/>
      </c>
      <c r="PI117" s="503" t="str">
        <f>IF(A117=FALSE,"",Cotations!$CZ$4)</f>
        <v/>
      </c>
      <c r="PJ117" s="502" t="str">
        <f t="shared" si="972"/>
        <v/>
      </c>
      <c r="PK117" s="502" t="str">
        <f t="shared" si="973"/>
        <v/>
      </c>
      <c r="PL117" s="504" t="str">
        <f t="shared" si="974"/>
        <v/>
      </c>
      <c r="PM117" s="505" t="str">
        <f>IF(A117=FALSE,"",Cotations!$DA$4)</f>
        <v/>
      </c>
      <c r="PN117" s="520" t="str">
        <f>IF(A117=FALSE,"",Cotations!$DB$4)</f>
        <v/>
      </c>
      <c r="PO117" s="503" t="str">
        <f>IF(A117=FALSE,"",Cotations!$DC$4)</f>
        <v/>
      </c>
      <c r="PP117" s="505" t="str">
        <f>IF(A117=FALSE,"",IF(PM117="N/A",0,IF(INDEX(LISTES!$F$105:$F$109,MATCH(PM117,LISTES!$C$105:$C$109,0))="FIX",IF(INDEX(LISTES!$E$105:$E$109,MATCH(PM117,LISTES!$C$105:$C$109,0))=12,PN117/12*L117,PN117/365*M117),PO117*PL117)))</f>
        <v/>
      </c>
      <c r="PQ117" s="504" t="str">
        <f t="shared" si="975"/>
        <v/>
      </c>
      <c r="PR117" s="505" t="str">
        <f>IF(A117=FALSE,"",PQ117*Cotations!$DD$4)</f>
        <v/>
      </c>
      <c r="PS117" s="505" t="str">
        <f>IF(A117=FALSE,"",PQ117*Cotations!$DE$4)</f>
        <v/>
      </c>
      <c r="PT117" s="506" t="str">
        <f t="shared" si="976"/>
        <v/>
      </c>
      <c r="PU117" s="919" t="str">
        <f>IF(A117=FALSE,"",((PG117*TAXE)-(PG117*TAXE*PI117))+IF(PM117="N/A",0,IF(INDEX(LISTES!$F$105:$F$109,MATCH(PM117,LISTES!$C$105:$C$109,0))="FIX",PN117,PO117*PL117)))</f>
        <v/>
      </c>
      <c r="QA117" s="492" t="str">
        <f t="shared" si="977"/>
        <v/>
      </c>
      <c r="QB117" s="491" t="str">
        <f>IF(A117=FALSE,"",IF(LISTES!$A$17=1,Cotations!CT117,Cotations!CU117))</f>
        <v/>
      </c>
      <c r="QC117" s="285" t="str">
        <f t="shared" si="978"/>
        <v/>
      </c>
      <c r="QD117" s="300"/>
      <c r="QE117" s="461" t="str">
        <f t="shared" si="979"/>
        <v/>
      </c>
      <c r="QF117" s="490" t="str">
        <f>IF(A117=FALSE,"",Cotations!CY117*AA117)</f>
        <v/>
      </c>
      <c r="QG117" s="300" t="str">
        <f t="shared" si="980"/>
        <v/>
      </c>
      <c r="QH117" s="522" t="str">
        <f>IF(A117=FALSE,"",IF(Cotations!CV117="monthly",QG117/12*L117,QG117/365*M117))</f>
        <v/>
      </c>
      <c r="QI117" s="489" t="str">
        <f>IF(A117=FALSE,"",IF(Cotations!CZ117="","",Cotations!CZ117))</f>
        <v/>
      </c>
      <c r="QJ117" s="300" t="str">
        <f t="shared" si="981"/>
        <v/>
      </c>
      <c r="QK117" s="300" t="str">
        <f t="shared" si="982"/>
        <v/>
      </c>
      <c r="QL117" s="919" t="str">
        <f t="shared" si="983"/>
        <v/>
      </c>
      <c r="QM117" s="517" t="str">
        <f>IF(A117=FALSE,"",Cotations!DA117)</f>
        <v/>
      </c>
      <c r="QN117" s="515" t="str">
        <f>IF(A117=FALSE,"",Cotations!DB117)</f>
        <v/>
      </c>
      <c r="QO117" s="493" t="str">
        <f>IF(A117=FALSE,"",Cotations!DC117)</f>
        <v/>
      </c>
      <c r="QP117" s="517" t="str">
        <f>IF(A117=FALSE,"",IF(QM117="N/A",0,IF(INDEX(LISTES!$F$105:$F$109,MATCH(QM117,LISTES!$C$105:$C$109,0))="FIX",IF(INDEX(LISTES!$E$105:$E$109,MATCH(QM117,LISTES!$C$105:$C$109,0))=12,QN117/12*L117,QN117/365*M117),QO117*QL117)))</f>
        <v/>
      </c>
      <c r="QQ117" s="294" t="str">
        <f t="shared" si="984"/>
        <v/>
      </c>
      <c r="QR117" s="494" t="str">
        <f>IF(A117=FALSE,"",QQ117*Cotations!DD117)</f>
        <v/>
      </c>
      <c r="QS117" s="494" t="str">
        <f>IF(A117=FALSE,"",QQ117*Cotations!DE117)</f>
        <v/>
      </c>
      <c r="QT117" s="338" t="str">
        <f t="shared" si="985"/>
        <v/>
      </c>
      <c r="QU117" s="919" t="str">
        <f>IF(A117=FALSE,"",((QG117*TAXE)-(QG117*TAXE*QI117))+IF(QM117="N/A",0,IF(INDEX(LISTES!$F$105:$F$109,MATCH(QM117,LISTES!$C$105:$C$109,0))="FIX",QN117,QO117*QL117)))</f>
        <v/>
      </c>
      <c r="RA117" s="497" t="str">
        <f t="shared" si="986"/>
        <v/>
      </c>
      <c r="RB117" s="498" t="str">
        <f>IF(A117=FALSE,"",IF(LISTES!$A$17=1,Cotations!DF117,Cotations!$DG$4))</f>
        <v/>
      </c>
      <c r="RC117" s="499" t="str">
        <f t="shared" si="987"/>
        <v/>
      </c>
      <c r="RD117" s="499" t="str">
        <f t="shared" si="988"/>
        <v/>
      </c>
      <c r="RE117" s="500" t="str">
        <f t="shared" si="989"/>
        <v/>
      </c>
      <c r="RF117" s="501" t="str">
        <f>IF(A117=FALSE,"",Cotations!$DK$4*Y117)</f>
        <v/>
      </c>
      <c r="RG117" s="502" t="str">
        <f t="shared" si="990"/>
        <v/>
      </c>
      <c r="RH117" s="520" t="str">
        <f>IF(A117=FALSE,"",IF(Cotations!$DH$4="monthly",RG117/12*L117,RG117/365*M117))</f>
        <v/>
      </c>
      <c r="RI117" s="503" t="str">
        <f>IF(A117=FALSE,"",Cotations!$DL$4)</f>
        <v/>
      </c>
      <c r="RJ117" s="502" t="str">
        <f t="shared" si="991"/>
        <v/>
      </c>
      <c r="RK117" s="502" t="str">
        <f t="shared" si="992"/>
        <v/>
      </c>
      <c r="RL117" s="504" t="str">
        <f t="shared" si="993"/>
        <v/>
      </c>
      <c r="RM117" s="505" t="str">
        <f>IF(A117=FALSE,"",Cotations!$DM$4)</f>
        <v/>
      </c>
      <c r="RN117" s="520" t="str">
        <f>IF(A117=FALSE,"",Cotations!$DN$4)</f>
        <v/>
      </c>
      <c r="RO117" s="503" t="str">
        <f>IF(A117=FALSE,"",Cotations!$DO$4)</f>
        <v/>
      </c>
      <c r="RP117" s="505" t="str">
        <f>IF(A117=FALSE,"",IF(RM117="N/A",0,IF(INDEX(LISTES!$F$105:$F$109,MATCH(RM117,LISTES!$C$105:$C$109,0))="FIX",IF(INDEX(LISTES!$E$105:$E$109,MATCH(RM117,LISTES!$C$105:$C$109,0))=12,RN117/12*L117,RN117/365*M117),RO117*RL117)))</f>
        <v/>
      </c>
      <c r="RQ117" s="504" t="str">
        <f t="shared" si="994"/>
        <v/>
      </c>
      <c r="RR117" s="505" t="str">
        <f>IF(A117=FALSE,"",RQ117*Cotations!$DP$4)</f>
        <v/>
      </c>
      <c r="RS117" s="505" t="str">
        <f>IF(A117=FALSE,"",RQ117*Cotations!$DQ$4)</f>
        <v/>
      </c>
      <c r="RT117" s="506" t="str">
        <f t="shared" si="995"/>
        <v/>
      </c>
      <c r="RU117" s="919" t="str">
        <f>IF(A117=FALSE,"",((RG117*TAXE)-(RG117*TAXE*RI117))+IF(RM117="N/A",0,IF(INDEX(LISTES!$F$105:$F$109,MATCH(RM117,LISTES!$C$105:$C$109,0))="FIX",RN117,RO117*RL117)))</f>
        <v/>
      </c>
      <c r="SA117" s="492" t="str">
        <f t="shared" si="996"/>
        <v/>
      </c>
      <c r="SB117" s="491" t="str">
        <f>IF(A117=FALSE,"",IF(LISTES!$A$17=1,Cotations!DF117,Cotations!DG117))</f>
        <v/>
      </c>
      <c r="SC117" s="285" t="str">
        <f t="shared" si="997"/>
        <v/>
      </c>
      <c r="SD117" s="300"/>
      <c r="SE117" s="461" t="str">
        <f t="shared" si="998"/>
        <v/>
      </c>
      <c r="SF117" s="490" t="str">
        <f>IF(A117=FALSE,"",Cotations!DK117*AA117)</f>
        <v/>
      </c>
      <c r="SG117" s="300" t="str">
        <f t="shared" si="999"/>
        <v/>
      </c>
      <c r="SH117" s="522" t="str">
        <f>IF(A117=FALSE,"",IF(Cotations!DH117="monthly",SG117/12*L117,SG117/365*M117))</f>
        <v/>
      </c>
      <c r="SI117" s="489" t="str">
        <f>IF(A117=FALSE,"",IF(Cotations!DL117="","",Cotations!DL117))</f>
        <v/>
      </c>
      <c r="SJ117" s="300" t="str">
        <f t="shared" si="1000"/>
        <v/>
      </c>
      <c r="SK117" s="300" t="str">
        <f t="shared" si="1001"/>
        <v/>
      </c>
      <c r="SL117" s="919" t="str">
        <f t="shared" si="1002"/>
        <v/>
      </c>
      <c r="SM117" s="285" t="str">
        <f>IF(A117=FALSE,"",Cotations!DM117)</f>
        <v/>
      </c>
      <c r="SN117" s="515" t="str">
        <f>IF(A117=FALSE,"",Cotations!DN117)</f>
        <v/>
      </c>
      <c r="SO117" s="493" t="str">
        <f>IF(A117=FALSE,"",Cotations!DO117)</f>
        <v/>
      </c>
      <c r="SP117" s="517" t="str">
        <f>IF(A117=FALSE,"",IF(SM117="N/A",0,IF(INDEX(LISTES!$F$105:$F$109,MATCH(SM117,LISTES!$C$105:$C$109,0))="FIX",IF(INDEX(LISTES!$E$105:$E$109,MATCH(SM117,LISTES!$C$105:$C$109,0))=12,SN117/12*L117,SN117/365*M117),SO117*SL117)))</f>
        <v/>
      </c>
      <c r="SQ117" s="294" t="str">
        <f t="shared" si="1003"/>
        <v/>
      </c>
      <c r="SR117" s="494" t="str">
        <f>IF(A117=FALSE,"",SQ117*Cotations!DP117)</f>
        <v/>
      </c>
      <c r="SS117" s="494" t="str">
        <f>IF(A117=FALSE,"",SQ117*Cotations!DQ117)</f>
        <v/>
      </c>
      <c r="ST117" s="338" t="str">
        <f t="shared" si="1004"/>
        <v/>
      </c>
      <c r="SU117" s="919" t="str">
        <f>IF(A117=FALSE,"",((SG117*TAXE)-(SG117*TAXE*SI117))+IF(SM117="N/A",0,IF(INDEX(LISTES!$F$105:$F$109,MATCH(SM117,LISTES!$C$105:$C$109,0))="FIX",SN117,SO117*SL117)))</f>
        <v/>
      </c>
      <c r="TA117" s="492" t="str">
        <f>IF(A117=FALSE,"",Cotations!D117)</f>
        <v/>
      </c>
      <c r="TB117" s="491" t="str">
        <f>IF(A117=FALSE,"",IF(LISTES!$A$17=1,Cotations!DR117,Cotations!DS117))</f>
        <v/>
      </c>
      <c r="TC117" s="285" t="str">
        <f t="shared" si="1005"/>
        <v/>
      </c>
      <c r="TD117" s="300" t="str">
        <f>IF(A117=FALSE,"",Detail!CQ117)</f>
        <v/>
      </c>
      <c r="TE117" s="461" t="str">
        <f t="shared" si="1006"/>
        <v/>
      </c>
      <c r="TF117" s="490" t="str">
        <f>IF(A117=FALSE,"",IF(TA117="FIXE",Cotations!DU117,Cotations!DV117*Y117))</f>
        <v/>
      </c>
      <c r="TG117" s="300" t="str">
        <f t="shared" si="1007"/>
        <v/>
      </c>
      <c r="TH117" s="522" t="str">
        <f>IF(A117=FALSE,"",IF(Cotations!DT117="monthly",TG117/12*L117,TG117/365*M117))</f>
        <v/>
      </c>
      <c r="TI117" s="489" t="str">
        <f>IF(A117=FALSE,"",IF(Cotations!DW117="","",Cotations!DW117))</f>
        <v/>
      </c>
      <c r="TJ117" s="300" t="str">
        <f t="shared" si="1008"/>
        <v/>
      </c>
      <c r="TK117" s="300" t="str">
        <f t="shared" si="1009"/>
        <v/>
      </c>
      <c r="TL117" s="919" t="str">
        <f t="shared" si="1010"/>
        <v/>
      </c>
      <c r="TM117" s="517" t="str">
        <f>IF(A117=FALSE,"",Cotations!DX117)</f>
        <v/>
      </c>
      <c r="TN117" s="517" t="str">
        <f>IF(A117=FALSE,"",Cotations!DY117)</f>
        <v/>
      </c>
      <c r="TO117" s="493" t="str">
        <f>IF(A117=FALSE,"",Cotations!DZ117)</f>
        <v/>
      </c>
      <c r="TP117" s="517" t="str">
        <f>IF(A117=FALSE,"",IF(TM117="N/A",0,IF(INDEX(LISTES!$F$105:$F$109,MATCH(TM117,LISTES!$C$105:$C$109,0))="FIX",IF(INDEX(LISTES!$E$105:$E$109,MATCH(TM117,LISTES!$C$105:$C$109,0))=12,TN117/12*L117,TN117/365*M117),TO117*TL117)))</f>
        <v/>
      </c>
      <c r="TQ117" s="294" t="str">
        <f t="shared" si="1011"/>
        <v/>
      </c>
      <c r="TR117" s="494" t="str">
        <f>IF(A117=FALSE,"",TQ117*Cotations!EA117)</f>
        <v/>
      </c>
      <c r="TS117" s="494" t="str">
        <f>IF(A117=FALSE,"",TQ117*Cotations!EB117)</f>
        <v/>
      </c>
      <c r="TT117" s="338" t="str">
        <f t="shared" si="1012"/>
        <v/>
      </c>
      <c r="TU117" s="919" t="str">
        <f>IF(A117=FALSE,"",((TG117*(1+TAXE)-(TG117*(1+TAXE)*TI117))+IF(TM117="N/A",0,IF(INDEX(LISTES!$F$105:$F$109,MATCH(TM117,LISTES!$C$105:$C$109,0))="FIX",TN117,TO117*TL117))))</f>
        <v/>
      </c>
      <c r="UA117" s="492" t="str">
        <f>IF(A117=FALSE,"",Cotations!D117)</f>
        <v/>
      </c>
      <c r="UB117" s="491" t="str">
        <f>IF(A117=FALSE,"",IF(LISTES!$A$17=1,Cotations!EC117,Cotations!ED117))</f>
        <v/>
      </c>
      <c r="UC117" s="285" t="str">
        <f t="shared" si="1013"/>
        <v/>
      </c>
      <c r="UD117" s="300" t="str">
        <f>IF(A117=FALSE,"",Detail!CY117)</f>
        <v/>
      </c>
      <c r="UE117" s="461" t="str">
        <f t="shared" si="1014"/>
        <v/>
      </c>
      <c r="UF117" s="490" t="str">
        <f>IF(A117=FALSE,"",IF(UA117="FIXE",Cotations!EF117,Cotations!EG117*Y117))</f>
        <v/>
      </c>
      <c r="UG117" s="300" t="str">
        <f t="shared" si="1015"/>
        <v/>
      </c>
      <c r="UH117" s="522" t="str">
        <f>IF(A117=FALSE,"",IF(Cotations!EE117="monthly",UG117/12*L117,UG117/365*M117))</f>
        <v/>
      </c>
      <c r="UI117" s="489" t="str">
        <f>IF(A117=FALSE,"",IF(Cotations!EH117="","",Cotations!EH117))</f>
        <v/>
      </c>
      <c r="UJ117" s="300" t="str">
        <f t="shared" si="1016"/>
        <v/>
      </c>
      <c r="UK117" s="300" t="str">
        <f t="shared" si="1017"/>
        <v/>
      </c>
      <c r="UL117" s="919" t="str">
        <f t="shared" si="1018"/>
        <v/>
      </c>
      <c r="UM117" s="517" t="str">
        <f>IF(A117=FALSE,"",Cotations!EI117)</f>
        <v/>
      </c>
      <c r="UN117" s="517" t="str">
        <f>IF(A117=FALSE,"",Cotations!EJ117)</f>
        <v/>
      </c>
      <c r="UO117" s="493" t="str">
        <f>IF(A117=FALSE,"",Cotations!EK117)</f>
        <v/>
      </c>
      <c r="UP117" s="517" t="str">
        <f>IF(A117=FALSE,"",IF(UM117="N/A",0,IF(INDEX(LISTES!$F$105:$F$109,MATCH(UM117,LISTES!$C$105:$C$109,0))="FIX",IF(INDEX(LISTES!$E$105:$E$109,MATCH(UM117,LISTES!$C$105:$C$109,0))=12,UN117/12*L117,UN117/365*M117),UO117*UL117)))</f>
        <v/>
      </c>
      <c r="UQ117" s="294" t="str">
        <f t="shared" si="1019"/>
        <v/>
      </c>
      <c r="UR117" s="494" t="str">
        <f>IF(A117=FALSE,"",UQ117*Cotations!EL117)</f>
        <v/>
      </c>
      <c r="US117" s="494" t="str">
        <f>IF(A117=FALSE,"",UQ117*Cotations!EM117)</f>
        <v/>
      </c>
      <c r="UT117" s="338" t="str">
        <f t="shared" si="1020"/>
        <v/>
      </c>
      <c r="UU117" s="919" t="str">
        <f>IF(A117=FALSE,"",((UG117*(1+TAXE)-(UG117*(1+TAXE)*UI117))+IF(UM117="N/A",0,IF(INDEX(LISTES!$F$105:$F$109,MATCH(UM117,LISTES!$C$105:$C$109,0))="FIX",UN117,UO117*UL117))))</f>
        <v/>
      </c>
      <c r="VA117" s="492" t="str">
        <f>IF(A117=FALSE,"",Cotations!D117)</f>
        <v/>
      </c>
      <c r="VB117" s="519" t="str">
        <f>IF(A117=FALSE,"",IF(LISTES!$A$17=1,Cotations!EN117,Cotations!EO117))</f>
        <v/>
      </c>
      <c r="VC117" s="291" t="str">
        <f t="shared" si="1021"/>
        <v/>
      </c>
      <c r="VD117" s="291" t="str">
        <f t="shared" si="1022"/>
        <v/>
      </c>
      <c r="VE117" s="291"/>
      <c r="VF117" s="463"/>
      <c r="VG117" s="463" t="str">
        <f t="shared" si="1023"/>
        <v/>
      </c>
      <c r="VH117" s="522" t="str">
        <f>IF(A117=FALSE,"",IF(Cotations!$AQ$4="monthly",VG117/12*L117,VG117/365*M117))</f>
        <v/>
      </c>
      <c r="VI117" s="489" t="str">
        <f>IF(A117=FALSE,"",Cotations!$AR$4)</f>
        <v/>
      </c>
      <c r="VJ117" s="300" t="str">
        <f t="shared" si="1024"/>
        <v/>
      </c>
      <c r="VK117" s="300" t="str">
        <f t="shared" si="1025"/>
        <v/>
      </c>
      <c r="VL117" s="294" t="str">
        <f t="shared" si="1026"/>
        <v/>
      </c>
      <c r="VM117" s="494" t="str">
        <f>IF(A117=FALSE,"",Cotations!$AS$4)</f>
        <v/>
      </c>
      <c r="VN117" s="494" t="str">
        <f>IF(A117=FALSE,"",Cotations!$AT$4)</f>
        <v/>
      </c>
      <c r="VO117" s="489" t="str">
        <f>IF(A117=FALSE,"",Cotations!$AU$4)</f>
        <v/>
      </c>
      <c r="VP117" s="494" t="str">
        <f>IF(A117=FALSE,"",IF(VM117="N/A",0,IF(INDEX(LISTES!$F$105:$F$109,MATCH(VM117,LISTES!$C$105:$C$109,0))="FIX",IF(INDEX(LISTES!$E$105:$E$109,MATCH(VM117,LISTES!$C$105:$C$109,0))=12,VN117/12*L117,VN117/365*M117),VO117*VL117)))</f>
        <v/>
      </c>
      <c r="VQ117" s="294" t="str">
        <f t="shared" si="1027"/>
        <v/>
      </c>
      <c r="VR117" s="494" t="str">
        <f>IF(A117=FALSE,"",VQ117*Cotations!$AV$4)</f>
        <v/>
      </c>
      <c r="VS117" s="494" t="str">
        <f>IF(A117=FALSE,"",VQ117*Cotations!$AW$4)</f>
        <v/>
      </c>
      <c r="VT117" s="465" t="str">
        <f t="shared" si="1028"/>
        <v/>
      </c>
      <c r="VU117" s="919" t="str">
        <f>IF(A117=FALSE,"",((VG117*TAXE)-(VG117*TAXE*VI117))+IF(VM117="N/A",0,IF(INDEX(LISTES!$F$105:$F$109,MATCH(VM117,LISTES!$C$105:$C$109,0))="FIX",VN117,VO117*VL117)))</f>
        <v/>
      </c>
      <c r="WA117" s="492" t="str">
        <f>IF(A117=FALSE,"",Cotations!D117)</f>
        <v/>
      </c>
      <c r="WB117" s="519" t="str">
        <f>IF(A117=FALSE,"",IF(LISTES!$A$17=1,Cotations!EW117,Cotations!EX117))</f>
        <v/>
      </c>
      <c r="WC117" s="291" t="str">
        <f t="shared" si="1029"/>
        <v/>
      </c>
      <c r="WD117" s="291" t="str">
        <f t="shared" si="1030"/>
        <v/>
      </c>
      <c r="WE117" s="291"/>
      <c r="WF117" s="463"/>
      <c r="WG117" s="463" t="str">
        <f t="shared" si="1031"/>
        <v/>
      </c>
      <c r="WH117" s="522" t="str">
        <f>IF(A117=FALSE,"",IF(Cotations!$AQ$4="monthly",WG117/12*L117,WG117/365*M117))</f>
        <v/>
      </c>
      <c r="WI117" s="489" t="str">
        <f>IF(A117=FALSE,"",Cotations!$AR$4)</f>
        <v/>
      </c>
      <c r="WJ117" s="300" t="str">
        <f t="shared" si="1032"/>
        <v/>
      </c>
      <c r="WK117" s="300" t="str">
        <f t="shared" si="1033"/>
        <v/>
      </c>
      <c r="WL117" s="294" t="str">
        <f t="shared" si="1034"/>
        <v/>
      </c>
      <c r="WM117" s="494" t="str">
        <f>IF(A117=FALSE,"",Cotations!$AS$4)</f>
        <v/>
      </c>
      <c r="WN117" s="494" t="str">
        <f>IF(A117=FALSE,"",Cotations!$AT$4)</f>
        <v/>
      </c>
      <c r="WO117" s="489" t="str">
        <f>IF(A117=FALSE,"",Cotations!$AU$4)</f>
        <v/>
      </c>
      <c r="WP117" s="494" t="str">
        <f>IF(A117=FALSE,"",IF(WM117="N/A",0,IF(INDEX(LISTES!$F$105:$F$109,MATCH(WM117,LISTES!$C$105:$C$109,0))="FIX",IF(INDEX(LISTES!$E$105:$E$109,MATCH(WM117,LISTES!$C$105:$C$109,0))=12,WN117/12*L117,WN117/365*M117),WO117*WL117)))</f>
        <v/>
      </c>
      <c r="WQ117" s="294" t="str">
        <f t="shared" si="1035"/>
        <v/>
      </c>
      <c r="WR117" s="494" t="str">
        <f>IF(A117=FALSE,"",WQ117*Cotations!$AV$4)</f>
        <v/>
      </c>
      <c r="WS117" s="494" t="str">
        <f>IF(A117=FALSE,"",WQ117*Cotations!$AW$4)</f>
        <v/>
      </c>
      <c r="WT117" s="465" t="str">
        <f t="shared" si="1036"/>
        <v/>
      </c>
      <c r="WU117" s="919" t="str">
        <f>IF(A117=FALSE,"",((WG117*TAXE)-(WG117*TAXE*WI117))+IF(WM117="N/A",0,IF(INDEX(LISTES!$F$105:$F$109,MATCH(WM117,LISTES!$C$105:$C$109,0))="FIX",WN117,WO117*WL117)))</f>
        <v/>
      </c>
    </row>
    <row r="118" spans="1:619">
      <c r="A118" s="942" t="b">
        <f t="shared" si="841"/>
        <v>0</v>
      </c>
      <c r="B118" s="942" t="b">
        <f>IF(NAMES!$B$9=TRUE,TRUE,FALSE)</f>
        <v>1</v>
      </c>
      <c r="C118" s="942" t="b">
        <f t="shared" si="825"/>
        <v>0</v>
      </c>
      <c r="D118" s="942" t="b">
        <f t="shared" si="826"/>
        <v>0</v>
      </c>
      <c r="E118" s="274" t="b">
        <f>IF(Cotations!C118="","",Cotations!C118)</f>
        <v>0</v>
      </c>
      <c r="F118" s="274" t="str">
        <f>IF(Cotations!D118="","",Cotations!D118)</f>
        <v>PROP</v>
      </c>
      <c r="G118" s="274" t="str">
        <f>IF(Cotations!E118="","",Cotations!E118)</f>
        <v>2016-2017!</v>
      </c>
      <c r="H118" s="274" t="str">
        <f>IF(Cotations!F118="","",Cotations!F118)</f>
        <v/>
      </c>
      <c r="I118" s="274" t="str">
        <f>IF(Cotations!G118="","",Cotations!G118)</f>
        <v/>
      </c>
      <c r="J118" s="274" t="str">
        <f>IF(Cotations!H118="","",Cotations!H118)</f>
        <v/>
      </c>
      <c r="K118" s="274" t="str">
        <f>IF(Cotations!I118="","",Cotations!I118)</f>
        <v/>
      </c>
      <c r="L118" s="274" t="str">
        <f>IF(A118=FALSE,"",IF(Cotations!N118="","",Cotations!N118))</f>
        <v/>
      </c>
      <c r="M118" s="274" t="str">
        <f>IF(Cotations!P118="","",Cotations!P118)</f>
        <v/>
      </c>
      <c r="N118" s="724" t="str">
        <f>IF(NAMES!$B$10=TRUE,Cotations!J118,Cotations!L118)</f>
        <v/>
      </c>
      <c r="O118" s="724" t="str">
        <f>IF(NAMES!$B$10=TRUE,Cotations!K118,Cotations!M118)</f>
        <v/>
      </c>
      <c r="P118" s="943" t="str">
        <f t="shared" si="827"/>
        <v/>
      </c>
      <c r="Q118" s="724" t="str">
        <f>IF(A118=FALSE,"",IF(Crewlist!Y118="","",Crewlist!Y118))</f>
        <v/>
      </c>
      <c r="R118" s="78" t="str">
        <f>IF(Cotations!U118="","",Cotations!U118)</f>
        <v/>
      </c>
      <c r="S118" s="943" t="str">
        <f t="shared" si="828"/>
        <v/>
      </c>
      <c r="T118" s="919" t="str">
        <f>IF(A118=FALSE,"",VLOOKUP($U$15:$U$120,Currency!$A$2:$D$10,4,0)*Crewlist!N118)</f>
        <v/>
      </c>
      <c r="U118" s="1355" t="str">
        <f>IF(A118=FALSE,"",IF(IT118=0,Crewlist!M118&amp;"/"&amp;EX118,Crewlist!M118&amp;"/"&amp;IT118))</f>
        <v/>
      </c>
      <c r="V118" s="919" t="str">
        <f>IF(A118=FALSE,"",VLOOKUP($U$15:$U$120,Currency!$A$2:$D$10,4,0)*Detail!Q118)</f>
        <v/>
      </c>
      <c r="W118" s="1355" t="str">
        <f>IF(A118=FALSE,"",IF(IT118=0,Detail!R118&amp;"/"&amp;EX118,Detail!R118&amp;"/"&amp;IT118))</f>
        <v/>
      </c>
      <c r="X118" s="919" t="str">
        <f>IF(A118=FALSE,"",IF(LISTES!$C$17="Crewlist",Calcul!T118,Calcul!V118))</f>
        <v/>
      </c>
      <c r="Y118" s="758" t="str">
        <f t="shared" si="829"/>
        <v/>
      </c>
      <c r="Z118" s="758" t="str">
        <f>IF(A118=FALSE,"",IF(X118=0,0,IF((Cotations!BC118*12*X118)&lt;50000,50000,(12*X118))))</f>
        <v/>
      </c>
      <c r="AA118" s="758" t="str">
        <f t="shared" si="830"/>
        <v/>
      </c>
      <c r="AB118" s="758" t="str">
        <f>IF(A118=FALSE,"",IF(Crewlist!O118=0,"",Crewlist!O118))</f>
        <v/>
      </c>
      <c r="AC118" s="758" t="str">
        <f>IF(I118="","",VLOOKUP($AB$15:$AB$120,Currency!$A$15:$B$34,2,0))</f>
        <v/>
      </c>
      <c r="AD118" s="758" t="str">
        <f t="shared" si="831"/>
        <v/>
      </c>
      <c r="AE118" s="758" t="str">
        <f t="shared" si="832"/>
        <v/>
      </c>
      <c r="AF118" s="758" t="str">
        <f t="shared" si="833"/>
        <v/>
      </c>
      <c r="AG118" s="758" t="str">
        <f t="shared" si="834"/>
        <v/>
      </c>
      <c r="AH118" s="1355" t="str">
        <f t="shared" si="842"/>
        <v/>
      </c>
      <c r="AI118" s="919" t="str">
        <f t="shared" si="835"/>
        <v/>
      </c>
      <c r="AJ118" s="1382" t="str">
        <f t="shared" si="836"/>
        <v/>
      </c>
      <c r="AK118" s="1382" t="str">
        <f t="shared" si="837"/>
        <v/>
      </c>
      <c r="AL118" s="238" t="str">
        <f t="shared" si="843"/>
        <v/>
      </c>
      <c r="AM118" s="238" t="str">
        <f t="shared" si="844"/>
        <v/>
      </c>
      <c r="AN118" s="1374" t="str">
        <f t="shared" si="845"/>
        <v/>
      </c>
      <c r="AO118" s="238" t="str">
        <f t="shared" si="846"/>
        <v/>
      </c>
      <c r="AP118" s="342" t="str">
        <f>IF(A118=FALSE,"",INDEX(Rates!$Z$5:$Z$367,MATCH(EB118,colchoice,0)))</f>
        <v/>
      </c>
      <c r="AQ118" s="238" t="str">
        <f t="shared" si="847"/>
        <v/>
      </c>
      <c r="AR118" s="238" t="str">
        <f t="shared" si="848"/>
        <v/>
      </c>
      <c r="AS118" s="238" t="str">
        <f t="shared" si="849"/>
        <v/>
      </c>
      <c r="AT118" s="238" t="str">
        <f t="shared" si="850"/>
        <v/>
      </c>
      <c r="AU118" s="238" t="str">
        <f t="shared" si="851"/>
        <v/>
      </c>
      <c r="AV118" s="238" t="str">
        <f t="shared" si="838"/>
        <v/>
      </c>
      <c r="AW118" s="238" t="str">
        <f t="shared" si="852"/>
        <v/>
      </c>
      <c r="AX118" s="238" t="str">
        <f t="shared" si="853"/>
        <v/>
      </c>
      <c r="AY118" s="238" t="str">
        <f t="shared" si="854"/>
        <v/>
      </c>
      <c r="AZ118" s="238" t="str">
        <f t="shared" si="855"/>
        <v/>
      </c>
      <c r="BA118" s="238" t="str">
        <f t="shared" si="856"/>
        <v/>
      </c>
      <c r="BB118" s="552" t="str">
        <f t="shared" si="857"/>
        <v/>
      </c>
      <c r="BC118" s="347" t="str">
        <f t="shared" si="858"/>
        <v/>
      </c>
      <c r="BD118" s="239" t="str">
        <f t="shared" si="839"/>
        <v/>
      </c>
      <c r="BE118" s="239" t="str">
        <f>IF(A118=FALSE,"",IF(ALLTHESAME=TRUE,IF(DF118&lt;&gt;$BC$7,0,INDEX(DD118:DZ118,1,MATCH(Structure!$D$12,$DD$14:$DZ$14,0))),IF(EC118&lt;&gt;$BC$7,0,INDEX(EA118:EZ118,1,MATCH(Structure!$D$12,$EA$14:$EZ$14,0)))))</f>
        <v/>
      </c>
      <c r="BF118" s="239" t="str">
        <f>IF(A118=FALSE,"",IF(ALLTHESAME=TRUE,IF(FC118&lt;&gt;$BC$7,0,INDEX(FA118:FZ118,1,MATCH(Structure!$D$12,$FA$14:$FZ$14,0))),IF(GC118&lt;&gt;$BC$7,0,INDEX(GA118:GZ118,1,MATCH(Structure!$D$12,$GA$14:$GZ$14,0)))))</f>
        <v/>
      </c>
      <c r="BG118" s="239" t="str">
        <f>IF(A118=FALSE,"",IF(ALLTHESAME=TRUE,IF(VC118&lt;&gt;$BC$7,0,INDEX(VA118:VZ118,1,MATCH(Structure!$D$12,$VA$14:$VZ$14,0))),IF(VC118&lt;&gt;$BC$7,0,INDEX(VA118:VZ118,1,MATCH(Structure!$D$12,$VA$14:$VZ$14,0)))))</f>
        <v/>
      </c>
      <c r="BH118" s="239" t="str">
        <f>IF(A118=FALSE,"",IF(ALLTHESAME=TRUE,IF(WC118&lt;&gt;$BC$7,0,INDEX(WA118:WY118,1,MATCH(Structure!$D$12,$WA$14:$WZ$14,0))),IF(WC118&lt;&gt;$BC$7,0,INDEX(WA118:WZ118,1,MATCH(Structure!$D$12,$WA$14:$WZ$14,0)))))</f>
        <v/>
      </c>
      <c r="BI118" s="763" t="str">
        <f>IF(A118=FALSE,"",IF(ALLTHESAME=TRUE,IF(HC118&lt;&gt;$BC$7,0,INDEX(HA118:HZ118,1,MATCH(Structure!$D$12,$HA$14:$HZ$14,0)))+TK118,IF(IC118&lt;&gt;$BC$7,0,INDEX(IA118:IZ118,1,MATCH(Structure!$D$12,$IA$14:$IZ$14,0)))+TK118))</f>
        <v/>
      </c>
      <c r="BJ118" s="239" t="str">
        <f>IF(A118=FALSE,"",IF(ALLTHESAME=TRUE,IF(JC118&lt;&gt;$BC$7,0,INDEX(JA118:JZ118,1,MATCH(Structure!$D$12,$JA$14:$JZ$14,0))),IF(KC118&lt;&gt;$BC$7,0,INDEX(KA118:KZ118,1,MATCH(Structure!$D$12,$KA$14:$KZ$14,0)))))</f>
        <v/>
      </c>
      <c r="BK118" s="763" t="str">
        <f>IF(A118=FALSE,"",IF(ALLTHESAME=TRUE,IF(LC118&lt;&gt;$BC$7,0,INDEX(LA118:LZ118,1,MATCH(Structure!$D$12,$LA$14:$LZ$14,0)))+UK118,IF(MC118&lt;&gt;$BC$7,0,INDEX(MA118:MZ118,1,MATCH(Structure!$D$12,$MA$14:$MZ$14,0)))+UK118))</f>
        <v/>
      </c>
      <c r="BL118" s="239" t="str">
        <f>IF(A118=FALSE,"",IF(ALLTHESAME=TRUE,IF(NC118&lt;&gt;$BC$7,0,INDEX(NA118:NZ118,1,MATCH(Structure!$D$12,$NA$14:$NZ$14,0))),IF(OC118&lt;&gt;$BC$7,0,INDEX(OA118:OZ118,1,MATCH(Structure!$D$12,$OA$14:$OZ$14,0)))))</f>
        <v/>
      </c>
      <c r="BM118" s="239" t="str">
        <f>IF(A118=FALSE,"",IF(ALLTHESAME=TRUE,IF(PC118&lt;&gt;$BC$7,0,INDEX(PA118:PZ118,1,MATCH(Structure!$D$12,$PA$14:$PZ$14,0))),IF(QC118&lt;&gt;$BC$7,0,INDEX(QA118:QZ118,1,MATCH(Structure!$D$12,$QA$14:$QZ$14,0)))))</f>
        <v/>
      </c>
      <c r="BN118" s="341" t="str">
        <f>IF(A118=FALSE,"",IF(ALLTHESAME=TRUE,IF(RC118&lt;&gt;$BC$7,0,INDEX(RA118:RZ118,1,MATCH(Structure!$D$12,$RA$14:$RZ$14,0))),IF(SC118&lt;&gt;$BC$7,0,INDEX(SA118:TA118,1,MATCH(Structure!$D$12,$SA$14:$TA$14,0)))))</f>
        <v/>
      </c>
      <c r="BO118" s="507" t="str">
        <f t="shared" si="859"/>
        <v/>
      </c>
      <c r="BP118" s="239" t="str">
        <f t="shared" si="860"/>
        <v/>
      </c>
      <c r="BQ118" s="239" t="str">
        <f>IF(A118=FALSE,"",IF(ALLTHESAME=TRUE,IF(DF118&lt;&gt;$BO$7,0,INDEX(DD118:DZ118,1,MATCH(Structure!$D$12,$DD$14:$DZ$14,0))),IF(EC118&lt;&gt;$BO$7,0,INDEX(EA118:EZ118,1,MATCH(Structure!$D$12,$EA$14:$EZ$14,0)))))</f>
        <v/>
      </c>
      <c r="BR118" s="239" t="str">
        <f>IF(A118=FALSE,"",IF(ALLTHESAME=TRUE,IF(FC118&lt;&gt;$BO$7,0,INDEX(FA118:FZ118,1,MATCH(Structure!$D$12,$FA$14:$FZ$14,0))),IF(GC118&lt;&gt;$BO$7,0,INDEX(GA118:GZ118,1,MATCH(Structure!$D$12,$GA$14:$GZ$14,0)))))</f>
        <v/>
      </c>
      <c r="BS118" s="239" t="str">
        <f>IF(A118=FALSE,"",IF(ALLTHESAME=TRUE,IF(HC118&lt;&gt;$BO$7,0,INDEX(HA118:HZ118,1,MATCH(Structure!$D$12,$HA$14:$HZ$14,0))),IF(IC118&lt;&gt;$BO$7,0,INDEX(IA118:IZ118,1,MATCH(Structure!$D$12,$IA$14:$IZ$14,0)))))</f>
        <v/>
      </c>
      <c r="BT118" s="239" t="str">
        <f>IF(A118=FALSE,"",IF(ALLTHESAME=TRUE,IF(JC118&lt;&gt;$BO$7,0,INDEX(JA118:JZ118,1,MATCH(Structure!$D$12,$JA$14:$JZ$14,0))),IF(KC118&lt;&gt;$BO$7,0,INDEX(KA118:KZ118,1,MATCH(Structure!$D$12,$KA$14:$KZ$14,0)))))</f>
        <v/>
      </c>
      <c r="BU118" s="239" t="str">
        <f>IF(A118=FALSE,"",IF(ALLTHESAME=TRUE,IF(LC118&lt;&gt;$BO$7,0,INDEX(LA118:LZ118,1,MATCH(Structure!$D$12,$LA$14:$LZ$14,0))),IF(MC118&lt;&gt;$BO$7,0,INDEX(MA118:MZ118,1,MATCH(Structure!$D$12,$MA$14:$MZ$14,0)))))</f>
        <v/>
      </c>
      <c r="BV118" s="239" t="str">
        <f>IF(A118=FALSE,"",IF(ALLTHESAME=TRUE,IF(NC118&lt;&gt;$BO$7,0,INDEX(NA118:NZ118,1,MATCH(Structure!$D$12,$NA$14:$NZ$14,0))),IF(OC118&lt;&gt;$BO$7,0,INDEX(OA118:OZ118,1,MATCH(Structure!$D$12,$OA$14:$OZ$14,0)))))</f>
        <v/>
      </c>
      <c r="BW118" s="239" t="str">
        <f>IF(A118=FALSE,"",IF(ALLTHESAME=TRUE,IF(PC118&lt;&gt;$BO$7,0,INDEX(PA118:PZ118,1,MATCH(Structure!$D$12,$PA$14:$PZ$14,0))),IF(QC118&lt;&gt;$BO$7,0,INDEX(QA118:QZ118,1,MATCH(Structure!$D$12,$QA$14:$QZ$14,0)))))</f>
        <v/>
      </c>
      <c r="BX118" s="341" t="str">
        <f>IF(A118=FALSE,"",IF(ALLTHESAME=TRUE,IF(RC118&lt;&gt;$BO$7,0,INDEX(RA118:RZ118,1,MATCH(Structure!$D$12,$RA$14:$RZ$14,0))),IF(SC118&lt;&gt;$BO$7,0,INDEX(SA118:TA118,1,MATCH(Structure!$D$12,$SA$14:$TA$14,0)))))</f>
        <v/>
      </c>
      <c r="BY118" s="347" t="str">
        <f t="shared" si="861"/>
        <v/>
      </c>
      <c r="BZ118" s="507" t="str">
        <f t="shared" si="862"/>
        <v/>
      </c>
      <c r="CA118" s="239" t="str">
        <f t="shared" si="863"/>
        <v/>
      </c>
      <c r="CB118" s="239" t="str">
        <f>IF(A118=FALSE,"",IF(ALLTHESAME=TRUE,INDEX(DD118:DZ118,MATCH(DF118,DF118:DF223,0),MATCH(Structure!$D$17,$DD$14:$DZ$14,0)),INDEX(EA118:EZ118,MATCH(EC118,EC118:EC223,0),MATCH(Structure!$D$17,$EA$14:$EZ$14,0))))</f>
        <v/>
      </c>
      <c r="CC118" s="239" t="str">
        <f>IF(A118=FALSE,"",IF(ALLTHESAME=TRUE,INDEX(FA118:FZ118,MATCH(FC118,FC118:FC223,0),MATCH(Structure!$D$17,$FA$14:$FZ$14,0)),INDEX(GA118:GZ118,MATCH(GC118,GC118:GC223,0),MATCH(Structure!$D$17,$GA$14:$GZ$14,0))))</f>
        <v/>
      </c>
      <c r="CD118" s="239" t="str">
        <f>IF(A118=FALSE,"",IF(ALLTHESAME=TRUE,INDEX(HA118:HZ118,MATCH(HC118,HC118:HC223,0),MATCH(Structure!$D$17,$HA$14:$HZ$14,0)),INDEX(IA118:IZ118,MATCH(IC118,IC118:IC223,0),MATCH(Structure!$D$17,$IA$14:$IZ$14,0))))</f>
        <v/>
      </c>
      <c r="CE118" s="239" t="str">
        <f>IF(A118=FALSE,"",IF(ALLTHESAME=TRUE,INDEX(JA118:JZ118,MATCH(JC118,JC118:JC223,0),MATCH(Structure!$D$17,$JA$14:$JZ$14,0)),INDEX(KA118:KZ118,MATCH(KC118,KC118:KC223,0),MATCH(Structure!$D$17,$KA$14:$KZ$14,0))))</f>
        <v/>
      </c>
      <c r="CF118" s="239" t="str">
        <f>IF(A118=FALSE,"",IF(ALLTHESAME=TRUE,INDEX(LA118:LZ118,MATCH(LC118,LC118:LC223,0),MATCH(Structure!$D$17,$LA$14:$LZ$14,0)),INDEX(MA118:MZ118,MATCH(MC118,MC118:MC223,0),MATCH(Structure!$D$17,$MA$14:$MZ$14,0))))</f>
        <v/>
      </c>
      <c r="CG118" s="239" t="str">
        <f>IF(A118=FALSE,"",IF(ALLTHESAME=TRUE,INDEX(NA118:NZ118,MATCH(NC118,NC118:NC223,0),MATCH(Structure!$D$17,$NA$14:$NZ$14,0)),INDEX(OA118:OZ118,MATCH(OC118,OC118:OC223,0),MATCH(Structure!$D$17,$OA$14:$OZ$14,0))))</f>
        <v/>
      </c>
      <c r="CH118" s="239" t="str">
        <f>IF(A118=FALSE,"",IF(ALLTHESAME=TRUE,INDEX(PA118:PZ118,MATCH(PC118,PC118:PC223,0),MATCH(Structure!$D$17,$PA$14:$PZ$14,0)),INDEX(QA118:QZ118,MATCH(QC118,QC118:QC223,0),MATCH(Structure!$D$17,$QA$14:$QZ$14,0))))</f>
        <v/>
      </c>
      <c r="CI118" s="341" t="str">
        <f>IF(A118=FALSE,"",IF(ALLTHESAME=TRUE,INDEX(RA118:RZ118,MATCH(RC118,RC118:RC223,0),MATCH(Structure!$D$17,$RA$14:$RZ$14,0)),INDEX(SA118:TC118,MATCH(SC118,SC118:SC223,0),MATCH(Structure!$D$17,$SA$14:$TC$14,0))))</f>
        <v/>
      </c>
      <c r="CJ118" s="347"/>
      <c r="CK118" s="239" t="str">
        <f t="shared" si="864"/>
        <v/>
      </c>
      <c r="CL118" s="239" t="str">
        <f>IF(A118=FALSE,"",IF(ALLTHESAME=TRUE,INDEX(DD118:DZ118,MATCH(DF118,DF118:DF223,0),MATCH(Structure!$D$22,$DD$14:$DZ$14,0)),INDEX(EA118:EZ118,MATCH(EC118,EC118:EC223,0),MATCH(Structure!$D$22,$EA$14:$EZ$14,0))))</f>
        <v/>
      </c>
      <c r="CM118" s="239" t="str">
        <f>IF(A118=FALSE,"",IF(ALLTHESAME=TRUE,INDEX(FA118:FZ118,MATCH(FC118,FC118:FC223,0),MATCH(Structure!$D$22,$FA$14:$FZ$14,0)),INDEX(GA118:GZ118,MATCH(GC118,GC118:GC223,0),MATCH(Structure!$D$22,$GA$14:$GZ$14,0))))</f>
        <v/>
      </c>
      <c r="CN118" s="239" t="str">
        <f>IF(A118=FALSE,"",IF(ALLTHESAME=TRUE,INDEX(HA118:HZ118,MATCH(HC118,HC118:HC223,0),MATCH(Structure!$D$22,$HA$14:$HZ$14,0)),INDEX(IA118:IZ118,MATCH(IC118,IC118:IC223,0),MATCH(Structure!$D$22,$IA$14:$IZ$14,0))))</f>
        <v/>
      </c>
      <c r="CO118" s="239" t="str">
        <f>IF(A118=FALSE,"",IF(ALLTHESAME=TRUE,INDEX(JA118:JZ118,MATCH(JC118,JC118:JC223,0),MATCH(Structure!$D$22,$JA$14:$JZ$14,0)),INDEX(KA118:KZ118,MATCH(KC118,KC118:KC223,0),MATCH(Structure!$D$22,$KA$14:$KZ$14,0))))</f>
        <v/>
      </c>
      <c r="CP118" s="239" t="str">
        <f>IF(A118=FALSE,"",IF(ALLTHESAME=TRUE,INDEX(LA118:LZ118,MATCH(LC118,LC118:LC223,0),MATCH(Structure!$D$22,$LA$14:$LZ$14,0)),INDEX(MA118:MZ118,MATCH(MC118,MC118:MC223,0),MATCH(Structure!$D$22,$MA$14:$MZ$14,0))))</f>
        <v/>
      </c>
      <c r="CQ118" s="239" t="str">
        <f>IF(A118=FALSE,"",IF(ALLTHESAME=TRUE,INDEX(NA118:NZ118,MATCH(NC118,NC118:NC223,0),MATCH(Structure!$D$22,$NA$14:$NZ$14,0)),INDEX(OA118:OZ118,MATCH(OC118,OC118:OC223,0),MATCH(Structure!$D$22,$OA$14:$OZ$14,0))))</f>
        <v/>
      </c>
      <c r="CR118" s="239" t="str">
        <f>IF(A118=FALSE,"",IF(ALLTHESAME=TRUE,INDEX(PA118:PZ118,MATCH(PC118,PC118:PC223,0),MATCH(Structure!$D$22,$PA$14:$PZ$14,0)),INDEX(QA118:QZ118,MATCH(QC118,QC118:QC223,0),MATCH(Structure!$D$22,$QA$14:$QZ$14,0))))</f>
        <v/>
      </c>
      <c r="CS118" s="341" t="str">
        <f>IF(A118=FALSE,"",IF(ALLTHESAME=TRUE,INDEX(RA118:RZ118,MATCH(RC118,RC118:RC223,0),MATCH(Structure!$D$22,$RA$14:$RZ$14,0)),INDEX(SA118:TC118,MATCH(SC118,SC118:SC223,0),MATCH(Structure!$D$22,$SA$14:$TC$14,0))))</f>
        <v/>
      </c>
      <c r="CT118" s="347"/>
      <c r="CU118" s="239" t="str">
        <f t="shared" si="865"/>
        <v/>
      </c>
      <c r="CV118" s="239" t="str">
        <f>IF(A118=FALSE,"",IF(ALLTHESAME=TRUE,INDEX(DD118:DZ118,MATCH(DF118,DF118:DF223,0),MATCH(Structure!$D$8,$DD$14:$DZ$14,0)),INDEX(EA118:EZ118,MATCH(EC118,EC118:EC223,0),MATCH(Structure!$D$8,$EA$14:$EZ$14,0))))</f>
        <v/>
      </c>
      <c r="CW118" s="239" t="str">
        <f>IF(A118=FALSE,"",IF(ALLTHESAME=TRUE,INDEX(FA118:FZ118,MATCH(FC118,FC118:FC223,0),MATCH(Structure!$D$8,$FA$14:$FZ$14,0)),INDEX(GA118:GZ118,MATCH(GC118,GC118:GC223,0),MATCH(Structure!$D$8,$GA$14:$GZ$14,0))))</f>
        <v/>
      </c>
      <c r="CX118" s="239" t="str">
        <f>IF(A118=FALSE,"",IF(ALLTHESAME=TRUE,INDEX(HA118:HZ118,MATCH(HC118,HC118:HC223,0),MATCH(Structure!$D$8,$HA$14:$HZ$14,0)),INDEX(IA118:IZ118,MATCH(IC118,IC118:IC223,0),MATCH(Structure!$D$8,$IA$14:$IZ$14,0))))</f>
        <v/>
      </c>
      <c r="CY118" s="239" t="str">
        <f>IF(A118=FALSE,"",IF(ALLTHESAME=TRUE,INDEX(JA118:JZ118,MATCH(JC118,JC118:JC223,0),MATCH(Structure!$D$8,$JA$14:$JZ$14,0)),INDEX(KA118:KZ118,MATCH(KC118,KC118:KC223,0),MATCH(Structure!$D$8,$KA$14:$KZ$14,0))))</f>
        <v/>
      </c>
      <c r="CZ118" s="239" t="str">
        <f>IF(A118=FALSE,"",IF(ALLTHESAME=TRUE,INDEX(LA118:LZ118,MATCH(LC118,LC118:LC223,0),MATCH(Structure!$D$8,$LA$14:$LZ$14,0)),INDEX(MA118:MZ118,MATCH(MC118,MC118:MC223,0),MATCH(Structure!$D$8,$MA$14:$MZ$14,0))))</f>
        <v/>
      </c>
      <c r="DA118" s="239" t="str">
        <f>IF(A118=FALSE,"",IF(ALLTHESAME=TRUE,INDEX(NA118:NZ118,MATCH(NC118,NC118:NC223,0),MATCH(Structure!$D$8,$NA$14:$NZ$14,0)),INDEX(OA118:OZ118,MATCH(OC118,OC118:OC223,0),MATCH(Structure!$D$8,$OA$14:$OZ$14,0))))</f>
        <v/>
      </c>
      <c r="DB118" s="239" t="str">
        <f>IF(A118=FALSE,"",IF(ALLTHESAME=TRUE,INDEX(PA118:PZ118,MATCH(PC118,PC118:PC223,0),MATCH(Structure!$D$8,$PA$14:$PZ$14,0)),INDEX(QA118:QZ118,MATCH(QC118,QC118:QC223,0),MATCH(Structure!$D$8,$QA$14:$QZ$14,0))))</f>
        <v/>
      </c>
      <c r="DC118" s="341" t="str">
        <f>IF(A118=FALSE,"",IF(ALLTHESAME=TRUE,INDEX(RA118:RZ118,MATCH(RC118,RC118:RC223,0),MATCH(Structure!$D$8,$RA$14:$RZ$14,0)),INDEX(SA118:TC118,MATCH(SC118,SC118:SC223,0),MATCH(Structure!$D$8,$SA$14:$TC$14,0))))</f>
        <v/>
      </c>
      <c r="DD118" s="492" t="str">
        <f>IF(A118=FALSE,"",Cotations!D118)</f>
        <v/>
      </c>
      <c r="DE118" s="492" t="str">
        <f>IF(A118=FALSE,"",IF(LISTES!$A$17=1,Cotations!AF118,Cotations!$AG$4))</f>
        <v/>
      </c>
      <c r="DF118" s="291" t="str">
        <f t="shared" si="866"/>
        <v/>
      </c>
      <c r="DG118" s="291" t="str">
        <f t="shared" si="867"/>
        <v/>
      </c>
      <c r="DH118" s="291"/>
      <c r="DI118" s="463"/>
      <c r="DJ118" s="463" t="str">
        <f t="shared" si="868"/>
        <v/>
      </c>
      <c r="DK118" s="522" t="str">
        <f>IF(A118=FALSE,"",IF(Cotations!$AH$4="monthly",DJ118/12*L118,DJ118/365*M118))</f>
        <v/>
      </c>
      <c r="DL118" s="489" t="str">
        <f>IF(A118=FALSE,"",Cotations!$AI$4)</f>
        <v/>
      </c>
      <c r="DM118" s="300" t="str">
        <f t="shared" si="869"/>
        <v/>
      </c>
      <c r="DN118" s="300" t="str">
        <f t="shared" si="870"/>
        <v/>
      </c>
      <c r="DO118" s="294" t="str">
        <f t="shared" si="871"/>
        <v/>
      </c>
      <c r="DP118" s="494" t="str">
        <f>IF(A118=FALSE,"",Cotations!$AJ$4)</f>
        <v/>
      </c>
      <c r="DQ118" s="494" t="str">
        <f>IF(A118=FALSE,"",Cotations!$AK$4)</f>
        <v/>
      </c>
      <c r="DR118" s="489" t="str">
        <f>IF(A118=FALSE,"",Cotations!$AL$4)</f>
        <v/>
      </c>
      <c r="DS118" s="494" t="str">
        <f>IF(A118=FALSE,"",IF(DP118="N/A",0,IF(INDEX(LISTES!$F$105:$F$109,MATCH(DP118,LISTES!$C$105:$C$109,0))="FIX",IF(INDEX(LISTES!$E$105:$E$109,MATCH(DP118,LISTES!$C$105:$C$109,0))=12,DQ118/12*L118,DQ118/365*M118),DR118*DO118)))</f>
        <v/>
      </c>
      <c r="DT118" s="294" t="str">
        <f t="shared" si="872"/>
        <v/>
      </c>
      <c r="DU118" s="294" t="str">
        <f>IF(A118=FALSE,"",DT118*Cotations!$AM$4)</f>
        <v/>
      </c>
      <c r="DV118" s="294" t="str">
        <f>IF(A118=FALSE,"",DT118*Cotations!$AN$4)</f>
        <v/>
      </c>
      <c r="DW118" s="465" t="str">
        <f t="shared" si="873"/>
        <v/>
      </c>
      <c r="DX118" s="919" t="str">
        <f>IF(A118=FALSE,"",((DJ118*TAXE)-(DJ118*TAXE*DL118))+IF(DP118="N/A",0,IF(INDEX(LISTES!$F$105:$F$109,MATCH(DP118,LISTES!$C$105:$C$109,0))="FIX",DQ118,DR118*DO118)))</f>
        <v/>
      </c>
      <c r="DY118" s="466"/>
      <c r="DZ118" s="466"/>
      <c r="EA118" s="492" t="str">
        <f>IF(A118=FALSE,"",Cotations!D118)</f>
        <v/>
      </c>
      <c r="EB118" s="494" t="str">
        <f>IF(A118=FALSE,"",IF(LISTES!$A$17=1,Cotations!AF118,Cotations!AG118))</f>
        <v/>
      </c>
      <c r="EC118" s="284" t="str">
        <f t="shared" si="874"/>
        <v/>
      </c>
      <c r="ED118" s="284" t="str">
        <f t="shared" si="875"/>
        <v/>
      </c>
      <c r="EE118" s="284"/>
      <c r="EF118" s="284"/>
      <c r="EG118" s="284" t="str">
        <f t="shared" si="876"/>
        <v/>
      </c>
      <c r="EH118" s="1365" t="str">
        <f t="shared" si="877"/>
        <v/>
      </c>
      <c r="EI118" s="1365" t="str">
        <f t="shared" si="878"/>
        <v/>
      </c>
      <c r="EJ118" s="515" t="str">
        <f>IF(A118=FALSE,"",IF(Cotations!AH118="monthly",EG118/12*L118,EG118/365*M118))</f>
        <v/>
      </c>
      <c r="EK118" s="1364" t="str">
        <f>IF(A118=FALSE,"",IF(Cotations!AH118="monthly",EI118/12*L118,EI118/365*M118))</f>
        <v/>
      </c>
      <c r="EL118" s="493" t="str">
        <f>IF(A118=FALSE,"",IF(Cotations!AI118="","",Cotations!AI118))</f>
        <v/>
      </c>
      <c r="EM118" s="284" t="str">
        <f t="shared" si="879"/>
        <v/>
      </c>
      <c r="EN118" s="284" t="str">
        <f t="shared" si="880"/>
        <v/>
      </c>
      <c r="EO118" s="1365" t="str">
        <f t="shared" si="840"/>
        <v/>
      </c>
      <c r="EP118" s="284" t="str">
        <f t="shared" si="881"/>
        <v/>
      </c>
      <c r="EQ118" s="515" t="str">
        <f>IF(A118=FALSE,"",Cotations!AJ118)</f>
        <v/>
      </c>
      <c r="ER118" s="515" t="str">
        <f>IF(A118=FALSE,"",IF(Cotations!AK118="","",Cotations!AK118))</f>
        <v/>
      </c>
      <c r="ES118" s="493" t="str">
        <f>IF(A118=FALSE,"",Cotations!AL118)</f>
        <v/>
      </c>
      <c r="ET118" s="515" t="str">
        <f>IF(A118=FALSE,"",IF(EQ118="N/A",0,IF(INDEX(LISTES!$F$105:$F$109,MATCH(EQ118,LISTES!$C$105:$C$109,0))="FIX",IF(INDEX(LISTES!$E$105:$E$109,MATCH(EQ118,LISTES!$C$105:$C$109,0))=12,ER118/12*L118,ER118/365*M118),ES118*EP118)))</f>
        <v/>
      </c>
      <c r="EU118" s="294" t="str">
        <f t="shared" si="882"/>
        <v/>
      </c>
      <c r="EV118" s="494" t="str">
        <f>IF(A118=FALSE,"",EU118*Cotations!AM118)</f>
        <v/>
      </c>
      <c r="EW118" s="494" t="str">
        <f>IF(A118=FALSE,"",EU118*Cotations!AN118)</f>
        <v/>
      </c>
      <c r="EX118" s="334" t="str">
        <f t="shared" si="883"/>
        <v/>
      </c>
      <c r="EY118" s="919" t="str">
        <f>IF(A118=FALSE,"",((EG118*TAXE)-(EG118*TAXE*EL118)+EH118)+IF(EQ118="N/A",0,IF(INDEX(LISTES!$F$105:$F$109,MATCH(EQ118,LISTES!$C$105:$C$109,0))="FIX",ER118,ES118*EP118)))</f>
        <v/>
      </c>
      <c r="FA118" s="492" t="str">
        <f>IF(A118=FALSE,"",Cotations!D118)</f>
        <v/>
      </c>
      <c r="FB118" s="519" t="str">
        <f>IF(A118=FALSE,"",IF(LISTES!$A$17=1,Cotations!AO118,Cotations!$AP$4))</f>
        <v/>
      </c>
      <c r="FC118" s="291" t="str">
        <f t="shared" si="884"/>
        <v/>
      </c>
      <c r="FD118" s="291" t="str">
        <f t="shared" si="885"/>
        <v/>
      </c>
      <c r="FE118" s="291"/>
      <c r="FF118" s="463"/>
      <c r="FG118" s="463" t="str">
        <f t="shared" si="886"/>
        <v/>
      </c>
      <c r="FH118" s="522" t="str">
        <f>IF(A118=FALSE,"",IF(Cotations!$AQ$4="monthly",FG118/12*L118,FG118/365*M118))</f>
        <v/>
      </c>
      <c r="FI118" s="453" t="str">
        <f>IF(A118=FALSE,"",Cotations!$AR$4)</f>
        <v/>
      </c>
      <c r="FJ118" s="300" t="str">
        <f t="shared" si="887"/>
        <v/>
      </c>
      <c r="FK118" s="300" t="str">
        <f t="shared" si="888"/>
        <v/>
      </c>
      <c r="FL118" s="294" t="str">
        <f t="shared" si="889"/>
        <v/>
      </c>
      <c r="FM118" s="494" t="str">
        <f>IF(A118=FALSE,"",Cotations!$AS$4)</f>
        <v/>
      </c>
      <c r="FN118" s="494" t="str">
        <f>IF(A118=FALSE,"",Cotations!$AT$4)</f>
        <v/>
      </c>
      <c r="FO118" s="489" t="str">
        <f>IF(A118=FALSE,"",Cotations!$AU$4)</f>
        <v/>
      </c>
      <c r="FP118" s="494" t="str">
        <f>IF(A118=FALSE,"",IF(FM118="N/A",0,IF(INDEX(LISTES!$F$105:$F$109,MATCH(FM118,LISTES!$C$105:$C$109,0))="FIX",IF(INDEX(LISTES!$E$105:$E$109,MATCH(FM118,LISTES!$C$105:$C$109,0))=12,FN118/12*L118,FN118/365*M118),FO118*FL118)))</f>
        <v/>
      </c>
      <c r="FQ118" s="294" t="str">
        <f t="shared" si="890"/>
        <v/>
      </c>
      <c r="FR118" s="494" t="str">
        <f>IF(A118=FALSE,"",FQ118*Cotations!$AV$4)</f>
        <v/>
      </c>
      <c r="FS118" s="494" t="str">
        <f>IF(A118=FALSE,"",FQ118*Cotations!$AW$4)</f>
        <v/>
      </c>
      <c r="FT118" s="465" t="str">
        <f t="shared" si="891"/>
        <v/>
      </c>
      <c r="FU118" s="919" t="str">
        <f>IF(A118=FALSE,"",((FG118*TAXE)-(FG118*TAXE*FI118))+IF(FM118="N/A",0,IF(INDEX(LISTES!$F$105:$F$109,MATCH(FM118,LISTES!$C$105:$C$109,0))="FIX",FN118,FO118*FL118)))</f>
        <v/>
      </c>
      <c r="FV118" s="478"/>
      <c r="FW118" s="478"/>
      <c r="FX118" s="478"/>
      <c r="FY118" s="478"/>
      <c r="FZ118" s="478"/>
      <c r="GA118" s="492" t="str">
        <f>IF(A118=FALSE,"",Cotations!D118)</f>
        <v/>
      </c>
      <c r="GB118" s="494" t="str">
        <f>IF(A118=FALSE,"",IF(LISTES!$A$17=1,Cotations!AO118,Cotations!AP118))</f>
        <v/>
      </c>
      <c r="GC118" s="284" t="str">
        <f t="shared" si="892"/>
        <v/>
      </c>
      <c r="GD118" s="515" t="str">
        <f>IF(A118=FALSE,"",IF(Detail!AM118="","",Detail!AM118))</f>
        <v/>
      </c>
      <c r="GE118" s="284"/>
      <c r="GF118" s="284"/>
      <c r="GG118" s="284" t="str">
        <f t="shared" si="893"/>
        <v/>
      </c>
      <c r="GH118" s="515" t="str">
        <f>IF(A118=FALSE,"",IF(Cotations!AQ118="monthly",GG118/12*L118,GG118/365*M118))</f>
        <v/>
      </c>
      <c r="GI118" s="493" t="str">
        <f>IF(A118=FALSE,"",IF(Cotations!AR118="","",Cotations!AR118))</f>
        <v/>
      </c>
      <c r="GJ118" s="284" t="str">
        <f t="shared" si="894"/>
        <v/>
      </c>
      <c r="GK118" s="284" t="str">
        <f t="shared" si="895"/>
        <v/>
      </c>
      <c r="GL118" s="284" t="str">
        <f t="shared" si="896"/>
        <v/>
      </c>
      <c r="GM118" s="515" t="str">
        <f>IF(A118=FALSE,"",Cotations!AS118)</f>
        <v/>
      </c>
      <c r="GN118" s="515" t="str">
        <f>IF(A118=FALSE,"",Cotations!AT118)</f>
        <v/>
      </c>
      <c r="GO118" s="493" t="str">
        <f>IF(A118=FALSE,"",Cotations!AU118)</f>
        <v/>
      </c>
      <c r="GP118" s="515" t="str">
        <f>IF(A118=FALSE,"",IF(GM118="N/A",0,IF(INDEX(LISTES!$F$105:$F$109,MATCH(GM118,LISTES!$C$105:$C$109,0))="FIX",IF(INDEX(LISTES!$E$105:$E$109,MATCH(GM118,LISTES!$C$105:$C$109,0))=12,GN118/12*L118,GN118/365*M118),GO118*GL118)))</f>
        <v/>
      </c>
      <c r="GQ118" s="294" t="str">
        <f t="shared" si="897"/>
        <v/>
      </c>
      <c r="GR118" s="494" t="str">
        <f>IF(A118=FALSE,"",GQ118*Cotations!AV118)</f>
        <v/>
      </c>
      <c r="GS118" s="494" t="str">
        <f>IF(A118=FALSE,"",GQ118*Cotations!AW118)</f>
        <v/>
      </c>
      <c r="GT118" s="334" t="str">
        <f t="shared" si="898"/>
        <v/>
      </c>
      <c r="GU118" s="919" t="str">
        <f>IF(A118=FALSE,"",((GG118*TAXE)-(GG118*TAXE*GI118))+IF(GM118="N/A",0,IF(INDEX(LISTES!$F$105:$F$109,MATCH(GM118,LISTES!$C$105:$C$109,0))="FIX",GN118,GO118*GL118)))</f>
        <v/>
      </c>
      <c r="GV118" s="478"/>
      <c r="GW118" s="466"/>
      <c r="GX118" s="466"/>
      <c r="GY118" s="466"/>
      <c r="GZ118" s="466"/>
      <c r="HA118" s="492" t="str">
        <f>IF(A118=FALSE,"",Cotations!D118)</f>
        <v/>
      </c>
      <c r="HB118" s="495" t="str">
        <f>IF(A118=FALSE,"",IF(LISTES!$A$17=1,Cotations!AX118,Cotations!$AY$4))</f>
        <v/>
      </c>
      <c r="HC118" s="291" t="str">
        <f t="shared" si="899"/>
        <v/>
      </c>
      <c r="HD118" s="291" t="str">
        <f t="shared" si="900"/>
        <v/>
      </c>
      <c r="HE118" s="456" t="str">
        <f t="shared" si="901"/>
        <v/>
      </c>
      <c r="HF118" s="496" t="str">
        <f>IF(A118=FALSE,"",IF(HA118="POEA",Cotations!BA118,IF(HA118="FIXE",Cotations!$BA$4,Cotations!$BC$4*Y118)))</f>
        <v/>
      </c>
      <c r="HG118" s="300" t="str">
        <f t="shared" si="902"/>
        <v/>
      </c>
      <c r="HH118" s="522" t="str">
        <f>IF(A118=FALSE,"",IF(Cotations!$AZ$4="monthly",HG118/12*L118,HG118/365*M118))</f>
        <v/>
      </c>
      <c r="HI118" s="489" t="str">
        <f>IF(A118=FALSE,"",Cotations!$BD$4)</f>
        <v/>
      </c>
      <c r="HJ118" s="300" t="str">
        <f t="shared" si="903"/>
        <v/>
      </c>
      <c r="HK118" s="300" t="str">
        <f t="shared" si="904"/>
        <v/>
      </c>
      <c r="HL118" s="294" t="str">
        <f t="shared" si="905"/>
        <v/>
      </c>
      <c r="HM118" s="494" t="str">
        <f>IF(A118=FALSE,"",Cotations!$BE$4)</f>
        <v/>
      </c>
      <c r="HN118" s="522" t="str">
        <f>IF(A118=FALSE,"",Cotations!$BF$4)</f>
        <v/>
      </c>
      <c r="HO118" s="489" t="str">
        <f>IF(A118=FALSE,"",Cotations!$BG$4)</f>
        <v/>
      </c>
      <c r="HP118" s="494" t="str">
        <f>IF(A118=FALSE,"",IF(HM118="N/A",0,IF(INDEX(LISTES!$F$105:$F$109,MATCH(HM118,LISTES!$C$105:$C$109,0))="FIX",IF(INDEX(LISTES!$E$105:$E$109,MATCH(HM118,LISTES!$C$105:$C$109,0))=12,HN118/12*L118,HN118/365*M118),HO118*HL118)))</f>
        <v/>
      </c>
      <c r="HQ118" s="294" t="str">
        <f t="shared" si="906"/>
        <v/>
      </c>
      <c r="HR118" s="494" t="str">
        <f>IF(A118=FALSE,"",HQ118*Cotations!$BH$4)</f>
        <v/>
      </c>
      <c r="HS118" s="494" t="str">
        <f>IF(A118=FALSE,"",HQ118*Cotations!$BI$4)</f>
        <v/>
      </c>
      <c r="HT118" s="294" t="str">
        <f t="shared" si="907"/>
        <v/>
      </c>
      <c r="HU118" s="919" t="str">
        <f>IF(A118=FALSE,"",((HG118*TAXE)-(HG118*TAXE*HI118))+IF(HM118="N/A",0,IF(INDEX(LISTES!$F$105:$F$109,MATCH(HM118,LISTES!$C$105:$C$109,0))="FIX",HN118,HO118*HL118)))</f>
        <v/>
      </c>
      <c r="IA118" s="492" t="str">
        <f>IF(A118=FALSE,"",Cotations!D118)</f>
        <v/>
      </c>
      <c r="IB118" s="491" t="str">
        <f>IF(A118=FALSE,"",IF(LISTES!$A$17=1,Cotations!AX118,Cotations!AY118))</f>
        <v/>
      </c>
      <c r="IC118" s="285" t="str">
        <f t="shared" si="908"/>
        <v/>
      </c>
      <c r="ID118" s="300" t="str">
        <f>IF(A118=FALSE,"",IF(LISTES!$A$17=3,Detail!AU118,lig1_Formula_PREVOY))</f>
        <v/>
      </c>
      <c r="IE118" s="461" t="str">
        <f t="shared" si="909"/>
        <v/>
      </c>
      <c r="IF118" s="490" t="str">
        <f>IF(A118=FALSE,"",IF(IA118="POEA",Cotations!BA118,IF(HA118="FIXE",Cotations!BB118,IF(Cotations!BC118*Y118&lt;50000,Z118,Cotations!BC118*Y118))))</f>
        <v/>
      </c>
      <c r="IG118" s="300" t="str">
        <f t="shared" si="910"/>
        <v/>
      </c>
      <c r="IH118" s="522" t="str">
        <f>IF(A118=FALSE,"",IF(Cotations!AZ118="monthly",IG118/12*L118,IG118/365*M118))</f>
        <v/>
      </c>
      <c r="II118" s="489" t="str">
        <f>IF(A118=FALSE,"",IF(Cotations!BD118="","",Cotations!BD118))</f>
        <v/>
      </c>
      <c r="IJ118" s="300" t="str">
        <f t="shared" si="911"/>
        <v/>
      </c>
      <c r="IK118" s="300" t="str">
        <f t="shared" si="912"/>
        <v/>
      </c>
      <c r="IL118" s="919" t="str">
        <f t="shared" si="913"/>
        <v/>
      </c>
      <c r="IM118" s="517" t="str">
        <f>IF(A118=FALSE,"",Cotations!BE118)</f>
        <v/>
      </c>
      <c r="IN118" s="517" t="str">
        <f>IF(A118=FALSE,"",Cotations!BF118)</f>
        <v/>
      </c>
      <c r="IO118" s="493" t="str">
        <f>IF(A118=FALSE,"",Cotations!BG118)</f>
        <v/>
      </c>
      <c r="IP118" s="517" t="str">
        <f>IF(A118=FALSE,"",IF(IM118="N/A",0,IF(INDEX(LISTES!$F$105:$F$109,MATCH(IM118,LISTES!$C$105:$C$109,0))="FIX",IF(INDEX(LISTES!$E$105:$E$109,MATCH(IM118,LISTES!$C$105:$C$109,0))=12,IN118/12*L118,IN118/365*M118),IO118*IL118)))</f>
        <v/>
      </c>
      <c r="IQ118" s="294" t="str">
        <f t="shared" si="914"/>
        <v/>
      </c>
      <c r="IR118" s="494" t="str">
        <f>IF(A118=FALSE,"",IQ118*Cotations!BH118)</f>
        <v/>
      </c>
      <c r="IS118" s="494" t="str">
        <f>IF(A118=FALSE,"",IQ118*Cotations!BI118)</f>
        <v/>
      </c>
      <c r="IT118" s="338" t="str">
        <f t="shared" si="915"/>
        <v/>
      </c>
      <c r="IU118" s="919" t="str">
        <f>IF(A118=FALSE,"",((IG118*TAXE)-(IG118*TAXE*II118))+IF(IM118="N/A",0,IF(INDEX(LISTES!$F$105:$F$109,MATCH(IM118,LISTES!$C$105:$C$109,0))="FIX",IN118,IO118*IL118)))</f>
        <v/>
      </c>
      <c r="JA118" s="492" t="str">
        <f>IF(A118=FALSE,"",Cotations!D118)</f>
        <v/>
      </c>
      <c r="JB118" s="495" t="str">
        <f>IF(A118=FALSE,"",IF(LISTES!$A$17=1,Cotations!BJ118,Cotations!$BK$4))</f>
        <v/>
      </c>
      <c r="JC118" s="291" t="str">
        <f t="shared" si="916"/>
        <v/>
      </c>
      <c r="JD118" s="291" t="str">
        <f t="shared" si="917"/>
        <v/>
      </c>
      <c r="JE118" s="456" t="str">
        <f t="shared" si="918"/>
        <v/>
      </c>
      <c r="JF118" s="496" t="str">
        <f>IF(A118=FALSE,"",IF(JA118="POEA",Cotations!BM118,IF(JA118="FIXE",Cotations!$BM$4,Cotations!$BO$4*Y118)))</f>
        <v/>
      </c>
      <c r="JG118" s="300" t="str">
        <f t="shared" si="919"/>
        <v/>
      </c>
      <c r="JH118" s="522" t="str">
        <f>IF(A118=FALSE,"",IF(Cotations!$BL$4="monthly",JG118/12*L118,JG118/365*M118))</f>
        <v/>
      </c>
      <c r="JI118" s="489" t="str">
        <f>IF(A118=FALSE,"",Cotations!$BP$4)</f>
        <v/>
      </c>
      <c r="JJ118" s="300" t="str">
        <f t="shared" si="920"/>
        <v/>
      </c>
      <c r="JK118" s="300" t="str">
        <f t="shared" si="921"/>
        <v/>
      </c>
      <c r="JL118" s="294" t="str">
        <f t="shared" si="922"/>
        <v/>
      </c>
      <c r="JM118" s="494" t="str">
        <f>IF(A118=FALSE,"",Cotations!$BQ$4)</f>
        <v/>
      </c>
      <c r="JN118" s="522" t="str">
        <f>IF(A118=FALSE,"",Cotations!$BR$4)</f>
        <v/>
      </c>
      <c r="JO118" s="489" t="str">
        <f>IF(A118=FALSE,"",Cotations!$BS$4)</f>
        <v/>
      </c>
      <c r="JP118" s="494" t="str">
        <f>IF(A118=FALSE,"",IF(JM118="N/A",0,IF(INDEX(LISTES!$F$105:$F$109,MATCH(JM118,LISTES!$C$105:$C$109,0))="FIX",IF(INDEX(LISTES!$E$105:$E$109,MATCH(JM118,LISTES!$C$105:$C$109,0))=12,JN118/12*L118,JN118/365*M118),JO118*JL118)))</f>
        <v/>
      </c>
      <c r="JQ118" s="294" t="str">
        <f t="shared" si="923"/>
        <v/>
      </c>
      <c r="JR118" s="494" t="str">
        <f>IF(A118=FALSE,"",JQ118*Cotations!$BT$4)</f>
        <v/>
      </c>
      <c r="JS118" s="494" t="str">
        <f>IF(A118=FALSE,"",JQ118*Cotations!$BU$4)</f>
        <v/>
      </c>
      <c r="JT118" s="294" t="str">
        <f t="shared" si="924"/>
        <v/>
      </c>
      <c r="JU118" s="919" t="str">
        <f>IF(A118=FALSE,"",((JG118*TAXE)-(JG118*TAXE*JI118))+IF(JM118="N/A",0,IF(INDEX(LISTES!$F$105:$F$109,MATCH(JM118,LISTES!$C$105:$C$109,0))="FIX",JN118,JO118*JL118)))</f>
        <v/>
      </c>
      <c r="KA118" s="492" t="str">
        <f>IF(A118=FALSE,"",Cotations!D118)</f>
        <v/>
      </c>
      <c r="KB118" s="491" t="str">
        <f>IF(A118=FALSE,"",IF(LISTES!$A$17=1,Cotations!BJ118,Cotations!BK118))</f>
        <v/>
      </c>
      <c r="KC118" s="285" t="str">
        <f t="shared" si="925"/>
        <v/>
      </c>
      <c r="KD118" s="300"/>
      <c r="KE118" s="461" t="str">
        <f t="shared" si="926"/>
        <v/>
      </c>
      <c r="KF118" s="490" t="str">
        <f>IF(A118=FALSE,"",IF(KA118="POEA",Cotations!BM118,IF(KA118="FIXE",Cotations!BN118,IF(Cotations!BO118*Y118&lt;50000,Z118,Cotations!BO118*Y118))))</f>
        <v/>
      </c>
      <c r="KG118" s="300" t="str">
        <f t="shared" si="927"/>
        <v/>
      </c>
      <c r="KH118" s="522" t="str">
        <f>IF(A118=FALSE,"",IF(Cotations!BL118="monthly",KG118/12*L118,KG118/365*M118))</f>
        <v/>
      </c>
      <c r="KI118" s="489" t="str">
        <f>IF(A118=FALSE,"",IF(Cotations!BP118="","",Cotations!BP118))</f>
        <v/>
      </c>
      <c r="KJ118" s="300" t="str">
        <f t="shared" si="928"/>
        <v/>
      </c>
      <c r="KK118" s="300" t="str">
        <f t="shared" si="929"/>
        <v/>
      </c>
      <c r="KL118" s="919" t="str">
        <f t="shared" si="930"/>
        <v/>
      </c>
      <c r="KM118" s="517" t="str">
        <f>IF(A118=FALSE,"",Cotations!BQ118)</f>
        <v/>
      </c>
      <c r="KN118" s="515" t="str">
        <f>IF(A118=FALSE,"",Cotations!BR118)</f>
        <v/>
      </c>
      <c r="KO118" s="493" t="str">
        <f>IF(A118=FALSE,"",Cotations!BS118)</f>
        <v/>
      </c>
      <c r="KP118" s="517" t="str">
        <f>IF(A118=FALSE,"",IF(KM118="N/A",0,IF(INDEX(LISTES!$F$105:$F$109,MATCH(KM118,LISTES!$C$105:$C$109,0))="FIX",IF(INDEX(LISTES!$E$105:$E$109,MATCH(KM118,LISTES!$C$105:$C$109,0))=12,KN118/12*L118,KN118/365*M118),KO118*KL118)))</f>
        <v/>
      </c>
      <c r="KQ118" s="294" t="str">
        <f t="shared" si="931"/>
        <v/>
      </c>
      <c r="KR118" s="494" t="str">
        <f>IF(A118=FALSE,"",KQ118*Cotations!BT118)</f>
        <v/>
      </c>
      <c r="KS118" s="494" t="str">
        <f>IF(A118=FALSE,"",KQ118*Cotations!BU118)</f>
        <v/>
      </c>
      <c r="KT118" s="338" t="str">
        <f t="shared" si="932"/>
        <v/>
      </c>
      <c r="KU118" s="919" t="str">
        <f>IF(A118=FALSE,"",((KG118*TAXE)-(KG118*TAXE*KI118))+IF(KM118="N/A",0,IF(INDEX(LISTES!$F$105:$F$109,MATCH(KM118,LISTES!$C$105:$C$109,0))="FIX",KN118,KO118*KL118)))</f>
        <v/>
      </c>
      <c r="LA118" s="497" t="str">
        <f>IF(A118=FALSE,"",Cotations!D118)</f>
        <v/>
      </c>
      <c r="LB118" s="498" t="str">
        <f>IF(A118=FALSE,"",IF(LISTES!$A$17=1,Cotations!BV118,Cotations!$BW$4))</f>
        <v/>
      </c>
      <c r="LC118" s="499" t="str">
        <f t="shared" si="933"/>
        <v/>
      </c>
      <c r="LD118" s="499" t="str">
        <f t="shared" si="934"/>
        <v/>
      </c>
      <c r="LE118" s="500" t="str">
        <f t="shared" si="935"/>
        <v/>
      </c>
      <c r="LF118" s="501" t="str">
        <f>IF(A118=FALSE,"",IF(LA118="POEA",Cotations!EJ118,IF(LA118="FIXE",Cotations!$BY$4,Cotations!$CA$4*Y118)))</f>
        <v/>
      </c>
      <c r="LG118" s="502" t="str">
        <f t="shared" si="936"/>
        <v/>
      </c>
      <c r="LH118" s="520" t="str">
        <f>IF(A118=FALSE,"",IF(Cotations!$BX$4="monthly",LG118/12*L118,LG118/365*M118))</f>
        <v/>
      </c>
      <c r="LI118" s="503" t="str">
        <f>IF(A118=FALSE,"",Cotations!$CB$4)</f>
        <v/>
      </c>
      <c r="LJ118" s="502" t="str">
        <f t="shared" si="937"/>
        <v/>
      </c>
      <c r="LK118" s="502" t="str">
        <f t="shared" si="938"/>
        <v/>
      </c>
      <c r="LL118" s="504" t="str">
        <f t="shared" si="939"/>
        <v/>
      </c>
      <c r="LM118" s="505" t="str">
        <f>IF(A118=FALSE,"",Cotations!$CC$4)</f>
        <v/>
      </c>
      <c r="LN118" s="503" t="str">
        <f>IF(A118=FALSE,"",Cotations!$CD$4)</f>
        <v/>
      </c>
      <c r="LO118" s="503" t="str">
        <f>IF(A118=FALSE,"",Cotations!$CE$4)</f>
        <v/>
      </c>
      <c r="LP118" s="505" t="str">
        <f>IF(A118=FALSE,"",IF(LM118="N/A",0,IF(INDEX(LISTES!$F$105:$F$109,MATCH(LM118,LISTES!$C$105:$C$109,0))="FIX",IF(INDEX(LISTES!$E$105:$E$109,MATCH(LM118,LISTES!$C$105:$C$109,0))=12,LN118/12*L118,LN118/365*M118),LO118*LL118)))</f>
        <v/>
      </c>
      <c r="LQ118" s="504" t="str">
        <f t="shared" si="940"/>
        <v/>
      </c>
      <c r="LR118" s="505" t="str">
        <f>IF(A118=FALSE,"",LQ118*Cotations!$CF$4)</f>
        <v/>
      </c>
      <c r="LS118" s="505" t="str">
        <f>IF(A118=FALSE,"",LQ118*Cotations!$CG$4)</f>
        <v/>
      </c>
      <c r="LT118" s="506" t="str">
        <f t="shared" si="941"/>
        <v/>
      </c>
      <c r="LU118" s="919" t="str">
        <f>IF(A118=FALSE,"",((LG118*TAXE)-(LG118*TAXE*LI118))+IF(LM118="N/A",0,IF(INDEX(LISTES!$F$105:$F$109,MATCH(LM118,LISTES!$C$105:$C$109,0))="FIX",LN118,LO118*LL118)))</f>
        <v/>
      </c>
      <c r="MA118" s="492" t="str">
        <f>IF(A118=FALSE,"",Cotations!D118)</f>
        <v/>
      </c>
      <c r="MB118" s="491" t="str">
        <f>IF(A118=FALSE,"",IF(LISTES!$A$17=1,Cotations!BV118,Cotations!BW118))</f>
        <v/>
      </c>
      <c r="MC118" s="285" t="str">
        <f t="shared" si="942"/>
        <v/>
      </c>
      <c r="MD118" s="300"/>
      <c r="ME118" s="461" t="str">
        <f t="shared" si="943"/>
        <v/>
      </c>
      <c r="MF118" s="490" t="str">
        <f>IF(A118=FALSE,"",IF(MA118="POEA",Cotations!BY118,IF(MA118="FIXE",Cotations!BZ118,IF(Cotations!CA118*Y118&lt;50000,Z118,Cotations!CA118*Y118))))</f>
        <v/>
      </c>
      <c r="MG118" s="300" t="str">
        <f t="shared" si="944"/>
        <v/>
      </c>
      <c r="MH118" s="522" t="str">
        <f>IF(A118=FALSE,"",IF(Cotations!BX118="monthly",MG118/12*L118,MG118/365*M118))</f>
        <v/>
      </c>
      <c r="MI118" s="489" t="str">
        <f>IF(A118=FALSE,"",IF(Cotations!CB118="","",Cotations!CB118))</f>
        <v/>
      </c>
      <c r="MJ118" s="300" t="str">
        <f t="shared" si="945"/>
        <v/>
      </c>
      <c r="MK118" s="300" t="str">
        <f t="shared" si="946"/>
        <v/>
      </c>
      <c r="ML118" s="919" t="str">
        <f t="shared" si="947"/>
        <v/>
      </c>
      <c r="MM118" s="517" t="str">
        <f>IF(A118=FALSE,"",Cotations!CC118)</f>
        <v/>
      </c>
      <c r="MN118" s="515" t="str">
        <f>IF(A118=FALSE,"",Cotations!CD118)</f>
        <v/>
      </c>
      <c r="MO118" s="493" t="str">
        <f>IF(A118=FALSE,"",Cotations!CE118)</f>
        <v/>
      </c>
      <c r="MP118" s="517" t="str">
        <f>IF(A118=FALSE,"",IF(MM118="N/A",0,IF(INDEX(LISTES!$F$105:$F$109,MATCH(MM118,LISTES!$C$105:$C$109,0))="FIX",IF(INDEX(LISTES!$E$105:$E$109,MATCH(MM118,LISTES!$C$105:$C$109,0))=12,MN118/12*L118,MN118/365*M118),MO118*ML118)))</f>
        <v/>
      </c>
      <c r="MQ118" s="294" t="str">
        <f t="shared" si="948"/>
        <v/>
      </c>
      <c r="MR118" s="494" t="str">
        <f>IF(A118=FALSE,"",MQ118*Cotations!CF118)</f>
        <v/>
      </c>
      <c r="MS118" s="494" t="str">
        <f>IF(A118=FALSE,"",MQ118*Cotations!CG118)</f>
        <v/>
      </c>
      <c r="MT118" s="338" t="str">
        <f t="shared" si="949"/>
        <v/>
      </c>
      <c r="MU118" s="919" t="str">
        <f>IF(A118=FALSE,"",((MG118*TAXE)-(MG118*TAXE*MI118))+IF(MM118="N/A",0,IF(INDEX(LISTES!$F$105:$F$109,MATCH(MM118,LISTES!$C$105:$C$109,0))="FIX",MN118,MO118*ML118)))</f>
        <v/>
      </c>
      <c r="NA118" s="497" t="str">
        <f>IF(A118=FALSE,"",Cotations!D118)</f>
        <v/>
      </c>
      <c r="NB118" s="498" t="str">
        <f>IF(A118=FALSE,"",IF(LISTES!$A$17=1,Cotations!CH118,Cotations!$CI$4))</f>
        <v/>
      </c>
      <c r="NC118" s="499" t="str">
        <f t="shared" si="950"/>
        <v/>
      </c>
      <c r="ND118" s="499" t="str">
        <f t="shared" si="951"/>
        <v/>
      </c>
      <c r="NE118" s="500" t="str">
        <f t="shared" si="952"/>
        <v/>
      </c>
      <c r="NF118" s="501" t="str">
        <f>IF(A118=FALSE,"",IF(NA118="POEA",Cotations!CK118,IF(NA118="FIXE",Cotations!$CK$4,Cotations!$CM$4*Y118)))</f>
        <v/>
      </c>
      <c r="NG118" s="502" t="str">
        <f t="shared" si="953"/>
        <v/>
      </c>
      <c r="NH118" s="520" t="str">
        <f>IF(A118=FALSE,"",IF(Cotations!$CJ$4="monthly",NG118/12*L118,NG118/365*M118))</f>
        <v/>
      </c>
      <c r="NI118" s="503" t="str">
        <f>IF(A118=FALSE,"",Cotations!$CN$4)</f>
        <v/>
      </c>
      <c r="NJ118" s="502" t="str">
        <f t="shared" si="954"/>
        <v/>
      </c>
      <c r="NK118" s="502" t="str">
        <f t="shared" si="955"/>
        <v/>
      </c>
      <c r="NL118" s="504" t="str">
        <f t="shared" si="956"/>
        <v/>
      </c>
      <c r="NM118" s="505" t="str">
        <f>IF(A118=FALSE,"",Cotations!$CO$4)</f>
        <v/>
      </c>
      <c r="NN118" s="520" t="str">
        <f>IF(A118=FALSE,"",Cotations!$CP$4)</f>
        <v/>
      </c>
      <c r="NO118" s="503" t="str">
        <f>IF(A118=FALSE,"",Cotations!$CQ$4)</f>
        <v/>
      </c>
      <c r="NP118" s="505" t="str">
        <f>IF(A118=FALSE,"",IF(NM118="N/A",0,IF(INDEX(LISTES!$F$105:$F$109,MATCH(NM118,LISTES!$C$105:$C$109,0))="FIX",IF(INDEX(LISTES!$E$105:$E$109,MATCH(NM118,LISTES!$C$105:$C$109,0))=12,NN118/12*L118,NN118/365*M118),NO118*NL118)))</f>
        <v/>
      </c>
      <c r="NQ118" s="504" t="str">
        <f t="shared" si="957"/>
        <v/>
      </c>
      <c r="NR118" s="505" t="str">
        <f>IF(A118=FALSE,"",NQ118*Cotations!$CR$4)</f>
        <v/>
      </c>
      <c r="NS118" s="505" t="str">
        <f>IF(A118=FALSE,"",NQ118*Cotations!$CS$4)</f>
        <v/>
      </c>
      <c r="NT118" s="506" t="str">
        <f t="shared" si="958"/>
        <v/>
      </c>
      <c r="NU118" s="919" t="str">
        <f>IF(A118=FALSE,"",((NG118*TAXE)-(NG118*TAXE*NI118))+IF(NM118="N/A",0,IF(INDEX(LISTES!$F$105:$F$109,MATCH(NM118,LISTES!$C$105:$C$109,0))="FIX",NN118,NO118*NL118)))</f>
        <v/>
      </c>
      <c r="OA118" s="492" t="str">
        <f>IF(A118=FALSE,"",Cotations!D118)</f>
        <v/>
      </c>
      <c r="OB118" s="491" t="str">
        <f>IF(A118=FALSE,"",IF(LISTES!$A$17=1,Cotations!CH118,Cotations!CI118))</f>
        <v/>
      </c>
      <c r="OC118" s="285" t="str">
        <f t="shared" si="959"/>
        <v/>
      </c>
      <c r="OD118" s="300"/>
      <c r="OE118" s="461" t="str">
        <f t="shared" si="960"/>
        <v/>
      </c>
      <c r="OF118" s="490" t="str">
        <f>IF(A118=FALSE,"",IF(OA118="POEA",Cotations!CK118,IF(OA118="FIXE",Cotations!CL118,IF(Cotations!CM118*Y118&lt;50000,Z118,Cotations!CM118*Y118))))</f>
        <v/>
      </c>
      <c r="OG118" s="300" t="str">
        <f t="shared" si="961"/>
        <v/>
      </c>
      <c r="OH118" s="522" t="str">
        <f>IF(A118=FALSE,"",IF(Cotations!CJ118="monthly",OG118/12*L118,OG118/365*M118))</f>
        <v/>
      </c>
      <c r="OI118" s="489" t="str">
        <f>IF(A118=FALSE,"",IF(Cotations!CN118="","",Cotations!CN118))</f>
        <v/>
      </c>
      <c r="OJ118" s="300" t="str">
        <f t="shared" si="962"/>
        <v/>
      </c>
      <c r="OK118" s="300" t="str">
        <f t="shared" si="963"/>
        <v/>
      </c>
      <c r="OL118" s="919" t="str">
        <f t="shared" si="964"/>
        <v/>
      </c>
      <c r="OM118" s="517" t="str">
        <f>IF(A118=FALSE,"",Cotations!CO118)</f>
        <v/>
      </c>
      <c r="ON118" s="515" t="str">
        <f>IF(A118=FALSE,"",Cotations!CP118)</f>
        <v/>
      </c>
      <c r="OO118" s="493" t="str">
        <f>IF(A118=FALSE,"",Cotations!CQ118)</f>
        <v/>
      </c>
      <c r="OP118" s="517" t="str">
        <f>IF(A118=FALSE,"",IF(OM118="N/A",0,IF(INDEX(LISTES!$F$105:$F$109,MATCH(OM118,LISTES!$C$105:$C$109,0))="FIX",IF(INDEX(LISTES!$E$105:$E$109,MATCH(OM118,LISTES!$C$105:$C$109,0))=12,ON118/12*L118,ON118/365*M118),OO118*OL118)))</f>
        <v/>
      </c>
      <c r="OQ118" s="294" t="str">
        <f t="shared" si="965"/>
        <v/>
      </c>
      <c r="OR118" s="494" t="str">
        <f>IF(A118=FALSE,"",OQ118*Cotations!CR118)</f>
        <v/>
      </c>
      <c r="OS118" s="494" t="str">
        <f>IF(A118=FALSE,"",OQ118*Cotations!CS118)</f>
        <v/>
      </c>
      <c r="OT118" s="338" t="str">
        <f t="shared" si="966"/>
        <v/>
      </c>
      <c r="OU118" s="919" t="str">
        <f>IF(A118=FALSE,"",((OG118*TAXE)-(OG118*TAXE*OI118))+IF(OM118="N/A",0,IF(INDEX(LISTES!$F$105:$F$109,MATCH(OM118,LISTES!$C$105:$C$109,0))="FIX",ON118,OO118*OL118)))</f>
        <v/>
      </c>
      <c r="PA118" s="497" t="str">
        <f t="shared" si="967"/>
        <v/>
      </c>
      <c r="PB118" s="498" t="str">
        <f>IF(A118=FALSE,"",IF(LISTES!$A$17=1,Cotations!CT118,Cotations!$CU$4))</f>
        <v/>
      </c>
      <c r="PC118" s="499" t="str">
        <f t="shared" si="968"/>
        <v/>
      </c>
      <c r="PD118" s="499" t="str">
        <f t="shared" si="969"/>
        <v/>
      </c>
      <c r="PE118" s="500" t="str">
        <f t="shared" si="970"/>
        <v/>
      </c>
      <c r="PF118" s="501" t="str">
        <f>IF(A118=FALSE,"",Cotations!$CY$4*Y118)</f>
        <v/>
      </c>
      <c r="PG118" s="502" t="str">
        <f t="shared" si="971"/>
        <v/>
      </c>
      <c r="PH118" s="520" t="str">
        <f>IF(A118=FALSE,"",IF(Cotations!$CV$4="monthly",PG118/12*L118,PG118/365*M118))</f>
        <v/>
      </c>
      <c r="PI118" s="503" t="str">
        <f>IF(A118=FALSE,"",Cotations!$CZ$4)</f>
        <v/>
      </c>
      <c r="PJ118" s="502" t="str">
        <f t="shared" si="972"/>
        <v/>
      </c>
      <c r="PK118" s="502" t="str">
        <f t="shared" si="973"/>
        <v/>
      </c>
      <c r="PL118" s="504" t="str">
        <f t="shared" si="974"/>
        <v/>
      </c>
      <c r="PM118" s="505" t="str">
        <f>IF(A118=FALSE,"",Cotations!$DA$4)</f>
        <v/>
      </c>
      <c r="PN118" s="520" t="str">
        <f>IF(A118=FALSE,"",Cotations!$DB$4)</f>
        <v/>
      </c>
      <c r="PO118" s="503" t="str">
        <f>IF(A118=FALSE,"",Cotations!$DC$4)</f>
        <v/>
      </c>
      <c r="PP118" s="505" t="str">
        <f>IF(A118=FALSE,"",IF(PM118="N/A",0,IF(INDEX(LISTES!$F$105:$F$109,MATCH(PM118,LISTES!$C$105:$C$109,0))="FIX",IF(INDEX(LISTES!$E$105:$E$109,MATCH(PM118,LISTES!$C$105:$C$109,0))=12,PN118/12*L118,PN118/365*M118),PO118*PL118)))</f>
        <v/>
      </c>
      <c r="PQ118" s="504" t="str">
        <f t="shared" si="975"/>
        <v/>
      </c>
      <c r="PR118" s="505" t="str">
        <f>IF(A118=FALSE,"",PQ118*Cotations!$DD$4)</f>
        <v/>
      </c>
      <c r="PS118" s="505" t="str">
        <f>IF(A118=FALSE,"",PQ118*Cotations!$DE$4)</f>
        <v/>
      </c>
      <c r="PT118" s="506" t="str">
        <f t="shared" si="976"/>
        <v/>
      </c>
      <c r="PU118" s="919" t="str">
        <f>IF(A118=FALSE,"",((PG118*TAXE)-(PG118*TAXE*PI118))+IF(PM118="N/A",0,IF(INDEX(LISTES!$F$105:$F$109,MATCH(PM118,LISTES!$C$105:$C$109,0))="FIX",PN118,PO118*PL118)))</f>
        <v/>
      </c>
      <c r="QA118" s="492" t="str">
        <f t="shared" si="977"/>
        <v/>
      </c>
      <c r="QB118" s="491" t="str">
        <f>IF(A118=FALSE,"",IF(LISTES!$A$17=1,Cotations!CT118,Cotations!CU118))</f>
        <v/>
      </c>
      <c r="QC118" s="285" t="str">
        <f t="shared" si="978"/>
        <v/>
      </c>
      <c r="QD118" s="300"/>
      <c r="QE118" s="461" t="str">
        <f t="shared" si="979"/>
        <v/>
      </c>
      <c r="QF118" s="490" t="str">
        <f>IF(A118=FALSE,"",Cotations!CY118*AA118)</f>
        <v/>
      </c>
      <c r="QG118" s="300" t="str">
        <f t="shared" si="980"/>
        <v/>
      </c>
      <c r="QH118" s="522" t="str">
        <f>IF(A118=FALSE,"",IF(Cotations!CV118="monthly",QG118/12*L118,QG118/365*M118))</f>
        <v/>
      </c>
      <c r="QI118" s="489" t="str">
        <f>IF(A118=FALSE,"",IF(Cotations!CZ118="","",Cotations!CZ118))</f>
        <v/>
      </c>
      <c r="QJ118" s="300" t="str">
        <f t="shared" si="981"/>
        <v/>
      </c>
      <c r="QK118" s="300" t="str">
        <f t="shared" si="982"/>
        <v/>
      </c>
      <c r="QL118" s="919" t="str">
        <f t="shared" si="983"/>
        <v/>
      </c>
      <c r="QM118" s="517" t="str">
        <f>IF(A118=FALSE,"",Cotations!DA118)</f>
        <v/>
      </c>
      <c r="QN118" s="515" t="str">
        <f>IF(A118=FALSE,"",Cotations!DB118)</f>
        <v/>
      </c>
      <c r="QO118" s="493" t="str">
        <f>IF(A118=FALSE,"",Cotations!DC118)</f>
        <v/>
      </c>
      <c r="QP118" s="517" t="str">
        <f>IF(A118=FALSE,"",IF(QM118="N/A",0,IF(INDEX(LISTES!$F$105:$F$109,MATCH(QM118,LISTES!$C$105:$C$109,0))="FIX",IF(INDEX(LISTES!$E$105:$E$109,MATCH(QM118,LISTES!$C$105:$C$109,0))=12,QN118/12*L118,QN118/365*M118),QO118*QL118)))</f>
        <v/>
      </c>
      <c r="QQ118" s="294" t="str">
        <f t="shared" si="984"/>
        <v/>
      </c>
      <c r="QR118" s="494" t="str">
        <f>IF(A118=FALSE,"",QQ118*Cotations!DD118)</f>
        <v/>
      </c>
      <c r="QS118" s="494" t="str">
        <f>IF(A118=FALSE,"",QQ118*Cotations!DE118)</f>
        <v/>
      </c>
      <c r="QT118" s="338" t="str">
        <f t="shared" si="985"/>
        <v/>
      </c>
      <c r="QU118" s="919" t="str">
        <f>IF(A118=FALSE,"",((QG118*TAXE)-(QG118*TAXE*QI118))+IF(QM118="N/A",0,IF(INDEX(LISTES!$F$105:$F$109,MATCH(QM118,LISTES!$C$105:$C$109,0))="FIX",QN118,QO118*QL118)))</f>
        <v/>
      </c>
      <c r="RA118" s="497" t="str">
        <f t="shared" si="986"/>
        <v/>
      </c>
      <c r="RB118" s="498" t="str">
        <f>IF(A118=FALSE,"",IF(LISTES!$A$17=1,Cotations!DF118,Cotations!$DG$4))</f>
        <v/>
      </c>
      <c r="RC118" s="499" t="str">
        <f t="shared" si="987"/>
        <v/>
      </c>
      <c r="RD118" s="499" t="str">
        <f t="shared" si="988"/>
        <v/>
      </c>
      <c r="RE118" s="500" t="str">
        <f t="shared" si="989"/>
        <v/>
      </c>
      <c r="RF118" s="501" t="str">
        <f>IF(A118=FALSE,"",Cotations!$DK$4*Y118)</f>
        <v/>
      </c>
      <c r="RG118" s="502" t="str">
        <f t="shared" si="990"/>
        <v/>
      </c>
      <c r="RH118" s="520" t="str">
        <f>IF(A118=FALSE,"",IF(Cotations!$DH$4="monthly",RG118/12*L118,RG118/365*M118))</f>
        <v/>
      </c>
      <c r="RI118" s="503" t="str">
        <f>IF(A118=FALSE,"",Cotations!$DL$4)</f>
        <v/>
      </c>
      <c r="RJ118" s="502" t="str">
        <f t="shared" si="991"/>
        <v/>
      </c>
      <c r="RK118" s="502" t="str">
        <f t="shared" si="992"/>
        <v/>
      </c>
      <c r="RL118" s="504" t="str">
        <f t="shared" si="993"/>
        <v/>
      </c>
      <c r="RM118" s="505" t="str">
        <f>IF(A118=FALSE,"",Cotations!$DM$4)</f>
        <v/>
      </c>
      <c r="RN118" s="520" t="str">
        <f>IF(A118=FALSE,"",Cotations!$DN$4)</f>
        <v/>
      </c>
      <c r="RO118" s="503" t="str">
        <f>IF(A118=FALSE,"",Cotations!$DO$4)</f>
        <v/>
      </c>
      <c r="RP118" s="505" t="str">
        <f>IF(A118=FALSE,"",IF(RM118="N/A",0,IF(INDEX(LISTES!$F$105:$F$109,MATCH(RM118,LISTES!$C$105:$C$109,0))="FIX",IF(INDEX(LISTES!$E$105:$E$109,MATCH(RM118,LISTES!$C$105:$C$109,0))=12,RN118/12*L118,RN118/365*M118),RO118*RL118)))</f>
        <v/>
      </c>
      <c r="RQ118" s="504" t="str">
        <f t="shared" si="994"/>
        <v/>
      </c>
      <c r="RR118" s="505" t="str">
        <f>IF(A118=FALSE,"",RQ118*Cotations!$DP$4)</f>
        <v/>
      </c>
      <c r="RS118" s="505" t="str">
        <f>IF(A118=FALSE,"",RQ118*Cotations!$DQ$4)</f>
        <v/>
      </c>
      <c r="RT118" s="506" t="str">
        <f t="shared" si="995"/>
        <v/>
      </c>
      <c r="RU118" s="919" t="str">
        <f>IF(A118=FALSE,"",((RG118*TAXE)-(RG118*TAXE*RI118))+IF(RM118="N/A",0,IF(INDEX(LISTES!$F$105:$F$109,MATCH(RM118,LISTES!$C$105:$C$109,0))="FIX",RN118,RO118*RL118)))</f>
        <v/>
      </c>
      <c r="SA118" s="492" t="str">
        <f t="shared" si="996"/>
        <v/>
      </c>
      <c r="SB118" s="491" t="str">
        <f>IF(A118=FALSE,"",IF(LISTES!$A$17=1,Cotations!DF118,Cotations!DG118))</f>
        <v/>
      </c>
      <c r="SC118" s="285" t="str">
        <f t="shared" si="997"/>
        <v/>
      </c>
      <c r="SD118" s="300"/>
      <c r="SE118" s="461" t="str">
        <f t="shared" si="998"/>
        <v/>
      </c>
      <c r="SF118" s="490" t="str">
        <f>IF(A118=FALSE,"",Cotations!DK118*AA118)</f>
        <v/>
      </c>
      <c r="SG118" s="300" t="str">
        <f t="shared" si="999"/>
        <v/>
      </c>
      <c r="SH118" s="522" t="str">
        <f>IF(A118=FALSE,"",IF(Cotations!DH118="monthly",SG118/12*L118,SG118/365*M118))</f>
        <v/>
      </c>
      <c r="SI118" s="489" t="str">
        <f>IF(A118=FALSE,"",IF(Cotations!DL118="","",Cotations!DL118))</f>
        <v/>
      </c>
      <c r="SJ118" s="300" t="str">
        <f t="shared" si="1000"/>
        <v/>
      </c>
      <c r="SK118" s="300" t="str">
        <f t="shared" si="1001"/>
        <v/>
      </c>
      <c r="SL118" s="919" t="str">
        <f t="shared" si="1002"/>
        <v/>
      </c>
      <c r="SM118" s="285" t="str">
        <f>IF(A118=FALSE,"",Cotations!DM118)</f>
        <v/>
      </c>
      <c r="SN118" s="515" t="str">
        <f>IF(A118=FALSE,"",Cotations!DN118)</f>
        <v/>
      </c>
      <c r="SO118" s="493" t="str">
        <f>IF(A118=FALSE,"",Cotations!DO118)</f>
        <v/>
      </c>
      <c r="SP118" s="517" t="str">
        <f>IF(A118=FALSE,"",IF(SM118="N/A",0,IF(INDEX(LISTES!$F$105:$F$109,MATCH(SM118,LISTES!$C$105:$C$109,0))="FIX",IF(INDEX(LISTES!$E$105:$E$109,MATCH(SM118,LISTES!$C$105:$C$109,0))=12,SN118/12*L118,SN118/365*M118),SO118*SL118)))</f>
        <v/>
      </c>
      <c r="SQ118" s="294" t="str">
        <f t="shared" si="1003"/>
        <v/>
      </c>
      <c r="SR118" s="494" t="str">
        <f>IF(A118=FALSE,"",SQ118*Cotations!DP118)</f>
        <v/>
      </c>
      <c r="SS118" s="494" t="str">
        <f>IF(A118=FALSE,"",SQ118*Cotations!DQ118)</f>
        <v/>
      </c>
      <c r="ST118" s="338" t="str">
        <f t="shared" si="1004"/>
        <v/>
      </c>
      <c r="SU118" s="919" t="str">
        <f>IF(A118=FALSE,"",((SG118*TAXE)-(SG118*TAXE*SI118))+IF(SM118="N/A",0,IF(INDEX(LISTES!$F$105:$F$109,MATCH(SM118,LISTES!$C$105:$C$109,0))="FIX",SN118,SO118*SL118)))</f>
        <v/>
      </c>
      <c r="TA118" s="492" t="str">
        <f>IF(A118=FALSE,"",Cotations!D118)</f>
        <v/>
      </c>
      <c r="TB118" s="491" t="str">
        <f>IF(A118=FALSE,"",IF(LISTES!$A$17=1,Cotations!DR118,Cotations!DS118))</f>
        <v/>
      </c>
      <c r="TC118" s="285" t="str">
        <f t="shared" si="1005"/>
        <v/>
      </c>
      <c r="TD118" s="300" t="str">
        <f>IF(A118=FALSE,"",Detail!CQ118)</f>
        <v/>
      </c>
      <c r="TE118" s="461" t="str">
        <f t="shared" si="1006"/>
        <v/>
      </c>
      <c r="TF118" s="490" t="str">
        <f>IF(A118=FALSE,"",IF(TA118="FIXE",Cotations!DU118,Cotations!DV118*Y118))</f>
        <v/>
      </c>
      <c r="TG118" s="300" t="str">
        <f t="shared" si="1007"/>
        <v/>
      </c>
      <c r="TH118" s="522" t="str">
        <f>IF(A118=FALSE,"",IF(Cotations!DT118="monthly",TG118/12*L118,TG118/365*M118))</f>
        <v/>
      </c>
      <c r="TI118" s="489" t="str">
        <f>IF(A118=FALSE,"",IF(Cotations!DW118="","",Cotations!DW118))</f>
        <v/>
      </c>
      <c r="TJ118" s="300" t="str">
        <f t="shared" si="1008"/>
        <v/>
      </c>
      <c r="TK118" s="300" t="str">
        <f t="shared" si="1009"/>
        <v/>
      </c>
      <c r="TL118" s="919" t="str">
        <f t="shared" si="1010"/>
        <v/>
      </c>
      <c r="TM118" s="517" t="str">
        <f>IF(A118=FALSE,"",Cotations!DX118)</f>
        <v/>
      </c>
      <c r="TN118" s="517" t="str">
        <f>IF(A118=FALSE,"",Cotations!DY118)</f>
        <v/>
      </c>
      <c r="TO118" s="493" t="str">
        <f>IF(A118=FALSE,"",Cotations!DZ118)</f>
        <v/>
      </c>
      <c r="TP118" s="517" t="str">
        <f>IF(A118=FALSE,"",IF(TM118="N/A",0,IF(INDEX(LISTES!$F$105:$F$109,MATCH(TM118,LISTES!$C$105:$C$109,0))="FIX",IF(INDEX(LISTES!$E$105:$E$109,MATCH(TM118,LISTES!$C$105:$C$109,0))=12,TN118/12*L118,TN118/365*M118),TO118*TL118)))</f>
        <v/>
      </c>
      <c r="TQ118" s="294" t="str">
        <f t="shared" si="1011"/>
        <v/>
      </c>
      <c r="TR118" s="494" t="str">
        <f>IF(A118=FALSE,"",TQ118*Cotations!EA118)</f>
        <v/>
      </c>
      <c r="TS118" s="494" t="str">
        <f>IF(A118=FALSE,"",TQ118*Cotations!EB118)</f>
        <v/>
      </c>
      <c r="TT118" s="338" t="str">
        <f t="shared" si="1012"/>
        <v/>
      </c>
      <c r="TU118" s="919" t="str">
        <f>IF(A118=FALSE,"",((TG118*(1+TAXE)-(TG118*(1+TAXE)*TI118))+IF(TM118="N/A",0,IF(INDEX(LISTES!$F$105:$F$109,MATCH(TM118,LISTES!$C$105:$C$109,0))="FIX",TN118,TO118*TL118))))</f>
        <v/>
      </c>
      <c r="UA118" s="492" t="str">
        <f>IF(A118=FALSE,"",Cotations!D118)</f>
        <v/>
      </c>
      <c r="UB118" s="491" t="str">
        <f>IF(A118=FALSE,"",IF(LISTES!$A$17=1,Cotations!EC118,Cotations!ED118))</f>
        <v/>
      </c>
      <c r="UC118" s="285" t="str">
        <f t="shared" si="1013"/>
        <v/>
      </c>
      <c r="UD118" s="300" t="str">
        <f>IF(A118=FALSE,"",Detail!CY118)</f>
        <v/>
      </c>
      <c r="UE118" s="461" t="str">
        <f t="shared" si="1014"/>
        <v/>
      </c>
      <c r="UF118" s="490" t="str">
        <f>IF(A118=FALSE,"",IF(UA118="FIXE",Cotations!EF118,Cotations!EG118*Y118))</f>
        <v/>
      </c>
      <c r="UG118" s="300" t="str">
        <f t="shared" si="1015"/>
        <v/>
      </c>
      <c r="UH118" s="522" t="str">
        <f>IF(A118=FALSE,"",IF(Cotations!EE118="monthly",UG118/12*L118,UG118/365*M118))</f>
        <v/>
      </c>
      <c r="UI118" s="489" t="str">
        <f>IF(A118=FALSE,"",IF(Cotations!EH118="","",Cotations!EH118))</f>
        <v/>
      </c>
      <c r="UJ118" s="300" t="str">
        <f t="shared" si="1016"/>
        <v/>
      </c>
      <c r="UK118" s="300" t="str">
        <f t="shared" si="1017"/>
        <v/>
      </c>
      <c r="UL118" s="919" t="str">
        <f t="shared" si="1018"/>
        <v/>
      </c>
      <c r="UM118" s="517" t="str">
        <f>IF(A118=FALSE,"",Cotations!EI118)</f>
        <v/>
      </c>
      <c r="UN118" s="517" t="str">
        <f>IF(A118=FALSE,"",Cotations!EJ118)</f>
        <v/>
      </c>
      <c r="UO118" s="493" t="str">
        <f>IF(A118=FALSE,"",Cotations!EK118)</f>
        <v/>
      </c>
      <c r="UP118" s="517" t="str">
        <f>IF(A118=FALSE,"",IF(UM118="N/A",0,IF(INDEX(LISTES!$F$105:$F$109,MATCH(UM118,LISTES!$C$105:$C$109,0))="FIX",IF(INDEX(LISTES!$E$105:$E$109,MATCH(UM118,LISTES!$C$105:$C$109,0))=12,UN118/12*L118,UN118/365*M118),UO118*UL118)))</f>
        <v/>
      </c>
      <c r="UQ118" s="294" t="str">
        <f t="shared" si="1019"/>
        <v/>
      </c>
      <c r="UR118" s="494" t="str">
        <f>IF(A118=FALSE,"",UQ118*Cotations!EL118)</f>
        <v/>
      </c>
      <c r="US118" s="494" t="str">
        <f>IF(A118=FALSE,"",UQ118*Cotations!EM118)</f>
        <v/>
      </c>
      <c r="UT118" s="338" t="str">
        <f t="shared" si="1020"/>
        <v/>
      </c>
      <c r="UU118" s="919" t="str">
        <f>IF(A118=FALSE,"",((UG118*(1+TAXE)-(UG118*(1+TAXE)*UI118))+IF(UM118="N/A",0,IF(INDEX(LISTES!$F$105:$F$109,MATCH(UM118,LISTES!$C$105:$C$109,0))="FIX",UN118,UO118*UL118))))</f>
        <v/>
      </c>
      <c r="VA118" s="492" t="str">
        <f>IF(A118=FALSE,"",Cotations!D118)</f>
        <v/>
      </c>
      <c r="VB118" s="519" t="str">
        <f>IF(A118=FALSE,"",IF(LISTES!$A$17=1,Cotations!EN118,Cotations!EO118))</f>
        <v/>
      </c>
      <c r="VC118" s="291" t="str">
        <f t="shared" si="1021"/>
        <v/>
      </c>
      <c r="VD118" s="291" t="str">
        <f t="shared" si="1022"/>
        <v/>
      </c>
      <c r="VE118" s="291"/>
      <c r="VF118" s="463"/>
      <c r="VG118" s="463" t="str">
        <f t="shared" si="1023"/>
        <v/>
      </c>
      <c r="VH118" s="522" t="str">
        <f>IF(A118=FALSE,"",IF(Cotations!$AQ$4="monthly",VG118/12*L118,VG118/365*M118))</f>
        <v/>
      </c>
      <c r="VI118" s="489" t="str">
        <f>IF(A118=FALSE,"",Cotations!$AR$4)</f>
        <v/>
      </c>
      <c r="VJ118" s="300" t="str">
        <f t="shared" si="1024"/>
        <v/>
      </c>
      <c r="VK118" s="300" t="str">
        <f t="shared" si="1025"/>
        <v/>
      </c>
      <c r="VL118" s="294" t="str">
        <f t="shared" si="1026"/>
        <v/>
      </c>
      <c r="VM118" s="494" t="str">
        <f>IF(A118=FALSE,"",Cotations!$AS$4)</f>
        <v/>
      </c>
      <c r="VN118" s="494" t="str">
        <f>IF(A118=FALSE,"",Cotations!$AT$4)</f>
        <v/>
      </c>
      <c r="VO118" s="489" t="str">
        <f>IF(A118=FALSE,"",Cotations!$AU$4)</f>
        <v/>
      </c>
      <c r="VP118" s="494" t="str">
        <f>IF(A118=FALSE,"",IF(VM118="N/A",0,IF(INDEX(LISTES!$F$105:$F$109,MATCH(VM118,LISTES!$C$105:$C$109,0))="FIX",IF(INDEX(LISTES!$E$105:$E$109,MATCH(VM118,LISTES!$C$105:$C$109,0))=12,VN118/12*L118,VN118/365*M118),VO118*VL118)))</f>
        <v/>
      </c>
      <c r="VQ118" s="294" t="str">
        <f t="shared" si="1027"/>
        <v/>
      </c>
      <c r="VR118" s="494" t="str">
        <f>IF(A118=FALSE,"",VQ118*Cotations!$AV$4)</f>
        <v/>
      </c>
      <c r="VS118" s="494" t="str">
        <f>IF(A118=FALSE,"",VQ118*Cotations!$AW$4)</f>
        <v/>
      </c>
      <c r="VT118" s="465" t="str">
        <f t="shared" si="1028"/>
        <v/>
      </c>
      <c r="VU118" s="919" t="str">
        <f>IF(A118=FALSE,"",((VG118*TAXE)-(VG118*TAXE*VI118))+IF(VM118="N/A",0,IF(INDEX(LISTES!$F$105:$F$109,MATCH(VM118,LISTES!$C$105:$C$109,0))="FIX",VN118,VO118*VL118)))</f>
        <v/>
      </c>
      <c r="WA118" s="492" t="str">
        <f>IF(A118=FALSE,"",Cotations!D118)</f>
        <v/>
      </c>
      <c r="WB118" s="519" t="str">
        <f>IF(A118=FALSE,"",IF(LISTES!$A$17=1,Cotations!EW118,Cotations!EX118))</f>
        <v/>
      </c>
      <c r="WC118" s="291" t="str">
        <f t="shared" si="1029"/>
        <v/>
      </c>
      <c r="WD118" s="291" t="str">
        <f t="shared" si="1030"/>
        <v/>
      </c>
      <c r="WE118" s="291"/>
      <c r="WF118" s="463"/>
      <c r="WG118" s="463" t="str">
        <f t="shared" si="1031"/>
        <v/>
      </c>
      <c r="WH118" s="522" t="str">
        <f>IF(A118=FALSE,"",IF(Cotations!$AQ$4="monthly",WG118/12*L118,WG118/365*M118))</f>
        <v/>
      </c>
      <c r="WI118" s="489" t="str">
        <f>IF(A118=FALSE,"",Cotations!$AR$4)</f>
        <v/>
      </c>
      <c r="WJ118" s="300" t="str">
        <f t="shared" si="1032"/>
        <v/>
      </c>
      <c r="WK118" s="300" t="str">
        <f t="shared" si="1033"/>
        <v/>
      </c>
      <c r="WL118" s="294" t="str">
        <f t="shared" si="1034"/>
        <v/>
      </c>
      <c r="WM118" s="494" t="str">
        <f>IF(A118=FALSE,"",Cotations!$AS$4)</f>
        <v/>
      </c>
      <c r="WN118" s="494" t="str">
        <f>IF(A118=FALSE,"",Cotations!$AT$4)</f>
        <v/>
      </c>
      <c r="WO118" s="489" t="str">
        <f>IF(A118=FALSE,"",Cotations!$AU$4)</f>
        <v/>
      </c>
      <c r="WP118" s="494" t="str">
        <f>IF(A118=FALSE,"",IF(WM118="N/A",0,IF(INDEX(LISTES!$F$105:$F$109,MATCH(WM118,LISTES!$C$105:$C$109,0))="FIX",IF(INDEX(LISTES!$E$105:$E$109,MATCH(WM118,LISTES!$C$105:$C$109,0))=12,WN118/12*L118,WN118/365*M118),WO118*WL118)))</f>
        <v/>
      </c>
      <c r="WQ118" s="294" t="str">
        <f t="shared" si="1035"/>
        <v/>
      </c>
      <c r="WR118" s="494" t="str">
        <f>IF(A118=FALSE,"",WQ118*Cotations!$AV$4)</f>
        <v/>
      </c>
      <c r="WS118" s="494" t="str">
        <f>IF(A118=FALSE,"",WQ118*Cotations!$AW$4)</f>
        <v/>
      </c>
      <c r="WT118" s="465" t="str">
        <f t="shared" si="1036"/>
        <v/>
      </c>
      <c r="WU118" s="919" t="str">
        <f>IF(A118=FALSE,"",((WG118*TAXE)-(WG118*TAXE*WI118))+IF(WM118="N/A",0,IF(INDEX(LISTES!$F$105:$F$109,MATCH(WM118,LISTES!$C$105:$C$109,0))="FIX",WN118,WO118*WL118)))</f>
        <v/>
      </c>
    </row>
    <row r="119" spans="1:619">
      <c r="A119" s="942" t="b">
        <f t="shared" si="841"/>
        <v>0</v>
      </c>
      <c r="B119" s="942" t="b">
        <f>IF(NAMES!$B$9=TRUE,TRUE,FALSE)</f>
        <v>1</v>
      </c>
      <c r="C119" s="942" t="b">
        <f t="shared" si="825"/>
        <v>0</v>
      </c>
      <c r="D119" s="942" t="b">
        <f t="shared" si="826"/>
        <v>0</v>
      </c>
      <c r="E119" s="274" t="b">
        <f>IF(Cotations!C119="","",Cotations!C119)</f>
        <v>0</v>
      </c>
      <c r="F119" s="274" t="str">
        <f>IF(Cotations!D119="","",Cotations!D119)</f>
        <v>PROP</v>
      </c>
      <c r="G119" s="274" t="str">
        <f>IF(Cotations!E119="","",Cotations!E119)</f>
        <v>2016-2017!</v>
      </c>
      <c r="H119" s="274" t="str">
        <f>IF(Cotations!F119="","",Cotations!F119)</f>
        <v/>
      </c>
      <c r="I119" s="274" t="str">
        <f>IF(Cotations!G119="","",Cotations!G119)</f>
        <v/>
      </c>
      <c r="J119" s="274" t="str">
        <f>IF(Cotations!H119="","",Cotations!H119)</f>
        <v/>
      </c>
      <c r="K119" s="274" t="str">
        <f>IF(Cotations!I119="","",Cotations!I119)</f>
        <v/>
      </c>
      <c r="L119" s="274" t="str">
        <f>IF(A119=FALSE,"",IF(Cotations!N119="","",Cotations!N119))</f>
        <v/>
      </c>
      <c r="M119" s="274" t="str">
        <f>IF(Cotations!P119="","",Cotations!P119)</f>
        <v/>
      </c>
      <c r="N119" s="724" t="str">
        <f>IF(NAMES!$B$10=TRUE,Cotations!J119,Cotations!L119)</f>
        <v/>
      </c>
      <c r="O119" s="724" t="str">
        <f>IF(NAMES!$B$10=TRUE,Cotations!K119,Cotations!M119)</f>
        <v/>
      </c>
      <c r="P119" s="943" t="str">
        <f t="shared" si="827"/>
        <v/>
      </c>
      <c r="Q119" s="724" t="str">
        <f>IF(A119=FALSE,"",IF(Crewlist!Y119="","",Crewlist!Y119))</f>
        <v/>
      </c>
      <c r="R119" s="78" t="str">
        <f>IF(Cotations!U119="","",Cotations!U119)</f>
        <v/>
      </c>
      <c r="S119" s="943" t="str">
        <f t="shared" si="828"/>
        <v/>
      </c>
      <c r="T119" s="919" t="str">
        <f>IF(A119=FALSE,"",VLOOKUP($U$15:$U$120,Currency!$A$2:$D$10,4,0)*Crewlist!N119)</f>
        <v/>
      </c>
      <c r="U119" s="1355" t="str">
        <f>IF(A119=FALSE,"",IF(IT119=0,Crewlist!M119&amp;"/"&amp;EX119,Crewlist!M119&amp;"/"&amp;IT119))</f>
        <v/>
      </c>
      <c r="V119" s="919" t="str">
        <f>IF(A119=FALSE,"",VLOOKUP($U$15:$U$120,Currency!$A$2:$D$10,4,0)*Detail!Q119)</f>
        <v/>
      </c>
      <c r="W119" s="1355" t="str">
        <f>IF(A119=FALSE,"",IF(IT119=0,Detail!R119&amp;"/"&amp;EX119,Detail!R119&amp;"/"&amp;IT119))</f>
        <v/>
      </c>
      <c r="X119" s="919" t="str">
        <f>IF(A119=FALSE,"",IF(LISTES!$C$17="Crewlist",Calcul!T119,Calcul!V119))</f>
        <v/>
      </c>
      <c r="Y119" s="758" t="str">
        <f t="shared" si="829"/>
        <v/>
      </c>
      <c r="Z119" s="758" t="str">
        <f>IF(A119=FALSE,"",IF(X119=0,0,IF((Cotations!BC119*12*X119)&lt;50000,50000,(12*X119))))</f>
        <v/>
      </c>
      <c r="AA119" s="758" t="str">
        <f t="shared" si="830"/>
        <v/>
      </c>
      <c r="AB119" s="758" t="str">
        <f>IF(A119=FALSE,"",IF(Crewlist!O119=0,"",Crewlist!O119))</f>
        <v/>
      </c>
      <c r="AC119" s="758" t="str">
        <f>IF(I119="","",VLOOKUP($AB$15:$AB$120,Currency!$A$15:$B$34,2,0))</f>
        <v/>
      </c>
      <c r="AD119" s="758" t="str">
        <f t="shared" si="831"/>
        <v/>
      </c>
      <c r="AE119" s="758" t="str">
        <f t="shared" si="832"/>
        <v/>
      </c>
      <c r="AF119" s="758" t="str">
        <f t="shared" si="833"/>
        <v/>
      </c>
      <c r="AG119" s="758" t="str">
        <f t="shared" si="834"/>
        <v/>
      </c>
      <c r="AH119" s="1355" t="str">
        <f t="shared" si="842"/>
        <v/>
      </c>
      <c r="AI119" s="919" t="str">
        <f t="shared" si="835"/>
        <v/>
      </c>
      <c r="AJ119" s="1382" t="str">
        <f t="shared" si="836"/>
        <v/>
      </c>
      <c r="AK119" s="1382" t="str">
        <f t="shared" si="837"/>
        <v/>
      </c>
      <c r="AL119" s="238" t="str">
        <f t="shared" si="843"/>
        <v/>
      </c>
      <c r="AM119" s="238" t="str">
        <f t="shared" si="844"/>
        <v/>
      </c>
      <c r="AN119" s="1374" t="str">
        <f t="shared" si="845"/>
        <v/>
      </c>
      <c r="AO119" s="238" t="str">
        <f t="shared" si="846"/>
        <v/>
      </c>
      <c r="AP119" s="342" t="str">
        <f>IF(A119=FALSE,"",INDEX(Rates!$Z$5:$Z$367,MATCH(EB119,colchoice,0)))</f>
        <v/>
      </c>
      <c r="AQ119" s="238" t="str">
        <f t="shared" si="847"/>
        <v/>
      </c>
      <c r="AR119" s="238" t="str">
        <f t="shared" si="848"/>
        <v/>
      </c>
      <c r="AS119" s="238" t="str">
        <f t="shared" si="849"/>
        <v/>
      </c>
      <c r="AT119" s="238" t="str">
        <f t="shared" si="850"/>
        <v/>
      </c>
      <c r="AU119" s="238" t="str">
        <f t="shared" si="851"/>
        <v/>
      </c>
      <c r="AV119" s="238" t="str">
        <f t="shared" si="838"/>
        <v/>
      </c>
      <c r="AW119" s="238" t="str">
        <f t="shared" si="852"/>
        <v/>
      </c>
      <c r="AX119" s="238" t="str">
        <f t="shared" si="853"/>
        <v/>
      </c>
      <c r="AY119" s="238" t="str">
        <f t="shared" si="854"/>
        <v/>
      </c>
      <c r="AZ119" s="238" t="str">
        <f t="shared" si="855"/>
        <v/>
      </c>
      <c r="BA119" s="238" t="str">
        <f t="shared" si="856"/>
        <v/>
      </c>
      <c r="BB119" s="552" t="str">
        <f t="shared" si="857"/>
        <v/>
      </c>
      <c r="BC119" s="347" t="str">
        <f t="shared" si="858"/>
        <v/>
      </c>
      <c r="BD119" s="239" t="str">
        <f t="shared" si="839"/>
        <v/>
      </c>
      <c r="BE119" s="239" t="str">
        <f>IF(A119=FALSE,"",IF(ALLTHESAME=TRUE,IF(DF119&lt;&gt;$BC$7,0,INDEX(DD119:DZ119,1,MATCH(Structure!$D$12,$DD$14:$DZ$14,0))),IF(EC119&lt;&gt;$BC$7,0,INDEX(EA119:EZ119,1,MATCH(Structure!$D$12,$EA$14:$EZ$14,0)))))</f>
        <v/>
      </c>
      <c r="BF119" s="239" t="str">
        <f>IF(A119=FALSE,"",IF(ALLTHESAME=TRUE,IF(FC119&lt;&gt;$BC$7,0,INDEX(FA119:FZ119,1,MATCH(Structure!$D$12,$FA$14:$FZ$14,0))),IF(GC119&lt;&gt;$BC$7,0,INDEX(GA119:GZ119,1,MATCH(Structure!$D$12,$GA$14:$GZ$14,0)))))</f>
        <v/>
      </c>
      <c r="BG119" s="239" t="str">
        <f>IF(A119=FALSE,"",IF(ALLTHESAME=TRUE,IF(VC119&lt;&gt;$BC$7,0,INDEX(VA119:VZ119,1,MATCH(Structure!$D$12,$VA$14:$VZ$14,0))),IF(VC119&lt;&gt;$BC$7,0,INDEX(VA119:VZ119,1,MATCH(Structure!$D$12,$VA$14:$VZ$14,0)))))</f>
        <v/>
      </c>
      <c r="BH119" s="239" t="str">
        <f>IF(A119=FALSE,"",IF(ALLTHESAME=TRUE,IF(WC119&lt;&gt;$BC$7,0,INDEX(WA119:WY119,1,MATCH(Structure!$D$12,$WA$14:$WZ$14,0))),IF(WC119&lt;&gt;$BC$7,0,INDEX(WA119:WZ119,1,MATCH(Structure!$D$12,$WA$14:$WZ$14,0)))))</f>
        <v/>
      </c>
      <c r="BI119" s="763" t="str">
        <f>IF(A119=FALSE,"",IF(ALLTHESAME=TRUE,IF(HC119&lt;&gt;$BC$7,0,INDEX(HA119:HZ119,1,MATCH(Structure!$D$12,$HA$14:$HZ$14,0)))+TK119,IF(IC119&lt;&gt;$BC$7,0,INDEX(IA119:IZ119,1,MATCH(Structure!$D$12,$IA$14:$IZ$14,0)))+TK119))</f>
        <v/>
      </c>
      <c r="BJ119" s="239" t="str">
        <f>IF(A119=FALSE,"",IF(ALLTHESAME=TRUE,IF(JC119&lt;&gt;$BC$7,0,INDEX(JA119:JZ119,1,MATCH(Structure!$D$12,$JA$14:$JZ$14,0))),IF(KC119&lt;&gt;$BC$7,0,INDEX(KA119:KZ119,1,MATCH(Structure!$D$12,$KA$14:$KZ$14,0)))))</f>
        <v/>
      </c>
      <c r="BK119" s="763" t="str">
        <f>IF(A119=FALSE,"",IF(ALLTHESAME=TRUE,IF(LC119&lt;&gt;$BC$7,0,INDEX(LA119:LZ119,1,MATCH(Structure!$D$12,$LA$14:$LZ$14,0)))+UK119,IF(MC119&lt;&gt;$BC$7,0,INDEX(MA119:MZ119,1,MATCH(Structure!$D$12,$MA$14:$MZ$14,0)))+UK119))</f>
        <v/>
      </c>
      <c r="BL119" s="239" t="str">
        <f>IF(A119=FALSE,"",IF(ALLTHESAME=TRUE,IF(NC119&lt;&gt;$BC$7,0,INDEX(NA119:NZ119,1,MATCH(Structure!$D$12,$NA$14:$NZ$14,0))),IF(OC119&lt;&gt;$BC$7,0,INDEX(OA119:OZ119,1,MATCH(Structure!$D$12,$OA$14:$OZ$14,0)))))</f>
        <v/>
      </c>
      <c r="BM119" s="239" t="str">
        <f>IF(A119=FALSE,"",IF(ALLTHESAME=TRUE,IF(PC119&lt;&gt;$BC$7,0,INDEX(PA119:PZ119,1,MATCH(Structure!$D$12,$PA$14:$PZ$14,0))),IF(QC119&lt;&gt;$BC$7,0,INDEX(QA119:QZ119,1,MATCH(Structure!$D$12,$QA$14:$QZ$14,0)))))</f>
        <v/>
      </c>
      <c r="BN119" s="341" t="str">
        <f>IF(A119=FALSE,"",IF(ALLTHESAME=TRUE,IF(RC119&lt;&gt;$BC$7,0,INDEX(RA119:RZ119,1,MATCH(Structure!$D$12,$RA$14:$RZ$14,0))),IF(SC119&lt;&gt;$BC$7,0,INDEX(SA119:TA119,1,MATCH(Structure!$D$12,$SA$14:$TA$14,0)))))</f>
        <v/>
      </c>
      <c r="BO119" s="507" t="str">
        <f t="shared" si="859"/>
        <v/>
      </c>
      <c r="BP119" s="239" t="str">
        <f t="shared" si="860"/>
        <v/>
      </c>
      <c r="BQ119" s="239" t="str">
        <f>IF(A119=FALSE,"",IF(ALLTHESAME=TRUE,IF(DF119&lt;&gt;$BO$7,0,INDEX(DD119:DZ119,1,MATCH(Structure!$D$12,$DD$14:$DZ$14,0))),IF(EC119&lt;&gt;$BO$7,0,INDEX(EA119:EZ119,1,MATCH(Structure!$D$12,$EA$14:$EZ$14,0)))))</f>
        <v/>
      </c>
      <c r="BR119" s="239" t="str">
        <f>IF(A119=FALSE,"",IF(ALLTHESAME=TRUE,IF(FC119&lt;&gt;$BO$7,0,INDEX(FA119:FZ119,1,MATCH(Structure!$D$12,$FA$14:$FZ$14,0))),IF(GC119&lt;&gt;$BO$7,0,INDEX(GA119:GZ119,1,MATCH(Structure!$D$12,$GA$14:$GZ$14,0)))))</f>
        <v/>
      </c>
      <c r="BS119" s="239" t="str">
        <f>IF(A119=FALSE,"",IF(ALLTHESAME=TRUE,IF(HC119&lt;&gt;$BO$7,0,INDEX(HA119:HZ119,1,MATCH(Structure!$D$12,$HA$14:$HZ$14,0))),IF(IC119&lt;&gt;$BO$7,0,INDEX(IA119:IZ119,1,MATCH(Structure!$D$12,$IA$14:$IZ$14,0)))))</f>
        <v/>
      </c>
      <c r="BT119" s="239" t="str">
        <f>IF(A119=FALSE,"",IF(ALLTHESAME=TRUE,IF(JC119&lt;&gt;$BO$7,0,INDEX(JA119:JZ119,1,MATCH(Structure!$D$12,$JA$14:$JZ$14,0))),IF(KC119&lt;&gt;$BO$7,0,INDEX(KA119:KZ119,1,MATCH(Structure!$D$12,$KA$14:$KZ$14,0)))))</f>
        <v/>
      </c>
      <c r="BU119" s="239" t="str">
        <f>IF(A119=FALSE,"",IF(ALLTHESAME=TRUE,IF(LC119&lt;&gt;$BO$7,0,INDEX(LA119:LZ119,1,MATCH(Structure!$D$12,$LA$14:$LZ$14,0))),IF(MC119&lt;&gt;$BO$7,0,INDEX(MA119:MZ119,1,MATCH(Structure!$D$12,$MA$14:$MZ$14,0)))))</f>
        <v/>
      </c>
      <c r="BV119" s="239" t="str">
        <f>IF(A119=FALSE,"",IF(ALLTHESAME=TRUE,IF(NC119&lt;&gt;$BO$7,0,INDEX(NA119:NZ119,1,MATCH(Structure!$D$12,$NA$14:$NZ$14,0))),IF(OC119&lt;&gt;$BO$7,0,INDEX(OA119:OZ119,1,MATCH(Structure!$D$12,$OA$14:$OZ$14,0)))))</f>
        <v/>
      </c>
      <c r="BW119" s="239" t="str">
        <f>IF(A119=FALSE,"",IF(ALLTHESAME=TRUE,IF(PC119&lt;&gt;$BO$7,0,INDEX(PA119:PZ119,1,MATCH(Structure!$D$12,$PA$14:$PZ$14,0))),IF(QC119&lt;&gt;$BO$7,0,INDEX(QA119:QZ119,1,MATCH(Structure!$D$12,$QA$14:$QZ$14,0)))))</f>
        <v/>
      </c>
      <c r="BX119" s="341" t="str">
        <f>IF(A119=FALSE,"",IF(ALLTHESAME=TRUE,IF(RC119&lt;&gt;$BO$7,0,INDEX(RA119:RZ119,1,MATCH(Structure!$D$12,$RA$14:$RZ$14,0))),IF(SC119&lt;&gt;$BO$7,0,INDEX(SA119:TA119,1,MATCH(Structure!$D$12,$SA$14:$TA$14,0)))))</f>
        <v/>
      </c>
      <c r="BY119" s="347" t="str">
        <f t="shared" si="861"/>
        <v/>
      </c>
      <c r="BZ119" s="507" t="str">
        <f t="shared" si="862"/>
        <v/>
      </c>
      <c r="CA119" s="239" t="str">
        <f t="shared" si="863"/>
        <v/>
      </c>
      <c r="CB119" s="239" t="str">
        <f>IF(A119=FALSE,"",IF(ALLTHESAME=TRUE,INDEX(DD119:DZ119,MATCH(DF119,DF119:DF224,0),MATCH(Structure!$D$17,$DD$14:$DZ$14,0)),INDEX(EA119:EZ119,MATCH(EC119,EC119:EC224,0),MATCH(Structure!$D$17,$EA$14:$EZ$14,0))))</f>
        <v/>
      </c>
      <c r="CC119" s="239" t="str">
        <f>IF(A119=FALSE,"",IF(ALLTHESAME=TRUE,INDEX(FA119:FZ119,MATCH(FC119,FC119:FC224,0),MATCH(Structure!$D$17,$FA$14:$FZ$14,0)),INDEX(GA119:GZ119,MATCH(GC119,GC119:GC224,0),MATCH(Structure!$D$17,$GA$14:$GZ$14,0))))</f>
        <v/>
      </c>
      <c r="CD119" s="239" t="str">
        <f>IF(A119=FALSE,"",IF(ALLTHESAME=TRUE,INDEX(HA119:HZ119,MATCH(HC119,HC119:HC224,0),MATCH(Structure!$D$17,$HA$14:$HZ$14,0)),INDEX(IA119:IZ119,MATCH(IC119,IC119:IC224,0),MATCH(Structure!$D$17,$IA$14:$IZ$14,0))))</f>
        <v/>
      </c>
      <c r="CE119" s="239" t="str">
        <f>IF(A119=FALSE,"",IF(ALLTHESAME=TRUE,INDEX(JA119:JZ119,MATCH(JC119,JC119:JC224,0),MATCH(Structure!$D$17,$JA$14:$JZ$14,0)),INDEX(KA119:KZ119,MATCH(KC119,KC119:KC224,0),MATCH(Structure!$D$17,$KA$14:$KZ$14,0))))</f>
        <v/>
      </c>
      <c r="CF119" s="239" t="str">
        <f>IF(A119=FALSE,"",IF(ALLTHESAME=TRUE,INDEX(LA119:LZ119,MATCH(LC119,LC119:LC224,0),MATCH(Structure!$D$17,$LA$14:$LZ$14,0)),INDEX(MA119:MZ119,MATCH(MC119,MC119:MC224,0),MATCH(Structure!$D$17,$MA$14:$MZ$14,0))))</f>
        <v/>
      </c>
      <c r="CG119" s="239" t="str">
        <f>IF(A119=FALSE,"",IF(ALLTHESAME=TRUE,INDEX(NA119:NZ119,MATCH(NC119,NC119:NC224,0),MATCH(Structure!$D$17,$NA$14:$NZ$14,0)),INDEX(OA119:OZ119,MATCH(OC119,OC119:OC224,0),MATCH(Structure!$D$17,$OA$14:$OZ$14,0))))</f>
        <v/>
      </c>
      <c r="CH119" s="239" t="str">
        <f>IF(A119=FALSE,"",IF(ALLTHESAME=TRUE,INDEX(PA119:PZ119,MATCH(PC119,PC119:PC224,0),MATCH(Structure!$D$17,$PA$14:$PZ$14,0)),INDEX(QA119:QZ119,MATCH(QC119,QC119:QC224,0),MATCH(Structure!$D$17,$QA$14:$QZ$14,0))))</f>
        <v/>
      </c>
      <c r="CI119" s="341" t="str">
        <f>IF(A119=FALSE,"",IF(ALLTHESAME=TRUE,INDEX(RA119:RZ119,MATCH(RC119,RC119:RC224,0),MATCH(Structure!$D$17,$RA$14:$RZ$14,0)),INDEX(SA119:TC119,MATCH(SC119,SC119:SC224,0),MATCH(Structure!$D$17,$SA$14:$TC$14,0))))</f>
        <v/>
      </c>
      <c r="CJ119" s="347"/>
      <c r="CK119" s="239" t="str">
        <f t="shared" si="864"/>
        <v/>
      </c>
      <c r="CL119" s="239" t="str">
        <f>IF(A119=FALSE,"",IF(ALLTHESAME=TRUE,INDEX(DD119:DZ119,MATCH(DF119,DF119:DF224,0),MATCH(Structure!$D$22,$DD$14:$DZ$14,0)),INDEX(EA119:EZ119,MATCH(EC119,EC119:EC224,0),MATCH(Structure!$D$22,$EA$14:$EZ$14,0))))</f>
        <v/>
      </c>
      <c r="CM119" s="239" t="str">
        <f>IF(A119=FALSE,"",IF(ALLTHESAME=TRUE,INDEX(FA119:FZ119,MATCH(FC119,FC119:FC224,0),MATCH(Structure!$D$22,$FA$14:$FZ$14,0)),INDEX(GA119:GZ119,MATCH(GC119,GC119:GC224,0),MATCH(Structure!$D$22,$GA$14:$GZ$14,0))))</f>
        <v/>
      </c>
      <c r="CN119" s="239" t="str">
        <f>IF(A119=FALSE,"",IF(ALLTHESAME=TRUE,INDEX(HA119:HZ119,MATCH(HC119,HC119:HC224,0),MATCH(Structure!$D$22,$HA$14:$HZ$14,0)),INDEX(IA119:IZ119,MATCH(IC119,IC119:IC224,0),MATCH(Structure!$D$22,$IA$14:$IZ$14,0))))</f>
        <v/>
      </c>
      <c r="CO119" s="239" t="str">
        <f>IF(A119=FALSE,"",IF(ALLTHESAME=TRUE,INDEX(JA119:JZ119,MATCH(JC119,JC119:JC224,0),MATCH(Structure!$D$22,$JA$14:$JZ$14,0)),INDEX(KA119:KZ119,MATCH(KC119,KC119:KC224,0),MATCH(Structure!$D$22,$KA$14:$KZ$14,0))))</f>
        <v/>
      </c>
      <c r="CP119" s="239" t="str">
        <f>IF(A119=FALSE,"",IF(ALLTHESAME=TRUE,INDEX(LA119:LZ119,MATCH(LC119,LC119:LC224,0),MATCH(Structure!$D$22,$LA$14:$LZ$14,0)),INDEX(MA119:MZ119,MATCH(MC119,MC119:MC224,0),MATCH(Structure!$D$22,$MA$14:$MZ$14,0))))</f>
        <v/>
      </c>
      <c r="CQ119" s="239" t="str">
        <f>IF(A119=FALSE,"",IF(ALLTHESAME=TRUE,INDEX(NA119:NZ119,MATCH(NC119,NC119:NC224,0),MATCH(Structure!$D$22,$NA$14:$NZ$14,0)),INDEX(OA119:OZ119,MATCH(OC119,OC119:OC224,0),MATCH(Structure!$D$22,$OA$14:$OZ$14,0))))</f>
        <v/>
      </c>
      <c r="CR119" s="239" t="str">
        <f>IF(A119=FALSE,"",IF(ALLTHESAME=TRUE,INDEX(PA119:PZ119,MATCH(PC119,PC119:PC224,0),MATCH(Structure!$D$22,$PA$14:$PZ$14,0)),INDEX(QA119:QZ119,MATCH(QC119,QC119:QC224,0),MATCH(Structure!$D$22,$QA$14:$QZ$14,0))))</f>
        <v/>
      </c>
      <c r="CS119" s="341" t="str">
        <f>IF(A119=FALSE,"",IF(ALLTHESAME=TRUE,INDEX(RA119:RZ119,MATCH(RC119,RC119:RC224,0),MATCH(Structure!$D$22,$RA$14:$RZ$14,0)),INDEX(SA119:TC119,MATCH(SC119,SC119:SC224,0),MATCH(Structure!$D$22,$SA$14:$TC$14,0))))</f>
        <v/>
      </c>
      <c r="CT119" s="347"/>
      <c r="CU119" s="239" t="str">
        <f t="shared" si="865"/>
        <v/>
      </c>
      <c r="CV119" s="239" t="str">
        <f>IF(A119=FALSE,"",IF(ALLTHESAME=TRUE,INDEX(DD119:DZ119,MATCH(DF119,DF119:DF224,0),MATCH(Structure!$D$8,$DD$14:$DZ$14,0)),INDEX(EA119:EZ119,MATCH(EC119,EC119:EC224,0),MATCH(Structure!$D$8,$EA$14:$EZ$14,0))))</f>
        <v/>
      </c>
      <c r="CW119" s="239" t="str">
        <f>IF(A119=FALSE,"",IF(ALLTHESAME=TRUE,INDEX(FA119:FZ119,MATCH(FC119,FC119:FC224,0),MATCH(Structure!$D$8,$FA$14:$FZ$14,0)),INDEX(GA119:GZ119,MATCH(GC119,GC119:GC224,0),MATCH(Structure!$D$8,$GA$14:$GZ$14,0))))</f>
        <v/>
      </c>
      <c r="CX119" s="239" t="str">
        <f>IF(A119=FALSE,"",IF(ALLTHESAME=TRUE,INDEX(HA119:HZ119,MATCH(HC119,HC119:HC224,0),MATCH(Structure!$D$8,$HA$14:$HZ$14,0)),INDEX(IA119:IZ119,MATCH(IC119,IC119:IC224,0),MATCH(Structure!$D$8,$IA$14:$IZ$14,0))))</f>
        <v/>
      </c>
      <c r="CY119" s="239" t="str">
        <f>IF(A119=FALSE,"",IF(ALLTHESAME=TRUE,INDEX(JA119:JZ119,MATCH(JC119,JC119:JC224,0),MATCH(Structure!$D$8,$JA$14:$JZ$14,0)),INDEX(KA119:KZ119,MATCH(KC119,KC119:KC224,0),MATCH(Structure!$D$8,$KA$14:$KZ$14,0))))</f>
        <v/>
      </c>
      <c r="CZ119" s="239" t="str">
        <f>IF(A119=FALSE,"",IF(ALLTHESAME=TRUE,INDEX(LA119:LZ119,MATCH(LC119,LC119:LC224,0),MATCH(Structure!$D$8,$LA$14:$LZ$14,0)),INDEX(MA119:MZ119,MATCH(MC119,MC119:MC224,0),MATCH(Structure!$D$8,$MA$14:$MZ$14,0))))</f>
        <v/>
      </c>
      <c r="DA119" s="239" t="str">
        <f>IF(A119=FALSE,"",IF(ALLTHESAME=TRUE,INDEX(NA119:NZ119,MATCH(NC119,NC119:NC224,0),MATCH(Structure!$D$8,$NA$14:$NZ$14,0)),INDEX(OA119:OZ119,MATCH(OC119,OC119:OC224,0),MATCH(Structure!$D$8,$OA$14:$OZ$14,0))))</f>
        <v/>
      </c>
      <c r="DB119" s="239" t="str">
        <f>IF(A119=FALSE,"",IF(ALLTHESAME=TRUE,INDEX(PA119:PZ119,MATCH(PC119,PC119:PC224,0),MATCH(Structure!$D$8,$PA$14:$PZ$14,0)),INDEX(QA119:QZ119,MATCH(QC119,QC119:QC224,0),MATCH(Structure!$D$8,$QA$14:$QZ$14,0))))</f>
        <v/>
      </c>
      <c r="DC119" s="341" t="str">
        <f>IF(A119=FALSE,"",IF(ALLTHESAME=TRUE,INDEX(RA119:RZ119,MATCH(RC119,RC119:RC224,0),MATCH(Structure!$D$8,$RA$14:$RZ$14,0)),INDEX(SA119:TC119,MATCH(SC119,SC119:SC224,0),MATCH(Structure!$D$8,$SA$14:$TC$14,0))))</f>
        <v/>
      </c>
      <c r="DD119" s="492" t="str">
        <f>IF(A119=FALSE,"",Cotations!D119)</f>
        <v/>
      </c>
      <c r="DE119" s="492" t="str">
        <f>IF(A119=FALSE,"",IF(LISTES!$A$17=1,Cotations!AF119,Cotations!$AG$4))</f>
        <v/>
      </c>
      <c r="DF119" s="291" t="str">
        <f t="shared" si="866"/>
        <v/>
      </c>
      <c r="DG119" s="291" t="str">
        <f t="shared" si="867"/>
        <v/>
      </c>
      <c r="DH119" s="291"/>
      <c r="DI119" s="463"/>
      <c r="DJ119" s="463" t="str">
        <f t="shared" si="868"/>
        <v/>
      </c>
      <c r="DK119" s="522" t="str">
        <f>IF(A119=FALSE,"",IF(Cotations!$AH$4="monthly",DJ119/12*L119,DJ119/365*M119))</f>
        <v/>
      </c>
      <c r="DL119" s="489" t="str">
        <f>IF(A119=FALSE,"",Cotations!$AI$4)</f>
        <v/>
      </c>
      <c r="DM119" s="300" t="str">
        <f t="shared" si="869"/>
        <v/>
      </c>
      <c r="DN119" s="300" t="str">
        <f t="shared" si="870"/>
        <v/>
      </c>
      <c r="DO119" s="294" t="str">
        <f t="shared" si="871"/>
        <v/>
      </c>
      <c r="DP119" s="494" t="str">
        <f>IF(A119=FALSE,"",Cotations!$AJ$4)</f>
        <v/>
      </c>
      <c r="DQ119" s="494" t="str">
        <f>IF(A119=FALSE,"",Cotations!$AK$4)</f>
        <v/>
      </c>
      <c r="DR119" s="489" t="str">
        <f>IF(A119=FALSE,"",Cotations!$AL$4)</f>
        <v/>
      </c>
      <c r="DS119" s="494" t="str">
        <f>IF(A119=FALSE,"",IF(DP119="N/A",0,IF(INDEX(LISTES!$F$105:$F$109,MATCH(DP119,LISTES!$C$105:$C$109,0))="FIX",IF(INDEX(LISTES!$E$105:$E$109,MATCH(DP119,LISTES!$C$105:$C$109,0))=12,DQ119/12*L119,DQ119/365*M119),DR119*DO119)))</f>
        <v/>
      </c>
      <c r="DT119" s="294" t="str">
        <f t="shared" si="872"/>
        <v/>
      </c>
      <c r="DU119" s="294" t="str">
        <f>IF(A119=FALSE,"",DT119*Cotations!$AM$4)</f>
        <v/>
      </c>
      <c r="DV119" s="294" t="str">
        <f>IF(A119=FALSE,"",DT119*Cotations!$AN$4)</f>
        <v/>
      </c>
      <c r="DW119" s="465" t="str">
        <f t="shared" si="873"/>
        <v/>
      </c>
      <c r="DX119" s="919" t="str">
        <f>IF(A119=FALSE,"",((DJ119*TAXE)-(DJ119*TAXE*DL119))+IF(DP119="N/A",0,IF(INDEX(LISTES!$F$105:$F$109,MATCH(DP119,LISTES!$C$105:$C$109,0))="FIX",DQ119,DR119*DO119)))</f>
        <v/>
      </c>
      <c r="DY119" s="466"/>
      <c r="DZ119" s="466"/>
      <c r="EA119" s="492" t="str">
        <f>IF(A119=FALSE,"",Cotations!D119)</f>
        <v/>
      </c>
      <c r="EB119" s="494" t="str">
        <f>IF(A119=FALSE,"",IF(LISTES!$A$17=1,Cotations!AF119,Cotations!AG119))</f>
        <v/>
      </c>
      <c r="EC119" s="284" t="str">
        <f t="shared" si="874"/>
        <v/>
      </c>
      <c r="ED119" s="284" t="str">
        <f t="shared" si="875"/>
        <v/>
      </c>
      <c r="EE119" s="284"/>
      <c r="EF119" s="284"/>
      <c r="EG119" s="284" t="str">
        <f t="shared" si="876"/>
        <v/>
      </c>
      <c r="EH119" s="1365" t="str">
        <f t="shared" si="877"/>
        <v/>
      </c>
      <c r="EI119" s="1365" t="str">
        <f t="shared" si="878"/>
        <v/>
      </c>
      <c r="EJ119" s="515" t="str">
        <f>IF(A119=FALSE,"",IF(Cotations!AH119="monthly",EG119/12*L119,EG119/365*M119))</f>
        <v/>
      </c>
      <c r="EK119" s="1364" t="str">
        <f>IF(A119=FALSE,"",IF(Cotations!AH119="monthly",EI119/12*L119,EI119/365*M119))</f>
        <v/>
      </c>
      <c r="EL119" s="493" t="str">
        <f>IF(A119=FALSE,"",IF(Cotations!AI119="","",Cotations!AI119))</f>
        <v/>
      </c>
      <c r="EM119" s="284" t="str">
        <f t="shared" si="879"/>
        <v/>
      </c>
      <c r="EN119" s="284" t="str">
        <f t="shared" si="880"/>
        <v/>
      </c>
      <c r="EO119" s="1365" t="str">
        <f t="shared" si="840"/>
        <v/>
      </c>
      <c r="EP119" s="284" t="str">
        <f t="shared" si="881"/>
        <v/>
      </c>
      <c r="EQ119" s="515" t="str">
        <f>IF(A119=FALSE,"",Cotations!AJ119)</f>
        <v/>
      </c>
      <c r="ER119" s="515" t="str">
        <f>IF(A119=FALSE,"",IF(Cotations!AK119="","",Cotations!AK119))</f>
        <v/>
      </c>
      <c r="ES119" s="493" t="str">
        <f>IF(A119=FALSE,"",Cotations!AL119)</f>
        <v/>
      </c>
      <c r="ET119" s="515" t="str">
        <f>IF(A119=FALSE,"",IF(EQ119="N/A",0,IF(INDEX(LISTES!$F$105:$F$109,MATCH(EQ119,LISTES!$C$105:$C$109,0))="FIX",IF(INDEX(LISTES!$E$105:$E$109,MATCH(EQ119,LISTES!$C$105:$C$109,0))=12,ER119/12*L119,ER119/365*M119),ES119*EP119)))</f>
        <v/>
      </c>
      <c r="EU119" s="294" t="str">
        <f t="shared" si="882"/>
        <v/>
      </c>
      <c r="EV119" s="494" t="str">
        <f>IF(A119=FALSE,"",EU119*Cotations!AM119)</f>
        <v/>
      </c>
      <c r="EW119" s="494" t="str">
        <f>IF(A119=FALSE,"",EU119*Cotations!AN119)</f>
        <v/>
      </c>
      <c r="EX119" s="334" t="str">
        <f t="shared" si="883"/>
        <v/>
      </c>
      <c r="EY119" s="919" t="str">
        <f>IF(A119=FALSE,"",((EG119*TAXE)-(EG119*TAXE*EL119)+EH119)+IF(EQ119="N/A",0,IF(INDEX(LISTES!$F$105:$F$109,MATCH(EQ119,LISTES!$C$105:$C$109,0))="FIX",ER119,ES119*EP119)))</f>
        <v/>
      </c>
      <c r="FA119" s="492" t="str">
        <f>IF(A119=FALSE,"",Cotations!D119)</f>
        <v/>
      </c>
      <c r="FB119" s="519" t="str">
        <f>IF(A119=FALSE,"",IF(LISTES!$A$17=1,Cotations!AO119,Cotations!$AP$4))</f>
        <v/>
      </c>
      <c r="FC119" s="291" t="str">
        <f t="shared" si="884"/>
        <v/>
      </c>
      <c r="FD119" s="291" t="str">
        <f t="shared" si="885"/>
        <v/>
      </c>
      <c r="FE119" s="291"/>
      <c r="FF119" s="463"/>
      <c r="FG119" s="463" t="str">
        <f t="shared" si="886"/>
        <v/>
      </c>
      <c r="FH119" s="522" t="str">
        <f>IF(A119=FALSE,"",IF(Cotations!$AQ$4="monthly",FG119/12*L119,FG119/365*M119))</f>
        <v/>
      </c>
      <c r="FI119" s="453" t="str">
        <f>IF(A119=FALSE,"",Cotations!$AR$4)</f>
        <v/>
      </c>
      <c r="FJ119" s="300" t="str">
        <f t="shared" si="887"/>
        <v/>
      </c>
      <c r="FK119" s="300" t="str">
        <f t="shared" si="888"/>
        <v/>
      </c>
      <c r="FL119" s="294" t="str">
        <f t="shared" si="889"/>
        <v/>
      </c>
      <c r="FM119" s="494" t="str">
        <f>IF(A119=FALSE,"",Cotations!$AS$4)</f>
        <v/>
      </c>
      <c r="FN119" s="494" t="str">
        <f>IF(A119=FALSE,"",Cotations!$AT$4)</f>
        <v/>
      </c>
      <c r="FO119" s="489" t="str">
        <f>IF(A119=FALSE,"",Cotations!$AU$4)</f>
        <v/>
      </c>
      <c r="FP119" s="494" t="str">
        <f>IF(A119=FALSE,"",IF(FM119="N/A",0,IF(INDEX(LISTES!$F$105:$F$109,MATCH(FM119,LISTES!$C$105:$C$109,0))="FIX",IF(INDEX(LISTES!$E$105:$E$109,MATCH(FM119,LISTES!$C$105:$C$109,0))=12,FN119/12*L119,FN119/365*M119),FO119*FL119)))</f>
        <v/>
      </c>
      <c r="FQ119" s="294" t="str">
        <f t="shared" si="890"/>
        <v/>
      </c>
      <c r="FR119" s="494" t="str">
        <f>IF(A119=FALSE,"",FQ119*Cotations!$AV$4)</f>
        <v/>
      </c>
      <c r="FS119" s="494" t="str">
        <f>IF(A119=FALSE,"",FQ119*Cotations!$AW$4)</f>
        <v/>
      </c>
      <c r="FT119" s="465" t="str">
        <f t="shared" si="891"/>
        <v/>
      </c>
      <c r="FU119" s="919" t="str">
        <f>IF(A119=FALSE,"",((FG119*TAXE)-(FG119*TAXE*FI119))+IF(FM119="N/A",0,IF(INDEX(LISTES!$F$105:$F$109,MATCH(FM119,LISTES!$C$105:$C$109,0))="FIX",FN119,FO119*FL119)))</f>
        <v/>
      </c>
      <c r="FV119" s="478"/>
      <c r="FW119" s="478"/>
      <c r="FX119" s="478"/>
      <c r="FY119" s="478"/>
      <c r="FZ119" s="478"/>
      <c r="GA119" s="492" t="str">
        <f>IF(A119=FALSE,"",Cotations!D119)</f>
        <v/>
      </c>
      <c r="GB119" s="494" t="str">
        <f>IF(A119=FALSE,"",IF(LISTES!$A$17=1,Cotations!AO119,Cotations!AP119))</f>
        <v/>
      </c>
      <c r="GC119" s="284" t="str">
        <f t="shared" si="892"/>
        <v/>
      </c>
      <c r="GD119" s="515" t="str">
        <f>IF(A119=FALSE,"",IF(Detail!AM119="","",Detail!AM119))</f>
        <v/>
      </c>
      <c r="GE119" s="284"/>
      <c r="GF119" s="284"/>
      <c r="GG119" s="284" t="str">
        <f t="shared" si="893"/>
        <v/>
      </c>
      <c r="GH119" s="515" t="str">
        <f>IF(A119=FALSE,"",IF(Cotations!AQ119="monthly",GG119/12*L119,GG119/365*M119))</f>
        <v/>
      </c>
      <c r="GI119" s="493" t="str">
        <f>IF(A119=FALSE,"",IF(Cotations!AR119="","",Cotations!AR119))</f>
        <v/>
      </c>
      <c r="GJ119" s="284" t="str">
        <f t="shared" si="894"/>
        <v/>
      </c>
      <c r="GK119" s="284" t="str">
        <f t="shared" si="895"/>
        <v/>
      </c>
      <c r="GL119" s="284" t="str">
        <f t="shared" si="896"/>
        <v/>
      </c>
      <c r="GM119" s="515" t="str">
        <f>IF(A119=FALSE,"",Cotations!AS119)</f>
        <v/>
      </c>
      <c r="GN119" s="515" t="str">
        <f>IF(A119=FALSE,"",Cotations!AT119)</f>
        <v/>
      </c>
      <c r="GO119" s="493" t="str">
        <f>IF(A119=FALSE,"",Cotations!AU119)</f>
        <v/>
      </c>
      <c r="GP119" s="515" t="str">
        <f>IF(A119=FALSE,"",IF(GM119="N/A",0,IF(INDEX(LISTES!$F$105:$F$109,MATCH(GM119,LISTES!$C$105:$C$109,0))="FIX",IF(INDEX(LISTES!$E$105:$E$109,MATCH(GM119,LISTES!$C$105:$C$109,0))=12,GN119/12*L119,GN119/365*M119),GO119*GL119)))</f>
        <v/>
      </c>
      <c r="GQ119" s="294" t="str">
        <f t="shared" si="897"/>
        <v/>
      </c>
      <c r="GR119" s="494" t="str">
        <f>IF(A119=FALSE,"",GQ119*Cotations!AV119)</f>
        <v/>
      </c>
      <c r="GS119" s="494" t="str">
        <f>IF(A119=FALSE,"",GQ119*Cotations!AW119)</f>
        <v/>
      </c>
      <c r="GT119" s="334" t="str">
        <f t="shared" si="898"/>
        <v/>
      </c>
      <c r="GU119" s="919" t="str">
        <f>IF(A119=FALSE,"",((GG119*TAXE)-(GG119*TAXE*GI119))+IF(GM119="N/A",0,IF(INDEX(LISTES!$F$105:$F$109,MATCH(GM119,LISTES!$C$105:$C$109,0))="FIX",GN119,GO119*GL119)))</f>
        <v/>
      </c>
      <c r="GV119" s="478"/>
      <c r="GW119" s="466"/>
      <c r="GX119" s="466"/>
      <c r="GY119" s="466"/>
      <c r="GZ119" s="466"/>
      <c r="HA119" s="492" t="str">
        <f>IF(A119=FALSE,"",Cotations!D119)</f>
        <v/>
      </c>
      <c r="HB119" s="495" t="str">
        <f>IF(A119=FALSE,"",IF(LISTES!$A$17=1,Cotations!AX119,Cotations!$AY$4))</f>
        <v/>
      </c>
      <c r="HC119" s="291" t="str">
        <f t="shared" si="899"/>
        <v/>
      </c>
      <c r="HD119" s="291" t="str">
        <f t="shared" si="900"/>
        <v/>
      </c>
      <c r="HE119" s="456" t="str">
        <f t="shared" si="901"/>
        <v/>
      </c>
      <c r="HF119" s="496" t="str">
        <f>IF(A119=FALSE,"",IF(HA119="POEA",Cotations!BA119,IF(HA119="FIXE",Cotations!$BA$4,Cotations!$BC$4*Y119)))</f>
        <v/>
      </c>
      <c r="HG119" s="300" t="str">
        <f t="shared" si="902"/>
        <v/>
      </c>
      <c r="HH119" s="522" t="str">
        <f>IF(A119=FALSE,"",IF(Cotations!$AZ$4="monthly",HG119/12*L119,HG119/365*M119))</f>
        <v/>
      </c>
      <c r="HI119" s="489" t="str">
        <f>IF(A119=FALSE,"",Cotations!$BD$4)</f>
        <v/>
      </c>
      <c r="HJ119" s="300" t="str">
        <f t="shared" si="903"/>
        <v/>
      </c>
      <c r="HK119" s="300" t="str">
        <f t="shared" si="904"/>
        <v/>
      </c>
      <c r="HL119" s="294" t="str">
        <f t="shared" si="905"/>
        <v/>
      </c>
      <c r="HM119" s="494" t="str">
        <f>IF(A119=FALSE,"",Cotations!$BE$4)</f>
        <v/>
      </c>
      <c r="HN119" s="522" t="str">
        <f>IF(A119=FALSE,"",Cotations!$BF$4)</f>
        <v/>
      </c>
      <c r="HO119" s="489" t="str">
        <f>IF(A119=FALSE,"",Cotations!$BG$4)</f>
        <v/>
      </c>
      <c r="HP119" s="494" t="str">
        <f>IF(A119=FALSE,"",IF(HM119="N/A",0,IF(INDEX(LISTES!$F$105:$F$109,MATCH(HM119,LISTES!$C$105:$C$109,0))="FIX",IF(INDEX(LISTES!$E$105:$E$109,MATCH(HM119,LISTES!$C$105:$C$109,0))=12,HN119/12*L119,HN119/365*M119),HO119*HL119)))</f>
        <v/>
      </c>
      <c r="HQ119" s="294" t="str">
        <f t="shared" si="906"/>
        <v/>
      </c>
      <c r="HR119" s="494" t="str">
        <f>IF(A119=FALSE,"",HQ119*Cotations!$BH$4)</f>
        <v/>
      </c>
      <c r="HS119" s="494" t="str">
        <f>IF(A119=FALSE,"",HQ119*Cotations!$BI$4)</f>
        <v/>
      </c>
      <c r="HT119" s="294" t="str">
        <f t="shared" si="907"/>
        <v/>
      </c>
      <c r="HU119" s="919" t="str">
        <f>IF(A119=FALSE,"",((HG119*TAXE)-(HG119*TAXE*HI119))+IF(HM119="N/A",0,IF(INDEX(LISTES!$F$105:$F$109,MATCH(HM119,LISTES!$C$105:$C$109,0))="FIX",HN119,HO119*HL119)))</f>
        <v/>
      </c>
      <c r="IA119" s="492" t="str">
        <f>IF(A119=FALSE,"",Cotations!D119)</f>
        <v/>
      </c>
      <c r="IB119" s="491" t="str">
        <f>IF(A119=FALSE,"",IF(LISTES!$A$17=1,Cotations!AX119,Cotations!AY119))</f>
        <v/>
      </c>
      <c r="IC119" s="285" t="str">
        <f t="shared" si="908"/>
        <v/>
      </c>
      <c r="ID119" s="300" t="str">
        <f>IF(A119=FALSE,"",IF(LISTES!$A$17=3,Detail!AU119,lig1_Formula_PREVOY))</f>
        <v/>
      </c>
      <c r="IE119" s="461" t="str">
        <f t="shared" si="909"/>
        <v/>
      </c>
      <c r="IF119" s="490" t="str">
        <f>IF(A119=FALSE,"",IF(IA119="POEA",Cotations!BA119,IF(HA119="FIXE",Cotations!BB119,IF(Cotations!BC119*Y119&lt;50000,Z119,Cotations!BC119*Y119))))</f>
        <v/>
      </c>
      <c r="IG119" s="300" t="str">
        <f t="shared" si="910"/>
        <v/>
      </c>
      <c r="IH119" s="522" t="str">
        <f>IF(A119=FALSE,"",IF(Cotations!AZ119="monthly",IG119/12*L119,IG119/365*M119))</f>
        <v/>
      </c>
      <c r="II119" s="489" t="str">
        <f>IF(A119=FALSE,"",IF(Cotations!BD119="","",Cotations!BD119))</f>
        <v/>
      </c>
      <c r="IJ119" s="300" t="str">
        <f t="shared" si="911"/>
        <v/>
      </c>
      <c r="IK119" s="300" t="str">
        <f t="shared" si="912"/>
        <v/>
      </c>
      <c r="IL119" s="919" t="str">
        <f t="shared" si="913"/>
        <v/>
      </c>
      <c r="IM119" s="517" t="str">
        <f>IF(A119=FALSE,"",Cotations!BE119)</f>
        <v/>
      </c>
      <c r="IN119" s="517" t="str">
        <f>IF(A119=FALSE,"",Cotations!BF119)</f>
        <v/>
      </c>
      <c r="IO119" s="493" t="str">
        <f>IF(A119=FALSE,"",Cotations!BG119)</f>
        <v/>
      </c>
      <c r="IP119" s="517" t="str">
        <f>IF(A119=FALSE,"",IF(IM119="N/A",0,IF(INDEX(LISTES!$F$105:$F$109,MATCH(IM119,LISTES!$C$105:$C$109,0))="FIX",IF(INDEX(LISTES!$E$105:$E$109,MATCH(IM119,LISTES!$C$105:$C$109,0))=12,IN119/12*L119,IN119/365*M119),IO119*IL119)))</f>
        <v/>
      </c>
      <c r="IQ119" s="294" t="str">
        <f t="shared" si="914"/>
        <v/>
      </c>
      <c r="IR119" s="494" t="str">
        <f>IF(A119=FALSE,"",IQ119*Cotations!BH119)</f>
        <v/>
      </c>
      <c r="IS119" s="494" t="str">
        <f>IF(A119=FALSE,"",IQ119*Cotations!BI119)</f>
        <v/>
      </c>
      <c r="IT119" s="338" t="str">
        <f t="shared" si="915"/>
        <v/>
      </c>
      <c r="IU119" s="919" t="str">
        <f>IF(A119=FALSE,"",((IG119*TAXE)-(IG119*TAXE*II119))+IF(IM119="N/A",0,IF(INDEX(LISTES!$F$105:$F$109,MATCH(IM119,LISTES!$C$105:$C$109,0))="FIX",IN119,IO119*IL119)))</f>
        <v/>
      </c>
      <c r="JA119" s="492" t="str">
        <f>IF(A119=FALSE,"",Cotations!D119)</f>
        <v/>
      </c>
      <c r="JB119" s="495" t="str">
        <f>IF(A119=FALSE,"",IF(LISTES!$A$17=1,Cotations!BJ119,Cotations!$BK$4))</f>
        <v/>
      </c>
      <c r="JC119" s="291" t="str">
        <f t="shared" si="916"/>
        <v/>
      </c>
      <c r="JD119" s="291" t="str">
        <f t="shared" si="917"/>
        <v/>
      </c>
      <c r="JE119" s="456" t="str">
        <f t="shared" si="918"/>
        <v/>
      </c>
      <c r="JF119" s="496" t="str">
        <f>IF(A119=FALSE,"",IF(JA119="POEA",Cotations!BM119,IF(JA119="FIXE",Cotations!$BM$4,Cotations!$BO$4*Y119)))</f>
        <v/>
      </c>
      <c r="JG119" s="300" t="str">
        <f t="shared" si="919"/>
        <v/>
      </c>
      <c r="JH119" s="522" t="str">
        <f>IF(A119=FALSE,"",IF(Cotations!$BL$4="monthly",JG119/12*L119,JG119/365*M119))</f>
        <v/>
      </c>
      <c r="JI119" s="489" t="str">
        <f>IF(A119=FALSE,"",Cotations!$BP$4)</f>
        <v/>
      </c>
      <c r="JJ119" s="300" t="str">
        <f t="shared" si="920"/>
        <v/>
      </c>
      <c r="JK119" s="300" t="str">
        <f t="shared" si="921"/>
        <v/>
      </c>
      <c r="JL119" s="294" t="str">
        <f t="shared" si="922"/>
        <v/>
      </c>
      <c r="JM119" s="494" t="str">
        <f>IF(A119=FALSE,"",Cotations!$BQ$4)</f>
        <v/>
      </c>
      <c r="JN119" s="522" t="str">
        <f>IF(A119=FALSE,"",Cotations!$BR$4)</f>
        <v/>
      </c>
      <c r="JO119" s="489" t="str">
        <f>IF(A119=FALSE,"",Cotations!$BS$4)</f>
        <v/>
      </c>
      <c r="JP119" s="494" t="str">
        <f>IF(A119=FALSE,"",IF(JM119="N/A",0,IF(INDEX(LISTES!$F$105:$F$109,MATCH(JM119,LISTES!$C$105:$C$109,0))="FIX",IF(INDEX(LISTES!$E$105:$E$109,MATCH(JM119,LISTES!$C$105:$C$109,0))=12,JN119/12*L119,JN119/365*M119),JO119*JL119)))</f>
        <v/>
      </c>
      <c r="JQ119" s="294" t="str">
        <f t="shared" si="923"/>
        <v/>
      </c>
      <c r="JR119" s="494" t="str">
        <f>IF(A119=FALSE,"",JQ119*Cotations!$BT$4)</f>
        <v/>
      </c>
      <c r="JS119" s="494" t="str">
        <f>IF(A119=FALSE,"",JQ119*Cotations!$BU$4)</f>
        <v/>
      </c>
      <c r="JT119" s="294" t="str">
        <f t="shared" si="924"/>
        <v/>
      </c>
      <c r="JU119" s="919" t="str">
        <f>IF(A119=FALSE,"",((JG119*TAXE)-(JG119*TAXE*JI119))+IF(JM119="N/A",0,IF(INDEX(LISTES!$F$105:$F$109,MATCH(JM119,LISTES!$C$105:$C$109,0))="FIX",JN119,JO119*JL119)))</f>
        <v/>
      </c>
      <c r="KA119" s="492" t="str">
        <f>IF(A119=FALSE,"",Cotations!D119)</f>
        <v/>
      </c>
      <c r="KB119" s="491" t="str">
        <f>IF(A119=FALSE,"",IF(LISTES!$A$17=1,Cotations!BJ119,Cotations!BK119))</f>
        <v/>
      </c>
      <c r="KC119" s="285" t="str">
        <f t="shared" si="925"/>
        <v/>
      </c>
      <c r="KD119" s="300"/>
      <c r="KE119" s="461" t="str">
        <f t="shared" si="926"/>
        <v/>
      </c>
      <c r="KF119" s="490" t="str">
        <f>IF(A119=FALSE,"",IF(KA119="POEA",Cotations!BM119,IF(KA119="FIXE",Cotations!BN119,IF(Cotations!BO119*Y119&lt;50000,Z119,Cotations!BO119*Y119))))</f>
        <v/>
      </c>
      <c r="KG119" s="300" t="str">
        <f t="shared" si="927"/>
        <v/>
      </c>
      <c r="KH119" s="522" t="str">
        <f>IF(A119=FALSE,"",IF(Cotations!BL119="monthly",KG119/12*L119,KG119/365*M119))</f>
        <v/>
      </c>
      <c r="KI119" s="489" t="str">
        <f>IF(A119=FALSE,"",IF(Cotations!BP119="","",Cotations!BP119))</f>
        <v/>
      </c>
      <c r="KJ119" s="300" t="str">
        <f t="shared" si="928"/>
        <v/>
      </c>
      <c r="KK119" s="300" t="str">
        <f t="shared" si="929"/>
        <v/>
      </c>
      <c r="KL119" s="919" t="str">
        <f t="shared" si="930"/>
        <v/>
      </c>
      <c r="KM119" s="517" t="str">
        <f>IF(A119=FALSE,"",Cotations!BQ119)</f>
        <v/>
      </c>
      <c r="KN119" s="515" t="str">
        <f>IF(A119=FALSE,"",Cotations!BR119)</f>
        <v/>
      </c>
      <c r="KO119" s="493" t="str">
        <f>IF(A119=FALSE,"",Cotations!BS119)</f>
        <v/>
      </c>
      <c r="KP119" s="517" t="str">
        <f>IF(A119=FALSE,"",IF(KM119="N/A",0,IF(INDEX(LISTES!$F$105:$F$109,MATCH(KM119,LISTES!$C$105:$C$109,0))="FIX",IF(INDEX(LISTES!$E$105:$E$109,MATCH(KM119,LISTES!$C$105:$C$109,0))=12,KN119/12*L119,KN119/365*M119),KO119*KL119)))</f>
        <v/>
      </c>
      <c r="KQ119" s="294" t="str">
        <f t="shared" si="931"/>
        <v/>
      </c>
      <c r="KR119" s="494" t="str">
        <f>IF(A119=FALSE,"",KQ119*Cotations!BT119)</f>
        <v/>
      </c>
      <c r="KS119" s="494" t="str">
        <f>IF(A119=FALSE,"",KQ119*Cotations!BU119)</f>
        <v/>
      </c>
      <c r="KT119" s="338" t="str">
        <f t="shared" si="932"/>
        <v/>
      </c>
      <c r="KU119" s="919" t="str">
        <f>IF(A119=FALSE,"",((KG119*TAXE)-(KG119*TAXE*KI119))+IF(KM119="N/A",0,IF(INDEX(LISTES!$F$105:$F$109,MATCH(KM119,LISTES!$C$105:$C$109,0))="FIX",KN119,KO119*KL119)))</f>
        <v/>
      </c>
      <c r="LA119" s="497" t="str">
        <f>IF(A119=FALSE,"",Cotations!D119)</f>
        <v/>
      </c>
      <c r="LB119" s="498" t="str">
        <f>IF(A119=FALSE,"",IF(LISTES!$A$17=1,Cotations!BV119,Cotations!$BW$4))</f>
        <v/>
      </c>
      <c r="LC119" s="499" t="str">
        <f t="shared" si="933"/>
        <v/>
      </c>
      <c r="LD119" s="499" t="str">
        <f t="shared" si="934"/>
        <v/>
      </c>
      <c r="LE119" s="500" t="str">
        <f t="shared" si="935"/>
        <v/>
      </c>
      <c r="LF119" s="501" t="str">
        <f>IF(A119=FALSE,"",IF(LA119="POEA",Cotations!EJ119,IF(LA119="FIXE",Cotations!$BY$4,Cotations!$CA$4*Y119)))</f>
        <v/>
      </c>
      <c r="LG119" s="502" t="str">
        <f t="shared" si="936"/>
        <v/>
      </c>
      <c r="LH119" s="520" t="str">
        <f>IF(A119=FALSE,"",IF(Cotations!$BX$4="monthly",LG119/12*L119,LG119/365*M119))</f>
        <v/>
      </c>
      <c r="LI119" s="503" t="str">
        <f>IF(A119=FALSE,"",Cotations!$CB$4)</f>
        <v/>
      </c>
      <c r="LJ119" s="502" t="str">
        <f t="shared" si="937"/>
        <v/>
      </c>
      <c r="LK119" s="502" t="str">
        <f t="shared" si="938"/>
        <v/>
      </c>
      <c r="LL119" s="504" t="str">
        <f t="shared" si="939"/>
        <v/>
      </c>
      <c r="LM119" s="505" t="str">
        <f>IF(A119=FALSE,"",Cotations!$CC$4)</f>
        <v/>
      </c>
      <c r="LN119" s="503" t="str">
        <f>IF(A119=FALSE,"",Cotations!$CD$4)</f>
        <v/>
      </c>
      <c r="LO119" s="503" t="str">
        <f>IF(A119=FALSE,"",Cotations!$CE$4)</f>
        <v/>
      </c>
      <c r="LP119" s="505" t="str">
        <f>IF(A119=FALSE,"",IF(LM119="N/A",0,IF(INDEX(LISTES!$F$105:$F$109,MATCH(LM119,LISTES!$C$105:$C$109,0))="FIX",IF(INDEX(LISTES!$E$105:$E$109,MATCH(LM119,LISTES!$C$105:$C$109,0))=12,LN119/12*L119,LN119/365*M119),LO119*LL119)))</f>
        <v/>
      </c>
      <c r="LQ119" s="504" t="str">
        <f t="shared" si="940"/>
        <v/>
      </c>
      <c r="LR119" s="505" t="str">
        <f>IF(A119=FALSE,"",LQ119*Cotations!$CF$4)</f>
        <v/>
      </c>
      <c r="LS119" s="505" t="str">
        <f>IF(A119=FALSE,"",LQ119*Cotations!$CG$4)</f>
        <v/>
      </c>
      <c r="LT119" s="506" t="str">
        <f t="shared" si="941"/>
        <v/>
      </c>
      <c r="LU119" s="919" t="str">
        <f>IF(A119=FALSE,"",((LG119*TAXE)-(LG119*TAXE*LI119))+IF(LM119="N/A",0,IF(INDEX(LISTES!$F$105:$F$109,MATCH(LM119,LISTES!$C$105:$C$109,0))="FIX",LN119,LO119*LL119)))</f>
        <v/>
      </c>
      <c r="MA119" s="492" t="str">
        <f>IF(A119=FALSE,"",Cotations!D119)</f>
        <v/>
      </c>
      <c r="MB119" s="491" t="str">
        <f>IF(A119=FALSE,"",IF(LISTES!$A$17=1,Cotations!BV119,Cotations!BW119))</f>
        <v/>
      </c>
      <c r="MC119" s="285" t="str">
        <f t="shared" si="942"/>
        <v/>
      </c>
      <c r="MD119" s="300"/>
      <c r="ME119" s="461" t="str">
        <f t="shared" si="943"/>
        <v/>
      </c>
      <c r="MF119" s="490" t="str">
        <f>IF(A119=FALSE,"",IF(MA119="POEA",Cotations!BY119,IF(MA119="FIXE",Cotations!BZ119,IF(Cotations!CA119*Y119&lt;50000,Z119,Cotations!CA119*Y119))))</f>
        <v/>
      </c>
      <c r="MG119" s="300" t="str">
        <f t="shared" si="944"/>
        <v/>
      </c>
      <c r="MH119" s="522" t="str">
        <f>IF(A119=FALSE,"",IF(Cotations!BX119="monthly",MG119/12*L119,MG119/365*M119))</f>
        <v/>
      </c>
      <c r="MI119" s="489" t="str">
        <f>IF(A119=FALSE,"",IF(Cotations!CB119="","",Cotations!CB119))</f>
        <v/>
      </c>
      <c r="MJ119" s="300" t="str">
        <f t="shared" si="945"/>
        <v/>
      </c>
      <c r="MK119" s="300" t="str">
        <f t="shared" si="946"/>
        <v/>
      </c>
      <c r="ML119" s="919" t="str">
        <f t="shared" si="947"/>
        <v/>
      </c>
      <c r="MM119" s="517" t="str">
        <f>IF(A119=FALSE,"",Cotations!CC119)</f>
        <v/>
      </c>
      <c r="MN119" s="515" t="str">
        <f>IF(A119=FALSE,"",Cotations!CD119)</f>
        <v/>
      </c>
      <c r="MO119" s="493" t="str">
        <f>IF(A119=FALSE,"",Cotations!CE119)</f>
        <v/>
      </c>
      <c r="MP119" s="517" t="str">
        <f>IF(A119=FALSE,"",IF(MM119="N/A",0,IF(INDEX(LISTES!$F$105:$F$109,MATCH(MM119,LISTES!$C$105:$C$109,0))="FIX",IF(INDEX(LISTES!$E$105:$E$109,MATCH(MM119,LISTES!$C$105:$C$109,0))=12,MN119/12*L119,MN119/365*M119),MO119*ML119)))</f>
        <v/>
      </c>
      <c r="MQ119" s="294" t="str">
        <f t="shared" si="948"/>
        <v/>
      </c>
      <c r="MR119" s="494" t="str">
        <f>IF(A119=FALSE,"",MQ119*Cotations!CF119)</f>
        <v/>
      </c>
      <c r="MS119" s="494" t="str">
        <f>IF(A119=FALSE,"",MQ119*Cotations!CG119)</f>
        <v/>
      </c>
      <c r="MT119" s="338" t="str">
        <f t="shared" si="949"/>
        <v/>
      </c>
      <c r="MU119" s="919" t="str">
        <f>IF(A119=FALSE,"",((MG119*TAXE)-(MG119*TAXE*MI119))+IF(MM119="N/A",0,IF(INDEX(LISTES!$F$105:$F$109,MATCH(MM119,LISTES!$C$105:$C$109,0))="FIX",MN119,MO119*ML119)))</f>
        <v/>
      </c>
      <c r="NA119" s="497" t="str">
        <f>IF(A119=FALSE,"",Cotations!D119)</f>
        <v/>
      </c>
      <c r="NB119" s="498" t="str">
        <f>IF(A119=FALSE,"",IF(LISTES!$A$17=1,Cotations!CH119,Cotations!$CI$4))</f>
        <v/>
      </c>
      <c r="NC119" s="499" t="str">
        <f t="shared" si="950"/>
        <v/>
      </c>
      <c r="ND119" s="499" t="str">
        <f t="shared" si="951"/>
        <v/>
      </c>
      <c r="NE119" s="500" t="str">
        <f t="shared" si="952"/>
        <v/>
      </c>
      <c r="NF119" s="501" t="str">
        <f>IF(A119=FALSE,"",IF(NA119="POEA",Cotations!CK119,IF(NA119="FIXE",Cotations!$CK$4,Cotations!$CM$4*Y119)))</f>
        <v/>
      </c>
      <c r="NG119" s="502" t="str">
        <f t="shared" si="953"/>
        <v/>
      </c>
      <c r="NH119" s="520" t="str">
        <f>IF(A119=FALSE,"",IF(Cotations!$CJ$4="monthly",NG119/12*L119,NG119/365*M119))</f>
        <v/>
      </c>
      <c r="NI119" s="503" t="str">
        <f>IF(A119=FALSE,"",Cotations!$CN$4)</f>
        <v/>
      </c>
      <c r="NJ119" s="502" t="str">
        <f t="shared" si="954"/>
        <v/>
      </c>
      <c r="NK119" s="502" t="str">
        <f t="shared" si="955"/>
        <v/>
      </c>
      <c r="NL119" s="504" t="str">
        <f t="shared" si="956"/>
        <v/>
      </c>
      <c r="NM119" s="505" t="str">
        <f>IF(A119=FALSE,"",Cotations!$CO$4)</f>
        <v/>
      </c>
      <c r="NN119" s="520" t="str">
        <f>IF(A119=FALSE,"",Cotations!$CP$4)</f>
        <v/>
      </c>
      <c r="NO119" s="503" t="str">
        <f>IF(A119=FALSE,"",Cotations!$CQ$4)</f>
        <v/>
      </c>
      <c r="NP119" s="505" t="str">
        <f>IF(A119=FALSE,"",IF(NM119="N/A",0,IF(INDEX(LISTES!$F$105:$F$109,MATCH(NM119,LISTES!$C$105:$C$109,0))="FIX",IF(INDEX(LISTES!$E$105:$E$109,MATCH(NM119,LISTES!$C$105:$C$109,0))=12,NN119/12*L119,NN119/365*M119),NO119*NL119)))</f>
        <v/>
      </c>
      <c r="NQ119" s="504" t="str">
        <f t="shared" si="957"/>
        <v/>
      </c>
      <c r="NR119" s="505" t="str">
        <f>IF(A119=FALSE,"",NQ119*Cotations!$CR$4)</f>
        <v/>
      </c>
      <c r="NS119" s="505" t="str">
        <f>IF(A119=FALSE,"",NQ119*Cotations!$CS$4)</f>
        <v/>
      </c>
      <c r="NT119" s="506" t="str">
        <f t="shared" si="958"/>
        <v/>
      </c>
      <c r="NU119" s="919" t="str">
        <f>IF(A119=FALSE,"",((NG119*TAXE)-(NG119*TAXE*NI119))+IF(NM119="N/A",0,IF(INDEX(LISTES!$F$105:$F$109,MATCH(NM119,LISTES!$C$105:$C$109,0))="FIX",NN119,NO119*NL119)))</f>
        <v/>
      </c>
      <c r="OA119" s="492" t="str">
        <f>IF(A119=FALSE,"",Cotations!D119)</f>
        <v/>
      </c>
      <c r="OB119" s="491" t="str">
        <f>IF(A119=FALSE,"",IF(LISTES!$A$17=1,Cotations!CH119,Cotations!CI119))</f>
        <v/>
      </c>
      <c r="OC119" s="285" t="str">
        <f t="shared" si="959"/>
        <v/>
      </c>
      <c r="OD119" s="300"/>
      <c r="OE119" s="461" t="str">
        <f t="shared" si="960"/>
        <v/>
      </c>
      <c r="OF119" s="490" t="str">
        <f>IF(A119=FALSE,"",IF(OA119="POEA",Cotations!CK119,IF(OA119="FIXE",Cotations!CL119,IF(Cotations!CM119*Y119&lt;50000,Z119,Cotations!CM119*Y119))))</f>
        <v/>
      </c>
      <c r="OG119" s="300" t="str">
        <f t="shared" si="961"/>
        <v/>
      </c>
      <c r="OH119" s="522" t="str">
        <f>IF(A119=FALSE,"",IF(Cotations!CJ119="monthly",OG119/12*L119,OG119/365*M119))</f>
        <v/>
      </c>
      <c r="OI119" s="489" t="str">
        <f>IF(A119=FALSE,"",IF(Cotations!CN119="","",Cotations!CN119))</f>
        <v/>
      </c>
      <c r="OJ119" s="300" t="str">
        <f t="shared" si="962"/>
        <v/>
      </c>
      <c r="OK119" s="300" t="str">
        <f t="shared" si="963"/>
        <v/>
      </c>
      <c r="OL119" s="919" t="str">
        <f t="shared" si="964"/>
        <v/>
      </c>
      <c r="OM119" s="517" t="str">
        <f>IF(A119=FALSE,"",Cotations!CO119)</f>
        <v/>
      </c>
      <c r="ON119" s="515" t="str">
        <f>IF(A119=FALSE,"",Cotations!CP119)</f>
        <v/>
      </c>
      <c r="OO119" s="493" t="str">
        <f>IF(A119=FALSE,"",Cotations!CQ119)</f>
        <v/>
      </c>
      <c r="OP119" s="517" t="str">
        <f>IF(A119=FALSE,"",IF(OM119="N/A",0,IF(INDEX(LISTES!$F$105:$F$109,MATCH(OM119,LISTES!$C$105:$C$109,0))="FIX",IF(INDEX(LISTES!$E$105:$E$109,MATCH(OM119,LISTES!$C$105:$C$109,0))=12,ON119/12*L119,ON119/365*M119),OO119*OL119)))</f>
        <v/>
      </c>
      <c r="OQ119" s="294" t="str">
        <f t="shared" si="965"/>
        <v/>
      </c>
      <c r="OR119" s="494" t="str">
        <f>IF(A119=FALSE,"",OQ119*Cotations!CR119)</f>
        <v/>
      </c>
      <c r="OS119" s="494" t="str">
        <f>IF(A119=FALSE,"",OQ119*Cotations!CS119)</f>
        <v/>
      </c>
      <c r="OT119" s="338" t="str">
        <f t="shared" si="966"/>
        <v/>
      </c>
      <c r="OU119" s="919" t="str">
        <f>IF(A119=FALSE,"",((OG119*TAXE)-(OG119*TAXE*OI119))+IF(OM119="N/A",0,IF(INDEX(LISTES!$F$105:$F$109,MATCH(OM119,LISTES!$C$105:$C$109,0))="FIX",ON119,OO119*OL119)))</f>
        <v/>
      </c>
      <c r="PA119" s="497" t="str">
        <f t="shared" si="967"/>
        <v/>
      </c>
      <c r="PB119" s="498" t="str">
        <f>IF(A119=FALSE,"",IF(LISTES!$A$17=1,Cotations!CT119,Cotations!$CU$4))</f>
        <v/>
      </c>
      <c r="PC119" s="499" t="str">
        <f t="shared" si="968"/>
        <v/>
      </c>
      <c r="PD119" s="499" t="str">
        <f t="shared" si="969"/>
        <v/>
      </c>
      <c r="PE119" s="500" t="str">
        <f t="shared" si="970"/>
        <v/>
      </c>
      <c r="PF119" s="501" t="str">
        <f>IF(A119=FALSE,"",Cotations!$CY$4*Y119)</f>
        <v/>
      </c>
      <c r="PG119" s="502" t="str">
        <f t="shared" si="971"/>
        <v/>
      </c>
      <c r="PH119" s="520" t="str">
        <f>IF(A119=FALSE,"",IF(Cotations!$CV$4="monthly",PG119/12*L119,PG119/365*M119))</f>
        <v/>
      </c>
      <c r="PI119" s="503" t="str">
        <f>IF(A119=FALSE,"",Cotations!$CZ$4)</f>
        <v/>
      </c>
      <c r="PJ119" s="502" t="str">
        <f t="shared" si="972"/>
        <v/>
      </c>
      <c r="PK119" s="502" t="str">
        <f t="shared" si="973"/>
        <v/>
      </c>
      <c r="PL119" s="504" t="str">
        <f t="shared" si="974"/>
        <v/>
      </c>
      <c r="PM119" s="505" t="str">
        <f>IF(A119=FALSE,"",Cotations!$DA$4)</f>
        <v/>
      </c>
      <c r="PN119" s="520" t="str">
        <f>IF(A119=FALSE,"",Cotations!$DB$4)</f>
        <v/>
      </c>
      <c r="PO119" s="503" t="str">
        <f>IF(A119=FALSE,"",Cotations!$DC$4)</f>
        <v/>
      </c>
      <c r="PP119" s="505" t="str">
        <f>IF(A119=FALSE,"",IF(PM119="N/A",0,IF(INDEX(LISTES!$F$105:$F$109,MATCH(PM119,LISTES!$C$105:$C$109,0))="FIX",IF(INDEX(LISTES!$E$105:$E$109,MATCH(PM119,LISTES!$C$105:$C$109,0))=12,PN119/12*L119,PN119/365*M119),PO119*PL119)))</f>
        <v/>
      </c>
      <c r="PQ119" s="504" t="str">
        <f t="shared" si="975"/>
        <v/>
      </c>
      <c r="PR119" s="505" t="str">
        <f>IF(A119=FALSE,"",PQ119*Cotations!$DD$4)</f>
        <v/>
      </c>
      <c r="PS119" s="505" t="str">
        <f>IF(A119=FALSE,"",PQ119*Cotations!$DE$4)</f>
        <v/>
      </c>
      <c r="PT119" s="506" t="str">
        <f t="shared" si="976"/>
        <v/>
      </c>
      <c r="PU119" s="919" t="str">
        <f>IF(A119=FALSE,"",((PG119*TAXE)-(PG119*TAXE*PI119))+IF(PM119="N/A",0,IF(INDEX(LISTES!$F$105:$F$109,MATCH(PM119,LISTES!$C$105:$C$109,0))="FIX",PN119,PO119*PL119)))</f>
        <v/>
      </c>
      <c r="QA119" s="492" t="str">
        <f t="shared" si="977"/>
        <v/>
      </c>
      <c r="QB119" s="491" t="str">
        <f>IF(A119=FALSE,"",IF(LISTES!$A$17=1,Cotations!CT119,Cotations!CU119))</f>
        <v/>
      </c>
      <c r="QC119" s="285" t="str">
        <f t="shared" si="978"/>
        <v/>
      </c>
      <c r="QD119" s="300"/>
      <c r="QE119" s="461" t="str">
        <f t="shared" si="979"/>
        <v/>
      </c>
      <c r="QF119" s="490" t="str">
        <f>IF(A119=FALSE,"",Cotations!CY119*AA119)</f>
        <v/>
      </c>
      <c r="QG119" s="300" t="str">
        <f t="shared" si="980"/>
        <v/>
      </c>
      <c r="QH119" s="522" t="str">
        <f>IF(A119=FALSE,"",IF(Cotations!CV119="monthly",QG119/12*L119,QG119/365*M119))</f>
        <v/>
      </c>
      <c r="QI119" s="489" t="str">
        <f>IF(A119=FALSE,"",IF(Cotations!CZ119="","",Cotations!CZ119))</f>
        <v/>
      </c>
      <c r="QJ119" s="300" t="str">
        <f t="shared" si="981"/>
        <v/>
      </c>
      <c r="QK119" s="300" t="str">
        <f t="shared" si="982"/>
        <v/>
      </c>
      <c r="QL119" s="919" t="str">
        <f t="shared" si="983"/>
        <v/>
      </c>
      <c r="QM119" s="517" t="str">
        <f>IF(A119=FALSE,"",Cotations!DA119)</f>
        <v/>
      </c>
      <c r="QN119" s="515" t="str">
        <f>IF(A119=FALSE,"",Cotations!DB119)</f>
        <v/>
      </c>
      <c r="QO119" s="493" t="str">
        <f>IF(A119=FALSE,"",Cotations!DC119)</f>
        <v/>
      </c>
      <c r="QP119" s="517" t="str">
        <f>IF(A119=FALSE,"",IF(QM119="N/A",0,IF(INDEX(LISTES!$F$105:$F$109,MATCH(QM119,LISTES!$C$105:$C$109,0))="FIX",IF(INDEX(LISTES!$E$105:$E$109,MATCH(QM119,LISTES!$C$105:$C$109,0))=12,QN119/12*L119,QN119/365*M119),QO119*QL119)))</f>
        <v/>
      </c>
      <c r="QQ119" s="294" t="str">
        <f t="shared" si="984"/>
        <v/>
      </c>
      <c r="QR119" s="494" t="str">
        <f>IF(A119=FALSE,"",QQ119*Cotations!DD119)</f>
        <v/>
      </c>
      <c r="QS119" s="494" t="str">
        <f>IF(A119=FALSE,"",QQ119*Cotations!DE119)</f>
        <v/>
      </c>
      <c r="QT119" s="338" t="str">
        <f t="shared" si="985"/>
        <v/>
      </c>
      <c r="QU119" s="919" t="str">
        <f>IF(A119=FALSE,"",((QG119*TAXE)-(QG119*TAXE*QI119))+IF(QM119="N/A",0,IF(INDEX(LISTES!$F$105:$F$109,MATCH(QM119,LISTES!$C$105:$C$109,0))="FIX",QN119,QO119*QL119)))</f>
        <v/>
      </c>
      <c r="RA119" s="497" t="str">
        <f t="shared" si="986"/>
        <v/>
      </c>
      <c r="RB119" s="498" t="str">
        <f>IF(A119=FALSE,"",IF(LISTES!$A$17=1,Cotations!DF119,Cotations!$DG$4))</f>
        <v/>
      </c>
      <c r="RC119" s="499" t="str">
        <f t="shared" si="987"/>
        <v/>
      </c>
      <c r="RD119" s="499" t="str">
        <f t="shared" si="988"/>
        <v/>
      </c>
      <c r="RE119" s="500" t="str">
        <f t="shared" si="989"/>
        <v/>
      </c>
      <c r="RF119" s="501" t="str">
        <f>IF(A119=FALSE,"",Cotations!$DK$4*Y119)</f>
        <v/>
      </c>
      <c r="RG119" s="502" t="str">
        <f t="shared" si="990"/>
        <v/>
      </c>
      <c r="RH119" s="520" t="str">
        <f>IF(A119=FALSE,"",IF(Cotations!$DH$4="monthly",RG119/12*L119,RG119/365*M119))</f>
        <v/>
      </c>
      <c r="RI119" s="503" t="str">
        <f>IF(A119=FALSE,"",Cotations!$DL$4)</f>
        <v/>
      </c>
      <c r="RJ119" s="502" t="str">
        <f t="shared" si="991"/>
        <v/>
      </c>
      <c r="RK119" s="502" t="str">
        <f t="shared" si="992"/>
        <v/>
      </c>
      <c r="RL119" s="504" t="str">
        <f t="shared" si="993"/>
        <v/>
      </c>
      <c r="RM119" s="505" t="str">
        <f>IF(A119=FALSE,"",Cotations!$DM$4)</f>
        <v/>
      </c>
      <c r="RN119" s="520" t="str">
        <f>IF(A119=FALSE,"",Cotations!$DN$4)</f>
        <v/>
      </c>
      <c r="RO119" s="503" t="str">
        <f>IF(A119=FALSE,"",Cotations!$DO$4)</f>
        <v/>
      </c>
      <c r="RP119" s="505" t="str">
        <f>IF(A119=FALSE,"",IF(RM119="N/A",0,IF(INDEX(LISTES!$F$105:$F$109,MATCH(RM119,LISTES!$C$105:$C$109,0))="FIX",IF(INDEX(LISTES!$E$105:$E$109,MATCH(RM119,LISTES!$C$105:$C$109,0))=12,RN119/12*L119,RN119/365*M119),RO119*RL119)))</f>
        <v/>
      </c>
      <c r="RQ119" s="504" t="str">
        <f t="shared" si="994"/>
        <v/>
      </c>
      <c r="RR119" s="505" t="str">
        <f>IF(A119=FALSE,"",RQ119*Cotations!$DP$4)</f>
        <v/>
      </c>
      <c r="RS119" s="505" t="str">
        <f>IF(A119=FALSE,"",RQ119*Cotations!$DQ$4)</f>
        <v/>
      </c>
      <c r="RT119" s="506" t="str">
        <f t="shared" si="995"/>
        <v/>
      </c>
      <c r="RU119" s="919" t="str">
        <f>IF(A119=FALSE,"",((RG119*TAXE)-(RG119*TAXE*RI119))+IF(RM119="N/A",0,IF(INDEX(LISTES!$F$105:$F$109,MATCH(RM119,LISTES!$C$105:$C$109,0))="FIX",RN119,RO119*RL119)))</f>
        <v/>
      </c>
      <c r="SA119" s="492" t="str">
        <f t="shared" si="996"/>
        <v/>
      </c>
      <c r="SB119" s="491" t="str">
        <f>IF(A119=FALSE,"",IF(LISTES!$A$17=1,Cotations!DF119,Cotations!DG119))</f>
        <v/>
      </c>
      <c r="SC119" s="285" t="str">
        <f t="shared" si="997"/>
        <v/>
      </c>
      <c r="SD119" s="300"/>
      <c r="SE119" s="461" t="str">
        <f t="shared" si="998"/>
        <v/>
      </c>
      <c r="SF119" s="490" t="str">
        <f>IF(A119=FALSE,"",Cotations!DK119*AA119)</f>
        <v/>
      </c>
      <c r="SG119" s="300" t="str">
        <f t="shared" si="999"/>
        <v/>
      </c>
      <c r="SH119" s="522" t="str">
        <f>IF(A119=FALSE,"",IF(Cotations!DH119="monthly",SG119/12*L119,SG119/365*M119))</f>
        <v/>
      </c>
      <c r="SI119" s="489" t="str">
        <f>IF(A119=FALSE,"",IF(Cotations!DL119="","",Cotations!DL119))</f>
        <v/>
      </c>
      <c r="SJ119" s="300" t="str">
        <f t="shared" si="1000"/>
        <v/>
      </c>
      <c r="SK119" s="300" t="str">
        <f t="shared" si="1001"/>
        <v/>
      </c>
      <c r="SL119" s="919" t="str">
        <f t="shared" si="1002"/>
        <v/>
      </c>
      <c r="SM119" s="285" t="str">
        <f>IF(A119=FALSE,"",Cotations!DM119)</f>
        <v/>
      </c>
      <c r="SN119" s="515" t="str">
        <f>IF(A119=FALSE,"",Cotations!DN119)</f>
        <v/>
      </c>
      <c r="SO119" s="493" t="str">
        <f>IF(A119=FALSE,"",Cotations!DO119)</f>
        <v/>
      </c>
      <c r="SP119" s="517" t="str">
        <f>IF(A119=FALSE,"",IF(SM119="N/A",0,IF(INDEX(LISTES!$F$105:$F$109,MATCH(SM119,LISTES!$C$105:$C$109,0))="FIX",IF(INDEX(LISTES!$E$105:$E$109,MATCH(SM119,LISTES!$C$105:$C$109,0))=12,SN119/12*L119,SN119/365*M119),SO119*SL119)))</f>
        <v/>
      </c>
      <c r="SQ119" s="294" t="str">
        <f t="shared" si="1003"/>
        <v/>
      </c>
      <c r="SR119" s="494" t="str">
        <f>IF(A119=FALSE,"",SQ119*Cotations!DP119)</f>
        <v/>
      </c>
      <c r="SS119" s="494" t="str">
        <f>IF(A119=FALSE,"",SQ119*Cotations!DQ119)</f>
        <v/>
      </c>
      <c r="ST119" s="338" t="str">
        <f t="shared" si="1004"/>
        <v/>
      </c>
      <c r="SU119" s="919" t="str">
        <f>IF(A119=FALSE,"",((SG119*TAXE)-(SG119*TAXE*SI119))+IF(SM119="N/A",0,IF(INDEX(LISTES!$F$105:$F$109,MATCH(SM119,LISTES!$C$105:$C$109,0))="FIX",SN119,SO119*SL119)))</f>
        <v/>
      </c>
      <c r="TA119" s="492" t="str">
        <f>IF(A119=FALSE,"",Cotations!D119)</f>
        <v/>
      </c>
      <c r="TB119" s="491" t="str">
        <f>IF(A119=FALSE,"",IF(LISTES!$A$17=1,Cotations!DR119,Cotations!DS119))</f>
        <v/>
      </c>
      <c r="TC119" s="285" t="str">
        <f t="shared" si="1005"/>
        <v/>
      </c>
      <c r="TD119" s="300" t="str">
        <f>IF(A119=FALSE,"",Detail!CQ119)</f>
        <v/>
      </c>
      <c r="TE119" s="461" t="str">
        <f t="shared" si="1006"/>
        <v/>
      </c>
      <c r="TF119" s="490" t="str">
        <f>IF(A119=FALSE,"",IF(TA119="FIXE",Cotations!DU119,Cotations!DV119*Y119))</f>
        <v/>
      </c>
      <c r="TG119" s="300" t="str">
        <f t="shared" si="1007"/>
        <v/>
      </c>
      <c r="TH119" s="522" t="str">
        <f>IF(A119=FALSE,"",IF(Cotations!DT119="monthly",TG119/12*L119,TG119/365*M119))</f>
        <v/>
      </c>
      <c r="TI119" s="489" t="str">
        <f>IF(A119=FALSE,"",IF(Cotations!DW119="","",Cotations!DW119))</f>
        <v/>
      </c>
      <c r="TJ119" s="300" t="str">
        <f t="shared" si="1008"/>
        <v/>
      </c>
      <c r="TK119" s="300" t="str">
        <f t="shared" si="1009"/>
        <v/>
      </c>
      <c r="TL119" s="919" t="str">
        <f t="shared" si="1010"/>
        <v/>
      </c>
      <c r="TM119" s="517" t="str">
        <f>IF(A119=FALSE,"",Cotations!DX119)</f>
        <v/>
      </c>
      <c r="TN119" s="517" t="str">
        <f>IF(A119=FALSE,"",Cotations!DY119)</f>
        <v/>
      </c>
      <c r="TO119" s="493" t="str">
        <f>IF(A119=FALSE,"",Cotations!DZ119)</f>
        <v/>
      </c>
      <c r="TP119" s="517" t="str">
        <f>IF(A119=FALSE,"",IF(TM119="N/A",0,IF(INDEX(LISTES!$F$105:$F$109,MATCH(TM119,LISTES!$C$105:$C$109,0))="FIX",IF(INDEX(LISTES!$E$105:$E$109,MATCH(TM119,LISTES!$C$105:$C$109,0))=12,TN119/12*L119,TN119/365*M119),TO119*TL119)))</f>
        <v/>
      </c>
      <c r="TQ119" s="294" t="str">
        <f t="shared" si="1011"/>
        <v/>
      </c>
      <c r="TR119" s="494" t="str">
        <f>IF(A119=FALSE,"",TQ119*Cotations!EA119)</f>
        <v/>
      </c>
      <c r="TS119" s="494" t="str">
        <f>IF(A119=FALSE,"",TQ119*Cotations!EB119)</f>
        <v/>
      </c>
      <c r="TT119" s="338" t="str">
        <f t="shared" si="1012"/>
        <v/>
      </c>
      <c r="TU119" s="919" t="str">
        <f>IF(A119=FALSE,"",((TG119*(1+TAXE)-(TG119*(1+TAXE)*TI119))+IF(TM119="N/A",0,IF(INDEX(LISTES!$F$105:$F$109,MATCH(TM119,LISTES!$C$105:$C$109,0))="FIX",TN119,TO119*TL119))))</f>
        <v/>
      </c>
      <c r="UA119" s="492" t="str">
        <f>IF(A119=FALSE,"",Cotations!D119)</f>
        <v/>
      </c>
      <c r="UB119" s="491" t="str">
        <f>IF(A119=FALSE,"",IF(LISTES!$A$17=1,Cotations!EC119,Cotations!ED119))</f>
        <v/>
      </c>
      <c r="UC119" s="285" t="str">
        <f t="shared" si="1013"/>
        <v/>
      </c>
      <c r="UD119" s="300" t="str">
        <f>IF(A119=FALSE,"",Detail!CY119)</f>
        <v/>
      </c>
      <c r="UE119" s="461" t="str">
        <f t="shared" si="1014"/>
        <v/>
      </c>
      <c r="UF119" s="490" t="str">
        <f>IF(A119=FALSE,"",IF(UA119="FIXE",Cotations!EF119,Cotations!EG119*Y119))</f>
        <v/>
      </c>
      <c r="UG119" s="300" t="str">
        <f t="shared" si="1015"/>
        <v/>
      </c>
      <c r="UH119" s="522" t="str">
        <f>IF(A119=FALSE,"",IF(Cotations!EE119="monthly",UG119/12*L119,UG119/365*M119))</f>
        <v/>
      </c>
      <c r="UI119" s="489" t="str">
        <f>IF(A119=FALSE,"",IF(Cotations!EH119="","",Cotations!EH119))</f>
        <v/>
      </c>
      <c r="UJ119" s="300" t="str">
        <f t="shared" si="1016"/>
        <v/>
      </c>
      <c r="UK119" s="300" t="str">
        <f t="shared" si="1017"/>
        <v/>
      </c>
      <c r="UL119" s="919" t="str">
        <f t="shared" si="1018"/>
        <v/>
      </c>
      <c r="UM119" s="517" t="str">
        <f>IF(A119=FALSE,"",Cotations!EI119)</f>
        <v/>
      </c>
      <c r="UN119" s="517" t="str">
        <f>IF(A119=FALSE,"",Cotations!EJ119)</f>
        <v/>
      </c>
      <c r="UO119" s="493" t="str">
        <f>IF(A119=FALSE,"",Cotations!EK119)</f>
        <v/>
      </c>
      <c r="UP119" s="517" t="str">
        <f>IF(A119=FALSE,"",IF(UM119="N/A",0,IF(INDEX(LISTES!$F$105:$F$109,MATCH(UM119,LISTES!$C$105:$C$109,0))="FIX",IF(INDEX(LISTES!$E$105:$E$109,MATCH(UM119,LISTES!$C$105:$C$109,0))=12,UN119/12*L119,UN119/365*M119),UO119*UL119)))</f>
        <v/>
      </c>
      <c r="UQ119" s="294" t="str">
        <f t="shared" si="1019"/>
        <v/>
      </c>
      <c r="UR119" s="494" t="str">
        <f>IF(A119=FALSE,"",UQ119*Cotations!EL119)</f>
        <v/>
      </c>
      <c r="US119" s="494" t="str">
        <f>IF(A119=FALSE,"",UQ119*Cotations!EM119)</f>
        <v/>
      </c>
      <c r="UT119" s="338" t="str">
        <f t="shared" si="1020"/>
        <v/>
      </c>
      <c r="UU119" s="919" t="str">
        <f>IF(A119=FALSE,"",((UG119*(1+TAXE)-(UG119*(1+TAXE)*UI119))+IF(UM119="N/A",0,IF(INDEX(LISTES!$F$105:$F$109,MATCH(UM119,LISTES!$C$105:$C$109,0))="FIX",UN119,UO119*UL119))))</f>
        <v/>
      </c>
      <c r="VA119" s="492" t="str">
        <f>IF(A119=FALSE,"",Cotations!D119)</f>
        <v/>
      </c>
      <c r="VB119" s="519" t="str">
        <f>IF(A119=FALSE,"",IF(LISTES!$A$17=1,Cotations!EN119,Cotations!EO119))</f>
        <v/>
      </c>
      <c r="VC119" s="291" t="str">
        <f t="shared" si="1021"/>
        <v/>
      </c>
      <c r="VD119" s="291" t="str">
        <f t="shared" si="1022"/>
        <v/>
      </c>
      <c r="VE119" s="291"/>
      <c r="VF119" s="463"/>
      <c r="VG119" s="463" t="str">
        <f t="shared" si="1023"/>
        <v/>
      </c>
      <c r="VH119" s="522" t="str">
        <f>IF(A119=FALSE,"",IF(Cotations!$AQ$4="monthly",VG119/12*L119,VG119/365*M119))</f>
        <v/>
      </c>
      <c r="VI119" s="489" t="str">
        <f>IF(A119=FALSE,"",Cotations!$AR$4)</f>
        <v/>
      </c>
      <c r="VJ119" s="300" t="str">
        <f t="shared" si="1024"/>
        <v/>
      </c>
      <c r="VK119" s="300" t="str">
        <f t="shared" si="1025"/>
        <v/>
      </c>
      <c r="VL119" s="294" t="str">
        <f t="shared" si="1026"/>
        <v/>
      </c>
      <c r="VM119" s="494" t="str">
        <f>IF(A119=FALSE,"",Cotations!$AS$4)</f>
        <v/>
      </c>
      <c r="VN119" s="494" t="str">
        <f>IF(A119=FALSE,"",Cotations!$AT$4)</f>
        <v/>
      </c>
      <c r="VO119" s="489" t="str">
        <f>IF(A119=FALSE,"",Cotations!$AU$4)</f>
        <v/>
      </c>
      <c r="VP119" s="494" t="str">
        <f>IF(A119=FALSE,"",IF(VM119="N/A",0,IF(INDEX(LISTES!$F$105:$F$109,MATCH(VM119,LISTES!$C$105:$C$109,0))="FIX",IF(INDEX(LISTES!$E$105:$E$109,MATCH(VM119,LISTES!$C$105:$C$109,0))=12,VN119/12*L119,VN119/365*M119),VO119*VL119)))</f>
        <v/>
      </c>
      <c r="VQ119" s="294" t="str">
        <f t="shared" si="1027"/>
        <v/>
      </c>
      <c r="VR119" s="494" t="str">
        <f>IF(A119=FALSE,"",VQ119*Cotations!$AV$4)</f>
        <v/>
      </c>
      <c r="VS119" s="494" t="str">
        <f>IF(A119=FALSE,"",VQ119*Cotations!$AW$4)</f>
        <v/>
      </c>
      <c r="VT119" s="465" t="str">
        <f t="shared" si="1028"/>
        <v/>
      </c>
      <c r="VU119" s="919" t="str">
        <f>IF(A119=FALSE,"",((VG119*TAXE)-(VG119*TAXE*VI119))+IF(VM119="N/A",0,IF(INDEX(LISTES!$F$105:$F$109,MATCH(VM119,LISTES!$C$105:$C$109,0))="FIX",VN119,VO119*VL119)))</f>
        <v/>
      </c>
      <c r="WA119" s="492" t="str">
        <f>IF(A119=FALSE,"",Cotations!D119)</f>
        <v/>
      </c>
      <c r="WB119" s="519" t="str">
        <f>IF(A119=FALSE,"",IF(LISTES!$A$17=1,Cotations!EW119,Cotations!EX119))</f>
        <v/>
      </c>
      <c r="WC119" s="291" t="str">
        <f t="shared" si="1029"/>
        <v/>
      </c>
      <c r="WD119" s="291" t="str">
        <f t="shared" si="1030"/>
        <v/>
      </c>
      <c r="WE119" s="291"/>
      <c r="WF119" s="463"/>
      <c r="WG119" s="463" t="str">
        <f t="shared" si="1031"/>
        <v/>
      </c>
      <c r="WH119" s="522" t="str">
        <f>IF(A119=FALSE,"",IF(Cotations!$AQ$4="monthly",WG119/12*L119,WG119/365*M119))</f>
        <v/>
      </c>
      <c r="WI119" s="489" t="str">
        <f>IF(A119=FALSE,"",Cotations!$AR$4)</f>
        <v/>
      </c>
      <c r="WJ119" s="300" t="str">
        <f t="shared" si="1032"/>
        <v/>
      </c>
      <c r="WK119" s="300" t="str">
        <f t="shared" si="1033"/>
        <v/>
      </c>
      <c r="WL119" s="294" t="str">
        <f t="shared" si="1034"/>
        <v/>
      </c>
      <c r="WM119" s="494" t="str">
        <f>IF(A119=FALSE,"",Cotations!$AS$4)</f>
        <v/>
      </c>
      <c r="WN119" s="494" t="str">
        <f>IF(A119=FALSE,"",Cotations!$AT$4)</f>
        <v/>
      </c>
      <c r="WO119" s="489" t="str">
        <f>IF(A119=FALSE,"",Cotations!$AU$4)</f>
        <v/>
      </c>
      <c r="WP119" s="494" t="str">
        <f>IF(A119=FALSE,"",IF(WM119="N/A",0,IF(INDEX(LISTES!$F$105:$F$109,MATCH(WM119,LISTES!$C$105:$C$109,0))="FIX",IF(INDEX(LISTES!$E$105:$E$109,MATCH(WM119,LISTES!$C$105:$C$109,0))=12,WN119/12*L119,WN119/365*M119),WO119*WL119)))</f>
        <v/>
      </c>
      <c r="WQ119" s="294" t="str">
        <f t="shared" si="1035"/>
        <v/>
      </c>
      <c r="WR119" s="494" t="str">
        <f>IF(A119=FALSE,"",WQ119*Cotations!$AV$4)</f>
        <v/>
      </c>
      <c r="WS119" s="494" t="str">
        <f>IF(A119=FALSE,"",WQ119*Cotations!$AW$4)</f>
        <v/>
      </c>
      <c r="WT119" s="465" t="str">
        <f t="shared" si="1036"/>
        <v/>
      </c>
      <c r="WU119" s="919" t="str">
        <f>IF(A119=FALSE,"",((WG119*TAXE)-(WG119*TAXE*WI119))+IF(WM119="N/A",0,IF(INDEX(LISTES!$F$105:$F$109,MATCH(WM119,LISTES!$C$105:$C$109,0))="FIX",WN119,WO119*WL119)))</f>
        <v/>
      </c>
    </row>
    <row r="120" spans="1:619">
      <c r="A120" s="942" t="b">
        <f t="shared" si="841"/>
        <v>0</v>
      </c>
      <c r="B120" s="942" t="b">
        <f>IF(NAMES!$B$9=TRUE,TRUE,FALSE)</f>
        <v>1</v>
      </c>
      <c r="C120" s="942" t="b">
        <f t="shared" si="825"/>
        <v>0</v>
      </c>
      <c r="D120" s="942" t="b">
        <f t="shared" si="826"/>
        <v>0</v>
      </c>
      <c r="E120" s="274" t="b">
        <f>IF(Cotations!C120="","",Cotations!C120)</f>
        <v>0</v>
      </c>
      <c r="F120" s="274" t="str">
        <f>IF(Cotations!D120="","",Cotations!D120)</f>
        <v>PROP</v>
      </c>
      <c r="G120" s="274" t="str">
        <f>IF(Cotations!E120="","",Cotations!E120)</f>
        <v>2016-2017!</v>
      </c>
      <c r="H120" s="274" t="str">
        <f>IF(Cotations!F120="","",Cotations!F120)</f>
        <v/>
      </c>
      <c r="I120" s="274" t="str">
        <f>IF(Cotations!G120="","",Cotations!G120)</f>
        <v/>
      </c>
      <c r="J120" s="274" t="str">
        <f>IF(Cotations!H120="","",Cotations!H120)</f>
        <v/>
      </c>
      <c r="K120" s="274" t="str">
        <f>IF(Cotations!I120="","",Cotations!I120)</f>
        <v/>
      </c>
      <c r="L120" s="274" t="str">
        <f>IF(A120=FALSE,"",IF(Cotations!N120="","",Cotations!N120))</f>
        <v/>
      </c>
      <c r="M120" s="274" t="str">
        <f>IF(Cotations!P120="","",Cotations!P120)</f>
        <v/>
      </c>
      <c r="N120" s="724" t="str">
        <f>IF(NAMES!$B$10=TRUE,Cotations!J120,Cotations!L120)</f>
        <v/>
      </c>
      <c r="O120" s="724" t="str">
        <f>IF(NAMES!$B$10=TRUE,Cotations!K120,Cotations!M120)</f>
        <v/>
      </c>
      <c r="P120" s="943" t="str">
        <f t="shared" si="827"/>
        <v/>
      </c>
      <c r="Q120" s="724" t="str">
        <f>IF(A120=FALSE,"",IF(Crewlist!Y120="","",Crewlist!Y120))</f>
        <v/>
      </c>
      <c r="R120" s="78" t="str">
        <f>IF(Cotations!U120="","",Cotations!U120)</f>
        <v/>
      </c>
      <c r="S120" s="943" t="str">
        <f t="shared" si="828"/>
        <v/>
      </c>
      <c r="T120" s="919" t="str">
        <f>IF(A120=FALSE,"",VLOOKUP($U$15:$U$120,Currency!$A$2:$D$10,4,0)*Crewlist!N120)</f>
        <v/>
      </c>
      <c r="U120" s="1355" t="str">
        <f>IF(A120=FALSE,"",IF(IT120=0,Crewlist!M120&amp;"/"&amp;EX120,Crewlist!M120&amp;"/"&amp;IT120))</f>
        <v/>
      </c>
      <c r="V120" s="919" t="str">
        <f>IF(A120=FALSE,"",VLOOKUP($U$15:$U$120,Currency!$A$2:$D$10,4,0)*Detail!Q120)</f>
        <v/>
      </c>
      <c r="W120" s="1355" t="str">
        <f>IF(A120=FALSE,"",IF(IT120=0,Detail!R120&amp;"/"&amp;EX120,Detail!R120&amp;"/"&amp;IT120))</f>
        <v/>
      </c>
      <c r="X120" s="919" t="str">
        <f>IF(A120=FALSE,"",IF(LISTES!$C$17="Crewlist",Calcul!T120,Calcul!V120))</f>
        <v/>
      </c>
      <c r="Y120" s="758" t="str">
        <f t="shared" si="829"/>
        <v/>
      </c>
      <c r="Z120" s="758" t="str">
        <f>IF(A120=FALSE,"",IF(X120=0,0,IF((Cotations!BC120*12*X120)&lt;50000,50000,(12*X120))))</f>
        <v/>
      </c>
      <c r="AA120" s="758" t="str">
        <f t="shared" si="830"/>
        <v/>
      </c>
      <c r="AB120" s="758" t="str">
        <f>IF(A120=FALSE,"",IF(Crewlist!O120=0,"",Crewlist!O120))</f>
        <v/>
      </c>
      <c r="AC120" s="758" t="str">
        <f>IF(I120="","",VLOOKUP($AB$15:$AB$120,Currency!$A$15:$B$34,2,0))</f>
        <v/>
      </c>
      <c r="AD120" s="758" t="str">
        <f t="shared" si="831"/>
        <v/>
      </c>
      <c r="AE120" s="758" t="str">
        <f t="shared" si="832"/>
        <v/>
      </c>
      <c r="AF120" s="758" t="str">
        <f t="shared" si="833"/>
        <v/>
      </c>
      <c r="AG120" s="758" t="str">
        <f t="shared" si="834"/>
        <v/>
      </c>
      <c r="AH120" s="1355" t="str">
        <f t="shared" si="842"/>
        <v/>
      </c>
      <c r="AI120" s="919" t="str">
        <f t="shared" si="835"/>
        <v/>
      </c>
      <c r="AJ120" s="1382" t="str">
        <f t="shared" si="836"/>
        <v/>
      </c>
      <c r="AK120" s="1382" t="str">
        <f t="shared" si="837"/>
        <v/>
      </c>
      <c r="AL120" s="238" t="str">
        <f t="shared" si="843"/>
        <v/>
      </c>
      <c r="AM120" s="238" t="str">
        <f t="shared" si="844"/>
        <v/>
      </c>
      <c r="AN120" s="1374" t="str">
        <f t="shared" si="845"/>
        <v/>
      </c>
      <c r="AO120" s="238" t="str">
        <f t="shared" si="846"/>
        <v/>
      </c>
      <c r="AP120" s="342" t="str">
        <f>IF(A120=FALSE,"",INDEX(Rates!$Z$5:$Z$367,MATCH(EB120,colchoice,0)))</f>
        <v/>
      </c>
      <c r="AQ120" s="238" t="str">
        <f t="shared" si="847"/>
        <v/>
      </c>
      <c r="AR120" s="238" t="str">
        <f t="shared" si="848"/>
        <v/>
      </c>
      <c r="AS120" s="238" t="str">
        <f t="shared" si="849"/>
        <v/>
      </c>
      <c r="AT120" s="238" t="str">
        <f t="shared" si="850"/>
        <v/>
      </c>
      <c r="AU120" s="238" t="str">
        <f t="shared" si="851"/>
        <v/>
      </c>
      <c r="AV120" s="238" t="str">
        <f t="shared" si="838"/>
        <v/>
      </c>
      <c r="AW120" s="238" t="str">
        <f t="shared" si="852"/>
        <v/>
      </c>
      <c r="AX120" s="238" t="str">
        <f t="shared" si="853"/>
        <v/>
      </c>
      <c r="AY120" s="238" t="str">
        <f t="shared" si="854"/>
        <v/>
      </c>
      <c r="AZ120" s="238" t="str">
        <f t="shared" si="855"/>
        <v/>
      </c>
      <c r="BA120" s="238" t="str">
        <f t="shared" si="856"/>
        <v/>
      </c>
      <c r="BB120" s="552" t="str">
        <f t="shared" si="857"/>
        <v/>
      </c>
      <c r="BC120" s="347" t="str">
        <f t="shared" si="858"/>
        <v/>
      </c>
      <c r="BD120" s="239" t="str">
        <f t="shared" si="839"/>
        <v/>
      </c>
      <c r="BE120" s="239" t="str">
        <f>IF(A120=FALSE,"",IF(ALLTHESAME=TRUE,IF(DF120&lt;&gt;$BC$7,0,INDEX(DD120:DZ120,1,MATCH(Structure!$D$12,$DD$14:$DZ$14,0))),IF(EC120&lt;&gt;$BC$7,0,INDEX(EA120:EZ120,1,MATCH(Structure!$D$12,$EA$14:$EZ$14,0)))))</f>
        <v/>
      </c>
      <c r="BF120" s="239" t="str">
        <f>IF(A120=FALSE,"",IF(ALLTHESAME=TRUE,IF(FC120&lt;&gt;$BC$7,0,INDEX(FA120:FZ120,1,MATCH(Structure!$D$12,$FA$14:$FZ$14,0))),IF(GC120&lt;&gt;$BC$7,0,INDEX(GA120:GZ120,1,MATCH(Structure!$D$12,$GA$14:$GZ$14,0)))))</f>
        <v/>
      </c>
      <c r="BG120" s="239" t="str">
        <f>IF(A120=FALSE,"",IF(ALLTHESAME=TRUE,IF(VC120&lt;&gt;$BC$7,0,INDEX(VA120:VZ120,1,MATCH(Structure!$D$12,$VA$14:$VZ$14,0))),IF(VC120&lt;&gt;$BC$7,0,INDEX(VA120:VZ120,1,MATCH(Structure!$D$12,$VA$14:$VZ$14,0)))))</f>
        <v/>
      </c>
      <c r="BH120" s="239" t="str">
        <f>IF(A120=FALSE,"",IF(ALLTHESAME=TRUE,IF(WC120&lt;&gt;$BC$7,0,INDEX(WA120:WY120,1,MATCH(Structure!$D$12,$WA$14:$WZ$14,0))),IF(WC120&lt;&gt;$BC$7,0,INDEX(WA120:WZ120,1,MATCH(Structure!$D$12,$WA$14:$WZ$14,0)))))</f>
        <v/>
      </c>
      <c r="BI120" s="763" t="str">
        <f>IF(A120=FALSE,"",IF(ALLTHESAME=TRUE,IF(HC120&lt;&gt;$BC$7,0,INDEX(HA120:HZ120,1,MATCH(Structure!$D$12,$HA$14:$HZ$14,0)))+TK120,IF(IC120&lt;&gt;$BC$7,0,INDEX(IA120:IZ120,1,MATCH(Structure!$D$12,$IA$14:$IZ$14,0)))+TK120))</f>
        <v/>
      </c>
      <c r="BJ120" s="239" t="str">
        <f>IF(A120=FALSE,"",IF(ALLTHESAME=TRUE,IF(JC120&lt;&gt;$BC$7,0,INDEX(JA120:JZ120,1,MATCH(Structure!$D$12,$JA$14:$JZ$14,0))),IF(KC120&lt;&gt;$BC$7,0,INDEX(KA120:KZ120,1,MATCH(Structure!$D$12,$KA$14:$KZ$14,0)))))</f>
        <v/>
      </c>
      <c r="BK120" s="763" t="str">
        <f>IF(A120=FALSE,"",IF(ALLTHESAME=TRUE,IF(LC120&lt;&gt;$BC$7,0,INDEX(LA120:LZ120,1,MATCH(Structure!$D$12,$LA$14:$LZ$14,0)))+UK120,IF(MC120&lt;&gt;$BC$7,0,INDEX(MA120:MZ120,1,MATCH(Structure!$D$12,$MA$14:$MZ$14,0)))+UK120))</f>
        <v/>
      </c>
      <c r="BL120" s="239" t="str">
        <f>IF(A120=FALSE,"",IF(ALLTHESAME=TRUE,IF(NC120&lt;&gt;$BC$7,0,INDEX(NA120:NZ120,1,MATCH(Structure!$D$12,$NA$14:$NZ$14,0))),IF(OC120&lt;&gt;$BC$7,0,INDEX(OA120:OZ120,1,MATCH(Structure!$D$12,$OA$14:$OZ$14,0)))))</f>
        <v/>
      </c>
      <c r="BM120" s="239" t="str">
        <f>IF(A120=FALSE,"",IF(ALLTHESAME=TRUE,IF(PC120&lt;&gt;$BC$7,0,INDEX(PA120:PZ120,1,MATCH(Structure!$D$12,$PA$14:$PZ$14,0))),IF(QC120&lt;&gt;$BC$7,0,INDEX(QA120:QZ120,1,MATCH(Structure!$D$12,$QA$14:$QZ$14,0)))))</f>
        <v/>
      </c>
      <c r="BN120" s="341" t="str">
        <f>IF(A120=FALSE,"",IF(ALLTHESAME=TRUE,IF(RC120&lt;&gt;$BC$7,0,INDEX(RA120:RZ120,1,MATCH(Structure!$D$12,$RA$14:$RZ$14,0))),IF(SC120&lt;&gt;$BC$7,0,INDEX(SA120:TA120,1,MATCH(Structure!$D$12,$SA$14:$TA$14,0)))))</f>
        <v/>
      </c>
      <c r="BO120" s="507" t="str">
        <f t="shared" si="859"/>
        <v/>
      </c>
      <c r="BP120" s="239" t="str">
        <f t="shared" si="860"/>
        <v/>
      </c>
      <c r="BQ120" s="239" t="str">
        <f>IF(A120=FALSE,"",IF(ALLTHESAME=TRUE,IF(DF120&lt;&gt;$BO$7,0,INDEX(DD120:DZ120,1,MATCH(Structure!$D$12,$DD$14:$DZ$14,0))),IF(EC120&lt;&gt;$BO$7,0,INDEX(EA120:EZ120,1,MATCH(Structure!$D$12,$EA$14:$EZ$14,0)))))</f>
        <v/>
      </c>
      <c r="BR120" s="239" t="str">
        <f>IF(A120=FALSE,"",IF(ALLTHESAME=TRUE,IF(FC120&lt;&gt;$BO$7,0,INDEX(FA120:FZ120,1,MATCH(Structure!$D$12,$FA$14:$FZ$14,0))),IF(GC120&lt;&gt;$BO$7,0,INDEX(GA120:GZ120,1,MATCH(Structure!$D$12,$GA$14:$GZ$14,0)))))</f>
        <v/>
      </c>
      <c r="BS120" s="239" t="str">
        <f>IF(A120=FALSE,"",IF(ALLTHESAME=TRUE,IF(HC120&lt;&gt;$BO$7,0,INDEX(HA120:HZ120,1,MATCH(Structure!$D$12,$HA$14:$HZ$14,0))),IF(IC120&lt;&gt;$BO$7,0,INDEX(IA120:IZ120,1,MATCH(Structure!$D$12,$IA$14:$IZ$14,0)))))</f>
        <v/>
      </c>
      <c r="BT120" s="239" t="str">
        <f>IF(A120=FALSE,"",IF(ALLTHESAME=TRUE,IF(JC120&lt;&gt;$BO$7,0,INDEX(JA120:JZ120,1,MATCH(Structure!$D$12,$JA$14:$JZ$14,0))),IF(KC120&lt;&gt;$BO$7,0,INDEX(KA120:KZ120,1,MATCH(Structure!$D$12,$KA$14:$KZ$14,0)))))</f>
        <v/>
      </c>
      <c r="BU120" s="239" t="str">
        <f>IF(A120=FALSE,"",IF(ALLTHESAME=TRUE,IF(LC120&lt;&gt;$BO$7,0,INDEX(LA120:LZ120,1,MATCH(Structure!$D$12,$LA$14:$LZ$14,0))),IF(MC120&lt;&gt;$BO$7,0,INDEX(MA120:MZ120,1,MATCH(Structure!$D$12,$MA$14:$MZ$14,0)))))</f>
        <v/>
      </c>
      <c r="BV120" s="239" t="str">
        <f>IF(A120=FALSE,"",IF(ALLTHESAME=TRUE,IF(NC120&lt;&gt;$BO$7,0,INDEX(NA120:NZ120,1,MATCH(Structure!$D$12,$NA$14:$NZ$14,0))),IF(OC120&lt;&gt;$BO$7,0,INDEX(OA120:OZ120,1,MATCH(Structure!$D$12,$OA$14:$OZ$14,0)))))</f>
        <v/>
      </c>
      <c r="BW120" s="239" t="str">
        <f>IF(A120=FALSE,"",IF(ALLTHESAME=TRUE,IF(PC120&lt;&gt;$BO$7,0,INDEX(PA120:PZ120,1,MATCH(Structure!$D$12,$PA$14:$PZ$14,0))),IF(QC120&lt;&gt;$BO$7,0,INDEX(QA120:QZ120,1,MATCH(Structure!$D$12,$QA$14:$QZ$14,0)))))</f>
        <v/>
      </c>
      <c r="BX120" s="341" t="str">
        <f>IF(A120=FALSE,"",IF(ALLTHESAME=TRUE,IF(RC120&lt;&gt;$BO$7,0,INDEX(RA120:RZ120,1,MATCH(Structure!$D$12,$RA$14:$RZ$14,0))),IF(SC120&lt;&gt;$BO$7,0,INDEX(SA120:TA120,1,MATCH(Structure!$D$12,$SA$14:$TA$14,0)))))</f>
        <v/>
      </c>
      <c r="BY120" s="347" t="str">
        <f t="shared" si="861"/>
        <v/>
      </c>
      <c r="BZ120" s="507" t="str">
        <f t="shared" si="862"/>
        <v/>
      </c>
      <c r="CA120" s="239" t="str">
        <f t="shared" si="863"/>
        <v/>
      </c>
      <c r="CB120" s="239" t="str">
        <f>IF(A120=FALSE,"",IF(ALLTHESAME=TRUE,INDEX(DD120:DZ120,MATCH(DF120,DF120:DF225,0),MATCH(Structure!$D$17,$DD$14:$DZ$14,0)),INDEX(EA120:EZ120,MATCH(EC120,EC120:EC225,0),MATCH(Structure!$D$17,$EA$14:$EZ$14,0))))</f>
        <v/>
      </c>
      <c r="CC120" s="239" t="str">
        <f>IF(A120=FALSE,"",IF(ALLTHESAME=TRUE,INDEX(FA120:FZ120,MATCH(FC120,FC120:FC225,0),MATCH(Structure!$D$17,$FA$14:$FZ$14,0)),INDEX(GA120:GZ120,MATCH(GC120,GC120:GC225,0),MATCH(Structure!$D$17,$GA$14:$GZ$14,0))))</f>
        <v/>
      </c>
      <c r="CD120" s="239" t="str">
        <f>IF(A120=FALSE,"",IF(ALLTHESAME=TRUE,INDEX(HA120:HZ120,MATCH(HC120,HC120:HC225,0),MATCH(Structure!$D$17,$HA$14:$HZ$14,0)),INDEX(IA120:IZ120,MATCH(IC120,IC120:IC225,0),MATCH(Structure!$D$17,$IA$14:$IZ$14,0))))</f>
        <v/>
      </c>
      <c r="CE120" s="239" t="str">
        <f>IF(A120=FALSE,"",IF(ALLTHESAME=TRUE,INDEX(JA120:JZ120,MATCH(JC120,JC120:JC225,0),MATCH(Structure!$D$17,$JA$14:$JZ$14,0)),INDEX(KA120:KZ120,MATCH(KC120,KC120:KC225,0),MATCH(Structure!$D$17,$KA$14:$KZ$14,0))))</f>
        <v/>
      </c>
      <c r="CF120" s="239" t="str">
        <f>IF(A120=FALSE,"",IF(ALLTHESAME=TRUE,INDEX(LA120:LZ120,MATCH(LC120,LC120:LC225,0),MATCH(Structure!$D$17,$LA$14:$LZ$14,0)),INDEX(MA120:MZ120,MATCH(MC120,MC120:MC225,0),MATCH(Structure!$D$17,$MA$14:$MZ$14,0))))</f>
        <v/>
      </c>
      <c r="CG120" s="239" t="str">
        <f>IF(A120=FALSE,"",IF(ALLTHESAME=TRUE,INDEX(NA120:NZ120,MATCH(NC120,NC120:NC225,0),MATCH(Structure!$D$17,$NA$14:$NZ$14,0)),INDEX(OA120:OZ120,MATCH(OC120,OC120:OC225,0),MATCH(Structure!$D$17,$OA$14:$OZ$14,0))))</f>
        <v/>
      </c>
      <c r="CH120" s="239" t="str">
        <f>IF(A120=FALSE,"",IF(ALLTHESAME=TRUE,INDEX(PA120:PZ120,MATCH(PC120,PC120:PC225,0),MATCH(Structure!$D$17,$PA$14:$PZ$14,0)),INDEX(QA120:QZ120,MATCH(QC120,QC120:QC225,0),MATCH(Structure!$D$17,$QA$14:$QZ$14,0))))</f>
        <v/>
      </c>
      <c r="CI120" s="341" t="str">
        <f>IF(A120=FALSE,"",IF(ALLTHESAME=TRUE,INDEX(RA120:RZ120,MATCH(RC120,RC120:RC225,0),MATCH(Structure!$D$17,$RA$14:$RZ$14,0)),INDEX(SA120:TC120,MATCH(SC120,SC120:SC225,0),MATCH(Structure!$D$17,$SA$14:$TC$14,0))))</f>
        <v/>
      </c>
      <c r="CJ120" s="347"/>
      <c r="CK120" s="239" t="str">
        <f t="shared" si="864"/>
        <v/>
      </c>
      <c r="CL120" s="239" t="str">
        <f>IF(A120=FALSE,"",IF(ALLTHESAME=TRUE,INDEX(DD120:DZ120,MATCH(DF120,DF120:DF225,0),MATCH(Structure!$D$22,$DD$14:$DZ$14,0)),INDEX(EA120:EZ120,MATCH(EC120,EC120:EC225,0),MATCH(Structure!$D$22,$EA$14:$EZ$14,0))))</f>
        <v/>
      </c>
      <c r="CM120" s="239" t="str">
        <f>IF(A120=FALSE,"",IF(ALLTHESAME=TRUE,INDEX(FA120:FZ120,MATCH(FC120,FC120:FC225,0),MATCH(Structure!$D$22,$FA$14:$FZ$14,0)),INDEX(GA120:GZ120,MATCH(GC120,GC120:GC225,0),MATCH(Structure!$D$22,$GA$14:$GZ$14,0))))</f>
        <v/>
      </c>
      <c r="CN120" s="239" t="str">
        <f>IF(A120=FALSE,"",IF(ALLTHESAME=TRUE,INDEX(HA120:HZ120,MATCH(HC120,HC120:HC225,0),MATCH(Structure!$D$22,$HA$14:$HZ$14,0)),INDEX(IA120:IZ120,MATCH(IC120,IC120:IC225,0),MATCH(Structure!$D$22,$IA$14:$IZ$14,0))))</f>
        <v/>
      </c>
      <c r="CO120" s="239" t="str">
        <f>IF(A120=FALSE,"",IF(ALLTHESAME=TRUE,INDEX(JA120:JZ120,MATCH(JC120,JC120:JC225,0),MATCH(Structure!$D$22,$JA$14:$JZ$14,0)),INDEX(KA120:KZ120,MATCH(KC120,KC120:KC225,0),MATCH(Structure!$D$22,$KA$14:$KZ$14,0))))</f>
        <v/>
      </c>
      <c r="CP120" s="239" t="str">
        <f>IF(A120=FALSE,"",IF(ALLTHESAME=TRUE,INDEX(LA120:LZ120,MATCH(LC120,LC120:LC225,0),MATCH(Structure!$D$22,$LA$14:$LZ$14,0)),INDEX(MA120:MZ120,MATCH(MC120,MC120:MC225,0),MATCH(Structure!$D$22,$MA$14:$MZ$14,0))))</f>
        <v/>
      </c>
      <c r="CQ120" s="239" t="str">
        <f>IF(A120=FALSE,"",IF(ALLTHESAME=TRUE,INDEX(NA120:NZ120,MATCH(NC120,NC120:NC225,0),MATCH(Structure!$D$22,$NA$14:$NZ$14,0)),INDEX(OA120:OZ120,MATCH(OC120,OC120:OC225,0),MATCH(Structure!$D$22,$OA$14:$OZ$14,0))))</f>
        <v/>
      </c>
      <c r="CR120" s="239" t="str">
        <f>IF(A120=FALSE,"",IF(ALLTHESAME=TRUE,INDEX(PA120:PZ120,MATCH(PC120,PC120:PC225,0),MATCH(Structure!$D$22,$PA$14:$PZ$14,0)),INDEX(QA120:QZ120,MATCH(QC120,QC120:QC225,0),MATCH(Structure!$D$22,$QA$14:$QZ$14,0))))</f>
        <v/>
      </c>
      <c r="CS120" s="341" t="str">
        <f>IF(A120=FALSE,"",IF(ALLTHESAME=TRUE,INDEX(RA120:RZ120,MATCH(RC120,RC120:RC225,0),MATCH(Structure!$D$22,$RA$14:$RZ$14,0)),INDEX(SA120:TC120,MATCH(SC120,SC120:SC225,0),MATCH(Structure!$D$22,$SA$14:$TC$14,0))))</f>
        <v/>
      </c>
      <c r="CT120" s="347"/>
      <c r="CU120" s="239" t="str">
        <f t="shared" si="865"/>
        <v/>
      </c>
      <c r="CV120" s="239" t="str">
        <f>IF(A120=FALSE,"",IF(ALLTHESAME=TRUE,INDEX(DD120:DZ120,MATCH(DF120,DF120:DF225,0),MATCH(Structure!$D$8,$DD$14:$DZ$14,0)),INDEX(EA120:EZ120,MATCH(EC120,EC120:EC225,0),MATCH(Structure!$D$8,$EA$14:$EZ$14,0))))</f>
        <v/>
      </c>
      <c r="CW120" s="239" t="str">
        <f>IF(A120=FALSE,"",IF(ALLTHESAME=TRUE,INDEX(FA120:FZ120,MATCH(FC120,FC120:FC225,0),MATCH(Structure!$D$8,$FA$14:$FZ$14,0)),INDEX(GA120:GZ120,MATCH(GC120,GC120:GC225,0),MATCH(Structure!$D$8,$GA$14:$GZ$14,0))))</f>
        <v/>
      </c>
      <c r="CX120" s="239" t="str">
        <f>IF(A120=FALSE,"",IF(ALLTHESAME=TRUE,INDEX(HA120:HZ120,MATCH(HC120,HC120:HC225,0),MATCH(Structure!$D$8,$HA$14:$HZ$14,0)),INDEX(IA120:IZ120,MATCH(IC120,IC120:IC225,0),MATCH(Structure!$D$8,$IA$14:$IZ$14,0))))</f>
        <v/>
      </c>
      <c r="CY120" s="239" t="str">
        <f>IF(A120=FALSE,"",IF(ALLTHESAME=TRUE,INDEX(JA120:JZ120,MATCH(JC120,JC120:JC225,0),MATCH(Structure!$D$8,$JA$14:$JZ$14,0)),INDEX(KA120:KZ120,MATCH(KC120,KC120:KC225,0),MATCH(Structure!$D$8,$KA$14:$KZ$14,0))))</f>
        <v/>
      </c>
      <c r="CZ120" s="239" t="str">
        <f>IF(A120=FALSE,"",IF(ALLTHESAME=TRUE,INDEX(LA120:LZ120,MATCH(LC120,LC120:LC225,0),MATCH(Structure!$D$8,$LA$14:$LZ$14,0)),INDEX(MA120:MZ120,MATCH(MC120,MC120:MC225,0),MATCH(Structure!$D$8,$MA$14:$MZ$14,0))))</f>
        <v/>
      </c>
      <c r="DA120" s="239" t="str">
        <f>IF(A120=FALSE,"",IF(ALLTHESAME=TRUE,INDEX(NA120:NZ120,MATCH(NC120,NC120:NC225,0),MATCH(Structure!$D$8,$NA$14:$NZ$14,0)),INDEX(OA120:OZ120,MATCH(OC120,OC120:OC225,0),MATCH(Structure!$D$8,$OA$14:$OZ$14,0))))</f>
        <v/>
      </c>
      <c r="DB120" s="239" t="str">
        <f>IF(A120=FALSE,"",IF(ALLTHESAME=TRUE,INDEX(PA120:PZ120,MATCH(PC120,PC120:PC225,0),MATCH(Structure!$D$8,$PA$14:$PZ$14,0)),INDEX(QA120:QZ120,MATCH(QC120,QC120:QC225,0),MATCH(Structure!$D$8,$QA$14:$QZ$14,0))))</f>
        <v/>
      </c>
      <c r="DC120" s="341" t="str">
        <f>IF(A120=FALSE,"",IF(ALLTHESAME=TRUE,INDEX(RA120:RZ120,MATCH(RC120,RC120:RC225,0),MATCH(Structure!$D$8,$RA$14:$RZ$14,0)),INDEX(SA120:TC120,MATCH(SC120,SC120:SC225,0),MATCH(Structure!$D$8,$SA$14:$TC$14,0))))</f>
        <v/>
      </c>
      <c r="DD120" s="492" t="str">
        <f>IF(A120=FALSE,"",Cotations!D120)</f>
        <v/>
      </c>
      <c r="DE120" s="492" t="str">
        <f>IF(A120=FALSE,"",IF(LISTES!$A$17=1,Cotations!AF120,Cotations!$AG$4))</f>
        <v/>
      </c>
      <c r="DF120" s="291" t="str">
        <f t="shared" si="866"/>
        <v/>
      </c>
      <c r="DG120" s="291" t="str">
        <f t="shared" si="867"/>
        <v/>
      </c>
      <c r="DH120" s="291"/>
      <c r="DI120" s="463"/>
      <c r="DJ120" s="463" t="str">
        <f t="shared" si="868"/>
        <v/>
      </c>
      <c r="DK120" s="522" t="str">
        <f>IF(A120=FALSE,"",IF(Cotations!$AH$4="monthly",DJ120/12*L120,DJ120/365*M120))</f>
        <v/>
      </c>
      <c r="DL120" s="489" t="str">
        <f>IF(A120=FALSE,"",Cotations!$AI$4)</f>
        <v/>
      </c>
      <c r="DM120" s="300" t="str">
        <f t="shared" si="869"/>
        <v/>
      </c>
      <c r="DN120" s="300" t="str">
        <f t="shared" si="870"/>
        <v/>
      </c>
      <c r="DO120" s="294" t="str">
        <f t="shared" si="871"/>
        <v/>
      </c>
      <c r="DP120" s="494" t="str">
        <f>IF(A120=FALSE,"",Cotations!$AJ$4)</f>
        <v/>
      </c>
      <c r="DQ120" s="494" t="str">
        <f>IF(A120=FALSE,"",Cotations!$AK$4)</f>
        <v/>
      </c>
      <c r="DR120" s="489" t="str">
        <f>IF(A120=FALSE,"",Cotations!$AL$4)</f>
        <v/>
      </c>
      <c r="DS120" s="494" t="str">
        <f>IF(A120=FALSE,"",IF(DP120="N/A",0,IF(INDEX(LISTES!$F$105:$F$109,MATCH(DP120,LISTES!$C$105:$C$109,0))="FIX",IF(INDEX(LISTES!$E$105:$E$109,MATCH(DP120,LISTES!$C$105:$C$109,0))=12,DQ120/12*L120,DQ120/365*M120),DR120*DO120)))</f>
        <v/>
      </c>
      <c r="DT120" s="294" t="str">
        <f t="shared" si="872"/>
        <v/>
      </c>
      <c r="DU120" s="294" t="str">
        <f>IF(A120=FALSE,"",DT120*Cotations!$AM$4)</f>
        <v/>
      </c>
      <c r="DV120" s="294" t="str">
        <f>IF(A120=FALSE,"",DT120*Cotations!$AN$4)</f>
        <v/>
      </c>
      <c r="DW120" s="465" t="str">
        <f t="shared" si="873"/>
        <v/>
      </c>
      <c r="DX120" s="919" t="str">
        <f>IF(A120=FALSE,"",((DJ120*TAXE)-(DJ120*TAXE*DL120))+IF(DP120="N/A",0,IF(INDEX(LISTES!$F$105:$F$109,MATCH(DP120,LISTES!$C$105:$C$109,0))="FIX",DQ120,DR120*DO120)))</f>
        <v/>
      </c>
      <c r="DY120" s="466"/>
      <c r="DZ120" s="466"/>
      <c r="EA120" s="492" t="str">
        <f>IF(A120=FALSE,"",Cotations!D120)</f>
        <v/>
      </c>
      <c r="EB120" s="494" t="str">
        <f>IF(A120=FALSE,"",IF(LISTES!$A$17=1,Cotations!AF120,Cotations!AG120))</f>
        <v/>
      </c>
      <c r="EC120" s="284" t="str">
        <f t="shared" si="874"/>
        <v/>
      </c>
      <c r="ED120" s="284" t="str">
        <f t="shared" si="875"/>
        <v/>
      </c>
      <c r="EE120" s="284"/>
      <c r="EF120" s="284"/>
      <c r="EG120" s="284" t="str">
        <f t="shared" si="876"/>
        <v/>
      </c>
      <c r="EH120" s="1365" t="str">
        <f t="shared" si="877"/>
        <v/>
      </c>
      <c r="EI120" s="1365" t="str">
        <f t="shared" si="878"/>
        <v/>
      </c>
      <c r="EJ120" s="515" t="str">
        <f>IF(A120=FALSE,"",IF(Cotations!AH120="monthly",EG120/12*L120,EG120/365*M120))</f>
        <v/>
      </c>
      <c r="EK120" s="1364" t="str">
        <f>IF(A120=FALSE,"",IF(Cotations!AH120="monthly",EI120/12*L120,EI120/365*M120))</f>
        <v/>
      </c>
      <c r="EL120" s="493" t="str">
        <f>IF(A120=FALSE,"",IF(Cotations!AI120="","",Cotations!AI120))</f>
        <v/>
      </c>
      <c r="EM120" s="284" t="str">
        <f t="shared" si="879"/>
        <v/>
      </c>
      <c r="EN120" s="284" t="str">
        <f t="shared" si="880"/>
        <v/>
      </c>
      <c r="EO120" s="1448" t="str">
        <f t="shared" si="840"/>
        <v/>
      </c>
      <c r="EP120" s="284" t="str">
        <f t="shared" si="881"/>
        <v/>
      </c>
      <c r="EQ120" s="515" t="str">
        <f>IF(A120=FALSE,"",Cotations!AJ120)</f>
        <v/>
      </c>
      <c r="ER120" s="515" t="str">
        <f>IF(A120=FALSE,"",IF(Cotations!AK120="","",Cotations!AK120))</f>
        <v/>
      </c>
      <c r="ES120" s="493" t="str">
        <f>IF(A120=FALSE,"",Cotations!AL120)</f>
        <v/>
      </c>
      <c r="ET120" s="515" t="str">
        <f>IF(A120=FALSE,"",IF(EQ120="N/A",0,IF(INDEX(LISTES!$F$105:$F$109,MATCH(EQ120,LISTES!$C$105:$C$109,0))="FIX",IF(INDEX(LISTES!$E$105:$E$109,MATCH(EQ120,LISTES!$C$105:$C$109,0))=12,ER120/12*L120,ER120/365*M120),ES120*EP120)))</f>
        <v/>
      </c>
      <c r="EU120" s="294" t="str">
        <f t="shared" si="882"/>
        <v/>
      </c>
      <c r="EV120" s="494" t="str">
        <f>IF(A120=FALSE,"",EU120*Cotations!AM120)</f>
        <v/>
      </c>
      <c r="EW120" s="494" t="str">
        <f>IF(A120=FALSE,"",EU120*Cotations!AN120)</f>
        <v/>
      </c>
      <c r="EX120" s="334" t="str">
        <f t="shared" si="883"/>
        <v/>
      </c>
      <c r="EY120" s="919" t="str">
        <f>IF(A120=FALSE,"",((EG120*TAXE)-(EG120*TAXE*EL120)+EH120)+IF(EQ120="N/A",0,IF(INDEX(LISTES!$F$105:$F$109,MATCH(EQ120,LISTES!$C$105:$C$109,0))="FIX",ER120,ES120*EP120)))</f>
        <v/>
      </c>
      <c r="FA120" s="492" t="str">
        <f>IF(A120=FALSE,"",Cotations!D120)</f>
        <v/>
      </c>
      <c r="FB120" s="519" t="str">
        <f>IF(A120=FALSE,"",IF(LISTES!$A$17=1,Cotations!AO120,Cotations!$AP$4))</f>
        <v/>
      </c>
      <c r="FC120" s="291" t="str">
        <f t="shared" si="884"/>
        <v/>
      </c>
      <c r="FD120" s="291" t="str">
        <f t="shared" si="885"/>
        <v/>
      </c>
      <c r="FE120" s="291"/>
      <c r="FF120" s="463"/>
      <c r="FG120" s="463" t="str">
        <f t="shared" si="886"/>
        <v/>
      </c>
      <c r="FH120" s="522" t="str">
        <f>IF(A120=FALSE,"",IF(Cotations!$AQ$4="monthly",FG120/12*L120,FG120/365*M120))</f>
        <v/>
      </c>
      <c r="FI120" s="453" t="str">
        <f>IF(A120=FALSE,"",Cotations!$AR$4)</f>
        <v/>
      </c>
      <c r="FJ120" s="300" t="str">
        <f t="shared" si="887"/>
        <v/>
      </c>
      <c r="FK120" s="300" t="str">
        <f t="shared" si="888"/>
        <v/>
      </c>
      <c r="FL120" s="294" t="str">
        <f t="shared" si="889"/>
        <v/>
      </c>
      <c r="FM120" s="494" t="str">
        <f>IF(A120=FALSE,"",Cotations!$AS$4)</f>
        <v/>
      </c>
      <c r="FN120" s="494" t="str">
        <f>IF(A120=FALSE,"",Cotations!$AT$4)</f>
        <v/>
      </c>
      <c r="FO120" s="489" t="str">
        <f>IF(A120=FALSE,"",Cotations!$AU$4)</f>
        <v/>
      </c>
      <c r="FP120" s="494" t="str">
        <f>IF(A120=FALSE,"",IF(FM120="N/A",0,IF(INDEX(LISTES!$F$105:$F$109,MATCH(FM120,LISTES!$C$105:$C$109,0))="FIX",IF(INDEX(LISTES!$E$105:$E$109,MATCH(FM120,LISTES!$C$105:$C$109,0))=12,FN120/12*L120,FN120/365*M120),FO120*FL120)))</f>
        <v/>
      </c>
      <c r="FQ120" s="294" t="str">
        <f t="shared" si="890"/>
        <v/>
      </c>
      <c r="FR120" s="494" t="str">
        <f>IF(A120=FALSE,"",FQ120*Cotations!$AV$4)</f>
        <v/>
      </c>
      <c r="FS120" s="494" t="str">
        <f>IF(A120=FALSE,"",FQ120*Cotations!$AW$4)</f>
        <v/>
      </c>
      <c r="FT120" s="465" t="str">
        <f t="shared" si="891"/>
        <v/>
      </c>
      <c r="FU120" s="919" t="str">
        <f>IF(A120=FALSE,"",((FG120*TAXE)-(FG120*TAXE*FI120))+IF(FM120="N/A",0,IF(INDEX(LISTES!$F$105:$F$109,MATCH(FM120,LISTES!$C$105:$C$109,0))="FIX",FN120,FO120*FL120)))</f>
        <v/>
      </c>
      <c r="FV120" s="478"/>
      <c r="FW120" s="478"/>
      <c r="FX120" s="478"/>
      <c r="FY120" s="478"/>
      <c r="FZ120" s="478"/>
      <c r="GA120" s="492" t="str">
        <f>IF(A120=FALSE,"",Cotations!D120)</f>
        <v/>
      </c>
      <c r="GB120" s="494" t="str">
        <f>IF(A120=FALSE,"",IF(LISTES!$A$17=1,Cotations!AO120,Cotations!AP120))</f>
        <v/>
      </c>
      <c r="GC120" s="284" t="str">
        <f t="shared" si="892"/>
        <v/>
      </c>
      <c r="GD120" s="515" t="str">
        <f>IF(A120=FALSE,"",IF(Detail!AM120="","",Detail!AM120))</f>
        <v/>
      </c>
      <c r="GE120" s="284"/>
      <c r="GF120" s="284"/>
      <c r="GG120" s="284" t="str">
        <f t="shared" si="893"/>
        <v/>
      </c>
      <c r="GH120" s="515" t="str">
        <f>IF(A120=FALSE,"",IF(Cotations!AQ120="monthly",GG120/12*L120,GG120/365*M120))</f>
        <v/>
      </c>
      <c r="GI120" s="493" t="str">
        <f>IF(A120=FALSE,"",IF(Cotations!AR120="","",Cotations!AR120))</f>
        <v/>
      </c>
      <c r="GJ120" s="284" t="str">
        <f t="shared" si="894"/>
        <v/>
      </c>
      <c r="GK120" s="284" t="str">
        <f t="shared" si="895"/>
        <v/>
      </c>
      <c r="GL120" s="284" t="str">
        <f t="shared" si="896"/>
        <v/>
      </c>
      <c r="GM120" s="515" t="str">
        <f>IF(A120=FALSE,"",Cotations!AS120)</f>
        <v/>
      </c>
      <c r="GN120" s="515" t="str">
        <f>IF(A120=FALSE,"",Cotations!AT120)</f>
        <v/>
      </c>
      <c r="GO120" s="493" t="str">
        <f>IF(A120=FALSE,"",Cotations!AU120)</f>
        <v/>
      </c>
      <c r="GP120" s="515" t="str">
        <f>IF(A120=FALSE,"",IF(GM120="N/A",0,IF(INDEX(LISTES!$F$105:$F$109,MATCH(GM120,LISTES!$C$105:$C$109,0))="FIX",IF(INDEX(LISTES!$E$105:$E$109,MATCH(GM120,LISTES!$C$105:$C$109,0))=12,GN120/12*L120,GN120/365*M120),GO120*GL120)))</f>
        <v/>
      </c>
      <c r="GQ120" s="294" t="str">
        <f t="shared" si="897"/>
        <v/>
      </c>
      <c r="GR120" s="494" t="str">
        <f>IF(A120=FALSE,"",GQ120*Cotations!AV120)</f>
        <v/>
      </c>
      <c r="GS120" s="494" t="str">
        <f>IF(A120=FALSE,"",GQ120*Cotations!AW120)</f>
        <v/>
      </c>
      <c r="GT120" s="334" t="str">
        <f t="shared" si="898"/>
        <v/>
      </c>
      <c r="GU120" s="919" t="str">
        <f>IF(A120=FALSE,"",((GG120*TAXE)-(GG120*TAXE*GI120))+IF(GM120="N/A",0,IF(INDEX(LISTES!$F$105:$F$109,MATCH(GM120,LISTES!$C$105:$C$109,0))="FIX",GN120,GO120*GL120)))</f>
        <v/>
      </c>
      <c r="GV120" s="478"/>
      <c r="GW120" s="466"/>
      <c r="GX120" s="466"/>
      <c r="GY120" s="466"/>
      <c r="GZ120" s="466"/>
      <c r="HA120" s="492" t="str">
        <f>IF(A120=FALSE,"",Cotations!D120)</f>
        <v/>
      </c>
      <c r="HB120" s="495" t="str">
        <f>IF(A120=FALSE,"",IF(LISTES!$A$17=1,Cotations!AX120,Cotations!$AY$4))</f>
        <v/>
      </c>
      <c r="HC120" s="291" t="str">
        <f t="shared" si="899"/>
        <v/>
      </c>
      <c r="HD120" s="291" t="str">
        <f t="shared" si="900"/>
        <v/>
      </c>
      <c r="HE120" s="456" t="str">
        <f t="shared" si="901"/>
        <v/>
      </c>
      <c r="HF120" s="496" t="str">
        <f>IF(A120=FALSE,"",IF(HA120="POEA",Cotations!BA120,IF(HA120="FIXE",Cotations!$BA$4,Cotations!$BC$4*Y120)))</f>
        <v/>
      </c>
      <c r="HG120" s="300" t="str">
        <f t="shared" si="902"/>
        <v/>
      </c>
      <c r="HH120" s="522" t="str">
        <f>IF(A120=FALSE,"",IF(Cotations!$AZ$4="monthly",HG120/12*L120,HG120/365*M120))</f>
        <v/>
      </c>
      <c r="HI120" s="489" t="str">
        <f>IF(A120=FALSE,"",Cotations!$BD$4)</f>
        <v/>
      </c>
      <c r="HJ120" s="300" t="str">
        <f t="shared" si="903"/>
        <v/>
      </c>
      <c r="HK120" s="300" t="str">
        <f t="shared" si="904"/>
        <v/>
      </c>
      <c r="HL120" s="294" t="str">
        <f t="shared" si="905"/>
        <v/>
      </c>
      <c r="HM120" s="494" t="str">
        <f>IF(A120=FALSE,"",Cotations!$BE$4)</f>
        <v/>
      </c>
      <c r="HN120" s="522" t="str">
        <f>IF(A120=FALSE,"",Cotations!$BF$4)</f>
        <v/>
      </c>
      <c r="HO120" s="489" t="str">
        <f>IF(A120=FALSE,"",Cotations!$BG$4)</f>
        <v/>
      </c>
      <c r="HP120" s="494" t="str">
        <f>IF(A120=FALSE,"",IF(HM120="N/A",0,IF(INDEX(LISTES!$F$105:$F$109,MATCH(HM120,LISTES!$C$105:$C$109,0))="FIX",IF(INDEX(LISTES!$E$105:$E$109,MATCH(HM120,LISTES!$C$105:$C$109,0))=12,HN120/12*L120,HN120/365*M120),HO120*HL120)))</f>
        <v/>
      </c>
      <c r="HQ120" s="294" t="str">
        <f t="shared" si="906"/>
        <v/>
      </c>
      <c r="HR120" s="494" t="str">
        <f>IF(A120=FALSE,"",HQ120*Cotations!$BH$4)</f>
        <v/>
      </c>
      <c r="HS120" s="494" t="str">
        <f>IF(A120=FALSE,"",HQ120*Cotations!$BI$4)</f>
        <v/>
      </c>
      <c r="HT120" s="294" t="str">
        <f t="shared" si="907"/>
        <v/>
      </c>
      <c r="HU120" s="919" t="str">
        <f>IF(A120=FALSE,"",((HG120*TAXE)-(HG120*TAXE*HI120))+IF(HM120="N/A",0,IF(INDEX(LISTES!$F$105:$F$109,MATCH(HM120,LISTES!$C$105:$C$109,0))="FIX",HN120,HO120*HL120)))</f>
        <v/>
      </c>
      <c r="IA120" s="492" t="str">
        <f>IF(A120=FALSE,"",Cotations!D120)</f>
        <v/>
      </c>
      <c r="IB120" s="491" t="str">
        <f>IF(A120=FALSE,"",IF(LISTES!$A$17=1,Cotations!AX120,Cotations!AY120))</f>
        <v/>
      </c>
      <c r="IC120" s="285" t="str">
        <f t="shared" si="908"/>
        <v/>
      </c>
      <c r="ID120" s="300" t="str">
        <f>IF(A120=FALSE,"",IF(LISTES!$A$17=3,Detail!AU120,lig1_Formula_PREVOY))</f>
        <v/>
      </c>
      <c r="IE120" s="461" t="str">
        <f t="shared" si="909"/>
        <v/>
      </c>
      <c r="IF120" s="490" t="str">
        <f>IF(A120=FALSE,"",IF(IA120="POEA",Cotations!BA120,IF(HA120="FIXE",Cotations!BB120,IF(Cotations!BC120*Y120&lt;50000,Z120,Cotations!BC120*Y120))))</f>
        <v/>
      </c>
      <c r="IG120" s="300" t="str">
        <f t="shared" si="910"/>
        <v/>
      </c>
      <c r="IH120" s="522" t="str">
        <f>IF(A120=FALSE,"",IF(Cotations!AZ120="monthly",IG120/12*L120,IG120/365*M120))</f>
        <v/>
      </c>
      <c r="II120" s="489" t="str">
        <f>IF(A120=FALSE,"",IF(Cotations!BD120="","",Cotations!BD120))</f>
        <v/>
      </c>
      <c r="IJ120" s="300" t="str">
        <f t="shared" si="911"/>
        <v/>
      </c>
      <c r="IK120" s="300" t="str">
        <f t="shared" si="912"/>
        <v/>
      </c>
      <c r="IL120" s="919" t="str">
        <f t="shared" si="913"/>
        <v/>
      </c>
      <c r="IM120" s="517" t="str">
        <f>IF(A120=FALSE,"",Cotations!BE120)</f>
        <v/>
      </c>
      <c r="IN120" s="517" t="str">
        <f>IF(A120=FALSE,"",Cotations!BF120)</f>
        <v/>
      </c>
      <c r="IO120" s="493" t="str">
        <f>IF(A120=FALSE,"",Cotations!BG120)</f>
        <v/>
      </c>
      <c r="IP120" s="517" t="str">
        <f>IF(A120=FALSE,"",IF(IM120="N/A",0,IF(INDEX(LISTES!$F$105:$F$109,MATCH(IM120,LISTES!$C$105:$C$109,0))="FIX",IF(INDEX(LISTES!$E$105:$E$109,MATCH(IM120,LISTES!$C$105:$C$109,0))=12,IN120/12*L120,IN120/365*M120),IO120*IL120)))</f>
        <v/>
      </c>
      <c r="IQ120" s="294" t="str">
        <f t="shared" si="914"/>
        <v/>
      </c>
      <c r="IR120" s="494" t="str">
        <f>IF(A120=FALSE,"",IQ120*Cotations!BH120)</f>
        <v/>
      </c>
      <c r="IS120" s="494" t="str">
        <f>IF(A120=FALSE,"",IQ120*Cotations!BI120)</f>
        <v/>
      </c>
      <c r="IT120" s="338" t="str">
        <f t="shared" si="915"/>
        <v/>
      </c>
      <c r="IU120" s="919" t="str">
        <f>IF(A120=FALSE,"",((IG120*TAXE)-(IG120*TAXE*II120))+IF(IM120="N/A",0,IF(INDEX(LISTES!$F$105:$F$109,MATCH(IM120,LISTES!$C$105:$C$109,0))="FIX",IN120,IO120*IL120)))</f>
        <v/>
      </c>
      <c r="JA120" s="492" t="str">
        <f>IF(A120=FALSE,"",Cotations!D120)</f>
        <v/>
      </c>
      <c r="JB120" s="495" t="str">
        <f>IF(A120=FALSE,"",IF(LISTES!$A$17=1,Cotations!BJ120,Cotations!$BK$4))</f>
        <v/>
      </c>
      <c r="JC120" s="291" t="str">
        <f t="shared" si="916"/>
        <v/>
      </c>
      <c r="JD120" s="291" t="str">
        <f t="shared" si="917"/>
        <v/>
      </c>
      <c r="JE120" s="456" t="str">
        <f t="shared" si="918"/>
        <v/>
      </c>
      <c r="JF120" s="496" t="str">
        <f>IF(A120=FALSE,"",IF(JA120="POEA",Cotations!BM120,IF(JA120="FIXE",Cotations!$BM$4,Cotations!$BO$4*Y120)))</f>
        <v/>
      </c>
      <c r="JG120" s="300" t="str">
        <f t="shared" si="919"/>
        <v/>
      </c>
      <c r="JH120" s="522" t="str">
        <f>IF(A120=FALSE,"",IF(Cotations!$BL$4="monthly",JG120/12*L120,JG120/365*M120))</f>
        <v/>
      </c>
      <c r="JI120" s="489" t="str">
        <f>IF(A120=FALSE,"",Cotations!$BP$4)</f>
        <v/>
      </c>
      <c r="JJ120" s="300" t="str">
        <f t="shared" si="920"/>
        <v/>
      </c>
      <c r="JK120" s="300" t="str">
        <f t="shared" si="921"/>
        <v/>
      </c>
      <c r="JL120" s="294" t="str">
        <f t="shared" si="922"/>
        <v/>
      </c>
      <c r="JM120" s="494" t="str">
        <f>IF(A120=FALSE,"",Cotations!$BQ$4)</f>
        <v/>
      </c>
      <c r="JN120" s="522" t="str">
        <f>IF(A120=FALSE,"",Cotations!$BR$4)</f>
        <v/>
      </c>
      <c r="JO120" s="489" t="str">
        <f>IF(A120=FALSE,"",Cotations!$BS$4)</f>
        <v/>
      </c>
      <c r="JP120" s="494" t="str">
        <f>IF(A120=FALSE,"",IF(JM120="N/A",0,IF(INDEX(LISTES!$F$105:$F$109,MATCH(JM120,LISTES!$C$105:$C$109,0))="FIX",IF(INDEX(LISTES!$E$105:$E$109,MATCH(JM120,LISTES!$C$105:$C$109,0))=12,JN120/12*L120,JN120/365*M120),JO120*JL120)))</f>
        <v/>
      </c>
      <c r="JQ120" s="294" t="str">
        <f t="shared" si="923"/>
        <v/>
      </c>
      <c r="JR120" s="494" t="str">
        <f>IF(A120=FALSE,"",JQ120*Cotations!$BT$4)</f>
        <v/>
      </c>
      <c r="JS120" s="494" t="str">
        <f>IF(A120=FALSE,"",JQ120*Cotations!$BU$4)</f>
        <v/>
      </c>
      <c r="JT120" s="294" t="str">
        <f t="shared" si="924"/>
        <v/>
      </c>
      <c r="JU120" s="919" t="str">
        <f>IF(A120=FALSE,"",((JG120*TAXE)-(JG120*TAXE*JI120))+IF(JM120="N/A",0,IF(INDEX(LISTES!$F$105:$F$109,MATCH(JM120,LISTES!$C$105:$C$109,0))="FIX",JN120,JO120*JL120)))</f>
        <v/>
      </c>
      <c r="KA120" s="492" t="str">
        <f>IF(A120=FALSE,"",Cotations!D120)</f>
        <v/>
      </c>
      <c r="KB120" s="491" t="str">
        <f>IF(A120=FALSE,"",IF(LISTES!$A$17=1,Cotations!BJ120,Cotations!BK120))</f>
        <v/>
      </c>
      <c r="KC120" s="285" t="str">
        <f t="shared" si="925"/>
        <v/>
      </c>
      <c r="KD120" s="300"/>
      <c r="KE120" s="461" t="str">
        <f t="shared" si="926"/>
        <v/>
      </c>
      <c r="KF120" s="490" t="str">
        <f>IF(A120=FALSE,"",IF(KA120="POEA",Cotations!BM120,IF(KA120="FIXE",Cotations!BN120,IF(Cotations!BO120*Y120&lt;50000,Z120,Cotations!BO120*Y120))))</f>
        <v/>
      </c>
      <c r="KG120" s="300" t="str">
        <f t="shared" si="927"/>
        <v/>
      </c>
      <c r="KH120" s="522" t="str">
        <f>IF(A120=FALSE,"",IF(Cotations!BL120="monthly",KG120/12*L120,KG120/365*M120))</f>
        <v/>
      </c>
      <c r="KI120" s="489" t="str">
        <f>IF(A120=FALSE,"",IF(Cotations!BP120="","",Cotations!BP120))</f>
        <v/>
      </c>
      <c r="KJ120" s="300" t="str">
        <f t="shared" si="928"/>
        <v/>
      </c>
      <c r="KK120" s="300" t="str">
        <f t="shared" si="929"/>
        <v/>
      </c>
      <c r="KL120" s="919" t="str">
        <f t="shared" si="930"/>
        <v/>
      </c>
      <c r="KM120" s="517" t="str">
        <f>IF(A120=FALSE,"",Cotations!BQ120)</f>
        <v/>
      </c>
      <c r="KN120" s="515" t="str">
        <f>IF(A120=FALSE,"",Cotations!BR120)</f>
        <v/>
      </c>
      <c r="KO120" s="493" t="str">
        <f>IF(A120=FALSE,"",Cotations!BS120)</f>
        <v/>
      </c>
      <c r="KP120" s="517" t="str">
        <f>IF(A120=FALSE,"",IF(KM120="N/A",0,IF(INDEX(LISTES!$F$105:$F$109,MATCH(KM120,LISTES!$C$105:$C$109,0))="FIX",IF(INDEX(LISTES!$E$105:$E$109,MATCH(KM120,LISTES!$C$105:$C$109,0))=12,KN120/12*L120,KN120/365*M120),KO120*KL120)))</f>
        <v/>
      </c>
      <c r="KQ120" s="294" t="str">
        <f t="shared" si="931"/>
        <v/>
      </c>
      <c r="KR120" s="494" t="str">
        <f>IF(A120=FALSE,"",KQ120*Cotations!BT120)</f>
        <v/>
      </c>
      <c r="KS120" s="494" t="str">
        <f>IF(A120=FALSE,"",KQ120*Cotations!BU120)</f>
        <v/>
      </c>
      <c r="KT120" s="338" t="str">
        <f t="shared" si="932"/>
        <v/>
      </c>
      <c r="KU120" s="919" t="str">
        <f>IF(A120=FALSE,"",((KG120*TAXE)-(KG120*TAXE*KI120))+IF(KM120="N/A",0,IF(INDEX(LISTES!$F$105:$F$109,MATCH(KM120,LISTES!$C$105:$C$109,0))="FIX",KN120,KO120*KL120)))</f>
        <v/>
      </c>
      <c r="LA120" s="497" t="str">
        <f>IF(A120=FALSE,"",Cotations!D120)</f>
        <v/>
      </c>
      <c r="LB120" s="498" t="str">
        <f>IF(A120=FALSE,"",Cotations!$BW$4)</f>
        <v/>
      </c>
      <c r="LC120" s="499" t="str">
        <f t="shared" si="933"/>
        <v/>
      </c>
      <c r="LD120" s="499" t="str">
        <f t="shared" si="934"/>
        <v/>
      </c>
      <c r="LE120" s="500" t="str">
        <f t="shared" si="935"/>
        <v/>
      </c>
      <c r="LF120" s="501" t="str">
        <f>IF(A120=FALSE,"",IF(LA120="POEA",Cotations!EJ120,IF(LA120="FIXE",Cotations!$BY$4,Cotations!$CA$4*Y120)))</f>
        <v/>
      </c>
      <c r="LG120" s="502" t="str">
        <f t="shared" si="936"/>
        <v/>
      </c>
      <c r="LH120" s="520" t="str">
        <f>IF(A120=FALSE,"",IF(Cotations!$BX$4="monthly",LG120/12*L120,LG120/365*M120))</f>
        <v/>
      </c>
      <c r="LI120" s="503" t="str">
        <f>IF(A120=FALSE,"",Cotations!$CB$4)</f>
        <v/>
      </c>
      <c r="LJ120" s="502" t="str">
        <f t="shared" si="937"/>
        <v/>
      </c>
      <c r="LK120" s="502" t="str">
        <f t="shared" si="938"/>
        <v/>
      </c>
      <c r="LL120" s="504" t="str">
        <f t="shared" si="939"/>
        <v/>
      </c>
      <c r="LM120" s="505" t="str">
        <f>IF(A120=FALSE,"",Cotations!$CC$4)</f>
        <v/>
      </c>
      <c r="LN120" s="503" t="str">
        <f>IF(A120=FALSE,"",Cotations!$CD$4)</f>
        <v/>
      </c>
      <c r="LO120" s="503" t="str">
        <f>IF(A120=FALSE,"",Cotations!$CE$4)</f>
        <v/>
      </c>
      <c r="LP120" s="505" t="str">
        <f>IF(A120=FALSE,"",IF(LM120="N/A",0,IF(INDEX(LISTES!$F$105:$F$109,MATCH(LM120,LISTES!$C$105:$C$109,0))="FIX",IF(INDEX(LISTES!$E$105:$E$109,MATCH(LM120,LISTES!$C$105:$C$109,0))=12,LN120/12*L120,LN120/365*M120),LO120*LL120)))</f>
        <v/>
      </c>
      <c r="LQ120" s="504" t="str">
        <f t="shared" si="940"/>
        <v/>
      </c>
      <c r="LR120" s="505" t="str">
        <f>IF(A120=FALSE,"",LQ120*Cotations!$CF$4)</f>
        <v/>
      </c>
      <c r="LS120" s="505" t="str">
        <f>IF(A120=FALSE,"",LQ120*Cotations!$CG$4)</f>
        <v/>
      </c>
      <c r="LT120" s="506" t="str">
        <f t="shared" si="941"/>
        <v/>
      </c>
      <c r="LU120" s="919" t="str">
        <f>IF(A120=FALSE,"",((LG120*TAXE)-(LG120*TAXE*LI120))+IF(LM120="N/A",0,IF(INDEX(LISTES!$F$105:$F$109,MATCH(LM120,LISTES!$C$105:$C$109,0))="FIX",LN120,LO120*LL120)))</f>
        <v/>
      </c>
      <c r="MA120" s="492" t="str">
        <f>IF(A120=FALSE,"",Cotations!D120)</f>
        <v/>
      </c>
      <c r="MB120" s="491" t="str">
        <f>IF(A120=FALSE,"",IF(LISTES!$A$17=1,Cotations!BV120,Cotations!BW120))</f>
        <v/>
      </c>
      <c r="MC120" s="285" t="str">
        <f t="shared" si="942"/>
        <v/>
      </c>
      <c r="MD120" s="300"/>
      <c r="ME120" s="461" t="str">
        <f t="shared" si="943"/>
        <v/>
      </c>
      <c r="MF120" s="490" t="str">
        <f>IF(A120=FALSE,"",IF(MA120="POEA",Cotations!BY120,IF(MA120="FIXE",Cotations!BZ120,IF(Cotations!CA120*Y120&lt;50000,Z120,Cotations!CA120*Y120))))</f>
        <v/>
      </c>
      <c r="MG120" s="300" t="str">
        <f t="shared" si="944"/>
        <v/>
      </c>
      <c r="MH120" s="522" t="str">
        <f>IF(A120=FALSE,"",IF(Cotations!BX120="monthly",MG120/12*L120,MG120/365*M120))</f>
        <v/>
      </c>
      <c r="MI120" s="489" t="str">
        <f>IF(A120=FALSE,"",IF(Cotations!CB120="","",Cotations!CB120))</f>
        <v/>
      </c>
      <c r="MJ120" s="300" t="str">
        <f t="shared" si="945"/>
        <v/>
      </c>
      <c r="MK120" s="300" t="str">
        <f t="shared" si="946"/>
        <v/>
      </c>
      <c r="ML120" s="919" t="str">
        <f t="shared" si="947"/>
        <v/>
      </c>
      <c r="MM120" s="517" t="str">
        <f>IF(A120=FALSE,"",Cotations!CC120)</f>
        <v/>
      </c>
      <c r="MN120" s="515" t="str">
        <f>IF(A120=FALSE,"",Cotations!CD120)</f>
        <v/>
      </c>
      <c r="MO120" s="493" t="str">
        <f>IF(A120=FALSE,"",Cotations!CE120)</f>
        <v/>
      </c>
      <c r="MP120" s="517" t="str">
        <f>IF(A120=FALSE,"",IF(MM120="N/A",0,IF(INDEX(LISTES!$F$105:$F$109,MATCH(MM120,LISTES!$C$105:$C$109,0))="FIX",IF(INDEX(LISTES!$E$105:$E$109,MATCH(MM120,LISTES!$C$105:$C$109,0))=12,MN120/12*L120,MN120/365*M120),MO120*ML120)))</f>
        <v/>
      </c>
      <c r="MQ120" s="294" t="str">
        <f t="shared" si="948"/>
        <v/>
      </c>
      <c r="MR120" s="494" t="str">
        <f>IF(A120=FALSE,"",MQ120*Cotations!CF120)</f>
        <v/>
      </c>
      <c r="MS120" s="494" t="str">
        <f>IF(A120=FALSE,"",MQ120*Cotations!CG120)</f>
        <v/>
      </c>
      <c r="MT120" s="338" t="str">
        <f t="shared" si="949"/>
        <v/>
      </c>
      <c r="MU120" s="919" t="str">
        <f>IF(A120=FALSE,"",((MG120*TAXE)-(MG120*TAXE*MI120))+IF(MM120="N/A",0,IF(INDEX(LISTES!$F$105:$F$109,MATCH(MM120,LISTES!$C$105:$C$109,0))="FIX",MN120,MO120*ML120)))</f>
        <v/>
      </c>
      <c r="NA120" s="497" t="str">
        <f>IF(A120=FALSE,"",Cotations!D120)</f>
        <v/>
      </c>
      <c r="NB120" s="498" t="str">
        <f>IF(A120=FALSE,"",Cotations!$CI$4)</f>
        <v/>
      </c>
      <c r="NC120" s="499" t="str">
        <f>IF(A120=FALSE,"",INDEX(colAssureur,MATCH(NB120,colchoiceProduct,0)))</f>
        <v/>
      </c>
      <c r="ND120" s="499" t="str">
        <f>IF(A120=FALSE,"",INDEX(colProduct,MATCH(NB120,colchoiceProduct,0)))</f>
        <v/>
      </c>
      <c r="NE120" s="500" t="str">
        <f>IF(A120=FALSE,"",IF(NA120="POEA",$NA$2,INDEX(colRatesHT,MATCH(NB120,colchoiceProduct,0))))</f>
        <v/>
      </c>
      <c r="NF120" s="501" t="str">
        <f>IF(A120=FALSE,"",IF(NA120="POEA",Cotations!CK120,IF(NA120="FIXE",Cotations!$CK$4,Cotations!$CM$4*Y120)))</f>
        <v/>
      </c>
      <c r="NG120" s="502" t="str">
        <f t="shared" si="953"/>
        <v/>
      </c>
      <c r="NH120" s="520" t="str">
        <f>IF(A120=FALSE,"",IF(Cotations!$CJ$4="monthly",NG120/12*L120,NG120/365*M120))</f>
        <v/>
      </c>
      <c r="NI120" s="503" t="str">
        <f>IF(A120=FALSE,"",Cotations!$CN$4)</f>
        <v/>
      </c>
      <c r="NJ120" s="502" t="str">
        <f t="shared" si="954"/>
        <v/>
      </c>
      <c r="NK120" s="502" t="str">
        <f t="shared" si="955"/>
        <v/>
      </c>
      <c r="NL120" s="504" t="str">
        <f t="shared" si="956"/>
        <v/>
      </c>
      <c r="NM120" s="505" t="str">
        <f>IF(A120=FALSE,"",Cotations!$CO$4)</f>
        <v/>
      </c>
      <c r="NN120" s="520" t="str">
        <f>IF(A120=FALSE,"",Cotations!$CP$4)</f>
        <v/>
      </c>
      <c r="NO120" s="503" t="str">
        <f>IF(A120=FALSE,"",Cotations!$CQ$4)</f>
        <v/>
      </c>
      <c r="NP120" s="505" t="str">
        <f>IF(A120=FALSE,"",IF(NM120="N/A",0,IF(INDEX(LISTES!$F$105:$F$109,MATCH(NM120,LISTES!$C$105:$C$109,0))="FIX",IF(INDEX(LISTES!$E$105:$E$109,MATCH(NM120,LISTES!$C$105:$C$109,0))=12,NN120/12*L120,NN120/365*M120),NO120*NL120)))</f>
        <v/>
      </c>
      <c r="NQ120" s="504" t="str">
        <f t="shared" si="957"/>
        <v/>
      </c>
      <c r="NR120" s="505" t="str">
        <f>IF(A120=FALSE,"",NQ120*Cotations!$CR$4)</f>
        <v/>
      </c>
      <c r="NS120" s="505" t="str">
        <f>IF(A120=FALSE,"",NQ120*Cotations!$CS$4)</f>
        <v/>
      </c>
      <c r="NT120" s="506" t="str">
        <f>IF(A120=FALSE,"",INDEX(colCurrency,MATCH(NB120,colchoiceProduct,0)))</f>
        <v/>
      </c>
      <c r="NU120" s="919" t="str">
        <f>IF(A120=FALSE,"",((NG120*TAXE)-(NG120*TAXE*NI120))+IF(NM120="N/A",0,IF(INDEX(LISTES!$F$105:$F$109,MATCH(NM120,LISTES!$C$105:$C$109,0))="FIX",NN120,NO120*NL120)))</f>
        <v/>
      </c>
      <c r="OA120" s="492" t="str">
        <f>IF(A120=FALSE,"",Cotations!D120)</f>
        <v/>
      </c>
      <c r="OB120" s="491" t="str">
        <f>IF(A120=FALSE,"",IF(LISTES!$A$17=1,Cotations!CH120,Cotations!CI120))</f>
        <v/>
      </c>
      <c r="OC120" s="285" t="str">
        <f t="shared" si="959"/>
        <v/>
      </c>
      <c r="OD120" s="300"/>
      <c r="OE120" s="461" t="str">
        <f t="shared" si="960"/>
        <v/>
      </c>
      <c r="OF120" s="490" t="str">
        <f>IF(A120=FALSE,"",IF(OA120="POEA",Cotations!CK120,IF(OA120="FIXE",Cotations!CL120,IF(Cotations!CM120*Y120&lt;50000,Z120,Cotations!CM120*Y120))))</f>
        <v/>
      </c>
      <c r="OG120" s="300" t="str">
        <f t="shared" si="961"/>
        <v/>
      </c>
      <c r="OH120" s="522" t="str">
        <f>IF(A120=FALSE,"",IF(Cotations!CJ120="monthly",OG120/12*L120,OG120/365*M120))</f>
        <v/>
      </c>
      <c r="OI120" s="489" t="str">
        <f>IF(A120=FALSE,"",IF(Cotations!CN120="","",Cotations!CN120))</f>
        <v/>
      </c>
      <c r="OJ120" s="300" t="str">
        <f t="shared" si="962"/>
        <v/>
      </c>
      <c r="OK120" s="300" t="str">
        <f t="shared" si="963"/>
        <v/>
      </c>
      <c r="OL120" s="919" t="str">
        <f t="shared" si="964"/>
        <v/>
      </c>
      <c r="OM120" s="517" t="str">
        <f>IF(A120=FALSE,"",Cotations!CO120)</f>
        <v/>
      </c>
      <c r="ON120" s="515" t="str">
        <f>IF(A120=FALSE,"",Cotations!CP120)</f>
        <v/>
      </c>
      <c r="OO120" s="493" t="str">
        <f>IF(A120=FALSE,"",Cotations!CQ120)</f>
        <v/>
      </c>
      <c r="OP120" s="517" t="str">
        <f>IF(A120=FALSE,"",IF(OM120="N/A",0,IF(INDEX(LISTES!$F$105:$F$109,MATCH(OM120,LISTES!$C$105:$C$109,0))="FIX",IF(INDEX(LISTES!$E$105:$E$109,MATCH(OM120,LISTES!$C$105:$C$109,0))=12,ON120/12*L120,ON120/365*M120),OO120*OL120)))</f>
        <v/>
      </c>
      <c r="OQ120" s="294" t="str">
        <f t="shared" si="965"/>
        <v/>
      </c>
      <c r="OR120" s="494" t="str">
        <f>IF(A120=FALSE,"",OQ120*Cotations!CR120)</f>
        <v/>
      </c>
      <c r="OS120" s="494" t="str">
        <f>IF(A120=FALSE,"",OQ120*Cotations!CS120)</f>
        <v/>
      </c>
      <c r="OT120" s="338" t="str">
        <f t="shared" si="966"/>
        <v/>
      </c>
      <c r="OU120" s="919" t="str">
        <f>IF(A120=FALSE,"",((OG120*TAXE)-(OG120*TAXE*OI120))+IF(OM120="N/A",0,IF(INDEX(LISTES!$F$105:$F$109,MATCH(OM120,LISTES!$C$105:$C$109,0))="FIX",ON120,OO120*OL120)))</f>
        <v/>
      </c>
      <c r="PA120" s="497" t="str">
        <f t="shared" si="967"/>
        <v/>
      </c>
      <c r="PB120" s="498" t="str">
        <f>IF(A120=FALSE,"",Cotations!$CU$4)</f>
        <v/>
      </c>
      <c r="PC120" s="499" t="str">
        <f t="shared" si="968"/>
        <v/>
      </c>
      <c r="PD120" s="499" t="str">
        <f t="shared" si="969"/>
        <v/>
      </c>
      <c r="PE120" s="500" t="str">
        <f t="shared" si="970"/>
        <v/>
      </c>
      <c r="PF120" s="501" t="str">
        <f>IF(A120=FALSE,"",Cotations!$CY$4*Y120)</f>
        <v/>
      </c>
      <c r="PG120" s="502" t="str">
        <f t="shared" si="971"/>
        <v/>
      </c>
      <c r="PH120" s="520" t="str">
        <f>IF(A120=FALSE,"",IF(Cotations!$CV$4="monthly",PG120/12*L120,PG120/365*M120))</f>
        <v/>
      </c>
      <c r="PI120" s="503" t="str">
        <f>IF(A120=FALSE,"",Cotations!$CZ$4)</f>
        <v/>
      </c>
      <c r="PJ120" s="502" t="str">
        <f t="shared" si="972"/>
        <v/>
      </c>
      <c r="PK120" s="502" t="str">
        <f t="shared" si="973"/>
        <v/>
      </c>
      <c r="PL120" s="504" t="str">
        <f t="shared" si="974"/>
        <v/>
      </c>
      <c r="PM120" s="505" t="str">
        <f>IF(A120=FALSE,"",Cotations!$DA$4)</f>
        <v/>
      </c>
      <c r="PN120" s="520" t="str">
        <f>IF(A120=FALSE,"",Cotations!$DB$4)</f>
        <v/>
      </c>
      <c r="PO120" s="503" t="str">
        <f>IF(A120=FALSE,"",Cotations!$DC$4)</f>
        <v/>
      </c>
      <c r="PP120" s="505" t="str">
        <f>IF(A120=FALSE,"",IF(PM120="N/A",0,IF(INDEX(LISTES!$F$105:$F$109,MATCH(PM120,LISTES!$C$105:$C$109,0))="FIX",IF(INDEX(LISTES!$E$105:$E$109,MATCH(PM120,LISTES!$C$105:$C$109,0))=12,PN120/12*L120,PN120/365*M120),PO120*PL120)))</f>
        <v/>
      </c>
      <c r="PQ120" s="504" t="str">
        <f t="shared" si="975"/>
        <v/>
      </c>
      <c r="PR120" s="505" t="str">
        <f>IF(A120=FALSE,"",PQ120*Cotations!$DD$4)</f>
        <v/>
      </c>
      <c r="PS120" s="505" t="str">
        <f>IF(A120=FALSE,"",PQ120*Cotations!$DE$4)</f>
        <v/>
      </c>
      <c r="PT120" s="506" t="str">
        <f t="shared" si="976"/>
        <v/>
      </c>
      <c r="PU120" s="919" t="str">
        <f>IF(A120=FALSE,"",((PG120*TAXE)-(PG120*TAXE*PI120))+IF(PM120="N/A",0,IF(INDEX(LISTES!$F$105:$F$109,MATCH(PM120,LISTES!$C$105:$C$109,0))="FIX",PN120,PO120*PL120)))</f>
        <v/>
      </c>
      <c r="QA120" s="492" t="str">
        <f t="shared" si="977"/>
        <v/>
      </c>
      <c r="QB120" s="491" t="str">
        <f>IF(A120=FALSE,"",IF(LISTES!$A$17=1,Cotations!CT120,Cotations!CU120))</f>
        <v/>
      </c>
      <c r="QC120" s="285" t="str">
        <f t="shared" si="978"/>
        <v/>
      </c>
      <c r="QD120" s="300"/>
      <c r="QE120" s="461" t="str">
        <f t="shared" si="979"/>
        <v/>
      </c>
      <c r="QF120" s="490" t="str">
        <f>IF(A120=FALSE,"",Cotations!CY120*AA120)</f>
        <v/>
      </c>
      <c r="QG120" s="300" t="str">
        <f t="shared" si="980"/>
        <v/>
      </c>
      <c r="QH120" s="522" t="str">
        <f>IF(A120=FALSE,"",IF(Cotations!CV120="monthly",QG120/12*L120,QG120/365*M120))</f>
        <v/>
      </c>
      <c r="QI120" s="489" t="str">
        <f>IF(A120=FALSE,"",IF(Cotations!CZ120="","",Cotations!CZ120))</f>
        <v/>
      </c>
      <c r="QJ120" s="300" t="str">
        <f t="shared" si="981"/>
        <v/>
      </c>
      <c r="QK120" s="300" t="str">
        <f t="shared" si="982"/>
        <v/>
      </c>
      <c r="QL120" s="919" t="str">
        <f t="shared" si="983"/>
        <v/>
      </c>
      <c r="QM120" s="517" t="str">
        <f>IF(A120=FALSE,"",Cotations!DA120)</f>
        <v/>
      </c>
      <c r="QN120" s="515" t="str">
        <f>IF(A120=FALSE,"",Cotations!DB120)</f>
        <v/>
      </c>
      <c r="QO120" s="493" t="str">
        <f>IF(A120=FALSE,"",Cotations!DC120)</f>
        <v/>
      </c>
      <c r="QP120" s="517" t="str">
        <f>IF(A120=FALSE,"",IF(QM120="N/A",0,IF(INDEX(LISTES!$F$105:$F$109,MATCH(QM120,LISTES!$C$105:$C$109,0))="FIX",IF(INDEX(LISTES!$E$105:$E$109,MATCH(QM120,LISTES!$C$105:$C$109,0))=12,QN120/12*L120,QN120/365*M120),QO120*QL120)))</f>
        <v/>
      </c>
      <c r="QQ120" s="294" t="str">
        <f t="shared" si="984"/>
        <v/>
      </c>
      <c r="QR120" s="494" t="str">
        <f>IF(A120=FALSE,"",QQ120*Cotations!DD120)</f>
        <v/>
      </c>
      <c r="QS120" s="494" t="str">
        <f>IF(A120=FALSE,"",QQ120*Cotations!DE120)</f>
        <v/>
      </c>
      <c r="QT120" s="338" t="str">
        <f t="shared" si="985"/>
        <v/>
      </c>
      <c r="QU120" s="919" t="str">
        <f>IF(A120=FALSE,"",((QG120*TAXE)-(QG120*TAXE*QI120))+IF(QM120="N/A",0,IF(INDEX(LISTES!$F$105:$F$109,MATCH(QM120,LISTES!$C$105:$C$109,0))="FIX",QN120,QO120*QL120)))</f>
        <v/>
      </c>
      <c r="RA120" s="497" t="str">
        <f t="shared" si="986"/>
        <v/>
      </c>
      <c r="RB120" s="498" t="str">
        <f>IF(A120=FALSE,"",Cotations!$DG$4)</f>
        <v/>
      </c>
      <c r="RC120" s="499" t="str">
        <f t="shared" si="987"/>
        <v/>
      </c>
      <c r="RD120" s="499" t="str">
        <f t="shared" si="988"/>
        <v/>
      </c>
      <c r="RE120" s="500" t="str">
        <f t="shared" si="989"/>
        <v/>
      </c>
      <c r="RF120" s="501" t="str">
        <f>IF(A120=FALSE,"",Cotations!$DK$4*Y120)</f>
        <v/>
      </c>
      <c r="RG120" s="502" t="str">
        <f t="shared" si="990"/>
        <v/>
      </c>
      <c r="RH120" s="520" t="str">
        <f>IF(A120=FALSE,"",IF(Cotations!$DH$4="monthly",RG120/12*L120,RG120/365*M120))</f>
        <v/>
      </c>
      <c r="RI120" s="503" t="str">
        <f>IF(A120=FALSE,"",Cotations!$DL$4)</f>
        <v/>
      </c>
      <c r="RJ120" s="502" t="str">
        <f t="shared" si="991"/>
        <v/>
      </c>
      <c r="RK120" s="502" t="str">
        <f t="shared" si="992"/>
        <v/>
      </c>
      <c r="RL120" s="504" t="str">
        <f t="shared" si="993"/>
        <v/>
      </c>
      <c r="RM120" s="505" t="str">
        <f>IF(A120=FALSE,"",Cotations!$DM$4)</f>
        <v/>
      </c>
      <c r="RN120" s="520" t="str">
        <f>IF(A120=FALSE,"",Cotations!$DN$4)</f>
        <v/>
      </c>
      <c r="RO120" s="503" t="str">
        <f>IF(A120=FALSE,"",Cotations!$DO$4)</f>
        <v/>
      </c>
      <c r="RP120" s="505" t="str">
        <f>IF(A120=FALSE,"",IF(RM120="N/A",0,IF(INDEX(LISTES!$F$105:$F$109,MATCH(RM120,LISTES!$C$105:$C$109,0))="FIX",IF(INDEX(LISTES!$E$105:$E$109,MATCH(RM120,LISTES!$C$105:$C$109,0))=12,RN120/12*L120,RN120/365*M120),RO120*RL120)))</f>
        <v/>
      </c>
      <c r="RQ120" s="504" t="str">
        <f t="shared" si="994"/>
        <v/>
      </c>
      <c r="RR120" s="505" t="str">
        <f>IF(A120=FALSE,"",RQ120*Cotations!$DP$4)</f>
        <v/>
      </c>
      <c r="RS120" s="505" t="str">
        <f>IF(A120=FALSE,"",RQ120*Cotations!$DQ$4)</f>
        <v/>
      </c>
      <c r="RT120" s="506" t="str">
        <f t="shared" si="995"/>
        <v/>
      </c>
      <c r="RU120" s="919" t="str">
        <f>IF(A120=FALSE,"",((RG120*TAXE)-(RG120*TAXE*RI120))+IF(RM120="N/A",0,IF(INDEX(LISTES!$F$105:$F$109,MATCH(RM120,LISTES!$C$105:$C$109,0))="FIX",RN120,RO120*RL120)))</f>
        <v/>
      </c>
      <c r="SA120" s="492" t="str">
        <f t="shared" si="996"/>
        <v/>
      </c>
      <c r="SB120" s="491" t="str">
        <f>IF(A120=FALSE,"",IF(LISTES!$A$17=1,Cotations!DF120,Cotations!DG120))</f>
        <v/>
      </c>
      <c r="SC120" s="285" t="str">
        <f t="shared" si="997"/>
        <v/>
      </c>
      <c r="SD120" s="300"/>
      <c r="SE120" s="461" t="str">
        <f t="shared" si="998"/>
        <v/>
      </c>
      <c r="SF120" s="490" t="str">
        <f>IF(A120=FALSE,"",Cotations!DK120*AA120)</f>
        <v/>
      </c>
      <c r="SG120" s="300" t="str">
        <f t="shared" si="999"/>
        <v/>
      </c>
      <c r="SH120" s="522" t="str">
        <f>IF(A120=FALSE,"",IF(Cotations!DH120="monthly",SG120/12*L120,SG120/365*M120))</f>
        <v/>
      </c>
      <c r="SI120" s="489" t="str">
        <f>IF(A120=FALSE,"",IF(Cotations!DL120="","",Cotations!DL120))</f>
        <v/>
      </c>
      <c r="SJ120" s="300" t="str">
        <f t="shared" si="1000"/>
        <v/>
      </c>
      <c r="SK120" s="300" t="str">
        <f t="shared" si="1001"/>
        <v/>
      </c>
      <c r="SL120" s="919" t="str">
        <f t="shared" si="1002"/>
        <v/>
      </c>
      <c r="SM120" s="285" t="str">
        <f>IF(A120=FALSE,"",Cotations!DM120)</f>
        <v/>
      </c>
      <c r="SN120" s="515" t="str">
        <f>IF(A120=FALSE,"",Cotations!DN120)</f>
        <v/>
      </c>
      <c r="SO120" s="493" t="str">
        <f>IF(A120=FALSE,"",Cotations!DO120)</f>
        <v/>
      </c>
      <c r="SP120" s="517" t="str">
        <f>IF(A120=FALSE,"",IF(SM120="N/A",0,IF(INDEX(LISTES!$F$105:$F$109,MATCH(SM120,LISTES!$C$105:$C$109,0))="FIX",IF(INDEX(LISTES!$E$105:$E$109,MATCH(SM120,LISTES!$C$105:$C$109,0))=12,SN120/12*L120,SN120/365*M120),SO120*SL120)))</f>
        <v/>
      </c>
      <c r="SQ120" s="294" t="str">
        <f t="shared" si="1003"/>
        <v/>
      </c>
      <c r="SR120" s="494" t="str">
        <f>IF(A120=FALSE,"",SQ120*Cotations!DP120)</f>
        <v/>
      </c>
      <c r="SS120" s="494" t="str">
        <f>IF(A120=FALSE,"",SQ120*Cotations!DQ120)</f>
        <v/>
      </c>
      <c r="ST120" s="338" t="str">
        <f t="shared" si="1004"/>
        <v/>
      </c>
      <c r="SU120" s="919" t="str">
        <f>IF(A120=FALSE,"",((SG120*TAXE)-(SG120*TAXE*SI120))+IF(SM120="N/A",0,IF(INDEX(LISTES!$F$105:$F$109,MATCH(SM120,LISTES!$C$105:$C$109,0))="FIX",SN120,SO120*SL120)))</f>
        <v/>
      </c>
      <c r="TA120" s="492" t="str">
        <f>IF(A120=FALSE,"",Cotations!D120)</f>
        <v/>
      </c>
      <c r="TB120" s="491" t="str">
        <f>IF(A120=FALSE,"",IF(LISTES!$A$17=1,Cotations!DR120,Cotations!DS120))</f>
        <v/>
      </c>
      <c r="TC120" s="285" t="str">
        <f t="shared" si="1005"/>
        <v/>
      </c>
      <c r="TD120" s="300" t="str">
        <f>IF(A120=FALSE,"",Detail!CQ120)</f>
        <v/>
      </c>
      <c r="TE120" s="461" t="str">
        <f t="shared" si="1006"/>
        <v/>
      </c>
      <c r="TF120" s="490" t="str">
        <f>IF(A120=FALSE,"",IF(TA120="FIXE",Cotations!DU120,Cotations!DV120*Y120))</f>
        <v/>
      </c>
      <c r="TG120" s="300" t="str">
        <f t="shared" si="1007"/>
        <v/>
      </c>
      <c r="TH120" s="522" t="str">
        <f>IF(A120=FALSE,"",IF(Cotations!DT120="monthly",TG120/12*L120,TG120/365*M120))</f>
        <v/>
      </c>
      <c r="TI120" s="489" t="str">
        <f>IF(A120=FALSE,"",IF(Cotations!DW120="","",Cotations!DW120))</f>
        <v/>
      </c>
      <c r="TJ120" s="300" t="str">
        <f t="shared" si="1008"/>
        <v/>
      </c>
      <c r="TK120" s="300" t="str">
        <f t="shared" si="1009"/>
        <v/>
      </c>
      <c r="TL120" s="919" t="str">
        <f t="shared" si="1010"/>
        <v/>
      </c>
      <c r="TM120" s="517" t="str">
        <f>IF(A120=FALSE,"",Cotations!DX120)</f>
        <v/>
      </c>
      <c r="TN120" s="517" t="str">
        <f>IF(A120=FALSE,"",Cotations!DY120)</f>
        <v/>
      </c>
      <c r="TO120" s="493" t="str">
        <f>IF(A120=FALSE,"",Cotations!DZ120)</f>
        <v/>
      </c>
      <c r="TP120" s="517" t="str">
        <f>IF(A120=FALSE,"",IF(TM120="N/A",0,IF(INDEX(LISTES!$F$105:$F$109,MATCH(TM120,LISTES!$C$105:$C$109,0))="FIX",IF(INDEX(LISTES!$E$105:$E$109,MATCH(TM120,LISTES!$C$105:$C$109,0))=12,TN120/12*L120,TN120/365*M120),TO120*TL120)))</f>
        <v/>
      </c>
      <c r="TQ120" s="294" t="str">
        <f t="shared" si="1011"/>
        <v/>
      </c>
      <c r="TR120" s="494" t="str">
        <f>IF(A120=FALSE,"",TQ120*Cotations!EA120)</f>
        <v/>
      </c>
      <c r="TS120" s="494" t="str">
        <f>IF(A120=FALSE,"",TQ120*Cotations!EB120)</f>
        <v/>
      </c>
      <c r="TT120" s="338" t="str">
        <f t="shared" si="1012"/>
        <v/>
      </c>
      <c r="TU120" s="919" t="str">
        <f>IF(A120=FALSE,"",((TG120*(1+TAXE)-(TG120*(1+TAXE)*TI120))+IF(TM120="N/A",0,IF(INDEX(LISTES!$F$105:$F$109,MATCH(TM120,LISTES!$C$105:$C$109,0))="FIX",TN120,TO120*TL120))))</f>
        <v/>
      </c>
      <c r="UA120" s="492" t="str">
        <f>IF(A120=FALSE,"",Cotations!D120)</f>
        <v/>
      </c>
      <c r="UB120" s="491" t="str">
        <f>IF(A120=FALSE,"",IF(LISTES!$A$17=1,Cotations!EC120,Cotations!ED120))</f>
        <v/>
      </c>
      <c r="UC120" s="285" t="str">
        <f t="shared" si="1013"/>
        <v/>
      </c>
      <c r="UD120" s="300" t="str">
        <f>IF(A120=FALSE,"",Detail!CY120)</f>
        <v/>
      </c>
      <c r="UE120" s="461" t="str">
        <f t="shared" si="1014"/>
        <v/>
      </c>
      <c r="UF120" s="490" t="str">
        <f>IF(A120=FALSE,"",IF(UA120="FIXE",Cotations!EF120,Cotations!EG120*Y120))</f>
        <v/>
      </c>
      <c r="UG120" s="300" t="str">
        <f t="shared" si="1015"/>
        <v/>
      </c>
      <c r="UH120" s="522" t="str">
        <f>IF(A120=FALSE,"",IF(Cotations!EE120="monthly",UG120/12*L120,UG120/365*M120))</f>
        <v/>
      </c>
      <c r="UI120" s="489" t="str">
        <f>IF(A120=FALSE,"",IF(Cotations!EH120="","",Cotations!EH120))</f>
        <v/>
      </c>
      <c r="UJ120" s="300" t="str">
        <f t="shared" si="1016"/>
        <v/>
      </c>
      <c r="UK120" s="300" t="str">
        <f t="shared" si="1017"/>
        <v/>
      </c>
      <c r="UL120" s="919" t="str">
        <f t="shared" si="1018"/>
        <v/>
      </c>
      <c r="UM120" s="517" t="str">
        <f>IF(A120=FALSE,"",Cotations!EI120)</f>
        <v/>
      </c>
      <c r="UN120" s="517" t="str">
        <f>IF(A120=FALSE,"",Cotations!EJ120)</f>
        <v/>
      </c>
      <c r="UO120" s="493" t="str">
        <f>IF(A120=FALSE,"",Cotations!EK120)</f>
        <v/>
      </c>
      <c r="UP120" s="517" t="str">
        <f>IF(A120=FALSE,"",IF(UM120="N/A",0,IF(INDEX(LISTES!$F$105:$F$109,MATCH(UM120,LISTES!$C$105:$C$109,0))="FIX",IF(INDEX(LISTES!$E$105:$E$109,MATCH(UM120,LISTES!$C$105:$C$109,0))=12,UN120/12*L120,UN120/365*M120),UO120*UL120)))</f>
        <v/>
      </c>
      <c r="UQ120" s="294" t="str">
        <f t="shared" si="1019"/>
        <v/>
      </c>
      <c r="UR120" s="494" t="str">
        <f>IF(A120=FALSE,"",UQ120*Cotations!EL120)</f>
        <v/>
      </c>
      <c r="US120" s="494" t="str">
        <f>IF(A120=FALSE,"",UQ120*Cotations!EM120)</f>
        <v/>
      </c>
      <c r="UT120" s="338" t="str">
        <f t="shared" si="1020"/>
        <v/>
      </c>
      <c r="UU120" s="919" t="str">
        <f>IF(A120=FALSE,"",((UG120*(1+TAXE)-(UG120*(1+TAXE)*UI120))+IF(UM120="N/A",0,IF(INDEX(LISTES!$F$105:$F$109,MATCH(UM120,LISTES!$C$105:$C$109,0))="FIX",UN120,UO120*UL120))))</f>
        <v/>
      </c>
      <c r="VA120" s="492" t="str">
        <f>IF(A120=FALSE,"",Cotations!D120)</f>
        <v/>
      </c>
      <c r="VB120" s="519" t="str">
        <f>IF(A120=FALSE,"",IF(LISTES!$A$17=1,Cotations!EN120,Cotations!EO120))</f>
        <v/>
      </c>
      <c r="VC120" s="291" t="str">
        <f t="shared" si="1021"/>
        <v/>
      </c>
      <c r="VD120" s="291" t="str">
        <f t="shared" si="1022"/>
        <v/>
      </c>
      <c r="VE120" s="291"/>
      <c r="VF120" s="463"/>
      <c r="VG120" s="463" t="str">
        <f t="shared" si="1023"/>
        <v/>
      </c>
      <c r="VH120" s="522" t="str">
        <f>IF(A120=FALSE,"",IF(Cotations!$AQ$4="monthly",VG120/12*L120,VG120/365*M120))</f>
        <v/>
      </c>
      <c r="VI120" s="489" t="str">
        <f>IF(A120=FALSE,"",Cotations!$AR$4)</f>
        <v/>
      </c>
      <c r="VJ120" s="300" t="str">
        <f t="shared" si="1024"/>
        <v/>
      </c>
      <c r="VK120" s="300" t="str">
        <f t="shared" si="1025"/>
        <v/>
      </c>
      <c r="VL120" s="294" t="str">
        <f t="shared" si="1026"/>
        <v/>
      </c>
      <c r="VM120" s="494" t="str">
        <f>IF(A120=FALSE,"",Cotations!$AS$4)</f>
        <v/>
      </c>
      <c r="VN120" s="494" t="str">
        <f>IF(A120=FALSE,"",Cotations!$AT$4)</f>
        <v/>
      </c>
      <c r="VO120" s="489" t="str">
        <f>IF(A120=FALSE,"",Cotations!$AU$4)</f>
        <v/>
      </c>
      <c r="VP120" s="494" t="str">
        <f>IF(A120=FALSE,"",IF(VM120="N/A",0,IF(INDEX(LISTES!$F$105:$F$109,MATCH(VM120,LISTES!$C$105:$C$109,0))="FIX",IF(INDEX(LISTES!$E$105:$E$109,MATCH(VM120,LISTES!$C$105:$C$109,0))=12,VN120/12*L120,VN120/365*M120),VO120*VL120)))</f>
        <v/>
      </c>
      <c r="VQ120" s="294" t="str">
        <f t="shared" si="1027"/>
        <v/>
      </c>
      <c r="VR120" s="494" t="str">
        <f>IF(A120=FALSE,"",VQ120*Cotations!$AV$4)</f>
        <v/>
      </c>
      <c r="VS120" s="494" t="str">
        <f>IF(A120=FALSE,"",VQ120*Cotations!$AW$4)</f>
        <v/>
      </c>
      <c r="VT120" s="465" t="str">
        <f t="shared" si="1028"/>
        <v/>
      </c>
      <c r="VU120" s="919" t="str">
        <f>IF(A120=FALSE,"",((VG120*TAXE)-(VG120*TAXE*VI120))+IF(VM120="N/A",0,IF(INDEX(LISTES!$F$105:$F$109,MATCH(VM120,LISTES!$C$105:$C$109,0))="FIX",VN120,VO120*VL120)))</f>
        <v/>
      </c>
      <c r="WA120" s="492" t="str">
        <f>IF(A120=FALSE,"",Cotations!D120)</f>
        <v/>
      </c>
      <c r="WB120" s="519" t="str">
        <f>IF(A120=FALSE,"",IF(LISTES!$A$17=1,Cotations!EW120,Cotations!EX120))</f>
        <v/>
      </c>
      <c r="WC120" s="291" t="str">
        <f t="shared" si="1029"/>
        <v/>
      </c>
      <c r="WD120" s="291" t="str">
        <f t="shared" si="1030"/>
        <v/>
      </c>
      <c r="WE120" s="291"/>
      <c r="WF120" s="463"/>
      <c r="WG120" s="463" t="str">
        <f t="shared" si="1031"/>
        <v/>
      </c>
      <c r="WH120" s="522" t="str">
        <f>IF(A120=FALSE,"",IF(Cotations!$AQ$4="monthly",WG120/12*L120,WG120/365*M120))</f>
        <v/>
      </c>
      <c r="WI120" s="489" t="str">
        <f>IF(A120=FALSE,"",Cotations!$AR$4)</f>
        <v/>
      </c>
      <c r="WJ120" s="300" t="str">
        <f t="shared" si="1032"/>
        <v/>
      </c>
      <c r="WK120" s="300" t="str">
        <f t="shared" si="1033"/>
        <v/>
      </c>
      <c r="WL120" s="294" t="str">
        <f t="shared" si="1034"/>
        <v/>
      </c>
      <c r="WM120" s="494" t="str">
        <f>IF(A120=FALSE,"",Cotations!$AS$4)</f>
        <v/>
      </c>
      <c r="WN120" s="494" t="str">
        <f>IF(A120=FALSE,"",Cotations!$AT$4)</f>
        <v/>
      </c>
      <c r="WO120" s="489" t="str">
        <f>IF(A120=FALSE,"",Cotations!$AU$4)</f>
        <v/>
      </c>
      <c r="WP120" s="494" t="str">
        <f>IF(A120=FALSE,"",IF(WM120="N/A",0,IF(INDEX(LISTES!$F$105:$F$109,MATCH(WM120,LISTES!$C$105:$C$109,0))="FIX",IF(INDEX(LISTES!$E$105:$E$109,MATCH(WM120,LISTES!$C$105:$C$109,0))=12,WN120/12*L120,WN120/365*M120),WO120*WL120)))</f>
        <v/>
      </c>
      <c r="WQ120" s="294" t="str">
        <f t="shared" si="1035"/>
        <v/>
      </c>
      <c r="WR120" s="494" t="str">
        <f>IF(A120=FALSE,"",WQ120*Cotations!$AV$4)</f>
        <v/>
      </c>
      <c r="WS120" s="494" t="str">
        <f>IF(A120=FALSE,"",WQ120*Cotations!$AW$4)</f>
        <v/>
      </c>
      <c r="WT120" s="465" t="str">
        <f t="shared" si="1036"/>
        <v/>
      </c>
      <c r="WU120" s="919" t="str">
        <f>IF(A120=FALSE,"",((WG120*TAXE)-(WG120*TAXE*WI120))+IF(WM120="N/A",0,IF(INDEX(LISTES!$F$105:$F$109,MATCH(WM120,LISTES!$C$105:$C$109,0))="FIX",WN120,WO120*WL120)))</f>
        <v/>
      </c>
    </row>
    <row r="121" spans="1:619">
      <c r="DF121" s="296"/>
      <c r="DG121" s="296"/>
      <c r="DH121" s="422"/>
      <c r="DI121" s="422"/>
      <c r="DJ121" s="422"/>
      <c r="EC121" s="276"/>
      <c r="ED121" s="296"/>
      <c r="EE121" s="422"/>
      <c r="EF121" s="422"/>
      <c r="EG121" s="422"/>
      <c r="EH121" s="1369"/>
      <c r="EI121" s="1369"/>
      <c r="EJ121" s="296"/>
      <c r="EK121" s="1369"/>
      <c r="EL121" s="422"/>
      <c r="EM121" s="422"/>
      <c r="EN121" s="422"/>
      <c r="EO121" s="478"/>
      <c r="EP121" s="276"/>
      <c r="EQ121" s="422"/>
      <c r="ER121" s="422"/>
      <c r="ES121" s="422"/>
      <c r="ET121" s="296"/>
      <c r="EU121" s="296"/>
      <c r="EV121" s="422"/>
      <c r="EW121" s="422"/>
      <c r="FC121" s="422"/>
      <c r="FD121" s="422"/>
      <c r="FE121" s="422"/>
      <c r="FF121" s="422"/>
      <c r="FG121" s="422"/>
      <c r="GC121" s="422"/>
      <c r="GD121" s="422"/>
      <c r="GE121" s="422"/>
      <c r="GF121" s="422"/>
      <c r="GG121" s="422"/>
      <c r="GH121" s="422"/>
      <c r="GI121" s="422"/>
      <c r="GJ121" s="422"/>
      <c r="GK121" s="422"/>
      <c r="GL121" s="422"/>
      <c r="GM121" s="422"/>
      <c r="GN121" s="422"/>
      <c r="GO121" s="422"/>
      <c r="GP121" s="422"/>
      <c r="GQ121" s="422"/>
      <c r="GR121" s="422"/>
      <c r="GS121" s="422"/>
      <c r="IC121" s="422"/>
      <c r="ID121" s="422"/>
      <c r="IE121" s="422"/>
      <c r="IG121" s="422"/>
      <c r="IH121" s="422"/>
      <c r="II121" s="422"/>
      <c r="IJ121" s="422"/>
      <c r="IK121" s="422"/>
      <c r="IL121" s="422"/>
      <c r="IM121" s="422"/>
      <c r="IN121" s="422"/>
      <c r="IO121" s="422"/>
      <c r="IP121" s="422"/>
      <c r="IQ121" s="422"/>
      <c r="IR121" s="422"/>
      <c r="IS121" s="422"/>
      <c r="KC121" s="422"/>
      <c r="KD121" s="422"/>
      <c r="KE121" s="422"/>
      <c r="KG121" s="422"/>
      <c r="KH121" s="422"/>
      <c r="KI121" s="422"/>
      <c r="KJ121" s="422"/>
      <c r="KK121" s="422"/>
      <c r="KL121" s="422"/>
      <c r="KM121" s="422"/>
      <c r="KN121" s="422"/>
      <c r="KO121" s="422"/>
      <c r="KP121" s="422"/>
      <c r="KQ121" s="422"/>
      <c r="KR121" s="422"/>
      <c r="KS121" s="422"/>
      <c r="MC121" s="422"/>
      <c r="MD121" s="422"/>
      <c r="ME121" s="422"/>
      <c r="MG121" s="422"/>
      <c r="MH121" s="422"/>
      <c r="MI121" s="422"/>
      <c r="MJ121" s="422"/>
      <c r="MK121" s="422"/>
      <c r="ML121" s="422"/>
      <c r="MM121" s="422"/>
      <c r="MN121" s="422"/>
      <c r="MO121" s="422"/>
      <c r="MP121" s="422"/>
      <c r="MQ121" s="422"/>
      <c r="MR121" s="422"/>
      <c r="MS121" s="422"/>
      <c r="OC121" s="422"/>
      <c r="OD121" s="422"/>
      <c r="OE121" s="422"/>
      <c r="OG121" s="422"/>
      <c r="OH121" s="422"/>
      <c r="OI121" s="422"/>
      <c r="OJ121" s="422"/>
      <c r="OK121" s="422"/>
      <c r="OL121" s="422"/>
      <c r="OM121" s="422"/>
      <c r="ON121" s="422"/>
      <c r="OO121" s="422"/>
      <c r="OP121" s="422"/>
      <c r="OQ121" s="422"/>
      <c r="OR121" s="422"/>
      <c r="OS121" s="422"/>
      <c r="QC121" s="422"/>
      <c r="QD121" s="422"/>
      <c r="QE121" s="422"/>
      <c r="QG121" s="422"/>
      <c r="QH121" s="422"/>
      <c r="QI121" s="422"/>
      <c r="QJ121" s="422"/>
      <c r="QK121" s="422"/>
      <c r="QL121" s="422"/>
      <c r="QM121" s="422"/>
      <c r="QN121" s="422"/>
      <c r="QO121" s="422"/>
      <c r="QP121" s="422"/>
      <c r="QQ121" s="422"/>
      <c r="QR121" s="422"/>
      <c r="QS121" s="422"/>
      <c r="SC121" s="422"/>
      <c r="SD121" s="422"/>
      <c r="SE121" s="422"/>
      <c r="SG121" s="422"/>
      <c r="SH121" s="422"/>
      <c r="SI121" s="422"/>
      <c r="SJ121" s="422"/>
      <c r="SK121" s="422"/>
      <c r="SL121" s="422"/>
      <c r="SM121" s="422"/>
      <c r="SN121" s="422"/>
      <c r="SO121" s="422"/>
      <c r="SP121" s="422"/>
      <c r="SQ121" s="422"/>
      <c r="SR121" s="422"/>
      <c r="SS121" s="422"/>
      <c r="TC121" s="716"/>
      <c r="TD121" s="716"/>
      <c r="TE121" s="716"/>
      <c r="TG121" s="716"/>
      <c r="TH121" s="716"/>
      <c r="TI121" s="716"/>
      <c r="TJ121" s="716"/>
      <c r="TK121" s="716"/>
      <c r="TL121" s="716"/>
      <c r="TM121" s="716"/>
      <c r="TN121" s="716"/>
      <c r="TO121" s="716"/>
      <c r="TP121" s="716"/>
      <c r="TQ121" s="716"/>
      <c r="TR121" s="716"/>
      <c r="TS121" s="716"/>
      <c r="UC121" s="716"/>
      <c r="UD121" s="716"/>
      <c r="UE121" s="716"/>
      <c r="UG121" s="716"/>
      <c r="UH121" s="716"/>
      <c r="UI121" s="716"/>
      <c r="UJ121" s="716"/>
      <c r="UK121" s="716"/>
      <c r="UL121" s="716"/>
      <c r="UM121" s="716"/>
      <c r="UN121" s="716"/>
      <c r="UO121" s="716"/>
      <c r="UP121" s="716"/>
      <c r="UQ121" s="716"/>
      <c r="UR121" s="716"/>
      <c r="US121" s="716"/>
      <c r="VC121" s="716"/>
      <c r="VD121" s="716"/>
      <c r="VE121" s="716"/>
      <c r="VF121" s="716"/>
      <c r="VG121" s="716"/>
      <c r="WC121" s="716"/>
      <c r="WD121" s="716"/>
      <c r="WE121" s="716"/>
      <c r="WF121" s="716"/>
      <c r="WG121" s="716"/>
    </row>
    <row r="122" spans="1:619">
      <c r="DF122" s="296"/>
      <c r="DG122" s="296"/>
      <c r="DH122" s="422"/>
      <c r="DI122" s="422"/>
      <c r="DJ122" s="422"/>
      <c r="EC122" s="276"/>
      <c r="ED122" s="296"/>
      <c r="EE122" s="422"/>
      <c r="EF122" s="422"/>
      <c r="EG122" s="422"/>
      <c r="EH122" s="1369"/>
      <c r="EI122" s="1369"/>
      <c r="EJ122" s="296"/>
      <c r="EK122" s="1369"/>
      <c r="EL122" s="422"/>
      <c r="EM122" s="422"/>
      <c r="EN122" s="422"/>
      <c r="EO122" s="478"/>
      <c r="EP122" s="276"/>
      <c r="EQ122" s="422"/>
      <c r="ER122" s="422"/>
      <c r="ES122" s="422"/>
      <c r="ET122" s="296"/>
      <c r="EU122" s="296"/>
      <c r="EV122" s="422"/>
      <c r="EW122" s="422"/>
      <c r="FC122" s="422"/>
      <c r="FD122" s="422"/>
      <c r="FE122" s="422"/>
      <c r="FF122" s="422"/>
      <c r="FG122" s="422"/>
      <c r="GC122" s="422"/>
      <c r="GD122" s="422"/>
      <c r="GE122" s="422"/>
      <c r="GF122" s="422"/>
      <c r="GG122" s="422"/>
      <c r="GH122" s="422"/>
      <c r="GI122" s="422"/>
      <c r="GJ122" s="422"/>
      <c r="GK122" s="422"/>
      <c r="GL122" s="422"/>
      <c r="GM122" s="422"/>
      <c r="GN122" s="422"/>
      <c r="GO122" s="422"/>
      <c r="GP122" s="422"/>
      <c r="GQ122" s="422"/>
      <c r="GR122" s="422"/>
      <c r="GS122" s="422"/>
      <c r="IC122" s="422"/>
      <c r="ID122" s="422"/>
      <c r="IE122" s="422"/>
      <c r="IG122" s="422"/>
      <c r="IH122" s="422"/>
      <c r="II122" s="422"/>
      <c r="IJ122" s="422"/>
      <c r="IK122" s="422"/>
      <c r="IL122" s="422"/>
      <c r="IM122" s="422"/>
      <c r="IN122" s="422"/>
      <c r="IO122" s="422"/>
      <c r="IP122" s="422"/>
      <c r="IQ122" s="422"/>
      <c r="IR122" s="422"/>
      <c r="IS122" s="422"/>
      <c r="KC122" s="422"/>
      <c r="KD122" s="422"/>
      <c r="KE122" s="422"/>
      <c r="KG122" s="422"/>
      <c r="KH122" s="422"/>
      <c r="KI122" s="422"/>
      <c r="KJ122" s="422"/>
      <c r="KK122" s="422"/>
      <c r="KL122" s="422"/>
      <c r="KM122" s="422"/>
      <c r="KN122" s="422"/>
      <c r="KO122" s="422"/>
      <c r="KP122" s="422"/>
      <c r="KQ122" s="422"/>
      <c r="KR122" s="422"/>
      <c r="KS122" s="422"/>
      <c r="MC122" s="422"/>
      <c r="MD122" s="422"/>
      <c r="ME122" s="422"/>
      <c r="MG122" s="422"/>
      <c r="MH122" s="422"/>
      <c r="MI122" s="422"/>
      <c r="MJ122" s="422"/>
      <c r="MK122" s="422"/>
      <c r="ML122" s="422"/>
      <c r="MM122" s="422"/>
      <c r="MN122" s="422"/>
      <c r="MO122" s="422"/>
      <c r="MP122" s="422"/>
      <c r="MQ122" s="422"/>
      <c r="MR122" s="422"/>
      <c r="MS122" s="422"/>
      <c r="OC122" s="422"/>
      <c r="OD122" s="422"/>
      <c r="OE122" s="422"/>
      <c r="OG122" s="422"/>
      <c r="OH122" s="422"/>
      <c r="OI122" s="422"/>
      <c r="OJ122" s="422"/>
      <c r="OK122" s="422"/>
      <c r="OL122" s="422"/>
      <c r="OM122" s="422"/>
      <c r="ON122" s="422"/>
      <c r="OO122" s="422"/>
      <c r="OP122" s="422"/>
      <c r="OQ122" s="422"/>
      <c r="OR122" s="422"/>
      <c r="OS122" s="422"/>
      <c r="QC122" s="422"/>
      <c r="QD122" s="422"/>
      <c r="QE122" s="422"/>
      <c r="QG122" s="422"/>
      <c r="QH122" s="422"/>
      <c r="QI122" s="422"/>
      <c r="QJ122" s="422"/>
      <c r="QK122" s="422"/>
      <c r="QL122" s="422"/>
      <c r="QM122" s="422"/>
      <c r="QN122" s="422"/>
      <c r="QO122" s="422"/>
      <c r="QP122" s="422"/>
      <c r="QQ122" s="422"/>
      <c r="QR122" s="422"/>
      <c r="QS122" s="422"/>
      <c r="SC122" s="422"/>
      <c r="SD122" s="422"/>
      <c r="SE122" s="422"/>
      <c r="SG122" s="422"/>
      <c r="SH122" s="422"/>
      <c r="SI122" s="422"/>
      <c r="SJ122" s="422"/>
      <c r="SK122" s="422"/>
      <c r="SL122" s="422"/>
      <c r="SM122" s="422"/>
      <c r="SN122" s="422"/>
      <c r="SO122" s="422"/>
      <c r="SP122" s="422"/>
      <c r="SQ122" s="422"/>
      <c r="SR122" s="422"/>
      <c r="SS122" s="422"/>
      <c r="TC122" s="716"/>
      <c r="TD122" s="716"/>
      <c r="TE122" s="716"/>
      <c r="TG122" s="716"/>
      <c r="TH122" s="716"/>
      <c r="TI122" s="716"/>
      <c r="TJ122" s="716"/>
      <c r="TK122" s="716"/>
      <c r="TL122" s="716"/>
      <c r="TM122" s="716"/>
      <c r="TN122" s="716"/>
      <c r="TO122" s="716"/>
      <c r="TP122" s="716"/>
      <c r="TQ122" s="716"/>
      <c r="TR122" s="716"/>
      <c r="TS122" s="716"/>
      <c r="UC122" s="716"/>
      <c r="UD122" s="716"/>
      <c r="UE122" s="716"/>
      <c r="UG122" s="716"/>
      <c r="UH122" s="716"/>
      <c r="UI122" s="716"/>
      <c r="UJ122" s="716"/>
      <c r="UK122" s="716"/>
      <c r="UL122" s="716"/>
      <c r="UM122" s="716"/>
      <c r="UN122" s="716"/>
      <c r="UO122" s="716"/>
      <c r="UP122" s="716"/>
      <c r="UQ122" s="716"/>
      <c r="UR122" s="716"/>
      <c r="US122" s="716"/>
      <c r="VC122" s="716"/>
      <c r="VD122" s="716"/>
      <c r="VE122" s="716"/>
      <c r="VF122" s="716"/>
      <c r="VG122" s="716"/>
      <c r="WC122" s="716"/>
      <c r="WD122" s="716"/>
      <c r="WE122" s="716"/>
      <c r="WF122" s="716"/>
      <c r="WG122" s="716"/>
    </row>
    <row r="123" spans="1:619">
      <c r="DF123" s="296"/>
      <c r="DG123" s="296"/>
      <c r="DH123" s="422"/>
      <c r="DI123" s="422"/>
      <c r="DJ123" s="422"/>
      <c r="EC123" s="276"/>
      <c r="ED123" s="296"/>
      <c r="EE123" s="422"/>
      <c r="EF123" s="422"/>
      <c r="EG123" s="422"/>
      <c r="EH123" s="1369"/>
      <c r="EI123" s="1369"/>
      <c r="EJ123" s="296"/>
      <c r="EK123" s="1369"/>
      <c r="EL123" s="422"/>
      <c r="EM123" s="422"/>
      <c r="EN123" s="422"/>
      <c r="EO123" s="478"/>
      <c r="EP123" s="276"/>
      <c r="EQ123" s="422"/>
      <c r="ER123" s="422"/>
      <c r="ES123" s="422"/>
      <c r="ET123" s="296"/>
      <c r="EU123" s="296"/>
      <c r="EV123" s="422"/>
      <c r="EW123" s="422"/>
      <c r="FC123" s="422"/>
      <c r="FD123" s="422"/>
      <c r="FE123" s="422"/>
      <c r="FF123" s="422"/>
      <c r="FG123" s="422"/>
      <c r="GC123" s="422"/>
      <c r="GD123" s="422"/>
      <c r="GE123" s="422"/>
      <c r="GF123" s="422"/>
      <c r="GG123" s="422"/>
      <c r="GH123" s="422"/>
      <c r="GI123" s="422"/>
      <c r="GJ123" s="422"/>
      <c r="GK123" s="422"/>
      <c r="GL123" s="422"/>
      <c r="GM123" s="422"/>
      <c r="GN123" s="422"/>
      <c r="GO123" s="422"/>
      <c r="GP123" s="422"/>
      <c r="GQ123" s="422"/>
      <c r="GR123" s="422"/>
      <c r="GS123" s="422"/>
      <c r="IC123" s="422"/>
      <c r="ID123" s="422"/>
      <c r="IE123" s="422"/>
      <c r="IG123" s="422"/>
      <c r="IH123" s="422"/>
      <c r="II123" s="422"/>
      <c r="IJ123" s="422"/>
      <c r="IK123" s="422"/>
      <c r="IL123" s="422"/>
      <c r="IM123" s="422"/>
      <c r="IN123" s="422"/>
      <c r="IO123" s="422"/>
      <c r="IP123" s="422"/>
      <c r="IQ123" s="422"/>
      <c r="IR123" s="422"/>
      <c r="IS123" s="422"/>
      <c r="KC123" s="422"/>
      <c r="KD123" s="422"/>
      <c r="KE123" s="422"/>
      <c r="KG123" s="422"/>
      <c r="KH123" s="422"/>
      <c r="KI123" s="422"/>
      <c r="KJ123" s="422"/>
      <c r="KK123" s="422"/>
      <c r="KL123" s="422"/>
      <c r="KM123" s="422"/>
      <c r="KN123" s="422"/>
      <c r="KO123" s="422"/>
      <c r="KP123" s="422"/>
      <c r="KQ123" s="422"/>
      <c r="KR123" s="422"/>
      <c r="KS123" s="422"/>
      <c r="MC123" s="422"/>
      <c r="MD123" s="422"/>
      <c r="ME123" s="422"/>
      <c r="MG123" s="422"/>
      <c r="MH123" s="422"/>
      <c r="MI123" s="422"/>
      <c r="MJ123" s="422"/>
      <c r="MK123" s="422"/>
      <c r="ML123" s="422"/>
      <c r="MM123" s="422"/>
      <c r="MN123" s="422"/>
      <c r="MO123" s="422"/>
      <c r="MP123" s="422"/>
      <c r="MQ123" s="422"/>
      <c r="MR123" s="422"/>
      <c r="MS123" s="422"/>
      <c r="OC123" s="422"/>
      <c r="OD123" s="422"/>
      <c r="OE123" s="422"/>
      <c r="OG123" s="422"/>
      <c r="OH123" s="422"/>
      <c r="OI123" s="422"/>
      <c r="OJ123" s="422"/>
      <c r="OK123" s="422"/>
      <c r="OL123" s="422"/>
      <c r="OM123" s="422"/>
      <c r="ON123" s="422"/>
      <c r="OO123" s="422"/>
      <c r="OP123" s="422"/>
      <c r="OQ123" s="422"/>
      <c r="OR123" s="422"/>
      <c r="OS123" s="422"/>
      <c r="QC123" s="422"/>
      <c r="QD123" s="422"/>
      <c r="QE123" s="422"/>
      <c r="QG123" s="422"/>
      <c r="QH123" s="422"/>
      <c r="QI123" s="422"/>
      <c r="QJ123" s="422"/>
      <c r="QK123" s="422"/>
      <c r="QL123" s="422"/>
      <c r="QM123" s="422"/>
      <c r="QN123" s="422"/>
      <c r="QO123" s="422"/>
      <c r="QP123" s="422"/>
      <c r="QQ123" s="422"/>
      <c r="QR123" s="422"/>
      <c r="QS123" s="422"/>
      <c r="SC123" s="422"/>
      <c r="SD123" s="422"/>
      <c r="SE123" s="422"/>
      <c r="SG123" s="422"/>
      <c r="SH123" s="422"/>
      <c r="SI123" s="422"/>
      <c r="SJ123" s="422"/>
      <c r="SK123" s="422"/>
      <c r="SL123" s="422"/>
      <c r="SM123" s="422"/>
      <c r="SN123" s="422"/>
      <c r="SO123" s="422"/>
      <c r="SP123" s="422"/>
      <c r="SQ123" s="422"/>
      <c r="SR123" s="422"/>
      <c r="SS123" s="422"/>
      <c r="TC123" s="716"/>
      <c r="TD123" s="716"/>
      <c r="TE123" s="716"/>
      <c r="TG123" s="716"/>
      <c r="TH123" s="716"/>
      <c r="TI123" s="716"/>
      <c r="TJ123" s="716"/>
      <c r="TK123" s="716"/>
      <c r="TL123" s="716"/>
      <c r="TM123" s="716"/>
      <c r="TN123" s="716"/>
      <c r="TO123" s="716"/>
      <c r="TP123" s="716"/>
      <c r="TQ123" s="716"/>
      <c r="TR123" s="716"/>
      <c r="TS123" s="716"/>
      <c r="UC123" s="716"/>
      <c r="UD123" s="716"/>
      <c r="UE123" s="716"/>
      <c r="UG123" s="716"/>
      <c r="UH123" s="716"/>
      <c r="UI123" s="716"/>
      <c r="UJ123" s="716"/>
      <c r="UK123" s="716"/>
      <c r="UL123" s="716"/>
      <c r="UM123" s="716"/>
      <c r="UN123" s="716"/>
      <c r="UO123" s="716"/>
      <c r="UP123" s="716"/>
      <c r="UQ123" s="716"/>
      <c r="UR123" s="716"/>
      <c r="US123" s="716"/>
      <c r="VC123" s="716"/>
      <c r="VD123" s="716"/>
      <c r="VE123" s="716"/>
      <c r="VF123" s="716"/>
      <c r="VG123" s="716"/>
      <c r="WC123" s="716"/>
      <c r="WD123" s="716"/>
      <c r="WE123" s="716"/>
      <c r="WF123" s="716"/>
      <c r="WG123" s="716"/>
    </row>
    <row r="124" spans="1:619">
      <c r="DF124" s="296"/>
      <c r="DG124" s="296"/>
      <c r="DH124" s="422"/>
      <c r="DI124" s="422"/>
      <c r="DJ124" s="422"/>
      <c r="EC124" s="276"/>
      <c r="ED124" s="296"/>
      <c r="EE124" s="422"/>
      <c r="EF124" s="422"/>
      <c r="EG124" s="422"/>
      <c r="EH124" s="1369"/>
      <c r="EI124" s="1369"/>
      <c r="EJ124" s="296"/>
      <c r="EK124" s="1369"/>
      <c r="EL124" s="422"/>
      <c r="EM124" s="422"/>
      <c r="EN124" s="422"/>
      <c r="EO124" s="478"/>
      <c r="EP124" s="276"/>
      <c r="EQ124" s="422"/>
      <c r="ER124" s="422"/>
      <c r="ES124" s="422"/>
      <c r="ET124" s="296"/>
      <c r="EU124" s="296"/>
      <c r="EV124" s="422"/>
      <c r="EW124" s="422"/>
      <c r="FC124" s="422"/>
      <c r="FD124" s="422"/>
      <c r="FE124" s="422"/>
      <c r="FF124" s="422"/>
      <c r="FG124" s="422"/>
      <c r="GC124" s="422"/>
      <c r="GD124" s="422"/>
      <c r="GE124" s="422"/>
      <c r="GF124" s="422"/>
      <c r="GG124" s="422"/>
      <c r="GH124" s="422"/>
      <c r="GI124" s="422"/>
      <c r="GJ124" s="422"/>
      <c r="GK124" s="422"/>
      <c r="GL124" s="422"/>
      <c r="GM124" s="422"/>
      <c r="GN124" s="422"/>
      <c r="GO124" s="422"/>
      <c r="GP124" s="422"/>
      <c r="GQ124" s="422"/>
      <c r="GR124" s="422"/>
      <c r="GS124" s="422"/>
      <c r="IC124" s="422"/>
      <c r="ID124" s="422"/>
      <c r="IE124" s="422"/>
      <c r="IG124" s="422"/>
      <c r="IH124" s="422"/>
      <c r="II124" s="422"/>
      <c r="IJ124" s="422"/>
      <c r="IK124" s="422"/>
      <c r="IL124" s="422"/>
      <c r="IM124" s="422"/>
      <c r="IN124" s="422"/>
      <c r="IO124" s="422"/>
      <c r="IP124" s="422"/>
      <c r="IQ124" s="422"/>
      <c r="IR124" s="422"/>
      <c r="IS124" s="422"/>
      <c r="KC124" s="422"/>
      <c r="KD124" s="422"/>
      <c r="KE124" s="422"/>
      <c r="KG124" s="422"/>
      <c r="KH124" s="422"/>
      <c r="KI124" s="422"/>
      <c r="KJ124" s="422"/>
      <c r="KK124" s="422"/>
      <c r="KL124" s="422"/>
      <c r="KM124" s="422"/>
      <c r="KN124" s="422"/>
      <c r="KO124" s="422"/>
      <c r="KP124" s="422"/>
      <c r="KQ124" s="422"/>
      <c r="KR124" s="422"/>
      <c r="KS124" s="422"/>
      <c r="MC124" s="422"/>
      <c r="MD124" s="422"/>
      <c r="ME124" s="422"/>
      <c r="MG124" s="422"/>
      <c r="MH124" s="422"/>
      <c r="MI124" s="422"/>
      <c r="MJ124" s="422"/>
      <c r="MK124" s="422"/>
      <c r="ML124" s="422"/>
      <c r="MM124" s="422"/>
      <c r="MN124" s="422"/>
      <c r="MO124" s="422"/>
      <c r="MP124" s="422"/>
      <c r="MQ124" s="422"/>
      <c r="MR124" s="422"/>
      <c r="MS124" s="422"/>
      <c r="OC124" s="422"/>
      <c r="OD124" s="422"/>
      <c r="OE124" s="422"/>
      <c r="OG124" s="422"/>
      <c r="OH124" s="422"/>
      <c r="OI124" s="422"/>
      <c r="OJ124" s="422"/>
      <c r="OK124" s="422"/>
      <c r="OL124" s="422"/>
      <c r="OM124" s="422"/>
      <c r="ON124" s="422"/>
      <c r="OO124" s="422"/>
      <c r="OP124" s="422"/>
      <c r="OQ124" s="422"/>
      <c r="OR124" s="422"/>
      <c r="OS124" s="422"/>
      <c r="QC124" s="422"/>
      <c r="QD124" s="422"/>
      <c r="QE124" s="422"/>
      <c r="QG124" s="422"/>
      <c r="QH124" s="422"/>
      <c r="QI124" s="422"/>
      <c r="QJ124" s="422"/>
      <c r="QK124" s="422"/>
      <c r="QL124" s="422"/>
      <c r="QM124" s="422"/>
      <c r="QN124" s="422"/>
      <c r="QO124" s="422"/>
      <c r="QP124" s="422"/>
      <c r="QQ124" s="422"/>
      <c r="QR124" s="422"/>
      <c r="QS124" s="422"/>
      <c r="SC124" s="422"/>
      <c r="SD124" s="422"/>
      <c r="SE124" s="422"/>
      <c r="SG124" s="422"/>
      <c r="SH124" s="422"/>
      <c r="SI124" s="422"/>
      <c r="SJ124" s="422"/>
      <c r="SK124" s="422"/>
      <c r="SL124" s="422"/>
      <c r="SM124" s="422"/>
      <c r="SN124" s="422"/>
      <c r="SO124" s="422"/>
      <c r="SP124" s="422"/>
      <c r="SQ124" s="422"/>
      <c r="SR124" s="422"/>
      <c r="SS124" s="422"/>
      <c r="TC124" s="716"/>
      <c r="TD124" s="716"/>
      <c r="TE124" s="716"/>
      <c r="TG124" s="716"/>
      <c r="TH124" s="716"/>
      <c r="TI124" s="716"/>
      <c r="TJ124" s="716"/>
      <c r="TK124" s="716"/>
      <c r="TL124" s="716"/>
      <c r="TM124" s="716"/>
      <c r="TN124" s="716"/>
      <c r="TO124" s="716"/>
      <c r="TP124" s="716"/>
      <c r="TQ124" s="716"/>
      <c r="TR124" s="716"/>
      <c r="TS124" s="716"/>
      <c r="UC124" s="716"/>
      <c r="UD124" s="716"/>
      <c r="UE124" s="716"/>
      <c r="UG124" s="716"/>
      <c r="UH124" s="716"/>
      <c r="UI124" s="716"/>
      <c r="UJ124" s="716"/>
      <c r="UK124" s="716"/>
      <c r="UL124" s="716"/>
      <c r="UM124" s="716"/>
      <c r="UN124" s="716"/>
      <c r="UO124" s="716"/>
      <c r="UP124" s="716"/>
      <c r="UQ124" s="716"/>
      <c r="UR124" s="716"/>
      <c r="US124" s="716"/>
      <c r="VC124" s="716"/>
      <c r="VD124" s="716"/>
      <c r="VE124" s="716"/>
      <c r="VF124" s="716"/>
      <c r="VG124" s="716"/>
      <c r="WC124" s="716"/>
      <c r="WD124" s="716"/>
      <c r="WE124" s="716"/>
      <c r="WF124" s="716"/>
      <c r="WG124" s="716"/>
    </row>
    <row r="125" spans="1:619">
      <c r="EC125" s="276"/>
      <c r="ED125" s="296"/>
      <c r="EE125" s="422"/>
      <c r="EF125" s="422"/>
      <c r="EG125" s="422"/>
      <c r="EH125" s="1369"/>
      <c r="EI125" s="1369"/>
      <c r="EJ125" s="296"/>
      <c r="EK125" s="1369"/>
      <c r="EL125" s="422"/>
      <c r="EM125" s="422"/>
      <c r="EN125" s="422"/>
      <c r="EO125" s="478"/>
      <c r="EP125" s="276"/>
      <c r="EQ125" s="422"/>
      <c r="ER125" s="422"/>
      <c r="ES125" s="422"/>
      <c r="ET125" s="296"/>
      <c r="EU125" s="296"/>
      <c r="EV125" s="422"/>
      <c r="EW125" s="422"/>
      <c r="GC125" s="422"/>
      <c r="GD125" s="422"/>
      <c r="GE125" s="422"/>
      <c r="GF125" s="422"/>
      <c r="GG125" s="422"/>
      <c r="GH125" s="422"/>
      <c r="GI125" s="422"/>
      <c r="GJ125" s="422"/>
      <c r="GK125" s="422"/>
      <c r="GL125" s="422"/>
      <c r="GM125" s="422"/>
      <c r="GN125" s="422"/>
      <c r="GO125" s="422"/>
      <c r="GP125" s="422"/>
      <c r="GQ125" s="422"/>
      <c r="GR125" s="422"/>
      <c r="GS125" s="422"/>
      <c r="IC125" s="422"/>
      <c r="ID125" s="422"/>
      <c r="IE125" s="422"/>
      <c r="IG125" s="422"/>
      <c r="IH125" s="422"/>
      <c r="II125" s="422"/>
      <c r="IJ125" s="422"/>
      <c r="IK125" s="422"/>
      <c r="IL125" s="422"/>
      <c r="IM125" s="422"/>
      <c r="IN125" s="422"/>
      <c r="IO125" s="422"/>
      <c r="IP125" s="422"/>
      <c r="IQ125" s="422"/>
      <c r="IR125" s="422"/>
      <c r="IS125" s="422"/>
      <c r="KC125" s="422"/>
      <c r="KD125" s="422"/>
      <c r="KE125" s="422"/>
      <c r="KG125" s="422"/>
      <c r="KH125" s="422"/>
      <c r="KI125" s="422"/>
      <c r="KJ125" s="422"/>
      <c r="KK125" s="422"/>
      <c r="KL125" s="422"/>
      <c r="KM125" s="422"/>
      <c r="KN125" s="422"/>
      <c r="KO125" s="422"/>
      <c r="KP125" s="422"/>
      <c r="KQ125" s="422"/>
      <c r="KR125" s="422"/>
      <c r="KS125" s="422"/>
      <c r="MC125" s="422"/>
      <c r="MD125" s="422"/>
      <c r="ME125" s="422"/>
      <c r="MG125" s="422"/>
      <c r="MH125" s="422"/>
      <c r="MI125" s="422"/>
      <c r="MJ125" s="422"/>
      <c r="MK125" s="422"/>
      <c r="ML125" s="422"/>
      <c r="MM125" s="422"/>
      <c r="MN125" s="422"/>
      <c r="MO125" s="422"/>
      <c r="MP125" s="422"/>
      <c r="MQ125" s="422"/>
      <c r="MR125" s="422"/>
      <c r="MS125" s="422"/>
      <c r="OC125" s="422"/>
      <c r="OD125" s="422"/>
      <c r="OE125" s="422"/>
      <c r="OG125" s="422"/>
      <c r="OH125" s="422"/>
      <c r="OI125" s="422"/>
      <c r="OJ125" s="422"/>
      <c r="OK125" s="422"/>
      <c r="OL125" s="422"/>
      <c r="OM125" s="422"/>
      <c r="ON125" s="422"/>
      <c r="OO125" s="422"/>
      <c r="OP125" s="422"/>
      <c r="OQ125" s="422"/>
      <c r="OR125" s="422"/>
      <c r="OS125" s="422"/>
      <c r="QC125" s="422"/>
      <c r="QD125" s="422"/>
      <c r="QE125" s="422"/>
      <c r="QG125" s="422"/>
      <c r="QH125" s="422"/>
      <c r="QI125" s="422"/>
      <c r="QJ125" s="422"/>
      <c r="QK125" s="422"/>
      <c r="QL125" s="422"/>
      <c r="QM125" s="422"/>
      <c r="QN125" s="422"/>
      <c r="QO125" s="422"/>
      <c r="QP125" s="422"/>
      <c r="QQ125" s="422"/>
      <c r="QR125" s="422"/>
      <c r="QS125" s="422"/>
      <c r="SC125" s="422"/>
      <c r="SD125" s="422"/>
      <c r="SE125" s="422"/>
      <c r="SG125" s="422"/>
      <c r="SH125" s="422"/>
      <c r="SI125" s="422"/>
      <c r="SJ125" s="422"/>
      <c r="SK125" s="422"/>
      <c r="SL125" s="422"/>
      <c r="SM125" s="422"/>
      <c r="SN125" s="422"/>
      <c r="SO125" s="422"/>
      <c r="SP125" s="422"/>
      <c r="SQ125" s="422"/>
      <c r="SR125" s="422"/>
      <c r="SS125" s="422"/>
      <c r="TC125" s="716"/>
      <c r="TD125" s="716"/>
      <c r="TE125" s="716"/>
      <c r="TG125" s="716"/>
      <c r="TH125" s="716"/>
      <c r="TI125" s="716"/>
      <c r="TJ125" s="716"/>
      <c r="TK125" s="716"/>
      <c r="TL125" s="716"/>
      <c r="TM125" s="716"/>
      <c r="TN125" s="716"/>
      <c r="TO125" s="716"/>
      <c r="TP125" s="716"/>
      <c r="TQ125" s="716"/>
      <c r="TR125" s="716"/>
      <c r="TS125" s="716"/>
      <c r="UC125" s="716"/>
      <c r="UD125" s="716"/>
      <c r="UE125" s="716"/>
      <c r="UG125" s="716"/>
      <c r="UH125" s="716"/>
      <c r="UI125" s="716"/>
      <c r="UJ125" s="716"/>
      <c r="UK125" s="716"/>
      <c r="UL125" s="716"/>
      <c r="UM125" s="716"/>
      <c r="UN125" s="716"/>
      <c r="UO125" s="716"/>
      <c r="UP125" s="716"/>
      <c r="UQ125" s="716"/>
      <c r="UR125" s="716"/>
      <c r="US125" s="716"/>
    </row>
    <row r="126" spans="1:619">
      <c r="EC126" s="276"/>
      <c r="ED126" s="296"/>
      <c r="EE126" s="422"/>
      <c r="EF126" s="422"/>
      <c r="EG126" s="422"/>
      <c r="EH126" s="1369"/>
      <c r="EI126" s="1369"/>
      <c r="EJ126" s="296"/>
      <c r="EK126" s="1369"/>
      <c r="EL126" s="422"/>
      <c r="EM126" s="422"/>
      <c r="EN126" s="422"/>
      <c r="EO126" s="478"/>
      <c r="EP126" s="276"/>
      <c r="EQ126" s="422"/>
      <c r="ER126" s="422"/>
      <c r="ES126" s="422"/>
      <c r="ET126" s="296"/>
      <c r="EU126" s="296"/>
      <c r="EV126" s="422"/>
      <c r="EW126" s="422"/>
      <c r="GC126" s="422"/>
      <c r="GD126" s="422"/>
      <c r="GE126" s="422"/>
      <c r="GF126" s="422"/>
      <c r="GG126" s="422"/>
      <c r="GH126" s="422"/>
      <c r="GI126" s="422"/>
      <c r="GJ126" s="422"/>
      <c r="GK126" s="422"/>
      <c r="GL126" s="422"/>
      <c r="GM126" s="422"/>
      <c r="GN126" s="422"/>
      <c r="GO126" s="422"/>
      <c r="GP126" s="422"/>
      <c r="GQ126" s="422"/>
      <c r="GR126" s="422"/>
      <c r="GS126" s="422"/>
      <c r="IC126" s="422"/>
      <c r="ID126" s="422"/>
      <c r="IE126" s="422"/>
      <c r="IG126" s="422"/>
      <c r="IH126" s="422"/>
      <c r="II126" s="422"/>
      <c r="IJ126" s="422"/>
      <c r="IK126" s="422"/>
      <c r="IL126" s="422"/>
      <c r="IM126" s="422"/>
      <c r="IN126" s="422"/>
      <c r="IO126" s="422"/>
      <c r="IP126" s="422"/>
      <c r="IQ126" s="422"/>
      <c r="IR126" s="422"/>
      <c r="IS126" s="422"/>
      <c r="KC126" s="422"/>
      <c r="KD126" s="422"/>
      <c r="KE126" s="422"/>
      <c r="KG126" s="422"/>
      <c r="KH126" s="422"/>
      <c r="KI126" s="422"/>
      <c r="KJ126" s="422"/>
      <c r="KK126" s="422"/>
      <c r="KL126" s="422"/>
      <c r="KM126" s="422"/>
      <c r="KN126" s="422"/>
      <c r="KO126" s="422"/>
      <c r="KP126" s="422"/>
      <c r="KQ126" s="422"/>
      <c r="KR126" s="422"/>
      <c r="KS126" s="422"/>
      <c r="MC126" s="422"/>
      <c r="MD126" s="422"/>
      <c r="ME126" s="422"/>
      <c r="MG126" s="422"/>
      <c r="MH126" s="422"/>
      <c r="MI126" s="422"/>
      <c r="MJ126" s="422"/>
      <c r="MK126" s="422"/>
      <c r="ML126" s="422"/>
      <c r="MM126" s="422"/>
      <c r="MN126" s="422"/>
      <c r="MO126" s="422"/>
      <c r="MP126" s="422"/>
      <c r="MQ126" s="422"/>
      <c r="MR126" s="422"/>
      <c r="MS126" s="422"/>
      <c r="OC126" s="422"/>
      <c r="OD126" s="422"/>
      <c r="OE126" s="422"/>
      <c r="OG126" s="422"/>
      <c r="OH126" s="422"/>
      <c r="OI126" s="422"/>
      <c r="OJ126" s="422"/>
      <c r="OK126" s="422"/>
      <c r="OL126" s="422"/>
      <c r="OM126" s="422"/>
      <c r="ON126" s="422"/>
      <c r="OO126" s="422"/>
      <c r="OP126" s="422"/>
      <c r="OQ126" s="422"/>
      <c r="OR126" s="422"/>
      <c r="OS126" s="422"/>
      <c r="QC126" s="422"/>
      <c r="QD126" s="422"/>
      <c r="QE126" s="422"/>
      <c r="QG126" s="422"/>
      <c r="QH126" s="422"/>
      <c r="QI126" s="422"/>
      <c r="QJ126" s="422"/>
      <c r="QK126" s="422"/>
      <c r="QL126" s="422"/>
      <c r="QM126" s="422"/>
      <c r="QN126" s="422"/>
      <c r="QO126" s="422"/>
      <c r="QP126" s="422"/>
      <c r="QQ126" s="422"/>
      <c r="QR126" s="422"/>
      <c r="QS126" s="422"/>
      <c r="SC126" s="422"/>
      <c r="SD126" s="422"/>
      <c r="SE126" s="422"/>
      <c r="SG126" s="422"/>
      <c r="SH126" s="422"/>
      <c r="SI126" s="422"/>
      <c r="SJ126" s="422"/>
      <c r="SK126" s="422"/>
      <c r="SL126" s="422"/>
      <c r="SM126" s="422"/>
      <c r="SN126" s="422"/>
      <c r="SO126" s="422"/>
      <c r="SP126" s="422"/>
      <c r="SQ126" s="422"/>
      <c r="SR126" s="422"/>
      <c r="SS126" s="422"/>
      <c r="TC126" s="716"/>
      <c r="TD126" s="716"/>
      <c r="TE126" s="716"/>
      <c r="TG126" s="716"/>
      <c r="TH126" s="716"/>
      <c r="TI126" s="716"/>
      <c r="TJ126" s="716"/>
      <c r="TK126" s="716"/>
      <c r="TL126" s="716"/>
      <c r="TM126" s="716"/>
      <c r="TN126" s="716"/>
      <c r="TO126" s="716"/>
      <c r="TP126" s="716"/>
      <c r="TQ126" s="716"/>
      <c r="TR126" s="716"/>
      <c r="TS126" s="716"/>
      <c r="UC126" s="716"/>
      <c r="UD126" s="716"/>
      <c r="UE126" s="716"/>
      <c r="UG126" s="716"/>
      <c r="UH126" s="716"/>
      <c r="UI126" s="716"/>
      <c r="UJ126" s="716"/>
      <c r="UK126" s="716"/>
      <c r="UL126" s="716"/>
      <c r="UM126" s="716"/>
      <c r="UN126" s="716"/>
      <c r="UO126" s="716"/>
      <c r="UP126" s="716"/>
      <c r="UQ126" s="716"/>
      <c r="UR126" s="716"/>
      <c r="US126" s="716"/>
    </row>
    <row r="127" spans="1:619">
      <c r="EC127" s="276"/>
      <c r="ED127" s="296"/>
      <c r="EE127" s="422"/>
      <c r="EF127" s="422"/>
      <c r="EG127" s="422"/>
      <c r="EH127" s="1369"/>
      <c r="EI127" s="1369"/>
      <c r="EJ127" s="296"/>
      <c r="EK127" s="1369"/>
      <c r="EL127" s="422"/>
      <c r="EM127" s="422"/>
      <c r="EN127" s="422"/>
      <c r="EO127" s="478"/>
      <c r="EP127" s="276"/>
      <c r="EQ127" s="422"/>
      <c r="ER127" s="422"/>
      <c r="ES127" s="422"/>
      <c r="ET127" s="296"/>
      <c r="EU127" s="296"/>
      <c r="EV127" s="422"/>
      <c r="EW127" s="422"/>
      <c r="GC127" s="422"/>
      <c r="GD127" s="422"/>
      <c r="GE127" s="422"/>
      <c r="GF127" s="422"/>
      <c r="GG127" s="422"/>
      <c r="GH127" s="422"/>
      <c r="GI127" s="422"/>
      <c r="GJ127" s="422"/>
      <c r="GK127" s="422"/>
      <c r="GL127" s="422"/>
      <c r="GM127" s="422"/>
      <c r="GN127" s="422"/>
      <c r="GO127" s="422"/>
      <c r="GP127" s="422"/>
      <c r="GQ127" s="422"/>
      <c r="GR127" s="422"/>
      <c r="GS127" s="422"/>
      <c r="IC127" s="422"/>
      <c r="ID127" s="422"/>
      <c r="IE127" s="422"/>
      <c r="IG127" s="422"/>
      <c r="IH127" s="422"/>
      <c r="II127" s="422"/>
      <c r="IJ127" s="422"/>
      <c r="IK127" s="422"/>
      <c r="IL127" s="422"/>
      <c r="IM127" s="422"/>
      <c r="IN127" s="422"/>
      <c r="IO127" s="422"/>
      <c r="IP127" s="422"/>
      <c r="IQ127" s="422"/>
      <c r="IR127" s="422"/>
      <c r="IS127" s="422"/>
      <c r="KC127" s="422"/>
      <c r="KD127" s="422"/>
      <c r="KE127" s="422"/>
      <c r="KG127" s="422"/>
      <c r="KH127" s="422"/>
      <c r="KI127" s="422"/>
      <c r="KJ127" s="422"/>
      <c r="KK127" s="422"/>
      <c r="KL127" s="422"/>
      <c r="KM127" s="422"/>
      <c r="KN127" s="422"/>
      <c r="KO127" s="422"/>
      <c r="KP127" s="422"/>
      <c r="KQ127" s="422"/>
      <c r="KR127" s="422"/>
      <c r="KS127" s="422"/>
      <c r="MC127" s="422"/>
      <c r="MD127" s="422"/>
      <c r="ME127" s="422"/>
      <c r="MG127" s="422"/>
      <c r="MH127" s="422"/>
      <c r="MI127" s="422"/>
      <c r="MJ127" s="422"/>
      <c r="MK127" s="422"/>
      <c r="ML127" s="422"/>
      <c r="MM127" s="422"/>
      <c r="MN127" s="422"/>
      <c r="MO127" s="422"/>
      <c r="MP127" s="422"/>
      <c r="MQ127" s="422"/>
      <c r="MR127" s="422"/>
      <c r="MS127" s="422"/>
      <c r="OC127" s="422"/>
      <c r="OD127" s="422"/>
      <c r="OE127" s="422"/>
      <c r="OG127" s="422"/>
      <c r="OH127" s="422"/>
      <c r="OI127" s="422"/>
      <c r="OJ127" s="422"/>
      <c r="OK127" s="422"/>
      <c r="OL127" s="422"/>
      <c r="OM127" s="422"/>
      <c r="ON127" s="422"/>
      <c r="OO127" s="422"/>
      <c r="OP127" s="422"/>
      <c r="OQ127" s="422"/>
      <c r="OR127" s="422"/>
      <c r="OS127" s="422"/>
      <c r="QC127" s="422"/>
      <c r="QD127" s="422"/>
      <c r="QE127" s="422"/>
      <c r="QG127" s="422"/>
      <c r="QH127" s="422"/>
      <c r="QI127" s="422"/>
      <c r="QJ127" s="422"/>
      <c r="QK127" s="422"/>
      <c r="QL127" s="422"/>
      <c r="QM127" s="422"/>
      <c r="QN127" s="422"/>
      <c r="QO127" s="422"/>
      <c r="QP127" s="422"/>
      <c r="QQ127" s="422"/>
      <c r="QR127" s="422"/>
      <c r="QS127" s="422"/>
      <c r="SC127" s="422"/>
      <c r="SD127" s="422"/>
      <c r="SE127" s="422"/>
      <c r="SG127" s="422"/>
      <c r="SH127" s="422"/>
      <c r="SI127" s="422"/>
      <c r="SJ127" s="422"/>
      <c r="SK127" s="422"/>
      <c r="SL127" s="422"/>
      <c r="SM127" s="422"/>
      <c r="SN127" s="422"/>
      <c r="SO127" s="422"/>
      <c r="SP127" s="422"/>
      <c r="SQ127" s="422"/>
      <c r="SR127" s="422"/>
      <c r="SS127" s="422"/>
      <c r="TC127" s="716"/>
      <c r="TD127" s="716"/>
      <c r="TE127" s="716"/>
      <c r="TG127" s="716"/>
      <c r="TH127" s="716"/>
      <c r="TI127" s="716"/>
      <c r="TJ127" s="716"/>
      <c r="TK127" s="716"/>
      <c r="TL127" s="716"/>
      <c r="TM127" s="716"/>
      <c r="TN127" s="716"/>
      <c r="TO127" s="716"/>
      <c r="TP127" s="716"/>
      <c r="TQ127" s="716"/>
      <c r="TR127" s="716"/>
      <c r="TS127" s="716"/>
      <c r="UC127" s="716"/>
      <c r="UD127" s="716"/>
      <c r="UE127" s="716"/>
      <c r="UG127" s="716"/>
      <c r="UH127" s="716"/>
      <c r="UI127" s="716"/>
      <c r="UJ127" s="716"/>
      <c r="UK127" s="716"/>
      <c r="UL127" s="716"/>
      <c r="UM127" s="716"/>
      <c r="UN127" s="716"/>
      <c r="UO127" s="716"/>
      <c r="UP127" s="716"/>
      <c r="UQ127" s="716"/>
      <c r="UR127" s="716"/>
      <c r="US127" s="716"/>
    </row>
    <row r="128" spans="1:619">
      <c r="EC128" s="276"/>
      <c r="ED128" s="296"/>
      <c r="EE128" s="422"/>
      <c r="EF128" s="422"/>
      <c r="EG128" s="422"/>
      <c r="EH128" s="1369"/>
      <c r="EI128" s="1369"/>
      <c r="EJ128" s="296"/>
      <c r="EK128" s="1369"/>
      <c r="EL128" s="422"/>
      <c r="EM128" s="422"/>
      <c r="EN128" s="422"/>
      <c r="EO128" s="478"/>
      <c r="EP128" s="276"/>
      <c r="EQ128" s="422"/>
      <c r="ER128" s="422"/>
      <c r="ES128" s="422"/>
      <c r="ET128" s="296"/>
      <c r="EU128" s="296"/>
      <c r="EV128" s="422"/>
      <c r="EW128" s="422"/>
      <c r="GC128" s="422"/>
      <c r="GD128" s="422"/>
      <c r="GE128" s="422"/>
      <c r="GF128" s="422"/>
      <c r="GG128" s="422"/>
      <c r="GH128" s="422"/>
      <c r="GI128" s="422"/>
      <c r="GJ128" s="422"/>
      <c r="GK128" s="422"/>
      <c r="GL128" s="422"/>
      <c r="GM128" s="422"/>
      <c r="GN128" s="422"/>
      <c r="GO128" s="422"/>
      <c r="GP128" s="422"/>
      <c r="GQ128" s="422"/>
      <c r="GR128" s="422"/>
      <c r="GS128" s="422"/>
      <c r="IC128" s="422"/>
      <c r="ID128" s="422"/>
      <c r="IE128" s="422"/>
      <c r="IG128" s="422"/>
      <c r="IH128" s="422"/>
      <c r="II128" s="422"/>
      <c r="IJ128" s="422"/>
      <c r="IK128" s="422"/>
      <c r="IL128" s="422"/>
      <c r="IM128" s="422"/>
      <c r="IN128" s="422"/>
      <c r="IO128" s="422"/>
      <c r="IP128" s="422"/>
      <c r="IQ128" s="422"/>
      <c r="IR128" s="422"/>
      <c r="IS128" s="422"/>
      <c r="KC128" s="422"/>
      <c r="KD128" s="422"/>
      <c r="KE128" s="422"/>
      <c r="KG128" s="422"/>
      <c r="KH128" s="422"/>
      <c r="KI128" s="422"/>
      <c r="KJ128" s="422"/>
      <c r="KK128" s="422"/>
      <c r="KL128" s="422"/>
      <c r="KM128" s="422"/>
      <c r="KN128" s="422"/>
      <c r="KO128" s="422"/>
      <c r="KP128" s="422"/>
      <c r="KQ128" s="422"/>
      <c r="KR128" s="422"/>
      <c r="KS128" s="422"/>
      <c r="MC128" s="422"/>
      <c r="MD128" s="422"/>
      <c r="ME128" s="422"/>
      <c r="MG128" s="422"/>
      <c r="MH128" s="422"/>
      <c r="MI128" s="422"/>
      <c r="MJ128" s="422"/>
      <c r="MK128" s="422"/>
      <c r="ML128" s="422"/>
      <c r="MM128" s="422"/>
      <c r="MN128" s="422"/>
      <c r="MO128" s="422"/>
      <c r="MP128" s="422"/>
      <c r="MQ128" s="422"/>
      <c r="MR128" s="422"/>
      <c r="MS128" s="422"/>
      <c r="OC128" s="422"/>
      <c r="OD128" s="422"/>
      <c r="OE128" s="422"/>
      <c r="OG128" s="422"/>
      <c r="OH128" s="422"/>
      <c r="OI128" s="422"/>
      <c r="OJ128" s="422"/>
      <c r="OK128" s="422"/>
      <c r="OL128" s="422"/>
      <c r="OM128" s="422"/>
      <c r="ON128" s="422"/>
      <c r="OO128" s="422"/>
      <c r="OP128" s="422"/>
      <c r="OQ128" s="422"/>
      <c r="OR128" s="422"/>
      <c r="OS128" s="422"/>
      <c r="QC128" s="422"/>
      <c r="QD128" s="422"/>
      <c r="QE128" s="422"/>
      <c r="QG128" s="422"/>
      <c r="QH128" s="422"/>
      <c r="QI128" s="422"/>
      <c r="QJ128" s="422"/>
      <c r="QK128" s="422"/>
      <c r="QL128" s="422"/>
      <c r="QM128" s="422"/>
      <c r="QN128" s="422"/>
      <c r="QO128" s="422"/>
      <c r="QP128" s="422"/>
      <c r="QQ128" s="422"/>
      <c r="QR128" s="422"/>
      <c r="QS128" s="422"/>
      <c r="SC128" s="422"/>
      <c r="SD128" s="422"/>
      <c r="SE128" s="422"/>
      <c r="SG128" s="422"/>
      <c r="SH128" s="422"/>
      <c r="SI128" s="422"/>
      <c r="SJ128" s="422"/>
      <c r="SK128" s="422"/>
      <c r="SL128" s="422"/>
      <c r="SM128" s="422"/>
      <c r="SN128" s="422"/>
      <c r="SO128" s="422"/>
      <c r="SP128" s="422"/>
      <c r="SQ128" s="422"/>
      <c r="SR128" s="422"/>
      <c r="SS128" s="422"/>
      <c r="TC128" s="716"/>
      <c r="TD128" s="716"/>
      <c r="TE128" s="716"/>
      <c r="TG128" s="716"/>
      <c r="TH128" s="716"/>
      <c r="TI128" s="716"/>
      <c r="TJ128" s="716"/>
      <c r="TK128" s="716"/>
      <c r="TL128" s="716"/>
      <c r="TM128" s="716"/>
      <c r="TN128" s="716"/>
      <c r="TO128" s="716"/>
      <c r="TP128" s="716"/>
      <c r="TQ128" s="716"/>
      <c r="TR128" s="716"/>
      <c r="TS128" s="716"/>
      <c r="UC128" s="716"/>
      <c r="UD128" s="716"/>
      <c r="UE128" s="716"/>
      <c r="UG128" s="716"/>
      <c r="UH128" s="716"/>
      <c r="UI128" s="716"/>
      <c r="UJ128" s="716"/>
      <c r="UK128" s="716"/>
      <c r="UL128" s="716"/>
      <c r="UM128" s="716"/>
      <c r="UN128" s="716"/>
      <c r="UO128" s="716"/>
      <c r="UP128" s="716"/>
      <c r="UQ128" s="716"/>
      <c r="UR128" s="716"/>
      <c r="US128" s="716"/>
    </row>
    <row r="129" spans="133:565">
      <c r="EC129" s="276"/>
      <c r="ED129" s="296"/>
      <c r="EE129" s="422"/>
      <c r="EF129" s="422"/>
      <c r="EG129" s="422"/>
      <c r="EH129" s="1369"/>
      <c r="EI129" s="1369"/>
      <c r="EJ129" s="296"/>
      <c r="EK129" s="1369"/>
      <c r="EL129" s="422"/>
      <c r="EM129" s="422"/>
      <c r="EN129" s="422"/>
      <c r="EO129" s="478"/>
      <c r="EP129" s="276"/>
      <c r="EQ129" s="422"/>
      <c r="ER129" s="422"/>
      <c r="ES129" s="422"/>
      <c r="ET129" s="296"/>
      <c r="EU129" s="296"/>
      <c r="EV129" s="422"/>
      <c r="EW129" s="422"/>
      <c r="GC129" s="422"/>
      <c r="GD129" s="422"/>
      <c r="GE129" s="422"/>
      <c r="GF129" s="422"/>
      <c r="GG129" s="422"/>
      <c r="GH129" s="422"/>
      <c r="GI129" s="422"/>
      <c r="GJ129" s="422"/>
      <c r="GK129" s="422"/>
      <c r="GL129" s="422"/>
      <c r="GM129" s="422"/>
      <c r="GN129" s="422"/>
      <c r="GO129" s="422"/>
      <c r="GP129" s="422"/>
      <c r="GQ129" s="422"/>
      <c r="GR129" s="422"/>
      <c r="GS129" s="422"/>
      <c r="IC129" s="422"/>
      <c r="ID129" s="422"/>
      <c r="IE129" s="422"/>
      <c r="IG129" s="422"/>
      <c r="IH129" s="422"/>
      <c r="II129" s="422"/>
      <c r="IJ129" s="422"/>
      <c r="IK129" s="422"/>
      <c r="IL129" s="422"/>
      <c r="IM129" s="422"/>
      <c r="IN129" s="422"/>
      <c r="IO129" s="422"/>
      <c r="IP129" s="422"/>
      <c r="IQ129" s="422"/>
      <c r="IR129" s="422"/>
      <c r="IS129" s="422"/>
      <c r="KC129" s="422"/>
      <c r="KD129" s="422"/>
      <c r="KE129" s="422"/>
      <c r="KG129" s="422"/>
      <c r="KH129" s="422"/>
      <c r="KI129" s="422"/>
      <c r="KJ129" s="422"/>
      <c r="KK129" s="422"/>
      <c r="KL129" s="422"/>
      <c r="KM129" s="422"/>
      <c r="KN129" s="422"/>
      <c r="KO129" s="422"/>
      <c r="KP129" s="422"/>
      <c r="KQ129" s="422"/>
      <c r="KR129" s="422"/>
      <c r="KS129" s="422"/>
      <c r="MC129" s="422"/>
      <c r="MD129" s="422"/>
      <c r="ME129" s="422"/>
      <c r="MG129" s="422"/>
      <c r="MH129" s="422"/>
      <c r="MI129" s="422"/>
      <c r="MJ129" s="422"/>
      <c r="MK129" s="422"/>
      <c r="ML129" s="422"/>
      <c r="MM129" s="422"/>
      <c r="MN129" s="422"/>
      <c r="MO129" s="422"/>
      <c r="MP129" s="422"/>
      <c r="MQ129" s="422"/>
      <c r="MR129" s="422"/>
      <c r="MS129" s="422"/>
      <c r="OC129" s="422"/>
      <c r="OD129" s="422"/>
      <c r="OE129" s="422"/>
      <c r="OG129" s="422"/>
      <c r="OH129" s="422"/>
      <c r="OI129" s="422"/>
      <c r="OJ129" s="422"/>
      <c r="OK129" s="422"/>
      <c r="OL129" s="422"/>
      <c r="OM129" s="422"/>
      <c r="ON129" s="422"/>
      <c r="OO129" s="422"/>
      <c r="OP129" s="422"/>
      <c r="OQ129" s="422"/>
      <c r="OR129" s="422"/>
      <c r="OS129" s="422"/>
      <c r="QC129" s="422"/>
      <c r="QD129" s="422"/>
      <c r="QE129" s="422"/>
      <c r="QG129" s="422"/>
      <c r="QH129" s="422"/>
      <c r="QI129" s="422"/>
      <c r="QJ129" s="422"/>
      <c r="QK129" s="422"/>
      <c r="QL129" s="422"/>
      <c r="QM129" s="422"/>
      <c r="QN129" s="422"/>
      <c r="QO129" s="422"/>
      <c r="QP129" s="422"/>
      <c r="QQ129" s="422"/>
      <c r="QR129" s="422"/>
      <c r="QS129" s="422"/>
      <c r="SC129" s="422"/>
      <c r="SD129" s="422"/>
      <c r="SE129" s="422"/>
      <c r="SG129" s="422"/>
      <c r="SH129" s="422"/>
      <c r="SI129" s="422"/>
      <c r="SJ129" s="422"/>
      <c r="SK129" s="422"/>
      <c r="SL129" s="422"/>
      <c r="SM129" s="422"/>
      <c r="SN129" s="422"/>
      <c r="SO129" s="422"/>
      <c r="SP129" s="422"/>
      <c r="SQ129" s="422"/>
      <c r="SR129" s="422"/>
      <c r="SS129" s="422"/>
      <c r="TC129" s="716"/>
      <c r="TD129" s="716"/>
      <c r="TE129" s="716"/>
      <c r="TG129" s="716"/>
      <c r="TH129" s="716"/>
      <c r="TI129" s="716"/>
      <c r="TJ129" s="716"/>
      <c r="TK129" s="716"/>
      <c r="TL129" s="716"/>
      <c r="TM129" s="716"/>
      <c r="TN129" s="716"/>
      <c r="TO129" s="716"/>
      <c r="TP129" s="716"/>
      <c r="TQ129" s="716"/>
      <c r="TR129" s="716"/>
      <c r="TS129" s="716"/>
      <c r="UC129" s="716"/>
      <c r="UD129" s="716"/>
      <c r="UE129" s="716"/>
      <c r="UG129" s="716"/>
      <c r="UH129" s="716"/>
      <c r="UI129" s="716"/>
      <c r="UJ129" s="716"/>
      <c r="UK129" s="716"/>
      <c r="UL129" s="716"/>
      <c r="UM129" s="716"/>
      <c r="UN129" s="716"/>
      <c r="UO129" s="716"/>
      <c r="UP129" s="716"/>
      <c r="UQ129" s="716"/>
      <c r="UR129" s="716"/>
      <c r="US129" s="716"/>
    </row>
    <row r="130" spans="133:565">
      <c r="EC130" s="276"/>
      <c r="ED130" s="296"/>
      <c r="EE130" s="422"/>
      <c r="EF130" s="422"/>
      <c r="EG130" s="422"/>
      <c r="EH130" s="1369"/>
      <c r="EI130" s="1369"/>
      <c r="EJ130" s="296"/>
      <c r="EK130" s="1369"/>
      <c r="EL130" s="422"/>
      <c r="EM130" s="422"/>
      <c r="EN130" s="422"/>
      <c r="EO130" s="478"/>
      <c r="EP130" s="276"/>
      <c r="EQ130" s="422"/>
      <c r="ER130" s="422"/>
      <c r="ES130" s="422"/>
      <c r="ET130" s="296"/>
      <c r="EU130" s="296"/>
      <c r="EV130" s="422"/>
      <c r="EW130" s="422"/>
      <c r="GC130" s="422"/>
      <c r="GD130" s="422"/>
      <c r="GE130" s="422"/>
      <c r="GF130" s="422"/>
      <c r="GG130" s="422"/>
      <c r="GH130" s="422"/>
      <c r="GI130" s="422"/>
      <c r="GJ130" s="422"/>
      <c r="GK130" s="422"/>
      <c r="GL130" s="422"/>
      <c r="GM130" s="422"/>
      <c r="GN130" s="422"/>
      <c r="GO130" s="422"/>
      <c r="GP130" s="422"/>
      <c r="GQ130" s="422"/>
      <c r="GR130" s="422"/>
      <c r="GS130" s="422"/>
      <c r="IC130" s="422"/>
      <c r="ID130" s="422"/>
      <c r="IE130" s="422"/>
      <c r="IG130" s="422"/>
      <c r="IH130" s="422"/>
      <c r="II130" s="422"/>
      <c r="IJ130" s="422"/>
      <c r="IK130" s="422"/>
      <c r="IL130" s="422"/>
      <c r="IM130" s="422"/>
      <c r="IN130" s="422"/>
      <c r="IO130" s="422"/>
      <c r="IP130" s="422"/>
      <c r="IQ130" s="422"/>
      <c r="IR130" s="422"/>
      <c r="IS130" s="422"/>
      <c r="KC130" s="422"/>
      <c r="KD130" s="422"/>
      <c r="KE130" s="422"/>
      <c r="KG130" s="422"/>
      <c r="KH130" s="422"/>
      <c r="KI130" s="422"/>
      <c r="KJ130" s="422"/>
      <c r="KK130" s="422"/>
      <c r="KL130" s="422"/>
      <c r="KM130" s="422"/>
      <c r="KN130" s="422"/>
      <c r="KO130" s="422"/>
      <c r="KP130" s="422"/>
      <c r="KQ130" s="422"/>
      <c r="KR130" s="422"/>
      <c r="KS130" s="422"/>
      <c r="MC130" s="422"/>
      <c r="MD130" s="422"/>
      <c r="ME130" s="422"/>
      <c r="MG130" s="422"/>
      <c r="MH130" s="422"/>
      <c r="MI130" s="422"/>
      <c r="MJ130" s="422"/>
      <c r="MK130" s="422"/>
      <c r="ML130" s="422"/>
      <c r="MM130" s="422"/>
      <c r="MN130" s="422"/>
      <c r="MO130" s="422"/>
      <c r="MP130" s="422"/>
      <c r="MQ130" s="422"/>
      <c r="MR130" s="422"/>
      <c r="MS130" s="422"/>
      <c r="OC130" s="422"/>
      <c r="OD130" s="422"/>
      <c r="OE130" s="422"/>
      <c r="OG130" s="422"/>
      <c r="OH130" s="422"/>
      <c r="OI130" s="422"/>
      <c r="OJ130" s="422"/>
      <c r="OK130" s="422"/>
      <c r="OL130" s="422"/>
      <c r="OM130" s="422"/>
      <c r="ON130" s="422"/>
      <c r="OO130" s="422"/>
      <c r="OP130" s="422"/>
      <c r="OQ130" s="422"/>
      <c r="OR130" s="422"/>
      <c r="OS130" s="422"/>
      <c r="QC130" s="422"/>
      <c r="QD130" s="422"/>
      <c r="QE130" s="422"/>
      <c r="QG130" s="422"/>
      <c r="QH130" s="422"/>
      <c r="QI130" s="422"/>
      <c r="QJ130" s="422"/>
      <c r="QK130" s="422"/>
      <c r="QL130" s="422"/>
      <c r="QM130" s="422"/>
      <c r="QN130" s="422"/>
      <c r="QO130" s="422"/>
      <c r="QP130" s="422"/>
      <c r="QQ130" s="422"/>
      <c r="QR130" s="422"/>
      <c r="QS130" s="422"/>
      <c r="SC130" s="422"/>
      <c r="SD130" s="422"/>
      <c r="SE130" s="422"/>
      <c r="SG130" s="422"/>
      <c r="SH130" s="422"/>
      <c r="SI130" s="422"/>
      <c r="SJ130" s="422"/>
      <c r="SK130" s="422"/>
      <c r="SL130" s="422"/>
      <c r="SM130" s="422"/>
      <c r="SN130" s="422"/>
      <c r="SO130" s="422"/>
      <c r="SP130" s="422"/>
      <c r="SQ130" s="422"/>
      <c r="SR130" s="422"/>
      <c r="SS130" s="422"/>
      <c r="TC130" s="716"/>
      <c r="TD130" s="716"/>
      <c r="TE130" s="716"/>
      <c r="TG130" s="716"/>
      <c r="TH130" s="716"/>
      <c r="TI130" s="716"/>
      <c r="TJ130" s="716"/>
      <c r="TK130" s="716"/>
      <c r="TL130" s="716"/>
      <c r="TM130" s="716"/>
      <c r="TN130" s="716"/>
      <c r="TO130" s="716"/>
      <c r="TP130" s="716"/>
      <c r="TQ130" s="716"/>
      <c r="TR130" s="716"/>
      <c r="TS130" s="716"/>
      <c r="UC130" s="716"/>
      <c r="UD130" s="716"/>
      <c r="UE130" s="716"/>
      <c r="UG130" s="716"/>
      <c r="UH130" s="716"/>
      <c r="UI130" s="716"/>
      <c r="UJ130" s="716"/>
      <c r="UK130" s="716"/>
      <c r="UL130" s="716"/>
      <c r="UM130" s="716"/>
      <c r="UN130" s="716"/>
      <c r="UO130" s="716"/>
      <c r="UP130" s="716"/>
      <c r="UQ130" s="716"/>
      <c r="UR130" s="716"/>
      <c r="US130" s="716"/>
    </row>
    <row r="131" spans="133:565">
      <c r="EC131" s="276"/>
      <c r="ED131" s="296"/>
      <c r="EE131" s="422"/>
      <c r="EF131" s="422"/>
      <c r="EG131" s="422"/>
      <c r="EH131" s="1369"/>
      <c r="EI131" s="1369"/>
      <c r="EJ131" s="296"/>
      <c r="EK131" s="1369"/>
      <c r="EL131" s="422"/>
      <c r="EM131" s="422"/>
      <c r="EN131" s="422"/>
      <c r="EO131" s="478"/>
      <c r="EP131" s="276"/>
      <c r="EQ131" s="422"/>
      <c r="ER131" s="422"/>
      <c r="ES131" s="422"/>
      <c r="ET131" s="296"/>
      <c r="EU131" s="296"/>
      <c r="EV131" s="422"/>
      <c r="EW131" s="422"/>
      <c r="GC131" s="422"/>
      <c r="GD131" s="422"/>
      <c r="GE131" s="422"/>
      <c r="GF131" s="422"/>
      <c r="GG131" s="422"/>
      <c r="GH131" s="422"/>
      <c r="GI131" s="422"/>
      <c r="GJ131" s="422"/>
      <c r="GK131" s="422"/>
      <c r="GL131" s="422"/>
      <c r="GM131" s="422"/>
      <c r="GN131" s="422"/>
      <c r="GO131" s="422"/>
      <c r="GP131" s="422"/>
      <c r="GQ131" s="422"/>
      <c r="GR131" s="422"/>
      <c r="GS131" s="422"/>
      <c r="IC131" s="422"/>
      <c r="ID131" s="422"/>
      <c r="IE131" s="422"/>
      <c r="IG131" s="422"/>
      <c r="IH131" s="422"/>
      <c r="II131" s="422"/>
      <c r="IJ131" s="422"/>
      <c r="IK131" s="422"/>
      <c r="IL131" s="422"/>
      <c r="IM131" s="422"/>
      <c r="IN131" s="422"/>
      <c r="IO131" s="422"/>
      <c r="IP131" s="422"/>
      <c r="IQ131" s="422"/>
      <c r="IR131" s="422"/>
      <c r="IS131" s="422"/>
      <c r="KC131" s="422"/>
      <c r="KD131" s="422"/>
      <c r="KE131" s="422"/>
      <c r="KG131" s="422"/>
      <c r="KH131" s="422"/>
      <c r="KI131" s="422"/>
      <c r="KJ131" s="422"/>
      <c r="KK131" s="422"/>
      <c r="KL131" s="422"/>
      <c r="KM131" s="422"/>
      <c r="KN131" s="422"/>
      <c r="KO131" s="422"/>
      <c r="KP131" s="422"/>
      <c r="KQ131" s="422"/>
      <c r="KR131" s="422"/>
      <c r="KS131" s="422"/>
      <c r="MC131" s="422"/>
      <c r="MD131" s="422"/>
      <c r="ME131" s="422"/>
      <c r="MG131" s="422"/>
      <c r="MH131" s="422"/>
      <c r="MI131" s="422"/>
      <c r="MJ131" s="422"/>
      <c r="MK131" s="422"/>
      <c r="ML131" s="422"/>
      <c r="MM131" s="422"/>
      <c r="MN131" s="422"/>
      <c r="MO131" s="422"/>
      <c r="MP131" s="422"/>
      <c r="MQ131" s="422"/>
      <c r="MR131" s="422"/>
      <c r="MS131" s="422"/>
      <c r="OC131" s="422"/>
      <c r="OD131" s="422"/>
      <c r="OE131" s="422"/>
      <c r="OG131" s="422"/>
      <c r="OH131" s="422"/>
      <c r="OI131" s="422"/>
      <c r="OJ131" s="422"/>
      <c r="OK131" s="422"/>
      <c r="OL131" s="422"/>
      <c r="OM131" s="422"/>
      <c r="ON131" s="422"/>
      <c r="OO131" s="422"/>
      <c r="OP131" s="422"/>
      <c r="OQ131" s="422"/>
      <c r="OR131" s="422"/>
      <c r="OS131" s="422"/>
      <c r="QC131" s="422"/>
      <c r="QD131" s="422"/>
      <c r="QE131" s="422"/>
      <c r="QG131" s="422"/>
      <c r="QH131" s="422"/>
      <c r="QI131" s="422"/>
      <c r="QJ131" s="422"/>
      <c r="QK131" s="422"/>
      <c r="QL131" s="422"/>
      <c r="QM131" s="422"/>
      <c r="QN131" s="422"/>
      <c r="QO131" s="422"/>
      <c r="QP131" s="422"/>
      <c r="QQ131" s="422"/>
      <c r="QR131" s="422"/>
      <c r="QS131" s="422"/>
      <c r="SC131" s="422"/>
      <c r="SD131" s="422"/>
      <c r="SE131" s="422"/>
      <c r="SG131" s="422"/>
      <c r="SH131" s="422"/>
      <c r="SI131" s="422"/>
      <c r="SJ131" s="422"/>
      <c r="SK131" s="422"/>
      <c r="SL131" s="422"/>
      <c r="SM131" s="422"/>
      <c r="SN131" s="422"/>
      <c r="SO131" s="422"/>
      <c r="SP131" s="422"/>
      <c r="SQ131" s="422"/>
      <c r="SR131" s="422"/>
      <c r="SS131" s="422"/>
      <c r="TC131" s="716"/>
      <c r="TD131" s="716"/>
      <c r="TE131" s="716"/>
      <c r="TG131" s="716"/>
      <c r="TH131" s="716"/>
      <c r="TI131" s="716"/>
      <c r="TJ131" s="716"/>
      <c r="TK131" s="716"/>
      <c r="TL131" s="716"/>
      <c r="TM131" s="716"/>
      <c r="TN131" s="716"/>
      <c r="TO131" s="716"/>
      <c r="TP131" s="716"/>
      <c r="TQ131" s="716"/>
      <c r="TR131" s="716"/>
      <c r="TS131" s="716"/>
      <c r="UC131" s="716"/>
      <c r="UD131" s="716"/>
      <c r="UE131" s="716"/>
      <c r="UG131" s="716"/>
      <c r="UH131" s="716"/>
      <c r="UI131" s="716"/>
      <c r="UJ131" s="716"/>
      <c r="UK131" s="716"/>
      <c r="UL131" s="716"/>
      <c r="UM131" s="716"/>
      <c r="UN131" s="716"/>
      <c r="UO131" s="716"/>
      <c r="UP131" s="716"/>
      <c r="UQ131" s="716"/>
      <c r="UR131" s="716"/>
      <c r="US131" s="716"/>
    </row>
    <row r="132" spans="133:565">
      <c r="EC132" s="276"/>
      <c r="ED132" s="296"/>
      <c r="EE132" s="422"/>
      <c r="EF132" s="422"/>
      <c r="EG132" s="422"/>
      <c r="EH132" s="1369"/>
      <c r="EI132" s="1369"/>
      <c r="EJ132" s="296"/>
      <c r="EK132" s="1369"/>
      <c r="EL132" s="422"/>
      <c r="EM132" s="422"/>
      <c r="EN132" s="422"/>
      <c r="EO132" s="478"/>
      <c r="EP132" s="276"/>
      <c r="EQ132" s="422"/>
      <c r="ER132" s="422"/>
      <c r="ES132" s="422"/>
      <c r="ET132" s="296"/>
      <c r="EU132" s="296"/>
      <c r="EV132" s="422"/>
      <c r="EW132" s="422"/>
      <c r="GC132" s="422"/>
      <c r="GD132" s="422"/>
      <c r="GE132" s="422"/>
      <c r="GF132" s="422"/>
      <c r="GG132" s="422"/>
      <c r="GH132" s="422"/>
      <c r="GI132" s="422"/>
      <c r="GJ132" s="422"/>
      <c r="GK132" s="422"/>
      <c r="GL132" s="422"/>
      <c r="GM132" s="422"/>
      <c r="GN132" s="422"/>
      <c r="GO132" s="422"/>
      <c r="GP132" s="422"/>
      <c r="GQ132" s="422"/>
      <c r="GR132" s="422"/>
      <c r="GS132" s="422"/>
      <c r="IC132" s="422"/>
      <c r="ID132" s="422"/>
      <c r="IE132" s="422"/>
      <c r="IG132" s="422"/>
      <c r="IH132" s="422"/>
      <c r="II132" s="422"/>
      <c r="IJ132" s="422"/>
      <c r="IK132" s="422"/>
      <c r="IL132" s="422"/>
      <c r="IM132" s="422"/>
      <c r="IN132" s="422"/>
      <c r="IO132" s="422"/>
      <c r="IP132" s="422"/>
      <c r="IQ132" s="422"/>
      <c r="IR132" s="422"/>
      <c r="IS132" s="422"/>
      <c r="KC132" s="422"/>
      <c r="KD132" s="422"/>
      <c r="KE132" s="422"/>
      <c r="KG132" s="422"/>
      <c r="KH132" s="422"/>
      <c r="KI132" s="422"/>
      <c r="KJ132" s="422"/>
      <c r="KK132" s="422"/>
      <c r="KL132" s="422"/>
      <c r="KM132" s="422"/>
      <c r="KN132" s="422"/>
      <c r="KO132" s="422"/>
      <c r="KP132" s="422"/>
      <c r="KQ132" s="422"/>
      <c r="KR132" s="422"/>
      <c r="KS132" s="422"/>
      <c r="MC132" s="422"/>
      <c r="MD132" s="422"/>
      <c r="ME132" s="422"/>
      <c r="MG132" s="422"/>
      <c r="MH132" s="422"/>
      <c r="MI132" s="422"/>
      <c r="MJ132" s="422"/>
      <c r="MK132" s="422"/>
      <c r="ML132" s="422"/>
      <c r="MM132" s="422"/>
      <c r="MN132" s="422"/>
      <c r="MO132" s="422"/>
      <c r="MP132" s="422"/>
      <c r="MQ132" s="422"/>
      <c r="MR132" s="422"/>
      <c r="MS132" s="422"/>
      <c r="OC132" s="422"/>
      <c r="OD132" s="422"/>
      <c r="OE132" s="422"/>
      <c r="OG132" s="422"/>
      <c r="OH132" s="422"/>
      <c r="OI132" s="422"/>
      <c r="OJ132" s="422"/>
      <c r="OK132" s="422"/>
      <c r="OL132" s="422"/>
      <c r="OM132" s="422"/>
      <c r="ON132" s="422"/>
      <c r="OO132" s="422"/>
      <c r="OP132" s="422"/>
      <c r="OQ132" s="422"/>
      <c r="OR132" s="422"/>
      <c r="OS132" s="422"/>
      <c r="QC132" s="422"/>
      <c r="QD132" s="422"/>
      <c r="QE132" s="422"/>
      <c r="QG132" s="422"/>
      <c r="QH132" s="422"/>
      <c r="QI132" s="422"/>
      <c r="QJ132" s="422"/>
      <c r="QK132" s="422"/>
      <c r="QL132" s="422"/>
      <c r="QM132" s="422"/>
      <c r="QN132" s="422"/>
      <c r="QO132" s="422"/>
      <c r="QP132" s="422"/>
      <c r="QQ132" s="422"/>
      <c r="QR132" s="422"/>
      <c r="QS132" s="422"/>
      <c r="SC132" s="422"/>
      <c r="SD132" s="422"/>
      <c r="SE132" s="422"/>
      <c r="SG132" s="422"/>
      <c r="SH132" s="422"/>
      <c r="SI132" s="422"/>
      <c r="SJ132" s="422"/>
      <c r="SK132" s="422"/>
      <c r="SL132" s="422"/>
      <c r="SM132" s="422"/>
      <c r="SN132" s="422"/>
      <c r="SO132" s="422"/>
      <c r="SP132" s="422"/>
      <c r="SQ132" s="422"/>
      <c r="SR132" s="422"/>
      <c r="SS132" s="422"/>
      <c r="TC132" s="716"/>
      <c r="TD132" s="716"/>
      <c r="TE132" s="716"/>
      <c r="TG132" s="716"/>
      <c r="TH132" s="716"/>
      <c r="TI132" s="716"/>
      <c r="TJ132" s="716"/>
      <c r="TK132" s="716"/>
      <c r="TL132" s="716"/>
      <c r="TM132" s="716"/>
      <c r="TN132" s="716"/>
      <c r="TO132" s="716"/>
      <c r="TP132" s="716"/>
      <c r="TQ132" s="716"/>
      <c r="TR132" s="716"/>
      <c r="TS132" s="716"/>
      <c r="UC132" s="716"/>
      <c r="UD132" s="716"/>
      <c r="UE132" s="716"/>
      <c r="UG132" s="716"/>
      <c r="UH132" s="716"/>
      <c r="UI132" s="716"/>
      <c r="UJ132" s="716"/>
      <c r="UK132" s="716"/>
      <c r="UL132" s="716"/>
      <c r="UM132" s="716"/>
      <c r="UN132" s="716"/>
      <c r="UO132" s="716"/>
      <c r="UP132" s="716"/>
      <c r="UQ132" s="716"/>
      <c r="UR132" s="716"/>
      <c r="US132" s="716"/>
    </row>
    <row r="133" spans="133:565">
      <c r="EC133" s="276"/>
      <c r="ED133" s="296"/>
      <c r="EE133" s="422"/>
      <c r="EF133" s="422"/>
      <c r="EG133" s="422"/>
      <c r="EH133" s="1369"/>
      <c r="EI133" s="1369"/>
      <c r="EJ133" s="296"/>
      <c r="EK133" s="1369"/>
      <c r="EL133" s="422"/>
      <c r="EM133" s="422"/>
      <c r="EN133" s="422"/>
      <c r="EO133" s="478"/>
      <c r="EP133" s="276"/>
      <c r="EQ133" s="422"/>
      <c r="ER133" s="422"/>
      <c r="ES133" s="422"/>
      <c r="ET133" s="296"/>
      <c r="EU133" s="296"/>
      <c r="EV133" s="422"/>
      <c r="EW133" s="422"/>
      <c r="GC133" s="422"/>
      <c r="GD133" s="422"/>
      <c r="GE133" s="422"/>
      <c r="GF133" s="422"/>
      <c r="GG133" s="422"/>
      <c r="GH133" s="422"/>
      <c r="GI133" s="422"/>
      <c r="GJ133" s="422"/>
      <c r="GK133" s="422"/>
      <c r="GL133" s="422"/>
      <c r="GM133" s="422"/>
      <c r="GN133" s="422"/>
      <c r="GO133" s="422"/>
      <c r="GP133" s="422"/>
      <c r="GQ133" s="422"/>
      <c r="GR133" s="422"/>
      <c r="GS133" s="422"/>
      <c r="IC133" s="422"/>
      <c r="ID133" s="422"/>
      <c r="IE133" s="422"/>
      <c r="IG133" s="422"/>
      <c r="IH133" s="422"/>
      <c r="II133" s="422"/>
      <c r="IJ133" s="422"/>
      <c r="IK133" s="422"/>
      <c r="IL133" s="422"/>
      <c r="IM133" s="422"/>
      <c r="IN133" s="422"/>
      <c r="IO133" s="422"/>
      <c r="IP133" s="422"/>
      <c r="IQ133" s="422"/>
      <c r="IR133" s="422"/>
      <c r="IS133" s="422"/>
      <c r="KC133" s="422"/>
      <c r="KD133" s="422"/>
      <c r="KE133" s="422"/>
      <c r="KG133" s="422"/>
      <c r="KH133" s="422"/>
      <c r="KI133" s="422"/>
      <c r="KJ133" s="422"/>
      <c r="KK133" s="422"/>
      <c r="KL133" s="422"/>
      <c r="KM133" s="422"/>
      <c r="KN133" s="422"/>
      <c r="KO133" s="422"/>
      <c r="KP133" s="422"/>
      <c r="KQ133" s="422"/>
      <c r="KR133" s="422"/>
      <c r="KS133" s="422"/>
      <c r="MC133" s="422"/>
      <c r="MD133" s="422"/>
      <c r="ME133" s="422"/>
      <c r="MG133" s="422"/>
      <c r="MH133" s="422"/>
      <c r="MI133" s="422"/>
      <c r="MJ133" s="422"/>
      <c r="MK133" s="422"/>
      <c r="ML133" s="422"/>
      <c r="MM133" s="422"/>
      <c r="MN133" s="422"/>
      <c r="MO133" s="422"/>
      <c r="MP133" s="422"/>
      <c r="MQ133" s="422"/>
      <c r="MR133" s="422"/>
      <c r="MS133" s="422"/>
      <c r="OC133" s="422"/>
      <c r="OD133" s="422"/>
      <c r="OE133" s="422"/>
      <c r="OG133" s="422"/>
      <c r="OH133" s="422"/>
      <c r="OI133" s="422"/>
      <c r="OJ133" s="422"/>
      <c r="OK133" s="422"/>
      <c r="OL133" s="422"/>
      <c r="OM133" s="422"/>
      <c r="ON133" s="422"/>
      <c r="OO133" s="422"/>
      <c r="OP133" s="422"/>
      <c r="OQ133" s="422"/>
      <c r="OR133" s="422"/>
      <c r="OS133" s="422"/>
      <c r="QC133" s="422"/>
      <c r="QD133" s="422"/>
      <c r="QE133" s="422"/>
      <c r="QG133" s="422"/>
      <c r="QH133" s="422"/>
      <c r="QI133" s="422"/>
      <c r="QJ133" s="422"/>
      <c r="QK133" s="422"/>
      <c r="QL133" s="422"/>
      <c r="QM133" s="422"/>
      <c r="QN133" s="422"/>
      <c r="QO133" s="422"/>
      <c r="QP133" s="422"/>
      <c r="QQ133" s="422"/>
      <c r="QR133" s="422"/>
      <c r="QS133" s="422"/>
      <c r="SC133" s="422"/>
      <c r="SD133" s="422"/>
      <c r="SE133" s="422"/>
      <c r="SG133" s="422"/>
      <c r="SH133" s="422"/>
      <c r="SI133" s="422"/>
      <c r="SJ133" s="422"/>
      <c r="SK133" s="422"/>
      <c r="SL133" s="422"/>
      <c r="SM133" s="422"/>
      <c r="SN133" s="422"/>
      <c r="SO133" s="422"/>
      <c r="SP133" s="422"/>
      <c r="SQ133" s="422"/>
      <c r="SR133" s="422"/>
      <c r="SS133" s="422"/>
      <c r="TC133" s="716"/>
      <c r="TD133" s="716"/>
      <c r="TE133" s="716"/>
      <c r="TG133" s="716"/>
      <c r="TH133" s="716"/>
      <c r="TI133" s="716"/>
      <c r="TJ133" s="716"/>
      <c r="TK133" s="716"/>
      <c r="TL133" s="716"/>
      <c r="TM133" s="716"/>
      <c r="TN133" s="716"/>
      <c r="TO133" s="716"/>
      <c r="TP133" s="716"/>
      <c r="TQ133" s="716"/>
      <c r="TR133" s="716"/>
      <c r="TS133" s="716"/>
      <c r="UC133" s="716"/>
      <c r="UD133" s="716"/>
      <c r="UE133" s="716"/>
      <c r="UG133" s="716"/>
      <c r="UH133" s="716"/>
      <c r="UI133" s="716"/>
      <c r="UJ133" s="716"/>
      <c r="UK133" s="716"/>
      <c r="UL133" s="716"/>
      <c r="UM133" s="716"/>
      <c r="UN133" s="716"/>
      <c r="UO133" s="716"/>
      <c r="UP133" s="716"/>
      <c r="UQ133" s="716"/>
      <c r="UR133" s="716"/>
      <c r="US133" s="716"/>
    </row>
    <row r="134" spans="133:565">
      <c r="EC134" s="276"/>
      <c r="ED134" s="296"/>
      <c r="EE134" s="422"/>
      <c r="EF134" s="422"/>
      <c r="EG134" s="422"/>
      <c r="EH134" s="1369"/>
      <c r="EI134" s="1369"/>
      <c r="EJ134" s="296"/>
      <c r="EK134" s="1369"/>
      <c r="EL134" s="422"/>
      <c r="EM134" s="422"/>
      <c r="EN134" s="422"/>
      <c r="EO134" s="478"/>
      <c r="EP134" s="276"/>
      <c r="EQ134" s="422"/>
      <c r="ER134" s="422"/>
      <c r="ES134" s="422"/>
      <c r="ET134" s="296"/>
      <c r="EU134" s="296"/>
      <c r="EV134" s="422"/>
      <c r="EW134" s="422"/>
      <c r="GC134" s="422"/>
      <c r="GD134" s="422"/>
      <c r="GE134" s="422"/>
      <c r="GF134" s="422"/>
      <c r="GG134" s="422"/>
      <c r="GH134" s="422"/>
      <c r="GI134" s="422"/>
      <c r="GJ134" s="422"/>
      <c r="GK134" s="422"/>
      <c r="GL134" s="422"/>
      <c r="GM134" s="422"/>
      <c r="GN134" s="422"/>
      <c r="GO134" s="422"/>
      <c r="GP134" s="422"/>
      <c r="GQ134" s="422"/>
      <c r="GR134" s="422"/>
      <c r="GS134" s="422"/>
      <c r="IC134" s="422"/>
      <c r="ID134" s="422"/>
      <c r="IE134" s="422"/>
      <c r="IG134" s="422"/>
      <c r="IH134" s="422"/>
      <c r="II134" s="422"/>
      <c r="IJ134" s="422"/>
      <c r="IK134" s="422"/>
      <c r="IL134" s="422"/>
      <c r="IM134" s="422"/>
      <c r="IN134" s="422"/>
      <c r="IO134" s="422"/>
      <c r="IP134" s="422"/>
      <c r="IQ134" s="422"/>
      <c r="IR134" s="422"/>
      <c r="IS134" s="422"/>
      <c r="KC134" s="422"/>
      <c r="KD134" s="422"/>
      <c r="KE134" s="422"/>
      <c r="KG134" s="422"/>
      <c r="KH134" s="422"/>
      <c r="KI134" s="422"/>
      <c r="KJ134" s="422"/>
      <c r="KK134" s="422"/>
      <c r="KL134" s="422"/>
      <c r="KM134" s="422"/>
      <c r="KN134" s="422"/>
      <c r="KO134" s="422"/>
      <c r="KP134" s="422"/>
      <c r="KQ134" s="422"/>
      <c r="KR134" s="422"/>
      <c r="KS134" s="422"/>
      <c r="MC134" s="422"/>
      <c r="MD134" s="422"/>
      <c r="ME134" s="422"/>
      <c r="MG134" s="422"/>
      <c r="MH134" s="422"/>
      <c r="MI134" s="422"/>
      <c r="MJ134" s="422"/>
      <c r="MK134" s="422"/>
      <c r="ML134" s="422"/>
      <c r="MM134" s="422"/>
      <c r="MN134" s="422"/>
      <c r="MO134" s="422"/>
      <c r="MP134" s="422"/>
      <c r="MQ134" s="422"/>
      <c r="MR134" s="422"/>
      <c r="MS134" s="422"/>
      <c r="OC134" s="422"/>
      <c r="OD134" s="422"/>
      <c r="OE134" s="422"/>
      <c r="OG134" s="422"/>
      <c r="OH134" s="422"/>
      <c r="OI134" s="422"/>
      <c r="OJ134" s="422"/>
      <c r="OK134" s="422"/>
      <c r="OL134" s="422"/>
      <c r="OM134" s="422"/>
      <c r="ON134" s="422"/>
      <c r="OO134" s="422"/>
      <c r="OP134" s="422"/>
      <c r="OQ134" s="422"/>
      <c r="OR134" s="422"/>
      <c r="OS134" s="422"/>
      <c r="QC134" s="422"/>
      <c r="QD134" s="422"/>
      <c r="QE134" s="422"/>
      <c r="QG134" s="422"/>
      <c r="QH134" s="422"/>
      <c r="QI134" s="422"/>
      <c r="QJ134" s="422"/>
      <c r="QK134" s="422"/>
      <c r="QL134" s="422"/>
      <c r="QM134" s="422"/>
      <c r="QN134" s="422"/>
      <c r="QO134" s="422"/>
      <c r="QP134" s="422"/>
      <c r="QQ134" s="422"/>
      <c r="QR134" s="422"/>
      <c r="QS134" s="422"/>
      <c r="SC134" s="422"/>
      <c r="SD134" s="422"/>
      <c r="SE134" s="422"/>
      <c r="SG134" s="422"/>
      <c r="SH134" s="422"/>
      <c r="SI134" s="422"/>
      <c r="SJ134" s="422"/>
      <c r="SK134" s="422"/>
      <c r="SL134" s="422"/>
      <c r="SM134" s="422"/>
      <c r="SN134" s="422"/>
      <c r="SO134" s="422"/>
      <c r="SP134" s="422"/>
      <c r="SQ134" s="422"/>
      <c r="SR134" s="422"/>
      <c r="SS134" s="422"/>
      <c r="TC134" s="716"/>
      <c r="TD134" s="716"/>
      <c r="TE134" s="716"/>
      <c r="TG134" s="716"/>
      <c r="TH134" s="716"/>
      <c r="TI134" s="716"/>
      <c r="TJ134" s="716"/>
      <c r="TK134" s="716"/>
      <c r="TL134" s="716"/>
      <c r="TM134" s="716"/>
      <c r="TN134" s="716"/>
      <c r="TO134" s="716"/>
      <c r="TP134" s="716"/>
      <c r="TQ134" s="716"/>
      <c r="TR134" s="716"/>
      <c r="TS134" s="716"/>
      <c r="UC134" s="716"/>
      <c r="UD134" s="716"/>
      <c r="UE134" s="716"/>
      <c r="UG134" s="716"/>
      <c r="UH134" s="716"/>
      <c r="UI134" s="716"/>
      <c r="UJ134" s="716"/>
      <c r="UK134" s="716"/>
      <c r="UL134" s="716"/>
      <c r="UM134" s="716"/>
      <c r="UN134" s="716"/>
      <c r="UO134" s="716"/>
      <c r="UP134" s="716"/>
      <c r="UQ134" s="716"/>
      <c r="UR134" s="716"/>
      <c r="US134" s="716"/>
    </row>
    <row r="135" spans="133:565">
      <c r="EC135" s="276"/>
      <c r="ED135" s="296"/>
      <c r="EE135" s="422"/>
      <c r="EF135" s="422"/>
      <c r="EG135" s="422"/>
      <c r="EH135" s="1369"/>
      <c r="EI135" s="1369"/>
      <c r="EJ135" s="296"/>
      <c r="EK135" s="1369"/>
      <c r="EL135" s="422"/>
      <c r="EM135" s="422"/>
      <c r="EN135" s="422"/>
      <c r="EO135" s="478"/>
      <c r="EP135" s="276"/>
      <c r="EQ135" s="422"/>
      <c r="ER135" s="422"/>
      <c r="ES135" s="422"/>
      <c r="ET135" s="296"/>
      <c r="EU135" s="296"/>
      <c r="EV135" s="422"/>
      <c r="EW135" s="422"/>
      <c r="GC135" s="422"/>
      <c r="GD135" s="422"/>
      <c r="GE135" s="422"/>
      <c r="GF135" s="422"/>
      <c r="GG135" s="422"/>
      <c r="GH135" s="422"/>
      <c r="GI135" s="422"/>
      <c r="GJ135" s="422"/>
      <c r="GK135" s="422"/>
      <c r="GL135" s="422"/>
      <c r="GM135" s="422"/>
      <c r="GN135" s="422"/>
      <c r="GO135" s="422"/>
      <c r="GP135" s="422"/>
      <c r="GQ135" s="422"/>
      <c r="GR135" s="422"/>
      <c r="GS135" s="422"/>
      <c r="IC135" s="422"/>
      <c r="ID135" s="422"/>
      <c r="IE135" s="422"/>
      <c r="IG135" s="422"/>
      <c r="IH135" s="422"/>
      <c r="II135" s="422"/>
      <c r="IJ135" s="422"/>
      <c r="IK135" s="422"/>
      <c r="IL135" s="422"/>
      <c r="IM135" s="422"/>
      <c r="IN135" s="422"/>
      <c r="IO135" s="422"/>
      <c r="IP135" s="422"/>
      <c r="IQ135" s="422"/>
      <c r="IR135" s="422"/>
      <c r="IS135" s="422"/>
      <c r="KC135" s="422"/>
      <c r="KD135" s="422"/>
      <c r="KE135" s="422"/>
      <c r="KG135" s="422"/>
      <c r="KH135" s="422"/>
      <c r="KI135" s="422"/>
      <c r="KJ135" s="422"/>
      <c r="KK135" s="422"/>
      <c r="KL135" s="422"/>
      <c r="KM135" s="422"/>
      <c r="KN135" s="422"/>
      <c r="KO135" s="422"/>
      <c r="KP135" s="422"/>
      <c r="KQ135" s="422"/>
      <c r="KR135" s="422"/>
      <c r="KS135" s="422"/>
      <c r="MC135" s="422"/>
      <c r="MD135" s="422"/>
      <c r="ME135" s="422"/>
      <c r="MG135" s="422"/>
      <c r="MH135" s="422"/>
      <c r="MI135" s="422"/>
      <c r="MJ135" s="422"/>
      <c r="MK135" s="422"/>
      <c r="ML135" s="422"/>
      <c r="MM135" s="422"/>
      <c r="MN135" s="422"/>
      <c r="MO135" s="422"/>
      <c r="MP135" s="422"/>
      <c r="MQ135" s="422"/>
      <c r="MR135" s="422"/>
      <c r="MS135" s="422"/>
      <c r="OC135" s="422"/>
      <c r="OD135" s="422"/>
      <c r="OE135" s="422"/>
      <c r="OG135" s="422"/>
      <c r="OH135" s="422"/>
      <c r="OI135" s="422"/>
      <c r="OJ135" s="422"/>
      <c r="OK135" s="422"/>
      <c r="OL135" s="422"/>
      <c r="OM135" s="422"/>
      <c r="ON135" s="422"/>
      <c r="OO135" s="422"/>
      <c r="OP135" s="422"/>
      <c r="OQ135" s="422"/>
      <c r="OR135" s="422"/>
      <c r="OS135" s="422"/>
      <c r="QC135" s="422"/>
      <c r="QD135" s="422"/>
      <c r="QE135" s="422"/>
      <c r="QG135" s="422"/>
      <c r="QH135" s="422"/>
      <c r="QI135" s="422"/>
      <c r="QJ135" s="422"/>
      <c r="QK135" s="422"/>
      <c r="QL135" s="422"/>
      <c r="QM135" s="422"/>
      <c r="QN135" s="422"/>
      <c r="QO135" s="422"/>
      <c r="QP135" s="422"/>
      <c r="QQ135" s="422"/>
      <c r="QR135" s="422"/>
      <c r="QS135" s="422"/>
      <c r="SC135" s="422"/>
      <c r="SD135" s="422"/>
      <c r="SE135" s="422"/>
      <c r="SG135" s="422"/>
      <c r="SH135" s="422"/>
      <c r="SI135" s="422"/>
      <c r="SJ135" s="422"/>
      <c r="SK135" s="422"/>
      <c r="SL135" s="422"/>
      <c r="SM135" s="422"/>
      <c r="SN135" s="422"/>
      <c r="SO135" s="422"/>
      <c r="SP135" s="422"/>
      <c r="SQ135" s="422"/>
      <c r="SR135" s="422"/>
      <c r="SS135" s="422"/>
      <c r="TC135" s="716"/>
      <c r="TD135" s="716"/>
      <c r="TE135" s="716"/>
      <c r="TG135" s="716"/>
      <c r="TH135" s="716"/>
      <c r="TI135" s="716"/>
      <c r="TJ135" s="716"/>
      <c r="TK135" s="716"/>
      <c r="TL135" s="716"/>
      <c r="TM135" s="716"/>
      <c r="TN135" s="716"/>
      <c r="TO135" s="716"/>
      <c r="TP135" s="716"/>
      <c r="TQ135" s="716"/>
      <c r="TR135" s="716"/>
      <c r="TS135" s="716"/>
      <c r="UC135" s="716"/>
      <c r="UD135" s="716"/>
      <c r="UE135" s="716"/>
      <c r="UG135" s="716"/>
      <c r="UH135" s="716"/>
      <c r="UI135" s="716"/>
      <c r="UJ135" s="716"/>
      <c r="UK135" s="716"/>
      <c r="UL135" s="716"/>
      <c r="UM135" s="716"/>
      <c r="UN135" s="716"/>
      <c r="UO135" s="716"/>
      <c r="UP135" s="716"/>
      <c r="UQ135" s="716"/>
      <c r="UR135" s="716"/>
      <c r="US135" s="716"/>
    </row>
    <row r="136" spans="133:565">
      <c r="EC136" s="276"/>
      <c r="ED136" s="296"/>
      <c r="EE136" s="422"/>
      <c r="EF136" s="422"/>
      <c r="EG136" s="422"/>
      <c r="EH136" s="1369"/>
      <c r="EI136" s="1369"/>
      <c r="EJ136" s="296"/>
      <c r="EK136" s="1369"/>
      <c r="EL136" s="422"/>
      <c r="EM136" s="422"/>
      <c r="EN136" s="422"/>
      <c r="EO136" s="478"/>
      <c r="EP136" s="276"/>
      <c r="EQ136" s="422"/>
      <c r="ER136" s="422"/>
      <c r="ES136" s="422"/>
      <c r="ET136" s="296"/>
      <c r="EU136" s="296"/>
      <c r="EV136" s="422"/>
      <c r="EW136" s="422"/>
      <c r="GC136" s="422"/>
      <c r="GD136" s="422"/>
      <c r="GE136" s="422"/>
      <c r="GF136" s="422"/>
      <c r="GG136" s="422"/>
      <c r="GH136" s="422"/>
      <c r="GI136" s="422"/>
      <c r="GJ136" s="422"/>
      <c r="GK136" s="422"/>
      <c r="GL136" s="422"/>
      <c r="GM136" s="422"/>
      <c r="GN136" s="422"/>
      <c r="GO136" s="422"/>
      <c r="GP136" s="422"/>
      <c r="GQ136" s="422"/>
      <c r="GR136" s="422"/>
      <c r="GS136" s="422"/>
      <c r="IC136" s="422"/>
      <c r="ID136" s="422"/>
      <c r="IE136" s="422"/>
      <c r="IG136" s="422"/>
      <c r="IH136" s="422"/>
      <c r="II136" s="422"/>
      <c r="IJ136" s="422"/>
      <c r="IK136" s="422"/>
      <c r="IL136" s="422"/>
      <c r="IM136" s="422"/>
      <c r="IN136" s="422"/>
      <c r="IO136" s="422"/>
      <c r="IP136" s="422"/>
      <c r="IQ136" s="422"/>
      <c r="IR136" s="422"/>
      <c r="IS136" s="422"/>
      <c r="KC136" s="422"/>
      <c r="KD136" s="422"/>
      <c r="KE136" s="422"/>
      <c r="KG136" s="422"/>
      <c r="KH136" s="422"/>
      <c r="KI136" s="422"/>
      <c r="KJ136" s="422"/>
      <c r="KK136" s="422"/>
      <c r="KL136" s="422"/>
      <c r="KM136" s="422"/>
      <c r="KN136" s="422"/>
      <c r="KO136" s="422"/>
      <c r="KP136" s="422"/>
      <c r="KQ136" s="422"/>
      <c r="KR136" s="422"/>
      <c r="KS136" s="422"/>
      <c r="MC136" s="422"/>
      <c r="MD136" s="422"/>
      <c r="ME136" s="422"/>
      <c r="MG136" s="422"/>
      <c r="MH136" s="422"/>
      <c r="MI136" s="422"/>
      <c r="MJ136" s="422"/>
      <c r="MK136" s="422"/>
      <c r="ML136" s="422"/>
      <c r="MM136" s="422"/>
      <c r="MN136" s="422"/>
      <c r="MO136" s="422"/>
      <c r="MP136" s="422"/>
      <c r="MQ136" s="422"/>
      <c r="MR136" s="422"/>
      <c r="MS136" s="422"/>
      <c r="OC136" s="422"/>
      <c r="OD136" s="422"/>
      <c r="OE136" s="422"/>
      <c r="OG136" s="422"/>
      <c r="OH136" s="422"/>
      <c r="OI136" s="422"/>
      <c r="OJ136" s="422"/>
      <c r="OK136" s="422"/>
      <c r="OL136" s="422"/>
      <c r="OM136" s="422"/>
      <c r="ON136" s="422"/>
      <c r="OO136" s="422"/>
      <c r="OP136" s="422"/>
      <c r="OQ136" s="422"/>
      <c r="OR136" s="422"/>
      <c r="OS136" s="422"/>
      <c r="QC136" s="422"/>
      <c r="QD136" s="422"/>
      <c r="QE136" s="422"/>
      <c r="QG136" s="422"/>
      <c r="QH136" s="422"/>
      <c r="QI136" s="422"/>
      <c r="QJ136" s="422"/>
      <c r="QK136" s="422"/>
      <c r="QL136" s="422"/>
      <c r="QM136" s="422"/>
      <c r="QN136" s="422"/>
      <c r="QO136" s="422"/>
      <c r="QP136" s="422"/>
      <c r="QQ136" s="422"/>
      <c r="QR136" s="422"/>
      <c r="QS136" s="422"/>
      <c r="SC136" s="422"/>
      <c r="SD136" s="422"/>
      <c r="SE136" s="422"/>
      <c r="SG136" s="422"/>
      <c r="SH136" s="422"/>
      <c r="SI136" s="422"/>
      <c r="SJ136" s="422"/>
      <c r="SK136" s="422"/>
      <c r="SL136" s="422"/>
      <c r="SM136" s="422"/>
      <c r="SN136" s="422"/>
      <c r="SO136" s="422"/>
      <c r="SP136" s="422"/>
      <c r="SQ136" s="422"/>
      <c r="SR136" s="422"/>
      <c r="SS136" s="422"/>
      <c r="TC136" s="716"/>
      <c r="TD136" s="716"/>
      <c r="TE136" s="716"/>
      <c r="TG136" s="716"/>
      <c r="TH136" s="716"/>
      <c r="TI136" s="716"/>
      <c r="TJ136" s="716"/>
      <c r="TK136" s="716"/>
      <c r="TL136" s="716"/>
      <c r="TM136" s="716"/>
      <c r="TN136" s="716"/>
      <c r="TO136" s="716"/>
      <c r="TP136" s="716"/>
      <c r="TQ136" s="716"/>
      <c r="TR136" s="716"/>
      <c r="TS136" s="716"/>
      <c r="UC136" s="716"/>
      <c r="UD136" s="716"/>
      <c r="UE136" s="716"/>
      <c r="UG136" s="716"/>
      <c r="UH136" s="716"/>
      <c r="UI136" s="716"/>
      <c r="UJ136" s="716"/>
      <c r="UK136" s="716"/>
      <c r="UL136" s="716"/>
      <c r="UM136" s="716"/>
      <c r="UN136" s="716"/>
      <c r="UO136" s="716"/>
      <c r="UP136" s="716"/>
      <c r="UQ136" s="716"/>
      <c r="UR136" s="716"/>
      <c r="US136" s="716"/>
    </row>
    <row r="137" spans="133:565">
      <c r="EC137" s="276"/>
      <c r="ED137" s="296"/>
      <c r="EE137" s="422"/>
      <c r="EF137" s="422"/>
      <c r="EG137" s="422"/>
      <c r="EH137" s="1369"/>
      <c r="EI137" s="1369"/>
      <c r="EJ137" s="296"/>
      <c r="EK137" s="1369"/>
      <c r="EL137" s="422"/>
      <c r="EM137" s="422"/>
      <c r="EN137" s="422"/>
      <c r="EO137" s="478"/>
      <c r="EP137" s="276"/>
      <c r="EQ137" s="422"/>
      <c r="ER137" s="422"/>
      <c r="ES137" s="422"/>
      <c r="ET137" s="296"/>
      <c r="EU137" s="296"/>
      <c r="EV137" s="422"/>
      <c r="EW137" s="422"/>
      <c r="GC137" s="422"/>
      <c r="GD137" s="422"/>
      <c r="GE137" s="422"/>
      <c r="GF137" s="422"/>
      <c r="GG137" s="422"/>
      <c r="GH137" s="422"/>
      <c r="GI137" s="422"/>
      <c r="GJ137" s="422"/>
      <c r="GK137" s="422"/>
      <c r="GL137" s="422"/>
      <c r="GM137" s="422"/>
      <c r="GN137" s="422"/>
      <c r="GO137" s="422"/>
      <c r="GP137" s="422"/>
      <c r="GQ137" s="422"/>
      <c r="GR137" s="422"/>
      <c r="GS137" s="422"/>
      <c r="IC137" s="422"/>
      <c r="ID137" s="422"/>
      <c r="IE137" s="422"/>
      <c r="IG137" s="422"/>
      <c r="IH137" s="422"/>
      <c r="II137" s="422"/>
      <c r="IJ137" s="422"/>
      <c r="IK137" s="422"/>
      <c r="IL137" s="422"/>
      <c r="IM137" s="422"/>
      <c r="IN137" s="422"/>
      <c r="IO137" s="422"/>
      <c r="IP137" s="422"/>
      <c r="IQ137" s="422"/>
      <c r="IR137" s="422"/>
      <c r="IS137" s="422"/>
      <c r="KC137" s="422"/>
      <c r="KD137" s="422"/>
      <c r="KE137" s="422"/>
      <c r="KG137" s="422"/>
      <c r="KH137" s="422"/>
      <c r="KI137" s="422"/>
      <c r="KJ137" s="422"/>
      <c r="KK137" s="422"/>
      <c r="KL137" s="422"/>
      <c r="KM137" s="422"/>
      <c r="KN137" s="422"/>
      <c r="KO137" s="422"/>
      <c r="KP137" s="422"/>
      <c r="KQ137" s="422"/>
      <c r="KR137" s="422"/>
      <c r="KS137" s="422"/>
      <c r="MC137" s="422"/>
      <c r="MD137" s="422"/>
      <c r="ME137" s="422"/>
      <c r="MG137" s="422"/>
      <c r="MH137" s="422"/>
      <c r="MI137" s="422"/>
      <c r="MJ137" s="422"/>
      <c r="MK137" s="422"/>
      <c r="ML137" s="422"/>
      <c r="MM137" s="422"/>
      <c r="MN137" s="422"/>
      <c r="MO137" s="422"/>
      <c r="MP137" s="422"/>
      <c r="MQ137" s="422"/>
      <c r="MR137" s="422"/>
      <c r="MS137" s="422"/>
      <c r="OC137" s="422"/>
      <c r="OD137" s="422"/>
      <c r="OE137" s="422"/>
      <c r="OG137" s="422"/>
      <c r="OH137" s="422"/>
      <c r="OI137" s="422"/>
      <c r="OJ137" s="422"/>
      <c r="OK137" s="422"/>
      <c r="OL137" s="422"/>
      <c r="OM137" s="422"/>
      <c r="ON137" s="422"/>
      <c r="OO137" s="422"/>
      <c r="OP137" s="422"/>
      <c r="OQ137" s="422"/>
      <c r="OR137" s="422"/>
      <c r="OS137" s="422"/>
      <c r="QC137" s="422"/>
      <c r="QD137" s="422"/>
      <c r="QE137" s="422"/>
      <c r="QG137" s="422"/>
      <c r="QH137" s="422"/>
      <c r="QI137" s="422"/>
      <c r="QJ137" s="422"/>
      <c r="QK137" s="422"/>
      <c r="QL137" s="422"/>
      <c r="QM137" s="422"/>
      <c r="QN137" s="422"/>
      <c r="QO137" s="422"/>
      <c r="QP137" s="422"/>
      <c r="QQ137" s="422"/>
      <c r="QR137" s="422"/>
      <c r="QS137" s="422"/>
      <c r="SC137" s="422"/>
      <c r="SD137" s="422"/>
      <c r="SE137" s="422"/>
      <c r="SG137" s="422"/>
      <c r="SH137" s="422"/>
      <c r="SI137" s="422"/>
      <c r="SJ137" s="422"/>
      <c r="SK137" s="422"/>
      <c r="SL137" s="422"/>
      <c r="SM137" s="422"/>
      <c r="SN137" s="422"/>
      <c r="SO137" s="422"/>
      <c r="SP137" s="422"/>
      <c r="SQ137" s="422"/>
      <c r="SR137" s="422"/>
      <c r="SS137" s="422"/>
      <c r="TC137" s="716"/>
      <c r="TD137" s="716"/>
      <c r="TE137" s="716"/>
      <c r="TG137" s="716"/>
      <c r="TH137" s="716"/>
      <c r="TI137" s="716"/>
      <c r="TJ137" s="716"/>
      <c r="TK137" s="716"/>
      <c r="TL137" s="716"/>
      <c r="TM137" s="716"/>
      <c r="TN137" s="716"/>
      <c r="TO137" s="716"/>
      <c r="TP137" s="716"/>
      <c r="TQ137" s="716"/>
      <c r="TR137" s="716"/>
      <c r="TS137" s="716"/>
      <c r="UC137" s="716"/>
      <c r="UD137" s="716"/>
      <c r="UE137" s="716"/>
      <c r="UG137" s="716"/>
      <c r="UH137" s="716"/>
      <c r="UI137" s="716"/>
      <c r="UJ137" s="716"/>
      <c r="UK137" s="716"/>
      <c r="UL137" s="716"/>
      <c r="UM137" s="716"/>
      <c r="UN137" s="716"/>
      <c r="UO137" s="716"/>
      <c r="UP137" s="716"/>
      <c r="UQ137" s="716"/>
      <c r="UR137" s="716"/>
      <c r="US137" s="716"/>
    </row>
    <row r="138" spans="133:565">
      <c r="EC138" s="276"/>
      <c r="ED138" s="296"/>
      <c r="EE138" s="422"/>
      <c r="EF138" s="422"/>
      <c r="EG138" s="422"/>
      <c r="EH138" s="1369"/>
      <c r="EI138" s="1369"/>
      <c r="EJ138" s="296"/>
      <c r="EK138" s="1369"/>
      <c r="EL138" s="422"/>
      <c r="EM138" s="422"/>
      <c r="EN138" s="422"/>
      <c r="EO138" s="478"/>
      <c r="EP138" s="276"/>
      <c r="EQ138" s="422"/>
      <c r="ER138" s="422"/>
      <c r="ES138" s="422"/>
      <c r="ET138" s="296"/>
      <c r="EU138" s="296"/>
      <c r="EV138" s="422"/>
      <c r="EW138" s="422"/>
      <c r="GC138" s="422"/>
      <c r="GD138" s="422"/>
      <c r="GE138" s="422"/>
      <c r="GF138" s="422"/>
      <c r="GG138" s="422"/>
      <c r="GH138" s="422"/>
      <c r="GI138" s="422"/>
      <c r="GJ138" s="422"/>
      <c r="GK138" s="422"/>
      <c r="GL138" s="422"/>
      <c r="GM138" s="422"/>
      <c r="GN138" s="422"/>
      <c r="GO138" s="422"/>
      <c r="GP138" s="422"/>
      <c r="GQ138" s="422"/>
      <c r="GR138" s="422"/>
      <c r="GS138" s="422"/>
      <c r="IC138" s="422"/>
      <c r="ID138" s="422"/>
      <c r="IE138" s="422"/>
      <c r="IG138" s="422"/>
      <c r="IH138" s="422"/>
      <c r="II138" s="422"/>
      <c r="IJ138" s="422"/>
      <c r="IK138" s="422"/>
      <c r="IL138" s="422"/>
      <c r="IM138" s="422"/>
      <c r="IN138" s="422"/>
      <c r="IO138" s="422"/>
      <c r="IP138" s="422"/>
      <c r="IQ138" s="422"/>
      <c r="IR138" s="422"/>
      <c r="IS138" s="422"/>
      <c r="KC138" s="422"/>
      <c r="KD138" s="422"/>
      <c r="KE138" s="422"/>
      <c r="KG138" s="422"/>
      <c r="KH138" s="422"/>
      <c r="KI138" s="422"/>
      <c r="KJ138" s="422"/>
      <c r="KK138" s="422"/>
      <c r="KL138" s="422"/>
      <c r="KM138" s="422"/>
      <c r="KN138" s="422"/>
      <c r="KO138" s="422"/>
      <c r="KP138" s="422"/>
      <c r="KQ138" s="422"/>
      <c r="KR138" s="422"/>
      <c r="KS138" s="422"/>
      <c r="MC138" s="422"/>
      <c r="MD138" s="422"/>
      <c r="ME138" s="422"/>
      <c r="MG138" s="422"/>
      <c r="MH138" s="422"/>
      <c r="MI138" s="422"/>
      <c r="MJ138" s="422"/>
      <c r="MK138" s="422"/>
      <c r="ML138" s="422"/>
      <c r="MM138" s="422"/>
      <c r="MN138" s="422"/>
      <c r="MO138" s="422"/>
      <c r="MP138" s="422"/>
      <c r="MQ138" s="422"/>
      <c r="MR138" s="422"/>
      <c r="MS138" s="422"/>
      <c r="OC138" s="422"/>
      <c r="OD138" s="422"/>
      <c r="OE138" s="422"/>
      <c r="OG138" s="422"/>
      <c r="OH138" s="422"/>
      <c r="OI138" s="422"/>
      <c r="OJ138" s="422"/>
      <c r="OK138" s="422"/>
      <c r="OL138" s="422"/>
      <c r="OM138" s="422"/>
      <c r="ON138" s="422"/>
      <c r="OO138" s="422"/>
      <c r="OP138" s="422"/>
      <c r="OQ138" s="422"/>
      <c r="OR138" s="422"/>
      <c r="OS138" s="422"/>
      <c r="QC138" s="422"/>
      <c r="QD138" s="422"/>
      <c r="QE138" s="422"/>
      <c r="QG138" s="422"/>
      <c r="QH138" s="422"/>
      <c r="QI138" s="422"/>
      <c r="QJ138" s="422"/>
      <c r="QK138" s="422"/>
      <c r="QL138" s="422"/>
      <c r="QM138" s="422"/>
      <c r="QN138" s="422"/>
      <c r="QO138" s="422"/>
      <c r="QP138" s="422"/>
      <c r="QQ138" s="422"/>
      <c r="QR138" s="422"/>
      <c r="QS138" s="422"/>
      <c r="SC138" s="422"/>
      <c r="SD138" s="422"/>
      <c r="SE138" s="422"/>
      <c r="SG138" s="422"/>
      <c r="SH138" s="422"/>
      <c r="SI138" s="422"/>
      <c r="SJ138" s="422"/>
      <c r="SK138" s="422"/>
      <c r="SL138" s="422"/>
      <c r="SM138" s="422"/>
      <c r="SN138" s="422"/>
      <c r="SO138" s="422"/>
      <c r="SP138" s="422"/>
      <c r="SQ138" s="422"/>
      <c r="SR138" s="422"/>
      <c r="SS138" s="422"/>
      <c r="TC138" s="716"/>
      <c r="TD138" s="716"/>
      <c r="TE138" s="716"/>
      <c r="TG138" s="716"/>
      <c r="TH138" s="716"/>
      <c r="TI138" s="716"/>
      <c r="TJ138" s="716"/>
      <c r="TK138" s="716"/>
      <c r="TL138" s="716"/>
      <c r="TM138" s="716"/>
      <c r="TN138" s="716"/>
      <c r="TO138" s="716"/>
      <c r="TP138" s="716"/>
      <c r="TQ138" s="716"/>
      <c r="TR138" s="716"/>
      <c r="TS138" s="716"/>
      <c r="UC138" s="716"/>
      <c r="UD138" s="716"/>
      <c r="UE138" s="716"/>
      <c r="UG138" s="716"/>
      <c r="UH138" s="716"/>
      <c r="UI138" s="716"/>
      <c r="UJ138" s="716"/>
      <c r="UK138" s="716"/>
      <c r="UL138" s="716"/>
      <c r="UM138" s="716"/>
      <c r="UN138" s="716"/>
      <c r="UO138" s="716"/>
      <c r="UP138" s="716"/>
      <c r="UQ138" s="716"/>
      <c r="UR138" s="716"/>
      <c r="US138" s="716"/>
    </row>
    <row r="139" spans="133:565">
      <c r="EC139" s="276"/>
      <c r="ED139" s="296"/>
      <c r="EE139" s="422"/>
      <c r="EF139" s="422"/>
      <c r="EG139" s="422"/>
      <c r="EH139" s="1369"/>
      <c r="EI139" s="1369"/>
      <c r="EJ139" s="296"/>
      <c r="EK139" s="1369"/>
      <c r="EL139" s="422"/>
      <c r="EM139" s="422"/>
      <c r="EN139" s="422"/>
      <c r="EO139" s="478"/>
      <c r="EP139" s="276"/>
      <c r="EQ139" s="422"/>
      <c r="ER139" s="422"/>
      <c r="ES139" s="422"/>
      <c r="ET139" s="296"/>
      <c r="EU139" s="296"/>
      <c r="EV139" s="422"/>
      <c r="EW139" s="422"/>
      <c r="GC139" s="422"/>
      <c r="GD139" s="422"/>
      <c r="GE139" s="422"/>
      <c r="GF139" s="422"/>
      <c r="GG139" s="422"/>
      <c r="GH139" s="422"/>
      <c r="GI139" s="422"/>
      <c r="GJ139" s="422"/>
      <c r="GK139" s="422"/>
      <c r="GL139" s="422"/>
      <c r="GM139" s="422"/>
      <c r="GN139" s="422"/>
      <c r="GO139" s="422"/>
      <c r="GP139" s="422"/>
      <c r="GQ139" s="422"/>
      <c r="GR139" s="422"/>
      <c r="GS139" s="422"/>
      <c r="IC139" s="422"/>
      <c r="ID139" s="422"/>
      <c r="IE139" s="422"/>
      <c r="IG139" s="422"/>
      <c r="IH139" s="422"/>
      <c r="II139" s="422"/>
      <c r="IJ139" s="422"/>
      <c r="IK139" s="422"/>
      <c r="IL139" s="422"/>
      <c r="IM139" s="422"/>
      <c r="IN139" s="422"/>
      <c r="IO139" s="422"/>
      <c r="IP139" s="422"/>
      <c r="IQ139" s="422"/>
      <c r="IR139" s="422"/>
      <c r="IS139" s="422"/>
      <c r="KC139" s="422"/>
      <c r="KD139" s="422"/>
      <c r="KE139" s="422"/>
      <c r="KG139" s="422"/>
      <c r="KH139" s="422"/>
      <c r="KI139" s="422"/>
      <c r="KJ139" s="422"/>
      <c r="KK139" s="422"/>
      <c r="KL139" s="422"/>
      <c r="KM139" s="422"/>
      <c r="KN139" s="422"/>
      <c r="KO139" s="422"/>
      <c r="KP139" s="422"/>
      <c r="KQ139" s="422"/>
      <c r="KR139" s="422"/>
      <c r="KS139" s="422"/>
      <c r="MC139" s="422"/>
      <c r="MD139" s="422"/>
      <c r="ME139" s="422"/>
      <c r="MG139" s="422"/>
      <c r="MH139" s="422"/>
      <c r="MI139" s="422"/>
      <c r="MJ139" s="422"/>
      <c r="MK139" s="422"/>
      <c r="ML139" s="422"/>
      <c r="MM139" s="422"/>
      <c r="MN139" s="422"/>
      <c r="MO139" s="422"/>
      <c r="MP139" s="422"/>
      <c r="MQ139" s="422"/>
      <c r="MR139" s="422"/>
      <c r="MS139" s="422"/>
      <c r="OC139" s="422"/>
      <c r="OD139" s="422"/>
      <c r="OE139" s="422"/>
      <c r="OG139" s="422"/>
      <c r="OH139" s="422"/>
      <c r="OI139" s="422"/>
      <c r="OJ139" s="422"/>
      <c r="OK139" s="422"/>
      <c r="OL139" s="422"/>
      <c r="OM139" s="422"/>
      <c r="ON139" s="422"/>
      <c r="OO139" s="422"/>
      <c r="OP139" s="422"/>
      <c r="OQ139" s="422"/>
      <c r="OR139" s="422"/>
      <c r="OS139" s="422"/>
      <c r="QC139" s="422"/>
      <c r="QD139" s="422"/>
      <c r="QE139" s="422"/>
      <c r="QG139" s="422"/>
      <c r="QH139" s="422"/>
      <c r="QI139" s="422"/>
      <c r="QJ139" s="422"/>
      <c r="QK139" s="422"/>
      <c r="QL139" s="422"/>
      <c r="QM139" s="422"/>
      <c r="QN139" s="422"/>
      <c r="QO139" s="422"/>
      <c r="QP139" s="422"/>
      <c r="QQ139" s="422"/>
      <c r="QR139" s="422"/>
      <c r="QS139" s="422"/>
      <c r="SC139" s="422"/>
      <c r="SD139" s="422"/>
      <c r="SE139" s="422"/>
      <c r="SG139" s="422"/>
      <c r="SH139" s="422"/>
      <c r="SI139" s="422"/>
      <c r="SJ139" s="422"/>
      <c r="SK139" s="422"/>
      <c r="SL139" s="422"/>
      <c r="SM139" s="422"/>
      <c r="SN139" s="422"/>
      <c r="SO139" s="422"/>
      <c r="SP139" s="422"/>
      <c r="SQ139" s="422"/>
      <c r="SR139" s="422"/>
      <c r="SS139" s="422"/>
      <c r="TC139" s="716"/>
      <c r="TD139" s="716"/>
      <c r="TE139" s="716"/>
      <c r="TG139" s="716"/>
      <c r="TH139" s="716"/>
      <c r="TI139" s="716"/>
      <c r="TJ139" s="716"/>
      <c r="TK139" s="716"/>
      <c r="TL139" s="716"/>
      <c r="TM139" s="716"/>
      <c r="TN139" s="716"/>
      <c r="TO139" s="716"/>
      <c r="TP139" s="716"/>
      <c r="TQ139" s="716"/>
      <c r="TR139" s="716"/>
      <c r="TS139" s="716"/>
      <c r="UC139" s="716"/>
      <c r="UD139" s="716"/>
      <c r="UE139" s="716"/>
      <c r="UG139" s="716"/>
      <c r="UH139" s="716"/>
      <c r="UI139" s="716"/>
      <c r="UJ139" s="716"/>
      <c r="UK139" s="716"/>
      <c r="UL139" s="716"/>
      <c r="UM139" s="716"/>
      <c r="UN139" s="716"/>
      <c r="UO139" s="716"/>
      <c r="UP139" s="716"/>
      <c r="UQ139" s="716"/>
      <c r="UR139" s="716"/>
      <c r="US139" s="716"/>
    </row>
    <row r="140" spans="133:565">
      <c r="EC140" s="276"/>
      <c r="ED140" s="296"/>
      <c r="EE140" s="422"/>
      <c r="EF140" s="422"/>
      <c r="EG140" s="422"/>
      <c r="EH140" s="1369"/>
      <c r="EI140" s="1369"/>
      <c r="EJ140" s="296"/>
      <c r="EK140" s="1369"/>
      <c r="EL140" s="422"/>
      <c r="EM140" s="422"/>
      <c r="EN140" s="422"/>
      <c r="EO140" s="478"/>
      <c r="EP140" s="276"/>
      <c r="EQ140" s="422"/>
      <c r="ER140" s="422"/>
      <c r="ES140" s="422"/>
      <c r="ET140" s="296"/>
      <c r="EU140" s="296"/>
      <c r="EV140" s="422"/>
      <c r="EW140" s="422"/>
      <c r="GC140" s="422"/>
      <c r="GD140" s="422"/>
      <c r="GE140" s="422"/>
      <c r="GF140" s="422"/>
      <c r="GG140" s="422"/>
      <c r="GH140" s="422"/>
      <c r="GI140" s="422"/>
      <c r="GJ140" s="422"/>
      <c r="GK140" s="422"/>
      <c r="GL140" s="422"/>
      <c r="GM140" s="422"/>
      <c r="GN140" s="422"/>
      <c r="GO140" s="422"/>
      <c r="GP140" s="422"/>
      <c r="GQ140" s="422"/>
      <c r="GR140" s="422"/>
      <c r="GS140" s="422"/>
      <c r="IC140" s="422"/>
      <c r="ID140" s="422"/>
      <c r="IE140" s="422"/>
      <c r="IG140" s="422"/>
      <c r="IH140" s="422"/>
      <c r="II140" s="422"/>
      <c r="IJ140" s="422"/>
      <c r="IK140" s="422"/>
      <c r="IL140" s="422"/>
      <c r="IM140" s="422"/>
      <c r="IN140" s="422"/>
      <c r="IO140" s="422"/>
      <c r="IP140" s="422"/>
      <c r="IQ140" s="422"/>
      <c r="IR140" s="422"/>
      <c r="IS140" s="422"/>
      <c r="KC140" s="422"/>
      <c r="KD140" s="422"/>
      <c r="KE140" s="422"/>
      <c r="KG140" s="422"/>
      <c r="KH140" s="422"/>
      <c r="KI140" s="422"/>
      <c r="KJ140" s="422"/>
      <c r="KK140" s="422"/>
      <c r="KL140" s="422"/>
      <c r="KM140" s="422"/>
      <c r="KN140" s="422"/>
      <c r="KO140" s="422"/>
      <c r="KP140" s="422"/>
      <c r="KQ140" s="422"/>
      <c r="KR140" s="422"/>
      <c r="KS140" s="422"/>
      <c r="MC140" s="422"/>
      <c r="MD140" s="422"/>
      <c r="ME140" s="422"/>
      <c r="MG140" s="422"/>
      <c r="MH140" s="422"/>
      <c r="MI140" s="422"/>
      <c r="MJ140" s="422"/>
      <c r="MK140" s="422"/>
      <c r="ML140" s="422"/>
      <c r="MM140" s="422"/>
      <c r="MN140" s="422"/>
      <c r="MO140" s="422"/>
      <c r="MP140" s="422"/>
      <c r="MQ140" s="422"/>
      <c r="MR140" s="422"/>
      <c r="MS140" s="422"/>
      <c r="OC140" s="422"/>
      <c r="OD140" s="422"/>
      <c r="OE140" s="422"/>
      <c r="OG140" s="422"/>
      <c r="OH140" s="422"/>
      <c r="OI140" s="422"/>
      <c r="OJ140" s="422"/>
      <c r="OK140" s="422"/>
      <c r="OL140" s="422"/>
      <c r="OM140" s="422"/>
      <c r="ON140" s="422"/>
      <c r="OO140" s="422"/>
      <c r="OP140" s="422"/>
      <c r="OQ140" s="422"/>
      <c r="OR140" s="422"/>
      <c r="OS140" s="422"/>
      <c r="QC140" s="422"/>
      <c r="QD140" s="422"/>
      <c r="QE140" s="422"/>
      <c r="QG140" s="422"/>
      <c r="QH140" s="422"/>
      <c r="QI140" s="422"/>
      <c r="QJ140" s="422"/>
      <c r="QK140" s="422"/>
      <c r="QL140" s="422"/>
      <c r="QM140" s="422"/>
      <c r="QN140" s="422"/>
      <c r="QO140" s="422"/>
      <c r="QP140" s="422"/>
      <c r="QQ140" s="422"/>
      <c r="QR140" s="422"/>
      <c r="QS140" s="422"/>
      <c r="SC140" s="422"/>
      <c r="SD140" s="422"/>
      <c r="SE140" s="422"/>
      <c r="SG140" s="422"/>
      <c r="SH140" s="422"/>
      <c r="SI140" s="422"/>
      <c r="SJ140" s="422"/>
      <c r="SK140" s="422"/>
      <c r="SL140" s="422"/>
      <c r="SM140" s="422"/>
      <c r="SN140" s="422"/>
      <c r="SO140" s="422"/>
      <c r="SP140" s="422"/>
      <c r="SQ140" s="422"/>
      <c r="SR140" s="422"/>
      <c r="SS140" s="422"/>
      <c r="TC140" s="716"/>
      <c r="TD140" s="716"/>
      <c r="TE140" s="716"/>
      <c r="TG140" s="716"/>
      <c r="TH140" s="716"/>
      <c r="TI140" s="716"/>
      <c r="TJ140" s="716"/>
      <c r="TK140" s="716"/>
      <c r="TL140" s="716"/>
      <c r="TM140" s="716"/>
      <c r="TN140" s="716"/>
      <c r="TO140" s="716"/>
      <c r="TP140" s="716"/>
      <c r="TQ140" s="716"/>
      <c r="TR140" s="716"/>
      <c r="TS140" s="716"/>
      <c r="UC140" s="716"/>
      <c r="UD140" s="716"/>
      <c r="UE140" s="716"/>
      <c r="UG140" s="716"/>
      <c r="UH140" s="716"/>
      <c r="UI140" s="716"/>
      <c r="UJ140" s="716"/>
      <c r="UK140" s="716"/>
      <c r="UL140" s="716"/>
      <c r="UM140" s="716"/>
      <c r="UN140" s="716"/>
      <c r="UO140" s="716"/>
      <c r="UP140" s="716"/>
      <c r="UQ140" s="716"/>
      <c r="UR140" s="716"/>
      <c r="US140" s="716"/>
    </row>
    <row r="141" spans="133:565">
      <c r="EC141" s="276"/>
      <c r="ED141" s="296"/>
      <c r="EE141" s="422"/>
      <c r="EF141" s="422"/>
      <c r="EG141" s="422"/>
      <c r="EH141" s="1369"/>
      <c r="EI141" s="1369"/>
      <c r="EJ141" s="296"/>
      <c r="EK141" s="1369"/>
      <c r="EL141" s="422"/>
      <c r="EM141" s="422"/>
      <c r="EN141" s="422"/>
      <c r="EO141" s="478"/>
      <c r="EP141" s="276"/>
      <c r="EQ141" s="422"/>
      <c r="ER141" s="422"/>
      <c r="ES141" s="422"/>
      <c r="ET141" s="296"/>
      <c r="EU141" s="296"/>
      <c r="EV141" s="422"/>
      <c r="EW141" s="422"/>
      <c r="GC141" s="422"/>
      <c r="GD141" s="422"/>
      <c r="GE141" s="422"/>
      <c r="GF141" s="422"/>
      <c r="GG141" s="422"/>
      <c r="GH141" s="422"/>
      <c r="GI141" s="422"/>
      <c r="GJ141" s="422"/>
      <c r="GK141" s="422"/>
      <c r="GL141" s="422"/>
      <c r="GM141" s="422"/>
      <c r="GN141" s="422"/>
      <c r="GO141" s="422"/>
      <c r="GP141" s="422"/>
      <c r="GQ141" s="422"/>
      <c r="GR141" s="422"/>
      <c r="GS141" s="422"/>
      <c r="IC141" s="422"/>
      <c r="ID141" s="422"/>
      <c r="IE141" s="422"/>
      <c r="IG141" s="422"/>
      <c r="IH141" s="422"/>
      <c r="II141" s="422"/>
      <c r="IJ141" s="422"/>
      <c r="IK141" s="422"/>
      <c r="IL141" s="422"/>
      <c r="IM141" s="422"/>
      <c r="IN141" s="422"/>
      <c r="IO141" s="422"/>
      <c r="IP141" s="422"/>
      <c r="IQ141" s="422"/>
      <c r="IR141" s="422"/>
      <c r="IS141" s="422"/>
      <c r="KC141" s="422"/>
      <c r="KD141" s="422"/>
      <c r="KE141" s="422"/>
      <c r="KG141" s="422"/>
      <c r="KH141" s="422"/>
      <c r="KI141" s="422"/>
      <c r="KJ141" s="422"/>
      <c r="KK141" s="422"/>
      <c r="KL141" s="422"/>
      <c r="KM141" s="422"/>
      <c r="KN141" s="422"/>
      <c r="KO141" s="422"/>
      <c r="KP141" s="422"/>
      <c r="KQ141" s="422"/>
      <c r="KR141" s="422"/>
      <c r="KS141" s="422"/>
      <c r="MC141" s="422"/>
      <c r="MD141" s="422"/>
      <c r="ME141" s="422"/>
      <c r="MG141" s="422"/>
      <c r="MH141" s="422"/>
      <c r="MI141" s="422"/>
      <c r="MJ141" s="422"/>
      <c r="MK141" s="422"/>
      <c r="ML141" s="422"/>
      <c r="MM141" s="422"/>
      <c r="MN141" s="422"/>
      <c r="MO141" s="422"/>
      <c r="MP141" s="422"/>
      <c r="MQ141" s="422"/>
      <c r="MR141" s="422"/>
      <c r="MS141" s="422"/>
      <c r="OC141" s="422"/>
      <c r="OD141" s="422"/>
      <c r="OE141" s="422"/>
      <c r="OG141" s="422"/>
      <c r="OH141" s="422"/>
      <c r="OI141" s="422"/>
      <c r="OJ141" s="422"/>
      <c r="OK141" s="422"/>
      <c r="OL141" s="422"/>
      <c r="OM141" s="422"/>
      <c r="ON141" s="422"/>
      <c r="OO141" s="422"/>
      <c r="OP141" s="422"/>
      <c r="OQ141" s="422"/>
      <c r="OR141" s="422"/>
      <c r="OS141" s="422"/>
      <c r="QC141" s="422"/>
      <c r="QD141" s="422"/>
      <c r="QE141" s="422"/>
      <c r="QG141" s="422"/>
      <c r="QH141" s="422"/>
      <c r="QI141" s="422"/>
      <c r="QJ141" s="422"/>
      <c r="QK141" s="422"/>
      <c r="QL141" s="422"/>
      <c r="QM141" s="422"/>
      <c r="QN141" s="422"/>
      <c r="QO141" s="422"/>
      <c r="QP141" s="422"/>
      <c r="QQ141" s="422"/>
      <c r="QR141" s="422"/>
      <c r="QS141" s="422"/>
      <c r="SC141" s="422"/>
      <c r="SD141" s="422"/>
      <c r="SE141" s="422"/>
      <c r="SG141" s="422"/>
      <c r="SH141" s="422"/>
      <c r="SI141" s="422"/>
      <c r="SJ141" s="422"/>
      <c r="SK141" s="422"/>
      <c r="SL141" s="422"/>
      <c r="SM141" s="422"/>
      <c r="SN141" s="422"/>
      <c r="SO141" s="422"/>
      <c r="SP141" s="422"/>
      <c r="SQ141" s="422"/>
      <c r="SR141" s="422"/>
      <c r="SS141" s="422"/>
      <c r="TC141" s="716"/>
      <c r="TD141" s="716"/>
      <c r="TE141" s="716"/>
      <c r="TG141" s="716"/>
      <c r="TH141" s="716"/>
      <c r="TI141" s="716"/>
      <c r="TJ141" s="716"/>
      <c r="TK141" s="716"/>
      <c r="TL141" s="716"/>
      <c r="TM141" s="716"/>
      <c r="TN141" s="716"/>
      <c r="TO141" s="716"/>
      <c r="TP141" s="716"/>
      <c r="TQ141" s="716"/>
      <c r="TR141" s="716"/>
      <c r="TS141" s="716"/>
      <c r="UC141" s="716"/>
      <c r="UD141" s="716"/>
      <c r="UE141" s="716"/>
      <c r="UG141" s="716"/>
      <c r="UH141" s="716"/>
      <c r="UI141" s="716"/>
      <c r="UJ141" s="716"/>
      <c r="UK141" s="716"/>
      <c r="UL141" s="716"/>
      <c r="UM141" s="716"/>
      <c r="UN141" s="716"/>
      <c r="UO141" s="716"/>
      <c r="UP141" s="716"/>
      <c r="UQ141" s="716"/>
      <c r="UR141" s="716"/>
      <c r="US141" s="716"/>
    </row>
    <row r="142" spans="133:565">
      <c r="EC142" s="276"/>
      <c r="ED142" s="296"/>
      <c r="EE142" s="422"/>
      <c r="EF142" s="422"/>
      <c r="EG142" s="422"/>
      <c r="EH142" s="1369"/>
      <c r="EI142" s="1369"/>
      <c r="EJ142" s="296"/>
      <c r="EK142" s="1369"/>
      <c r="EL142" s="422"/>
      <c r="EM142" s="422"/>
      <c r="EN142" s="422"/>
      <c r="EO142" s="478"/>
      <c r="EP142" s="276"/>
      <c r="EQ142" s="422"/>
      <c r="ER142" s="422"/>
      <c r="ES142" s="422"/>
      <c r="ET142" s="296"/>
      <c r="EU142" s="296"/>
      <c r="EV142" s="422"/>
      <c r="EW142" s="422"/>
      <c r="GC142" s="422"/>
      <c r="GD142" s="422"/>
      <c r="GE142" s="422"/>
      <c r="GF142" s="422"/>
      <c r="GG142" s="422"/>
      <c r="GH142" s="422"/>
      <c r="GI142" s="422"/>
      <c r="GJ142" s="422"/>
      <c r="GK142" s="422"/>
      <c r="GL142" s="422"/>
      <c r="GM142" s="422"/>
      <c r="GN142" s="422"/>
      <c r="GO142" s="422"/>
      <c r="GP142" s="422"/>
      <c r="GQ142" s="422"/>
      <c r="GR142" s="422"/>
      <c r="GS142" s="422"/>
      <c r="IC142" s="422"/>
      <c r="ID142" s="422"/>
      <c r="IE142" s="422"/>
      <c r="IG142" s="422"/>
      <c r="IH142" s="422"/>
      <c r="II142" s="422"/>
      <c r="IJ142" s="422"/>
      <c r="IK142" s="422"/>
      <c r="IL142" s="422"/>
      <c r="IM142" s="422"/>
      <c r="IN142" s="422"/>
      <c r="IO142" s="422"/>
      <c r="IP142" s="422"/>
      <c r="IQ142" s="422"/>
      <c r="IR142" s="422"/>
      <c r="IS142" s="422"/>
      <c r="KC142" s="422"/>
      <c r="KD142" s="422"/>
      <c r="KE142" s="422"/>
      <c r="KG142" s="422"/>
      <c r="KH142" s="422"/>
      <c r="KI142" s="422"/>
      <c r="KJ142" s="422"/>
      <c r="KK142" s="422"/>
      <c r="KL142" s="422"/>
      <c r="KM142" s="422"/>
      <c r="KN142" s="422"/>
      <c r="KO142" s="422"/>
      <c r="KP142" s="422"/>
      <c r="KQ142" s="422"/>
      <c r="KR142" s="422"/>
      <c r="KS142" s="422"/>
      <c r="MC142" s="422"/>
      <c r="MD142" s="422"/>
      <c r="ME142" s="422"/>
      <c r="MG142" s="422"/>
      <c r="MH142" s="422"/>
      <c r="MI142" s="422"/>
      <c r="MJ142" s="422"/>
      <c r="MK142" s="422"/>
      <c r="ML142" s="422"/>
      <c r="MM142" s="422"/>
      <c r="MN142" s="422"/>
      <c r="MO142" s="422"/>
      <c r="MP142" s="422"/>
      <c r="MQ142" s="422"/>
      <c r="MR142" s="422"/>
      <c r="MS142" s="422"/>
      <c r="OC142" s="422"/>
      <c r="OD142" s="422"/>
      <c r="OE142" s="422"/>
      <c r="OG142" s="422"/>
      <c r="OH142" s="422"/>
      <c r="OI142" s="422"/>
      <c r="OJ142" s="422"/>
      <c r="OK142" s="422"/>
      <c r="OL142" s="422"/>
      <c r="OM142" s="422"/>
      <c r="ON142" s="422"/>
      <c r="OO142" s="422"/>
      <c r="OP142" s="422"/>
      <c r="OQ142" s="422"/>
      <c r="OR142" s="422"/>
      <c r="OS142" s="422"/>
      <c r="QC142" s="422"/>
      <c r="QD142" s="422"/>
      <c r="QE142" s="422"/>
      <c r="QG142" s="422"/>
      <c r="QH142" s="422"/>
      <c r="QI142" s="422"/>
      <c r="QJ142" s="422"/>
      <c r="QK142" s="422"/>
      <c r="QL142" s="422"/>
      <c r="QM142" s="422"/>
      <c r="QN142" s="422"/>
      <c r="QO142" s="422"/>
      <c r="QP142" s="422"/>
      <c r="QQ142" s="422"/>
      <c r="QR142" s="422"/>
      <c r="QS142" s="422"/>
      <c r="SC142" s="422"/>
      <c r="SD142" s="422"/>
      <c r="SE142" s="422"/>
      <c r="SG142" s="422"/>
      <c r="SH142" s="422"/>
      <c r="SI142" s="422"/>
      <c r="SJ142" s="422"/>
      <c r="SK142" s="422"/>
      <c r="SL142" s="422"/>
      <c r="SM142" s="422"/>
      <c r="SN142" s="422"/>
      <c r="SO142" s="422"/>
      <c r="SP142" s="422"/>
      <c r="SQ142" s="422"/>
      <c r="SR142" s="422"/>
      <c r="SS142" s="422"/>
      <c r="TC142" s="716"/>
      <c r="TD142" s="716"/>
      <c r="TE142" s="716"/>
      <c r="TG142" s="716"/>
      <c r="TH142" s="716"/>
      <c r="TI142" s="716"/>
      <c r="TJ142" s="716"/>
      <c r="TK142" s="716"/>
      <c r="TL142" s="716"/>
      <c r="TM142" s="716"/>
      <c r="TN142" s="716"/>
      <c r="TO142" s="716"/>
      <c r="TP142" s="716"/>
      <c r="TQ142" s="716"/>
      <c r="TR142" s="716"/>
      <c r="TS142" s="716"/>
      <c r="UC142" s="716"/>
      <c r="UD142" s="716"/>
      <c r="UE142" s="716"/>
      <c r="UG142" s="716"/>
      <c r="UH142" s="716"/>
      <c r="UI142" s="716"/>
      <c r="UJ142" s="716"/>
      <c r="UK142" s="716"/>
      <c r="UL142" s="716"/>
      <c r="UM142" s="716"/>
      <c r="UN142" s="716"/>
      <c r="UO142" s="716"/>
      <c r="UP142" s="716"/>
      <c r="UQ142" s="716"/>
      <c r="UR142" s="716"/>
      <c r="US142" s="716"/>
    </row>
    <row r="143" spans="133:565">
      <c r="EC143" s="276"/>
      <c r="ED143" s="296"/>
      <c r="EE143" s="422"/>
      <c r="EF143" s="422"/>
      <c r="EG143" s="422"/>
      <c r="EH143" s="1369"/>
      <c r="EI143" s="1369"/>
      <c r="EJ143" s="296"/>
      <c r="EK143" s="1369"/>
      <c r="EL143" s="422"/>
      <c r="EM143" s="422"/>
      <c r="EN143" s="422"/>
      <c r="EO143" s="478"/>
      <c r="EP143" s="276"/>
      <c r="EQ143" s="422"/>
      <c r="ER143" s="422"/>
      <c r="ES143" s="422"/>
      <c r="ET143" s="296"/>
      <c r="EU143" s="296"/>
      <c r="EV143" s="422"/>
      <c r="EW143" s="422"/>
      <c r="GC143" s="422"/>
      <c r="GD143" s="422"/>
      <c r="GE143" s="422"/>
      <c r="GF143" s="422"/>
      <c r="GG143" s="422"/>
      <c r="GH143" s="422"/>
      <c r="GI143" s="422"/>
      <c r="GJ143" s="422"/>
      <c r="GK143" s="422"/>
      <c r="GL143" s="422"/>
      <c r="GM143" s="422"/>
      <c r="GN143" s="422"/>
      <c r="GO143" s="422"/>
      <c r="GP143" s="422"/>
      <c r="GQ143" s="422"/>
      <c r="GR143" s="422"/>
      <c r="GS143" s="422"/>
      <c r="IC143" s="422"/>
      <c r="ID143" s="422"/>
      <c r="IE143" s="422"/>
      <c r="IG143" s="422"/>
      <c r="IH143" s="422"/>
      <c r="II143" s="422"/>
      <c r="IJ143" s="422"/>
      <c r="IK143" s="422"/>
      <c r="IL143" s="422"/>
      <c r="IM143" s="422"/>
      <c r="IN143" s="422"/>
      <c r="IO143" s="422"/>
      <c r="IP143" s="422"/>
      <c r="IQ143" s="422"/>
      <c r="IR143" s="422"/>
      <c r="IS143" s="422"/>
      <c r="KC143" s="422"/>
      <c r="KD143" s="422"/>
      <c r="KE143" s="422"/>
      <c r="KG143" s="422"/>
      <c r="KH143" s="422"/>
      <c r="KI143" s="422"/>
      <c r="KJ143" s="422"/>
      <c r="KK143" s="422"/>
      <c r="KL143" s="422"/>
      <c r="KM143" s="422"/>
      <c r="KN143" s="422"/>
      <c r="KO143" s="422"/>
      <c r="KP143" s="422"/>
      <c r="KQ143" s="422"/>
      <c r="KR143" s="422"/>
      <c r="KS143" s="422"/>
      <c r="MC143" s="422"/>
      <c r="MD143" s="422"/>
      <c r="ME143" s="422"/>
      <c r="MG143" s="422"/>
      <c r="MH143" s="422"/>
      <c r="MI143" s="422"/>
      <c r="MJ143" s="422"/>
      <c r="MK143" s="422"/>
      <c r="ML143" s="422"/>
      <c r="MM143" s="422"/>
      <c r="MN143" s="422"/>
      <c r="MO143" s="422"/>
      <c r="MP143" s="422"/>
      <c r="MQ143" s="422"/>
      <c r="MR143" s="422"/>
      <c r="MS143" s="422"/>
      <c r="OC143" s="422"/>
      <c r="OD143" s="422"/>
      <c r="OE143" s="422"/>
      <c r="OG143" s="422"/>
      <c r="OH143" s="422"/>
      <c r="OI143" s="422"/>
      <c r="OJ143" s="422"/>
      <c r="OK143" s="422"/>
      <c r="OL143" s="422"/>
      <c r="OM143" s="422"/>
      <c r="ON143" s="422"/>
      <c r="OO143" s="422"/>
      <c r="OP143" s="422"/>
      <c r="OQ143" s="422"/>
      <c r="OR143" s="422"/>
      <c r="OS143" s="422"/>
      <c r="QC143" s="422"/>
      <c r="QD143" s="422"/>
      <c r="QE143" s="422"/>
      <c r="QG143" s="422"/>
      <c r="QH143" s="422"/>
      <c r="QI143" s="422"/>
      <c r="QJ143" s="422"/>
      <c r="QK143" s="422"/>
      <c r="QL143" s="422"/>
      <c r="QM143" s="422"/>
      <c r="QN143" s="422"/>
      <c r="QO143" s="422"/>
      <c r="QP143" s="422"/>
      <c r="QQ143" s="422"/>
      <c r="QR143" s="422"/>
      <c r="QS143" s="422"/>
      <c r="SC143" s="422"/>
      <c r="SD143" s="422"/>
      <c r="SE143" s="422"/>
      <c r="SG143" s="422"/>
      <c r="SH143" s="422"/>
      <c r="SI143" s="422"/>
      <c r="SJ143" s="422"/>
      <c r="SK143" s="422"/>
      <c r="SL143" s="422"/>
      <c r="SM143" s="422"/>
      <c r="SN143" s="422"/>
      <c r="SO143" s="422"/>
      <c r="SP143" s="422"/>
      <c r="SQ143" s="422"/>
      <c r="SR143" s="422"/>
      <c r="SS143" s="422"/>
      <c r="TC143" s="716"/>
      <c r="TD143" s="716"/>
      <c r="TE143" s="716"/>
      <c r="TG143" s="716"/>
      <c r="TH143" s="716"/>
      <c r="TI143" s="716"/>
      <c r="TJ143" s="716"/>
      <c r="TK143" s="716"/>
      <c r="TL143" s="716"/>
      <c r="TM143" s="716"/>
      <c r="TN143" s="716"/>
      <c r="TO143" s="716"/>
      <c r="TP143" s="716"/>
      <c r="TQ143" s="716"/>
      <c r="TR143" s="716"/>
      <c r="TS143" s="716"/>
      <c r="UC143" s="716"/>
      <c r="UD143" s="716"/>
      <c r="UE143" s="716"/>
      <c r="UG143" s="716"/>
      <c r="UH143" s="716"/>
      <c r="UI143" s="716"/>
      <c r="UJ143" s="716"/>
      <c r="UK143" s="716"/>
      <c r="UL143" s="716"/>
      <c r="UM143" s="716"/>
      <c r="UN143" s="716"/>
      <c r="UO143" s="716"/>
      <c r="UP143" s="716"/>
      <c r="UQ143" s="716"/>
      <c r="UR143" s="716"/>
      <c r="US143" s="716"/>
    </row>
    <row r="144" spans="133:565">
      <c r="EC144" s="276"/>
      <c r="ED144" s="296"/>
      <c r="EE144" s="422"/>
      <c r="EF144" s="422"/>
      <c r="EG144" s="422"/>
      <c r="EH144" s="1369"/>
      <c r="EI144" s="1369"/>
      <c r="EJ144" s="296"/>
      <c r="EK144" s="1369"/>
      <c r="EL144" s="422"/>
      <c r="EM144" s="422"/>
      <c r="EN144" s="422"/>
      <c r="EO144" s="478"/>
      <c r="EP144" s="276"/>
      <c r="EQ144" s="422"/>
      <c r="ER144" s="422"/>
      <c r="ES144" s="422"/>
      <c r="ET144" s="296"/>
      <c r="EU144" s="296"/>
      <c r="EV144" s="422"/>
      <c r="EW144" s="422"/>
      <c r="GC144" s="422"/>
      <c r="GD144" s="422"/>
      <c r="GE144" s="422"/>
      <c r="GF144" s="422"/>
      <c r="GG144" s="422"/>
      <c r="GH144" s="422"/>
      <c r="GI144" s="422"/>
      <c r="GJ144" s="422"/>
      <c r="GK144" s="422"/>
      <c r="GL144" s="422"/>
      <c r="GM144" s="422"/>
      <c r="GN144" s="422"/>
      <c r="GO144" s="422"/>
      <c r="GP144" s="422"/>
      <c r="GQ144" s="422"/>
      <c r="GR144" s="422"/>
      <c r="GS144" s="422"/>
      <c r="IC144" s="422"/>
      <c r="ID144" s="422"/>
      <c r="IE144" s="422"/>
      <c r="IG144" s="422"/>
      <c r="IH144" s="422"/>
      <c r="II144" s="422"/>
      <c r="IJ144" s="422"/>
      <c r="IK144" s="422"/>
      <c r="IL144" s="422"/>
      <c r="IM144" s="422"/>
      <c r="IN144" s="422"/>
      <c r="IO144" s="422"/>
      <c r="IP144" s="422"/>
      <c r="IQ144" s="422"/>
      <c r="IR144" s="422"/>
      <c r="IS144" s="422"/>
      <c r="KC144" s="422"/>
      <c r="KD144" s="422"/>
      <c r="KE144" s="422"/>
      <c r="KG144" s="422"/>
      <c r="KH144" s="422"/>
      <c r="KI144" s="422"/>
      <c r="KJ144" s="422"/>
      <c r="KK144" s="422"/>
      <c r="KL144" s="422"/>
      <c r="KM144" s="422"/>
      <c r="KN144" s="422"/>
      <c r="KO144" s="422"/>
      <c r="KP144" s="422"/>
      <c r="KQ144" s="422"/>
      <c r="KR144" s="422"/>
      <c r="KS144" s="422"/>
      <c r="MC144" s="422"/>
      <c r="MD144" s="422"/>
      <c r="ME144" s="422"/>
      <c r="MG144" s="422"/>
      <c r="MH144" s="422"/>
      <c r="MI144" s="422"/>
      <c r="MJ144" s="422"/>
      <c r="MK144" s="422"/>
      <c r="ML144" s="422"/>
      <c r="MM144" s="422"/>
      <c r="MN144" s="422"/>
      <c r="MO144" s="422"/>
      <c r="MP144" s="422"/>
      <c r="MQ144" s="422"/>
      <c r="MR144" s="422"/>
      <c r="MS144" s="422"/>
      <c r="OC144" s="422"/>
      <c r="OD144" s="422"/>
      <c r="OE144" s="422"/>
      <c r="OG144" s="422"/>
      <c r="OH144" s="422"/>
      <c r="OI144" s="422"/>
      <c r="OJ144" s="422"/>
      <c r="OK144" s="422"/>
      <c r="OL144" s="422"/>
      <c r="OM144" s="422"/>
      <c r="ON144" s="422"/>
      <c r="OO144" s="422"/>
      <c r="OP144" s="422"/>
      <c r="OQ144" s="422"/>
      <c r="OR144" s="422"/>
      <c r="OS144" s="422"/>
      <c r="QC144" s="422"/>
      <c r="QD144" s="422"/>
      <c r="QE144" s="422"/>
      <c r="QG144" s="422"/>
      <c r="QH144" s="422"/>
      <c r="QI144" s="422"/>
      <c r="QJ144" s="422"/>
      <c r="QK144" s="422"/>
      <c r="QL144" s="422"/>
      <c r="QM144" s="422"/>
      <c r="QN144" s="422"/>
      <c r="QO144" s="422"/>
      <c r="QP144" s="422"/>
      <c r="QQ144" s="422"/>
      <c r="QR144" s="422"/>
      <c r="QS144" s="422"/>
      <c r="SC144" s="422"/>
      <c r="SD144" s="422"/>
      <c r="SE144" s="422"/>
      <c r="SG144" s="422"/>
      <c r="SH144" s="422"/>
      <c r="SI144" s="422"/>
      <c r="SJ144" s="422"/>
      <c r="SK144" s="422"/>
      <c r="SL144" s="422"/>
      <c r="SM144" s="422"/>
      <c r="SN144" s="422"/>
      <c r="SO144" s="422"/>
      <c r="SP144" s="422"/>
      <c r="SQ144" s="422"/>
      <c r="SR144" s="422"/>
      <c r="SS144" s="422"/>
      <c r="TC144" s="716"/>
      <c r="TD144" s="716"/>
      <c r="TE144" s="716"/>
      <c r="TG144" s="716"/>
      <c r="TH144" s="716"/>
      <c r="TI144" s="716"/>
      <c r="TJ144" s="716"/>
      <c r="TK144" s="716"/>
      <c r="TL144" s="716"/>
      <c r="TM144" s="716"/>
      <c r="TN144" s="716"/>
      <c r="TO144" s="716"/>
      <c r="TP144" s="716"/>
      <c r="TQ144" s="716"/>
      <c r="TR144" s="716"/>
      <c r="TS144" s="716"/>
      <c r="UC144" s="716"/>
      <c r="UD144" s="716"/>
      <c r="UE144" s="716"/>
      <c r="UG144" s="716"/>
      <c r="UH144" s="716"/>
      <c r="UI144" s="716"/>
      <c r="UJ144" s="716"/>
      <c r="UK144" s="716"/>
      <c r="UL144" s="716"/>
      <c r="UM144" s="716"/>
      <c r="UN144" s="716"/>
      <c r="UO144" s="716"/>
      <c r="UP144" s="716"/>
      <c r="UQ144" s="716"/>
      <c r="UR144" s="716"/>
      <c r="US144" s="716"/>
    </row>
    <row r="145" spans="133:565">
      <c r="EC145" s="276"/>
      <c r="ED145" s="296"/>
      <c r="EE145" s="422"/>
      <c r="EF145" s="422"/>
      <c r="EG145" s="422"/>
      <c r="EH145" s="1369"/>
      <c r="EI145" s="1369"/>
      <c r="EJ145" s="296"/>
      <c r="EK145" s="1369"/>
      <c r="EL145" s="422"/>
      <c r="EM145" s="422"/>
      <c r="EN145" s="422"/>
      <c r="EO145" s="478"/>
      <c r="EP145" s="276"/>
      <c r="EQ145" s="422"/>
      <c r="ER145" s="422"/>
      <c r="ES145" s="422"/>
      <c r="ET145" s="296"/>
      <c r="EU145" s="296"/>
      <c r="EV145" s="422"/>
      <c r="EW145" s="422"/>
      <c r="GC145" s="422"/>
      <c r="GD145" s="422"/>
      <c r="GE145" s="422"/>
      <c r="GF145" s="422"/>
      <c r="GG145" s="422"/>
      <c r="GH145" s="422"/>
      <c r="GI145" s="422"/>
      <c r="GJ145" s="422"/>
      <c r="GK145" s="422"/>
      <c r="GL145" s="422"/>
      <c r="GM145" s="422"/>
      <c r="GN145" s="422"/>
      <c r="GO145" s="422"/>
      <c r="GP145" s="422"/>
      <c r="GQ145" s="422"/>
      <c r="GR145" s="422"/>
      <c r="GS145" s="422"/>
      <c r="IC145" s="422"/>
      <c r="ID145" s="422"/>
      <c r="IE145" s="422"/>
      <c r="IG145" s="422"/>
      <c r="IH145" s="422"/>
      <c r="II145" s="422"/>
      <c r="IJ145" s="422"/>
      <c r="IK145" s="422"/>
      <c r="IL145" s="422"/>
      <c r="IM145" s="422"/>
      <c r="IN145" s="422"/>
      <c r="IO145" s="422"/>
      <c r="IP145" s="422"/>
      <c r="IQ145" s="422"/>
      <c r="IR145" s="422"/>
      <c r="IS145" s="422"/>
      <c r="KC145" s="422"/>
      <c r="KD145" s="422"/>
      <c r="KE145" s="422"/>
      <c r="KG145" s="422"/>
      <c r="KH145" s="422"/>
      <c r="KI145" s="422"/>
      <c r="KJ145" s="422"/>
      <c r="KK145" s="422"/>
      <c r="KL145" s="422"/>
      <c r="KM145" s="422"/>
      <c r="KN145" s="422"/>
      <c r="KO145" s="422"/>
      <c r="KP145" s="422"/>
      <c r="KQ145" s="422"/>
      <c r="KR145" s="422"/>
      <c r="KS145" s="422"/>
      <c r="MC145" s="422"/>
      <c r="MD145" s="422"/>
      <c r="ME145" s="422"/>
      <c r="MG145" s="422"/>
      <c r="MH145" s="422"/>
      <c r="MI145" s="422"/>
      <c r="MJ145" s="422"/>
      <c r="MK145" s="422"/>
      <c r="ML145" s="422"/>
      <c r="MM145" s="422"/>
      <c r="MN145" s="422"/>
      <c r="MO145" s="422"/>
      <c r="MP145" s="422"/>
      <c r="MQ145" s="422"/>
      <c r="MR145" s="422"/>
      <c r="MS145" s="422"/>
      <c r="OC145" s="422"/>
      <c r="OD145" s="422"/>
      <c r="OE145" s="422"/>
      <c r="OG145" s="422"/>
      <c r="OH145" s="422"/>
      <c r="OI145" s="422"/>
      <c r="OJ145" s="422"/>
      <c r="OK145" s="422"/>
      <c r="OL145" s="422"/>
      <c r="OM145" s="422"/>
      <c r="ON145" s="422"/>
      <c r="OO145" s="422"/>
      <c r="OP145" s="422"/>
      <c r="OQ145" s="422"/>
      <c r="OR145" s="422"/>
      <c r="OS145" s="422"/>
      <c r="QC145" s="422"/>
      <c r="QD145" s="422"/>
      <c r="QE145" s="422"/>
      <c r="QG145" s="422"/>
      <c r="QH145" s="422"/>
      <c r="QI145" s="422"/>
      <c r="QJ145" s="422"/>
      <c r="QK145" s="422"/>
      <c r="QL145" s="422"/>
      <c r="QM145" s="422"/>
      <c r="QN145" s="422"/>
      <c r="QO145" s="422"/>
      <c r="QP145" s="422"/>
      <c r="QQ145" s="422"/>
      <c r="QR145" s="422"/>
      <c r="QS145" s="422"/>
      <c r="SC145" s="422"/>
      <c r="SD145" s="422"/>
      <c r="SE145" s="422"/>
      <c r="SG145" s="422"/>
      <c r="SH145" s="422"/>
      <c r="SI145" s="422"/>
      <c r="SJ145" s="422"/>
      <c r="SK145" s="422"/>
      <c r="SL145" s="422"/>
      <c r="SM145" s="422"/>
      <c r="SN145" s="422"/>
      <c r="SO145" s="422"/>
      <c r="SP145" s="422"/>
      <c r="SQ145" s="422"/>
      <c r="SR145" s="422"/>
      <c r="SS145" s="422"/>
      <c r="TC145" s="716"/>
      <c r="TD145" s="716"/>
      <c r="TE145" s="716"/>
      <c r="TG145" s="716"/>
      <c r="TH145" s="716"/>
      <c r="TI145" s="716"/>
      <c r="TJ145" s="716"/>
      <c r="TK145" s="716"/>
      <c r="TL145" s="716"/>
      <c r="TM145" s="716"/>
      <c r="TN145" s="716"/>
      <c r="TO145" s="716"/>
      <c r="TP145" s="716"/>
      <c r="TQ145" s="716"/>
      <c r="TR145" s="716"/>
      <c r="TS145" s="716"/>
      <c r="UC145" s="716"/>
      <c r="UD145" s="716"/>
      <c r="UE145" s="716"/>
      <c r="UG145" s="716"/>
      <c r="UH145" s="716"/>
      <c r="UI145" s="716"/>
      <c r="UJ145" s="716"/>
      <c r="UK145" s="716"/>
      <c r="UL145" s="716"/>
      <c r="UM145" s="716"/>
      <c r="UN145" s="716"/>
      <c r="UO145" s="716"/>
      <c r="UP145" s="716"/>
      <c r="UQ145" s="716"/>
      <c r="UR145" s="716"/>
      <c r="US145" s="716"/>
    </row>
    <row r="146" spans="133:565">
      <c r="EC146" s="276"/>
      <c r="ED146" s="296"/>
      <c r="EE146" s="422"/>
      <c r="EF146" s="422"/>
      <c r="EG146" s="422"/>
      <c r="EH146" s="1369"/>
      <c r="EI146" s="1369"/>
      <c r="EJ146" s="296"/>
      <c r="EK146" s="1369"/>
      <c r="EL146" s="422"/>
      <c r="EM146" s="422"/>
      <c r="EN146" s="422"/>
      <c r="EO146" s="478"/>
      <c r="EP146" s="276"/>
      <c r="EQ146" s="422"/>
      <c r="ER146" s="422"/>
      <c r="ES146" s="422"/>
      <c r="ET146" s="296"/>
      <c r="EU146" s="296"/>
      <c r="EV146" s="422"/>
      <c r="EW146" s="422"/>
      <c r="GC146" s="422"/>
      <c r="GD146" s="422"/>
      <c r="GE146" s="422"/>
      <c r="GF146" s="422"/>
      <c r="GG146" s="422"/>
      <c r="GH146" s="422"/>
      <c r="GI146" s="422"/>
      <c r="GJ146" s="422"/>
      <c r="GK146" s="422"/>
      <c r="GL146" s="422"/>
      <c r="GM146" s="422"/>
      <c r="GN146" s="422"/>
      <c r="GO146" s="422"/>
      <c r="GP146" s="422"/>
      <c r="GQ146" s="422"/>
      <c r="GR146" s="422"/>
      <c r="GS146" s="422"/>
      <c r="IC146" s="422"/>
      <c r="ID146" s="422"/>
      <c r="IE146" s="422"/>
      <c r="IG146" s="422"/>
      <c r="IH146" s="422"/>
      <c r="II146" s="422"/>
      <c r="IJ146" s="422"/>
      <c r="IK146" s="422"/>
      <c r="IL146" s="422"/>
      <c r="IM146" s="422"/>
      <c r="IN146" s="422"/>
      <c r="IO146" s="422"/>
      <c r="IP146" s="422"/>
      <c r="IQ146" s="422"/>
      <c r="IR146" s="422"/>
      <c r="IS146" s="422"/>
      <c r="KC146" s="422"/>
      <c r="KD146" s="422"/>
      <c r="KE146" s="422"/>
      <c r="KG146" s="422"/>
      <c r="KH146" s="422"/>
      <c r="KI146" s="422"/>
      <c r="KJ146" s="422"/>
      <c r="KK146" s="422"/>
      <c r="KL146" s="422"/>
      <c r="KM146" s="422"/>
      <c r="KN146" s="422"/>
      <c r="KO146" s="422"/>
      <c r="KP146" s="422"/>
      <c r="KQ146" s="422"/>
      <c r="KR146" s="422"/>
      <c r="KS146" s="422"/>
      <c r="MC146" s="422"/>
      <c r="MD146" s="422"/>
      <c r="ME146" s="422"/>
      <c r="MG146" s="422"/>
      <c r="MH146" s="422"/>
      <c r="MI146" s="422"/>
      <c r="MJ146" s="422"/>
      <c r="MK146" s="422"/>
      <c r="ML146" s="422"/>
      <c r="MM146" s="422"/>
      <c r="MN146" s="422"/>
      <c r="MO146" s="422"/>
      <c r="MP146" s="422"/>
      <c r="MQ146" s="422"/>
      <c r="MR146" s="422"/>
      <c r="MS146" s="422"/>
      <c r="OC146" s="422"/>
      <c r="OD146" s="422"/>
      <c r="OE146" s="422"/>
      <c r="OG146" s="422"/>
      <c r="OH146" s="422"/>
      <c r="OI146" s="422"/>
      <c r="OJ146" s="422"/>
      <c r="OK146" s="422"/>
      <c r="OL146" s="422"/>
      <c r="OM146" s="422"/>
      <c r="ON146" s="422"/>
      <c r="OO146" s="422"/>
      <c r="OP146" s="422"/>
      <c r="OQ146" s="422"/>
      <c r="OR146" s="422"/>
      <c r="OS146" s="422"/>
      <c r="QC146" s="422"/>
      <c r="QD146" s="422"/>
      <c r="QE146" s="422"/>
      <c r="QG146" s="422"/>
      <c r="QH146" s="422"/>
      <c r="QI146" s="422"/>
      <c r="QJ146" s="422"/>
      <c r="QK146" s="422"/>
      <c r="QL146" s="422"/>
      <c r="QM146" s="422"/>
      <c r="QN146" s="422"/>
      <c r="QO146" s="422"/>
      <c r="QP146" s="422"/>
      <c r="QQ146" s="422"/>
      <c r="QR146" s="422"/>
      <c r="QS146" s="422"/>
      <c r="SC146" s="422"/>
      <c r="SD146" s="422"/>
      <c r="SE146" s="422"/>
      <c r="SG146" s="422"/>
      <c r="SH146" s="422"/>
      <c r="SI146" s="422"/>
      <c r="SJ146" s="422"/>
      <c r="SK146" s="422"/>
      <c r="SL146" s="422"/>
      <c r="SM146" s="422"/>
      <c r="SN146" s="422"/>
      <c r="SO146" s="422"/>
      <c r="SP146" s="422"/>
      <c r="SQ146" s="422"/>
      <c r="SR146" s="422"/>
      <c r="SS146" s="422"/>
      <c r="TC146" s="716"/>
      <c r="TD146" s="716"/>
      <c r="TE146" s="716"/>
      <c r="TG146" s="716"/>
      <c r="TH146" s="716"/>
      <c r="TI146" s="716"/>
      <c r="TJ146" s="716"/>
      <c r="TK146" s="716"/>
      <c r="TL146" s="716"/>
      <c r="TM146" s="716"/>
      <c r="TN146" s="716"/>
      <c r="TO146" s="716"/>
      <c r="TP146" s="716"/>
      <c r="TQ146" s="716"/>
      <c r="TR146" s="716"/>
      <c r="TS146" s="716"/>
      <c r="UC146" s="716"/>
      <c r="UD146" s="716"/>
      <c r="UE146" s="716"/>
      <c r="UG146" s="716"/>
      <c r="UH146" s="716"/>
      <c r="UI146" s="716"/>
      <c r="UJ146" s="716"/>
      <c r="UK146" s="716"/>
      <c r="UL146" s="716"/>
      <c r="UM146" s="716"/>
      <c r="UN146" s="716"/>
      <c r="UO146" s="716"/>
      <c r="UP146" s="716"/>
      <c r="UQ146" s="716"/>
      <c r="UR146" s="716"/>
      <c r="US146" s="716"/>
    </row>
    <row r="147" spans="133:565">
      <c r="EC147" s="276"/>
      <c r="ED147" s="296"/>
      <c r="EE147" s="422"/>
      <c r="EF147" s="422"/>
      <c r="EG147" s="422"/>
      <c r="EH147" s="1369"/>
      <c r="EI147" s="1369"/>
      <c r="EJ147" s="296"/>
      <c r="EK147" s="1369"/>
      <c r="EL147" s="422"/>
      <c r="EM147" s="422"/>
      <c r="EN147" s="422"/>
      <c r="EO147" s="478"/>
      <c r="EP147" s="276"/>
      <c r="EQ147" s="422"/>
      <c r="ER147" s="422"/>
      <c r="ES147" s="422"/>
      <c r="ET147" s="296"/>
      <c r="EU147" s="296"/>
      <c r="EV147" s="422"/>
      <c r="EW147" s="422"/>
      <c r="GC147" s="422"/>
      <c r="GD147" s="422"/>
      <c r="GE147" s="422"/>
      <c r="GF147" s="422"/>
      <c r="GG147" s="422"/>
      <c r="GH147" s="422"/>
      <c r="GI147" s="422"/>
      <c r="GJ147" s="422"/>
      <c r="GK147" s="422"/>
      <c r="GL147" s="422"/>
      <c r="GM147" s="422"/>
      <c r="GN147" s="422"/>
      <c r="GO147" s="422"/>
      <c r="GP147" s="422"/>
      <c r="GQ147" s="422"/>
      <c r="GR147" s="422"/>
      <c r="GS147" s="422"/>
      <c r="IC147" s="422"/>
      <c r="ID147" s="422"/>
      <c r="IE147" s="422"/>
      <c r="IG147" s="422"/>
      <c r="IH147" s="422"/>
      <c r="II147" s="422"/>
      <c r="IJ147" s="422"/>
      <c r="IK147" s="422"/>
      <c r="IL147" s="422"/>
      <c r="IM147" s="422"/>
      <c r="IN147" s="422"/>
      <c r="IO147" s="422"/>
      <c r="IP147" s="422"/>
      <c r="IQ147" s="422"/>
      <c r="IR147" s="422"/>
      <c r="IS147" s="422"/>
      <c r="KC147" s="422"/>
      <c r="KD147" s="422"/>
      <c r="KE147" s="422"/>
      <c r="KG147" s="422"/>
      <c r="KH147" s="422"/>
      <c r="KI147" s="422"/>
      <c r="KJ147" s="422"/>
      <c r="KK147" s="422"/>
      <c r="KL147" s="422"/>
      <c r="KM147" s="422"/>
      <c r="KN147" s="422"/>
      <c r="KO147" s="422"/>
      <c r="KP147" s="422"/>
      <c r="KQ147" s="422"/>
      <c r="KR147" s="422"/>
      <c r="KS147" s="422"/>
      <c r="MC147" s="422"/>
      <c r="MD147" s="422"/>
      <c r="ME147" s="422"/>
      <c r="MG147" s="422"/>
      <c r="MH147" s="422"/>
      <c r="MI147" s="422"/>
      <c r="MJ147" s="422"/>
      <c r="MK147" s="422"/>
      <c r="ML147" s="422"/>
      <c r="MM147" s="422"/>
      <c r="MN147" s="422"/>
      <c r="MO147" s="422"/>
      <c r="MP147" s="422"/>
      <c r="MQ147" s="422"/>
      <c r="MR147" s="422"/>
      <c r="MS147" s="422"/>
      <c r="OC147" s="422"/>
      <c r="OD147" s="422"/>
      <c r="OE147" s="422"/>
      <c r="OG147" s="422"/>
      <c r="OH147" s="422"/>
      <c r="OI147" s="422"/>
      <c r="OJ147" s="422"/>
      <c r="OK147" s="422"/>
      <c r="OL147" s="422"/>
      <c r="OM147" s="422"/>
      <c r="ON147" s="422"/>
      <c r="OO147" s="422"/>
      <c r="OP147" s="422"/>
      <c r="OQ147" s="422"/>
      <c r="OR147" s="422"/>
      <c r="OS147" s="422"/>
      <c r="QC147" s="422"/>
      <c r="QD147" s="422"/>
      <c r="QE147" s="422"/>
      <c r="QG147" s="422"/>
      <c r="QH147" s="422"/>
      <c r="QI147" s="422"/>
      <c r="QJ147" s="422"/>
      <c r="QK147" s="422"/>
      <c r="QL147" s="422"/>
      <c r="QM147" s="422"/>
      <c r="QN147" s="422"/>
      <c r="QO147" s="422"/>
      <c r="QP147" s="422"/>
      <c r="QQ147" s="422"/>
      <c r="QR147" s="422"/>
      <c r="QS147" s="422"/>
      <c r="SC147" s="422"/>
      <c r="SD147" s="422"/>
      <c r="SE147" s="422"/>
      <c r="SG147" s="422"/>
      <c r="SH147" s="422"/>
      <c r="SI147" s="422"/>
      <c r="SJ147" s="422"/>
      <c r="SK147" s="422"/>
      <c r="SL147" s="422"/>
      <c r="SM147" s="422"/>
      <c r="SN147" s="422"/>
      <c r="SO147" s="422"/>
      <c r="SP147" s="422"/>
      <c r="SQ147" s="422"/>
      <c r="SR147" s="422"/>
      <c r="SS147" s="422"/>
      <c r="TC147" s="716"/>
      <c r="TD147" s="716"/>
      <c r="TE147" s="716"/>
      <c r="TG147" s="716"/>
      <c r="TH147" s="716"/>
      <c r="TI147" s="716"/>
      <c r="TJ147" s="716"/>
      <c r="TK147" s="716"/>
      <c r="TL147" s="716"/>
      <c r="TM147" s="716"/>
      <c r="TN147" s="716"/>
      <c r="TO147" s="716"/>
      <c r="TP147" s="716"/>
      <c r="TQ147" s="716"/>
      <c r="TR147" s="716"/>
      <c r="TS147" s="716"/>
      <c r="UC147" s="716"/>
      <c r="UD147" s="716"/>
      <c r="UE147" s="716"/>
      <c r="UG147" s="716"/>
      <c r="UH147" s="716"/>
      <c r="UI147" s="716"/>
      <c r="UJ147" s="716"/>
      <c r="UK147" s="716"/>
      <c r="UL147" s="716"/>
      <c r="UM147" s="716"/>
      <c r="UN147" s="716"/>
      <c r="UO147" s="716"/>
      <c r="UP147" s="716"/>
      <c r="UQ147" s="716"/>
      <c r="UR147" s="716"/>
      <c r="US147" s="716"/>
    </row>
    <row r="148" spans="133:565">
      <c r="EC148" s="276"/>
      <c r="ED148" s="296"/>
      <c r="EE148" s="422"/>
      <c r="EF148" s="422"/>
      <c r="EG148" s="422"/>
      <c r="EH148" s="1369"/>
      <c r="EI148" s="1369"/>
      <c r="EJ148" s="296"/>
      <c r="EK148" s="1369"/>
      <c r="EL148" s="422"/>
      <c r="EM148" s="422"/>
      <c r="EN148" s="422"/>
      <c r="EO148" s="478"/>
      <c r="EP148" s="276"/>
      <c r="EQ148" s="422"/>
      <c r="ER148" s="422"/>
      <c r="ES148" s="422"/>
      <c r="ET148" s="296"/>
      <c r="EU148" s="296"/>
      <c r="EV148" s="422"/>
      <c r="EW148" s="422"/>
      <c r="GC148" s="422"/>
      <c r="GD148" s="422"/>
      <c r="GE148" s="422"/>
      <c r="GF148" s="422"/>
      <c r="GG148" s="422"/>
      <c r="GH148" s="422"/>
      <c r="GI148" s="422"/>
      <c r="GJ148" s="422"/>
      <c r="GK148" s="422"/>
      <c r="GL148" s="422"/>
      <c r="GM148" s="422"/>
      <c r="GN148" s="422"/>
      <c r="GO148" s="422"/>
      <c r="GP148" s="422"/>
      <c r="GQ148" s="422"/>
      <c r="GR148" s="422"/>
      <c r="GS148" s="422"/>
      <c r="IC148" s="422"/>
      <c r="ID148" s="422"/>
      <c r="IE148" s="422"/>
      <c r="IG148" s="422"/>
      <c r="IH148" s="422"/>
      <c r="II148" s="422"/>
      <c r="IJ148" s="422"/>
      <c r="IK148" s="422"/>
      <c r="IL148" s="422"/>
      <c r="IM148" s="422"/>
      <c r="IN148" s="422"/>
      <c r="IO148" s="422"/>
      <c r="IP148" s="422"/>
      <c r="IQ148" s="422"/>
      <c r="IR148" s="422"/>
      <c r="IS148" s="422"/>
      <c r="KC148" s="422"/>
      <c r="KD148" s="422"/>
      <c r="KE148" s="422"/>
      <c r="KG148" s="422"/>
      <c r="KH148" s="422"/>
      <c r="KI148" s="422"/>
      <c r="KJ148" s="422"/>
      <c r="KK148" s="422"/>
      <c r="KL148" s="422"/>
      <c r="KM148" s="422"/>
      <c r="KN148" s="422"/>
      <c r="KO148" s="422"/>
      <c r="KP148" s="422"/>
      <c r="KQ148" s="422"/>
      <c r="KR148" s="422"/>
      <c r="KS148" s="422"/>
      <c r="MC148" s="422"/>
      <c r="MD148" s="422"/>
      <c r="ME148" s="422"/>
      <c r="MG148" s="422"/>
      <c r="MH148" s="422"/>
      <c r="MI148" s="422"/>
      <c r="MJ148" s="422"/>
      <c r="MK148" s="422"/>
      <c r="ML148" s="422"/>
      <c r="MM148" s="422"/>
      <c r="MN148" s="422"/>
      <c r="MO148" s="422"/>
      <c r="MP148" s="422"/>
      <c r="MQ148" s="422"/>
      <c r="MR148" s="422"/>
      <c r="MS148" s="422"/>
      <c r="OC148" s="422"/>
      <c r="OD148" s="422"/>
      <c r="OE148" s="422"/>
      <c r="OG148" s="422"/>
      <c r="OH148" s="422"/>
      <c r="OI148" s="422"/>
      <c r="OJ148" s="422"/>
      <c r="OK148" s="422"/>
      <c r="OL148" s="422"/>
      <c r="OM148" s="422"/>
      <c r="ON148" s="422"/>
      <c r="OO148" s="422"/>
      <c r="OP148" s="422"/>
      <c r="OQ148" s="422"/>
      <c r="OR148" s="422"/>
      <c r="OS148" s="422"/>
      <c r="QC148" s="422"/>
      <c r="QD148" s="422"/>
      <c r="QE148" s="422"/>
      <c r="QG148" s="422"/>
      <c r="QH148" s="422"/>
      <c r="QI148" s="422"/>
      <c r="QJ148" s="422"/>
      <c r="QK148" s="422"/>
      <c r="QL148" s="422"/>
      <c r="QM148" s="422"/>
      <c r="QN148" s="422"/>
      <c r="QO148" s="422"/>
      <c r="QP148" s="422"/>
      <c r="QQ148" s="422"/>
      <c r="QR148" s="422"/>
      <c r="QS148" s="422"/>
      <c r="SC148" s="422"/>
      <c r="SD148" s="422"/>
      <c r="SE148" s="422"/>
      <c r="SG148" s="422"/>
      <c r="SH148" s="422"/>
      <c r="SI148" s="422"/>
      <c r="SJ148" s="422"/>
      <c r="SK148" s="422"/>
      <c r="SL148" s="422"/>
      <c r="SM148" s="422"/>
      <c r="SN148" s="422"/>
      <c r="SO148" s="422"/>
      <c r="SP148" s="422"/>
      <c r="SQ148" s="422"/>
      <c r="SR148" s="422"/>
      <c r="SS148" s="422"/>
      <c r="TC148" s="716"/>
      <c r="TD148" s="716"/>
      <c r="TE148" s="716"/>
      <c r="TG148" s="716"/>
      <c r="TH148" s="716"/>
      <c r="TI148" s="716"/>
      <c r="TJ148" s="716"/>
      <c r="TK148" s="716"/>
      <c r="TL148" s="716"/>
      <c r="TM148" s="716"/>
      <c r="TN148" s="716"/>
      <c r="TO148" s="716"/>
      <c r="TP148" s="716"/>
      <c r="TQ148" s="716"/>
      <c r="TR148" s="716"/>
      <c r="TS148" s="716"/>
      <c r="UC148" s="716"/>
      <c r="UD148" s="716"/>
      <c r="UE148" s="716"/>
      <c r="UG148" s="716"/>
      <c r="UH148" s="716"/>
      <c r="UI148" s="716"/>
      <c r="UJ148" s="716"/>
      <c r="UK148" s="716"/>
      <c r="UL148" s="716"/>
      <c r="UM148" s="716"/>
      <c r="UN148" s="716"/>
      <c r="UO148" s="716"/>
      <c r="UP148" s="716"/>
      <c r="UQ148" s="716"/>
      <c r="UR148" s="716"/>
      <c r="US148" s="716"/>
    </row>
    <row r="149" spans="133:565">
      <c r="EC149" s="276"/>
      <c r="ED149" s="296"/>
      <c r="EE149" s="422"/>
      <c r="EF149" s="422"/>
      <c r="EG149" s="422"/>
      <c r="EH149" s="1369"/>
      <c r="EI149" s="1369"/>
      <c r="EJ149" s="296"/>
      <c r="EK149" s="1369"/>
      <c r="EL149" s="422"/>
      <c r="EM149" s="422"/>
      <c r="EN149" s="422"/>
      <c r="EO149" s="478"/>
      <c r="EP149" s="276"/>
      <c r="EQ149" s="422"/>
      <c r="ER149" s="422"/>
      <c r="ES149" s="422"/>
      <c r="ET149" s="296"/>
      <c r="EU149" s="296"/>
      <c r="EV149" s="422"/>
      <c r="EW149" s="422"/>
      <c r="GC149" s="422"/>
      <c r="GD149" s="422"/>
      <c r="GE149" s="422"/>
      <c r="GF149" s="422"/>
      <c r="GG149" s="422"/>
      <c r="GH149" s="422"/>
      <c r="GI149" s="422"/>
      <c r="GJ149" s="422"/>
      <c r="GK149" s="422"/>
      <c r="GL149" s="422"/>
      <c r="GM149" s="422"/>
      <c r="GN149" s="422"/>
      <c r="GO149" s="422"/>
      <c r="GP149" s="422"/>
      <c r="GQ149" s="422"/>
      <c r="GR149" s="422"/>
      <c r="GS149" s="422"/>
      <c r="IC149" s="422"/>
      <c r="ID149" s="422"/>
      <c r="IE149" s="422"/>
      <c r="IG149" s="422"/>
      <c r="IH149" s="422"/>
      <c r="II149" s="422"/>
      <c r="IJ149" s="422"/>
      <c r="IK149" s="422"/>
      <c r="IL149" s="422"/>
      <c r="IM149" s="422"/>
      <c r="IN149" s="422"/>
      <c r="IO149" s="422"/>
      <c r="IP149" s="422"/>
      <c r="IQ149" s="422"/>
      <c r="IR149" s="422"/>
      <c r="IS149" s="422"/>
      <c r="KC149" s="422"/>
      <c r="KD149" s="422"/>
      <c r="KE149" s="422"/>
      <c r="KG149" s="422"/>
      <c r="KH149" s="422"/>
      <c r="KI149" s="422"/>
      <c r="KJ149" s="422"/>
      <c r="KK149" s="422"/>
      <c r="KL149" s="422"/>
      <c r="KM149" s="422"/>
      <c r="KN149" s="422"/>
      <c r="KO149" s="422"/>
      <c r="KP149" s="422"/>
      <c r="KQ149" s="422"/>
      <c r="KR149" s="422"/>
      <c r="KS149" s="422"/>
      <c r="MC149" s="422"/>
      <c r="MD149" s="422"/>
      <c r="ME149" s="422"/>
      <c r="MG149" s="422"/>
      <c r="MH149" s="422"/>
      <c r="MI149" s="422"/>
      <c r="MJ149" s="422"/>
      <c r="MK149" s="422"/>
      <c r="ML149" s="422"/>
      <c r="MM149" s="422"/>
      <c r="MN149" s="422"/>
      <c r="MO149" s="422"/>
      <c r="MP149" s="422"/>
      <c r="MQ149" s="422"/>
      <c r="MR149" s="422"/>
      <c r="MS149" s="422"/>
      <c r="OC149" s="422"/>
      <c r="OD149" s="422"/>
      <c r="OE149" s="422"/>
      <c r="OG149" s="422"/>
      <c r="OH149" s="422"/>
      <c r="OI149" s="422"/>
      <c r="OJ149" s="422"/>
      <c r="OK149" s="422"/>
      <c r="OL149" s="422"/>
      <c r="OM149" s="422"/>
      <c r="ON149" s="422"/>
      <c r="OO149" s="422"/>
      <c r="OP149" s="422"/>
      <c r="OQ149" s="422"/>
      <c r="OR149" s="422"/>
      <c r="OS149" s="422"/>
      <c r="QC149" s="422"/>
      <c r="QD149" s="422"/>
      <c r="QE149" s="422"/>
      <c r="QG149" s="422"/>
      <c r="QH149" s="422"/>
      <c r="QI149" s="422"/>
      <c r="QJ149" s="422"/>
      <c r="QK149" s="422"/>
      <c r="QL149" s="422"/>
      <c r="QM149" s="422"/>
      <c r="QN149" s="422"/>
      <c r="QO149" s="422"/>
      <c r="QP149" s="422"/>
      <c r="QQ149" s="422"/>
      <c r="QR149" s="422"/>
      <c r="QS149" s="422"/>
      <c r="SC149" s="422"/>
      <c r="SD149" s="422"/>
      <c r="SE149" s="422"/>
      <c r="SG149" s="422"/>
      <c r="SH149" s="422"/>
      <c r="SI149" s="422"/>
      <c r="SJ149" s="422"/>
      <c r="SK149" s="422"/>
      <c r="SL149" s="422"/>
      <c r="SM149" s="422"/>
      <c r="SN149" s="422"/>
      <c r="SO149" s="422"/>
      <c r="SP149" s="422"/>
      <c r="SQ149" s="422"/>
      <c r="SR149" s="422"/>
      <c r="SS149" s="422"/>
      <c r="TC149" s="716"/>
      <c r="TD149" s="716"/>
      <c r="TE149" s="716"/>
      <c r="TG149" s="716"/>
      <c r="TH149" s="716"/>
      <c r="TI149" s="716"/>
      <c r="TJ149" s="716"/>
      <c r="TK149" s="716"/>
      <c r="TL149" s="716"/>
      <c r="TM149" s="716"/>
      <c r="TN149" s="716"/>
      <c r="TO149" s="716"/>
      <c r="TP149" s="716"/>
      <c r="TQ149" s="716"/>
      <c r="TR149" s="716"/>
      <c r="TS149" s="716"/>
      <c r="UC149" s="716"/>
      <c r="UD149" s="716"/>
      <c r="UE149" s="716"/>
      <c r="UG149" s="716"/>
      <c r="UH149" s="716"/>
      <c r="UI149" s="716"/>
      <c r="UJ149" s="716"/>
      <c r="UK149" s="716"/>
      <c r="UL149" s="716"/>
      <c r="UM149" s="716"/>
      <c r="UN149" s="716"/>
      <c r="UO149" s="716"/>
      <c r="UP149" s="716"/>
      <c r="UQ149" s="716"/>
      <c r="UR149" s="716"/>
      <c r="US149" s="716"/>
    </row>
    <row r="150" spans="133:565">
      <c r="EC150" s="276"/>
      <c r="ED150" s="296"/>
      <c r="EE150" s="422"/>
      <c r="EF150" s="422"/>
      <c r="EG150" s="422"/>
      <c r="EH150" s="1369"/>
      <c r="EI150" s="1369"/>
      <c r="EJ150" s="296"/>
      <c r="EK150" s="1369"/>
      <c r="EL150" s="422"/>
      <c r="EM150" s="422"/>
      <c r="EN150" s="422"/>
      <c r="EO150" s="478"/>
      <c r="EP150" s="276"/>
      <c r="EQ150" s="422"/>
      <c r="ER150" s="422"/>
      <c r="ES150" s="422"/>
      <c r="ET150" s="296"/>
      <c r="EU150" s="296"/>
      <c r="EV150" s="422"/>
      <c r="EW150" s="422"/>
      <c r="GC150" s="422"/>
      <c r="GD150" s="422"/>
      <c r="GE150" s="422"/>
      <c r="GF150" s="422"/>
      <c r="GG150" s="422"/>
      <c r="GH150" s="422"/>
      <c r="GI150" s="422"/>
      <c r="GJ150" s="422"/>
      <c r="GK150" s="422"/>
      <c r="GL150" s="422"/>
      <c r="GM150" s="422"/>
      <c r="GN150" s="422"/>
      <c r="GO150" s="422"/>
      <c r="GP150" s="422"/>
      <c r="GQ150" s="422"/>
      <c r="GR150" s="422"/>
      <c r="GS150" s="422"/>
      <c r="IC150" s="422"/>
      <c r="ID150" s="422"/>
      <c r="IE150" s="422"/>
      <c r="IG150" s="422"/>
      <c r="IH150" s="422"/>
      <c r="II150" s="422"/>
      <c r="IJ150" s="422"/>
      <c r="IK150" s="422"/>
      <c r="IL150" s="422"/>
      <c r="IM150" s="422"/>
      <c r="IN150" s="422"/>
      <c r="IO150" s="422"/>
      <c r="IP150" s="422"/>
      <c r="IQ150" s="422"/>
      <c r="IR150" s="422"/>
      <c r="IS150" s="422"/>
      <c r="KC150" s="422"/>
      <c r="KD150" s="422"/>
      <c r="KE150" s="422"/>
      <c r="KG150" s="422"/>
      <c r="KH150" s="422"/>
      <c r="KI150" s="422"/>
      <c r="KJ150" s="422"/>
      <c r="KK150" s="422"/>
      <c r="KL150" s="422"/>
      <c r="KM150" s="422"/>
      <c r="KN150" s="422"/>
      <c r="KO150" s="422"/>
      <c r="KP150" s="422"/>
      <c r="KQ150" s="422"/>
      <c r="KR150" s="422"/>
      <c r="KS150" s="422"/>
      <c r="MC150" s="422"/>
      <c r="MD150" s="422"/>
      <c r="ME150" s="422"/>
      <c r="MG150" s="422"/>
      <c r="MH150" s="422"/>
      <c r="MI150" s="422"/>
      <c r="MJ150" s="422"/>
      <c r="MK150" s="422"/>
      <c r="ML150" s="422"/>
      <c r="MM150" s="422"/>
      <c r="MN150" s="422"/>
      <c r="MO150" s="422"/>
      <c r="MP150" s="422"/>
      <c r="MQ150" s="422"/>
      <c r="MR150" s="422"/>
      <c r="MS150" s="422"/>
      <c r="OC150" s="422"/>
      <c r="OD150" s="422"/>
      <c r="OE150" s="422"/>
      <c r="OG150" s="422"/>
      <c r="OH150" s="422"/>
      <c r="OI150" s="422"/>
      <c r="OJ150" s="422"/>
      <c r="OK150" s="422"/>
      <c r="OL150" s="422"/>
      <c r="OM150" s="422"/>
      <c r="ON150" s="422"/>
      <c r="OO150" s="422"/>
      <c r="OP150" s="422"/>
      <c r="OQ150" s="422"/>
      <c r="OR150" s="422"/>
      <c r="OS150" s="422"/>
      <c r="QC150" s="422"/>
      <c r="QD150" s="422"/>
      <c r="QE150" s="422"/>
      <c r="QG150" s="422"/>
      <c r="QH150" s="422"/>
      <c r="QI150" s="422"/>
      <c r="QJ150" s="422"/>
      <c r="QK150" s="422"/>
      <c r="QL150" s="422"/>
      <c r="QM150" s="422"/>
      <c r="QN150" s="422"/>
      <c r="QO150" s="422"/>
      <c r="QP150" s="422"/>
      <c r="QQ150" s="422"/>
      <c r="QR150" s="422"/>
      <c r="QS150" s="422"/>
      <c r="SC150" s="422"/>
      <c r="SD150" s="422"/>
      <c r="SE150" s="422"/>
      <c r="SG150" s="422"/>
      <c r="SH150" s="422"/>
      <c r="SI150" s="422"/>
      <c r="SJ150" s="422"/>
      <c r="SK150" s="422"/>
      <c r="SL150" s="422"/>
      <c r="SM150" s="422"/>
      <c r="SN150" s="422"/>
      <c r="SO150" s="422"/>
      <c r="SP150" s="422"/>
      <c r="SQ150" s="422"/>
      <c r="SR150" s="422"/>
      <c r="SS150" s="422"/>
      <c r="TC150" s="716"/>
      <c r="TD150" s="716"/>
      <c r="TE150" s="716"/>
      <c r="TG150" s="716"/>
      <c r="TH150" s="716"/>
      <c r="TI150" s="716"/>
      <c r="TJ150" s="716"/>
      <c r="TK150" s="716"/>
      <c r="TL150" s="716"/>
      <c r="TM150" s="716"/>
      <c r="TN150" s="716"/>
      <c r="TO150" s="716"/>
      <c r="TP150" s="716"/>
      <c r="TQ150" s="716"/>
      <c r="TR150" s="716"/>
      <c r="TS150" s="716"/>
      <c r="UC150" s="716"/>
      <c r="UD150" s="716"/>
      <c r="UE150" s="716"/>
      <c r="UG150" s="716"/>
      <c r="UH150" s="716"/>
      <c r="UI150" s="716"/>
      <c r="UJ150" s="716"/>
      <c r="UK150" s="716"/>
      <c r="UL150" s="716"/>
      <c r="UM150" s="716"/>
      <c r="UN150" s="716"/>
      <c r="UO150" s="716"/>
      <c r="UP150" s="716"/>
      <c r="UQ150" s="716"/>
      <c r="UR150" s="716"/>
      <c r="US150" s="716"/>
    </row>
    <row r="151" spans="133:565">
      <c r="EC151" s="276"/>
      <c r="ED151" s="296"/>
      <c r="EE151" s="422"/>
      <c r="EF151" s="422"/>
      <c r="EG151" s="422"/>
      <c r="EH151" s="1369"/>
      <c r="EI151" s="1369"/>
      <c r="EJ151" s="296"/>
      <c r="EK151" s="1369"/>
      <c r="EL151" s="422"/>
      <c r="EM151" s="422"/>
      <c r="EN151" s="422"/>
      <c r="EO151" s="478"/>
      <c r="EP151" s="276"/>
      <c r="EQ151" s="422"/>
      <c r="ER151" s="422"/>
      <c r="ES151" s="422"/>
      <c r="ET151" s="296"/>
      <c r="EU151" s="296"/>
      <c r="EV151" s="422"/>
      <c r="EW151" s="422"/>
      <c r="GC151" s="422"/>
      <c r="GD151" s="422"/>
      <c r="GE151" s="422"/>
      <c r="GF151" s="422"/>
      <c r="GG151" s="422"/>
      <c r="GH151" s="422"/>
      <c r="GI151" s="422"/>
      <c r="GJ151" s="422"/>
      <c r="GK151" s="422"/>
      <c r="GL151" s="422"/>
      <c r="GM151" s="422"/>
      <c r="GN151" s="422"/>
      <c r="GO151" s="422"/>
      <c r="GP151" s="422"/>
      <c r="GQ151" s="422"/>
      <c r="GR151" s="422"/>
      <c r="GS151" s="422"/>
      <c r="IC151" s="422"/>
      <c r="ID151" s="422"/>
      <c r="IE151" s="422"/>
      <c r="IG151" s="422"/>
      <c r="IH151" s="422"/>
      <c r="II151" s="422"/>
      <c r="IJ151" s="422"/>
      <c r="IK151" s="422"/>
      <c r="IL151" s="422"/>
      <c r="IM151" s="422"/>
      <c r="IN151" s="422"/>
      <c r="IO151" s="422"/>
      <c r="IP151" s="422"/>
      <c r="IQ151" s="422"/>
      <c r="IR151" s="422"/>
      <c r="IS151" s="422"/>
      <c r="KC151" s="422"/>
      <c r="KD151" s="422"/>
      <c r="KE151" s="422"/>
      <c r="KG151" s="422"/>
      <c r="KH151" s="422"/>
      <c r="KI151" s="422"/>
      <c r="KJ151" s="422"/>
      <c r="KK151" s="422"/>
      <c r="KL151" s="422"/>
      <c r="KM151" s="422"/>
      <c r="KN151" s="422"/>
      <c r="KO151" s="422"/>
      <c r="KP151" s="422"/>
      <c r="KQ151" s="422"/>
      <c r="KR151" s="422"/>
      <c r="KS151" s="422"/>
      <c r="MC151" s="422"/>
      <c r="MD151" s="422"/>
      <c r="ME151" s="422"/>
      <c r="MG151" s="422"/>
      <c r="MH151" s="422"/>
      <c r="MI151" s="422"/>
      <c r="MJ151" s="422"/>
      <c r="MK151" s="422"/>
      <c r="ML151" s="422"/>
      <c r="MM151" s="422"/>
      <c r="MN151" s="422"/>
      <c r="MO151" s="422"/>
      <c r="MP151" s="422"/>
      <c r="MQ151" s="422"/>
      <c r="MR151" s="422"/>
      <c r="MS151" s="422"/>
      <c r="OC151" s="422"/>
      <c r="OD151" s="422"/>
      <c r="OE151" s="422"/>
      <c r="OG151" s="422"/>
      <c r="OH151" s="422"/>
      <c r="OI151" s="422"/>
      <c r="OJ151" s="422"/>
      <c r="OK151" s="422"/>
      <c r="OL151" s="422"/>
      <c r="OM151" s="422"/>
      <c r="ON151" s="422"/>
      <c r="OO151" s="422"/>
      <c r="OP151" s="422"/>
      <c r="OQ151" s="422"/>
      <c r="OR151" s="422"/>
      <c r="OS151" s="422"/>
      <c r="QC151" s="422"/>
      <c r="QD151" s="422"/>
      <c r="QE151" s="422"/>
      <c r="QG151" s="422"/>
      <c r="QH151" s="422"/>
      <c r="QI151" s="422"/>
      <c r="QJ151" s="422"/>
      <c r="QK151" s="422"/>
      <c r="QL151" s="422"/>
      <c r="QM151" s="422"/>
      <c r="QN151" s="422"/>
      <c r="QO151" s="422"/>
      <c r="QP151" s="422"/>
      <c r="QQ151" s="422"/>
      <c r="QR151" s="422"/>
      <c r="QS151" s="422"/>
      <c r="SC151" s="422"/>
      <c r="SD151" s="422"/>
      <c r="SE151" s="422"/>
      <c r="SG151" s="422"/>
      <c r="SH151" s="422"/>
      <c r="SI151" s="422"/>
      <c r="SJ151" s="422"/>
      <c r="SK151" s="422"/>
      <c r="SL151" s="422"/>
      <c r="SM151" s="422"/>
      <c r="SN151" s="422"/>
      <c r="SO151" s="422"/>
      <c r="SP151" s="422"/>
      <c r="SQ151" s="422"/>
      <c r="SR151" s="422"/>
      <c r="SS151" s="422"/>
      <c r="TC151" s="716"/>
      <c r="TD151" s="716"/>
      <c r="TE151" s="716"/>
      <c r="TG151" s="716"/>
      <c r="TH151" s="716"/>
      <c r="TI151" s="716"/>
      <c r="TJ151" s="716"/>
      <c r="TK151" s="716"/>
      <c r="TL151" s="716"/>
      <c r="TM151" s="716"/>
      <c r="TN151" s="716"/>
      <c r="TO151" s="716"/>
      <c r="TP151" s="716"/>
      <c r="TQ151" s="716"/>
      <c r="TR151" s="716"/>
      <c r="TS151" s="716"/>
      <c r="UC151" s="716"/>
      <c r="UD151" s="716"/>
      <c r="UE151" s="716"/>
      <c r="UG151" s="716"/>
      <c r="UH151" s="716"/>
      <c r="UI151" s="716"/>
      <c r="UJ151" s="716"/>
      <c r="UK151" s="716"/>
      <c r="UL151" s="716"/>
      <c r="UM151" s="716"/>
      <c r="UN151" s="716"/>
      <c r="UO151" s="716"/>
      <c r="UP151" s="716"/>
      <c r="UQ151" s="716"/>
      <c r="UR151" s="716"/>
      <c r="US151" s="716"/>
    </row>
    <row r="152" spans="133:565">
      <c r="EC152" s="276"/>
      <c r="ED152" s="296"/>
      <c r="EE152" s="422"/>
      <c r="EF152" s="422"/>
      <c r="EG152" s="422"/>
      <c r="EH152" s="1369"/>
      <c r="EI152" s="1369"/>
      <c r="EJ152" s="296"/>
      <c r="EK152" s="1369"/>
      <c r="EL152" s="422"/>
      <c r="EM152" s="422"/>
      <c r="EN152" s="422"/>
      <c r="EO152" s="478"/>
      <c r="EP152" s="276"/>
      <c r="EQ152" s="422"/>
      <c r="ER152" s="422"/>
      <c r="ES152" s="422"/>
      <c r="ET152" s="296"/>
      <c r="EU152" s="296"/>
      <c r="EV152" s="422"/>
      <c r="EW152" s="422"/>
      <c r="GC152" s="422"/>
      <c r="GD152" s="422"/>
      <c r="GE152" s="422"/>
      <c r="GF152" s="422"/>
      <c r="GG152" s="422"/>
      <c r="GH152" s="422"/>
      <c r="GI152" s="422"/>
      <c r="GJ152" s="422"/>
      <c r="GK152" s="422"/>
      <c r="GL152" s="422"/>
      <c r="GM152" s="422"/>
      <c r="GN152" s="422"/>
      <c r="GO152" s="422"/>
      <c r="GP152" s="422"/>
      <c r="GQ152" s="422"/>
      <c r="GR152" s="422"/>
      <c r="GS152" s="422"/>
      <c r="IC152" s="422"/>
      <c r="ID152" s="422"/>
      <c r="IE152" s="422"/>
      <c r="IG152" s="422"/>
      <c r="IH152" s="422"/>
      <c r="II152" s="422"/>
      <c r="IJ152" s="422"/>
      <c r="IK152" s="422"/>
      <c r="IL152" s="422"/>
      <c r="IM152" s="422"/>
      <c r="IN152" s="422"/>
      <c r="IO152" s="422"/>
      <c r="IP152" s="422"/>
      <c r="IQ152" s="422"/>
      <c r="IR152" s="422"/>
      <c r="IS152" s="422"/>
      <c r="KC152" s="422"/>
      <c r="KD152" s="422"/>
      <c r="KE152" s="422"/>
      <c r="KG152" s="422"/>
      <c r="KH152" s="422"/>
      <c r="KI152" s="422"/>
      <c r="KJ152" s="422"/>
      <c r="KK152" s="422"/>
      <c r="KL152" s="422"/>
      <c r="KM152" s="422"/>
      <c r="KN152" s="422"/>
      <c r="KO152" s="422"/>
      <c r="KP152" s="422"/>
      <c r="KQ152" s="422"/>
      <c r="KR152" s="422"/>
      <c r="KS152" s="422"/>
      <c r="MC152" s="422"/>
      <c r="MD152" s="422"/>
      <c r="ME152" s="422"/>
      <c r="MG152" s="422"/>
      <c r="MH152" s="422"/>
      <c r="MI152" s="422"/>
      <c r="MJ152" s="422"/>
      <c r="MK152" s="422"/>
      <c r="ML152" s="422"/>
      <c r="MM152" s="422"/>
      <c r="MN152" s="422"/>
      <c r="MO152" s="422"/>
      <c r="MP152" s="422"/>
      <c r="MQ152" s="422"/>
      <c r="MR152" s="422"/>
      <c r="MS152" s="422"/>
      <c r="OC152" s="422"/>
      <c r="OD152" s="422"/>
      <c r="OE152" s="422"/>
      <c r="OG152" s="422"/>
      <c r="OH152" s="422"/>
      <c r="OI152" s="422"/>
      <c r="OJ152" s="422"/>
      <c r="OK152" s="422"/>
      <c r="OL152" s="422"/>
      <c r="OM152" s="422"/>
      <c r="ON152" s="422"/>
      <c r="OO152" s="422"/>
      <c r="OP152" s="422"/>
      <c r="OQ152" s="422"/>
      <c r="OR152" s="422"/>
      <c r="OS152" s="422"/>
      <c r="QC152" s="422"/>
      <c r="QD152" s="422"/>
      <c r="QE152" s="422"/>
      <c r="QG152" s="422"/>
      <c r="QH152" s="422"/>
      <c r="QI152" s="422"/>
      <c r="QJ152" s="422"/>
      <c r="QK152" s="422"/>
      <c r="QL152" s="422"/>
      <c r="QM152" s="422"/>
      <c r="QN152" s="422"/>
      <c r="QO152" s="422"/>
      <c r="QP152" s="422"/>
      <c r="QQ152" s="422"/>
      <c r="QR152" s="422"/>
      <c r="QS152" s="422"/>
      <c r="SC152" s="422"/>
      <c r="SD152" s="422"/>
      <c r="SE152" s="422"/>
      <c r="SG152" s="422"/>
      <c r="SH152" s="422"/>
      <c r="SI152" s="422"/>
      <c r="SJ152" s="422"/>
      <c r="SK152" s="422"/>
      <c r="SL152" s="422"/>
      <c r="SM152" s="422"/>
      <c r="SN152" s="422"/>
      <c r="SO152" s="422"/>
      <c r="SP152" s="422"/>
      <c r="SQ152" s="422"/>
      <c r="SR152" s="422"/>
      <c r="SS152" s="422"/>
      <c r="TC152" s="716"/>
      <c r="TD152" s="716"/>
      <c r="TE152" s="716"/>
      <c r="TG152" s="716"/>
      <c r="TH152" s="716"/>
      <c r="TI152" s="716"/>
      <c r="TJ152" s="716"/>
      <c r="TK152" s="716"/>
      <c r="TL152" s="716"/>
      <c r="TM152" s="716"/>
      <c r="TN152" s="716"/>
      <c r="TO152" s="716"/>
      <c r="TP152" s="716"/>
      <c r="TQ152" s="716"/>
      <c r="TR152" s="716"/>
      <c r="TS152" s="716"/>
      <c r="UC152" s="716"/>
      <c r="UD152" s="716"/>
      <c r="UE152" s="716"/>
      <c r="UG152" s="716"/>
      <c r="UH152" s="716"/>
      <c r="UI152" s="716"/>
      <c r="UJ152" s="716"/>
      <c r="UK152" s="716"/>
      <c r="UL152" s="716"/>
      <c r="UM152" s="716"/>
      <c r="UN152" s="716"/>
      <c r="UO152" s="716"/>
      <c r="UP152" s="716"/>
      <c r="UQ152" s="716"/>
      <c r="UR152" s="716"/>
      <c r="US152" s="716"/>
    </row>
    <row r="153" spans="133:565">
      <c r="EC153" s="276"/>
      <c r="ED153" s="296"/>
      <c r="EE153" s="422"/>
      <c r="EF153" s="422"/>
      <c r="EG153" s="422"/>
      <c r="EH153" s="1369"/>
      <c r="EI153" s="1369"/>
      <c r="EJ153" s="296"/>
      <c r="EK153" s="1369"/>
      <c r="EL153" s="422"/>
      <c r="EM153" s="422"/>
      <c r="EN153" s="422"/>
      <c r="EO153" s="478"/>
      <c r="EP153" s="276"/>
      <c r="EQ153" s="422"/>
      <c r="ER153" s="422"/>
      <c r="ES153" s="422"/>
      <c r="ET153" s="296"/>
      <c r="EU153" s="296"/>
      <c r="EV153" s="422"/>
      <c r="EW153" s="422"/>
      <c r="GC153" s="422"/>
      <c r="GD153" s="422"/>
      <c r="GE153" s="422"/>
      <c r="GF153" s="422"/>
      <c r="GG153" s="422"/>
      <c r="GH153" s="422"/>
      <c r="GI153" s="422"/>
      <c r="GJ153" s="422"/>
      <c r="GK153" s="422"/>
      <c r="GL153" s="422"/>
      <c r="GM153" s="422"/>
      <c r="GN153" s="422"/>
      <c r="GO153" s="422"/>
      <c r="GP153" s="422"/>
      <c r="GQ153" s="422"/>
      <c r="GR153" s="422"/>
      <c r="GS153" s="422"/>
      <c r="IC153" s="422"/>
      <c r="ID153" s="422"/>
      <c r="IE153" s="422"/>
      <c r="IG153" s="422"/>
      <c r="IH153" s="422"/>
      <c r="II153" s="422"/>
      <c r="IJ153" s="422"/>
      <c r="IK153" s="422"/>
      <c r="IL153" s="422"/>
      <c r="IM153" s="422"/>
      <c r="IN153" s="422"/>
      <c r="IO153" s="422"/>
      <c r="IP153" s="422"/>
      <c r="IQ153" s="422"/>
      <c r="IR153" s="422"/>
      <c r="IS153" s="422"/>
      <c r="KC153" s="422"/>
      <c r="KD153" s="422"/>
      <c r="KE153" s="422"/>
      <c r="KG153" s="422"/>
      <c r="KH153" s="422"/>
      <c r="KI153" s="422"/>
      <c r="KJ153" s="422"/>
      <c r="KK153" s="422"/>
      <c r="KL153" s="422"/>
      <c r="KM153" s="422"/>
      <c r="KN153" s="422"/>
      <c r="KO153" s="422"/>
      <c r="KP153" s="422"/>
      <c r="KQ153" s="422"/>
      <c r="KR153" s="422"/>
      <c r="KS153" s="422"/>
      <c r="MC153" s="422"/>
      <c r="MD153" s="422"/>
      <c r="ME153" s="422"/>
      <c r="MG153" s="422"/>
      <c r="MH153" s="422"/>
      <c r="MI153" s="422"/>
      <c r="MJ153" s="422"/>
      <c r="MK153" s="422"/>
      <c r="ML153" s="422"/>
      <c r="MM153" s="422"/>
      <c r="MN153" s="422"/>
      <c r="MO153" s="422"/>
      <c r="MP153" s="422"/>
      <c r="MQ153" s="422"/>
      <c r="MR153" s="422"/>
      <c r="MS153" s="422"/>
      <c r="OC153" s="422"/>
      <c r="OD153" s="422"/>
      <c r="OE153" s="422"/>
      <c r="OG153" s="422"/>
      <c r="OH153" s="422"/>
      <c r="OI153" s="422"/>
      <c r="OJ153" s="422"/>
      <c r="OK153" s="422"/>
      <c r="OL153" s="422"/>
      <c r="OM153" s="422"/>
      <c r="ON153" s="422"/>
      <c r="OO153" s="422"/>
      <c r="OP153" s="422"/>
      <c r="OQ153" s="422"/>
      <c r="OR153" s="422"/>
      <c r="OS153" s="422"/>
      <c r="QC153" s="422"/>
      <c r="QD153" s="422"/>
      <c r="QE153" s="422"/>
      <c r="QG153" s="422"/>
      <c r="QH153" s="422"/>
      <c r="QI153" s="422"/>
      <c r="QJ153" s="422"/>
      <c r="QK153" s="422"/>
      <c r="QL153" s="422"/>
      <c r="QM153" s="422"/>
      <c r="QN153" s="422"/>
      <c r="QO153" s="422"/>
      <c r="QP153" s="422"/>
      <c r="QQ153" s="422"/>
      <c r="QR153" s="422"/>
      <c r="QS153" s="422"/>
      <c r="SC153" s="422"/>
      <c r="SD153" s="422"/>
      <c r="SE153" s="422"/>
      <c r="SG153" s="422"/>
      <c r="SH153" s="422"/>
      <c r="SI153" s="422"/>
      <c r="SJ153" s="422"/>
      <c r="SK153" s="422"/>
      <c r="SL153" s="422"/>
      <c r="SM153" s="422"/>
      <c r="SN153" s="422"/>
      <c r="SO153" s="422"/>
      <c r="SP153" s="422"/>
      <c r="SQ153" s="422"/>
      <c r="SR153" s="422"/>
      <c r="SS153" s="422"/>
      <c r="TC153" s="716"/>
      <c r="TD153" s="716"/>
      <c r="TE153" s="716"/>
      <c r="TG153" s="716"/>
      <c r="TH153" s="716"/>
      <c r="TI153" s="716"/>
      <c r="TJ153" s="716"/>
      <c r="TK153" s="716"/>
      <c r="TL153" s="716"/>
      <c r="TM153" s="716"/>
      <c r="TN153" s="716"/>
      <c r="TO153" s="716"/>
      <c r="TP153" s="716"/>
      <c r="TQ153" s="716"/>
      <c r="TR153" s="716"/>
      <c r="TS153" s="716"/>
      <c r="UC153" s="716"/>
      <c r="UD153" s="716"/>
      <c r="UE153" s="716"/>
      <c r="UG153" s="716"/>
      <c r="UH153" s="716"/>
      <c r="UI153" s="716"/>
      <c r="UJ153" s="716"/>
      <c r="UK153" s="716"/>
      <c r="UL153" s="716"/>
      <c r="UM153" s="716"/>
      <c r="UN153" s="716"/>
      <c r="UO153" s="716"/>
      <c r="UP153" s="716"/>
      <c r="UQ153" s="716"/>
      <c r="UR153" s="716"/>
      <c r="US153" s="716"/>
    </row>
    <row r="154" spans="133:565">
      <c r="EC154" s="276"/>
      <c r="ED154" s="296"/>
      <c r="EE154" s="422"/>
      <c r="EF154" s="422"/>
      <c r="EG154" s="422"/>
      <c r="EH154" s="1369"/>
      <c r="EI154" s="1369"/>
      <c r="EJ154" s="296"/>
      <c r="EK154" s="1369"/>
      <c r="EL154" s="422"/>
      <c r="EM154" s="422"/>
      <c r="EN154" s="422"/>
      <c r="EO154" s="478"/>
      <c r="EP154" s="276"/>
      <c r="EQ154" s="422"/>
      <c r="ER154" s="422"/>
      <c r="ES154" s="422"/>
      <c r="ET154" s="296"/>
      <c r="EU154" s="296"/>
      <c r="EV154" s="422"/>
      <c r="EW154" s="422"/>
      <c r="GC154" s="422"/>
      <c r="GD154" s="422"/>
      <c r="GE154" s="422"/>
      <c r="GF154" s="422"/>
      <c r="GG154" s="422"/>
      <c r="GH154" s="422"/>
      <c r="GI154" s="422"/>
      <c r="GJ154" s="422"/>
      <c r="GK154" s="422"/>
      <c r="GL154" s="422"/>
      <c r="GM154" s="422"/>
      <c r="GN154" s="422"/>
      <c r="GO154" s="422"/>
      <c r="GP154" s="422"/>
      <c r="GQ154" s="422"/>
      <c r="GR154" s="422"/>
      <c r="GS154" s="422"/>
      <c r="IC154" s="422"/>
      <c r="ID154" s="422"/>
      <c r="IE154" s="422"/>
      <c r="IG154" s="422"/>
      <c r="IH154" s="422"/>
      <c r="II154" s="422"/>
      <c r="IJ154" s="422"/>
      <c r="IK154" s="422"/>
      <c r="IL154" s="422"/>
      <c r="IM154" s="422"/>
      <c r="IN154" s="422"/>
      <c r="IO154" s="422"/>
      <c r="IP154" s="422"/>
      <c r="IQ154" s="422"/>
      <c r="IR154" s="422"/>
      <c r="IS154" s="422"/>
      <c r="KC154" s="422"/>
      <c r="KD154" s="422"/>
      <c r="KE154" s="422"/>
      <c r="KG154" s="422"/>
      <c r="KH154" s="422"/>
      <c r="KI154" s="422"/>
      <c r="KJ154" s="422"/>
      <c r="KK154" s="422"/>
      <c r="KL154" s="422"/>
      <c r="KM154" s="422"/>
      <c r="KN154" s="422"/>
      <c r="KO154" s="422"/>
      <c r="KP154" s="422"/>
      <c r="KQ154" s="422"/>
      <c r="KR154" s="422"/>
      <c r="KS154" s="422"/>
      <c r="MC154" s="422"/>
      <c r="MD154" s="422"/>
      <c r="ME154" s="422"/>
      <c r="MG154" s="422"/>
      <c r="MH154" s="422"/>
      <c r="MI154" s="422"/>
      <c r="MJ154" s="422"/>
      <c r="MK154" s="422"/>
      <c r="ML154" s="422"/>
      <c r="MM154" s="422"/>
      <c r="MN154" s="422"/>
      <c r="MO154" s="422"/>
      <c r="MP154" s="422"/>
      <c r="MQ154" s="422"/>
      <c r="MR154" s="422"/>
      <c r="MS154" s="422"/>
      <c r="OC154" s="422"/>
      <c r="OD154" s="422"/>
      <c r="OE154" s="422"/>
      <c r="OG154" s="422"/>
      <c r="OH154" s="422"/>
      <c r="OI154" s="422"/>
      <c r="OJ154" s="422"/>
      <c r="OK154" s="422"/>
      <c r="OL154" s="422"/>
      <c r="OM154" s="422"/>
      <c r="ON154" s="422"/>
      <c r="OO154" s="422"/>
      <c r="OP154" s="422"/>
      <c r="OQ154" s="422"/>
      <c r="OR154" s="422"/>
      <c r="OS154" s="422"/>
      <c r="QC154" s="422"/>
      <c r="QD154" s="422"/>
      <c r="QE154" s="422"/>
      <c r="QG154" s="422"/>
      <c r="QH154" s="422"/>
      <c r="QI154" s="422"/>
      <c r="QJ154" s="422"/>
      <c r="QK154" s="422"/>
      <c r="QL154" s="422"/>
      <c r="QM154" s="422"/>
      <c r="QN154" s="422"/>
      <c r="QO154" s="422"/>
      <c r="QP154" s="422"/>
      <c r="QQ154" s="422"/>
      <c r="QR154" s="422"/>
      <c r="QS154" s="422"/>
      <c r="SC154" s="422"/>
      <c r="SD154" s="422"/>
      <c r="SE154" s="422"/>
      <c r="SG154" s="422"/>
      <c r="SH154" s="422"/>
      <c r="SI154" s="422"/>
      <c r="SJ154" s="422"/>
      <c r="SK154" s="422"/>
      <c r="SL154" s="422"/>
      <c r="SM154" s="422"/>
      <c r="SN154" s="422"/>
      <c r="SO154" s="422"/>
      <c r="SP154" s="422"/>
      <c r="SQ154" s="422"/>
      <c r="SR154" s="422"/>
      <c r="SS154" s="422"/>
      <c r="TC154" s="716"/>
      <c r="TD154" s="716"/>
      <c r="TE154" s="716"/>
      <c r="TG154" s="716"/>
      <c r="TH154" s="716"/>
      <c r="TI154" s="716"/>
      <c r="TJ154" s="716"/>
      <c r="TK154" s="716"/>
      <c r="TL154" s="716"/>
      <c r="TM154" s="716"/>
      <c r="TN154" s="716"/>
      <c r="TO154" s="716"/>
      <c r="TP154" s="716"/>
      <c r="TQ154" s="716"/>
      <c r="TR154" s="716"/>
      <c r="TS154" s="716"/>
      <c r="UC154" s="716"/>
      <c r="UD154" s="716"/>
      <c r="UE154" s="716"/>
      <c r="UG154" s="716"/>
      <c r="UH154" s="716"/>
      <c r="UI154" s="716"/>
      <c r="UJ154" s="716"/>
      <c r="UK154" s="716"/>
      <c r="UL154" s="716"/>
      <c r="UM154" s="716"/>
      <c r="UN154" s="716"/>
      <c r="UO154" s="716"/>
      <c r="UP154" s="716"/>
      <c r="UQ154" s="716"/>
      <c r="UR154" s="716"/>
      <c r="US154" s="716"/>
    </row>
    <row r="155" spans="133:565">
      <c r="EC155" s="276"/>
      <c r="ED155" s="296"/>
      <c r="EE155" s="422"/>
      <c r="EF155" s="422"/>
      <c r="EG155" s="422"/>
      <c r="EH155" s="1369"/>
      <c r="EI155" s="1369"/>
      <c r="EJ155" s="296"/>
      <c r="EK155" s="1369"/>
      <c r="EL155" s="422"/>
      <c r="EM155" s="422"/>
      <c r="EN155" s="422"/>
      <c r="EO155" s="478"/>
      <c r="EP155" s="276"/>
      <c r="EQ155" s="422"/>
      <c r="ER155" s="422"/>
      <c r="ES155" s="422"/>
      <c r="ET155" s="296"/>
      <c r="EU155" s="296"/>
      <c r="EV155" s="422"/>
      <c r="EW155" s="422"/>
      <c r="GC155" s="422"/>
      <c r="GD155" s="422"/>
      <c r="GE155" s="422"/>
      <c r="GF155" s="422"/>
      <c r="GG155" s="422"/>
      <c r="GH155" s="422"/>
      <c r="GI155" s="422"/>
      <c r="GJ155" s="422"/>
      <c r="GK155" s="422"/>
      <c r="GL155" s="422"/>
      <c r="GM155" s="422"/>
      <c r="GN155" s="422"/>
      <c r="GO155" s="422"/>
      <c r="GP155" s="422"/>
      <c r="GQ155" s="422"/>
      <c r="GR155" s="422"/>
      <c r="GS155" s="422"/>
      <c r="IC155" s="422"/>
      <c r="ID155" s="422"/>
      <c r="IE155" s="422"/>
      <c r="IG155" s="422"/>
      <c r="IH155" s="422"/>
      <c r="II155" s="422"/>
      <c r="IJ155" s="422"/>
      <c r="IK155" s="422"/>
      <c r="IL155" s="422"/>
      <c r="IM155" s="422"/>
      <c r="IN155" s="422"/>
      <c r="IO155" s="422"/>
      <c r="IP155" s="422"/>
      <c r="IQ155" s="422"/>
      <c r="IR155" s="422"/>
      <c r="IS155" s="422"/>
      <c r="KC155" s="422"/>
      <c r="KD155" s="422"/>
      <c r="KE155" s="422"/>
      <c r="KG155" s="422"/>
      <c r="KH155" s="422"/>
      <c r="KI155" s="422"/>
      <c r="KJ155" s="422"/>
      <c r="KK155" s="422"/>
      <c r="KL155" s="422"/>
      <c r="KM155" s="422"/>
      <c r="KN155" s="422"/>
      <c r="KO155" s="422"/>
      <c r="KP155" s="422"/>
      <c r="KQ155" s="422"/>
      <c r="KR155" s="422"/>
      <c r="KS155" s="422"/>
      <c r="MC155" s="422"/>
      <c r="MD155" s="422"/>
      <c r="ME155" s="422"/>
      <c r="MG155" s="422"/>
      <c r="MH155" s="422"/>
      <c r="MI155" s="422"/>
      <c r="MJ155" s="422"/>
      <c r="MK155" s="422"/>
      <c r="ML155" s="422"/>
      <c r="MM155" s="422"/>
      <c r="MN155" s="422"/>
      <c r="MO155" s="422"/>
      <c r="MP155" s="422"/>
      <c r="MQ155" s="422"/>
      <c r="MR155" s="422"/>
      <c r="MS155" s="422"/>
      <c r="OC155" s="422"/>
      <c r="OD155" s="422"/>
      <c r="OE155" s="422"/>
      <c r="OG155" s="422"/>
      <c r="OH155" s="422"/>
      <c r="OI155" s="422"/>
      <c r="OJ155" s="422"/>
      <c r="OK155" s="422"/>
      <c r="OL155" s="422"/>
      <c r="OM155" s="422"/>
      <c r="ON155" s="422"/>
      <c r="OO155" s="422"/>
      <c r="OP155" s="422"/>
      <c r="OQ155" s="422"/>
      <c r="OR155" s="422"/>
      <c r="OS155" s="422"/>
      <c r="QC155" s="422"/>
      <c r="QD155" s="422"/>
      <c r="QE155" s="422"/>
      <c r="QG155" s="422"/>
      <c r="QH155" s="422"/>
      <c r="QI155" s="422"/>
      <c r="QJ155" s="422"/>
      <c r="QK155" s="422"/>
      <c r="QL155" s="422"/>
      <c r="QM155" s="422"/>
      <c r="QN155" s="422"/>
      <c r="QO155" s="422"/>
      <c r="QP155" s="422"/>
      <c r="QQ155" s="422"/>
      <c r="QR155" s="422"/>
      <c r="QS155" s="422"/>
      <c r="SC155" s="422"/>
      <c r="SD155" s="422"/>
      <c r="SE155" s="422"/>
      <c r="SG155" s="422"/>
      <c r="SH155" s="422"/>
      <c r="SI155" s="422"/>
      <c r="SJ155" s="422"/>
      <c r="SK155" s="422"/>
      <c r="SL155" s="422"/>
      <c r="SM155" s="422"/>
      <c r="SN155" s="422"/>
      <c r="SO155" s="422"/>
      <c r="SP155" s="422"/>
      <c r="SQ155" s="422"/>
      <c r="SR155" s="422"/>
      <c r="SS155" s="422"/>
      <c r="TC155" s="716"/>
      <c r="TD155" s="716"/>
      <c r="TE155" s="716"/>
      <c r="TG155" s="716"/>
      <c r="TH155" s="716"/>
      <c r="TI155" s="716"/>
      <c r="TJ155" s="716"/>
      <c r="TK155" s="716"/>
      <c r="TL155" s="716"/>
      <c r="TM155" s="716"/>
      <c r="TN155" s="716"/>
      <c r="TO155" s="716"/>
      <c r="TP155" s="716"/>
      <c r="TQ155" s="716"/>
      <c r="TR155" s="716"/>
      <c r="TS155" s="716"/>
      <c r="UC155" s="716"/>
      <c r="UD155" s="716"/>
      <c r="UE155" s="716"/>
      <c r="UG155" s="716"/>
      <c r="UH155" s="716"/>
      <c r="UI155" s="716"/>
      <c r="UJ155" s="716"/>
      <c r="UK155" s="716"/>
      <c r="UL155" s="716"/>
      <c r="UM155" s="716"/>
      <c r="UN155" s="716"/>
      <c r="UO155" s="716"/>
      <c r="UP155" s="716"/>
      <c r="UQ155" s="716"/>
      <c r="UR155" s="716"/>
      <c r="US155" s="716"/>
    </row>
    <row r="156" spans="133:565">
      <c r="EC156" s="276"/>
      <c r="ED156" s="296"/>
      <c r="EE156" s="422"/>
      <c r="EF156" s="422"/>
      <c r="EG156" s="422"/>
      <c r="EH156" s="1369"/>
      <c r="EI156" s="1369"/>
      <c r="EJ156" s="296"/>
      <c r="EK156" s="1369"/>
      <c r="EL156" s="422"/>
      <c r="EM156" s="422"/>
      <c r="EN156" s="422"/>
      <c r="EO156" s="478"/>
      <c r="EP156" s="276"/>
      <c r="EQ156" s="422"/>
      <c r="ER156" s="422"/>
      <c r="ES156" s="422"/>
      <c r="ET156" s="296"/>
      <c r="EU156" s="296"/>
      <c r="EV156" s="422"/>
      <c r="EW156" s="422"/>
      <c r="GC156" s="422"/>
      <c r="GD156" s="422"/>
      <c r="GE156" s="422"/>
      <c r="GF156" s="422"/>
      <c r="GG156" s="422"/>
      <c r="GH156" s="422"/>
      <c r="GI156" s="422"/>
      <c r="GJ156" s="422"/>
      <c r="GK156" s="422"/>
      <c r="GL156" s="422"/>
      <c r="GM156" s="422"/>
      <c r="GN156" s="422"/>
      <c r="GO156" s="422"/>
      <c r="GP156" s="422"/>
      <c r="GQ156" s="422"/>
      <c r="GR156" s="422"/>
      <c r="GS156" s="422"/>
      <c r="IC156" s="422"/>
      <c r="ID156" s="422"/>
      <c r="IE156" s="422"/>
      <c r="IG156" s="422"/>
      <c r="IH156" s="422"/>
      <c r="II156" s="422"/>
      <c r="IJ156" s="422"/>
      <c r="IK156" s="422"/>
      <c r="IL156" s="422"/>
      <c r="IM156" s="422"/>
      <c r="IN156" s="422"/>
      <c r="IO156" s="422"/>
      <c r="IP156" s="422"/>
      <c r="IQ156" s="422"/>
      <c r="IR156" s="422"/>
      <c r="IS156" s="422"/>
      <c r="KC156" s="422"/>
      <c r="KD156" s="422"/>
      <c r="KE156" s="422"/>
      <c r="KG156" s="422"/>
      <c r="KH156" s="422"/>
      <c r="KI156" s="422"/>
      <c r="KJ156" s="422"/>
      <c r="KK156" s="422"/>
      <c r="KL156" s="422"/>
      <c r="KM156" s="422"/>
      <c r="KN156" s="422"/>
      <c r="KO156" s="422"/>
      <c r="KP156" s="422"/>
      <c r="KQ156" s="422"/>
      <c r="KR156" s="422"/>
      <c r="KS156" s="422"/>
      <c r="MC156" s="422"/>
      <c r="MD156" s="422"/>
      <c r="ME156" s="422"/>
      <c r="MG156" s="422"/>
      <c r="MH156" s="422"/>
      <c r="MI156" s="422"/>
      <c r="MJ156" s="422"/>
      <c r="MK156" s="422"/>
      <c r="ML156" s="422"/>
      <c r="MM156" s="422"/>
      <c r="MN156" s="422"/>
      <c r="MO156" s="422"/>
      <c r="MP156" s="422"/>
      <c r="MQ156" s="422"/>
      <c r="MR156" s="422"/>
      <c r="MS156" s="422"/>
      <c r="OC156" s="422"/>
      <c r="OD156" s="422"/>
      <c r="OE156" s="422"/>
      <c r="OG156" s="422"/>
      <c r="OH156" s="422"/>
      <c r="OI156" s="422"/>
      <c r="OJ156" s="422"/>
      <c r="OK156" s="422"/>
      <c r="OL156" s="422"/>
      <c r="OM156" s="422"/>
      <c r="ON156" s="422"/>
      <c r="OO156" s="422"/>
      <c r="OP156" s="422"/>
      <c r="OQ156" s="422"/>
      <c r="OR156" s="422"/>
      <c r="OS156" s="422"/>
      <c r="QC156" s="422"/>
      <c r="QD156" s="422"/>
      <c r="QE156" s="422"/>
      <c r="QG156" s="422"/>
      <c r="QH156" s="422"/>
      <c r="QI156" s="422"/>
      <c r="QJ156" s="422"/>
      <c r="QK156" s="422"/>
      <c r="QL156" s="422"/>
      <c r="QM156" s="422"/>
      <c r="QN156" s="422"/>
      <c r="QO156" s="422"/>
      <c r="QP156" s="422"/>
      <c r="QQ156" s="422"/>
      <c r="QR156" s="422"/>
      <c r="QS156" s="422"/>
      <c r="SC156" s="422"/>
      <c r="SD156" s="422"/>
      <c r="SE156" s="422"/>
      <c r="SG156" s="422"/>
      <c r="SH156" s="422"/>
      <c r="SI156" s="422"/>
      <c r="SJ156" s="422"/>
      <c r="SK156" s="422"/>
      <c r="SL156" s="422"/>
      <c r="SM156" s="422"/>
      <c r="SN156" s="422"/>
      <c r="SO156" s="422"/>
      <c r="SP156" s="422"/>
      <c r="SQ156" s="422"/>
      <c r="SR156" s="422"/>
      <c r="SS156" s="422"/>
      <c r="TC156" s="716"/>
      <c r="TD156" s="716"/>
      <c r="TE156" s="716"/>
      <c r="TG156" s="716"/>
      <c r="TH156" s="716"/>
      <c r="TI156" s="716"/>
      <c r="TJ156" s="716"/>
      <c r="TK156" s="716"/>
      <c r="TL156" s="716"/>
      <c r="TM156" s="716"/>
      <c r="TN156" s="716"/>
      <c r="TO156" s="716"/>
      <c r="TP156" s="716"/>
      <c r="TQ156" s="716"/>
      <c r="TR156" s="716"/>
      <c r="TS156" s="716"/>
      <c r="UC156" s="716"/>
      <c r="UD156" s="716"/>
      <c r="UE156" s="716"/>
      <c r="UG156" s="716"/>
      <c r="UH156" s="716"/>
      <c r="UI156" s="716"/>
      <c r="UJ156" s="716"/>
      <c r="UK156" s="716"/>
      <c r="UL156" s="716"/>
      <c r="UM156" s="716"/>
      <c r="UN156" s="716"/>
      <c r="UO156" s="716"/>
      <c r="UP156" s="716"/>
      <c r="UQ156" s="716"/>
      <c r="UR156" s="716"/>
      <c r="US156" s="716"/>
    </row>
    <row r="157" spans="133:565">
      <c r="EC157" s="276"/>
      <c r="ED157" s="296"/>
      <c r="EE157" s="422"/>
      <c r="EF157" s="422"/>
      <c r="EG157" s="422"/>
      <c r="EH157" s="1369"/>
      <c r="EI157" s="1369"/>
      <c r="EJ157" s="296"/>
      <c r="EK157" s="1369"/>
      <c r="EL157" s="422"/>
      <c r="EM157" s="422"/>
      <c r="EN157" s="422"/>
      <c r="EO157" s="478"/>
      <c r="EP157" s="276"/>
      <c r="EQ157" s="422"/>
      <c r="ER157" s="422"/>
      <c r="ES157" s="422"/>
      <c r="ET157" s="296"/>
      <c r="EU157" s="296"/>
      <c r="EV157" s="422"/>
      <c r="EW157" s="422"/>
      <c r="GC157" s="422"/>
      <c r="GD157" s="422"/>
      <c r="GE157" s="422"/>
      <c r="GF157" s="422"/>
      <c r="GG157" s="422"/>
      <c r="GH157" s="422"/>
      <c r="GI157" s="422"/>
      <c r="GJ157" s="422"/>
      <c r="GK157" s="422"/>
      <c r="GL157" s="422"/>
      <c r="GM157" s="422"/>
      <c r="GN157" s="422"/>
      <c r="GO157" s="422"/>
      <c r="GP157" s="422"/>
      <c r="GQ157" s="422"/>
      <c r="GR157" s="422"/>
      <c r="GS157" s="422"/>
      <c r="IC157" s="422"/>
      <c r="ID157" s="422"/>
      <c r="IE157" s="422"/>
      <c r="IG157" s="422"/>
      <c r="IH157" s="422"/>
      <c r="II157" s="422"/>
      <c r="IJ157" s="422"/>
      <c r="IK157" s="422"/>
      <c r="IL157" s="422"/>
      <c r="IM157" s="422"/>
      <c r="IN157" s="422"/>
      <c r="IO157" s="422"/>
      <c r="IP157" s="422"/>
      <c r="IQ157" s="422"/>
      <c r="IR157" s="422"/>
      <c r="IS157" s="422"/>
      <c r="KC157" s="422"/>
      <c r="KD157" s="422"/>
      <c r="KE157" s="422"/>
      <c r="KG157" s="422"/>
      <c r="KH157" s="422"/>
      <c r="KI157" s="422"/>
      <c r="KJ157" s="422"/>
      <c r="KK157" s="422"/>
      <c r="KL157" s="422"/>
      <c r="KM157" s="422"/>
      <c r="KN157" s="422"/>
      <c r="KO157" s="422"/>
      <c r="KP157" s="422"/>
      <c r="KQ157" s="422"/>
      <c r="KR157" s="422"/>
      <c r="KS157" s="422"/>
      <c r="MC157" s="422"/>
      <c r="MD157" s="422"/>
      <c r="ME157" s="422"/>
      <c r="MG157" s="422"/>
      <c r="MH157" s="422"/>
      <c r="MI157" s="422"/>
      <c r="MJ157" s="422"/>
      <c r="MK157" s="422"/>
      <c r="ML157" s="422"/>
      <c r="MM157" s="422"/>
      <c r="MN157" s="422"/>
      <c r="MO157" s="422"/>
      <c r="MP157" s="422"/>
      <c r="MQ157" s="422"/>
      <c r="MR157" s="422"/>
      <c r="MS157" s="422"/>
      <c r="OC157" s="422"/>
      <c r="OD157" s="422"/>
      <c r="OE157" s="422"/>
      <c r="OG157" s="422"/>
      <c r="OH157" s="422"/>
      <c r="OI157" s="422"/>
      <c r="OJ157" s="422"/>
      <c r="OK157" s="422"/>
      <c r="OL157" s="422"/>
      <c r="OM157" s="422"/>
      <c r="ON157" s="422"/>
      <c r="OO157" s="422"/>
      <c r="OP157" s="422"/>
      <c r="OQ157" s="422"/>
      <c r="OR157" s="422"/>
      <c r="OS157" s="422"/>
      <c r="QC157" s="422"/>
      <c r="QD157" s="422"/>
      <c r="QE157" s="422"/>
      <c r="QG157" s="422"/>
      <c r="QH157" s="422"/>
      <c r="QI157" s="422"/>
      <c r="QJ157" s="422"/>
      <c r="QK157" s="422"/>
      <c r="QL157" s="422"/>
      <c r="QM157" s="422"/>
      <c r="QN157" s="422"/>
      <c r="QO157" s="422"/>
      <c r="QP157" s="422"/>
      <c r="QQ157" s="422"/>
      <c r="QR157" s="422"/>
      <c r="QS157" s="422"/>
      <c r="SC157" s="422"/>
      <c r="SD157" s="422"/>
      <c r="SE157" s="422"/>
      <c r="SG157" s="422"/>
      <c r="SH157" s="422"/>
      <c r="SI157" s="422"/>
      <c r="SJ157" s="422"/>
      <c r="SK157" s="422"/>
      <c r="SL157" s="422"/>
      <c r="SM157" s="422"/>
      <c r="SN157" s="422"/>
      <c r="SO157" s="422"/>
      <c r="SP157" s="422"/>
      <c r="SQ157" s="422"/>
      <c r="SR157" s="422"/>
      <c r="SS157" s="422"/>
      <c r="TC157" s="716"/>
      <c r="TD157" s="716"/>
      <c r="TE157" s="716"/>
      <c r="TG157" s="716"/>
      <c r="TH157" s="716"/>
      <c r="TI157" s="716"/>
      <c r="TJ157" s="716"/>
      <c r="TK157" s="716"/>
      <c r="TL157" s="716"/>
      <c r="TM157" s="716"/>
      <c r="TN157" s="716"/>
      <c r="TO157" s="716"/>
      <c r="TP157" s="716"/>
      <c r="TQ157" s="716"/>
      <c r="TR157" s="716"/>
      <c r="TS157" s="716"/>
      <c r="UC157" s="716"/>
      <c r="UD157" s="716"/>
      <c r="UE157" s="716"/>
      <c r="UG157" s="716"/>
      <c r="UH157" s="716"/>
      <c r="UI157" s="716"/>
      <c r="UJ157" s="716"/>
      <c r="UK157" s="716"/>
      <c r="UL157" s="716"/>
      <c r="UM157" s="716"/>
      <c r="UN157" s="716"/>
      <c r="UO157" s="716"/>
      <c r="UP157" s="716"/>
      <c r="UQ157" s="716"/>
      <c r="UR157" s="716"/>
      <c r="US157" s="716"/>
    </row>
    <row r="158" spans="133:565">
      <c r="EC158" s="276"/>
      <c r="ED158" s="296"/>
      <c r="EE158" s="422"/>
      <c r="EF158" s="422"/>
      <c r="EG158" s="422"/>
      <c r="EH158" s="1369"/>
      <c r="EI158" s="1369"/>
      <c r="EJ158" s="296"/>
      <c r="EK158" s="1369"/>
      <c r="EL158" s="422"/>
      <c r="EM158" s="422"/>
      <c r="EN158" s="422"/>
      <c r="EO158" s="478"/>
      <c r="EP158" s="276"/>
      <c r="EQ158" s="422"/>
      <c r="ER158" s="422"/>
      <c r="ES158" s="422"/>
      <c r="ET158" s="296"/>
      <c r="EU158" s="296"/>
      <c r="EV158" s="422"/>
      <c r="EW158" s="422"/>
      <c r="GC158" s="422"/>
      <c r="GD158" s="422"/>
      <c r="GE158" s="422"/>
      <c r="GF158" s="422"/>
      <c r="GG158" s="422"/>
      <c r="GH158" s="422"/>
      <c r="GI158" s="422"/>
      <c r="GJ158" s="422"/>
      <c r="GK158" s="422"/>
      <c r="GL158" s="422"/>
      <c r="GM158" s="422"/>
      <c r="GN158" s="422"/>
      <c r="GO158" s="422"/>
      <c r="GP158" s="422"/>
      <c r="GQ158" s="422"/>
      <c r="GR158" s="422"/>
      <c r="GS158" s="422"/>
      <c r="IC158" s="422"/>
      <c r="ID158" s="422"/>
      <c r="IE158" s="422"/>
      <c r="IG158" s="422"/>
      <c r="IH158" s="422"/>
      <c r="II158" s="422"/>
      <c r="IJ158" s="422"/>
      <c r="IK158" s="422"/>
      <c r="IL158" s="422"/>
      <c r="IM158" s="422"/>
      <c r="IN158" s="422"/>
      <c r="IO158" s="422"/>
      <c r="IP158" s="422"/>
      <c r="IQ158" s="422"/>
      <c r="IR158" s="422"/>
      <c r="IS158" s="422"/>
      <c r="KC158" s="422"/>
      <c r="KD158" s="422"/>
      <c r="KE158" s="422"/>
      <c r="KG158" s="422"/>
      <c r="KH158" s="422"/>
      <c r="KI158" s="422"/>
      <c r="KJ158" s="422"/>
      <c r="KK158" s="422"/>
      <c r="KL158" s="422"/>
      <c r="KM158" s="422"/>
      <c r="KN158" s="422"/>
      <c r="KO158" s="422"/>
      <c r="KP158" s="422"/>
      <c r="KQ158" s="422"/>
      <c r="KR158" s="422"/>
      <c r="KS158" s="422"/>
      <c r="MC158" s="422"/>
      <c r="MD158" s="422"/>
      <c r="ME158" s="422"/>
      <c r="MG158" s="422"/>
      <c r="MH158" s="422"/>
      <c r="MI158" s="422"/>
      <c r="MJ158" s="422"/>
      <c r="MK158" s="422"/>
      <c r="ML158" s="422"/>
      <c r="MM158" s="422"/>
      <c r="MN158" s="422"/>
      <c r="MO158" s="422"/>
      <c r="MP158" s="422"/>
      <c r="MQ158" s="422"/>
      <c r="MR158" s="422"/>
      <c r="MS158" s="422"/>
      <c r="OC158" s="422"/>
      <c r="OD158" s="422"/>
      <c r="OE158" s="422"/>
      <c r="OG158" s="422"/>
      <c r="OH158" s="422"/>
      <c r="OI158" s="422"/>
      <c r="OJ158" s="422"/>
      <c r="OK158" s="422"/>
      <c r="OL158" s="422"/>
      <c r="OM158" s="422"/>
      <c r="ON158" s="422"/>
      <c r="OO158" s="422"/>
      <c r="OP158" s="422"/>
      <c r="OQ158" s="422"/>
      <c r="OR158" s="422"/>
      <c r="OS158" s="422"/>
      <c r="QC158" s="422"/>
      <c r="QD158" s="422"/>
      <c r="QE158" s="422"/>
      <c r="QG158" s="422"/>
      <c r="QH158" s="422"/>
      <c r="QI158" s="422"/>
      <c r="QJ158" s="422"/>
      <c r="QK158" s="422"/>
      <c r="QL158" s="422"/>
      <c r="QM158" s="422"/>
      <c r="QN158" s="422"/>
      <c r="QO158" s="422"/>
      <c r="QP158" s="422"/>
      <c r="QQ158" s="422"/>
      <c r="QR158" s="422"/>
      <c r="QS158" s="422"/>
      <c r="SC158" s="422"/>
      <c r="SD158" s="422"/>
      <c r="SE158" s="422"/>
      <c r="SG158" s="422"/>
      <c r="SH158" s="422"/>
      <c r="SI158" s="422"/>
      <c r="SJ158" s="422"/>
      <c r="SK158" s="422"/>
      <c r="SL158" s="422"/>
      <c r="SM158" s="422"/>
      <c r="SN158" s="422"/>
      <c r="SO158" s="422"/>
      <c r="SP158" s="422"/>
      <c r="SQ158" s="422"/>
      <c r="SR158" s="422"/>
      <c r="SS158" s="422"/>
      <c r="TC158" s="716"/>
      <c r="TD158" s="716"/>
      <c r="TE158" s="716"/>
      <c r="TG158" s="716"/>
      <c r="TH158" s="716"/>
      <c r="TI158" s="716"/>
      <c r="TJ158" s="716"/>
      <c r="TK158" s="716"/>
      <c r="TL158" s="716"/>
      <c r="TM158" s="716"/>
      <c r="TN158" s="716"/>
      <c r="TO158" s="716"/>
      <c r="TP158" s="716"/>
      <c r="TQ158" s="716"/>
      <c r="TR158" s="716"/>
      <c r="TS158" s="716"/>
      <c r="UC158" s="716"/>
      <c r="UD158" s="716"/>
      <c r="UE158" s="716"/>
      <c r="UG158" s="716"/>
      <c r="UH158" s="716"/>
      <c r="UI158" s="716"/>
      <c r="UJ158" s="716"/>
      <c r="UK158" s="716"/>
      <c r="UL158" s="716"/>
      <c r="UM158" s="716"/>
      <c r="UN158" s="716"/>
      <c r="UO158" s="716"/>
      <c r="UP158" s="716"/>
      <c r="UQ158" s="716"/>
      <c r="UR158" s="716"/>
      <c r="US158" s="716"/>
    </row>
    <row r="159" spans="133:565">
      <c r="EC159" s="276"/>
      <c r="ED159" s="296"/>
      <c r="EE159" s="422"/>
      <c r="EF159" s="422"/>
      <c r="EG159" s="422"/>
      <c r="EH159" s="1369"/>
      <c r="EI159" s="1369"/>
      <c r="EJ159" s="296"/>
      <c r="EK159" s="1369"/>
      <c r="EL159" s="422"/>
      <c r="EM159" s="422"/>
      <c r="EN159" s="422"/>
      <c r="EO159" s="478"/>
      <c r="EP159" s="276"/>
      <c r="EQ159" s="422"/>
      <c r="ER159" s="422"/>
      <c r="ES159" s="422"/>
      <c r="ET159" s="296"/>
      <c r="EU159" s="296"/>
      <c r="EV159" s="422"/>
      <c r="EW159" s="422"/>
      <c r="GC159" s="422"/>
      <c r="GD159" s="422"/>
      <c r="GE159" s="422"/>
      <c r="GF159" s="422"/>
      <c r="GG159" s="422"/>
      <c r="GH159" s="422"/>
      <c r="GI159" s="422"/>
      <c r="GJ159" s="422"/>
      <c r="GK159" s="422"/>
      <c r="GL159" s="422"/>
      <c r="GM159" s="422"/>
      <c r="GN159" s="422"/>
      <c r="GO159" s="422"/>
      <c r="GP159" s="422"/>
      <c r="GQ159" s="422"/>
      <c r="GR159" s="422"/>
      <c r="GS159" s="422"/>
      <c r="IC159" s="422"/>
      <c r="ID159" s="422"/>
      <c r="IE159" s="422"/>
      <c r="IG159" s="422"/>
      <c r="IH159" s="422"/>
      <c r="II159" s="422"/>
      <c r="IJ159" s="422"/>
      <c r="IK159" s="422"/>
      <c r="IL159" s="422"/>
      <c r="IM159" s="422"/>
      <c r="IN159" s="422"/>
      <c r="IO159" s="422"/>
      <c r="IP159" s="422"/>
      <c r="IQ159" s="422"/>
      <c r="IR159" s="422"/>
      <c r="IS159" s="422"/>
      <c r="KC159" s="422"/>
      <c r="KD159" s="422"/>
      <c r="KE159" s="422"/>
      <c r="KG159" s="422"/>
      <c r="KH159" s="422"/>
      <c r="KI159" s="422"/>
      <c r="KJ159" s="422"/>
      <c r="KK159" s="422"/>
      <c r="KL159" s="422"/>
      <c r="KM159" s="422"/>
      <c r="KN159" s="422"/>
      <c r="KO159" s="422"/>
      <c r="KP159" s="422"/>
      <c r="KQ159" s="422"/>
      <c r="KR159" s="422"/>
      <c r="KS159" s="422"/>
      <c r="MC159" s="422"/>
      <c r="MD159" s="422"/>
      <c r="ME159" s="422"/>
      <c r="MG159" s="422"/>
      <c r="MH159" s="422"/>
      <c r="MI159" s="422"/>
      <c r="MJ159" s="422"/>
      <c r="MK159" s="422"/>
      <c r="ML159" s="422"/>
      <c r="MM159" s="422"/>
      <c r="MN159" s="422"/>
      <c r="MO159" s="422"/>
      <c r="MP159" s="422"/>
      <c r="MQ159" s="422"/>
      <c r="MR159" s="422"/>
      <c r="MS159" s="422"/>
      <c r="OC159" s="422"/>
      <c r="OD159" s="422"/>
      <c r="OE159" s="422"/>
      <c r="OG159" s="422"/>
      <c r="OH159" s="422"/>
      <c r="OI159" s="422"/>
      <c r="OJ159" s="422"/>
      <c r="OK159" s="422"/>
      <c r="OL159" s="422"/>
      <c r="OM159" s="422"/>
      <c r="ON159" s="422"/>
      <c r="OO159" s="422"/>
      <c r="OP159" s="422"/>
      <c r="OQ159" s="422"/>
      <c r="OR159" s="422"/>
      <c r="OS159" s="422"/>
      <c r="QC159" s="422"/>
      <c r="QD159" s="422"/>
      <c r="QE159" s="422"/>
      <c r="QG159" s="422"/>
      <c r="QH159" s="422"/>
      <c r="QI159" s="422"/>
      <c r="QJ159" s="422"/>
      <c r="QK159" s="422"/>
      <c r="QL159" s="422"/>
      <c r="QM159" s="422"/>
      <c r="QN159" s="422"/>
      <c r="QO159" s="422"/>
      <c r="QP159" s="422"/>
      <c r="QQ159" s="422"/>
      <c r="QR159" s="422"/>
      <c r="QS159" s="422"/>
      <c r="SC159" s="422"/>
      <c r="SD159" s="422"/>
      <c r="SE159" s="422"/>
      <c r="SG159" s="422"/>
      <c r="SH159" s="422"/>
      <c r="SI159" s="422"/>
      <c r="SJ159" s="422"/>
      <c r="SK159" s="422"/>
      <c r="SL159" s="422"/>
      <c r="SM159" s="422"/>
      <c r="SN159" s="422"/>
      <c r="SO159" s="422"/>
      <c r="SP159" s="422"/>
      <c r="SQ159" s="422"/>
      <c r="SR159" s="422"/>
      <c r="SS159" s="422"/>
      <c r="TC159" s="716"/>
      <c r="TD159" s="716"/>
      <c r="TE159" s="716"/>
      <c r="TG159" s="716"/>
      <c r="TH159" s="716"/>
      <c r="TI159" s="716"/>
      <c r="TJ159" s="716"/>
      <c r="TK159" s="716"/>
      <c r="TL159" s="716"/>
      <c r="TM159" s="716"/>
      <c r="TN159" s="716"/>
      <c r="TO159" s="716"/>
      <c r="TP159" s="716"/>
      <c r="TQ159" s="716"/>
      <c r="TR159" s="716"/>
      <c r="TS159" s="716"/>
      <c r="UC159" s="716"/>
      <c r="UD159" s="716"/>
      <c r="UE159" s="716"/>
      <c r="UG159" s="716"/>
      <c r="UH159" s="716"/>
      <c r="UI159" s="716"/>
      <c r="UJ159" s="716"/>
      <c r="UK159" s="716"/>
      <c r="UL159" s="716"/>
      <c r="UM159" s="716"/>
      <c r="UN159" s="716"/>
      <c r="UO159" s="716"/>
      <c r="UP159" s="716"/>
      <c r="UQ159" s="716"/>
      <c r="UR159" s="716"/>
      <c r="US159" s="716"/>
    </row>
    <row r="160" spans="133:565">
      <c r="EC160" s="276"/>
      <c r="ED160" s="296"/>
      <c r="EE160" s="422"/>
      <c r="EF160" s="422"/>
      <c r="EG160" s="422"/>
      <c r="EH160" s="1369"/>
      <c r="EI160" s="1369"/>
      <c r="EJ160" s="296"/>
      <c r="EK160" s="1369"/>
      <c r="EL160" s="422"/>
      <c r="EM160" s="422"/>
      <c r="EN160" s="422"/>
      <c r="EO160" s="478"/>
      <c r="EP160" s="276"/>
      <c r="EQ160" s="422"/>
      <c r="ER160" s="422"/>
      <c r="ES160" s="422"/>
      <c r="ET160" s="296"/>
      <c r="EU160" s="296"/>
      <c r="EV160" s="422"/>
      <c r="EW160" s="422"/>
      <c r="GC160" s="422"/>
      <c r="GD160" s="422"/>
      <c r="GE160" s="422"/>
      <c r="GF160" s="422"/>
      <c r="GG160" s="422"/>
      <c r="GH160" s="422"/>
      <c r="GI160" s="422"/>
      <c r="GJ160" s="422"/>
      <c r="GK160" s="422"/>
      <c r="GL160" s="422"/>
      <c r="GM160" s="422"/>
      <c r="GN160" s="422"/>
      <c r="GO160" s="422"/>
      <c r="GP160" s="422"/>
      <c r="GQ160" s="422"/>
      <c r="GR160" s="422"/>
      <c r="GS160" s="422"/>
      <c r="IC160" s="422"/>
      <c r="ID160" s="422"/>
      <c r="IE160" s="422"/>
      <c r="IG160" s="422"/>
      <c r="IH160" s="422"/>
      <c r="II160" s="422"/>
      <c r="IJ160" s="422"/>
      <c r="IK160" s="422"/>
      <c r="IL160" s="422"/>
      <c r="IM160" s="422"/>
      <c r="IN160" s="422"/>
      <c r="IO160" s="422"/>
      <c r="IP160" s="422"/>
      <c r="IQ160" s="422"/>
      <c r="IR160" s="422"/>
      <c r="IS160" s="422"/>
      <c r="KC160" s="422"/>
      <c r="KD160" s="422"/>
      <c r="KE160" s="422"/>
      <c r="KG160" s="422"/>
      <c r="KH160" s="422"/>
      <c r="KI160" s="422"/>
      <c r="KJ160" s="422"/>
      <c r="KK160" s="422"/>
      <c r="KL160" s="422"/>
      <c r="KM160" s="422"/>
      <c r="KN160" s="422"/>
      <c r="KO160" s="422"/>
      <c r="KP160" s="422"/>
      <c r="KQ160" s="422"/>
      <c r="KR160" s="422"/>
      <c r="KS160" s="422"/>
      <c r="MC160" s="422"/>
      <c r="MD160" s="422"/>
      <c r="ME160" s="422"/>
      <c r="MG160" s="422"/>
      <c r="MH160" s="422"/>
      <c r="MI160" s="422"/>
      <c r="MJ160" s="422"/>
      <c r="MK160" s="422"/>
      <c r="ML160" s="422"/>
      <c r="MM160" s="422"/>
      <c r="MN160" s="422"/>
      <c r="MO160" s="422"/>
      <c r="MP160" s="422"/>
      <c r="MQ160" s="422"/>
      <c r="MR160" s="422"/>
      <c r="MS160" s="422"/>
      <c r="OC160" s="422"/>
      <c r="OD160" s="422"/>
      <c r="OE160" s="422"/>
      <c r="OG160" s="422"/>
      <c r="OH160" s="422"/>
      <c r="OI160" s="422"/>
      <c r="OJ160" s="422"/>
      <c r="OK160" s="422"/>
      <c r="OL160" s="422"/>
      <c r="OM160" s="422"/>
      <c r="ON160" s="422"/>
      <c r="OO160" s="422"/>
      <c r="OP160" s="422"/>
      <c r="OQ160" s="422"/>
      <c r="OR160" s="422"/>
      <c r="OS160" s="422"/>
      <c r="QC160" s="422"/>
      <c r="QD160" s="422"/>
      <c r="QE160" s="422"/>
      <c r="QG160" s="422"/>
      <c r="QH160" s="422"/>
      <c r="QI160" s="422"/>
      <c r="QJ160" s="422"/>
      <c r="QK160" s="422"/>
      <c r="QL160" s="422"/>
      <c r="QM160" s="422"/>
      <c r="QN160" s="422"/>
      <c r="QO160" s="422"/>
      <c r="QP160" s="422"/>
      <c r="QQ160" s="422"/>
      <c r="QR160" s="422"/>
      <c r="QS160" s="422"/>
      <c r="SC160" s="422"/>
      <c r="SD160" s="422"/>
      <c r="SE160" s="422"/>
      <c r="SG160" s="422"/>
      <c r="SH160" s="422"/>
      <c r="SI160" s="422"/>
      <c r="SJ160" s="422"/>
      <c r="SK160" s="422"/>
      <c r="SL160" s="422"/>
      <c r="SM160" s="422"/>
      <c r="SN160" s="422"/>
      <c r="SO160" s="422"/>
      <c r="SP160" s="422"/>
      <c r="SQ160" s="422"/>
      <c r="SR160" s="422"/>
      <c r="SS160" s="422"/>
      <c r="TC160" s="716"/>
      <c r="TD160" s="716"/>
      <c r="TE160" s="716"/>
      <c r="TG160" s="716"/>
      <c r="TH160" s="716"/>
      <c r="TI160" s="716"/>
      <c r="TJ160" s="716"/>
      <c r="TK160" s="716"/>
      <c r="TL160" s="716"/>
      <c r="TM160" s="716"/>
      <c r="TN160" s="716"/>
      <c r="TO160" s="716"/>
      <c r="TP160" s="716"/>
      <c r="TQ160" s="716"/>
      <c r="TR160" s="716"/>
      <c r="TS160" s="716"/>
      <c r="UC160" s="716"/>
      <c r="UD160" s="716"/>
      <c r="UE160" s="716"/>
      <c r="UG160" s="716"/>
      <c r="UH160" s="716"/>
      <c r="UI160" s="716"/>
      <c r="UJ160" s="716"/>
      <c r="UK160" s="716"/>
      <c r="UL160" s="716"/>
      <c r="UM160" s="716"/>
      <c r="UN160" s="716"/>
      <c r="UO160" s="716"/>
      <c r="UP160" s="716"/>
      <c r="UQ160" s="716"/>
      <c r="UR160" s="716"/>
      <c r="US160" s="716"/>
    </row>
    <row r="161" spans="133:565">
      <c r="EC161" s="276"/>
      <c r="ED161" s="296"/>
      <c r="EE161" s="422"/>
      <c r="EF161" s="422"/>
      <c r="EG161" s="422"/>
      <c r="EH161" s="1369"/>
      <c r="EI161" s="1369"/>
      <c r="EJ161" s="296"/>
      <c r="EK161" s="1369"/>
      <c r="EL161" s="422"/>
      <c r="EM161" s="422"/>
      <c r="EN161" s="422"/>
      <c r="EO161" s="478"/>
      <c r="EP161" s="276"/>
      <c r="EQ161" s="422"/>
      <c r="ER161" s="422"/>
      <c r="ES161" s="422"/>
      <c r="ET161" s="296"/>
      <c r="EU161" s="296"/>
      <c r="EV161" s="422"/>
      <c r="EW161" s="422"/>
      <c r="GC161" s="422"/>
      <c r="GD161" s="422"/>
      <c r="GE161" s="422"/>
      <c r="GF161" s="422"/>
      <c r="GG161" s="422"/>
      <c r="GH161" s="422"/>
      <c r="GI161" s="422"/>
      <c r="GJ161" s="422"/>
      <c r="GK161" s="422"/>
      <c r="GL161" s="422"/>
      <c r="GM161" s="422"/>
      <c r="GN161" s="422"/>
      <c r="GO161" s="422"/>
      <c r="GP161" s="422"/>
      <c r="GQ161" s="422"/>
      <c r="GR161" s="422"/>
      <c r="GS161" s="422"/>
      <c r="IC161" s="422"/>
      <c r="ID161" s="422"/>
      <c r="IE161" s="422"/>
      <c r="IG161" s="422"/>
      <c r="IH161" s="422"/>
      <c r="II161" s="422"/>
      <c r="IJ161" s="422"/>
      <c r="IK161" s="422"/>
      <c r="IL161" s="422"/>
      <c r="IM161" s="422"/>
      <c r="IN161" s="422"/>
      <c r="IO161" s="422"/>
      <c r="IP161" s="422"/>
      <c r="IQ161" s="422"/>
      <c r="IR161" s="422"/>
      <c r="IS161" s="422"/>
      <c r="KC161" s="422"/>
      <c r="KD161" s="422"/>
      <c r="KE161" s="422"/>
      <c r="KG161" s="422"/>
      <c r="KH161" s="422"/>
      <c r="KI161" s="422"/>
      <c r="KJ161" s="422"/>
      <c r="KK161" s="422"/>
      <c r="KL161" s="422"/>
      <c r="KM161" s="422"/>
      <c r="KN161" s="422"/>
      <c r="KO161" s="422"/>
      <c r="KP161" s="422"/>
      <c r="KQ161" s="422"/>
      <c r="KR161" s="422"/>
      <c r="KS161" s="422"/>
      <c r="MC161" s="422"/>
      <c r="MD161" s="422"/>
      <c r="ME161" s="422"/>
      <c r="MG161" s="422"/>
      <c r="MH161" s="422"/>
      <c r="MI161" s="422"/>
      <c r="MJ161" s="422"/>
      <c r="MK161" s="422"/>
      <c r="ML161" s="422"/>
      <c r="MM161" s="422"/>
      <c r="MN161" s="422"/>
      <c r="MO161" s="422"/>
      <c r="MP161" s="422"/>
      <c r="MQ161" s="422"/>
      <c r="MR161" s="422"/>
      <c r="MS161" s="422"/>
      <c r="OC161" s="422"/>
      <c r="OD161" s="422"/>
      <c r="OE161" s="422"/>
      <c r="OG161" s="422"/>
      <c r="OH161" s="422"/>
      <c r="OI161" s="422"/>
      <c r="OJ161" s="422"/>
      <c r="OK161" s="422"/>
      <c r="OL161" s="422"/>
      <c r="OM161" s="422"/>
      <c r="ON161" s="422"/>
      <c r="OO161" s="422"/>
      <c r="OP161" s="422"/>
      <c r="OQ161" s="422"/>
      <c r="OR161" s="422"/>
      <c r="OS161" s="422"/>
      <c r="QC161" s="422"/>
      <c r="QD161" s="422"/>
      <c r="QE161" s="422"/>
      <c r="QG161" s="422"/>
      <c r="QH161" s="422"/>
      <c r="QI161" s="422"/>
      <c r="QJ161" s="422"/>
      <c r="QK161" s="422"/>
      <c r="QL161" s="422"/>
      <c r="QM161" s="422"/>
      <c r="QN161" s="422"/>
      <c r="QO161" s="422"/>
      <c r="QP161" s="422"/>
      <c r="QQ161" s="422"/>
      <c r="QR161" s="422"/>
      <c r="QS161" s="422"/>
      <c r="SC161" s="422"/>
      <c r="SD161" s="422"/>
      <c r="SE161" s="422"/>
      <c r="SG161" s="422"/>
      <c r="SH161" s="422"/>
      <c r="SI161" s="422"/>
      <c r="SJ161" s="422"/>
      <c r="SK161" s="422"/>
      <c r="SL161" s="422"/>
      <c r="SM161" s="422"/>
      <c r="SN161" s="422"/>
      <c r="SO161" s="422"/>
      <c r="SP161" s="422"/>
      <c r="SQ161" s="422"/>
      <c r="SR161" s="422"/>
      <c r="SS161" s="422"/>
      <c r="TC161" s="716"/>
      <c r="TD161" s="716"/>
      <c r="TE161" s="716"/>
      <c r="TG161" s="716"/>
      <c r="TH161" s="716"/>
      <c r="TI161" s="716"/>
      <c r="TJ161" s="716"/>
      <c r="TK161" s="716"/>
      <c r="TL161" s="716"/>
      <c r="TM161" s="716"/>
      <c r="TN161" s="716"/>
      <c r="TO161" s="716"/>
      <c r="TP161" s="716"/>
      <c r="TQ161" s="716"/>
      <c r="TR161" s="716"/>
      <c r="TS161" s="716"/>
      <c r="UC161" s="716"/>
      <c r="UD161" s="716"/>
      <c r="UE161" s="716"/>
      <c r="UG161" s="716"/>
      <c r="UH161" s="716"/>
      <c r="UI161" s="716"/>
      <c r="UJ161" s="716"/>
      <c r="UK161" s="716"/>
      <c r="UL161" s="716"/>
      <c r="UM161" s="716"/>
      <c r="UN161" s="716"/>
      <c r="UO161" s="716"/>
      <c r="UP161" s="716"/>
      <c r="UQ161" s="716"/>
      <c r="UR161" s="716"/>
      <c r="US161" s="716"/>
    </row>
    <row r="162" spans="133:565">
      <c r="EC162" s="276"/>
      <c r="ED162" s="296"/>
      <c r="EE162" s="422"/>
      <c r="EF162" s="422"/>
      <c r="EG162" s="422"/>
      <c r="EH162" s="1369"/>
      <c r="EI162" s="1369"/>
      <c r="EJ162" s="296"/>
      <c r="EK162" s="1369"/>
      <c r="EL162" s="422"/>
      <c r="EM162" s="422"/>
      <c r="EN162" s="422"/>
      <c r="EO162" s="478"/>
      <c r="EP162" s="276"/>
      <c r="EQ162" s="422"/>
      <c r="ER162" s="422"/>
      <c r="ES162" s="422"/>
      <c r="ET162" s="296"/>
      <c r="EU162" s="296"/>
      <c r="EV162" s="422"/>
      <c r="EW162" s="422"/>
      <c r="GC162" s="422"/>
      <c r="GD162" s="422"/>
      <c r="GE162" s="422"/>
      <c r="GF162" s="422"/>
      <c r="GG162" s="422"/>
      <c r="GH162" s="422"/>
      <c r="GI162" s="422"/>
      <c r="GJ162" s="422"/>
      <c r="GK162" s="422"/>
      <c r="GL162" s="422"/>
      <c r="GM162" s="422"/>
      <c r="GN162" s="422"/>
      <c r="GO162" s="422"/>
      <c r="GP162" s="422"/>
      <c r="GQ162" s="422"/>
      <c r="GR162" s="422"/>
      <c r="GS162" s="422"/>
      <c r="IC162" s="422"/>
      <c r="ID162" s="422"/>
      <c r="IE162" s="422"/>
      <c r="IG162" s="422"/>
      <c r="IH162" s="422"/>
      <c r="II162" s="422"/>
      <c r="IJ162" s="422"/>
      <c r="IK162" s="422"/>
      <c r="IL162" s="422"/>
      <c r="IM162" s="422"/>
      <c r="IN162" s="422"/>
      <c r="IO162" s="422"/>
      <c r="IP162" s="422"/>
      <c r="IQ162" s="422"/>
      <c r="IR162" s="422"/>
      <c r="IS162" s="422"/>
      <c r="KC162" s="422"/>
      <c r="KD162" s="422"/>
      <c r="KE162" s="422"/>
      <c r="KG162" s="422"/>
      <c r="KH162" s="422"/>
      <c r="KI162" s="422"/>
      <c r="KJ162" s="422"/>
      <c r="KK162" s="422"/>
      <c r="KL162" s="422"/>
      <c r="KM162" s="422"/>
      <c r="KN162" s="422"/>
      <c r="KO162" s="422"/>
      <c r="KP162" s="422"/>
      <c r="KQ162" s="422"/>
      <c r="KR162" s="422"/>
      <c r="KS162" s="422"/>
      <c r="MC162" s="422"/>
      <c r="MD162" s="422"/>
      <c r="ME162" s="422"/>
      <c r="MG162" s="422"/>
      <c r="MH162" s="422"/>
      <c r="MI162" s="422"/>
      <c r="MJ162" s="422"/>
      <c r="MK162" s="422"/>
      <c r="ML162" s="422"/>
      <c r="MM162" s="422"/>
      <c r="MN162" s="422"/>
      <c r="MO162" s="422"/>
      <c r="MP162" s="422"/>
      <c r="MQ162" s="422"/>
      <c r="MR162" s="422"/>
      <c r="MS162" s="422"/>
      <c r="OC162" s="422"/>
      <c r="OD162" s="422"/>
      <c r="OE162" s="422"/>
      <c r="OG162" s="422"/>
      <c r="OH162" s="422"/>
      <c r="OI162" s="422"/>
      <c r="OJ162" s="422"/>
      <c r="OK162" s="422"/>
      <c r="OL162" s="422"/>
      <c r="OM162" s="422"/>
      <c r="ON162" s="422"/>
      <c r="OO162" s="422"/>
      <c r="OP162" s="422"/>
      <c r="OQ162" s="422"/>
      <c r="OR162" s="422"/>
      <c r="OS162" s="422"/>
      <c r="QC162" s="422"/>
      <c r="QD162" s="422"/>
      <c r="QE162" s="422"/>
      <c r="QG162" s="422"/>
      <c r="QH162" s="422"/>
      <c r="QI162" s="422"/>
      <c r="QJ162" s="422"/>
      <c r="QK162" s="422"/>
      <c r="QL162" s="422"/>
      <c r="QM162" s="422"/>
      <c r="QN162" s="422"/>
      <c r="QO162" s="422"/>
      <c r="QP162" s="422"/>
      <c r="QQ162" s="422"/>
      <c r="QR162" s="422"/>
      <c r="QS162" s="422"/>
      <c r="SC162" s="422"/>
      <c r="SD162" s="422"/>
      <c r="SE162" s="422"/>
      <c r="SG162" s="422"/>
      <c r="SH162" s="422"/>
      <c r="SI162" s="422"/>
      <c r="SJ162" s="422"/>
      <c r="SK162" s="422"/>
      <c r="SL162" s="422"/>
      <c r="SM162" s="422"/>
      <c r="SN162" s="422"/>
      <c r="SO162" s="422"/>
      <c r="SP162" s="422"/>
      <c r="SQ162" s="422"/>
      <c r="SR162" s="422"/>
      <c r="SS162" s="422"/>
      <c r="TC162" s="716"/>
      <c r="TD162" s="716"/>
      <c r="TE162" s="716"/>
      <c r="TG162" s="716"/>
      <c r="TH162" s="716"/>
      <c r="TI162" s="716"/>
      <c r="TJ162" s="716"/>
      <c r="TK162" s="716"/>
      <c r="TL162" s="716"/>
      <c r="TM162" s="716"/>
      <c r="TN162" s="716"/>
      <c r="TO162" s="716"/>
      <c r="TP162" s="716"/>
      <c r="TQ162" s="716"/>
      <c r="TR162" s="716"/>
      <c r="TS162" s="716"/>
      <c r="UC162" s="716"/>
      <c r="UD162" s="716"/>
      <c r="UE162" s="716"/>
      <c r="UG162" s="716"/>
      <c r="UH162" s="716"/>
      <c r="UI162" s="716"/>
      <c r="UJ162" s="716"/>
      <c r="UK162" s="716"/>
      <c r="UL162" s="716"/>
      <c r="UM162" s="716"/>
      <c r="UN162" s="716"/>
      <c r="UO162" s="716"/>
      <c r="UP162" s="716"/>
      <c r="UQ162" s="716"/>
      <c r="UR162" s="716"/>
      <c r="US162" s="716"/>
    </row>
    <row r="163" spans="133:565">
      <c r="EC163" s="276"/>
      <c r="ED163" s="296"/>
      <c r="EE163" s="422"/>
      <c r="EF163" s="422"/>
      <c r="EG163" s="422"/>
      <c r="EH163" s="1369"/>
      <c r="EI163" s="1369"/>
      <c r="EJ163" s="296"/>
      <c r="EK163" s="1369"/>
      <c r="EL163" s="422"/>
      <c r="EM163" s="422"/>
      <c r="EN163" s="422"/>
      <c r="EO163" s="478"/>
      <c r="EP163" s="276"/>
      <c r="EQ163" s="422"/>
      <c r="ER163" s="422"/>
      <c r="ES163" s="422"/>
      <c r="ET163" s="296"/>
      <c r="EU163" s="296"/>
      <c r="EV163" s="422"/>
      <c r="EW163" s="422"/>
      <c r="GC163" s="422"/>
      <c r="GD163" s="422"/>
      <c r="GE163" s="422"/>
      <c r="GF163" s="422"/>
      <c r="GG163" s="422"/>
      <c r="GH163" s="422"/>
      <c r="GI163" s="422"/>
      <c r="GJ163" s="422"/>
      <c r="GK163" s="422"/>
      <c r="GL163" s="422"/>
      <c r="GM163" s="422"/>
      <c r="GN163" s="422"/>
      <c r="GO163" s="422"/>
      <c r="GP163" s="422"/>
      <c r="GQ163" s="422"/>
      <c r="GR163" s="422"/>
      <c r="GS163" s="422"/>
      <c r="IC163" s="422"/>
      <c r="ID163" s="422"/>
      <c r="IE163" s="422"/>
      <c r="IG163" s="422"/>
      <c r="IH163" s="422"/>
      <c r="II163" s="422"/>
      <c r="IJ163" s="422"/>
      <c r="IK163" s="422"/>
      <c r="IL163" s="422"/>
      <c r="IM163" s="422"/>
      <c r="IN163" s="422"/>
      <c r="IO163" s="422"/>
      <c r="IP163" s="422"/>
      <c r="IQ163" s="422"/>
      <c r="IR163" s="422"/>
      <c r="IS163" s="422"/>
      <c r="KC163" s="422"/>
      <c r="KD163" s="422"/>
      <c r="KE163" s="422"/>
      <c r="KG163" s="422"/>
      <c r="KH163" s="422"/>
      <c r="KI163" s="422"/>
      <c r="KJ163" s="422"/>
      <c r="KK163" s="422"/>
      <c r="KL163" s="422"/>
      <c r="KM163" s="422"/>
      <c r="KN163" s="422"/>
      <c r="KO163" s="422"/>
      <c r="KP163" s="422"/>
      <c r="KQ163" s="422"/>
      <c r="KR163" s="422"/>
      <c r="KS163" s="422"/>
      <c r="MC163" s="422"/>
      <c r="MD163" s="422"/>
      <c r="ME163" s="422"/>
      <c r="MG163" s="422"/>
      <c r="MH163" s="422"/>
      <c r="MI163" s="422"/>
      <c r="MJ163" s="422"/>
      <c r="MK163" s="422"/>
      <c r="ML163" s="422"/>
      <c r="MM163" s="422"/>
      <c r="MN163" s="422"/>
      <c r="MO163" s="422"/>
      <c r="MP163" s="422"/>
      <c r="MQ163" s="422"/>
      <c r="MR163" s="422"/>
      <c r="MS163" s="422"/>
      <c r="OC163" s="422"/>
      <c r="OD163" s="422"/>
      <c r="OE163" s="422"/>
      <c r="OG163" s="422"/>
      <c r="OH163" s="422"/>
      <c r="OI163" s="422"/>
      <c r="OJ163" s="422"/>
      <c r="OK163" s="422"/>
      <c r="OL163" s="422"/>
      <c r="OM163" s="422"/>
      <c r="ON163" s="422"/>
      <c r="OO163" s="422"/>
      <c r="OP163" s="422"/>
      <c r="OQ163" s="422"/>
      <c r="OR163" s="422"/>
      <c r="OS163" s="422"/>
      <c r="QC163" s="422"/>
      <c r="QD163" s="422"/>
      <c r="QE163" s="422"/>
      <c r="QG163" s="422"/>
      <c r="QH163" s="422"/>
      <c r="QI163" s="422"/>
      <c r="QJ163" s="422"/>
      <c r="QK163" s="422"/>
      <c r="QL163" s="422"/>
      <c r="QM163" s="422"/>
      <c r="QN163" s="422"/>
      <c r="QO163" s="422"/>
      <c r="QP163" s="422"/>
      <c r="QQ163" s="422"/>
      <c r="QR163" s="422"/>
      <c r="QS163" s="422"/>
      <c r="SC163" s="422"/>
      <c r="SD163" s="422"/>
      <c r="SE163" s="422"/>
      <c r="SG163" s="422"/>
      <c r="SH163" s="422"/>
      <c r="SI163" s="422"/>
      <c r="SJ163" s="422"/>
      <c r="SK163" s="422"/>
      <c r="SL163" s="422"/>
      <c r="SM163" s="422"/>
      <c r="SN163" s="422"/>
      <c r="SO163" s="422"/>
      <c r="SP163" s="422"/>
      <c r="SQ163" s="422"/>
      <c r="SR163" s="422"/>
      <c r="SS163" s="422"/>
      <c r="TC163" s="716"/>
      <c r="TD163" s="716"/>
      <c r="TE163" s="716"/>
      <c r="TG163" s="716"/>
      <c r="TH163" s="716"/>
      <c r="TI163" s="716"/>
      <c r="TJ163" s="716"/>
      <c r="TK163" s="716"/>
      <c r="TL163" s="716"/>
      <c r="TM163" s="716"/>
      <c r="TN163" s="716"/>
      <c r="TO163" s="716"/>
      <c r="TP163" s="716"/>
      <c r="TQ163" s="716"/>
      <c r="TR163" s="716"/>
      <c r="TS163" s="716"/>
      <c r="UC163" s="716"/>
      <c r="UD163" s="716"/>
      <c r="UE163" s="716"/>
      <c r="UG163" s="716"/>
      <c r="UH163" s="716"/>
      <c r="UI163" s="716"/>
      <c r="UJ163" s="716"/>
      <c r="UK163" s="716"/>
      <c r="UL163" s="716"/>
      <c r="UM163" s="716"/>
      <c r="UN163" s="716"/>
      <c r="UO163" s="716"/>
      <c r="UP163" s="716"/>
      <c r="UQ163" s="716"/>
      <c r="UR163" s="716"/>
      <c r="US163" s="716"/>
    </row>
    <row r="164" spans="133:565">
      <c r="EC164" s="276"/>
      <c r="ED164" s="296"/>
      <c r="EE164" s="422"/>
      <c r="EF164" s="422"/>
      <c r="EG164" s="422"/>
      <c r="EH164" s="1369"/>
      <c r="EI164" s="1369"/>
      <c r="EJ164" s="296"/>
      <c r="EK164" s="1369"/>
      <c r="EL164" s="422"/>
      <c r="EM164" s="422"/>
      <c r="EN164" s="422"/>
      <c r="EO164" s="478"/>
      <c r="EP164" s="276"/>
      <c r="EQ164" s="422"/>
      <c r="ER164" s="422"/>
      <c r="ES164" s="422"/>
      <c r="ET164" s="296"/>
      <c r="EU164" s="296"/>
      <c r="EV164" s="422"/>
      <c r="EW164" s="422"/>
      <c r="GC164" s="422"/>
      <c r="GD164" s="422"/>
      <c r="GE164" s="422"/>
      <c r="GF164" s="422"/>
      <c r="GG164" s="422"/>
      <c r="GH164" s="422"/>
      <c r="GI164" s="422"/>
      <c r="GJ164" s="422"/>
      <c r="GK164" s="422"/>
      <c r="GL164" s="422"/>
      <c r="GM164" s="422"/>
      <c r="GN164" s="422"/>
      <c r="GO164" s="422"/>
      <c r="GP164" s="422"/>
      <c r="GQ164" s="422"/>
      <c r="GR164" s="422"/>
      <c r="GS164" s="422"/>
      <c r="IC164" s="422"/>
      <c r="ID164" s="422"/>
      <c r="IE164" s="422"/>
      <c r="IG164" s="422"/>
      <c r="IH164" s="422"/>
      <c r="II164" s="422"/>
      <c r="IJ164" s="422"/>
      <c r="IK164" s="422"/>
      <c r="IL164" s="422"/>
      <c r="IM164" s="422"/>
      <c r="IN164" s="422"/>
      <c r="IO164" s="422"/>
      <c r="IP164" s="422"/>
      <c r="IQ164" s="422"/>
      <c r="IR164" s="422"/>
      <c r="IS164" s="422"/>
      <c r="KC164" s="422"/>
      <c r="KD164" s="422"/>
      <c r="KE164" s="422"/>
      <c r="KG164" s="422"/>
      <c r="KH164" s="422"/>
      <c r="KI164" s="422"/>
      <c r="KJ164" s="422"/>
      <c r="KK164" s="422"/>
      <c r="KL164" s="422"/>
      <c r="KM164" s="422"/>
      <c r="KN164" s="422"/>
      <c r="KO164" s="422"/>
      <c r="KP164" s="422"/>
      <c r="KQ164" s="422"/>
      <c r="KR164" s="422"/>
      <c r="KS164" s="422"/>
      <c r="MC164" s="422"/>
      <c r="MD164" s="422"/>
      <c r="ME164" s="422"/>
      <c r="MG164" s="422"/>
      <c r="MH164" s="422"/>
      <c r="MI164" s="422"/>
      <c r="MJ164" s="422"/>
      <c r="MK164" s="422"/>
      <c r="ML164" s="422"/>
      <c r="MM164" s="422"/>
      <c r="MN164" s="422"/>
      <c r="MO164" s="422"/>
      <c r="MP164" s="422"/>
      <c r="MQ164" s="422"/>
      <c r="MR164" s="422"/>
      <c r="MS164" s="422"/>
      <c r="OC164" s="422"/>
      <c r="OD164" s="422"/>
      <c r="OE164" s="422"/>
      <c r="OG164" s="422"/>
      <c r="OH164" s="422"/>
      <c r="OI164" s="422"/>
      <c r="OJ164" s="422"/>
      <c r="OK164" s="422"/>
      <c r="OL164" s="422"/>
      <c r="OM164" s="422"/>
      <c r="ON164" s="422"/>
      <c r="OO164" s="422"/>
      <c r="OP164" s="422"/>
      <c r="OQ164" s="422"/>
      <c r="OR164" s="422"/>
      <c r="OS164" s="422"/>
      <c r="QC164" s="422"/>
      <c r="QD164" s="422"/>
      <c r="QE164" s="422"/>
      <c r="QG164" s="422"/>
      <c r="QH164" s="422"/>
      <c r="QI164" s="422"/>
      <c r="QJ164" s="422"/>
      <c r="QK164" s="422"/>
      <c r="QL164" s="422"/>
      <c r="QM164" s="422"/>
      <c r="QN164" s="422"/>
      <c r="QO164" s="422"/>
      <c r="QP164" s="422"/>
      <c r="QQ164" s="422"/>
      <c r="QR164" s="422"/>
      <c r="QS164" s="422"/>
      <c r="SC164" s="422"/>
      <c r="SD164" s="422"/>
      <c r="SE164" s="422"/>
      <c r="SG164" s="422"/>
      <c r="SH164" s="422"/>
      <c r="SI164" s="422"/>
      <c r="SJ164" s="422"/>
      <c r="SK164" s="422"/>
      <c r="SL164" s="422"/>
      <c r="SM164" s="422"/>
      <c r="SN164" s="422"/>
      <c r="SO164" s="422"/>
      <c r="SP164" s="422"/>
      <c r="SQ164" s="422"/>
      <c r="SR164" s="422"/>
      <c r="SS164" s="422"/>
      <c r="TC164" s="716"/>
      <c r="TD164" s="716"/>
      <c r="TE164" s="716"/>
      <c r="TG164" s="716"/>
      <c r="TH164" s="716"/>
      <c r="TI164" s="716"/>
      <c r="TJ164" s="716"/>
      <c r="TK164" s="716"/>
      <c r="TL164" s="716"/>
      <c r="TM164" s="716"/>
      <c r="TN164" s="716"/>
      <c r="TO164" s="716"/>
      <c r="TP164" s="716"/>
      <c r="TQ164" s="716"/>
      <c r="TR164" s="716"/>
      <c r="TS164" s="716"/>
      <c r="UC164" s="716"/>
      <c r="UD164" s="716"/>
      <c r="UE164" s="716"/>
      <c r="UG164" s="716"/>
      <c r="UH164" s="716"/>
      <c r="UI164" s="716"/>
      <c r="UJ164" s="716"/>
      <c r="UK164" s="716"/>
      <c r="UL164" s="716"/>
      <c r="UM164" s="716"/>
      <c r="UN164" s="716"/>
      <c r="UO164" s="716"/>
      <c r="UP164" s="716"/>
      <c r="UQ164" s="716"/>
      <c r="UR164" s="716"/>
      <c r="US164" s="716"/>
    </row>
    <row r="165" spans="133:565">
      <c r="EC165" s="276"/>
      <c r="ED165" s="296"/>
      <c r="EE165" s="422"/>
      <c r="EF165" s="422"/>
      <c r="EG165" s="422"/>
      <c r="EH165" s="1369"/>
      <c r="EI165" s="1369"/>
      <c r="EJ165" s="296"/>
      <c r="EK165" s="1369"/>
      <c r="EL165" s="422"/>
      <c r="EM165" s="422"/>
      <c r="EN165" s="422"/>
      <c r="EO165" s="478"/>
      <c r="EP165" s="276"/>
      <c r="EQ165" s="422"/>
      <c r="ER165" s="422"/>
      <c r="ES165" s="422"/>
      <c r="ET165" s="296"/>
      <c r="EU165" s="296"/>
      <c r="EV165" s="422"/>
      <c r="EW165" s="422"/>
      <c r="GC165" s="422"/>
      <c r="GD165" s="422"/>
      <c r="GE165" s="422"/>
      <c r="GF165" s="422"/>
      <c r="GG165" s="422"/>
      <c r="GH165" s="422"/>
      <c r="GI165" s="422"/>
      <c r="GJ165" s="422"/>
      <c r="GK165" s="422"/>
      <c r="GL165" s="422"/>
      <c r="GM165" s="422"/>
      <c r="GN165" s="422"/>
      <c r="GO165" s="422"/>
      <c r="GP165" s="422"/>
      <c r="GQ165" s="422"/>
      <c r="GR165" s="422"/>
      <c r="GS165" s="422"/>
      <c r="IC165" s="422"/>
      <c r="ID165" s="422"/>
      <c r="IE165" s="422"/>
      <c r="IG165" s="422"/>
      <c r="IH165" s="422"/>
      <c r="II165" s="422"/>
      <c r="IJ165" s="422"/>
      <c r="IK165" s="422"/>
      <c r="IL165" s="422"/>
      <c r="IM165" s="422"/>
      <c r="IN165" s="422"/>
      <c r="IO165" s="422"/>
      <c r="IP165" s="422"/>
      <c r="IQ165" s="422"/>
      <c r="IR165" s="422"/>
      <c r="IS165" s="422"/>
      <c r="KC165" s="422"/>
      <c r="KD165" s="422"/>
      <c r="KE165" s="422"/>
      <c r="KG165" s="422"/>
      <c r="KH165" s="422"/>
      <c r="KI165" s="422"/>
      <c r="KJ165" s="422"/>
      <c r="KK165" s="422"/>
      <c r="KL165" s="422"/>
      <c r="KM165" s="422"/>
      <c r="KN165" s="422"/>
      <c r="KO165" s="422"/>
      <c r="KP165" s="422"/>
      <c r="KQ165" s="422"/>
      <c r="KR165" s="422"/>
      <c r="KS165" s="422"/>
      <c r="MC165" s="422"/>
      <c r="MD165" s="422"/>
      <c r="ME165" s="422"/>
      <c r="MG165" s="422"/>
      <c r="MH165" s="422"/>
      <c r="MI165" s="422"/>
      <c r="MJ165" s="422"/>
      <c r="MK165" s="422"/>
      <c r="ML165" s="422"/>
      <c r="MM165" s="422"/>
      <c r="MN165" s="422"/>
      <c r="MO165" s="422"/>
      <c r="MP165" s="422"/>
      <c r="MQ165" s="422"/>
      <c r="MR165" s="422"/>
      <c r="MS165" s="422"/>
      <c r="OC165" s="422"/>
      <c r="OD165" s="422"/>
      <c r="OE165" s="422"/>
      <c r="OG165" s="422"/>
      <c r="OH165" s="422"/>
      <c r="OI165" s="422"/>
      <c r="OJ165" s="422"/>
      <c r="OK165" s="422"/>
      <c r="OL165" s="422"/>
      <c r="OM165" s="422"/>
      <c r="ON165" s="422"/>
      <c r="OO165" s="422"/>
      <c r="OP165" s="422"/>
      <c r="OQ165" s="422"/>
      <c r="OR165" s="422"/>
      <c r="OS165" s="422"/>
      <c r="QC165" s="422"/>
      <c r="QD165" s="422"/>
      <c r="QE165" s="422"/>
      <c r="QG165" s="422"/>
      <c r="QH165" s="422"/>
      <c r="QI165" s="422"/>
      <c r="QJ165" s="422"/>
      <c r="QK165" s="422"/>
      <c r="QL165" s="422"/>
      <c r="QM165" s="422"/>
      <c r="QN165" s="422"/>
      <c r="QO165" s="422"/>
      <c r="QP165" s="422"/>
      <c r="QQ165" s="422"/>
      <c r="QR165" s="422"/>
      <c r="QS165" s="422"/>
      <c r="SC165" s="422"/>
      <c r="SD165" s="422"/>
      <c r="SE165" s="422"/>
      <c r="SG165" s="422"/>
      <c r="SH165" s="422"/>
      <c r="SI165" s="422"/>
      <c r="SJ165" s="422"/>
      <c r="SK165" s="422"/>
      <c r="SL165" s="422"/>
      <c r="SM165" s="422"/>
      <c r="SN165" s="422"/>
      <c r="SO165" s="422"/>
      <c r="SP165" s="422"/>
      <c r="SQ165" s="422"/>
      <c r="SR165" s="422"/>
      <c r="SS165" s="422"/>
      <c r="TC165" s="716"/>
      <c r="TD165" s="716"/>
      <c r="TE165" s="716"/>
      <c r="TG165" s="716"/>
      <c r="TH165" s="716"/>
      <c r="TI165" s="716"/>
      <c r="TJ165" s="716"/>
      <c r="TK165" s="716"/>
      <c r="TL165" s="716"/>
      <c r="TM165" s="716"/>
      <c r="TN165" s="716"/>
      <c r="TO165" s="716"/>
      <c r="TP165" s="716"/>
      <c r="TQ165" s="716"/>
      <c r="TR165" s="716"/>
      <c r="TS165" s="716"/>
      <c r="UC165" s="716"/>
      <c r="UD165" s="716"/>
      <c r="UE165" s="716"/>
      <c r="UG165" s="716"/>
      <c r="UH165" s="716"/>
      <c r="UI165" s="716"/>
      <c r="UJ165" s="716"/>
      <c r="UK165" s="716"/>
      <c r="UL165" s="716"/>
      <c r="UM165" s="716"/>
      <c r="UN165" s="716"/>
      <c r="UO165" s="716"/>
      <c r="UP165" s="716"/>
      <c r="UQ165" s="716"/>
      <c r="UR165" s="716"/>
      <c r="US165" s="716"/>
    </row>
    <row r="166" spans="133:565">
      <c r="EC166" s="276"/>
      <c r="ED166" s="296"/>
      <c r="EE166" s="422"/>
      <c r="EF166" s="422"/>
      <c r="EG166" s="422"/>
      <c r="EH166" s="1369"/>
      <c r="EI166" s="1369"/>
      <c r="EJ166" s="296"/>
      <c r="EK166" s="1369"/>
      <c r="EL166" s="422"/>
      <c r="EM166" s="422"/>
      <c r="EN166" s="422"/>
      <c r="EO166" s="478"/>
      <c r="EP166" s="276"/>
      <c r="EQ166" s="422"/>
      <c r="ER166" s="422"/>
      <c r="ES166" s="422"/>
      <c r="ET166" s="296"/>
      <c r="EU166" s="296"/>
      <c r="EV166" s="422"/>
      <c r="EW166" s="422"/>
      <c r="GC166" s="422"/>
      <c r="GD166" s="422"/>
      <c r="GE166" s="422"/>
      <c r="GF166" s="422"/>
      <c r="GG166" s="422"/>
      <c r="GH166" s="422"/>
      <c r="GI166" s="422"/>
      <c r="GJ166" s="422"/>
      <c r="GK166" s="422"/>
      <c r="GL166" s="422"/>
      <c r="GM166" s="422"/>
      <c r="GN166" s="422"/>
      <c r="GO166" s="422"/>
      <c r="GP166" s="422"/>
      <c r="GQ166" s="422"/>
      <c r="GR166" s="422"/>
      <c r="GS166" s="422"/>
      <c r="IC166" s="422"/>
      <c r="ID166" s="422"/>
      <c r="IE166" s="422"/>
      <c r="IG166" s="422"/>
      <c r="IH166" s="422"/>
      <c r="II166" s="422"/>
      <c r="IJ166" s="422"/>
      <c r="IK166" s="422"/>
      <c r="IL166" s="422"/>
      <c r="IM166" s="422"/>
      <c r="IN166" s="422"/>
      <c r="IO166" s="422"/>
      <c r="IP166" s="422"/>
      <c r="IQ166" s="422"/>
      <c r="IR166" s="422"/>
      <c r="IS166" s="422"/>
      <c r="KC166" s="422"/>
      <c r="KD166" s="422"/>
      <c r="KE166" s="422"/>
      <c r="KG166" s="422"/>
      <c r="KH166" s="422"/>
      <c r="KI166" s="422"/>
      <c r="KJ166" s="422"/>
      <c r="KK166" s="422"/>
      <c r="KL166" s="422"/>
      <c r="KM166" s="422"/>
      <c r="KN166" s="422"/>
      <c r="KO166" s="422"/>
      <c r="KP166" s="422"/>
      <c r="KQ166" s="422"/>
      <c r="KR166" s="422"/>
      <c r="KS166" s="422"/>
      <c r="MC166" s="422"/>
      <c r="MD166" s="422"/>
      <c r="ME166" s="422"/>
      <c r="MG166" s="422"/>
      <c r="MH166" s="422"/>
      <c r="MI166" s="422"/>
      <c r="MJ166" s="422"/>
      <c r="MK166" s="422"/>
      <c r="ML166" s="422"/>
      <c r="MM166" s="422"/>
      <c r="MN166" s="422"/>
      <c r="MO166" s="422"/>
      <c r="MP166" s="422"/>
      <c r="MQ166" s="422"/>
      <c r="MR166" s="422"/>
      <c r="MS166" s="422"/>
      <c r="OC166" s="422"/>
      <c r="OD166" s="422"/>
      <c r="OE166" s="422"/>
      <c r="OG166" s="422"/>
      <c r="OH166" s="422"/>
      <c r="OI166" s="422"/>
      <c r="OJ166" s="422"/>
      <c r="OK166" s="422"/>
      <c r="OL166" s="422"/>
      <c r="OM166" s="422"/>
      <c r="ON166" s="422"/>
      <c r="OO166" s="422"/>
      <c r="OP166" s="422"/>
      <c r="OQ166" s="422"/>
      <c r="OR166" s="422"/>
      <c r="OS166" s="422"/>
      <c r="QC166" s="422"/>
      <c r="QD166" s="422"/>
      <c r="QE166" s="422"/>
      <c r="QG166" s="422"/>
      <c r="QH166" s="422"/>
      <c r="QI166" s="422"/>
      <c r="QJ166" s="422"/>
      <c r="QK166" s="422"/>
      <c r="QL166" s="422"/>
      <c r="QM166" s="422"/>
      <c r="QN166" s="422"/>
      <c r="QO166" s="422"/>
      <c r="QP166" s="422"/>
      <c r="QQ166" s="422"/>
      <c r="QR166" s="422"/>
      <c r="QS166" s="422"/>
      <c r="SC166" s="422"/>
      <c r="SD166" s="422"/>
      <c r="SE166" s="422"/>
      <c r="SG166" s="422"/>
      <c r="SH166" s="422"/>
      <c r="SI166" s="422"/>
      <c r="SJ166" s="422"/>
      <c r="SK166" s="422"/>
      <c r="SL166" s="422"/>
      <c r="SM166" s="422"/>
      <c r="SN166" s="422"/>
      <c r="SO166" s="422"/>
      <c r="SP166" s="422"/>
      <c r="SQ166" s="422"/>
      <c r="SR166" s="422"/>
      <c r="SS166" s="422"/>
      <c r="TC166" s="716"/>
      <c r="TD166" s="716"/>
      <c r="TE166" s="716"/>
      <c r="TG166" s="716"/>
      <c r="TH166" s="716"/>
      <c r="TI166" s="716"/>
      <c r="TJ166" s="716"/>
      <c r="TK166" s="716"/>
      <c r="TL166" s="716"/>
      <c r="TM166" s="716"/>
      <c r="TN166" s="716"/>
      <c r="TO166" s="716"/>
      <c r="TP166" s="716"/>
      <c r="TQ166" s="716"/>
      <c r="TR166" s="716"/>
      <c r="TS166" s="716"/>
      <c r="UC166" s="716"/>
      <c r="UD166" s="716"/>
      <c r="UE166" s="716"/>
      <c r="UG166" s="716"/>
      <c r="UH166" s="716"/>
      <c r="UI166" s="716"/>
      <c r="UJ166" s="716"/>
      <c r="UK166" s="716"/>
      <c r="UL166" s="716"/>
      <c r="UM166" s="716"/>
      <c r="UN166" s="716"/>
      <c r="UO166" s="716"/>
      <c r="UP166" s="716"/>
      <c r="UQ166" s="716"/>
      <c r="UR166" s="716"/>
      <c r="US166" s="716"/>
    </row>
    <row r="167" spans="133:565">
      <c r="EC167" s="276"/>
      <c r="ED167" s="296"/>
      <c r="EE167" s="422"/>
      <c r="EF167" s="422"/>
      <c r="EG167" s="422"/>
      <c r="EH167" s="1369"/>
      <c r="EI167" s="1369"/>
      <c r="EJ167" s="296"/>
      <c r="EK167" s="1369"/>
      <c r="EL167" s="422"/>
      <c r="EM167" s="422"/>
      <c r="EN167" s="422"/>
      <c r="EO167" s="478"/>
      <c r="EP167" s="276"/>
      <c r="EQ167" s="422"/>
      <c r="ER167" s="422"/>
      <c r="ES167" s="422"/>
      <c r="ET167" s="296"/>
      <c r="EU167" s="296"/>
      <c r="EV167" s="422"/>
      <c r="EW167" s="422"/>
      <c r="GC167" s="422"/>
      <c r="GD167" s="422"/>
      <c r="GE167" s="422"/>
      <c r="GF167" s="422"/>
      <c r="GG167" s="422"/>
      <c r="GH167" s="422"/>
      <c r="GI167" s="422"/>
      <c r="GJ167" s="422"/>
      <c r="GK167" s="422"/>
      <c r="GL167" s="422"/>
      <c r="GM167" s="422"/>
      <c r="GN167" s="422"/>
      <c r="GO167" s="422"/>
      <c r="GP167" s="422"/>
      <c r="GQ167" s="422"/>
      <c r="GR167" s="422"/>
      <c r="GS167" s="422"/>
      <c r="IC167" s="422"/>
      <c r="ID167" s="422"/>
      <c r="IE167" s="422"/>
      <c r="IG167" s="422"/>
      <c r="IH167" s="422"/>
      <c r="II167" s="422"/>
      <c r="IJ167" s="422"/>
      <c r="IK167" s="422"/>
      <c r="IL167" s="422"/>
      <c r="IM167" s="422"/>
      <c r="IN167" s="422"/>
      <c r="IO167" s="422"/>
      <c r="IP167" s="422"/>
      <c r="IQ167" s="422"/>
      <c r="IR167" s="422"/>
      <c r="IS167" s="422"/>
      <c r="KC167" s="422"/>
      <c r="KD167" s="422"/>
      <c r="KE167" s="422"/>
      <c r="KG167" s="422"/>
      <c r="KH167" s="422"/>
      <c r="KI167" s="422"/>
      <c r="KJ167" s="422"/>
      <c r="KK167" s="422"/>
      <c r="KL167" s="422"/>
      <c r="KM167" s="422"/>
      <c r="KN167" s="422"/>
      <c r="KO167" s="422"/>
      <c r="KP167" s="422"/>
      <c r="KQ167" s="422"/>
      <c r="KR167" s="422"/>
      <c r="KS167" s="422"/>
      <c r="MC167" s="422"/>
      <c r="MD167" s="422"/>
      <c r="ME167" s="422"/>
      <c r="MG167" s="422"/>
      <c r="MH167" s="422"/>
      <c r="MI167" s="422"/>
      <c r="MJ167" s="422"/>
      <c r="MK167" s="422"/>
      <c r="ML167" s="422"/>
      <c r="MM167" s="422"/>
      <c r="MN167" s="422"/>
      <c r="MO167" s="422"/>
      <c r="MP167" s="422"/>
      <c r="MQ167" s="422"/>
      <c r="MR167" s="422"/>
      <c r="MS167" s="422"/>
      <c r="OC167" s="422"/>
      <c r="OD167" s="422"/>
      <c r="OE167" s="422"/>
      <c r="OG167" s="422"/>
      <c r="OH167" s="422"/>
      <c r="OI167" s="422"/>
      <c r="OJ167" s="422"/>
      <c r="OK167" s="422"/>
      <c r="OL167" s="422"/>
      <c r="OM167" s="422"/>
      <c r="ON167" s="422"/>
      <c r="OO167" s="422"/>
      <c r="OP167" s="422"/>
      <c r="OQ167" s="422"/>
      <c r="OR167" s="422"/>
      <c r="OS167" s="422"/>
      <c r="QC167" s="422"/>
      <c r="QD167" s="422"/>
      <c r="QE167" s="422"/>
      <c r="QG167" s="422"/>
      <c r="QH167" s="422"/>
      <c r="QI167" s="422"/>
      <c r="QJ167" s="422"/>
      <c r="QK167" s="422"/>
      <c r="QL167" s="422"/>
      <c r="QM167" s="422"/>
      <c r="QN167" s="422"/>
      <c r="QO167" s="422"/>
      <c r="QP167" s="422"/>
      <c r="QQ167" s="422"/>
      <c r="QR167" s="422"/>
      <c r="QS167" s="422"/>
      <c r="SC167" s="422"/>
      <c r="SD167" s="422"/>
      <c r="SE167" s="422"/>
      <c r="SG167" s="422"/>
      <c r="SH167" s="422"/>
      <c r="SI167" s="422"/>
      <c r="SJ167" s="422"/>
      <c r="SK167" s="422"/>
      <c r="SL167" s="422"/>
      <c r="SM167" s="422"/>
      <c r="SN167" s="422"/>
      <c r="SO167" s="422"/>
      <c r="SP167" s="422"/>
      <c r="SQ167" s="422"/>
      <c r="SR167" s="422"/>
      <c r="SS167" s="422"/>
      <c r="TC167" s="716"/>
      <c r="TD167" s="716"/>
      <c r="TE167" s="716"/>
      <c r="TG167" s="716"/>
      <c r="TH167" s="716"/>
      <c r="TI167" s="716"/>
      <c r="TJ167" s="716"/>
      <c r="TK167" s="716"/>
      <c r="TL167" s="716"/>
      <c r="TM167" s="716"/>
      <c r="TN167" s="716"/>
      <c r="TO167" s="716"/>
      <c r="TP167" s="716"/>
      <c r="TQ167" s="716"/>
      <c r="TR167" s="716"/>
      <c r="TS167" s="716"/>
      <c r="UC167" s="716"/>
      <c r="UD167" s="716"/>
      <c r="UE167" s="716"/>
      <c r="UG167" s="716"/>
      <c r="UH167" s="716"/>
      <c r="UI167" s="716"/>
      <c r="UJ167" s="716"/>
      <c r="UK167" s="716"/>
      <c r="UL167" s="716"/>
      <c r="UM167" s="716"/>
      <c r="UN167" s="716"/>
      <c r="UO167" s="716"/>
      <c r="UP167" s="716"/>
      <c r="UQ167" s="716"/>
      <c r="UR167" s="716"/>
      <c r="US167" s="716"/>
    </row>
    <row r="168" spans="133:565">
      <c r="EC168" s="276"/>
      <c r="ED168" s="296"/>
      <c r="EE168" s="422"/>
      <c r="EF168" s="422"/>
      <c r="EG168" s="422"/>
      <c r="EH168" s="1369"/>
      <c r="EI168" s="1369"/>
      <c r="EJ168" s="296"/>
      <c r="EK168" s="1369"/>
      <c r="EL168" s="422"/>
      <c r="EM168" s="422"/>
      <c r="EN168" s="422"/>
      <c r="EO168" s="478"/>
      <c r="EP168" s="276"/>
      <c r="EQ168" s="422"/>
      <c r="ER168" s="422"/>
      <c r="ES168" s="422"/>
      <c r="ET168" s="296"/>
      <c r="EU168" s="296"/>
      <c r="EV168" s="422"/>
      <c r="EW168" s="422"/>
      <c r="GC168" s="422"/>
      <c r="GD168" s="422"/>
      <c r="GE168" s="422"/>
      <c r="GF168" s="422"/>
      <c r="GG168" s="422"/>
      <c r="GH168" s="422"/>
      <c r="GI168" s="422"/>
      <c r="GJ168" s="422"/>
      <c r="GK168" s="422"/>
      <c r="GL168" s="422"/>
      <c r="GM168" s="422"/>
      <c r="GN168" s="422"/>
      <c r="GO168" s="422"/>
      <c r="GP168" s="422"/>
      <c r="GQ168" s="422"/>
      <c r="GR168" s="422"/>
      <c r="GS168" s="422"/>
      <c r="IC168" s="422"/>
      <c r="ID168" s="422"/>
      <c r="IE168" s="422"/>
      <c r="IG168" s="422"/>
      <c r="IH168" s="422"/>
      <c r="II168" s="422"/>
      <c r="IJ168" s="422"/>
      <c r="IK168" s="422"/>
      <c r="IL168" s="422"/>
      <c r="IM168" s="422"/>
      <c r="IN168" s="422"/>
      <c r="IO168" s="422"/>
      <c r="IP168" s="422"/>
      <c r="IQ168" s="422"/>
      <c r="IR168" s="422"/>
      <c r="IS168" s="422"/>
      <c r="KC168" s="422"/>
      <c r="KD168" s="422"/>
      <c r="KE168" s="422"/>
      <c r="KG168" s="422"/>
      <c r="KH168" s="422"/>
      <c r="KI168" s="422"/>
      <c r="KJ168" s="422"/>
      <c r="KK168" s="422"/>
      <c r="KL168" s="422"/>
      <c r="KM168" s="422"/>
      <c r="KN168" s="422"/>
      <c r="KO168" s="422"/>
      <c r="KP168" s="422"/>
      <c r="KQ168" s="422"/>
      <c r="KR168" s="422"/>
      <c r="KS168" s="422"/>
      <c r="MC168" s="422"/>
      <c r="MD168" s="422"/>
      <c r="ME168" s="422"/>
      <c r="MG168" s="422"/>
      <c r="MH168" s="422"/>
      <c r="MI168" s="422"/>
      <c r="MJ168" s="422"/>
      <c r="MK168" s="422"/>
      <c r="ML168" s="422"/>
      <c r="MM168" s="422"/>
      <c r="MN168" s="422"/>
      <c r="MO168" s="422"/>
      <c r="MP168" s="422"/>
      <c r="MQ168" s="422"/>
      <c r="MR168" s="422"/>
      <c r="MS168" s="422"/>
      <c r="OC168" s="422"/>
      <c r="OD168" s="422"/>
      <c r="OE168" s="422"/>
      <c r="OG168" s="422"/>
      <c r="OH168" s="422"/>
      <c r="OI168" s="422"/>
      <c r="OJ168" s="422"/>
      <c r="OK168" s="422"/>
      <c r="OL168" s="422"/>
      <c r="OM168" s="422"/>
      <c r="ON168" s="422"/>
      <c r="OO168" s="422"/>
      <c r="OP168" s="422"/>
      <c r="OQ168" s="422"/>
      <c r="OR168" s="422"/>
      <c r="OS168" s="422"/>
      <c r="QC168" s="422"/>
      <c r="QD168" s="422"/>
      <c r="QE168" s="422"/>
      <c r="QG168" s="422"/>
      <c r="QH168" s="422"/>
      <c r="QI168" s="422"/>
      <c r="QJ168" s="422"/>
      <c r="QK168" s="422"/>
      <c r="QL168" s="422"/>
      <c r="QM168" s="422"/>
      <c r="QN168" s="422"/>
      <c r="QO168" s="422"/>
      <c r="QP168" s="422"/>
      <c r="QQ168" s="422"/>
      <c r="QR168" s="422"/>
      <c r="QS168" s="422"/>
      <c r="SC168" s="422"/>
      <c r="SD168" s="422"/>
      <c r="SE168" s="422"/>
      <c r="SG168" s="422"/>
      <c r="SH168" s="422"/>
      <c r="SI168" s="422"/>
      <c r="SJ168" s="422"/>
      <c r="SK168" s="422"/>
      <c r="SL168" s="422"/>
      <c r="SM168" s="422"/>
      <c r="SN168" s="422"/>
      <c r="SO168" s="422"/>
      <c r="SP168" s="422"/>
      <c r="SQ168" s="422"/>
      <c r="SR168" s="422"/>
      <c r="SS168" s="422"/>
      <c r="TC168" s="716"/>
      <c r="TD168" s="716"/>
      <c r="TE168" s="716"/>
      <c r="TG168" s="716"/>
      <c r="TH168" s="716"/>
      <c r="TI168" s="716"/>
      <c r="TJ168" s="716"/>
      <c r="TK168" s="716"/>
      <c r="TL168" s="716"/>
      <c r="TM168" s="716"/>
      <c r="TN168" s="716"/>
      <c r="TO168" s="716"/>
      <c r="TP168" s="716"/>
      <c r="TQ168" s="716"/>
      <c r="TR168" s="716"/>
      <c r="TS168" s="716"/>
      <c r="UC168" s="716"/>
      <c r="UD168" s="716"/>
      <c r="UE168" s="716"/>
      <c r="UG168" s="716"/>
      <c r="UH168" s="716"/>
      <c r="UI168" s="716"/>
      <c r="UJ168" s="716"/>
      <c r="UK168" s="716"/>
      <c r="UL168" s="716"/>
      <c r="UM168" s="716"/>
      <c r="UN168" s="716"/>
      <c r="UO168" s="716"/>
      <c r="UP168" s="716"/>
      <c r="UQ168" s="716"/>
      <c r="UR168" s="716"/>
      <c r="US168" s="716"/>
    </row>
    <row r="169" spans="133:565">
      <c r="EC169" s="276"/>
      <c r="ED169" s="296"/>
      <c r="EE169" s="422"/>
      <c r="EF169" s="422"/>
      <c r="EG169" s="422"/>
      <c r="EH169" s="1369"/>
      <c r="EI169" s="1369"/>
      <c r="EJ169" s="296"/>
      <c r="EK169" s="1369"/>
      <c r="EL169" s="422"/>
      <c r="EM169" s="422"/>
      <c r="EN169" s="422"/>
      <c r="EO169" s="478"/>
      <c r="EP169" s="276"/>
      <c r="EQ169" s="422"/>
      <c r="ER169" s="422"/>
      <c r="ES169" s="422"/>
      <c r="ET169" s="296"/>
      <c r="EU169" s="296"/>
      <c r="EV169" s="422"/>
      <c r="EW169" s="422"/>
      <c r="GC169" s="422"/>
      <c r="GD169" s="422"/>
      <c r="GE169" s="422"/>
      <c r="GF169" s="422"/>
      <c r="GG169" s="422"/>
      <c r="GH169" s="422"/>
      <c r="GI169" s="422"/>
      <c r="GJ169" s="422"/>
      <c r="GK169" s="422"/>
      <c r="GL169" s="422"/>
      <c r="GM169" s="422"/>
      <c r="GN169" s="422"/>
      <c r="GO169" s="422"/>
      <c r="GP169" s="422"/>
      <c r="GQ169" s="422"/>
      <c r="GR169" s="422"/>
      <c r="GS169" s="422"/>
      <c r="IC169" s="422"/>
      <c r="ID169" s="422"/>
      <c r="IE169" s="422"/>
      <c r="IG169" s="422"/>
      <c r="IH169" s="422"/>
      <c r="II169" s="422"/>
      <c r="IJ169" s="422"/>
      <c r="IK169" s="422"/>
      <c r="IL169" s="422"/>
      <c r="IM169" s="422"/>
      <c r="IN169" s="422"/>
      <c r="IO169" s="422"/>
      <c r="IP169" s="422"/>
      <c r="IQ169" s="422"/>
      <c r="IR169" s="422"/>
      <c r="IS169" s="422"/>
      <c r="KC169" s="422"/>
      <c r="KD169" s="422"/>
      <c r="KE169" s="422"/>
      <c r="KG169" s="422"/>
      <c r="KH169" s="422"/>
      <c r="KI169" s="422"/>
      <c r="KJ169" s="422"/>
      <c r="KK169" s="422"/>
      <c r="KL169" s="422"/>
      <c r="KM169" s="422"/>
      <c r="KN169" s="422"/>
      <c r="KO169" s="422"/>
      <c r="KP169" s="422"/>
      <c r="KQ169" s="422"/>
      <c r="KR169" s="422"/>
      <c r="KS169" s="422"/>
      <c r="MC169" s="422"/>
      <c r="MD169" s="422"/>
      <c r="ME169" s="422"/>
      <c r="MG169" s="422"/>
      <c r="MH169" s="422"/>
      <c r="MI169" s="422"/>
      <c r="MJ169" s="422"/>
      <c r="MK169" s="422"/>
      <c r="ML169" s="422"/>
      <c r="MM169" s="422"/>
      <c r="MN169" s="422"/>
      <c r="MO169" s="422"/>
      <c r="MP169" s="422"/>
      <c r="MQ169" s="422"/>
      <c r="MR169" s="422"/>
      <c r="MS169" s="422"/>
      <c r="OC169" s="422"/>
      <c r="OD169" s="422"/>
      <c r="OE169" s="422"/>
      <c r="OG169" s="422"/>
      <c r="OH169" s="422"/>
      <c r="OI169" s="422"/>
      <c r="OJ169" s="422"/>
      <c r="OK169" s="422"/>
      <c r="OL169" s="422"/>
      <c r="OM169" s="422"/>
      <c r="ON169" s="422"/>
      <c r="OO169" s="422"/>
      <c r="OP169" s="422"/>
      <c r="OQ169" s="422"/>
      <c r="OR169" s="422"/>
      <c r="OS169" s="422"/>
      <c r="QC169" s="422"/>
      <c r="QD169" s="422"/>
      <c r="QE169" s="422"/>
      <c r="QG169" s="422"/>
      <c r="QH169" s="422"/>
      <c r="QI169" s="422"/>
      <c r="QJ169" s="422"/>
      <c r="QK169" s="422"/>
      <c r="QL169" s="422"/>
      <c r="QM169" s="422"/>
      <c r="QN169" s="422"/>
      <c r="QO169" s="422"/>
      <c r="QP169" s="422"/>
      <c r="QQ169" s="422"/>
      <c r="QR169" s="422"/>
      <c r="QS169" s="422"/>
      <c r="SC169" s="422"/>
      <c r="SD169" s="422"/>
      <c r="SE169" s="422"/>
      <c r="SG169" s="422"/>
      <c r="SH169" s="422"/>
      <c r="SI169" s="422"/>
      <c r="SJ169" s="422"/>
      <c r="SK169" s="422"/>
      <c r="SL169" s="422"/>
      <c r="SM169" s="422"/>
      <c r="SN169" s="422"/>
      <c r="SO169" s="422"/>
      <c r="SP169" s="422"/>
      <c r="SQ169" s="422"/>
      <c r="SR169" s="422"/>
      <c r="SS169" s="422"/>
      <c r="TC169" s="716"/>
      <c r="TD169" s="716"/>
      <c r="TE169" s="716"/>
      <c r="TG169" s="716"/>
      <c r="TH169" s="716"/>
      <c r="TI169" s="716"/>
      <c r="TJ169" s="716"/>
      <c r="TK169" s="716"/>
      <c r="TL169" s="716"/>
      <c r="TM169" s="716"/>
      <c r="TN169" s="716"/>
      <c r="TO169" s="716"/>
      <c r="TP169" s="716"/>
      <c r="TQ169" s="716"/>
      <c r="TR169" s="716"/>
      <c r="TS169" s="716"/>
      <c r="UC169" s="716"/>
      <c r="UD169" s="716"/>
      <c r="UE169" s="716"/>
      <c r="UG169" s="716"/>
      <c r="UH169" s="716"/>
      <c r="UI169" s="716"/>
      <c r="UJ169" s="716"/>
      <c r="UK169" s="716"/>
      <c r="UL169" s="716"/>
      <c r="UM169" s="716"/>
      <c r="UN169" s="716"/>
      <c r="UO169" s="716"/>
      <c r="UP169" s="716"/>
      <c r="UQ169" s="716"/>
      <c r="UR169" s="716"/>
      <c r="US169" s="716"/>
    </row>
    <row r="170" spans="133:565">
      <c r="EC170" s="276"/>
      <c r="ED170" s="296"/>
      <c r="EE170" s="422"/>
      <c r="EF170" s="422"/>
      <c r="EG170" s="422"/>
      <c r="EH170" s="1369"/>
      <c r="EI170" s="1369"/>
      <c r="EJ170" s="296"/>
      <c r="EK170" s="1369"/>
      <c r="EL170" s="422"/>
      <c r="EM170" s="422"/>
      <c r="EN170" s="422"/>
      <c r="EO170" s="478"/>
      <c r="EP170" s="276"/>
      <c r="EQ170" s="422"/>
      <c r="ER170" s="422"/>
      <c r="ES170" s="422"/>
      <c r="ET170" s="296"/>
      <c r="EU170" s="296"/>
      <c r="EV170" s="422"/>
      <c r="EW170" s="422"/>
      <c r="GC170" s="422"/>
      <c r="GD170" s="422"/>
      <c r="GE170" s="422"/>
      <c r="GF170" s="422"/>
      <c r="GG170" s="422"/>
      <c r="GH170" s="422"/>
      <c r="GI170" s="422"/>
      <c r="GJ170" s="422"/>
      <c r="GK170" s="422"/>
      <c r="GL170" s="422"/>
      <c r="GM170" s="422"/>
      <c r="GN170" s="422"/>
      <c r="GO170" s="422"/>
      <c r="GP170" s="422"/>
      <c r="GQ170" s="422"/>
      <c r="GR170" s="422"/>
      <c r="GS170" s="422"/>
      <c r="IC170" s="422"/>
      <c r="ID170" s="422"/>
      <c r="IE170" s="422"/>
      <c r="IG170" s="422"/>
      <c r="IH170" s="422"/>
      <c r="II170" s="422"/>
      <c r="IJ170" s="422"/>
      <c r="IK170" s="422"/>
      <c r="IL170" s="422"/>
      <c r="IM170" s="422"/>
      <c r="IN170" s="422"/>
      <c r="IO170" s="422"/>
      <c r="IP170" s="422"/>
      <c r="IQ170" s="422"/>
      <c r="IR170" s="422"/>
      <c r="IS170" s="422"/>
      <c r="KC170" s="422"/>
      <c r="KD170" s="422"/>
      <c r="KE170" s="422"/>
      <c r="KG170" s="422"/>
      <c r="KH170" s="422"/>
      <c r="KI170" s="422"/>
      <c r="KJ170" s="422"/>
      <c r="KK170" s="422"/>
      <c r="KL170" s="422"/>
      <c r="KM170" s="422"/>
      <c r="KN170" s="422"/>
      <c r="KO170" s="422"/>
      <c r="KP170" s="422"/>
      <c r="KQ170" s="422"/>
      <c r="KR170" s="422"/>
      <c r="KS170" s="422"/>
      <c r="MC170" s="422"/>
      <c r="MD170" s="422"/>
      <c r="ME170" s="422"/>
      <c r="MG170" s="422"/>
      <c r="MH170" s="422"/>
      <c r="MI170" s="422"/>
      <c r="MJ170" s="422"/>
      <c r="MK170" s="422"/>
      <c r="ML170" s="422"/>
      <c r="MM170" s="422"/>
      <c r="MN170" s="422"/>
      <c r="MO170" s="422"/>
      <c r="MP170" s="422"/>
      <c r="MQ170" s="422"/>
      <c r="MR170" s="422"/>
      <c r="MS170" s="422"/>
      <c r="OC170" s="422"/>
      <c r="OD170" s="422"/>
      <c r="OE170" s="422"/>
      <c r="OG170" s="422"/>
      <c r="OH170" s="422"/>
      <c r="OI170" s="422"/>
      <c r="OJ170" s="422"/>
      <c r="OK170" s="422"/>
      <c r="OL170" s="422"/>
      <c r="OM170" s="422"/>
      <c r="ON170" s="422"/>
      <c r="OO170" s="422"/>
      <c r="OP170" s="422"/>
      <c r="OQ170" s="422"/>
      <c r="OR170" s="422"/>
      <c r="OS170" s="422"/>
      <c r="QC170" s="422"/>
      <c r="QD170" s="422"/>
      <c r="QE170" s="422"/>
      <c r="QG170" s="422"/>
      <c r="QH170" s="422"/>
      <c r="QI170" s="422"/>
      <c r="QJ170" s="422"/>
      <c r="QK170" s="422"/>
      <c r="QL170" s="422"/>
      <c r="QM170" s="422"/>
      <c r="QN170" s="422"/>
      <c r="QO170" s="422"/>
      <c r="QP170" s="422"/>
      <c r="QQ170" s="422"/>
      <c r="QR170" s="422"/>
      <c r="QS170" s="422"/>
      <c r="SC170" s="422"/>
      <c r="SD170" s="422"/>
      <c r="SE170" s="422"/>
      <c r="SG170" s="422"/>
      <c r="SH170" s="422"/>
      <c r="SI170" s="422"/>
      <c r="SJ170" s="422"/>
      <c r="SK170" s="422"/>
      <c r="SL170" s="422"/>
      <c r="SM170" s="422"/>
      <c r="SN170" s="422"/>
      <c r="SO170" s="422"/>
      <c r="SP170" s="422"/>
      <c r="SQ170" s="422"/>
      <c r="SR170" s="422"/>
      <c r="SS170" s="422"/>
      <c r="TC170" s="716"/>
      <c r="TD170" s="716"/>
      <c r="TE170" s="716"/>
      <c r="TG170" s="716"/>
      <c r="TH170" s="716"/>
      <c r="TI170" s="716"/>
      <c r="TJ170" s="716"/>
      <c r="TK170" s="716"/>
      <c r="TL170" s="716"/>
      <c r="TM170" s="716"/>
      <c r="TN170" s="716"/>
      <c r="TO170" s="716"/>
      <c r="TP170" s="716"/>
      <c r="TQ170" s="716"/>
      <c r="TR170" s="716"/>
      <c r="TS170" s="716"/>
      <c r="UC170" s="716"/>
      <c r="UD170" s="716"/>
      <c r="UE170" s="716"/>
      <c r="UG170" s="716"/>
      <c r="UH170" s="716"/>
      <c r="UI170" s="716"/>
      <c r="UJ170" s="716"/>
      <c r="UK170" s="716"/>
      <c r="UL170" s="716"/>
      <c r="UM170" s="716"/>
      <c r="UN170" s="716"/>
      <c r="UO170" s="716"/>
      <c r="UP170" s="716"/>
      <c r="UQ170" s="716"/>
      <c r="UR170" s="716"/>
      <c r="US170" s="716"/>
    </row>
    <row r="171" spans="133:565">
      <c r="EC171" s="276"/>
      <c r="ED171" s="296"/>
      <c r="EE171" s="422"/>
      <c r="EF171" s="422"/>
      <c r="EG171" s="422"/>
      <c r="EH171" s="1369"/>
      <c r="EI171" s="1369"/>
      <c r="EJ171" s="296"/>
      <c r="EK171" s="1369"/>
      <c r="EL171" s="422"/>
      <c r="EM171" s="422"/>
      <c r="EN171" s="422"/>
      <c r="EO171" s="478"/>
      <c r="EP171" s="276"/>
      <c r="EQ171" s="422"/>
      <c r="ER171" s="422"/>
      <c r="ES171" s="422"/>
      <c r="ET171" s="296"/>
      <c r="EU171" s="296"/>
      <c r="EV171" s="422"/>
      <c r="EW171" s="422"/>
      <c r="GC171" s="422"/>
      <c r="GD171" s="422"/>
      <c r="GE171" s="422"/>
      <c r="GF171" s="422"/>
      <c r="GG171" s="422"/>
      <c r="GH171" s="422"/>
      <c r="GI171" s="422"/>
      <c r="GJ171" s="422"/>
      <c r="GK171" s="422"/>
      <c r="GL171" s="422"/>
      <c r="GM171" s="422"/>
      <c r="GN171" s="422"/>
      <c r="GO171" s="422"/>
      <c r="GP171" s="422"/>
      <c r="GQ171" s="422"/>
      <c r="GR171" s="422"/>
      <c r="GS171" s="422"/>
      <c r="IC171" s="422"/>
      <c r="ID171" s="422"/>
      <c r="IE171" s="422"/>
      <c r="IG171" s="422"/>
      <c r="IH171" s="422"/>
      <c r="II171" s="422"/>
      <c r="IJ171" s="422"/>
      <c r="IK171" s="422"/>
      <c r="IL171" s="422"/>
      <c r="IM171" s="422"/>
      <c r="IN171" s="422"/>
      <c r="IO171" s="422"/>
      <c r="IP171" s="422"/>
      <c r="IQ171" s="422"/>
      <c r="IR171" s="422"/>
      <c r="IS171" s="422"/>
      <c r="KC171" s="422"/>
      <c r="KD171" s="422"/>
      <c r="KE171" s="422"/>
      <c r="KG171" s="422"/>
      <c r="KH171" s="422"/>
      <c r="KI171" s="422"/>
      <c r="KJ171" s="422"/>
      <c r="KK171" s="422"/>
      <c r="KL171" s="422"/>
      <c r="KM171" s="422"/>
      <c r="KN171" s="422"/>
      <c r="KO171" s="422"/>
      <c r="KP171" s="422"/>
      <c r="KQ171" s="422"/>
      <c r="KR171" s="422"/>
      <c r="KS171" s="422"/>
      <c r="MC171" s="422"/>
      <c r="MD171" s="422"/>
      <c r="ME171" s="422"/>
      <c r="MG171" s="422"/>
      <c r="MH171" s="422"/>
      <c r="MI171" s="422"/>
      <c r="MJ171" s="422"/>
      <c r="MK171" s="422"/>
      <c r="ML171" s="422"/>
      <c r="MM171" s="422"/>
      <c r="MN171" s="422"/>
      <c r="MO171" s="422"/>
      <c r="MP171" s="422"/>
      <c r="MQ171" s="422"/>
      <c r="MR171" s="422"/>
      <c r="MS171" s="422"/>
      <c r="OC171" s="422"/>
      <c r="OD171" s="422"/>
      <c r="OE171" s="422"/>
      <c r="OG171" s="422"/>
      <c r="OH171" s="422"/>
      <c r="OI171" s="422"/>
      <c r="OJ171" s="422"/>
      <c r="OK171" s="422"/>
      <c r="OL171" s="422"/>
      <c r="OM171" s="422"/>
      <c r="ON171" s="422"/>
      <c r="OO171" s="422"/>
      <c r="OP171" s="422"/>
      <c r="OQ171" s="422"/>
      <c r="OR171" s="422"/>
      <c r="OS171" s="422"/>
      <c r="QC171" s="422"/>
      <c r="QD171" s="422"/>
      <c r="QE171" s="422"/>
      <c r="QG171" s="422"/>
      <c r="QH171" s="422"/>
      <c r="QI171" s="422"/>
      <c r="QJ171" s="422"/>
      <c r="QK171" s="422"/>
      <c r="QL171" s="422"/>
      <c r="QM171" s="422"/>
      <c r="QN171" s="422"/>
      <c r="QO171" s="422"/>
      <c r="QP171" s="422"/>
      <c r="QQ171" s="422"/>
      <c r="QR171" s="422"/>
      <c r="QS171" s="422"/>
      <c r="SC171" s="422"/>
      <c r="SD171" s="422"/>
      <c r="SE171" s="422"/>
      <c r="SG171" s="422"/>
      <c r="SH171" s="422"/>
      <c r="SI171" s="422"/>
      <c r="SJ171" s="422"/>
      <c r="SK171" s="422"/>
      <c r="SL171" s="422"/>
      <c r="SM171" s="422"/>
      <c r="SN171" s="422"/>
      <c r="SO171" s="422"/>
      <c r="SP171" s="422"/>
      <c r="SQ171" s="422"/>
      <c r="SR171" s="422"/>
      <c r="SS171" s="422"/>
      <c r="TC171" s="716"/>
      <c r="TD171" s="716"/>
      <c r="TE171" s="716"/>
      <c r="TG171" s="716"/>
      <c r="TH171" s="716"/>
      <c r="TI171" s="716"/>
      <c r="TJ171" s="716"/>
      <c r="TK171" s="716"/>
      <c r="TL171" s="716"/>
      <c r="TM171" s="716"/>
      <c r="TN171" s="716"/>
      <c r="TO171" s="716"/>
      <c r="TP171" s="716"/>
      <c r="TQ171" s="716"/>
      <c r="TR171" s="716"/>
      <c r="TS171" s="716"/>
      <c r="UC171" s="716"/>
      <c r="UD171" s="716"/>
      <c r="UE171" s="716"/>
      <c r="UG171" s="716"/>
      <c r="UH171" s="716"/>
      <c r="UI171" s="716"/>
      <c r="UJ171" s="716"/>
      <c r="UK171" s="716"/>
      <c r="UL171" s="716"/>
      <c r="UM171" s="716"/>
      <c r="UN171" s="716"/>
      <c r="UO171" s="716"/>
      <c r="UP171" s="716"/>
      <c r="UQ171" s="716"/>
      <c r="UR171" s="716"/>
      <c r="US171" s="716"/>
    </row>
    <row r="172" spans="133:565">
      <c r="EC172" s="276"/>
      <c r="ED172" s="296"/>
      <c r="EE172" s="422"/>
      <c r="EF172" s="422"/>
      <c r="EG172" s="422"/>
      <c r="EH172" s="1369"/>
      <c r="EI172" s="1369"/>
      <c r="EJ172" s="296"/>
      <c r="EK172" s="1369"/>
      <c r="EL172" s="422"/>
      <c r="EM172" s="422"/>
      <c r="EN172" s="422"/>
      <c r="EO172" s="478"/>
      <c r="EP172" s="276"/>
      <c r="EQ172" s="422"/>
      <c r="ER172" s="422"/>
      <c r="ES172" s="422"/>
      <c r="ET172" s="296"/>
      <c r="EU172" s="296"/>
      <c r="EV172" s="422"/>
      <c r="EW172" s="422"/>
      <c r="GC172" s="422"/>
      <c r="GD172" s="422"/>
      <c r="GE172" s="422"/>
      <c r="GF172" s="422"/>
      <c r="GG172" s="422"/>
      <c r="GH172" s="422"/>
      <c r="GI172" s="422"/>
      <c r="GJ172" s="422"/>
      <c r="GK172" s="422"/>
      <c r="GL172" s="422"/>
      <c r="GM172" s="422"/>
      <c r="GN172" s="422"/>
      <c r="GO172" s="422"/>
      <c r="GP172" s="422"/>
      <c r="GQ172" s="422"/>
      <c r="GR172" s="422"/>
      <c r="GS172" s="422"/>
      <c r="IC172" s="422"/>
      <c r="ID172" s="422"/>
      <c r="IE172" s="422"/>
      <c r="IG172" s="422"/>
      <c r="IH172" s="422"/>
      <c r="II172" s="422"/>
      <c r="IJ172" s="422"/>
      <c r="IK172" s="422"/>
      <c r="IL172" s="422"/>
      <c r="IM172" s="422"/>
      <c r="IN172" s="422"/>
      <c r="IO172" s="422"/>
      <c r="IP172" s="422"/>
      <c r="IQ172" s="422"/>
      <c r="IR172" s="422"/>
      <c r="IS172" s="422"/>
      <c r="KC172" s="422"/>
      <c r="KD172" s="422"/>
      <c r="KE172" s="422"/>
      <c r="KG172" s="422"/>
      <c r="KH172" s="422"/>
      <c r="KI172" s="422"/>
      <c r="KJ172" s="422"/>
      <c r="KK172" s="422"/>
      <c r="KL172" s="422"/>
      <c r="KM172" s="422"/>
      <c r="KN172" s="422"/>
      <c r="KO172" s="422"/>
      <c r="KP172" s="422"/>
      <c r="KQ172" s="422"/>
      <c r="KR172" s="422"/>
      <c r="KS172" s="422"/>
      <c r="MC172" s="422"/>
      <c r="MD172" s="422"/>
      <c r="ME172" s="422"/>
      <c r="MG172" s="422"/>
      <c r="MH172" s="422"/>
      <c r="MI172" s="422"/>
      <c r="MJ172" s="422"/>
      <c r="MK172" s="422"/>
      <c r="ML172" s="422"/>
      <c r="MM172" s="422"/>
      <c r="MN172" s="422"/>
      <c r="MO172" s="422"/>
      <c r="MP172" s="422"/>
      <c r="MQ172" s="422"/>
      <c r="MR172" s="422"/>
      <c r="MS172" s="422"/>
      <c r="OC172" s="422"/>
      <c r="OD172" s="422"/>
      <c r="OE172" s="422"/>
      <c r="OG172" s="422"/>
      <c r="OH172" s="422"/>
      <c r="OI172" s="422"/>
      <c r="OJ172" s="422"/>
      <c r="OK172" s="422"/>
      <c r="OL172" s="422"/>
      <c r="OM172" s="422"/>
      <c r="ON172" s="422"/>
      <c r="OO172" s="422"/>
      <c r="OP172" s="422"/>
      <c r="OQ172" s="422"/>
      <c r="OR172" s="422"/>
      <c r="OS172" s="422"/>
      <c r="QC172" s="422"/>
      <c r="QD172" s="422"/>
      <c r="QE172" s="422"/>
      <c r="QG172" s="422"/>
      <c r="QH172" s="422"/>
      <c r="QI172" s="422"/>
      <c r="QJ172" s="422"/>
      <c r="QK172" s="422"/>
      <c r="QL172" s="422"/>
      <c r="QM172" s="422"/>
      <c r="QN172" s="422"/>
      <c r="QO172" s="422"/>
      <c r="QP172" s="422"/>
      <c r="QQ172" s="422"/>
      <c r="QR172" s="422"/>
      <c r="QS172" s="422"/>
      <c r="SC172" s="422"/>
      <c r="SD172" s="422"/>
      <c r="SE172" s="422"/>
      <c r="SG172" s="422"/>
      <c r="SH172" s="422"/>
      <c r="SI172" s="422"/>
      <c r="SJ172" s="422"/>
      <c r="SK172" s="422"/>
      <c r="SL172" s="422"/>
      <c r="SM172" s="422"/>
      <c r="SN172" s="422"/>
      <c r="SO172" s="422"/>
      <c r="SP172" s="422"/>
      <c r="SQ172" s="422"/>
      <c r="SR172" s="422"/>
      <c r="SS172" s="422"/>
      <c r="TC172" s="716"/>
      <c r="TD172" s="716"/>
      <c r="TE172" s="716"/>
      <c r="TG172" s="716"/>
      <c r="TH172" s="716"/>
      <c r="TI172" s="716"/>
      <c r="TJ172" s="716"/>
      <c r="TK172" s="716"/>
      <c r="TL172" s="716"/>
      <c r="TM172" s="716"/>
      <c r="TN172" s="716"/>
      <c r="TO172" s="716"/>
      <c r="TP172" s="716"/>
      <c r="TQ172" s="716"/>
      <c r="TR172" s="716"/>
      <c r="TS172" s="716"/>
      <c r="UC172" s="716"/>
      <c r="UD172" s="716"/>
      <c r="UE172" s="716"/>
      <c r="UG172" s="716"/>
      <c r="UH172" s="716"/>
      <c r="UI172" s="716"/>
      <c r="UJ172" s="716"/>
      <c r="UK172" s="716"/>
      <c r="UL172" s="716"/>
      <c r="UM172" s="716"/>
      <c r="UN172" s="716"/>
      <c r="UO172" s="716"/>
      <c r="UP172" s="716"/>
      <c r="UQ172" s="716"/>
      <c r="UR172" s="716"/>
      <c r="US172" s="716"/>
    </row>
    <row r="173" spans="133:565">
      <c r="EC173" s="276"/>
      <c r="ED173" s="296"/>
      <c r="EE173" s="422"/>
      <c r="EF173" s="422"/>
      <c r="EG173" s="422"/>
      <c r="EH173" s="1369"/>
      <c r="EI173" s="1369"/>
      <c r="EJ173" s="296"/>
      <c r="EK173" s="1369"/>
      <c r="EL173" s="422"/>
      <c r="EM173" s="422"/>
      <c r="EN173" s="422"/>
      <c r="EO173" s="478"/>
      <c r="EP173" s="276"/>
      <c r="EQ173" s="422"/>
      <c r="ER173" s="422"/>
      <c r="ES173" s="422"/>
      <c r="ET173" s="296"/>
      <c r="EU173" s="296"/>
      <c r="EV173" s="422"/>
      <c r="EW173" s="422"/>
      <c r="GC173" s="422"/>
      <c r="GD173" s="422"/>
      <c r="GE173" s="422"/>
      <c r="GF173" s="422"/>
      <c r="GG173" s="422"/>
      <c r="GH173" s="422"/>
      <c r="GI173" s="422"/>
      <c r="GJ173" s="422"/>
      <c r="GK173" s="422"/>
      <c r="GL173" s="422"/>
      <c r="GM173" s="422"/>
      <c r="GN173" s="422"/>
      <c r="GO173" s="422"/>
      <c r="GP173" s="422"/>
      <c r="GQ173" s="422"/>
      <c r="GR173" s="422"/>
      <c r="GS173" s="422"/>
      <c r="IC173" s="422"/>
      <c r="ID173" s="422"/>
      <c r="IE173" s="422"/>
      <c r="IG173" s="422"/>
      <c r="IH173" s="422"/>
      <c r="II173" s="422"/>
      <c r="IJ173" s="422"/>
      <c r="IK173" s="422"/>
      <c r="IL173" s="422"/>
      <c r="IM173" s="422"/>
      <c r="IN173" s="422"/>
      <c r="IO173" s="422"/>
      <c r="IP173" s="422"/>
      <c r="IQ173" s="422"/>
      <c r="IR173" s="422"/>
      <c r="IS173" s="422"/>
      <c r="KC173" s="422"/>
      <c r="KD173" s="422"/>
      <c r="KE173" s="422"/>
      <c r="KG173" s="422"/>
      <c r="KH173" s="422"/>
      <c r="KI173" s="422"/>
      <c r="KJ173" s="422"/>
      <c r="KK173" s="422"/>
      <c r="KL173" s="422"/>
      <c r="KM173" s="422"/>
      <c r="KN173" s="422"/>
      <c r="KO173" s="422"/>
      <c r="KP173" s="422"/>
      <c r="KQ173" s="422"/>
      <c r="KR173" s="422"/>
      <c r="KS173" s="422"/>
      <c r="MC173" s="422"/>
      <c r="MD173" s="422"/>
      <c r="ME173" s="422"/>
      <c r="MG173" s="422"/>
      <c r="MH173" s="422"/>
      <c r="MI173" s="422"/>
      <c r="MJ173" s="422"/>
      <c r="MK173" s="422"/>
      <c r="ML173" s="422"/>
      <c r="MM173" s="422"/>
      <c r="MN173" s="422"/>
      <c r="MO173" s="422"/>
      <c r="MP173" s="422"/>
      <c r="MQ173" s="422"/>
      <c r="MR173" s="422"/>
      <c r="MS173" s="422"/>
      <c r="OC173" s="422"/>
      <c r="OD173" s="422"/>
      <c r="OE173" s="422"/>
      <c r="OG173" s="422"/>
      <c r="OH173" s="422"/>
      <c r="OI173" s="422"/>
      <c r="OJ173" s="422"/>
      <c r="OK173" s="422"/>
      <c r="OL173" s="422"/>
      <c r="OM173" s="422"/>
      <c r="ON173" s="422"/>
      <c r="OO173" s="422"/>
      <c r="OP173" s="422"/>
      <c r="OQ173" s="422"/>
      <c r="OR173" s="422"/>
      <c r="OS173" s="422"/>
      <c r="QC173" s="422"/>
      <c r="QD173" s="422"/>
      <c r="QE173" s="422"/>
      <c r="QG173" s="422"/>
      <c r="QH173" s="422"/>
      <c r="QI173" s="422"/>
      <c r="QJ173" s="422"/>
      <c r="QK173" s="422"/>
      <c r="QL173" s="422"/>
      <c r="QM173" s="422"/>
      <c r="QN173" s="422"/>
      <c r="QO173" s="422"/>
      <c r="QP173" s="422"/>
      <c r="QQ173" s="422"/>
      <c r="QR173" s="422"/>
      <c r="QS173" s="422"/>
      <c r="SC173" s="422"/>
      <c r="SD173" s="422"/>
      <c r="SE173" s="422"/>
      <c r="SG173" s="422"/>
      <c r="SH173" s="422"/>
      <c r="SI173" s="422"/>
      <c r="SJ173" s="422"/>
      <c r="SK173" s="422"/>
      <c r="SL173" s="422"/>
      <c r="SM173" s="422"/>
      <c r="SN173" s="422"/>
      <c r="SO173" s="422"/>
      <c r="SP173" s="422"/>
      <c r="SQ173" s="422"/>
      <c r="SR173" s="422"/>
      <c r="SS173" s="422"/>
      <c r="TC173" s="716"/>
      <c r="TD173" s="716"/>
      <c r="TE173" s="716"/>
      <c r="TG173" s="716"/>
      <c r="TH173" s="716"/>
      <c r="TI173" s="716"/>
      <c r="TJ173" s="716"/>
      <c r="TK173" s="716"/>
      <c r="TL173" s="716"/>
      <c r="TM173" s="716"/>
      <c r="TN173" s="716"/>
      <c r="TO173" s="716"/>
      <c r="TP173" s="716"/>
      <c r="TQ173" s="716"/>
      <c r="TR173" s="716"/>
      <c r="TS173" s="716"/>
      <c r="UC173" s="716"/>
      <c r="UD173" s="716"/>
      <c r="UE173" s="716"/>
      <c r="UG173" s="716"/>
      <c r="UH173" s="716"/>
      <c r="UI173" s="716"/>
      <c r="UJ173" s="716"/>
      <c r="UK173" s="716"/>
      <c r="UL173" s="716"/>
      <c r="UM173" s="716"/>
      <c r="UN173" s="716"/>
      <c r="UO173" s="716"/>
      <c r="UP173" s="716"/>
      <c r="UQ173" s="716"/>
      <c r="UR173" s="716"/>
      <c r="US173" s="716"/>
    </row>
    <row r="174" spans="133:565">
      <c r="EC174" s="276"/>
      <c r="ED174" s="296"/>
      <c r="EE174" s="422"/>
      <c r="EF174" s="422"/>
      <c r="EG174" s="422"/>
      <c r="EH174" s="1369"/>
      <c r="EI174" s="1369"/>
      <c r="EJ174" s="296"/>
      <c r="EK174" s="1369"/>
      <c r="EL174" s="422"/>
      <c r="EM174" s="422"/>
      <c r="EN174" s="422"/>
      <c r="EO174" s="478"/>
      <c r="EP174" s="276"/>
      <c r="EQ174" s="422"/>
      <c r="ER174" s="422"/>
      <c r="ES174" s="422"/>
      <c r="ET174" s="296"/>
      <c r="EU174" s="296"/>
      <c r="EV174" s="422"/>
      <c r="EW174" s="422"/>
      <c r="GC174" s="422"/>
      <c r="GD174" s="422"/>
      <c r="GE174" s="422"/>
      <c r="GF174" s="422"/>
      <c r="GG174" s="422"/>
      <c r="GH174" s="422"/>
      <c r="GI174" s="422"/>
      <c r="GJ174" s="422"/>
      <c r="GK174" s="422"/>
      <c r="GL174" s="422"/>
      <c r="GM174" s="422"/>
      <c r="GN174" s="422"/>
      <c r="GO174" s="422"/>
      <c r="GP174" s="422"/>
      <c r="GQ174" s="422"/>
      <c r="GR174" s="422"/>
      <c r="GS174" s="422"/>
      <c r="IC174" s="422"/>
      <c r="ID174" s="422"/>
      <c r="IE174" s="422"/>
      <c r="IG174" s="422"/>
      <c r="IH174" s="422"/>
      <c r="II174" s="422"/>
      <c r="IJ174" s="422"/>
      <c r="IK174" s="422"/>
      <c r="IL174" s="422"/>
      <c r="IM174" s="422"/>
      <c r="IN174" s="422"/>
      <c r="IO174" s="422"/>
      <c r="IP174" s="422"/>
      <c r="IQ174" s="422"/>
      <c r="IR174" s="422"/>
      <c r="IS174" s="422"/>
      <c r="KC174" s="422"/>
      <c r="KD174" s="422"/>
      <c r="KE174" s="422"/>
      <c r="KG174" s="422"/>
      <c r="KH174" s="422"/>
      <c r="KI174" s="422"/>
      <c r="KJ174" s="422"/>
      <c r="KK174" s="422"/>
      <c r="KL174" s="422"/>
      <c r="KM174" s="422"/>
      <c r="KN174" s="422"/>
      <c r="KO174" s="422"/>
      <c r="KP174" s="422"/>
      <c r="KQ174" s="422"/>
      <c r="KR174" s="422"/>
      <c r="KS174" s="422"/>
      <c r="MC174" s="422"/>
      <c r="MD174" s="422"/>
      <c r="ME174" s="422"/>
      <c r="MG174" s="422"/>
      <c r="MH174" s="422"/>
      <c r="MI174" s="422"/>
      <c r="MJ174" s="422"/>
      <c r="MK174" s="422"/>
      <c r="ML174" s="422"/>
      <c r="MM174" s="422"/>
      <c r="MN174" s="422"/>
      <c r="MO174" s="422"/>
      <c r="MP174" s="422"/>
      <c r="MQ174" s="422"/>
      <c r="MR174" s="422"/>
      <c r="MS174" s="422"/>
      <c r="OC174" s="422"/>
      <c r="OD174" s="422"/>
      <c r="OE174" s="422"/>
      <c r="OG174" s="422"/>
      <c r="OH174" s="422"/>
      <c r="OI174" s="422"/>
      <c r="OJ174" s="422"/>
      <c r="OK174" s="422"/>
      <c r="OL174" s="422"/>
      <c r="OM174" s="422"/>
      <c r="ON174" s="422"/>
      <c r="OO174" s="422"/>
      <c r="OP174" s="422"/>
      <c r="OQ174" s="422"/>
      <c r="OR174" s="422"/>
      <c r="OS174" s="422"/>
      <c r="QC174" s="422"/>
      <c r="QD174" s="422"/>
      <c r="QE174" s="422"/>
      <c r="QG174" s="422"/>
      <c r="QH174" s="422"/>
      <c r="QI174" s="422"/>
      <c r="QJ174" s="422"/>
      <c r="QK174" s="422"/>
      <c r="QL174" s="422"/>
      <c r="QM174" s="422"/>
      <c r="QN174" s="422"/>
      <c r="QO174" s="422"/>
      <c r="QP174" s="422"/>
      <c r="QQ174" s="422"/>
      <c r="QR174" s="422"/>
      <c r="QS174" s="422"/>
      <c r="SC174" s="422"/>
      <c r="SD174" s="422"/>
      <c r="SE174" s="422"/>
      <c r="SG174" s="422"/>
      <c r="SH174" s="422"/>
      <c r="SI174" s="422"/>
      <c r="SJ174" s="422"/>
      <c r="SK174" s="422"/>
      <c r="SL174" s="422"/>
      <c r="SM174" s="422"/>
      <c r="SN174" s="422"/>
      <c r="SO174" s="422"/>
      <c r="SP174" s="422"/>
      <c r="SQ174" s="422"/>
      <c r="SR174" s="422"/>
      <c r="SS174" s="422"/>
      <c r="TC174" s="716"/>
      <c r="TD174" s="716"/>
      <c r="TE174" s="716"/>
      <c r="TG174" s="716"/>
      <c r="TH174" s="716"/>
      <c r="TI174" s="716"/>
      <c r="TJ174" s="716"/>
      <c r="TK174" s="716"/>
      <c r="TL174" s="716"/>
      <c r="TM174" s="716"/>
      <c r="TN174" s="716"/>
      <c r="TO174" s="716"/>
      <c r="TP174" s="716"/>
      <c r="TQ174" s="716"/>
      <c r="TR174" s="716"/>
      <c r="TS174" s="716"/>
      <c r="UC174" s="716"/>
      <c r="UD174" s="716"/>
      <c r="UE174" s="716"/>
      <c r="UG174" s="716"/>
      <c r="UH174" s="716"/>
      <c r="UI174" s="716"/>
      <c r="UJ174" s="716"/>
      <c r="UK174" s="716"/>
      <c r="UL174" s="716"/>
      <c r="UM174" s="716"/>
      <c r="UN174" s="716"/>
      <c r="UO174" s="716"/>
      <c r="UP174" s="716"/>
      <c r="UQ174" s="716"/>
      <c r="UR174" s="716"/>
      <c r="US174" s="716"/>
    </row>
    <row r="175" spans="133:565">
      <c r="EC175" s="276"/>
      <c r="ED175" s="296"/>
      <c r="EE175" s="422"/>
      <c r="EF175" s="422"/>
      <c r="EG175" s="422"/>
      <c r="EH175" s="1369"/>
      <c r="EI175" s="1369"/>
      <c r="EJ175" s="296"/>
      <c r="EK175" s="1369"/>
      <c r="EL175" s="422"/>
      <c r="EM175" s="422"/>
      <c r="EN175" s="422"/>
      <c r="EO175" s="478"/>
      <c r="EP175" s="276"/>
      <c r="EQ175" s="422"/>
      <c r="ER175" s="422"/>
      <c r="ES175" s="422"/>
      <c r="ET175" s="296"/>
      <c r="EU175" s="296"/>
      <c r="EV175" s="422"/>
      <c r="EW175" s="422"/>
      <c r="GC175" s="422"/>
      <c r="GD175" s="422"/>
      <c r="GE175" s="422"/>
      <c r="GF175" s="422"/>
      <c r="GG175" s="422"/>
      <c r="GH175" s="422"/>
      <c r="GI175" s="422"/>
      <c r="GJ175" s="422"/>
      <c r="GK175" s="422"/>
      <c r="GL175" s="422"/>
      <c r="GM175" s="422"/>
      <c r="GN175" s="422"/>
      <c r="GO175" s="422"/>
      <c r="GP175" s="422"/>
      <c r="GQ175" s="422"/>
      <c r="GR175" s="422"/>
      <c r="GS175" s="422"/>
      <c r="IC175" s="422"/>
      <c r="ID175" s="422"/>
      <c r="IE175" s="422"/>
      <c r="IG175" s="422"/>
      <c r="IH175" s="422"/>
      <c r="II175" s="422"/>
      <c r="IJ175" s="422"/>
      <c r="IK175" s="422"/>
      <c r="IL175" s="422"/>
      <c r="IM175" s="422"/>
      <c r="IN175" s="422"/>
      <c r="IO175" s="422"/>
      <c r="IP175" s="422"/>
      <c r="IQ175" s="422"/>
      <c r="IR175" s="422"/>
      <c r="IS175" s="422"/>
      <c r="KC175" s="422"/>
      <c r="KD175" s="422"/>
      <c r="KE175" s="422"/>
      <c r="KG175" s="422"/>
      <c r="KH175" s="422"/>
      <c r="KI175" s="422"/>
      <c r="KJ175" s="422"/>
      <c r="KK175" s="422"/>
      <c r="KL175" s="422"/>
      <c r="KM175" s="422"/>
      <c r="KN175" s="422"/>
      <c r="KO175" s="422"/>
      <c r="KP175" s="422"/>
      <c r="KQ175" s="422"/>
      <c r="KR175" s="422"/>
      <c r="KS175" s="422"/>
      <c r="MC175" s="422"/>
      <c r="MD175" s="422"/>
      <c r="ME175" s="422"/>
      <c r="MG175" s="422"/>
      <c r="MH175" s="422"/>
      <c r="MI175" s="422"/>
      <c r="MJ175" s="422"/>
      <c r="MK175" s="422"/>
      <c r="ML175" s="422"/>
      <c r="MM175" s="422"/>
      <c r="MN175" s="422"/>
      <c r="MO175" s="422"/>
      <c r="MP175" s="422"/>
      <c r="MQ175" s="422"/>
      <c r="MR175" s="422"/>
      <c r="MS175" s="422"/>
      <c r="OC175" s="422"/>
      <c r="OD175" s="422"/>
      <c r="OE175" s="422"/>
      <c r="OG175" s="422"/>
      <c r="OH175" s="422"/>
      <c r="OI175" s="422"/>
      <c r="OJ175" s="422"/>
      <c r="OK175" s="422"/>
      <c r="OL175" s="422"/>
      <c r="OM175" s="422"/>
      <c r="ON175" s="422"/>
      <c r="OO175" s="422"/>
      <c r="OP175" s="422"/>
      <c r="OQ175" s="422"/>
      <c r="OR175" s="422"/>
      <c r="OS175" s="422"/>
      <c r="QC175" s="422"/>
      <c r="QD175" s="422"/>
      <c r="QE175" s="422"/>
      <c r="QG175" s="422"/>
      <c r="QH175" s="422"/>
      <c r="QI175" s="422"/>
      <c r="QJ175" s="422"/>
      <c r="QK175" s="422"/>
      <c r="QL175" s="422"/>
      <c r="QM175" s="422"/>
      <c r="QN175" s="422"/>
      <c r="QO175" s="422"/>
      <c r="QP175" s="422"/>
      <c r="QQ175" s="422"/>
      <c r="QR175" s="422"/>
      <c r="QS175" s="422"/>
      <c r="SC175" s="422"/>
      <c r="SD175" s="422"/>
      <c r="SE175" s="422"/>
      <c r="SG175" s="422"/>
      <c r="SH175" s="422"/>
      <c r="SI175" s="422"/>
      <c r="SJ175" s="422"/>
      <c r="SK175" s="422"/>
      <c r="SL175" s="422"/>
      <c r="SM175" s="422"/>
      <c r="SN175" s="422"/>
      <c r="SO175" s="422"/>
      <c r="SP175" s="422"/>
      <c r="SQ175" s="422"/>
      <c r="SR175" s="422"/>
      <c r="SS175" s="422"/>
      <c r="TC175" s="716"/>
      <c r="TD175" s="716"/>
      <c r="TE175" s="716"/>
      <c r="TG175" s="716"/>
      <c r="TH175" s="716"/>
      <c r="TI175" s="716"/>
      <c r="TJ175" s="716"/>
      <c r="TK175" s="716"/>
      <c r="TL175" s="716"/>
      <c r="TM175" s="716"/>
      <c r="TN175" s="716"/>
      <c r="TO175" s="716"/>
      <c r="TP175" s="716"/>
      <c r="TQ175" s="716"/>
      <c r="TR175" s="716"/>
      <c r="TS175" s="716"/>
      <c r="UC175" s="716"/>
      <c r="UD175" s="716"/>
      <c r="UE175" s="716"/>
      <c r="UG175" s="716"/>
      <c r="UH175" s="716"/>
      <c r="UI175" s="716"/>
      <c r="UJ175" s="716"/>
      <c r="UK175" s="716"/>
      <c r="UL175" s="716"/>
      <c r="UM175" s="716"/>
      <c r="UN175" s="716"/>
      <c r="UO175" s="716"/>
      <c r="UP175" s="716"/>
      <c r="UQ175" s="716"/>
      <c r="UR175" s="716"/>
      <c r="US175" s="716"/>
    </row>
    <row r="176" spans="133:565">
      <c r="EC176" s="276"/>
      <c r="ED176" s="296"/>
      <c r="EE176" s="422"/>
      <c r="EF176" s="422"/>
      <c r="EG176" s="422"/>
      <c r="EH176" s="1369"/>
      <c r="EI176" s="1369"/>
      <c r="EJ176" s="296"/>
      <c r="EK176" s="1369"/>
      <c r="EL176" s="422"/>
      <c r="EM176" s="422"/>
      <c r="EN176" s="422"/>
      <c r="EO176" s="478"/>
      <c r="EP176" s="276"/>
      <c r="EQ176" s="422"/>
      <c r="ER176" s="422"/>
      <c r="ES176" s="422"/>
      <c r="ET176" s="296"/>
      <c r="EU176" s="296"/>
      <c r="EV176" s="422"/>
      <c r="EW176" s="422"/>
      <c r="GC176" s="422"/>
      <c r="GD176" s="422"/>
      <c r="GE176" s="422"/>
      <c r="GF176" s="422"/>
      <c r="GG176" s="422"/>
      <c r="GH176" s="422"/>
      <c r="GI176" s="422"/>
      <c r="GJ176" s="422"/>
      <c r="GK176" s="422"/>
      <c r="GL176" s="422"/>
      <c r="GM176" s="422"/>
      <c r="GN176" s="422"/>
      <c r="GO176" s="422"/>
      <c r="GP176" s="422"/>
      <c r="GQ176" s="422"/>
      <c r="GR176" s="422"/>
      <c r="GS176" s="422"/>
      <c r="IC176" s="422"/>
      <c r="ID176" s="422"/>
      <c r="IE176" s="422"/>
      <c r="IG176" s="422"/>
      <c r="IH176" s="422"/>
      <c r="II176" s="422"/>
      <c r="IJ176" s="422"/>
      <c r="IK176" s="422"/>
      <c r="IL176" s="422"/>
      <c r="IM176" s="422"/>
      <c r="IN176" s="422"/>
      <c r="IO176" s="422"/>
      <c r="IP176" s="422"/>
      <c r="IQ176" s="422"/>
      <c r="IR176" s="422"/>
      <c r="IS176" s="422"/>
      <c r="KC176" s="422"/>
      <c r="KD176" s="422"/>
      <c r="KE176" s="422"/>
      <c r="KG176" s="422"/>
      <c r="KH176" s="422"/>
      <c r="KI176" s="422"/>
      <c r="KJ176" s="422"/>
      <c r="KK176" s="422"/>
      <c r="KL176" s="422"/>
      <c r="KM176" s="422"/>
      <c r="KN176" s="422"/>
      <c r="KO176" s="422"/>
      <c r="KP176" s="422"/>
      <c r="KQ176" s="422"/>
      <c r="KR176" s="422"/>
      <c r="KS176" s="422"/>
      <c r="MC176" s="422"/>
      <c r="MD176" s="422"/>
      <c r="ME176" s="422"/>
      <c r="MG176" s="422"/>
      <c r="MH176" s="422"/>
      <c r="MI176" s="422"/>
      <c r="MJ176" s="422"/>
      <c r="MK176" s="422"/>
      <c r="ML176" s="422"/>
      <c r="MM176" s="422"/>
      <c r="MN176" s="422"/>
      <c r="MO176" s="422"/>
      <c r="MP176" s="422"/>
      <c r="MQ176" s="422"/>
      <c r="MR176" s="422"/>
      <c r="MS176" s="422"/>
      <c r="OC176" s="422"/>
      <c r="OD176" s="422"/>
      <c r="OE176" s="422"/>
      <c r="OG176" s="422"/>
      <c r="OH176" s="422"/>
      <c r="OI176" s="422"/>
      <c r="OJ176" s="422"/>
      <c r="OK176" s="422"/>
      <c r="OL176" s="422"/>
      <c r="OM176" s="422"/>
      <c r="ON176" s="422"/>
      <c r="OO176" s="422"/>
      <c r="OP176" s="422"/>
      <c r="OQ176" s="422"/>
      <c r="OR176" s="422"/>
      <c r="OS176" s="422"/>
      <c r="QC176" s="422"/>
      <c r="QD176" s="422"/>
      <c r="QE176" s="422"/>
      <c r="QG176" s="422"/>
      <c r="QH176" s="422"/>
      <c r="QI176" s="422"/>
      <c r="QJ176" s="422"/>
      <c r="QK176" s="422"/>
      <c r="QL176" s="422"/>
      <c r="QM176" s="422"/>
      <c r="QN176" s="422"/>
      <c r="QO176" s="422"/>
      <c r="QP176" s="422"/>
      <c r="QQ176" s="422"/>
      <c r="QR176" s="422"/>
      <c r="QS176" s="422"/>
      <c r="SC176" s="422"/>
      <c r="SD176" s="422"/>
      <c r="SE176" s="422"/>
      <c r="SG176" s="422"/>
      <c r="SH176" s="422"/>
      <c r="SI176" s="422"/>
      <c r="SJ176" s="422"/>
      <c r="SK176" s="422"/>
      <c r="SL176" s="422"/>
      <c r="SM176" s="422"/>
      <c r="SN176" s="422"/>
      <c r="SO176" s="422"/>
      <c r="SP176" s="422"/>
      <c r="SQ176" s="422"/>
      <c r="SR176" s="422"/>
      <c r="SS176" s="422"/>
      <c r="TC176" s="716"/>
      <c r="TD176" s="716"/>
      <c r="TE176" s="716"/>
      <c r="TG176" s="716"/>
      <c r="TH176" s="716"/>
      <c r="TI176" s="716"/>
      <c r="TJ176" s="716"/>
      <c r="TK176" s="716"/>
      <c r="TL176" s="716"/>
      <c r="TM176" s="716"/>
      <c r="TN176" s="716"/>
      <c r="TO176" s="716"/>
      <c r="TP176" s="716"/>
      <c r="TQ176" s="716"/>
      <c r="TR176" s="716"/>
      <c r="TS176" s="716"/>
      <c r="UC176" s="716"/>
      <c r="UD176" s="716"/>
      <c r="UE176" s="716"/>
      <c r="UG176" s="716"/>
      <c r="UH176" s="716"/>
      <c r="UI176" s="716"/>
      <c r="UJ176" s="716"/>
      <c r="UK176" s="716"/>
      <c r="UL176" s="716"/>
      <c r="UM176" s="716"/>
      <c r="UN176" s="716"/>
      <c r="UO176" s="716"/>
      <c r="UP176" s="716"/>
      <c r="UQ176" s="716"/>
      <c r="UR176" s="716"/>
      <c r="US176" s="716"/>
    </row>
    <row r="177" spans="133:565">
      <c r="EC177" s="276"/>
      <c r="ED177" s="296"/>
      <c r="EE177" s="422"/>
      <c r="EF177" s="422"/>
      <c r="EG177" s="422"/>
      <c r="EH177" s="1369"/>
      <c r="EI177" s="1369"/>
      <c r="EJ177" s="296"/>
      <c r="EK177" s="1369"/>
      <c r="EL177" s="422"/>
      <c r="EM177" s="422"/>
      <c r="EN177" s="422"/>
      <c r="EO177" s="478"/>
      <c r="EP177" s="276"/>
      <c r="EQ177" s="422"/>
      <c r="ER177" s="422"/>
      <c r="ES177" s="422"/>
      <c r="ET177" s="296"/>
      <c r="EU177" s="296"/>
      <c r="EV177" s="422"/>
      <c r="EW177" s="422"/>
      <c r="GC177" s="422"/>
      <c r="GD177" s="422"/>
      <c r="GE177" s="422"/>
      <c r="GF177" s="422"/>
      <c r="GG177" s="422"/>
      <c r="GH177" s="422"/>
      <c r="GI177" s="422"/>
      <c r="GJ177" s="422"/>
      <c r="GK177" s="422"/>
      <c r="GL177" s="422"/>
      <c r="GM177" s="422"/>
      <c r="GN177" s="422"/>
      <c r="GO177" s="422"/>
      <c r="GP177" s="422"/>
      <c r="GQ177" s="422"/>
      <c r="GR177" s="422"/>
      <c r="GS177" s="422"/>
      <c r="IC177" s="422"/>
      <c r="ID177" s="422"/>
      <c r="IE177" s="422"/>
      <c r="IG177" s="422"/>
      <c r="IH177" s="422"/>
      <c r="II177" s="422"/>
      <c r="IJ177" s="422"/>
      <c r="IK177" s="422"/>
      <c r="IL177" s="422"/>
      <c r="IM177" s="422"/>
      <c r="IN177" s="422"/>
      <c r="IO177" s="422"/>
      <c r="IP177" s="422"/>
      <c r="IQ177" s="422"/>
      <c r="IR177" s="422"/>
      <c r="IS177" s="422"/>
      <c r="KC177" s="422"/>
      <c r="KD177" s="422"/>
      <c r="KE177" s="422"/>
      <c r="KG177" s="422"/>
      <c r="KH177" s="422"/>
      <c r="KI177" s="422"/>
      <c r="KJ177" s="422"/>
      <c r="KK177" s="422"/>
      <c r="KL177" s="422"/>
      <c r="KM177" s="422"/>
      <c r="KN177" s="422"/>
      <c r="KO177" s="422"/>
      <c r="KP177" s="422"/>
      <c r="KQ177" s="422"/>
      <c r="KR177" s="422"/>
      <c r="KS177" s="422"/>
      <c r="MC177" s="422"/>
      <c r="MD177" s="422"/>
      <c r="ME177" s="422"/>
      <c r="MG177" s="422"/>
      <c r="MH177" s="422"/>
      <c r="MI177" s="422"/>
      <c r="MJ177" s="422"/>
      <c r="MK177" s="422"/>
      <c r="ML177" s="422"/>
      <c r="MM177" s="422"/>
      <c r="MN177" s="422"/>
      <c r="MO177" s="422"/>
      <c r="MP177" s="422"/>
      <c r="MQ177" s="422"/>
      <c r="MR177" s="422"/>
      <c r="MS177" s="422"/>
      <c r="OC177" s="422"/>
      <c r="OD177" s="422"/>
      <c r="OE177" s="422"/>
      <c r="OG177" s="422"/>
      <c r="OH177" s="422"/>
      <c r="OI177" s="422"/>
      <c r="OJ177" s="422"/>
      <c r="OK177" s="422"/>
      <c r="OL177" s="422"/>
      <c r="OM177" s="422"/>
      <c r="ON177" s="422"/>
      <c r="OO177" s="422"/>
      <c r="OP177" s="422"/>
      <c r="OQ177" s="422"/>
      <c r="OR177" s="422"/>
      <c r="OS177" s="422"/>
      <c r="QC177" s="422"/>
      <c r="QD177" s="422"/>
      <c r="QE177" s="422"/>
      <c r="QG177" s="422"/>
      <c r="QH177" s="422"/>
      <c r="QI177" s="422"/>
      <c r="QJ177" s="422"/>
      <c r="QK177" s="422"/>
      <c r="QL177" s="422"/>
      <c r="QM177" s="422"/>
      <c r="QN177" s="422"/>
      <c r="QO177" s="422"/>
      <c r="QP177" s="422"/>
      <c r="QQ177" s="422"/>
      <c r="QR177" s="422"/>
      <c r="QS177" s="422"/>
      <c r="SC177" s="422"/>
      <c r="SD177" s="422"/>
      <c r="SE177" s="422"/>
      <c r="SG177" s="422"/>
      <c r="SH177" s="422"/>
      <c r="SI177" s="422"/>
      <c r="SJ177" s="422"/>
      <c r="SK177" s="422"/>
      <c r="SL177" s="422"/>
      <c r="SM177" s="422"/>
      <c r="SN177" s="422"/>
      <c r="SO177" s="422"/>
      <c r="SP177" s="422"/>
      <c r="SQ177" s="422"/>
      <c r="SR177" s="422"/>
      <c r="SS177" s="422"/>
      <c r="TC177" s="716"/>
      <c r="TD177" s="716"/>
      <c r="TE177" s="716"/>
      <c r="TG177" s="716"/>
      <c r="TH177" s="716"/>
      <c r="TI177" s="716"/>
      <c r="TJ177" s="716"/>
      <c r="TK177" s="716"/>
      <c r="TL177" s="716"/>
      <c r="TM177" s="716"/>
      <c r="TN177" s="716"/>
      <c r="TO177" s="716"/>
      <c r="TP177" s="716"/>
      <c r="TQ177" s="716"/>
      <c r="TR177" s="716"/>
      <c r="TS177" s="716"/>
      <c r="UC177" s="716"/>
      <c r="UD177" s="716"/>
      <c r="UE177" s="716"/>
      <c r="UG177" s="716"/>
      <c r="UH177" s="716"/>
      <c r="UI177" s="716"/>
      <c r="UJ177" s="716"/>
      <c r="UK177" s="716"/>
      <c r="UL177" s="716"/>
      <c r="UM177" s="716"/>
      <c r="UN177" s="716"/>
      <c r="UO177" s="716"/>
      <c r="UP177" s="716"/>
      <c r="UQ177" s="716"/>
      <c r="UR177" s="716"/>
      <c r="US177" s="716"/>
    </row>
    <row r="178" spans="133:565">
      <c r="EC178" s="276"/>
      <c r="ED178" s="296"/>
      <c r="EE178" s="422"/>
      <c r="EF178" s="422"/>
      <c r="EG178" s="422"/>
      <c r="EH178" s="1369"/>
      <c r="EI178" s="1369"/>
      <c r="EJ178" s="296"/>
      <c r="EK178" s="1369"/>
      <c r="EL178" s="422"/>
      <c r="EM178" s="422"/>
      <c r="EN178" s="422"/>
      <c r="EO178" s="478"/>
      <c r="EP178" s="276"/>
      <c r="EQ178" s="422"/>
      <c r="ER178" s="422"/>
      <c r="ES178" s="422"/>
      <c r="ET178" s="296"/>
      <c r="EU178" s="296"/>
      <c r="EV178" s="422"/>
      <c r="EW178" s="422"/>
      <c r="GC178" s="422"/>
      <c r="GD178" s="422"/>
      <c r="GE178" s="422"/>
      <c r="GF178" s="422"/>
      <c r="GG178" s="422"/>
      <c r="GH178" s="422"/>
      <c r="GI178" s="422"/>
      <c r="GJ178" s="422"/>
      <c r="GK178" s="422"/>
      <c r="GL178" s="422"/>
      <c r="GM178" s="422"/>
      <c r="GN178" s="422"/>
      <c r="GO178" s="422"/>
      <c r="GP178" s="422"/>
      <c r="GQ178" s="422"/>
      <c r="GR178" s="422"/>
      <c r="GS178" s="422"/>
      <c r="IC178" s="422"/>
      <c r="ID178" s="422"/>
      <c r="IE178" s="422"/>
      <c r="IG178" s="422"/>
      <c r="IH178" s="422"/>
      <c r="II178" s="422"/>
      <c r="IJ178" s="422"/>
      <c r="IK178" s="422"/>
      <c r="IL178" s="422"/>
      <c r="IM178" s="422"/>
      <c r="IN178" s="422"/>
      <c r="IO178" s="422"/>
      <c r="IP178" s="422"/>
      <c r="IQ178" s="422"/>
      <c r="IR178" s="422"/>
      <c r="IS178" s="422"/>
      <c r="KC178" s="422"/>
      <c r="KD178" s="422"/>
      <c r="KE178" s="422"/>
      <c r="KG178" s="422"/>
      <c r="KH178" s="422"/>
      <c r="KI178" s="422"/>
      <c r="KJ178" s="422"/>
      <c r="KK178" s="422"/>
      <c r="KL178" s="422"/>
      <c r="KM178" s="422"/>
      <c r="KN178" s="422"/>
      <c r="KO178" s="422"/>
      <c r="KP178" s="422"/>
      <c r="KQ178" s="422"/>
      <c r="KR178" s="422"/>
      <c r="KS178" s="422"/>
      <c r="MC178" s="422"/>
      <c r="MD178" s="422"/>
      <c r="ME178" s="422"/>
      <c r="MG178" s="422"/>
      <c r="MH178" s="422"/>
      <c r="MI178" s="422"/>
      <c r="MJ178" s="422"/>
      <c r="MK178" s="422"/>
      <c r="ML178" s="422"/>
      <c r="MM178" s="422"/>
      <c r="MN178" s="422"/>
      <c r="MO178" s="422"/>
      <c r="MP178" s="422"/>
      <c r="MQ178" s="422"/>
      <c r="MR178" s="422"/>
      <c r="MS178" s="422"/>
      <c r="OC178" s="422"/>
      <c r="OD178" s="422"/>
      <c r="OE178" s="422"/>
      <c r="OG178" s="422"/>
      <c r="OH178" s="422"/>
      <c r="OI178" s="422"/>
      <c r="OJ178" s="422"/>
      <c r="OK178" s="422"/>
      <c r="OL178" s="422"/>
      <c r="OM178" s="422"/>
      <c r="ON178" s="422"/>
      <c r="OO178" s="422"/>
      <c r="OP178" s="422"/>
      <c r="OQ178" s="422"/>
      <c r="OR178" s="422"/>
      <c r="OS178" s="422"/>
      <c r="QC178" s="422"/>
      <c r="QD178" s="422"/>
      <c r="QE178" s="422"/>
      <c r="QG178" s="422"/>
      <c r="QH178" s="422"/>
      <c r="QI178" s="422"/>
      <c r="QJ178" s="422"/>
      <c r="QK178" s="422"/>
      <c r="QL178" s="422"/>
      <c r="QM178" s="422"/>
      <c r="QN178" s="422"/>
      <c r="QO178" s="422"/>
      <c r="QP178" s="422"/>
      <c r="QQ178" s="422"/>
      <c r="QR178" s="422"/>
      <c r="QS178" s="422"/>
      <c r="SC178" s="422"/>
      <c r="SD178" s="422"/>
      <c r="SE178" s="422"/>
      <c r="SG178" s="422"/>
      <c r="SH178" s="422"/>
      <c r="SI178" s="422"/>
      <c r="SJ178" s="422"/>
      <c r="SK178" s="422"/>
      <c r="SL178" s="422"/>
      <c r="SM178" s="422"/>
      <c r="SN178" s="422"/>
      <c r="SO178" s="422"/>
      <c r="SP178" s="422"/>
      <c r="SQ178" s="422"/>
      <c r="SR178" s="422"/>
      <c r="SS178" s="422"/>
      <c r="TC178" s="716"/>
      <c r="TD178" s="716"/>
      <c r="TE178" s="716"/>
      <c r="TG178" s="716"/>
      <c r="TH178" s="716"/>
      <c r="TI178" s="716"/>
      <c r="TJ178" s="716"/>
      <c r="TK178" s="716"/>
      <c r="TL178" s="716"/>
      <c r="TM178" s="716"/>
      <c r="TN178" s="716"/>
      <c r="TO178" s="716"/>
      <c r="TP178" s="716"/>
      <c r="TQ178" s="716"/>
      <c r="TR178" s="716"/>
      <c r="TS178" s="716"/>
      <c r="UC178" s="716"/>
      <c r="UD178" s="716"/>
      <c r="UE178" s="716"/>
      <c r="UG178" s="716"/>
      <c r="UH178" s="716"/>
      <c r="UI178" s="716"/>
      <c r="UJ178" s="716"/>
      <c r="UK178" s="716"/>
      <c r="UL178" s="716"/>
      <c r="UM178" s="716"/>
      <c r="UN178" s="716"/>
      <c r="UO178" s="716"/>
      <c r="UP178" s="716"/>
      <c r="UQ178" s="716"/>
      <c r="UR178" s="716"/>
      <c r="US178" s="716"/>
    </row>
    <row r="179" spans="133:565">
      <c r="EC179" s="276"/>
      <c r="ED179" s="296"/>
      <c r="EE179" s="422"/>
      <c r="EF179" s="422"/>
      <c r="EG179" s="422"/>
      <c r="EH179" s="1369"/>
      <c r="EI179" s="1369"/>
      <c r="EJ179" s="296"/>
      <c r="EK179" s="1369"/>
      <c r="EL179" s="422"/>
      <c r="EM179" s="422"/>
      <c r="EN179" s="422"/>
      <c r="EO179" s="478"/>
      <c r="EP179" s="276"/>
      <c r="EQ179" s="422"/>
      <c r="ER179" s="422"/>
      <c r="ES179" s="422"/>
      <c r="ET179" s="296"/>
      <c r="EU179" s="296"/>
      <c r="EV179" s="422"/>
      <c r="EW179" s="422"/>
      <c r="GC179" s="422"/>
      <c r="GD179" s="422"/>
      <c r="GE179" s="422"/>
      <c r="GF179" s="422"/>
      <c r="GG179" s="422"/>
      <c r="GH179" s="422"/>
      <c r="GI179" s="422"/>
      <c r="GJ179" s="422"/>
      <c r="GK179" s="422"/>
      <c r="GL179" s="422"/>
      <c r="GM179" s="422"/>
      <c r="GN179" s="422"/>
      <c r="GO179" s="422"/>
      <c r="GP179" s="422"/>
      <c r="GQ179" s="422"/>
      <c r="GR179" s="422"/>
      <c r="GS179" s="422"/>
      <c r="IC179" s="422"/>
      <c r="ID179" s="422"/>
      <c r="IE179" s="422"/>
      <c r="IG179" s="422"/>
      <c r="IH179" s="422"/>
      <c r="II179" s="422"/>
      <c r="IJ179" s="422"/>
      <c r="IK179" s="422"/>
      <c r="IL179" s="422"/>
      <c r="IM179" s="422"/>
      <c r="IN179" s="422"/>
      <c r="IO179" s="422"/>
      <c r="IP179" s="422"/>
      <c r="IQ179" s="422"/>
      <c r="IR179" s="422"/>
      <c r="IS179" s="422"/>
      <c r="KC179" s="422"/>
      <c r="KD179" s="422"/>
      <c r="KE179" s="422"/>
      <c r="KG179" s="422"/>
      <c r="KH179" s="422"/>
      <c r="KI179" s="422"/>
      <c r="KJ179" s="422"/>
      <c r="KK179" s="422"/>
      <c r="KL179" s="422"/>
      <c r="KM179" s="422"/>
      <c r="KN179" s="422"/>
      <c r="KO179" s="422"/>
      <c r="KP179" s="422"/>
      <c r="KQ179" s="422"/>
      <c r="KR179" s="422"/>
      <c r="KS179" s="422"/>
      <c r="MC179" s="422"/>
      <c r="MD179" s="422"/>
      <c r="ME179" s="422"/>
      <c r="MG179" s="422"/>
      <c r="MH179" s="422"/>
      <c r="MI179" s="422"/>
      <c r="MJ179" s="422"/>
      <c r="MK179" s="422"/>
      <c r="ML179" s="422"/>
      <c r="MM179" s="422"/>
      <c r="MN179" s="422"/>
      <c r="MO179" s="422"/>
      <c r="MP179" s="422"/>
      <c r="MQ179" s="422"/>
      <c r="MR179" s="422"/>
      <c r="MS179" s="422"/>
      <c r="OC179" s="422"/>
      <c r="OD179" s="422"/>
      <c r="OE179" s="422"/>
      <c r="OG179" s="422"/>
      <c r="OH179" s="422"/>
      <c r="OI179" s="422"/>
      <c r="OJ179" s="422"/>
      <c r="OK179" s="422"/>
      <c r="OL179" s="422"/>
      <c r="OM179" s="422"/>
      <c r="ON179" s="422"/>
      <c r="OO179" s="422"/>
      <c r="OP179" s="422"/>
      <c r="OQ179" s="422"/>
      <c r="OR179" s="422"/>
      <c r="OS179" s="422"/>
      <c r="QC179" s="422"/>
      <c r="QD179" s="422"/>
      <c r="QE179" s="422"/>
      <c r="QG179" s="422"/>
      <c r="QH179" s="422"/>
      <c r="QI179" s="422"/>
      <c r="QJ179" s="422"/>
      <c r="QK179" s="422"/>
      <c r="QL179" s="422"/>
      <c r="QM179" s="422"/>
      <c r="QN179" s="422"/>
      <c r="QO179" s="422"/>
      <c r="QP179" s="422"/>
      <c r="QQ179" s="422"/>
      <c r="QR179" s="422"/>
      <c r="QS179" s="422"/>
      <c r="SC179" s="422"/>
      <c r="SD179" s="422"/>
      <c r="SE179" s="422"/>
      <c r="SG179" s="422"/>
      <c r="SH179" s="422"/>
      <c r="SI179" s="422"/>
      <c r="SJ179" s="422"/>
      <c r="SK179" s="422"/>
      <c r="SL179" s="422"/>
      <c r="SM179" s="422"/>
      <c r="SN179" s="422"/>
      <c r="SO179" s="422"/>
      <c r="SP179" s="422"/>
      <c r="SQ179" s="422"/>
      <c r="SR179" s="422"/>
      <c r="SS179" s="422"/>
      <c r="TC179" s="716"/>
      <c r="TD179" s="716"/>
      <c r="TE179" s="716"/>
      <c r="TG179" s="716"/>
      <c r="TH179" s="716"/>
      <c r="TI179" s="716"/>
      <c r="TJ179" s="716"/>
      <c r="TK179" s="716"/>
      <c r="TL179" s="716"/>
      <c r="TM179" s="716"/>
      <c r="TN179" s="716"/>
      <c r="TO179" s="716"/>
      <c r="TP179" s="716"/>
      <c r="TQ179" s="716"/>
      <c r="TR179" s="716"/>
      <c r="TS179" s="716"/>
      <c r="UC179" s="716"/>
      <c r="UD179" s="716"/>
      <c r="UE179" s="716"/>
      <c r="UG179" s="716"/>
      <c r="UH179" s="716"/>
      <c r="UI179" s="716"/>
      <c r="UJ179" s="716"/>
      <c r="UK179" s="716"/>
      <c r="UL179" s="716"/>
      <c r="UM179" s="716"/>
      <c r="UN179" s="716"/>
      <c r="UO179" s="716"/>
      <c r="UP179" s="716"/>
      <c r="UQ179" s="716"/>
      <c r="UR179" s="716"/>
      <c r="US179" s="716"/>
    </row>
    <row r="180" spans="133:565">
      <c r="EC180" s="276"/>
      <c r="ED180" s="296"/>
      <c r="EE180" s="422"/>
      <c r="EF180" s="422"/>
      <c r="EG180" s="422"/>
      <c r="EH180" s="1369"/>
      <c r="EI180" s="1369"/>
      <c r="EJ180" s="296"/>
      <c r="EK180" s="1369"/>
      <c r="EL180" s="422"/>
      <c r="EM180" s="422"/>
      <c r="EN180" s="422"/>
      <c r="EO180" s="478"/>
      <c r="EP180" s="276"/>
      <c r="EQ180" s="422"/>
      <c r="ER180" s="422"/>
      <c r="ES180" s="422"/>
      <c r="ET180" s="296"/>
      <c r="EU180" s="296"/>
      <c r="EV180" s="422"/>
      <c r="EW180" s="422"/>
      <c r="GC180" s="422"/>
      <c r="GD180" s="422"/>
      <c r="GE180" s="422"/>
      <c r="GF180" s="422"/>
      <c r="GG180" s="422"/>
      <c r="GH180" s="422"/>
      <c r="GI180" s="422"/>
      <c r="GJ180" s="422"/>
      <c r="GK180" s="422"/>
      <c r="GL180" s="422"/>
      <c r="GM180" s="422"/>
      <c r="GN180" s="422"/>
      <c r="GO180" s="422"/>
      <c r="GP180" s="422"/>
      <c r="GQ180" s="422"/>
      <c r="GR180" s="422"/>
      <c r="GS180" s="422"/>
      <c r="IC180" s="422"/>
      <c r="ID180" s="422"/>
      <c r="IE180" s="422"/>
      <c r="IG180" s="422"/>
      <c r="IH180" s="422"/>
      <c r="II180" s="422"/>
      <c r="IJ180" s="422"/>
      <c r="IK180" s="422"/>
      <c r="IL180" s="422"/>
      <c r="IM180" s="422"/>
      <c r="IN180" s="422"/>
      <c r="IO180" s="422"/>
      <c r="IP180" s="422"/>
      <c r="IQ180" s="422"/>
      <c r="IR180" s="422"/>
      <c r="IS180" s="422"/>
      <c r="KC180" s="422"/>
      <c r="KD180" s="422"/>
      <c r="KE180" s="422"/>
      <c r="KG180" s="422"/>
      <c r="KH180" s="422"/>
      <c r="KI180" s="422"/>
      <c r="KJ180" s="422"/>
      <c r="KK180" s="422"/>
      <c r="KL180" s="422"/>
      <c r="KM180" s="422"/>
      <c r="KN180" s="422"/>
      <c r="KO180" s="422"/>
      <c r="KP180" s="422"/>
      <c r="KQ180" s="422"/>
      <c r="KR180" s="422"/>
      <c r="KS180" s="422"/>
      <c r="MC180" s="422"/>
      <c r="MD180" s="422"/>
      <c r="ME180" s="422"/>
      <c r="MG180" s="422"/>
      <c r="MH180" s="422"/>
      <c r="MI180" s="422"/>
      <c r="MJ180" s="422"/>
      <c r="MK180" s="422"/>
      <c r="ML180" s="422"/>
      <c r="MM180" s="422"/>
      <c r="MN180" s="422"/>
      <c r="MO180" s="422"/>
      <c r="MP180" s="422"/>
      <c r="MQ180" s="422"/>
      <c r="MR180" s="422"/>
      <c r="MS180" s="422"/>
      <c r="OC180" s="422"/>
      <c r="OD180" s="422"/>
      <c r="OE180" s="422"/>
      <c r="OG180" s="422"/>
      <c r="OH180" s="422"/>
      <c r="OI180" s="422"/>
      <c r="OJ180" s="422"/>
      <c r="OK180" s="422"/>
      <c r="OL180" s="422"/>
      <c r="OM180" s="422"/>
      <c r="ON180" s="422"/>
      <c r="OO180" s="422"/>
      <c r="OP180" s="422"/>
      <c r="OQ180" s="422"/>
      <c r="OR180" s="422"/>
      <c r="OS180" s="422"/>
      <c r="QC180" s="422"/>
      <c r="QD180" s="422"/>
      <c r="QE180" s="422"/>
      <c r="QG180" s="422"/>
      <c r="QH180" s="422"/>
      <c r="QI180" s="422"/>
      <c r="QJ180" s="422"/>
      <c r="QK180" s="422"/>
      <c r="QL180" s="422"/>
      <c r="QM180" s="422"/>
      <c r="QN180" s="422"/>
      <c r="QO180" s="422"/>
      <c r="QP180" s="422"/>
      <c r="QQ180" s="422"/>
      <c r="QR180" s="422"/>
      <c r="QS180" s="422"/>
      <c r="SC180" s="422"/>
      <c r="SD180" s="422"/>
      <c r="SE180" s="422"/>
      <c r="SG180" s="422"/>
      <c r="SH180" s="422"/>
      <c r="SI180" s="422"/>
      <c r="SJ180" s="422"/>
      <c r="SK180" s="422"/>
      <c r="SL180" s="422"/>
      <c r="SM180" s="422"/>
      <c r="SN180" s="422"/>
      <c r="SO180" s="422"/>
      <c r="SP180" s="422"/>
      <c r="SQ180" s="422"/>
      <c r="SR180" s="422"/>
      <c r="SS180" s="422"/>
      <c r="TC180" s="716"/>
      <c r="TD180" s="716"/>
      <c r="TE180" s="716"/>
      <c r="TG180" s="716"/>
      <c r="TH180" s="716"/>
      <c r="TI180" s="716"/>
      <c r="TJ180" s="716"/>
      <c r="TK180" s="716"/>
      <c r="TL180" s="716"/>
      <c r="TM180" s="716"/>
      <c r="TN180" s="716"/>
      <c r="TO180" s="716"/>
      <c r="TP180" s="716"/>
      <c r="TQ180" s="716"/>
      <c r="TR180" s="716"/>
      <c r="TS180" s="716"/>
      <c r="UC180" s="716"/>
      <c r="UD180" s="716"/>
      <c r="UE180" s="716"/>
      <c r="UG180" s="716"/>
      <c r="UH180" s="716"/>
      <c r="UI180" s="716"/>
      <c r="UJ180" s="716"/>
      <c r="UK180" s="716"/>
      <c r="UL180" s="716"/>
      <c r="UM180" s="716"/>
      <c r="UN180" s="716"/>
      <c r="UO180" s="716"/>
      <c r="UP180" s="716"/>
      <c r="UQ180" s="716"/>
      <c r="UR180" s="716"/>
      <c r="US180" s="716"/>
    </row>
    <row r="181" spans="133:565">
      <c r="EC181" s="276"/>
      <c r="ED181" s="296"/>
      <c r="EE181" s="422"/>
      <c r="EF181" s="422"/>
      <c r="EG181" s="422"/>
      <c r="EH181" s="1369"/>
      <c r="EI181" s="1369"/>
      <c r="EJ181" s="296"/>
      <c r="EK181" s="1369"/>
      <c r="EL181" s="422"/>
      <c r="EM181" s="422"/>
      <c r="EN181" s="422"/>
      <c r="EO181" s="478"/>
      <c r="EP181" s="276"/>
      <c r="EQ181" s="422"/>
      <c r="ER181" s="422"/>
      <c r="ES181" s="422"/>
      <c r="ET181" s="296"/>
      <c r="EU181" s="296"/>
      <c r="EV181" s="422"/>
      <c r="EW181" s="422"/>
      <c r="GC181" s="422"/>
      <c r="GD181" s="422"/>
      <c r="GE181" s="422"/>
      <c r="GF181" s="422"/>
      <c r="GG181" s="422"/>
      <c r="GH181" s="422"/>
      <c r="GI181" s="422"/>
      <c r="GJ181" s="422"/>
      <c r="GK181" s="422"/>
      <c r="GL181" s="422"/>
      <c r="GM181" s="422"/>
      <c r="GN181" s="422"/>
      <c r="GO181" s="422"/>
      <c r="GP181" s="422"/>
      <c r="GQ181" s="422"/>
      <c r="GR181" s="422"/>
      <c r="GS181" s="422"/>
      <c r="IC181" s="422"/>
      <c r="ID181" s="422"/>
      <c r="IE181" s="422"/>
      <c r="IG181" s="422"/>
      <c r="IH181" s="422"/>
      <c r="II181" s="422"/>
      <c r="IJ181" s="422"/>
      <c r="IK181" s="422"/>
      <c r="IL181" s="422"/>
      <c r="IM181" s="422"/>
      <c r="IN181" s="422"/>
      <c r="IO181" s="422"/>
      <c r="IP181" s="422"/>
      <c r="IQ181" s="422"/>
      <c r="IR181" s="422"/>
      <c r="IS181" s="422"/>
      <c r="KC181" s="422"/>
      <c r="KD181" s="422"/>
      <c r="KE181" s="422"/>
      <c r="KG181" s="422"/>
      <c r="KH181" s="422"/>
      <c r="KI181" s="422"/>
      <c r="KJ181" s="422"/>
      <c r="KK181" s="422"/>
      <c r="KL181" s="422"/>
      <c r="KM181" s="422"/>
      <c r="KN181" s="422"/>
      <c r="KO181" s="422"/>
      <c r="KP181" s="422"/>
      <c r="KQ181" s="422"/>
      <c r="KR181" s="422"/>
      <c r="KS181" s="422"/>
      <c r="MC181" s="422"/>
      <c r="MD181" s="422"/>
      <c r="ME181" s="422"/>
      <c r="MG181" s="422"/>
      <c r="MH181" s="422"/>
      <c r="MI181" s="422"/>
      <c r="MJ181" s="422"/>
      <c r="MK181" s="422"/>
      <c r="ML181" s="422"/>
      <c r="MM181" s="422"/>
      <c r="MN181" s="422"/>
      <c r="MO181" s="422"/>
      <c r="MP181" s="422"/>
      <c r="MQ181" s="422"/>
      <c r="MR181" s="422"/>
      <c r="MS181" s="422"/>
      <c r="OC181" s="422"/>
      <c r="OD181" s="422"/>
      <c r="OE181" s="422"/>
      <c r="OG181" s="422"/>
      <c r="OH181" s="422"/>
      <c r="OI181" s="422"/>
      <c r="OJ181" s="422"/>
      <c r="OK181" s="422"/>
      <c r="OL181" s="422"/>
      <c r="OM181" s="422"/>
      <c r="ON181" s="422"/>
      <c r="OO181" s="422"/>
      <c r="OP181" s="422"/>
      <c r="OQ181" s="422"/>
      <c r="OR181" s="422"/>
      <c r="OS181" s="422"/>
      <c r="QC181" s="422"/>
      <c r="QD181" s="422"/>
      <c r="QE181" s="422"/>
      <c r="QG181" s="422"/>
      <c r="QH181" s="422"/>
      <c r="QI181" s="422"/>
      <c r="QJ181" s="422"/>
      <c r="QK181" s="422"/>
      <c r="QL181" s="422"/>
      <c r="QM181" s="422"/>
      <c r="QN181" s="422"/>
      <c r="QO181" s="422"/>
      <c r="QP181" s="422"/>
      <c r="QQ181" s="422"/>
      <c r="QR181" s="422"/>
      <c r="QS181" s="422"/>
      <c r="SC181" s="422"/>
      <c r="SD181" s="422"/>
      <c r="SE181" s="422"/>
      <c r="SG181" s="422"/>
      <c r="SH181" s="422"/>
      <c r="SI181" s="422"/>
      <c r="SJ181" s="422"/>
      <c r="SK181" s="422"/>
      <c r="SL181" s="422"/>
      <c r="SM181" s="422"/>
      <c r="SN181" s="422"/>
      <c r="SO181" s="422"/>
      <c r="SP181" s="422"/>
      <c r="SQ181" s="422"/>
      <c r="SR181" s="422"/>
      <c r="SS181" s="422"/>
      <c r="TC181" s="716"/>
      <c r="TD181" s="716"/>
      <c r="TE181" s="716"/>
      <c r="TG181" s="716"/>
      <c r="TH181" s="716"/>
      <c r="TI181" s="716"/>
      <c r="TJ181" s="716"/>
      <c r="TK181" s="716"/>
      <c r="TL181" s="716"/>
      <c r="TM181" s="716"/>
      <c r="TN181" s="716"/>
      <c r="TO181" s="716"/>
      <c r="TP181" s="716"/>
      <c r="TQ181" s="716"/>
      <c r="TR181" s="716"/>
      <c r="TS181" s="716"/>
      <c r="UC181" s="716"/>
      <c r="UD181" s="716"/>
      <c r="UE181" s="716"/>
      <c r="UG181" s="716"/>
      <c r="UH181" s="716"/>
      <c r="UI181" s="716"/>
      <c r="UJ181" s="716"/>
      <c r="UK181" s="716"/>
      <c r="UL181" s="716"/>
      <c r="UM181" s="716"/>
      <c r="UN181" s="716"/>
      <c r="UO181" s="716"/>
      <c r="UP181" s="716"/>
      <c r="UQ181" s="716"/>
      <c r="UR181" s="716"/>
      <c r="US181" s="716"/>
    </row>
    <row r="182" spans="133:565">
      <c r="EC182" s="276"/>
      <c r="ED182" s="296"/>
      <c r="EE182" s="422"/>
      <c r="EF182" s="422"/>
      <c r="EG182" s="422"/>
      <c r="EH182" s="1369"/>
      <c r="EI182" s="1369"/>
      <c r="EJ182" s="296"/>
      <c r="EK182" s="1369"/>
      <c r="EL182" s="422"/>
      <c r="EM182" s="422"/>
      <c r="EN182" s="422"/>
      <c r="EO182" s="1369"/>
      <c r="EP182" s="276"/>
      <c r="EQ182" s="422"/>
      <c r="ER182" s="422"/>
      <c r="ES182" s="422"/>
      <c r="ET182" s="296"/>
      <c r="EU182" s="296"/>
      <c r="EV182" s="422"/>
      <c r="EW182" s="422"/>
      <c r="GC182" s="422"/>
      <c r="GD182" s="422"/>
      <c r="GE182" s="422"/>
      <c r="GF182" s="422"/>
      <c r="GG182" s="422"/>
      <c r="GH182" s="422"/>
      <c r="GI182" s="422"/>
      <c r="GJ182" s="422"/>
      <c r="GK182" s="422"/>
      <c r="GL182" s="422"/>
      <c r="GM182" s="422"/>
      <c r="GN182" s="422"/>
      <c r="GO182" s="422"/>
      <c r="GP182" s="422"/>
      <c r="GQ182" s="422"/>
      <c r="GR182" s="422"/>
      <c r="GS182" s="422"/>
      <c r="IC182" s="422"/>
      <c r="ID182" s="422"/>
      <c r="IE182" s="422"/>
      <c r="IG182" s="422"/>
      <c r="IH182" s="422"/>
      <c r="II182" s="422"/>
      <c r="IJ182" s="422"/>
      <c r="IK182" s="422"/>
      <c r="IL182" s="422"/>
      <c r="IM182" s="422"/>
      <c r="IN182" s="422"/>
      <c r="IO182" s="422"/>
      <c r="IP182" s="422"/>
      <c r="IQ182" s="422"/>
      <c r="IR182" s="422"/>
      <c r="IS182" s="422"/>
      <c r="KC182" s="422"/>
      <c r="KD182" s="422"/>
      <c r="KE182" s="422"/>
      <c r="KG182" s="422"/>
      <c r="KH182" s="422"/>
      <c r="KI182" s="422"/>
      <c r="KJ182" s="422"/>
      <c r="KK182" s="422"/>
      <c r="KL182" s="422"/>
      <c r="KM182" s="422"/>
      <c r="KN182" s="422"/>
      <c r="KO182" s="422"/>
      <c r="KP182" s="422"/>
      <c r="KQ182" s="422"/>
      <c r="KR182" s="422"/>
      <c r="KS182" s="422"/>
      <c r="MC182" s="422"/>
      <c r="MD182" s="422"/>
      <c r="ME182" s="422"/>
      <c r="MG182" s="422"/>
      <c r="MH182" s="422"/>
      <c r="MI182" s="422"/>
      <c r="MJ182" s="422"/>
      <c r="MK182" s="422"/>
      <c r="ML182" s="422"/>
      <c r="MM182" s="422"/>
      <c r="MN182" s="422"/>
      <c r="MO182" s="422"/>
      <c r="MP182" s="422"/>
      <c r="MQ182" s="422"/>
      <c r="MR182" s="422"/>
      <c r="MS182" s="422"/>
      <c r="OC182" s="422"/>
      <c r="OD182" s="422"/>
      <c r="OE182" s="422"/>
      <c r="OG182" s="422"/>
      <c r="OH182" s="422"/>
      <c r="OI182" s="422"/>
      <c r="OJ182" s="422"/>
      <c r="OK182" s="422"/>
      <c r="OL182" s="422"/>
      <c r="OM182" s="422"/>
      <c r="ON182" s="422"/>
      <c r="OO182" s="422"/>
      <c r="OP182" s="422"/>
      <c r="OQ182" s="422"/>
      <c r="OR182" s="422"/>
      <c r="OS182" s="422"/>
      <c r="QC182" s="422"/>
      <c r="QD182" s="422"/>
      <c r="QE182" s="422"/>
      <c r="QG182" s="422"/>
      <c r="QH182" s="422"/>
      <c r="QI182" s="422"/>
      <c r="QJ182" s="422"/>
      <c r="QK182" s="422"/>
      <c r="QL182" s="422"/>
      <c r="QM182" s="422"/>
      <c r="QN182" s="422"/>
      <c r="QO182" s="422"/>
      <c r="QP182" s="422"/>
      <c r="QQ182" s="422"/>
      <c r="QR182" s="422"/>
      <c r="QS182" s="422"/>
      <c r="SC182" s="422"/>
      <c r="SD182" s="422"/>
      <c r="SE182" s="422"/>
      <c r="SG182" s="422"/>
      <c r="SH182" s="422"/>
      <c r="SI182" s="422"/>
      <c r="SJ182" s="422"/>
      <c r="SK182" s="422"/>
      <c r="SL182" s="422"/>
      <c r="SM182" s="422"/>
      <c r="SN182" s="422"/>
      <c r="SO182" s="422"/>
      <c r="SP182" s="422"/>
      <c r="SQ182" s="422"/>
      <c r="SR182" s="422"/>
      <c r="SS182" s="422"/>
      <c r="TC182" s="716"/>
      <c r="TD182" s="716"/>
      <c r="TE182" s="716"/>
      <c r="TG182" s="716"/>
      <c r="TH182" s="716"/>
      <c r="TI182" s="716"/>
      <c r="TJ182" s="716"/>
      <c r="TK182" s="716"/>
      <c r="TL182" s="716"/>
      <c r="TM182" s="716"/>
      <c r="TN182" s="716"/>
      <c r="TO182" s="716"/>
      <c r="TP182" s="716"/>
      <c r="TQ182" s="716"/>
      <c r="TR182" s="716"/>
      <c r="TS182" s="716"/>
      <c r="UC182" s="716"/>
      <c r="UD182" s="716"/>
      <c r="UE182" s="716"/>
      <c r="UG182" s="716"/>
      <c r="UH182" s="716"/>
      <c r="UI182" s="716"/>
      <c r="UJ182" s="716"/>
      <c r="UK182" s="716"/>
      <c r="UL182" s="716"/>
      <c r="UM182" s="716"/>
      <c r="UN182" s="716"/>
      <c r="UO182" s="716"/>
      <c r="UP182" s="716"/>
      <c r="UQ182" s="716"/>
      <c r="UR182" s="716"/>
      <c r="US182" s="716"/>
    </row>
    <row r="183" spans="133:565">
      <c r="EC183" s="276"/>
      <c r="ED183" s="296"/>
      <c r="EE183" s="422"/>
      <c r="EF183" s="422"/>
      <c r="EG183" s="422"/>
      <c r="EH183" s="1369"/>
      <c r="EI183" s="1369"/>
      <c r="EJ183" s="296"/>
      <c r="EK183" s="1369"/>
      <c r="EL183" s="422"/>
      <c r="EM183" s="422"/>
      <c r="EN183" s="422"/>
      <c r="EO183" s="1369"/>
      <c r="EP183" s="276"/>
      <c r="EQ183" s="422"/>
      <c r="ER183" s="422"/>
      <c r="ES183" s="422"/>
      <c r="ET183" s="296"/>
      <c r="EU183" s="296"/>
      <c r="EV183" s="422"/>
      <c r="EW183" s="422"/>
      <c r="GC183" s="422"/>
      <c r="GD183" s="422"/>
      <c r="GE183" s="422"/>
      <c r="GF183" s="422"/>
      <c r="GG183" s="422"/>
      <c r="GH183" s="422"/>
      <c r="GI183" s="422"/>
      <c r="GJ183" s="422"/>
      <c r="GK183" s="422"/>
      <c r="GL183" s="422"/>
      <c r="GM183" s="422"/>
      <c r="GN183" s="422"/>
      <c r="GO183" s="422"/>
      <c r="GP183" s="422"/>
      <c r="GQ183" s="422"/>
      <c r="GR183" s="422"/>
      <c r="GS183" s="422"/>
      <c r="IC183" s="422"/>
      <c r="ID183" s="422"/>
      <c r="IE183" s="422"/>
      <c r="IG183" s="422"/>
      <c r="IH183" s="422"/>
      <c r="II183" s="422"/>
      <c r="IJ183" s="422"/>
      <c r="IK183" s="422"/>
      <c r="IL183" s="422"/>
      <c r="IM183" s="422"/>
      <c r="IN183" s="422"/>
      <c r="IO183" s="422"/>
      <c r="IP183" s="422"/>
      <c r="IQ183" s="422"/>
      <c r="IR183" s="422"/>
      <c r="IS183" s="422"/>
      <c r="KC183" s="422"/>
      <c r="KD183" s="422"/>
      <c r="KE183" s="422"/>
      <c r="KG183" s="422"/>
      <c r="KH183" s="422"/>
      <c r="KI183" s="422"/>
      <c r="KJ183" s="422"/>
      <c r="KK183" s="422"/>
      <c r="KL183" s="422"/>
      <c r="KM183" s="422"/>
      <c r="KN183" s="422"/>
      <c r="KO183" s="422"/>
      <c r="KP183" s="422"/>
      <c r="KQ183" s="422"/>
      <c r="KR183" s="422"/>
      <c r="KS183" s="422"/>
      <c r="MC183" s="422"/>
      <c r="MD183" s="422"/>
      <c r="ME183" s="422"/>
      <c r="MG183" s="422"/>
      <c r="MH183" s="422"/>
      <c r="MI183" s="422"/>
      <c r="MJ183" s="422"/>
      <c r="MK183" s="422"/>
      <c r="ML183" s="422"/>
      <c r="MM183" s="422"/>
      <c r="MN183" s="422"/>
      <c r="MO183" s="422"/>
      <c r="MP183" s="422"/>
      <c r="MQ183" s="422"/>
      <c r="MR183" s="422"/>
      <c r="MS183" s="422"/>
      <c r="OC183" s="422"/>
      <c r="OD183" s="422"/>
      <c r="OE183" s="422"/>
      <c r="OG183" s="422"/>
      <c r="OH183" s="422"/>
      <c r="OI183" s="422"/>
      <c r="OJ183" s="422"/>
      <c r="OK183" s="422"/>
      <c r="OL183" s="422"/>
      <c r="OM183" s="422"/>
      <c r="ON183" s="422"/>
      <c r="OO183" s="422"/>
      <c r="OP183" s="422"/>
      <c r="OQ183" s="422"/>
      <c r="OR183" s="422"/>
      <c r="OS183" s="422"/>
      <c r="QC183" s="422"/>
      <c r="QD183" s="422"/>
      <c r="QE183" s="422"/>
      <c r="QG183" s="422"/>
      <c r="QH183" s="422"/>
      <c r="QI183" s="422"/>
      <c r="QJ183" s="422"/>
      <c r="QK183" s="422"/>
      <c r="QL183" s="422"/>
      <c r="QM183" s="422"/>
      <c r="QN183" s="422"/>
      <c r="QO183" s="422"/>
      <c r="QP183" s="422"/>
      <c r="QQ183" s="422"/>
      <c r="QR183" s="422"/>
      <c r="QS183" s="422"/>
      <c r="SC183" s="422"/>
      <c r="SD183" s="422"/>
      <c r="SE183" s="422"/>
      <c r="SG183" s="422"/>
      <c r="SH183" s="422"/>
      <c r="SI183" s="422"/>
      <c r="SJ183" s="422"/>
      <c r="SK183" s="422"/>
      <c r="SL183" s="422"/>
      <c r="SM183" s="422"/>
      <c r="SN183" s="422"/>
      <c r="SO183" s="422"/>
      <c r="SP183" s="422"/>
      <c r="SQ183" s="422"/>
      <c r="SR183" s="422"/>
      <c r="SS183" s="422"/>
      <c r="TC183" s="716"/>
      <c r="TD183" s="716"/>
      <c r="TE183" s="716"/>
      <c r="TG183" s="716"/>
      <c r="TH183" s="716"/>
      <c r="TI183" s="716"/>
      <c r="TJ183" s="716"/>
      <c r="TK183" s="716"/>
      <c r="TL183" s="716"/>
      <c r="TM183" s="716"/>
      <c r="TN183" s="716"/>
      <c r="TO183" s="716"/>
      <c r="TP183" s="716"/>
      <c r="TQ183" s="716"/>
      <c r="TR183" s="716"/>
      <c r="TS183" s="716"/>
      <c r="UC183" s="716"/>
      <c r="UD183" s="716"/>
      <c r="UE183" s="716"/>
      <c r="UG183" s="716"/>
      <c r="UH183" s="716"/>
      <c r="UI183" s="716"/>
      <c r="UJ183" s="716"/>
      <c r="UK183" s="716"/>
      <c r="UL183" s="716"/>
      <c r="UM183" s="716"/>
      <c r="UN183" s="716"/>
      <c r="UO183" s="716"/>
      <c r="UP183" s="716"/>
      <c r="UQ183" s="716"/>
      <c r="UR183" s="716"/>
      <c r="US183" s="716"/>
    </row>
    <row r="184" spans="133:565">
      <c r="EC184" s="276"/>
      <c r="ED184" s="296"/>
      <c r="EE184" s="422"/>
      <c r="EF184" s="422"/>
      <c r="EG184" s="422"/>
      <c r="EH184" s="1369"/>
      <c r="EI184" s="1369"/>
      <c r="EJ184" s="296"/>
      <c r="EK184" s="1369"/>
      <c r="EL184" s="422"/>
      <c r="EM184" s="422"/>
      <c r="EN184" s="422"/>
      <c r="EO184" s="1369"/>
      <c r="EP184" s="276"/>
      <c r="EQ184" s="422"/>
      <c r="ER184" s="422"/>
      <c r="ES184" s="422"/>
      <c r="ET184" s="296"/>
      <c r="EU184" s="296"/>
      <c r="EV184" s="422"/>
      <c r="EW184" s="422"/>
      <c r="GC184" s="422"/>
      <c r="GD184" s="422"/>
      <c r="GE184" s="422"/>
      <c r="GF184" s="422"/>
      <c r="GG184" s="422"/>
      <c r="GH184" s="422"/>
      <c r="GI184" s="422"/>
      <c r="GJ184" s="422"/>
      <c r="GK184" s="422"/>
      <c r="GL184" s="422"/>
      <c r="GM184" s="422"/>
      <c r="GN184" s="422"/>
      <c r="GO184" s="422"/>
      <c r="GP184" s="422"/>
      <c r="GQ184" s="422"/>
      <c r="GR184" s="422"/>
      <c r="GS184" s="422"/>
      <c r="IC184" s="422"/>
      <c r="ID184" s="422"/>
      <c r="IE184" s="422"/>
      <c r="IG184" s="422"/>
      <c r="IH184" s="422"/>
      <c r="II184" s="422"/>
      <c r="IJ184" s="422"/>
      <c r="IK184" s="422"/>
      <c r="IL184" s="422"/>
      <c r="IM184" s="422"/>
      <c r="IN184" s="422"/>
      <c r="IO184" s="422"/>
      <c r="IP184" s="422"/>
      <c r="IQ184" s="422"/>
      <c r="IR184" s="422"/>
      <c r="IS184" s="422"/>
      <c r="KC184" s="422"/>
      <c r="KD184" s="422"/>
      <c r="KE184" s="422"/>
      <c r="KG184" s="422"/>
      <c r="KH184" s="422"/>
      <c r="KI184" s="422"/>
      <c r="KJ184" s="422"/>
      <c r="KK184" s="422"/>
      <c r="KL184" s="422"/>
      <c r="KM184" s="422"/>
      <c r="KN184" s="422"/>
      <c r="KO184" s="422"/>
      <c r="KP184" s="422"/>
      <c r="KQ184" s="422"/>
      <c r="KR184" s="422"/>
      <c r="KS184" s="422"/>
      <c r="MC184" s="422"/>
      <c r="MD184" s="422"/>
      <c r="ME184" s="422"/>
      <c r="MG184" s="422"/>
      <c r="MH184" s="422"/>
      <c r="MI184" s="422"/>
      <c r="MJ184" s="422"/>
      <c r="MK184" s="422"/>
      <c r="ML184" s="422"/>
      <c r="MM184" s="422"/>
      <c r="MN184" s="422"/>
      <c r="MO184" s="422"/>
      <c r="MP184" s="422"/>
      <c r="MQ184" s="422"/>
      <c r="MR184" s="422"/>
      <c r="MS184" s="422"/>
      <c r="OC184" s="422"/>
      <c r="OD184" s="422"/>
      <c r="OE184" s="422"/>
      <c r="OG184" s="422"/>
      <c r="OH184" s="422"/>
      <c r="OI184" s="422"/>
      <c r="OJ184" s="422"/>
      <c r="OK184" s="422"/>
      <c r="OL184" s="422"/>
      <c r="OM184" s="422"/>
      <c r="ON184" s="422"/>
      <c r="OO184" s="422"/>
      <c r="OP184" s="422"/>
      <c r="OQ184" s="422"/>
      <c r="OR184" s="422"/>
      <c r="OS184" s="422"/>
      <c r="QC184" s="422"/>
      <c r="QD184" s="422"/>
      <c r="QE184" s="422"/>
      <c r="QG184" s="422"/>
      <c r="QH184" s="422"/>
      <c r="QI184" s="422"/>
      <c r="QJ184" s="422"/>
      <c r="QK184" s="422"/>
      <c r="QL184" s="422"/>
      <c r="QM184" s="422"/>
      <c r="QN184" s="422"/>
      <c r="QO184" s="422"/>
      <c r="QP184" s="422"/>
      <c r="QQ184" s="422"/>
      <c r="QR184" s="422"/>
      <c r="QS184" s="422"/>
      <c r="SC184" s="422"/>
      <c r="SD184" s="422"/>
      <c r="SE184" s="422"/>
      <c r="SG184" s="422"/>
      <c r="SH184" s="422"/>
      <c r="SI184" s="422"/>
      <c r="SJ184" s="422"/>
      <c r="SK184" s="422"/>
      <c r="SL184" s="422"/>
      <c r="SM184" s="422"/>
      <c r="SN184" s="422"/>
      <c r="SO184" s="422"/>
      <c r="SP184" s="422"/>
      <c r="SQ184" s="422"/>
      <c r="SR184" s="422"/>
      <c r="SS184" s="422"/>
      <c r="TC184" s="716"/>
      <c r="TD184" s="716"/>
      <c r="TE184" s="716"/>
      <c r="TG184" s="716"/>
      <c r="TH184" s="716"/>
      <c r="TI184" s="716"/>
      <c r="TJ184" s="716"/>
      <c r="TK184" s="716"/>
      <c r="TL184" s="716"/>
      <c r="TM184" s="716"/>
      <c r="TN184" s="716"/>
      <c r="TO184" s="716"/>
      <c r="TP184" s="716"/>
      <c r="TQ184" s="716"/>
      <c r="TR184" s="716"/>
      <c r="TS184" s="716"/>
      <c r="UC184" s="716"/>
      <c r="UD184" s="716"/>
      <c r="UE184" s="716"/>
      <c r="UG184" s="716"/>
      <c r="UH184" s="716"/>
      <c r="UI184" s="716"/>
      <c r="UJ184" s="716"/>
      <c r="UK184" s="716"/>
      <c r="UL184" s="716"/>
      <c r="UM184" s="716"/>
      <c r="UN184" s="716"/>
      <c r="UO184" s="716"/>
      <c r="UP184" s="716"/>
      <c r="UQ184" s="716"/>
      <c r="UR184" s="716"/>
      <c r="US184" s="716"/>
    </row>
    <row r="185" spans="133:565">
      <c r="EC185" s="276"/>
      <c r="ED185" s="296"/>
      <c r="EE185" s="422"/>
      <c r="EF185" s="422"/>
      <c r="EG185" s="422"/>
      <c r="EH185" s="1369"/>
      <c r="EI185" s="1369"/>
      <c r="EJ185" s="296"/>
      <c r="EK185" s="1369"/>
      <c r="EL185" s="422"/>
      <c r="EM185" s="422"/>
      <c r="EN185" s="422"/>
      <c r="EO185" s="1369"/>
      <c r="EP185" s="276"/>
      <c r="EQ185" s="422"/>
      <c r="ER185" s="422"/>
      <c r="ES185" s="422"/>
      <c r="ET185" s="296"/>
      <c r="EU185" s="296"/>
      <c r="EV185" s="422"/>
      <c r="EW185" s="422"/>
      <c r="GC185" s="422"/>
      <c r="GD185" s="422"/>
      <c r="GE185" s="422"/>
      <c r="GF185" s="422"/>
      <c r="GG185" s="422"/>
      <c r="GH185" s="422"/>
      <c r="GI185" s="422"/>
      <c r="GJ185" s="422"/>
      <c r="GK185" s="422"/>
      <c r="GL185" s="422"/>
      <c r="GM185" s="422"/>
      <c r="GN185" s="422"/>
      <c r="GO185" s="422"/>
      <c r="GP185" s="422"/>
      <c r="GQ185" s="422"/>
      <c r="GR185" s="422"/>
      <c r="GS185" s="422"/>
      <c r="IC185" s="422"/>
      <c r="ID185" s="422"/>
      <c r="IE185" s="422"/>
      <c r="IG185" s="422"/>
      <c r="IH185" s="422"/>
      <c r="II185" s="422"/>
      <c r="IJ185" s="422"/>
      <c r="IK185" s="422"/>
      <c r="IL185" s="422"/>
      <c r="IM185" s="422"/>
      <c r="IN185" s="422"/>
      <c r="IO185" s="422"/>
      <c r="IP185" s="422"/>
      <c r="IQ185" s="422"/>
      <c r="IR185" s="422"/>
      <c r="IS185" s="422"/>
      <c r="KC185" s="422"/>
      <c r="KD185" s="422"/>
      <c r="KE185" s="422"/>
      <c r="KG185" s="422"/>
      <c r="KH185" s="422"/>
      <c r="KI185" s="422"/>
      <c r="KJ185" s="422"/>
      <c r="KK185" s="422"/>
      <c r="KL185" s="422"/>
      <c r="KM185" s="422"/>
      <c r="KN185" s="422"/>
      <c r="KO185" s="422"/>
      <c r="KP185" s="422"/>
      <c r="KQ185" s="422"/>
      <c r="KR185" s="422"/>
      <c r="KS185" s="422"/>
      <c r="MC185" s="422"/>
      <c r="MD185" s="422"/>
      <c r="ME185" s="422"/>
      <c r="MG185" s="422"/>
      <c r="MH185" s="422"/>
      <c r="MI185" s="422"/>
      <c r="MJ185" s="422"/>
      <c r="MK185" s="422"/>
      <c r="ML185" s="422"/>
      <c r="MM185" s="422"/>
      <c r="MN185" s="422"/>
      <c r="MO185" s="422"/>
      <c r="MP185" s="422"/>
      <c r="MQ185" s="422"/>
      <c r="MR185" s="422"/>
      <c r="MS185" s="422"/>
      <c r="OC185" s="422"/>
      <c r="OD185" s="422"/>
      <c r="OE185" s="422"/>
      <c r="OG185" s="422"/>
      <c r="OH185" s="422"/>
      <c r="OI185" s="422"/>
      <c r="OJ185" s="422"/>
      <c r="OK185" s="422"/>
      <c r="OL185" s="422"/>
      <c r="OM185" s="422"/>
      <c r="ON185" s="422"/>
      <c r="OO185" s="422"/>
      <c r="OP185" s="422"/>
      <c r="OQ185" s="422"/>
      <c r="OR185" s="422"/>
      <c r="OS185" s="422"/>
      <c r="QC185" s="422"/>
      <c r="QD185" s="422"/>
      <c r="QE185" s="422"/>
      <c r="QG185" s="422"/>
      <c r="QH185" s="422"/>
      <c r="QI185" s="422"/>
      <c r="QJ185" s="422"/>
      <c r="QK185" s="422"/>
      <c r="QL185" s="422"/>
      <c r="QM185" s="422"/>
      <c r="QN185" s="422"/>
      <c r="QO185" s="422"/>
      <c r="QP185" s="422"/>
      <c r="QQ185" s="422"/>
      <c r="QR185" s="422"/>
      <c r="QS185" s="422"/>
      <c r="SC185" s="422"/>
      <c r="SD185" s="422"/>
      <c r="SE185" s="422"/>
      <c r="SG185" s="422"/>
      <c r="SH185" s="422"/>
      <c r="SI185" s="422"/>
      <c r="SJ185" s="422"/>
      <c r="SK185" s="422"/>
      <c r="SL185" s="422"/>
      <c r="SM185" s="422"/>
      <c r="SN185" s="422"/>
      <c r="SO185" s="422"/>
      <c r="SP185" s="422"/>
      <c r="SQ185" s="422"/>
      <c r="SR185" s="422"/>
      <c r="SS185" s="422"/>
      <c r="TC185" s="716"/>
      <c r="TD185" s="716"/>
      <c r="TE185" s="716"/>
      <c r="TG185" s="716"/>
      <c r="TH185" s="716"/>
      <c r="TI185" s="716"/>
      <c r="TJ185" s="716"/>
      <c r="TK185" s="716"/>
      <c r="TL185" s="716"/>
      <c r="TM185" s="716"/>
      <c r="TN185" s="716"/>
      <c r="TO185" s="716"/>
      <c r="TP185" s="716"/>
      <c r="TQ185" s="716"/>
      <c r="TR185" s="716"/>
      <c r="TS185" s="716"/>
      <c r="UC185" s="716"/>
      <c r="UD185" s="716"/>
      <c r="UE185" s="716"/>
      <c r="UG185" s="716"/>
      <c r="UH185" s="716"/>
      <c r="UI185" s="716"/>
      <c r="UJ185" s="716"/>
      <c r="UK185" s="716"/>
      <c r="UL185" s="716"/>
      <c r="UM185" s="716"/>
      <c r="UN185" s="716"/>
      <c r="UO185" s="716"/>
      <c r="UP185" s="716"/>
      <c r="UQ185" s="716"/>
      <c r="UR185" s="716"/>
      <c r="US185" s="716"/>
    </row>
    <row r="186" spans="133:565">
      <c r="EC186" s="276"/>
      <c r="ED186" s="296"/>
      <c r="EE186" s="422"/>
      <c r="EF186" s="422"/>
      <c r="EG186" s="422"/>
      <c r="EH186" s="1369"/>
      <c r="EI186" s="1369"/>
      <c r="EJ186" s="296"/>
      <c r="EK186" s="1369"/>
      <c r="EL186" s="422"/>
      <c r="EM186" s="422"/>
      <c r="EN186" s="422"/>
      <c r="EO186" s="1369"/>
      <c r="EP186" s="276"/>
      <c r="EQ186" s="422"/>
      <c r="ER186" s="422"/>
      <c r="ES186" s="422"/>
      <c r="ET186" s="296"/>
      <c r="EU186" s="296"/>
      <c r="EV186" s="422"/>
      <c r="EW186" s="422"/>
      <c r="GC186" s="422"/>
      <c r="GD186" s="422"/>
      <c r="GE186" s="422"/>
      <c r="GF186" s="422"/>
      <c r="GG186" s="422"/>
      <c r="GH186" s="422"/>
      <c r="GI186" s="422"/>
      <c r="GJ186" s="422"/>
      <c r="GK186" s="422"/>
      <c r="GL186" s="422"/>
      <c r="GM186" s="422"/>
      <c r="GN186" s="422"/>
      <c r="GO186" s="422"/>
      <c r="GP186" s="422"/>
      <c r="GQ186" s="422"/>
      <c r="GR186" s="422"/>
      <c r="GS186" s="422"/>
      <c r="IC186" s="422"/>
      <c r="ID186" s="422"/>
      <c r="IE186" s="422"/>
      <c r="IG186" s="422"/>
      <c r="IH186" s="422"/>
      <c r="II186" s="422"/>
      <c r="IJ186" s="422"/>
      <c r="IK186" s="422"/>
      <c r="IL186" s="422"/>
      <c r="IM186" s="422"/>
      <c r="IN186" s="422"/>
      <c r="IO186" s="422"/>
      <c r="IP186" s="422"/>
      <c r="IQ186" s="422"/>
      <c r="IR186" s="422"/>
      <c r="IS186" s="422"/>
      <c r="KC186" s="422"/>
      <c r="KD186" s="422"/>
      <c r="KE186" s="422"/>
      <c r="KG186" s="422"/>
      <c r="KH186" s="422"/>
      <c r="KI186" s="422"/>
      <c r="KJ186" s="422"/>
      <c r="KK186" s="422"/>
      <c r="KL186" s="422"/>
      <c r="KM186" s="422"/>
      <c r="KN186" s="422"/>
      <c r="KO186" s="422"/>
      <c r="KP186" s="422"/>
      <c r="KQ186" s="422"/>
      <c r="KR186" s="422"/>
      <c r="KS186" s="422"/>
      <c r="MC186" s="422"/>
      <c r="MD186" s="422"/>
      <c r="ME186" s="422"/>
      <c r="MG186" s="422"/>
      <c r="MH186" s="422"/>
      <c r="MI186" s="422"/>
      <c r="MJ186" s="422"/>
      <c r="MK186" s="422"/>
      <c r="ML186" s="422"/>
      <c r="MM186" s="422"/>
      <c r="MN186" s="422"/>
      <c r="MO186" s="422"/>
      <c r="MP186" s="422"/>
      <c r="MQ186" s="422"/>
      <c r="MR186" s="422"/>
      <c r="MS186" s="422"/>
      <c r="OC186" s="422"/>
      <c r="OD186" s="422"/>
      <c r="OE186" s="422"/>
      <c r="OG186" s="422"/>
      <c r="OH186" s="422"/>
      <c r="OI186" s="422"/>
      <c r="OJ186" s="422"/>
      <c r="OK186" s="422"/>
      <c r="OL186" s="422"/>
      <c r="OM186" s="422"/>
      <c r="ON186" s="422"/>
      <c r="OO186" s="422"/>
      <c r="OP186" s="422"/>
      <c r="OQ186" s="422"/>
      <c r="OR186" s="422"/>
      <c r="OS186" s="422"/>
      <c r="QC186" s="422"/>
      <c r="QD186" s="422"/>
      <c r="QE186" s="422"/>
      <c r="QG186" s="422"/>
      <c r="QH186" s="422"/>
      <c r="QI186" s="422"/>
      <c r="QJ186" s="422"/>
      <c r="QK186" s="422"/>
      <c r="QL186" s="422"/>
      <c r="QM186" s="422"/>
      <c r="QN186" s="422"/>
      <c r="QO186" s="422"/>
      <c r="QP186" s="422"/>
      <c r="QQ186" s="422"/>
      <c r="QR186" s="422"/>
      <c r="QS186" s="422"/>
      <c r="SC186" s="422"/>
      <c r="SD186" s="422"/>
      <c r="SE186" s="422"/>
      <c r="SG186" s="422"/>
      <c r="SH186" s="422"/>
      <c r="SI186" s="422"/>
      <c r="SJ186" s="422"/>
      <c r="SK186" s="422"/>
      <c r="SL186" s="422"/>
      <c r="SM186" s="422"/>
      <c r="SN186" s="422"/>
      <c r="SO186" s="422"/>
      <c r="SP186" s="422"/>
      <c r="SQ186" s="422"/>
      <c r="SR186" s="422"/>
      <c r="SS186" s="422"/>
      <c r="TC186" s="716"/>
      <c r="TD186" s="716"/>
      <c r="TE186" s="716"/>
      <c r="TG186" s="716"/>
      <c r="TH186" s="716"/>
      <c r="TI186" s="716"/>
      <c r="TJ186" s="716"/>
      <c r="TK186" s="716"/>
      <c r="TL186" s="716"/>
      <c r="TM186" s="716"/>
      <c r="TN186" s="716"/>
      <c r="TO186" s="716"/>
      <c r="TP186" s="716"/>
      <c r="TQ186" s="716"/>
      <c r="TR186" s="716"/>
      <c r="TS186" s="716"/>
      <c r="UC186" s="716"/>
      <c r="UD186" s="716"/>
      <c r="UE186" s="716"/>
      <c r="UG186" s="716"/>
      <c r="UH186" s="716"/>
      <c r="UI186" s="716"/>
      <c r="UJ186" s="716"/>
      <c r="UK186" s="716"/>
      <c r="UL186" s="716"/>
      <c r="UM186" s="716"/>
      <c r="UN186" s="716"/>
      <c r="UO186" s="716"/>
      <c r="UP186" s="716"/>
      <c r="UQ186" s="716"/>
      <c r="UR186" s="716"/>
      <c r="US186" s="716"/>
    </row>
  </sheetData>
  <mergeCells count="343">
    <mergeCell ref="AJ8:AK8"/>
    <mergeCell ref="AJ11:AJ12"/>
    <mergeCell ref="AK11:AK12"/>
    <mergeCell ref="SM9:SO9"/>
    <mergeCell ref="SM7:SQ7"/>
    <mergeCell ref="JM9:JO9"/>
    <mergeCell ref="VA8:VD8"/>
    <mergeCell ref="VE8:VH8"/>
    <mergeCell ref="VI8:VT8"/>
    <mergeCell ref="VM9:VO9"/>
    <mergeCell ref="CU11:CU12"/>
    <mergeCell ref="GA8:GD8"/>
    <mergeCell ref="CV11:CV12"/>
    <mergeCell ref="CK11:CK12"/>
    <mergeCell ref="CL11:CL12"/>
    <mergeCell ref="CM11:CM12"/>
    <mergeCell ref="DD8:DG8"/>
    <mergeCell ref="DP9:DR9"/>
    <mergeCell ref="JM7:JQ7"/>
    <mergeCell ref="KM9:KO9"/>
    <mergeCell ref="KM7:KQ7"/>
    <mergeCell ref="LM9:LO9"/>
    <mergeCell ref="LM7:LQ7"/>
    <mergeCell ref="MM9:MO9"/>
    <mergeCell ref="PB1:PB2"/>
    <mergeCell ref="PA7:PD7"/>
    <mergeCell ref="PE7:PH7"/>
    <mergeCell ref="SE7:SH7"/>
    <mergeCell ref="PI7:PL7"/>
    <mergeCell ref="SB1:SB2"/>
    <mergeCell ref="SA7:SD7"/>
    <mergeCell ref="RB1:RB2"/>
    <mergeCell ref="RA7:RD7"/>
    <mergeCell ref="RE7:RH7"/>
    <mergeCell ref="QB1:QB2"/>
    <mergeCell ref="SI7:SL7"/>
    <mergeCell ref="QR7:QT7"/>
    <mergeCell ref="QA8:QD8"/>
    <mergeCell ref="QE8:QH8"/>
    <mergeCell ref="QI8:QT8"/>
    <mergeCell ref="OM9:OO9"/>
    <mergeCell ref="OA7:OD7"/>
    <mergeCell ref="OM7:OQ7"/>
    <mergeCell ref="RA8:RD8"/>
    <mergeCell ref="RE8:RH8"/>
    <mergeCell ref="RM9:RO9"/>
    <mergeCell ref="RM7:RQ7"/>
    <mergeCell ref="RI7:RL7"/>
    <mergeCell ref="QA7:QD7"/>
    <mergeCell ref="QE7:QH7"/>
    <mergeCell ref="QI7:QL7"/>
    <mergeCell ref="RR7:RT7"/>
    <mergeCell ref="WM9:WO9"/>
    <mergeCell ref="VB1:VB2"/>
    <mergeCell ref="VI6:VL6"/>
    <mergeCell ref="VN6:VQ6"/>
    <mergeCell ref="VR6:VT6"/>
    <mergeCell ref="VA7:VD7"/>
    <mergeCell ref="VE7:VH7"/>
    <mergeCell ref="VI7:VL7"/>
    <mergeCell ref="VM7:VQ7"/>
    <mergeCell ref="VR7:VT7"/>
    <mergeCell ref="WB1:WB2"/>
    <mergeCell ref="WI6:WL6"/>
    <mergeCell ref="WR6:WT6"/>
    <mergeCell ref="WA7:WD7"/>
    <mergeCell ref="WE7:WH7"/>
    <mergeCell ref="WI7:WL7"/>
    <mergeCell ref="WM7:WQ7"/>
    <mergeCell ref="WR7:WT7"/>
    <mergeCell ref="WA8:WD8"/>
    <mergeCell ref="WE8:WH8"/>
    <mergeCell ref="WI8:WT8"/>
    <mergeCell ref="WN6:WQ6"/>
    <mergeCell ref="I8:I9"/>
    <mergeCell ref="I7:K7"/>
    <mergeCell ref="P8:P9"/>
    <mergeCell ref="S8:S9"/>
    <mergeCell ref="L8:M8"/>
    <mergeCell ref="AS9:AT9"/>
    <mergeCell ref="AS8:AT8"/>
    <mergeCell ref="Z8:Z9"/>
    <mergeCell ref="T8:T9"/>
    <mergeCell ref="U8:U9"/>
    <mergeCell ref="V8:V9"/>
    <mergeCell ref="AA8:AA9"/>
    <mergeCell ref="AB8:AB9"/>
    <mergeCell ref="AC8:AC9"/>
    <mergeCell ref="AD8:AD9"/>
    <mergeCell ref="AE8:AE9"/>
    <mergeCell ref="AF8:AF9"/>
    <mergeCell ref="AG8:AG9"/>
    <mergeCell ref="R8:R9"/>
    <mergeCell ref="Q8:Q9"/>
    <mergeCell ref="X8:X9"/>
    <mergeCell ref="J8:J9"/>
    <mergeCell ref="K8:K9"/>
    <mergeCell ref="N8:N9"/>
    <mergeCell ref="T13:U13"/>
    <mergeCell ref="V13:W13"/>
    <mergeCell ref="PM9:PO9"/>
    <mergeCell ref="PM7:PQ7"/>
    <mergeCell ref="QM9:QO9"/>
    <mergeCell ref="QM7:QQ7"/>
    <mergeCell ref="EQ9:ES9"/>
    <mergeCell ref="EQ7:EU7"/>
    <mergeCell ref="FM9:FO9"/>
    <mergeCell ref="FM7:FQ7"/>
    <mergeCell ref="GM9:GO9"/>
    <mergeCell ref="GM7:GQ7"/>
    <mergeCell ref="HM9:HO9"/>
    <mergeCell ref="HM7:HQ7"/>
    <mergeCell ref="IM9:IO9"/>
    <mergeCell ref="IM7:IQ7"/>
    <mergeCell ref="HA8:HD8"/>
    <mergeCell ref="HE8:HH8"/>
    <mergeCell ref="HI8:HT8"/>
    <mergeCell ref="OE7:OH7"/>
    <mergeCell ref="OI7:OL7"/>
    <mergeCell ref="JA8:JD8"/>
    <mergeCell ref="T7:AH7"/>
    <mergeCell ref="AH8:AH9"/>
    <mergeCell ref="MM7:MQ7"/>
    <mergeCell ref="NM9:NO9"/>
    <mergeCell ref="NM7:NQ7"/>
    <mergeCell ref="MI7:ML7"/>
    <mergeCell ref="NA8:ND8"/>
    <mergeCell ref="NE8:NH8"/>
    <mergeCell ref="JI7:JL7"/>
    <mergeCell ref="KA7:KD7"/>
    <mergeCell ref="CD11:CD12"/>
    <mergeCell ref="IE8:IH8"/>
    <mergeCell ref="II8:IT8"/>
    <mergeCell ref="DL8:DW8"/>
    <mergeCell ref="EA8:ED8"/>
    <mergeCell ref="EL8:EX8"/>
    <mergeCell ref="CF11:CF12"/>
    <mergeCell ref="CG11:CG12"/>
    <mergeCell ref="CH11:CH12"/>
    <mergeCell ref="CI11:CI12"/>
    <mergeCell ref="IA8:ID8"/>
    <mergeCell ref="GI8:GT8"/>
    <mergeCell ref="CW11:CW12"/>
    <mergeCell ref="CX11:CX12"/>
    <mergeCell ref="CY11:CY12"/>
    <mergeCell ref="CZ11:CZ12"/>
    <mergeCell ref="DA11:DA12"/>
    <mergeCell ref="DB11:DB12"/>
    <mergeCell ref="CQ11:CQ12"/>
    <mergeCell ref="CR11:CR12"/>
    <mergeCell ref="CS11:CS12"/>
    <mergeCell ref="CJ11:CJ12"/>
    <mergeCell ref="DC11:DC12"/>
    <mergeCell ref="O8:O9"/>
    <mergeCell ref="W8:W9"/>
    <mergeCell ref="CN11:CN12"/>
    <mergeCell ref="CO11:CO12"/>
    <mergeCell ref="CP11:CP12"/>
    <mergeCell ref="CC11:CC12"/>
    <mergeCell ref="CE11:CE12"/>
    <mergeCell ref="AL11:AL12"/>
    <mergeCell ref="BZ11:BZ12"/>
    <mergeCell ref="BT11:BT12"/>
    <mergeCell ref="BW11:BW12"/>
    <mergeCell ref="BX11:BX12"/>
    <mergeCell ref="AR11:AR12"/>
    <mergeCell ref="AV11:AV12"/>
    <mergeCell ref="AW11:AW12"/>
    <mergeCell ref="AX11:AX12"/>
    <mergeCell ref="AY11:AY12"/>
    <mergeCell ref="AZ11:AZ12"/>
    <mergeCell ref="BA11:BA12"/>
    <mergeCell ref="BB11:BB12"/>
    <mergeCell ref="AU11:AU12"/>
    <mergeCell ref="Y8:Y9"/>
    <mergeCell ref="AI11:AI12"/>
    <mergeCell ref="AO11:AO12"/>
    <mergeCell ref="I1:J1"/>
    <mergeCell ref="GE7:GH7"/>
    <mergeCell ref="BC7:BN7"/>
    <mergeCell ref="I2:J2"/>
    <mergeCell ref="L7:O7"/>
    <mergeCell ref="P7:S7"/>
    <mergeCell ref="AI7:BB7"/>
    <mergeCell ref="BO7:BX7"/>
    <mergeCell ref="BC11:BC12"/>
    <mergeCell ref="AM11:AM12"/>
    <mergeCell ref="BJ11:BJ12"/>
    <mergeCell ref="AP11:AQ12"/>
    <mergeCell ref="AN11:AN12"/>
    <mergeCell ref="BW8:BX8"/>
    <mergeCell ref="FA8:FD8"/>
    <mergeCell ref="FE8:FH8"/>
    <mergeCell ref="FI8:FT8"/>
    <mergeCell ref="GI7:GL7"/>
    <mergeCell ref="DE1:DE2"/>
    <mergeCell ref="DG2:DH2"/>
    <mergeCell ref="BY7:CI7"/>
    <mergeCell ref="FI6:FL6"/>
    <mergeCell ref="FN6:FQ6"/>
    <mergeCell ref="GB1:GB2"/>
    <mergeCell ref="GA7:GD7"/>
    <mergeCell ref="FA7:FD7"/>
    <mergeCell ref="FE7:FH7"/>
    <mergeCell ref="FI7:FL7"/>
    <mergeCell ref="FR7:FT7"/>
    <mergeCell ref="CT7:DC7"/>
    <mergeCell ref="CJ7:CS7"/>
    <mergeCell ref="DD7:DG7"/>
    <mergeCell ref="EA7:ED7"/>
    <mergeCell ref="FR6:FT6"/>
    <mergeCell ref="EL7:EP7"/>
    <mergeCell ref="EV7:EX7"/>
    <mergeCell ref="HB1:HB2"/>
    <mergeCell ref="DH8:DK8"/>
    <mergeCell ref="DH7:DK7"/>
    <mergeCell ref="JB1:JB2"/>
    <mergeCell ref="OB1:OB2"/>
    <mergeCell ref="DU7:DW7"/>
    <mergeCell ref="DU6:DW6"/>
    <mergeCell ref="DL6:DO6"/>
    <mergeCell ref="DL7:DO7"/>
    <mergeCell ref="DP7:DT7"/>
    <mergeCell ref="DP6:DT6"/>
    <mergeCell ref="GR7:GT7"/>
    <mergeCell ref="EB1:EB2"/>
    <mergeCell ref="FB1:FB2"/>
    <mergeCell ref="KE7:KH7"/>
    <mergeCell ref="NB1:NB2"/>
    <mergeCell ref="NA7:ND7"/>
    <mergeCell ref="MB1:MB2"/>
    <mergeCell ref="DG3:DH3"/>
    <mergeCell ref="LA8:LD8"/>
    <mergeCell ref="JR7:JT7"/>
    <mergeCell ref="HA7:HD7"/>
    <mergeCell ref="II7:IL7"/>
    <mergeCell ref="HE7:HH7"/>
    <mergeCell ref="CA11:CA12"/>
    <mergeCell ref="CB11:CB12"/>
    <mergeCell ref="BD11:BD12"/>
    <mergeCell ref="BE11:BE12"/>
    <mergeCell ref="BI11:BI12"/>
    <mergeCell ref="BP11:BP12"/>
    <mergeCell ref="BQ11:BQ12"/>
    <mergeCell ref="BU11:BU12"/>
    <mergeCell ref="BV11:BV12"/>
    <mergeCell ref="BG11:BG12"/>
    <mergeCell ref="BH11:BH12"/>
    <mergeCell ref="BK11:BK12"/>
    <mergeCell ref="BL11:BL12"/>
    <mergeCell ref="BF11:BF12"/>
    <mergeCell ref="BR11:BR12"/>
    <mergeCell ref="BS11:BS12"/>
    <mergeCell ref="BM11:BM12"/>
    <mergeCell ref="BN11:BN12"/>
    <mergeCell ref="HI7:HL7"/>
    <mergeCell ref="JE8:JH8"/>
    <mergeCell ref="GE8:GH8"/>
    <mergeCell ref="AU9:AV9"/>
    <mergeCell ref="AW9:AZ9"/>
    <mergeCell ref="BA9:BB9"/>
    <mergeCell ref="BS9:BV9"/>
    <mergeCell ref="BQ9:BR9"/>
    <mergeCell ref="BE9:BF9"/>
    <mergeCell ref="BI9:BL9"/>
    <mergeCell ref="BM9:BN9"/>
    <mergeCell ref="BG8:BH8"/>
    <mergeCell ref="BG9:BH9"/>
    <mergeCell ref="EE8:EK8"/>
    <mergeCell ref="EE7:EK7"/>
    <mergeCell ref="BW9:BX9"/>
    <mergeCell ref="AU8:AV8"/>
    <mergeCell ref="AW8:AZ8"/>
    <mergeCell ref="BA8:BB8"/>
    <mergeCell ref="BE8:BF8"/>
    <mergeCell ref="BI8:BL8"/>
    <mergeCell ref="BM8:BN8"/>
    <mergeCell ref="BQ8:BR8"/>
    <mergeCell ref="BS8:BV8"/>
    <mergeCell ref="LB1:LB2"/>
    <mergeCell ref="LA7:LD7"/>
    <mergeCell ref="IB1:IB2"/>
    <mergeCell ref="KB1:KB2"/>
    <mergeCell ref="NI8:NT8"/>
    <mergeCell ref="LR7:LT7"/>
    <mergeCell ref="LI8:LT8"/>
    <mergeCell ref="LE8:LH8"/>
    <mergeCell ref="KR7:KT7"/>
    <mergeCell ref="KA8:KD8"/>
    <mergeCell ref="KE8:KH8"/>
    <mergeCell ref="KI8:KT8"/>
    <mergeCell ref="IR7:IT7"/>
    <mergeCell ref="KI7:KL7"/>
    <mergeCell ref="MR7:MT7"/>
    <mergeCell ref="MA8:MD8"/>
    <mergeCell ref="ME8:MH8"/>
    <mergeCell ref="MI8:MT8"/>
    <mergeCell ref="MA7:MD7"/>
    <mergeCell ref="ME7:MH7"/>
    <mergeCell ref="JI8:JT8"/>
    <mergeCell ref="JA7:JD7"/>
    <mergeCell ref="JE7:JH7"/>
    <mergeCell ref="NR7:NT7"/>
    <mergeCell ref="UM9:UO9"/>
    <mergeCell ref="TB1:TB2"/>
    <mergeCell ref="TA7:TD7"/>
    <mergeCell ref="TE7:TH7"/>
    <mergeCell ref="TI7:TL7"/>
    <mergeCell ref="TM7:TQ7"/>
    <mergeCell ref="TR7:TT7"/>
    <mergeCell ref="TA8:TD8"/>
    <mergeCell ref="TE8:TH8"/>
    <mergeCell ref="TI8:TT8"/>
    <mergeCell ref="TM9:TO9"/>
    <mergeCell ref="UB1:UB2"/>
    <mergeCell ref="UA7:UD7"/>
    <mergeCell ref="UE7:UH7"/>
    <mergeCell ref="UI7:UL7"/>
    <mergeCell ref="UM7:UQ7"/>
    <mergeCell ref="UR7:UT7"/>
    <mergeCell ref="UA8:UD8"/>
    <mergeCell ref="UE8:UH8"/>
    <mergeCell ref="UI8:UT8"/>
    <mergeCell ref="HR7:HT7"/>
    <mergeCell ref="IA7:ID7"/>
    <mergeCell ref="IE7:IH7"/>
    <mergeCell ref="LE7:LH7"/>
    <mergeCell ref="SR7:ST7"/>
    <mergeCell ref="SA8:SD8"/>
    <mergeCell ref="SE8:SH8"/>
    <mergeCell ref="SI8:ST8"/>
    <mergeCell ref="PR7:PT7"/>
    <mergeCell ref="PA8:PD8"/>
    <mergeCell ref="PE8:PH8"/>
    <mergeCell ref="OR7:OT7"/>
    <mergeCell ref="OA8:OD8"/>
    <mergeCell ref="OE8:OH8"/>
    <mergeCell ref="OI8:OT8"/>
    <mergeCell ref="NE7:NH7"/>
    <mergeCell ref="NI7:NL7"/>
    <mergeCell ref="RI8:RT8"/>
    <mergeCell ref="PI8:PT8"/>
    <mergeCell ref="LI7:LL7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LIST!$A$1:$A$20</xm:f>
          </x14:formula1>
          <xm:sqref>I2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rgb="FF00B0F0"/>
  </sheetPr>
  <dimension ref="A1:AH67"/>
  <sheetViews>
    <sheetView view="pageBreakPreview" zoomScaleSheetLayoutView="100" workbookViewId="0">
      <selection activeCell="T23" sqref="T23"/>
    </sheetView>
  </sheetViews>
  <sheetFormatPr baseColWidth="10" defaultColWidth="9.140625" defaultRowHeight="15"/>
  <cols>
    <col min="1" max="1" width="7.140625" style="295" customWidth="1"/>
    <col min="2" max="2" width="34.140625" style="295" customWidth="1"/>
    <col min="3" max="3" width="12" style="908" customWidth="1"/>
    <col min="4" max="4" width="12.7109375" style="908" customWidth="1"/>
    <col min="5" max="5" width="13.140625" style="908" customWidth="1"/>
    <col min="6" max="6" width="10.5703125" style="908" customWidth="1"/>
    <col min="7" max="7" width="12.140625" style="295" customWidth="1"/>
    <col min="8" max="8" width="12.140625" style="815" customWidth="1"/>
    <col min="9" max="9" width="10.140625" style="295" customWidth="1"/>
    <col min="10" max="10" width="11.85546875" style="295" customWidth="1"/>
    <col min="11" max="11" width="10.42578125" style="815" customWidth="1"/>
    <col min="12" max="12" width="11.5703125" style="815" customWidth="1"/>
    <col min="13" max="13" width="8.5703125" style="295" customWidth="1"/>
    <col min="14" max="14" width="10.140625" style="295" customWidth="1"/>
    <col min="15" max="15" width="9.7109375" style="295" customWidth="1"/>
    <col min="16" max="16" width="11" style="295" customWidth="1"/>
    <col min="17" max="17" width="15" style="908" hidden="1" customWidth="1"/>
    <col min="18" max="18" width="12.5703125" style="908" customWidth="1"/>
    <col min="19" max="19" width="10.140625" style="908" customWidth="1"/>
    <col min="20" max="20" width="11" style="908" customWidth="1"/>
    <col min="21" max="16384" width="9.140625" style="295"/>
  </cols>
  <sheetData>
    <row r="1" spans="1:34" s="1018" customFormat="1"/>
    <row r="2" spans="1:34" s="1018" customFormat="1" ht="15.75" thickBot="1"/>
    <row r="3" spans="1:34" ht="15.75" thickBot="1">
      <c r="A3" s="839"/>
      <c r="B3" s="872">
        <f ca="1">NOW()</f>
        <v>42723.444127546296</v>
      </c>
      <c r="C3" s="1818" t="str">
        <f>YACHTNAME</f>
        <v xml:space="preserve">HUTIANE            </v>
      </c>
      <c r="D3" s="1819"/>
      <c r="E3" s="1819"/>
      <c r="F3" s="892"/>
      <c r="G3" s="913"/>
      <c r="H3" s="913"/>
      <c r="I3" s="913"/>
      <c r="J3" s="907"/>
      <c r="K3" s="907"/>
      <c r="L3" s="907"/>
      <c r="M3" s="907"/>
      <c r="N3" s="907"/>
      <c r="O3" s="907"/>
      <c r="P3" s="907"/>
      <c r="Q3" s="907"/>
      <c r="R3" s="907"/>
      <c r="S3" s="907"/>
      <c r="T3" s="907"/>
      <c r="Z3" s="908"/>
      <c r="AB3" s="815"/>
      <c r="AE3" s="815"/>
      <c r="AF3" s="815"/>
    </row>
    <row r="4" spans="1:34" s="908" customFormat="1" ht="15.75" thickBot="1">
      <c r="A4" s="839"/>
      <c r="B4" s="866"/>
      <c r="C4" s="866"/>
      <c r="D4" s="866"/>
      <c r="E4" s="866"/>
      <c r="F4" s="877"/>
      <c r="G4" s="890">
        <v>1</v>
      </c>
      <c r="H4" s="890">
        <v>2</v>
      </c>
      <c r="I4" s="890">
        <v>3</v>
      </c>
      <c r="J4" s="889">
        <v>4</v>
      </c>
      <c r="K4" s="889">
        <v>5</v>
      </c>
      <c r="L4" s="889">
        <v>6</v>
      </c>
      <c r="M4" s="889">
        <v>7</v>
      </c>
      <c r="N4" s="889">
        <v>8</v>
      </c>
      <c r="O4" s="889">
        <v>9</v>
      </c>
      <c r="P4" s="865">
        <v>10</v>
      </c>
      <c r="Q4" s="831"/>
      <c r="R4" s="1800" t="s">
        <v>2658</v>
      </c>
      <c r="S4" s="1800" t="s">
        <v>2656</v>
      </c>
      <c r="T4" s="1797" t="s">
        <v>2657</v>
      </c>
    </row>
    <row r="5" spans="1:34" ht="26.25" thickBot="1">
      <c r="A5" s="839"/>
      <c r="B5" s="839"/>
      <c r="C5" s="839"/>
      <c r="D5" s="839"/>
      <c r="E5" s="839"/>
      <c r="F5" s="905"/>
      <c r="G5" s="1808" t="s">
        <v>4</v>
      </c>
      <c r="H5" s="1809"/>
      <c r="I5" s="1810"/>
      <c r="J5" s="1807" t="s">
        <v>2608</v>
      </c>
      <c r="K5" s="1807"/>
      <c r="L5" s="1807"/>
      <c r="M5" s="902" t="s">
        <v>1</v>
      </c>
      <c r="N5" s="902" t="s">
        <v>2141</v>
      </c>
      <c r="O5" s="902" t="s">
        <v>2172</v>
      </c>
      <c r="P5" s="867" t="s">
        <v>2143</v>
      </c>
      <c r="Q5" s="851"/>
      <c r="R5" s="1801"/>
      <c r="S5" s="1801"/>
      <c r="T5" s="1798"/>
      <c r="W5" s="321" t="s">
        <v>2214</v>
      </c>
      <c r="X5" s="322" t="s">
        <v>2215</v>
      </c>
      <c r="Y5" s="322" t="s">
        <v>2216</v>
      </c>
      <c r="Z5" s="921"/>
      <c r="AA5" s="741"/>
      <c r="AB5" s="321" t="s">
        <v>2214</v>
      </c>
      <c r="AC5" s="322" t="s">
        <v>2215</v>
      </c>
      <c r="AD5" s="322" t="s">
        <v>2216</v>
      </c>
      <c r="AE5" s="266"/>
      <c r="AF5" s="715"/>
      <c r="AG5" s="1791" t="s">
        <v>2210</v>
      </c>
      <c r="AH5" s="1791"/>
    </row>
    <row r="6" spans="1:34" ht="15.75" thickBot="1">
      <c r="A6" s="839" t="b">
        <v>1</v>
      </c>
      <c r="B6" s="839"/>
      <c r="C6" s="839"/>
      <c r="D6" s="839"/>
      <c r="E6" s="839"/>
      <c r="F6" s="903" t="s">
        <v>27</v>
      </c>
      <c r="G6" s="852" t="str">
        <f>IF($G$5=Source!B17,Source!D17,"")</f>
        <v>Perfect</v>
      </c>
      <c r="H6" s="852" t="str">
        <f>IF($G$5=Source!B18,Source!D18,"")</f>
        <v/>
      </c>
      <c r="I6" s="852" t="s">
        <v>2144</v>
      </c>
      <c r="J6" s="881" t="s">
        <v>2651</v>
      </c>
      <c r="K6" s="881" t="s">
        <v>2652</v>
      </c>
      <c r="L6" s="881" t="s">
        <v>2653</v>
      </c>
      <c r="M6" s="852"/>
      <c r="N6" s="852"/>
      <c r="O6" s="852"/>
      <c r="P6" s="895"/>
      <c r="Q6" s="900"/>
      <c r="R6" s="1802"/>
      <c r="S6" s="1802"/>
      <c r="T6" s="1799"/>
      <c r="W6" s="323">
        <v>30000</v>
      </c>
      <c r="X6" s="715"/>
      <c r="Y6" s="715"/>
      <c r="Z6" s="286" t="str">
        <f>E12</f>
        <v>2015-2016</v>
      </c>
      <c r="AA6" s="742"/>
      <c r="AB6" s="323">
        <v>40000</v>
      </c>
      <c r="AC6" s="715"/>
      <c r="AD6" s="328"/>
      <c r="AE6" s="329" t="str">
        <f>E13</f>
        <v>2016-2017</v>
      </c>
      <c r="AF6" s="715"/>
      <c r="AG6" s="1792">
        <v>983.07690000000002</v>
      </c>
      <c r="AH6" s="1792"/>
    </row>
    <row r="7" spans="1:34" ht="15.75" thickBot="1">
      <c r="A7" s="839"/>
      <c r="B7" s="839"/>
      <c r="C7" s="839"/>
      <c r="D7" s="839"/>
      <c r="E7" s="839"/>
      <c r="F7" s="839"/>
      <c r="G7" s="839"/>
      <c r="H7" s="839"/>
      <c r="I7" s="839"/>
      <c r="J7" s="839"/>
      <c r="K7" s="839"/>
      <c r="L7" s="839"/>
      <c r="M7" s="868">
        <f>IF($A$6=TRUE,M19-M9,M20-M9)</f>
        <v>0</v>
      </c>
      <c r="N7" s="839"/>
      <c r="O7" s="907"/>
      <c r="P7" s="839"/>
      <c r="Q7" s="839"/>
      <c r="R7" s="839"/>
      <c r="S7" s="839"/>
      <c r="T7" s="839"/>
      <c r="W7" s="324">
        <v>0.25</v>
      </c>
      <c r="X7" s="325">
        <v>20000</v>
      </c>
      <c r="Y7" s="325">
        <f>$W$6-X7</f>
        <v>10000</v>
      </c>
      <c r="Z7" s="922"/>
      <c r="AA7" s="742"/>
      <c r="AB7" s="324">
        <v>0.25</v>
      </c>
      <c r="AC7" s="325">
        <v>20000</v>
      </c>
      <c r="AD7" s="325">
        <f>$AB$6-AC7</f>
        <v>20000</v>
      </c>
      <c r="AE7" s="183"/>
      <c r="AF7" s="316"/>
      <c r="AG7" s="1792" t="s">
        <v>2211</v>
      </c>
      <c r="AH7" s="1792"/>
    </row>
    <row r="8" spans="1:34" ht="15.75" thickBot="1">
      <c r="A8" s="839"/>
      <c r="B8" s="1822" t="s">
        <v>2661</v>
      </c>
      <c r="C8" s="1820" t="s">
        <v>2212</v>
      </c>
      <c r="D8" s="1821"/>
      <c r="E8" s="839"/>
      <c r="F8" s="838">
        <f t="shared" ref="F8:L8" si="0">IF($A$6=TRUE,F19-F9,F20-F9)</f>
        <v>10355.32</v>
      </c>
      <c r="G8" s="842">
        <f t="shared" si="0"/>
        <v>0</v>
      </c>
      <c r="H8" s="842">
        <f t="shared" si="0"/>
        <v>0</v>
      </c>
      <c r="I8" s="842">
        <f t="shared" si="0"/>
        <v>0</v>
      </c>
      <c r="J8" s="842">
        <f t="shared" si="0"/>
        <v>0</v>
      </c>
      <c r="K8" s="842">
        <f t="shared" si="0"/>
        <v>0</v>
      </c>
      <c r="L8" s="842">
        <f t="shared" si="0"/>
        <v>0</v>
      </c>
      <c r="M8" s="863">
        <v>0</v>
      </c>
      <c r="N8" s="842">
        <f>IF($A$6=TRUE,N19-N9,N20-N9)</f>
        <v>0</v>
      </c>
      <c r="O8" s="842">
        <f t="shared" ref="O8:P8" si="1">IF($A$6=TRUE,O19-O9,O20-O9)</f>
        <v>0</v>
      </c>
      <c r="P8" s="842">
        <f t="shared" si="1"/>
        <v>0</v>
      </c>
      <c r="Q8" s="839"/>
      <c r="R8" s="842">
        <f>IF($A$6=TRUE,R19-R9,R20-R9)</f>
        <v>414.21280000000002</v>
      </c>
      <c r="S8" s="842">
        <f>IF($A$6=TRUE,S19-S9,S20-S9)</f>
        <v>328.15720000000005</v>
      </c>
      <c r="T8" s="918"/>
      <c r="W8" s="326">
        <v>0.2</v>
      </c>
      <c r="X8" s="743">
        <v>15000</v>
      </c>
      <c r="Y8" s="743">
        <f>$W$6-X8</f>
        <v>15000</v>
      </c>
      <c r="Z8" s="928"/>
      <c r="AA8" s="745"/>
      <c r="AB8" s="326">
        <v>0.2</v>
      </c>
      <c r="AC8" s="743">
        <v>15000</v>
      </c>
      <c r="AD8" s="743">
        <f>$AB$6-AC8</f>
        <v>25000</v>
      </c>
      <c r="AE8" s="744"/>
      <c r="AF8" s="319"/>
      <c r="AG8" s="317">
        <v>276</v>
      </c>
      <c r="AH8" s="318">
        <f>AG6/12*AG8</f>
        <v>22610.768700000001</v>
      </c>
    </row>
    <row r="9" spans="1:34" ht="15.75" thickBot="1">
      <c r="A9" s="839"/>
      <c r="B9" s="1822"/>
      <c r="C9" s="1820" t="s">
        <v>2213</v>
      </c>
      <c r="D9" s="1821"/>
      <c r="E9" s="907"/>
      <c r="F9" s="837">
        <f>IF($A$6=TRUE,F12,F13)</f>
        <v>0</v>
      </c>
      <c r="G9" s="871">
        <f>IF($A$6=TRUE,G12,G13)</f>
        <v>4505.7700000000004</v>
      </c>
      <c r="H9" s="871">
        <f t="shared" ref="H9:N9" si="2">IF($A$6=TRUE,H12,H13)</f>
        <v>0</v>
      </c>
      <c r="I9" s="871">
        <f t="shared" si="2"/>
        <v>0</v>
      </c>
      <c r="J9" s="871">
        <f t="shared" si="2"/>
        <v>5849.55</v>
      </c>
      <c r="K9" s="871">
        <f t="shared" si="2"/>
        <v>0</v>
      </c>
      <c r="L9" s="871">
        <f t="shared" si="2"/>
        <v>0</v>
      </c>
      <c r="M9" s="871">
        <f t="shared" si="2"/>
        <v>44</v>
      </c>
      <c r="N9" s="871">
        <f t="shared" si="2"/>
        <v>742.37</v>
      </c>
      <c r="O9" s="871">
        <f t="shared" ref="O9:P9" si="3">IF($A$6=TRUE,O12,O13)</f>
        <v>0</v>
      </c>
      <c r="P9" s="871">
        <f t="shared" si="3"/>
        <v>11141.69</v>
      </c>
      <c r="Q9" s="861"/>
      <c r="R9" s="871">
        <f t="shared" ref="R9:S9" si="4">IF($A$6=TRUE,R12,R13)</f>
        <v>0</v>
      </c>
      <c r="S9" s="871">
        <f t="shared" si="4"/>
        <v>0</v>
      </c>
      <c r="T9" s="864"/>
    </row>
    <row r="10" spans="1:34">
      <c r="A10" s="839"/>
      <c r="B10" s="839"/>
      <c r="C10" s="839"/>
      <c r="D10" s="839"/>
      <c r="E10" s="839"/>
      <c r="F10" s="891"/>
      <c r="G10" s="845"/>
      <c r="H10" s="845"/>
      <c r="I10" s="845"/>
      <c r="J10" s="845"/>
      <c r="K10" s="845"/>
      <c r="L10" s="845"/>
      <c r="M10" s="845"/>
      <c r="N10" s="899"/>
      <c r="O10" s="907"/>
      <c r="P10" s="839"/>
      <c r="Q10" s="839"/>
      <c r="R10" s="839"/>
      <c r="S10" s="839"/>
      <c r="T10" s="839"/>
    </row>
    <row r="11" spans="1:34" ht="15.75" thickBot="1">
      <c r="A11" s="839"/>
      <c r="B11" s="847"/>
      <c r="C11" s="847"/>
      <c r="D11" s="847"/>
      <c r="E11" s="847"/>
      <c r="F11" s="891"/>
      <c r="G11" s="907"/>
      <c r="H11" s="907"/>
      <c r="I11" s="907"/>
      <c r="J11" s="907"/>
      <c r="K11" s="907"/>
      <c r="L11" s="907"/>
      <c r="M11" s="907"/>
      <c r="N11" s="907"/>
      <c r="O11" s="907"/>
      <c r="P11" s="839"/>
      <c r="Q11" s="839"/>
      <c r="R11" s="839"/>
      <c r="S11" s="839"/>
      <c r="T11" s="839"/>
    </row>
    <row r="12" spans="1:34">
      <c r="A12" s="839"/>
      <c r="B12" s="1817" t="s">
        <v>2660</v>
      </c>
      <c r="C12" s="1803" t="s">
        <v>2659</v>
      </c>
      <c r="D12" s="1804"/>
      <c r="E12" s="849" t="str">
        <f>E19</f>
        <v>2015-2016</v>
      </c>
      <c r="F12" s="854">
        <v>0</v>
      </c>
      <c r="G12" s="841">
        <v>4505.7700000000004</v>
      </c>
      <c r="H12" s="841">
        <v>0</v>
      </c>
      <c r="I12" s="841">
        <v>0</v>
      </c>
      <c r="J12" s="841">
        <v>5849.55</v>
      </c>
      <c r="K12" s="841">
        <v>0</v>
      </c>
      <c r="L12" s="841">
        <v>0</v>
      </c>
      <c r="M12" s="841">
        <v>44</v>
      </c>
      <c r="N12" s="841">
        <v>742.37</v>
      </c>
      <c r="O12" s="841">
        <v>0</v>
      </c>
      <c r="P12" s="836">
        <v>11141.69</v>
      </c>
      <c r="Q12" s="855"/>
      <c r="R12" s="855"/>
      <c r="S12" s="855"/>
      <c r="T12" s="855"/>
    </row>
    <row r="13" spans="1:34" ht="15.75" thickBot="1">
      <c r="A13" s="839"/>
      <c r="B13" s="1817"/>
      <c r="C13" s="1805"/>
      <c r="D13" s="1806"/>
      <c r="E13" s="894" t="str">
        <f>E20</f>
        <v>2016-2017</v>
      </c>
      <c r="F13" s="857">
        <v>0</v>
      </c>
      <c r="G13" s="843">
        <v>0</v>
      </c>
      <c r="H13" s="843">
        <v>0</v>
      </c>
      <c r="I13" s="843">
        <v>0</v>
      </c>
      <c r="J13" s="843">
        <v>0</v>
      </c>
      <c r="K13" s="843">
        <v>0</v>
      </c>
      <c r="L13" s="843">
        <v>0</v>
      </c>
      <c r="M13" s="843">
        <v>0</v>
      </c>
      <c r="N13" s="843">
        <v>0</v>
      </c>
      <c r="O13" s="843">
        <v>0</v>
      </c>
      <c r="P13" s="858">
        <v>0</v>
      </c>
      <c r="Q13" s="855"/>
      <c r="R13" s="855"/>
      <c r="S13" s="855"/>
      <c r="T13" s="855"/>
    </row>
    <row r="14" spans="1:34" ht="15.75" thickBot="1">
      <c r="A14" s="839"/>
      <c r="B14" s="847"/>
      <c r="C14" s="847"/>
      <c r="D14" s="847"/>
      <c r="E14" s="847"/>
      <c r="F14" s="891"/>
      <c r="G14" s="907"/>
      <c r="H14" s="907"/>
      <c r="I14" s="907"/>
      <c r="J14" s="907"/>
      <c r="K14" s="907"/>
      <c r="L14" s="907"/>
      <c r="M14" s="907"/>
      <c r="N14" s="907"/>
      <c r="O14" s="907"/>
      <c r="P14" s="839"/>
      <c r="Q14" s="839"/>
      <c r="R14" s="839"/>
      <c r="S14" s="839"/>
      <c r="T14" s="839"/>
    </row>
    <row r="15" spans="1:34">
      <c r="A15" s="839"/>
      <c r="B15" s="1815"/>
      <c r="C15" s="1823" t="s">
        <v>2654</v>
      </c>
      <c r="D15" s="1824"/>
      <c r="E15" s="892"/>
      <c r="F15" s="860"/>
      <c r="G15" s="888">
        <f>Calcul!BD10</f>
        <v>2711.5384615384614</v>
      </c>
      <c r="H15" s="888"/>
      <c r="I15" s="888"/>
      <c r="J15" s="888">
        <f>Calcul!BP10</f>
        <v>4837.4068965517245</v>
      </c>
      <c r="K15" s="888"/>
      <c r="L15" s="888"/>
      <c r="M15" s="888">
        <f>Cotations!AB11</f>
        <v>24</v>
      </c>
      <c r="N15" s="888">
        <f>Cotations!Z11</f>
        <v>365.95781432360775</v>
      </c>
      <c r="O15" s="888"/>
      <c r="P15" s="888">
        <f>Cotations!V11</f>
        <v>7938.903172413794</v>
      </c>
      <c r="Q15" s="855"/>
      <c r="R15" s="855"/>
      <c r="S15" s="855"/>
      <c r="T15" s="855"/>
    </row>
    <row r="16" spans="1:34" s="833" customFormat="1">
      <c r="A16" s="897"/>
      <c r="B16" s="1815"/>
      <c r="C16" s="1811" t="s">
        <v>2581</v>
      </c>
      <c r="D16" s="1812"/>
      <c r="E16" s="873"/>
      <c r="F16" s="856"/>
      <c r="G16" s="856">
        <f>IF(Source!$B$17=RECAPITULATIF!$G$5,INDEX(Source!$B$17:$I$24,MATCH(G6,Source!$D$17:$D$24,0),8),0)</f>
        <v>2711.53856</v>
      </c>
      <c r="H16" s="856" t="e">
        <f>IF(Source!$B$17=RECAPITULATIF!$G$5,INDEX(Source!$B$17:$I$24,MATCH(H6,Source!$D$17:$D$24,0),8),0)</f>
        <v>#N/A</v>
      </c>
      <c r="I16" s="856" t="e">
        <f>IF(Source!$B17=RECAPITULATIF!$G$5,INDEX(Source!$B$17:$I$24,MATCH(I6,Source!$D$17:$D$24,0),8),0)</f>
        <v>#N/A</v>
      </c>
      <c r="J16" s="856">
        <f>Source!I18</f>
        <v>4837.4068965516999</v>
      </c>
      <c r="K16" s="856">
        <f>Source!I19</f>
        <v>0</v>
      </c>
      <c r="L16" s="856">
        <f>Source!I20</f>
        <v>0</v>
      </c>
      <c r="M16" s="856">
        <f>Source!C26</f>
        <v>24</v>
      </c>
      <c r="N16" s="856">
        <f>Source!B31+Source!B32</f>
        <v>365.95781826207002</v>
      </c>
      <c r="O16" s="856"/>
      <c r="P16" s="856">
        <f>Source!B34</f>
        <v>7938.9032748137997</v>
      </c>
      <c r="Q16" s="844"/>
      <c r="R16" s="844"/>
      <c r="S16" s="844"/>
      <c r="T16" s="844"/>
    </row>
    <row r="17" spans="1:21" ht="15.75" customHeight="1" thickBot="1">
      <c r="A17" s="839"/>
      <c r="B17" s="1816"/>
      <c r="C17" s="1813" t="s">
        <v>2655</v>
      </c>
      <c r="D17" s="1814"/>
      <c r="E17" s="892"/>
      <c r="F17" s="912"/>
      <c r="G17" s="888"/>
      <c r="H17" s="888"/>
      <c r="I17" s="888"/>
      <c r="J17" s="888">
        <f ca="1">Cotations!AE13</f>
        <v>4837.4068965517245</v>
      </c>
      <c r="K17" s="888"/>
      <c r="L17" s="888"/>
      <c r="M17" s="888">
        <f>Cotations!AB13</f>
        <v>0</v>
      </c>
      <c r="N17" s="888">
        <f ca="1">Cotations!Z13</f>
        <v>193.49627586206898</v>
      </c>
      <c r="O17" s="888"/>
      <c r="P17" s="888">
        <f ca="1">Cotations!V13</f>
        <v>5030.9031724137931</v>
      </c>
      <c r="Q17" s="855"/>
      <c r="R17" s="855"/>
      <c r="S17" s="855"/>
      <c r="T17" s="855"/>
    </row>
    <row r="18" spans="1:21" ht="15.75" customHeight="1" thickBot="1">
      <c r="A18" s="839"/>
      <c r="B18" s="870" t="s">
        <v>2173</v>
      </c>
      <c r="C18" s="1793" t="s">
        <v>2174</v>
      </c>
      <c r="D18" s="1795" t="s">
        <v>2175</v>
      </c>
      <c r="E18" s="906" t="s">
        <v>2176</v>
      </c>
      <c r="F18" s="896">
        <f t="shared" ref="F18:P18" si="5">SUM(F21:F48)</f>
        <v>17904.27</v>
      </c>
      <c r="G18" s="896">
        <f t="shared" si="5"/>
        <v>7217.31</v>
      </c>
      <c r="H18" s="896">
        <f t="shared" si="5"/>
        <v>0</v>
      </c>
      <c r="I18" s="896">
        <f t="shared" si="5"/>
        <v>0</v>
      </c>
      <c r="J18" s="896">
        <f t="shared" si="5"/>
        <v>10686.96</v>
      </c>
      <c r="K18" s="896">
        <f t="shared" si="5"/>
        <v>0</v>
      </c>
      <c r="L18" s="896">
        <f t="shared" si="5"/>
        <v>0</v>
      </c>
      <c r="M18" s="896">
        <f t="shared" si="5"/>
        <v>68</v>
      </c>
      <c r="N18" s="896">
        <f t="shared" si="5"/>
        <v>1108.33</v>
      </c>
      <c r="O18" s="896">
        <f t="shared" si="5"/>
        <v>0</v>
      </c>
      <c r="P18" s="896">
        <f t="shared" si="5"/>
        <v>19080.599999999999</v>
      </c>
      <c r="Q18" s="904" t="e">
        <f>SUM(Q21:Q48)</f>
        <v>#REF!</v>
      </c>
      <c r="R18" s="887">
        <f t="shared" ref="R18:T18" si="6">SUM(R21:R48)</f>
        <v>716.1708000000001</v>
      </c>
      <c r="S18" s="887">
        <f t="shared" si="6"/>
        <v>392.1592</v>
      </c>
      <c r="T18" s="887">
        <f t="shared" si="6"/>
        <v>328.16</v>
      </c>
    </row>
    <row r="19" spans="1:21" ht="20.100000000000001" customHeight="1" thickBot="1">
      <c r="A19" s="839"/>
      <c r="B19" s="885" t="str">
        <f>"TOTAL facturé "&amp;E12</f>
        <v>TOTAL facturé 2015-2016</v>
      </c>
      <c r="C19" s="1793"/>
      <c r="D19" s="1795"/>
      <c r="E19" s="849" t="s">
        <v>1975</v>
      </c>
      <c r="F19" s="896">
        <f t="shared" ref="F19:T19" si="7">SUMIF($E$21:$E$44,$E$12,F21:F44)</f>
        <v>10355.32</v>
      </c>
      <c r="G19" s="896">
        <f t="shared" si="7"/>
        <v>4505.7700000000004</v>
      </c>
      <c r="H19" s="896">
        <f t="shared" si="7"/>
        <v>0</v>
      </c>
      <c r="I19" s="896">
        <f t="shared" si="7"/>
        <v>0</v>
      </c>
      <c r="J19" s="896">
        <f t="shared" si="7"/>
        <v>5849.55</v>
      </c>
      <c r="K19" s="896">
        <f t="shared" si="7"/>
        <v>0</v>
      </c>
      <c r="L19" s="896">
        <f t="shared" si="7"/>
        <v>0</v>
      </c>
      <c r="M19" s="896">
        <f t="shared" si="7"/>
        <v>44</v>
      </c>
      <c r="N19" s="896">
        <f t="shared" si="7"/>
        <v>742.37</v>
      </c>
      <c r="O19" s="896">
        <f t="shared" si="7"/>
        <v>0</v>
      </c>
      <c r="P19" s="896">
        <f t="shared" si="7"/>
        <v>11141.69</v>
      </c>
      <c r="Q19" s="904" t="e">
        <f t="shared" si="7"/>
        <v>#REF!</v>
      </c>
      <c r="R19" s="887">
        <f t="shared" si="7"/>
        <v>414.21280000000002</v>
      </c>
      <c r="S19" s="887">
        <f t="shared" si="7"/>
        <v>328.15720000000005</v>
      </c>
      <c r="T19" s="887">
        <f t="shared" si="7"/>
        <v>328.16</v>
      </c>
    </row>
    <row r="20" spans="1:21" ht="20.100000000000001" customHeight="1" thickBot="1">
      <c r="A20" s="839"/>
      <c r="B20" s="885" t="str">
        <f>"TOTAL facturé "&amp;E13</f>
        <v>TOTAL facturé 2016-2017</v>
      </c>
      <c r="C20" s="1794"/>
      <c r="D20" s="1796"/>
      <c r="E20" s="894" t="s">
        <v>2400</v>
      </c>
      <c r="F20" s="896">
        <f t="shared" ref="F20:T20" si="8">SUMIF($E$21:$E$44,$E$13,F21:F44)</f>
        <v>7548.95</v>
      </c>
      <c r="G20" s="896">
        <f t="shared" si="8"/>
        <v>2711.54</v>
      </c>
      <c r="H20" s="896">
        <f t="shared" si="8"/>
        <v>0</v>
      </c>
      <c r="I20" s="896">
        <f t="shared" si="8"/>
        <v>0</v>
      </c>
      <c r="J20" s="896">
        <f t="shared" si="8"/>
        <v>4837.41</v>
      </c>
      <c r="K20" s="896">
        <f t="shared" si="8"/>
        <v>0</v>
      </c>
      <c r="L20" s="896">
        <f t="shared" si="8"/>
        <v>0</v>
      </c>
      <c r="M20" s="896">
        <f t="shared" si="8"/>
        <v>24</v>
      </c>
      <c r="N20" s="896">
        <f t="shared" si="8"/>
        <v>365.96</v>
      </c>
      <c r="O20" s="896">
        <f t="shared" si="8"/>
        <v>0</v>
      </c>
      <c r="P20" s="896">
        <f t="shared" si="8"/>
        <v>7938.91</v>
      </c>
      <c r="Q20" s="842" t="e">
        <f t="shared" si="8"/>
        <v>#REF!</v>
      </c>
      <c r="R20" s="838">
        <f t="shared" si="8"/>
        <v>301.95800000000003</v>
      </c>
      <c r="S20" s="838">
        <f t="shared" si="8"/>
        <v>64.001999999999953</v>
      </c>
      <c r="T20" s="838">
        <f t="shared" si="8"/>
        <v>0</v>
      </c>
    </row>
    <row r="21" spans="1:21" ht="20.100000000000001" customHeight="1">
      <c r="A21" s="998" t="b">
        <v>1</v>
      </c>
      <c r="B21" s="927" t="str">
        <f>HISTORY!C16</f>
        <v>Renouvellement 2015-2016</v>
      </c>
      <c r="C21" s="883">
        <f>HISTORY!P18</f>
        <v>42320</v>
      </c>
      <c r="D21" s="883">
        <f>HISTORY!P22</f>
        <v>0</v>
      </c>
      <c r="E21" s="882" t="s">
        <v>1975</v>
      </c>
      <c r="F21" s="835">
        <f>SUM(G21:L21)</f>
        <v>8891.09</v>
      </c>
      <c r="G21" s="898">
        <f>INDEX(HISTORY!$O$18:$R$27,MATCH(RECAPITULATIF!G$4,HISTORY!$R$18:$R$28,0),1)</f>
        <v>3686.54</v>
      </c>
      <c r="H21" s="898">
        <f>INDEX(HISTORY!$O$18:$R$27,MATCH(RECAPITULATIF!H$4,HISTORY!$R$18:$R$28,0),1)</f>
        <v>0</v>
      </c>
      <c r="I21" s="898">
        <f>INDEX(HISTORY!$O$18:$R$27,MATCH(RECAPITULATIF!I$4,HISTORY!$R$18:$R$28,0),1)</f>
        <v>0</v>
      </c>
      <c r="J21" s="898">
        <f>INDEX(HISTORY!$O$18:$R$27,MATCH(RECAPITULATIF!J$4,HISTORY!$R$18:$R$28,0),1)</f>
        <v>5204.55</v>
      </c>
      <c r="K21" s="898">
        <f>INDEX(HISTORY!$O$18:$R$27,MATCH(RECAPITULATIF!K$4,HISTORY!$R$18:$R$28,0),1)</f>
        <v>0</v>
      </c>
      <c r="L21" s="898">
        <f>INDEX(HISTORY!$O$18:$R$27,MATCH(RECAPITULATIF!L$4,HISTORY!$R$18:$R$28,0),1)</f>
        <v>0</v>
      </c>
      <c r="M21" s="850">
        <f>INDEX(HISTORY!$O$18:$R$27,MATCH(RECAPITULATIF!M$4,HISTORY!$R$18:$R$28,0),1)</f>
        <v>36</v>
      </c>
      <c r="N21" s="850">
        <f>INDEX(HISTORY!$O$18:$R$27,MATCH(RECAPITULATIF!N$4,HISTORY!$R$18:$R$28,0),1)</f>
        <v>647.61</v>
      </c>
      <c r="O21" s="848">
        <f>INDEX(HISTORY!$O$18:$R$27,MATCH(RECAPITULATIF!O$4,HISTORY!$R$18:$R$28,0),1)</f>
        <v>0</v>
      </c>
      <c r="P21" s="848">
        <f>INDEX(HISTORY!$O$18:$R$27,MATCH(RECAPITULATIF!P$4,HISTORY!$R$18:$R$28,0),1)</f>
        <v>9574.7000000000007</v>
      </c>
      <c r="Q21" s="853" t="e">
        <f>N21-#REF!</f>
        <v>#REF!</v>
      </c>
      <c r="R21" s="853">
        <f>F21*0.04</f>
        <v>355.64359999999999</v>
      </c>
      <c r="S21" s="853">
        <f>IF(A21=TRUE,N21-R21,0)</f>
        <v>291.96640000000002</v>
      </c>
      <c r="T21" s="886">
        <v>291.97000000000003</v>
      </c>
      <c r="U21" s="281">
        <v>1</v>
      </c>
    </row>
    <row r="22" spans="1:21" ht="20.100000000000001" customHeight="1">
      <c r="A22" s="998" t="b">
        <v>1</v>
      </c>
      <c r="B22" s="927" t="str">
        <f>HISTORY!C29</f>
        <v>Regule 2015-2016</v>
      </c>
      <c r="C22" s="883">
        <f>HISTORY!P31</f>
        <v>42320</v>
      </c>
      <c r="D22" s="883">
        <f>HISTORY!P35</f>
        <v>0</v>
      </c>
      <c r="E22" s="849" t="s">
        <v>1975</v>
      </c>
      <c r="F22" s="878">
        <f t="shared" ref="F22:F32" si="9">SUM(G22:L22)</f>
        <v>1464.23</v>
      </c>
      <c r="G22" s="901">
        <f>INDEX(HISTORY!$O$31:$R$40,MATCH(RECAPITULATIF!G$4,HISTORY!$R$31:$R$40,0),1)</f>
        <v>819.23</v>
      </c>
      <c r="H22" s="901">
        <f>INDEX(HISTORY!$O$31:$R$40,MATCH(RECAPITULATIF!H$4,HISTORY!$R$31:$R$40,0),1)</f>
        <v>0</v>
      </c>
      <c r="I22" s="901">
        <f>INDEX(HISTORY!$O$31:$R$40,MATCH(RECAPITULATIF!I$4,HISTORY!$R$31:$R$40,0),1)</f>
        <v>0</v>
      </c>
      <c r="J22" s="901">
        <f>INDEX(HISTORY!$O$31:$R$40,MATCH(RECAPITULATIF!J$4,HISTORY!$R$31:$R$40,0),1)</f>
        <v>645</v>
      </c>
      <c r="K22" s="901">
        <f>INDEX(HISTORY!$O$31:$R$40,MATCH(RECAPITULATIF!K$4,HISTORY!$R$31:$R$40,0),1)</f>
        <v>0</v>
      </c>
      <c r="L22" s="901">
        <f>INDEX(HISTORY!$O$31:$R$40,MATCH(RECAPITULATIF!L$4,HISTORY!$R$31:$R$40,0),1)</f>
        <v>0</v>
      </c>
      <c r="M22" s="926">
        <f>INDEX(HISTORY!$O$31:$R$40,MATCH(RECAPITULATIF!M$4,HISTORY!$R$31:$R$40,0),1)</f>
        <v>8</v>
      </c>
      <c r="N22" s="926">
        <f>INDEX(HISTORY!$O$31:$R$40,MATCH(RECAPITULATIF!N$4,HISTORY!$R$31:$R$40,0),1)</f>
        <v>94.76</v>
      </c>
      <c r="O22" s="919">
        <f>INDEX(HISTORY!$O$31:$R$40,MATCH(RECAPITULATIF!O$4,HISTORY!$R$31:$R$40,0),1)</f>
        <v>0</v>
      </c>
      <c r="P22" s="919">
        <f>INDEX(HISTORY!$O$31:$R$40,MATCH(RECAPITULATIF!P$4,HISTORY!$R$31:$R$40,0),1)</f>
        <v>1566.99</v>
      </c>
      <c r="Q22" s="853" t="e">
        <f>N22-#REF!</f>
        <v>#REF!</v>
      </c>
      <c r="R22" s="853">
        <f t="shared" ref="R22:R32" si="10">F22*0.04</f>
        <v>58.569200000000002</v>
      </c>
      <c r="S22" s="853">
        <f t="shared" ref="S22:S35" si="11">IF(A22=TRUE,N22-R22,0)</f>
        <v>36.190800000000003</v>
      </c>
      <c r="T22" s="886">
        <v>36.19</v>
      </c>
      <c r="U22" s="281">
        <v>2</v>
      </c>
    </row>
    <row r="23" spans="1:21" ht="20.100000000000001" customHeight="1" thickBot="1">
      <c r="A23" s="998" t="b">
        <v>1</v>
      </c>
      <c r="B23" s="927" t="str">
        <f>HISTORY!C42</f>
        <v>Renouvellement 2016-2017</v>
      </c>
      <c r="C23" s="883">
        <f>HISTORY!P44</f>
        <v>42686</v>
      </c>
      <c r="D23" s="883">
        <f>HISTORY!P48</f>
        <v>0</v>
      </c>
      <c r="E23" s="894" t="s">
        <v>2400</v>
      </c>
      <c r="F23" s="878">
        <f t="shared" si="9"/>
        <v>7548.95</v>
      </c>
      <c r="G23" s="901">
        <f>INDEX(HISTORY!$O$44:$R$53,MATCH(RECAPITULATIF!G$4,HISTORY!$R$44:$R$53,0),1)</f>
        <v>2711.54</v>
      </c>
      <c r="H23" s="901">
        <f>INDEX(HISTORY!$O$44:$R$53,MATCH(RECAPITULATIF!H$4,HISTORY!$R$44:$R$53,0),1)</f>
        <v>0</v>
      </c>
      <c r="I23" s="901">
        <f>INDEX(HISTORY!$O$44:$R$53,MATCH(RECAPITULATIF!I$4,HISTORY!$R$44:$R$53,0),1)</f>
        <v>0</v>
      </c>
      <c r="J23" s="901">
        <f>INDEX(HISTORY!$O$44:$R$53,MATCH(RECAPITULATIF!J$4,HISTORY!$R$44:$R$53,0),1)</f>
        <v>4837.41</v>
      </c>
      <c r="K23" s="901">
        <f>INDEX(HISTORY!$O$44:$R$53,MATCH(RECAPITULATIF!K$4,HISTORY!$R$44:$R$53,0),1)</f>
        <v>0</v>
      </c>
      <c r="L23" s="901">
        <f>INDEX(HISTORY!$O$44:$R$53,MATCH(RECAPITULATIF!L$4,HISTORY!$R$44:$R$53,0),1)</f>
        <v>0</v>
      </c>
      <c r="M23" s="926">
        <f>INDEX(HISTORY!$O$44:$R$53,MATCH(RECAPITULATIF!M$4,HISTORY!$R$44:$R$53,0),1)</f>
        <v>24</v>
      </c>
      <c r="N23" s="926">
        <f>INDEX(HISTORY!$O$44:$R$53,MATCH(RECAPITULATIF!N$4,HISTORY!$R$44:$R$53,0),1)</f>
        <v>365.96</v>
      </c>
      <c r="O23" s="919">
        <f>INDEX(HISTORY!$O$44:$R$53,MATCH(RECAPITULATIF!O$4,HISTORY!$R$44:$R$53,0),1)</f>
        <v>0</v>
      </c>
      <c r="P23" s="919">
        <f>INDEX(HISTORY!$O$44:$R$53,MATCH(RECAPITULATIF!P$4,HISTORY!$R$44:$R$53,0),1)</f>
        <v>7938.91</v>
      </c>
      <c r="Q23" s="853" t="e">
        <f>N23-#REF!</f>
        <v>#REF!</v>
      </c>
      <c r="R23" s="853">
        <f t="shared" si="10"/>
        <v>301.95800000000003</v>
      </c>
      <c r="S23" s="853">
        <f t="shared" si="11"/>
        <v>64.001999999999953</v>
      </c>
      <c r="T23" s="886">
        <v>0</v>
      </c>
      <c r="U23" s="281">
        <v>3</v>
      </c>
    </row>
    <row r="24" spans="1:21" ht="20.100000000000001" customHeight="1">
      <c r="A24" s="998" t="b">
        <v>1</v>
      </c>
      <c r="B24" s="889">
        <f>HISTORY!C56</f>
        <v>0</v>
      </c>
      <c r="C24" s="876">
        <f>HISTORY!P58</f>
        <v>0</v>
      </c>
      <c r="D24" s="876">
        <f>HISTORY!P62</f>
        <v>0</v>
      </c>
      <c r="E24" s="894" t="s">
        <v>2400</v>
      </c>
      <c r="F24" s="878">
        <f t="shared" si="9"/>
        <v>0</v>
      </c>
      <c r="G24" s="901">
        <f>INDEX(HISTORY!$O$58:$R$67,MATCH(RECAPITULATIF!G$4,HISTORY!$R$58:$R$67,0),1)</f>
        <v>0</v>
      </c>
      <c r="H24" s="901">
        <f>INDEX(HISTORY!$O$58:$R$67,MATCH(RECAPITULATIF!H$4,HISTORY!$R$58:$R$67,0),1)</f>
        <v>0</v>
      </c>
      <c r="I24" s="901">
        <f>INDEX(HISTORY!$O$58:$R$67,MATCH(RECAPITULATIF!I$4,HISTORY!$R$58:$R$67,0),1)</f>
        <v>0</v>
      </c>
      <c r="J24" s="901">
        <f>INDEX(HISTORY!$O$58:$R$67,MATCH(RECAPITULATIF!J$4,HISTORY!$R$58:$R$67,0),1)</f>
        <v>0</v>
      </c>
      <c r="K24" s="901">
        <f>INDEX(HISTORY!$O$58:$R$67,MATCH(RECAPITULATIF!K$4,HISTORY!$R$58:$R$67,0),1)</f>
        <v>0</v>
      </c>
      <c r="L24" s="901">
        <f>INDEX(HISTORY!$O$58:$R$67,MATCH(RECAPITULATIF!L$4,HISTORY!$R$58:$R$67,0),1)</f>
        <v>0</v>
      </c>
      <c r="M24" s="926">
        <f>INDEX(HISTORY!$O$58:$R$67,MATCH(RECAPITULATIF!M$4,HISTORY!$R$58:$R$67,0),1)</f>
        <v>0</v>
      </c>
      <c r="N24" s="926">
        <f>INDEX(HISTORY!$O$58:$R$67,MATCH(RECAPITULATIF!N$4,HISTORY!$R$58:$R$67,0),1)</f>
        <v>0</v>
      </c>
      <c r="O24" s="919">
        <f>INDEX(HISTORY!$O$58:$R$67,MATCH(RECAPITULATIF!O$4,HISTORY!$R$58:$R$67,0),1)</f>
        <v>0</v>
      </c>
      <c r="P24" s="919">
        <f>INDEX(HISTORY!$O$58:$R$67,MATCH(RECAPITULATIF!P$4,HISTORY!$R$58:$R$67,0),1)</f>
        <v>0</v>
      </c>
      <c r="Q24" s="853" t="e">
        <f>N24-#REF!</f>
        <v>#REF!</v>
      </c>
      <c r="R24" s="853">
        <f t="shared" si="10"/>
        <v>0</v>
      </c>
      <c r="S24" s="853">
        <f t="shared" si="11"/>
        <v>0</v>
      </c>
      <c r="T24" s="886">
        <v>0</v>
      </c>
      <c r="U24" s="281">
        <v>4</v>
      </c>
    </row>
    <row r="25" spans="1:21" ht="20.100000000000001" customHeight="1">
      <c r="A25" s="907" t="b">
        <v>0</v>
      </c>
      <c r="B25" s="907">
        <f>HISTORY!C69</f>
        <v>0</v>
      </c>
      <c r="C25" s="840">
        <f>HISTORY!P71</f>
        <v>0</v>
      </c>
      <c r="D25" s="840">
        <f>HISTORY!P75</f>
        <v>0</v>
      </c>
      <c r="E25" s="874"/>
      <c r="F25" s="878">
        <f t="shared" si="9"/>
        <v>0</v>
      </c>
      <c r="G25" s="901">
        <f>INDEX(HISTORY!$O$71:$R$80,MATCH(RECAPITULATIF!G$4,HISTORY!$R$71:$R$80,0),1)</f>
        <v>0</v>
      </c>
      <c r="H25" s="901">
        <f>INDEX(HISTORY!$O$71:$R$80,MATCH(RECAPITULATIF!H$4,HISTORY!$R$71:$R$80,0),1)</f>
        <v>0</v>
      </c>
      <c r="I25" s="901">
        <f>INDEX(HISTORY!$O$71:$R$80,MATCH(RECAPITULATIF!I$4,HISTORY!$R$71:$R$80,0),1)</f>
        <v>0</v>
      </c>
      <c r="J25" s="901">
        <f>INDEX(HISTORY!$O$71:$R$80,MATCH(RECAPITULATIF!J$4,HISTORY!$R$71:$R$80,0),1)</f>
        <v>0</v>
      </c>
      <c r="K25" s="901">
        <f>INDEX(HISTORY!$O$71:$R$80,MATCH(RECAPITULATIF!K$4,HISTORY!$R$71:$R$80,0),1)</f>
        <v>0</v>
      </c>
      <c r="L25" s="901">
        <f>INDEX(HISTORY!$O$71:$R$80,MATCH(RECAPITULATIF!L$4,HISTORY!$R$71:$R$80,0),1)</f>
        <v>0</v>
      </c>
      <c r="M25" s="926">
        <f>INDEX(HISTORY!$O$71:$R$80,MATCH(RECAPITULATIF!M$4,HISTORY!$R$71:$R$80,0),1)</f>
        <v>0</v>
      </c>
      <c r="N25" s="926">
        <f>INDEX(HISTORY!$O$71:$R$80,MATCH(RECAPITULATIF!N$4,HISTORY!$R$71:$R$80,0),1)</f>
        <v>0</v>
      </c>
      <c r="O25" s="919">
        <f>INDEX(HISTORY!$O$71:$R$80,MATCH(RECAPITULATIF!O$4,HISTORY!$R$71:$R$80,0),1)</f>
        <v>0</v>
      </c>
      <c r="P25" s="919">
        <f>INDEX(HISTORY!$O$71:$R$80,MATCH(RECAPITULATIF!P$4,HISTORY!$R$71:$R$80,0),1)</f>
        <v>0</v>
      </c>
      <c r="Q25" s="853" t="e">
        <f>N25-#REF!</f>
        <v>#REF!</v>
      </c>
      <c r="R25" s="853">
        <f t="shared" si="10"/>
        <v>0</v>
      </c>
      <c r="S25" s="853">
        <f t="shared" si="11"/>
        <v>0</v>
      </c>
      <c r="T25" s="886">
        <v>0</v>
      </c>
      <c r="U25" s="281">
        <v>5</v>
      </c>
    </row>
    <row r="26" spans="1:21" ht="20.100000000000001" customHeight="1" thickBot="1">
      <c r="A26" s="907" t="b">
        <v>0</v>
      </c>
      <c r="B26" s="879">
        <f>HISTORY!C82</f>
        <v>0</v>
      </c>
      <c r="C26" s="893">
        <f>HISTORY!P84</f>
        <v>0</v>
      </c>
      <c r="D26" s="893">
        <f>HISTORY!P88</f>
        <v>0</v>
      </c>
      <c r="E26" s="869"/>
      <c r="F26" s="878">
        <f t="shared" si="9"/>
        <v>0</v>
      </c>
      <c r="G26" s="901">
        <f>INDEX(HISTORY!$O$84:$R$93,MATCH(RECAPITULATIF!G$4,HISTORY!$R$84:$R$93,0),1)</f>
        <v>0</v>
      </c>
      <c r="H26" s="901">
        <f>INDEX(HISTORY!$O$84:$R$93,MATCH(RECAPITULATIF!H$4,HISTORY!$R$84:$R$93,0),1)</f>
        <v>0</v>
      </c>
      <c r="I26" s="901">
        <f>INDEX(HISTORY!$O$84:$R$93,MATCH(RECAPITULATIF!I$4,HISTORY!$R$84:$R$93,0),1)</f>
        <v>0</v>
      </c>
      <c r="J26" s="901">
        <f>INDEX(HISTORY!$O$84:$R$93,MATCH(RECAPITULATIF!J$4,HISTORY!$R$84:$R$93,0),1)</f>
        <v>0</v>
      </c>
      <c r="K26" s="901">
        <f>INDEX(HISTORY!$O$84:$R$93,MATCH(RECAPITULATIF!K$4,HISTORY!$R$84:$R$93,0),1)</f>
        <v>0</v>
      </c>
      <c r="L26" s="901">
        <f>INDEX(HISTORY!$O$84:$R$93,MATCH(RECAPITULATIF!L$4,HISTORY!$R$84:$R$93,0),1)</f>
        <v>0</v>
      </c>
      <c r="M26" s="926">
        <f>INDEX(HISTORY!$O$84:$R$93,MATCH(RECAPITULATIF!M$4,HISTORY!$R$84:$R$93,0),1)</f>
        <v>0</v>
      </c>
      <c r="N26" s="926">
        <f>INDEX(HISTORY!$O$84:$R$93,MATCH(RECAPITULATIF!N$4,HISTORY!$R$84:$R$93,0),1)</f>
        <v>0</v>
      </c>
      <c r="O26" s="919">
        <f>INDEX(HISTORY!$O$84:$R$93,MATCH(RECAPITULATIF!O$4,HISTORY!$R$84:$R$93,0),1)</f>
        <v>0</v>
      </c>
      <c r="P26" s="919">
        <f>INDEX(HISTORY!$O$84:$R$93,MATCH(RECAPITULATIF!P$4,HISTORY!$R$84:$R$93,0),1)</f>
        <v>0</v>
      </c>
      <c r="Q26" s="853" t="e">
        <f>N26-#REF!</f>
        <v>#REF!</v>
      </c>
      <c r="R26" s="853">
        <f t="shared" si="10"/>
        <v>0</v>
      </c>
      <c r="S26" s="853">
        <f t="shared" si="11"/>
        <v>0</v>
      </c>
      <c r="T26" s="886">
        <v>0</v>
      </c>
      <c r="U26" s="281">
        <v>6</v>
      </c>
    </row>
    <row r="27" spans="1:21" ht="20.100000000000001" customHeight="1">
      <c r="A27" s="907" t="b">
        <v>0</v>
      </c>
      <c r="B27" s="890">
        <f>HISTORY!C96</f>
        <v>0</v>
      </c>
      <c r="C27" s="876">
        <f>HISTORY!P98</f>
        <v>0</v>
      </c>
      <c r="D27" s="876">
        <f>HISTORY!P102</f>
        <v>0</v>
      </c>
      <c r="E27" s="875"/>
      <c r="F27" s="878">
        <f t="shared" si="9"/>
        <v>0</v>
      </c>
      <c r="G27" s="901">
        <f>INDEX(HISTORY!$O$98:$R$107,MATCH(RECAPITULATIF!G$4,HISTORY!$R$98:$R$107,0),1)</f>
        <v>0</v>
      </c>
      <c r="H27" s="901">
        <f>INDEX(HISTORY!$O$98:$R$107,MATCH(RECAPITULATIF!H$4,HISTORY!$R$98:$R$107,0),1)</f>
        <v>0</v>
      </c>
      <c r="I27" s="901">
        <f>INDEX(HISTORY!$O$98:$R$107,MATCH(RECAPITULATIF!I$4,HISTORY!$R$98:$R$107,0),1)</f>
        <v>0</v>
      </c>
      <c r="J27" s="901">
        <f>INDEX(HISTORY!$O$98:$R$107,MATCH(RECAPITULATIF!J$4,HISTORY!$R$98:$R$107,0),1)</f>
        <v>0</v>
      </c>
      <c r="K27" s="901">
        <f>INDEX(HISTORY!$O$98:$R$107,MATCH(RECAPITULATIF!K$4,HISTORY!$R$98:$R$107,0),1)</f>
        <v>0</v>
      </c>
      <c r="L27" s="901">
        <f>INDEX(HISTORY!$O$98:$R$107,MATCH(RECAPITULATIF!L$4,HISTORY!$R$98:$R$107,0),1)</f>
        <v>0</v>
      </c>
      <c r="M27" s="926">
        <f>INDEX(HISTORY!$O$98:$R$107,MATCH(RECAPITULATIF!M$4,HISTORY!$R$98:$R$107,0),1)</f>
        <v>0</v>
      </c>
      <c r="N27" s="926">
        <f>INDEX(HISTORY!$O$98:$R$107,MATCH(RECAPITULATIF!N$4,HISTORY!$R$98:$R$107,0),1)</f>
        <v>0</v>
      </c>
      <c r="O27" s="919">
        <f>INDEX(HISTORY!$O$98:$R$107,MATCH(RECAPITULATIF!O$4,HISTORY!$R$98:$R$107,0),1)</f>
        <v>0</v>
      </c>
      <c r="P27" s="919">
        <f>INDEX(HISTORY!$O$98:$R$107,MATCH(RECAPITULATIF!P$4,HISTORY!$R$98:$R$107,0),1)</f>
        <v>0</v>
      </c>
      <c r="Q27" s="853" t="e">
        <f>N27-#REF!</f>
        <v>#REF!</v>
      </c>
      <c r="R27" s="853">
        <f t="shared" si="10"/>
        <v>0</v>
      </c>
      <c r="S27" s="853">
        <f t="shared" si="11"/>
        <v>0</v>
      </c>
      <c r="T27" s="886">
        <v>0</v>
      </c>
      <c r="U27" s="281">
        <v>7</v>
      </c>
    </row>
    <row r="28" spans="1:21" ht="20.100000000000001" customHeight="1">
      <c r="A28" s="907" t="b">
        <v>0</v>
      </c>
      <c r="B28" s="907">
        <f>HISTORY!C109</f>
        <v>0</v>
      </c>
      <c r="C28" s="840">
        <f>HISTORY!P111</f>
        <v>0</v>
      </c>
      <c r="D28" s="840">
        <f>HISTORY!P115</f>
        <v>0</v>
      </c>
      <c r="E28" s="874"/>
      <c r="F28" s="878">
        <f t="shared" si="9"/>
        <v>0</v>
      </c>
      <c r="G28" s="901">
        <f>INDEX(HISTORY!$O$111:$R$120,MATCH(RECAPITULATIF!G$4,HISTORY!$R$111:$R$120,0),1)</f>
        <v>0</v>
      </c>
      <c r="H28" s="901">
        <f>INDEX(HISTORY!$O$111:$R$120,MATCH(RECAPITULATIF!H$4,HISTORY!$R$111:$R$120,0),1)</f>
        <v>0</v>
      </c>
      <c r="I28" s="901">
        <f>INDEX(HISTORY!$O$111:$R$120,MATCH(RECAPITULATIF!I$4,HISTORY!$R$111:$R$120,0),1)</f>
        <v>0</v>
      </c>
      <c r="J28" s="901">
        <f>INDEX(HISTORY!$O$111:$R$120,MATCH(RECAPITULATIF!J$4,HISTORY!$R$111:$R$120,0),1)</f>
        <v>0</v>
      </c>
      <c r="K28" s="901">
        <f>INDEX(HISTORY!$O$111:$R$120,MATCH(RECAPITULATIF!K$4,HISTORY!$R$111:$R$120,0),1)</f>
        <v>0</v>
      </c>
      <c r="L28" s="901">
        <f>INDEX(HISTORY!$O$111:$R$120,MATCH(RECAPITULATIF!L$4,HISTORY!$R$111:$R$120,0),1)</f>
        <v>0</v>
      </c>
      <c r="M28" s="926">
        <f>INDEX(HISTORY!$O$111:$R$120,MATCH(RECAPITULATIF!M$4,HISTORY!$R$111:$R$120,0),1)</f>
        <v>0</v>
      </c>
      <c r="N28" s="926">
        <f>INDEX(HISTORY!$O$111:$R$120,MATCH(RECAPITULATIF!N$4,HISTORY!$R$111:$R$120,0),1)</f>
        <v>0</v>
      </c>
      <c r="O28" s="919">
        <f>INDEX(HISTORY!$O$111:$R$120,MATCH(RECAPITULATIF!O$4,HISTORY!$R$111:$R$120,0),1)</f>
        <v>0</v>
      </c>
      <c r="P28" s="919">
        <f>INDEX(HISTORY!$O$111:$R$120,MATCH(RECAPITULATIF!P$4,HISTORY!$R$111:$R$120,0),1)</f>
        <v>0</v>
      </c>
      <c r="Q28" s="853" t="e">
        <f>N28-#REF!</f>
        <v>#REF!</v>
      </c>
      <c r="R28" s="853">
        <f t="shared" si="10"/>
        <v>0</v>
      </c>
      <c r="S28" s="853">
        <f t="shared" si="11"/>
        <v>0</v>
      </c>
      <c r="T28" s="886">
        <v>0</v>
      </c>
      <c r="U28" s="281">
        <v>8</v>
      </c>
    </row>
    <row r="29" spans="1:21" ht="20.100000000000001" customHeight="1" thickBot="1">
      <c r="A29" s="907" t="b">
        <v>0</v>
      </c>
      <c r="B29" s="834">
        <f>HISTORY!C122</f>
        <v>0</v>
      </c>
      <c r="C29" s="893">
        <f>HISTORY!P124</f>
        <v>0</v>
      </c>
      <c r="D29" s="893">
        <f>HISTORY!P128</f>
        <v>0</v>
      </c>
      <c r="E29" s="869"/>
      <c r="F29" s="878">
        <f t="shared" si="9"/>
        <v>0</v>
      </c>
      <c r="G29" s="901">
        <f>INDEX(HISTORY!$O$124:$R$133,MATCH(RECAPITULATIF!G$4,HISTORY!$R$124:$R$133,0),1)</f>
        <v>0</v>
      </c>
      <c r="H29" s="901">
        <f>INDEX(HISTORY!$O$124:$R$133,MATCH(RECAPITULATIF!H$4,HISTORY!$R$124:$R$133,0),1)</f>
        <v>0</v>
      </c>
      <c r="I29" s="901">
        <f>INDEX(HISTORY!$O$124:$R$133,MATCH(RECAPITULATIF!I$4,HISTORY!$R$124:$R$133,0),1)</f>
        <v>0</v>
      </c>
      <c r="J29" s="901">
        <f>INDEX(HISTORY!$O$124:$R$133,MATCH(RECAPITULATIF!J$4,HISTORY!$R$124:$R$133,0),1)</f>
        <v>0</v>
      </c>
      <c r="K29" s="901">
        <f>INDEX(HISTORY!$O$124:$R$133,MATCH(RECAPITULATIF!K$4,HISTORY!$R$124:$R$133,0),1)</f>
        <v>0</v>
      </c>
      <c r="L29" s="901">
        <f>INDEX(HISTORY!$O$124:$R$133,MATCH(RECAPITULATIF!L$4,HISTORY!$R$124:$R$133,0),1)</f>
        <v>0</v>
      </c>
      <c r="M29" s="926">
        <f>INDEX(HISTORY!$O$124:$R$133,MATCH(RECAPITULATIF!M$4,HISTORY!$R$124:$R$133,0),1)</f>
        <v>0</v>
      </c>
      <c r="N29" s="926">
        <f>INDEX(HISTORY!$O$124:$R$133,MATCH(RECAPITULATIF!N$4,HISTORY!$R$124:$R$133,0),1)</f>
        <v>0</v>
      </c>
      <c r="O29" s="919">
        <f>INDEX(HISTORY!$O$124:$R$133,MATCH(RECAPITULATIF!O$4,HISTORY!$R$124:$R$133,0),1)</f>
        <v>0</v>
      </c>
      <c r="P29" s="919">
        <f>INDEX(HISTORY!$O$124:$R$133,MATCH(RECAPITULATIF!P$4,HISTORY!$R$124:$R$133,0),1)</f>
        <v>0</v>
      </c>
      <c r="Q29" s="853" t="e">
        <f>N29-#REF!</f>
        <v>#REF!</v>
      </c>
      <c r="R29" s="853">
        <f t="shared" si="10"/>
        <v>0</v>
      </c>
      <c r="S29" s="853">
        <f t="shared" si="11"/>
        <v>0</v>
      </c>
      <c r="T29" s="846">
        <v>0</v>
      </c>
      <c r="U29" s="281">
        <v>9</v>
      </c>
    </row>
    <row r="30" spans="1:21" ht="20.100000000000001" customHeight="1">
      <c r="A30" s="907" t="b">
        <v>0</v>
      </c>
      <c r="B30" s="907">
        <f>HISTORY!C136</f>
        <v>0</v>
      </c>
      <c r="C30" s="884">
        <f>HISTORY!P138</f>
        <v>0</v>
      </c>
      <c r="D30" s="884">
        <f>HISTORY!P142</f>
        <v>0</v>
      </c>
      <c r="E30" s="875"/>
      <c r="F30" s="878">
        <f t="shared" si="9"/>
        <v>0</v>
      </c>
      <c r="G30" s="901">
        <f>INDEX(HISTORY!$O$138:$R$147,MATCH(RECAPITULATIF!G$4,HISTORY!$R$138:$R$147,0),1)</f>
        <v>0</v>
      </c>
      <c r="H30" s="901">
        <f>INDEX(HISTORY!$O$138:$R$147,MATCH(RECAPITULATIF!H$4,HISTORY!$R$138:$R$147,0),1)</f>
        <v>0</v>
      </c>
      <c r="I30" s="901">
        <f>INDEX(HISTORY!$O$138:$R$147,MATCH(RECAPITULATIF!I$4,HISTORY!$R$138:$R$147,0),1)</f>
        <v>0</v>
      </c>
      <c r="J30" s="901">
        <f>INDEX(HISTORY!$O$138:$R$147,MATCH(RECAPITULATIF!J$4,HISTORY!$R$138:$R$147,0),1)</f>
        <v>0</v>
      </c>
      <c r="K30" s="901">
        <f>INDEX(HISTORY!$O$138:$R$147,MATCH(RECAPITULATIF!K$4,HISTORY!$R$138:$R$147,0),1)</f>
        <v>0</v>
      </c>
      <c r="L30" s="901">
        <f>INDEX(HISTORY!$O$138:$R$147,MATCH(RECAPITULATIF!L$4,HISTORY!$R$138:$R$147,0),1)</f>
        <v>0</v>
      </c>
      <c r="M30" s="926">
        <f>INDEX(HISTORY!$O$138:$R$147,MATCH(RECAPITULATIF!M$4,HISTORY!$R$138:$R$147,0),1)</f>
        <v>0</v>
      </c>
      <c r="N30" s="926">
        <f>INDEX(HISTORY!$O$138:$R$147,MATCH(RECAPITULATIF!N$4,HISTORY!$R$138:$R$147,0),1)</f>
        <v>0</v>
      </c>
      <c r="O30" s="919">
        <f>INDEX(HISTORY!$O$138:$R$147,MATCH(RECAPITULATIF!O$4,HISTORY!$R$138:$R$147,0),1)</f>
        <v>0</v>
      </c>
      <c r="P30" s="919">
        <f>INDEX(HISTORY!$O$138:$R$147,MATCH(RECAPITULATIF!P$4,HISTORY!$R$138:$R$147,0),1)</f>
        <v>0</v>
      </c>
      <c r="Q30" s="853" t="e">
        <f>N30-#REF!</f>
        <v>#REF!</v>
      </c>
      <c r="R30" s="853">
        <f t="shared" si="10"/>
        <v>0</v>
      </c>
      <c r="S30" s="853">
        <f t="shared" si="11"/>
        <v>0</v>
      </c>
      <c r="T30" s="846">
        <v>0</v>
      </c>
      <c r="U30" s="281">
        <v>10</v>
      </c>
    </row>
    <row r="31" spans="1:21" ht="20.100000000000001" customHeight="1">
      <c r="A31" s="907" t="b">
        <v>0</v>
      </c>
      <c r="B31" s="907">
        <f>HISTORY!C149</f>
        <v>0</v>
      </c>
      <c r="C31" s="884">
        <f>HISTORY!P151</f>
        <v>0</v>
      </c>
      <c r="D31" s="884">
        <f>HISTORY!P155</f>
        <v>0</v>
      </c>
      <c r="E31" s="874"/>
      <c r="F31" s="878">
        <f t="shared" si="9"/>
        <v>0</v>
      </c>
      <c r="G31" s="901">
        <f>INDEX(HISTORY!$O$151:$R$160,MATCH(RECAPITULATIF!G$4,HISTORY!$R$151:$R$160,0),1)</f>
        <v>0</v>
      </c>
      <c r="H31" s="901">
        <f>INDEX(HISTORY!$O$151:$R$160,MATCH(RECAPITULATIF!H$4,HISTORY!$R$151:$R$160,0),1)</f>
        <v>0</v>
      </c>
      <c r="I31" s="901">
        <f>INDEX(HISTORY!$O$151:$R$160,MATCH(RECAPITULATIF!I$4,HISTORY!$R$151:$R$160,0),1)</f>
        <v>0</v>
      </c>
      <c r="J31" s="901">
        <f>INDEX(HISTORY!$O$151:$R$160,MATCH(RECAPITULATIF!J$4,HISTORY!$R$151:$R$160,0),1)</f>
        <v>0</v>
      </c>
      <c r="K31" s="901">
        <f>INDEX(HISTORY!$O$151:$R$160,MATCH(RECAPITULATIF!K$4,HISTORY!$R$151:$R$160,0),1)</f>
        <v>0</v>
      </c>
      <c r="L31" s="901">
        <f>INDEX(HISTORY!$O$151:$R$160,MATCH(RECAPITULATIF!L$4,HISTORY!$R$151:$R$160,0),1)</f>
        <v>0</v>
      </c>
      <c r="M31" s="926">
        <f>INDEX(HISTORY!$O$151:$R$160,MATCH(RECAPITULATIF!M$4,HISTORY!$R$151:$R$160,0),1)</f>
        <v>0</v>
      </c>
      <c r="N31" s="926">
        <f>INDEX(HISTORY!$O$151:$R$160,MATCH(RECAPITULATIF!N$4,HISTORY!$R$151:$R$160,0),1)</f>
        <v>0</v>
      </c>
      <c r="O31" s="919">
        <f>INDEX(HISTORY!$O$151:$R$160,MATCH(RECAPITULATIF!O$4,HISTORY!$R$151:$R$160,0),1)</f>
        <v>0</v>
      </c>
      <c r="P31" s="919">
        <f>INDEX(HISTORY!$O$151:$R$160,MATCH(RECAPITULATIF!P$4,HISTORY!$R$151:$R$160,0),1)</f>
        <v>0</v>
      </c>
      <c r="Q31" s="853" t="e">
        <f>N31-#REF!</f>
        <v>#REF!</v>
      </c>
      <c r="R31" s="853">
        <f t="shared" si="10"/>
        <v>0</v>
      </c>
      <c r="S31" s="853">
        <f t="shared" si="11"/>
        <v>0</v>
      </c>
      <c r="T31" s="846">
        <v>0</v>
      </c>
      <c r="U31" s="281">
        <v>11</v>
      </c>
    </row>
    <row r="32" spans="1:21" ht="20.100000000000001" customHeight="1" thickBot="1">
      <c r="A32" s="907" t="b">
        <v>0</v>
      </c>
      <c r="B32" s="834">
        <f>HISTORY!C162</f>
        <v>0</v>
      </c>
      <c r="C32" s="880">
        <f>HISTORY!P164</f>
        <v>0</v>
      </c>
      <c r="D32" s="880">
        <f>HISTORY!P168</f>
        <v>0</v>
      </c>
      <c r="E32" s="869"/>
      <c r="F32" s="878">
        <f t="shared" si="9"/>
        <v>0</v>
      </c>
      <c r="G32" s="901">
        <f>INDEX(HISTORY!$O$164:$R$173,MATCH(RECAPITULATIF!G$4,HISTORY!$R$164:$R$173,0),1)</f>
        <v>0</v>
      </c>
      <c r="H32" s="901">
        <f>INDEX(HISTORY!$O$164:$R$173,MATCH(RECAPITULATIF!H$4,HISTORY!$R$164:$R$173,0),1)</f>
        <v>0</v>
      </c>
      <c r="I32" s="901">
        <f>INDEX(HISTORY!$O$164:$R$173,MATCH(RECAPITULATIF!I$4,HISTORY!$R$164:$R$173,0),1)</f>
        <v>0</v>
      </c>
      <c r="J32" s="901">
        <f>INDEX(HISTORY!$O$164:$R$173,MATCH(RECAPITULATIF!J$4,HISTORY!$R$164:$R$173,0),1)</f>
        <v>0</v>
      </c>
      <c r="K32" s="901">
        <f>INDEX(HISTORY!$O$164:$R$173,MATCH(RECAPITULATIF!K$4,HISTORY!$R$164:$R$173,0),1)</f>
        <v>0</v>
      </c>
      <c r="L32" s="901">
        <f>INDEX(HISTORY!$O$164:$R$173,MATCH(RECAPITULATIF!L$4,HISTORY!$R$164:$R$173,0),1)</f>
        <v>0</v>
      </c>
      <c r="M32" s="926">
        <f>INDEX(HISTORY!$O$164:$R$173,MATCH(RECAPITULATIF!M$4,HISTORY!$R$164:$R$173,0),1)</f>
        <v>0</v>
      </c>
      <c r="N32" s="926">
        <f>INDEX(HISTORY!$O$164:$R$173,MATCH(RECAPITULATIF!N$4,HISTORY!$R$164:$R$173,0),1)</f>
        <v>0</v>
      </c>
      <c r="O32" s="919">
        <f>INDEX(HISTORY!$O$164:$R$173,MATCH(RECAPITULATIF!O$4,HISTORY!$R$164:$R$173,0),1)</f>
        <v>0</v>
      </c>
      <c r="P32" s="919">
        <f>INDEX(HISTORY!$O$164:$R$173,MATCH(RECAPITULATIF!P$4,HISTORY!$R$164:$R$173,0),1)</f>
        <v>0</v>
      </c>
      <c r="Q32" s="853" t="e">
        <f>N32-#REF!</f>
        <v>#REF!</v>
      </c>
      <c r="R32" s="853">
        <f t="shared" si="10"/>
        <v>0</v>
      </c>
      <c r="S32" s="853">
        <f t="shared" si="11"/>
        <v>0</v>
      </c>
      <c r="T32" s="846">
        <v>0</v>
      </c>
      <c r="U32" s="281">
        <v>12</v>
      </c>
    </row>
    <row r="33" spans="1:21" s="908" customFormat="1" ht="20.100000000000001" customHeight="1">
      <c r="A33" s="907" t="b">
        <v>0</v>
      </c>
      <c r="B33" s="907">
        <f>HISTORY!C139</f>
        <v>0</v>
      </c>
      <c r="C33" s="884">
        <f>HISTORY!P141</f>
        <v>0</v>
      </c>
      <c r="D33" s="884">
        <f>HISTORY!P145</f>
        <v>0</v>
      </c>
      <c r="E33" s="875"/>
      <c r="F33" s="878">
        <f t="shared" ref="F33:F35" si="12">SUM(G33:L33)</f>
        <v>0</v>
      </c>
      <c r="G33" s="901">
        <f>INDEX(HISTORY!$O$178:$R$187,MATCH(RECAPITULATIF!G$4,HISTORY!$R$178:$R$187,0),1)</f>
        <v>0</v>
      </c>
      <c r="H33" s="901">
        <f>INDEX(HISTORY!$O$178:$R$187,MATCH(RECAPITULATIF!H$4,HISTORY!$R$178:$R$187,0),1)</f>
        <v>0</v>
      </c>
      <c r="I33" s="901">
        <f>INDEX(HISTORY!$O$178:$R$187,MATCH(RECAPITULATIF!I$4,HISTORY!$R$178:$R$187,0),1)</f>
        <v>0</v>
      </c>
      <c r="J33" s="901">
        <f>INDEX(HISTORY!$O$178:$R$187,MATCH(RECAPITULATIF!J$4,HISTORY!$R$178:$R$187,0),1)</f>
        <v>0</v>
      </c>
      <c r="K33" s="901">
        <f>INDEX(HISTORY!$O$178:$R$187,MATCH(RECAPITULATIF!K$4,HISTORY!$R$178:$R$187,0),1)</f>
        <v>0</v>
      </c>
      <c r="L33" s="901">
        <f>INDEX(HISTORY!$O$178:$R$187,MATCH(RECAPITULATIF!L$4,HISTORY!$R$178:$R$187,0),1)</f>
        <v>0</v>
      </c>
      <c r="M33" s="926">
        <f>INDEX(HISTORY!$O$178:$R$187,MATCH(RECAPITULATIF!M$4,HISTORY!$R$178:$R$187,0),1)</f>
        <v>0</v>
      </c>
      <c r="N33" s="926">
        <f>INDEX(HISTORY!$O$178:$R$187,MATCH(RECAPITULATIF!N$4,HISTORY!$R$178:$R$187,0),1)</f>
        <v>0</v>
      </c>
      <c r="O33" s="919">
        <f>INDEX(HISTORY!$O$178:$R$187,MATCH(RECAPITULATIF!O$4,HISTORY!$R$178:$R$187,0),1)</f>
        <v>0</v>
      </c>
      <c r="P33" s="919">
        <f>INDEX(HISTORY!$O$178:$R$187,MATCH(RECAPITULATIF!P$4,HISTORY!$R$178:$R$187,0),1)</f>
        <v>0</v>
      </c>
      <c r="Q33" s="853" t="e">
        <f>N33-#REF!</f>
        <v>#REF!</v>
      </c>
      <c r="R33" s="853">
        <f t="shared" ref="R33:R35" si="13">F33*0.04</f>
        <v>0</v>
      </c>
      <c r="S33" s="853">
        <f t="shared" si="11"/>
        <v>0</v>
      </c>
      <c r="T33" s="846">
        <v>0</v>
      </c>
      <c r="U33" s="914">
        <v>13</v>
      </c>
    </row>
    <row r="34" spans="1:21" s="908" customFormat="1" ht="20.100000000000001" customHeight="1">
      <c r="A34" s="907" t="b">
        <v>0</v>
      </c>
      <c r="B34" s="907">
        <f>HISTORY!C152</f>
        <v>0</v>
      </c>
      <c r="C34" s="884">
        <f>HISTORY!P154</f>
        <v>0</v>
      </c>
      <c r="D34" s="884">
        <f>HISTORY!P158</f>
        <v>0</v>
      </c>
      <c r="E34" s="874"/>
      <c r="F34" s="878">
        <f t="shared" si="12"/>
        <v>0</v>
      </c>
      <c r="G34" s="901">
        <f>INDEX(HISTORY!$O$191:$R$200,MATCH(RECAPITULATIF!G$4,HISTORY!$R$191:$R$200,0),1)</f>
        <v>0</v>
      </c>
      <c r="H34" s="901">
        <f>INDEX(HISTORY!$O$191:$R$200,MATCH(RECAPITULATIF!H$4,HISTORY!$R$191:$R$200,0),1)</f>
        <v>0</v>
      </c>
      <c r="I34" s="901">
        <f>INDEX(HISTORY!$O$191:$R$200,MATCH(RECAPITULATIF!I$4,HISTORY!$R$191:$R$200,0),1)</f>
        <v>0</v>
      </c>
      <c r="J34" s="901">
        <f>INDEX(HISTORY!$O$191:$R$200,MATCH(RECAPITULATIF!J$4,HISTORY!$R$191:$R$200,0),1)</f>
        <v>0</v>
      </c>
      <c r="K34" s="901">
        <f>INDEX(HISTORY!$O$191:$R$200,MATCH(RECAPITULATIF!K$4,HISTORY!$R$191:$R$200,0),1)</f>
        <v>0</v>
      </c>
      <c r="L34" s="901">
        <f>INDEX(HISTORY!$O$191:$R$200,MATCH(RECAPITULATIF!L$4,HISTORY!$R$191:$R$200,0),1)</f>
        <v>0</v>
      </c>
      <c r="M34" s="926">
        <f>INDEX(HISTORY!$O$191:$R$200,MATCH(RECAPITULATIF!M$4,HISTORY!$R$191:$R$200,0),1)</f>
        <v>0</v>
      </c>
      <c r="N34" s="926">
        <f>INDEX(HISTORY!$O$191:$R$200,MATCH(RECAPITULATIF!N$4,HISTORY!$R$191:$R$200,0),1)</f>
        <v>0</v>
      </c>
      <c r="O34" s="919">
        <f>INDEX(HISTORY!$O$191:$R$200,MATCH(RECAPITULATIF!O$4,HISTORY!$R$191:$R$200,0),1)</f>
        <v>0</v>
      </c>
      <c r="P34" s="919">
        <f>INDEX(HISTORY!$O$191:$R$200,MATCH(RECAPITULATIF!P$4,HISTORY!$R$191:$R$200,0),1)</f>
        <v>0</v>
      </c>
      <c r="Q34" s="853" t="e">
        <f>N34-#REF!</f>
        <v>#REF!</v>
      </c>
      <c r="R34" s="853">
        <f t="shared" si="13"/>
        <v>0</v>
      </c>
      <c r="S34" s="853">
        <f t="shared" si="11"/>
        <v>0</v>
      </c>
      <c r="T34" s="846">
        <v>0</v>
      </c>
      <c r="U34" s="914">
        <v>14</v>
      </c>
    </row>
    <row r="35" spans="1:21" s="908" customFormat="1" ht="20.100000000000001" customHeight="1" thickBot="1">
      <c r="A35" s="907" t="b">
        <v>0</v>
      </c>
      <c r="B35" s="834">
        <f>HISTORY!C165</f>
        <v>0</v>
      </c>
      <c r="C35" s="880">
        <f>HISTORY!P167</f>
        <v>0</v>
      </c>
      <c r="D35" s="880">
        <f>HISTORY!P171</f>
        <v>0</v>
      </c>
      <c r="E35" s="869"/>
      <c r="F35" s="878">
        <f t="shared" si="12"/>
        <v>0</v>
      </c>
      <c r="G35" s="901">
        <f>INDEX(HISTORY!$O$204:$R$213,MATCH(RECAPITULATIF!G$4,HISTORY!$R$204:$R$213,0),1)</f>
        <v>0</v>
      </c>
      <c r="H35" s="901">
        <f>INDEX(HISTORY!$O$204:$R$213,MATCH(RECAPITULATIF!H$4,HISTORY!$R$204:$R$213,0),1)</f>
        <v>0</v>
      </c>
      <c r="I35" s="901">
        <f>INDEX(HISTORY!$O$204:$R$213,MATCH(RECAPITULATIF!I$4,HISTORY!$R$204:$R$213,0),1)</f>
        <v>0</v>
      </c>
      <c r="J35" s="901">
        <f>INDEX(HISTORY!$O$204:$R$213,MATCH(RECAPITULATIF!J$4,HISTORY!$R$204:$R$213,0),1)</f>
        <v>0</v>
      </c>
      <c r="K35" s="901">
        <f>INDEX(HISTORY!$O$204:$R$213,MATCH(RECAPITULATIF!K$4,HISTORY!$R$204:$R$213,0),1)</f>
        <v>0</v>
      </c>
      <c r="L35" s="901">
        <f>INDEX(HISTORY!$O$204:$R$213,MATCH(RECAPITULATIF!L$4,HISTORY!$R$204:$R$213,0),1)</f>
        <v>0</v>
      </c>
      <c r="M35" s="926">
        <f>INDEX(HISTORY!$O$204:$R$213,MATCH(RECAPITULATIF!M$4,HISTORY!$R$204:$R$213,0),1)</f>
        <v>0</v>
      </c>
      <c r="N35" s="926">
        <f>INDEX(HISTORY!$O$204:$R$213,MATCH(RECAPITULATIF!N$4,HISTORY!$R$204:$R$213,0),1)</f>
        <v>0</v>
      </c>
      <c r="O35" s="919">
        <f>INDEX(HISTORY!$O$204:$R$213,MATCH(RECAPITULATIF!O$4,HISTORY!$R$204:$R$213,0),1)</f>
        <v>0</v>
      </c>
      <c r="P35" s="919">
        <f>INDEX(HISTORY!$O$204:$R$213,MATCH(RECAPITULATIF!P$4,HISTORY!$R$204:$R$213,0),1)</f>
        <v>0</v>
      </c>
      <c r="Q35" s="853" t="e">
        <f>N35-#REF!</f>
        <v>#REF!</v>
      </c>
      <c r="R35" s="853">
        <f t="shared" si="13"/>
        <v>0</v>
      </c>
      <c r="S35" s="853">
        <f t="shared" si="11"/>
        <v>0</v>
      </c>
      <c r="T35" s="846">
        <v>0</v>
      </c>
      <c r="U35" s="914">
        <v>15</v>
      </c>
    </row>
    <row r="36" spans="1:21">
      <c r="F36" s="924"/>
      <c r="M36" s="924"/>
      <c r="N36" s="924"/>
    </row>
    <row r="37" spans="1:21">
      <c r="F37" s="924"/>
      <c r="M37" s="924"/>
      <c r="N37" s="924"/>
    </row>
    <row r="38" spans="1:21">
      <c r="F38" s="924"/>
      <c r="M38" s="924"/>
      <c r="N38" s="924"/>
    </row>
    <row r="39" spans="1:21">
      <c r="F39" s="924"/>
    </row>
    <row r="40" spans="1:21">
      <c r="F40" s="924"/>
    </row>
    <row r="41" spans="1:21">
      <c r="F41" s="924"/>
    </row>
    <row r="42" spans="1:21">
      <c r="F42" s="924"/>
    </row>
    <row r="43" spans="1:21">
      <c r="F43" s="924"/>
    </row>
    <row r="44" spans="1:21">
      <c r="F44" s="924"/>
    </row>
    <row r="45" spans="1:21">
      <c r="F45" s="924"/>
    </row>
    <row r="46" spans="1:21">
      <c r="F46" s="924"/>
    </row>
    <row r="47" spans="1:21">
      <c r="F47" s="924"/>
    </row>
    <row r="48" spans="1:21">
      <c r="F48" s="924"/>
    </row>
    <row r="49" spans="6:6">
      <c r="F49" s="924"/>
    </row>
    <row r="50" spans="6:6">
      <c r="F50" s="924"/>
    </row>
    <row r="51" spans="6:6">
      <c r="F51" s="924"/>
    </row>
    <row r="52" spans="6:6">
      <c r="F52" s="924"/>
    </row>
    <row r="53" spans="6:6">
      <c r="F53" s="924"/>
    </row>
    <row r="54" spans="6:6">
      <c r="F54" s="924"/>
    </row>
    <row r="55" spans="6:6">
      <c r="F55" s="924"/>
    </row>
    <row r="56" spans="6:6">
      <c r="F56" s="924"/>
    </row>
    <row r="57" spans="6:6">
      <c r="F57" s="924"/>
    </row>
    <row r="58" spans="6:6">
      <c r="F58" s="924"/>
    </row>
    <row r="59" spans="6:6">
      <c r="F59" s="924"/>
    </row>
    <row r="60" spans="6:6">
      <c r="F60" s="924"/>
    </row>
    <row r="61" spans="6:6">
      <c r="F61" s="924"/>
    </row>
    <row r="62" spans="6:6">
      <c r="F62" s="924"/>
    </row>
    <row r="63" spans="6:6">
      <c r="F63" s="924"/>
    </row>
    <row r="64" spans="6:6">
      <c r="F64" s="924"/>
    </row>
    <row r="65" spans="6:6">
      <c r="F65" s="924"/>
    </row>
    <row r="66" spans="6:6">
      <c r="F66" s="924"/>
    </row>
    <row r="67" spans="6:6">
      <c r="F67" s="924"/>
    </row>
  </sheetData>
  <mergeCells count="20">
    <mergeCell ref="B15:B17"/>
    <mergeCell ref="B12:B13"/>
    <mergeCell ref="S4:S6"/>
    <mergeCell ref="C3:E3"/>
    <mergeCell ref="C9:D9"/>
    <mergeCell ref="C8:D8"/>
    <mergeCell ref="B8:B9"/>
    <mergeCell ref="C15:D15"/>
    <mergeCell ref="AG5:AH5"/>
    <mergeCell ref="AG6:AH6"/>
    <mergeCell ref="AG7:AH7"/>
    <mergeCell ref="C18:C20"/>
    <mergeCell ref="D18:D20"/>
    <mergeCell ref="T4:T6"/>
    <mergeCell ref="R4:R6"/>
    <mergeCell ref="C12:D13"/>
    <mergeCell ref="J5:L5"/>
    <mergeCell ref="G5:I5"/>
    <mergeCell ref="C16:D16"/>
    <mergeCell ref="C17:D17"/>
  </mergeCells>
  <pageMargins left="0.7" right="0.7" top="0.75" bottom="0.75" header="0.3" footer="0.3"/>
  <pageSetup paperSize="9" scale="5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autoFill="0" autoLine="0" autoPict="0">
                <anchor moveWithCells="1">
                  <from>
                    <xdr:col>1</xdr:col>
                    <xdr:colOff>38100</xdr:colOff>
                    <xdr:row>4</xdr:row>
                    <xdr:rowOff>152400</xdr:rowOff>
                  </from>
                  <to>
                    <xdr:col>1</xdr:col>
                    <xdr:colOff>1781175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B0F0"/>
  </sheetPr>
  <dimension ref="A1:FU39"/>
  <sheetViews>
    <sheetView workbookViewId="0">
      <selection activeCell="L21" sqref="L21"/>
    </sheetView>
  </sheetViews>
  <sheetFormatPr baseColWidth="10" defaultRowHeight="15"/>
  <cols>
    <col min="1" max="16384" width="11.42578125" style="1978"/>
  </cols>
  <sheetData>
    <row r="1" spans="1:20">
      <c r="A1" s="1978" t="s">
        <v>2910</v>
      </c>
      <c r="B1" s="1978" t="s">
        <v>2911</v>
      </c>
      <c r="C1" s="1978" t="s">
        <v>2912</v>
      </c>
      <c r="D1" s="1978" t="s">
        <v>2913</v>
      </c>
      <c r="E1" s="1978" t="s">
        <v>2914</v>
      </c>
      <c r="F1" s="1978" t="s">
        <v>14</v>
      </c>
      <c r="G1" s="1978" t="s">
        <v>2915</v>
      </c>
      <c r="H1" s="1978" t="s">
        <v>35</v>
      </c>
      <c r="I1" s="1978" t="s">
        <v>2916</v>
      </c>
      <c r="J1" s="1978" t="s">
        <v>2917</v>
      </c>
      <c r="K1" s="1978" t="s">
        <v>2918</v>
      </c>
      <c r="L1" s="1978" t="s">
        <v>2919</v>
      </c>
      <c r="M1" s="1978" t="s">
        <v>34</v>
      </c>
      <c r="O1" s="1978" t="s">
        <v>31</v>
      </c>
      <c r="P1" s="1978" t="s">
        <v>29</v>
      </c>
      <c r="Q1" s="1978" t="s">
        <v>32</v>
      </c>
    </row>
    <row r="2" spans="1:20">
      <c r="A2" s="1433">
        <v>42723.378287037034</v>
      </c>
      <c r="B2" s="1979">
        <v>42686</v>
      </c>
      <c r="C2" s="1979">
        <v>43050</v>
      </c>
      <c r="D2" s="1978">
        <v>480</v>
      </c>
      <c r="E2" s="1978">
        <v>12600</v>
      </c>
      <c r="F2" s="1978" t="s">
        <v>2920</v>
      </c>
      <c r="G2" s="1978" t="s">
        <v>30</v>
      </c>
      <c r="H2" s="1979">
        <v>41955</v>
      </c>
      <c r="I2" s="1979">
        <v>43050</v>
      </c>
      <c r="K2" s="1978" t="s">
        <v>2023</v>
      </c>
      <c r="L2" s="1978">
        <v>2016</v>
      </c>
      <c r="M2" s="1978" t="s">
        <v>33</v>
      </c>
      <c r="O2" s="1978">
        <v>1093</v>
      </c>
      <c r="P2" s="1978">
        <v>55</v>
      </c>
    </row>
    <row r="3" spans="1:20">
      <c r="O3" s="1978" t="s">
        <v>2920</v>
      </c>
      <c r="P3" s="1978" t="s">
        <v>2921</v>
      </c>
    </row>
    <row r="4" spans="1:20">
      <c r="O4" s="1978" t="s">
        <v>2922</v>
      </c>
      <c r="P4" s="1978" t="s">
        <v>2923</v>
      </c>
    </row>
    <row r="5" spans="1:20">
      <c r="O5" s="1978" t="s">
        <v>2924</v>
      </c>
      <c r="P5" s="1978">
        <v>1611</v>
      </c>
    </row>
    <row r="6" spans="1:20">
      <c r="O6" s="1978" t="s">
        <v>2925</v>
      </c>
      <c r="P6" s="1978" t="s">
        <v>191</v>
      </c>
    </row>
    <row r="7" spans="1:20">
      <c r="O7" s="1978" t="s">
        <v>54</v>
      </c>
      <c r="P7" s="1978" t="s">
        <v>191</v>
      </c>
    </row>
    <row r="8" spans="1:20">
      <c r="A8" s="1978" t="s">
        <v>2926</v>
      </c>
    </row>
    <row r="9" spans="1:20">
      <c r="A9" s="1978" t="s">
        <v>2927</v>
      </c>
      <c r="B9" s="1978" t="s">
        <v>2928</v>
      </c>
      <c r="C9" s="1978" t="s">
        <v>2929</v>
      </c>
      <c r="D9" s="1978" t="s">
        <v>2930</v>
      </c>
      <c r="E9" s="1978" t="s">
        <v>2931</v>
      </c>
      <c r="F9" s="1978" t="s">
        <v>2932</v>
      </c>
      <c r="G9" s="1978" t="s">
        <v>2919</v>
      </c>
      <c r="H9" s="1978" t="s">
        <v>2933</v>
      </c>
      <c r="I9" s="1978" t="s">
        <v>27</v>
      </c>
      <c r="J9" s="1978" t="s">
        <v>24</v>
      </c>
      <c r="K9" s="1978" t="s">
        <v>2371</v>
      </c>
      <c r="L9" s="1978" t="s">
        <v>1808</v>
      </c>
    </row>
    <row r="16" spans="1:20">
      <c r="A16" s="1978" t="s">
        <v>2934</v>
      </c>
      <c r="B16" s="1978" t="s">
        <v>2935</v>
      </c>
      <c r="C16" s="1978" t="s">
        <v>2936</v>
      </c>
      <c r="D16" s="1978" t="s">
        <v>20</v>
      </c>
      <c r="E16" s="1978" t="s">
        <v>21</v>
      </c>
      <c r="F16" s="1978" t="s">
        <v>83</v>
      </c>
      <c r="G16" s="1978" t="s">
        <v>2937</v>
      </c>
      <c r="H16" s="1978" t="s">
        <v>2371</v>
      </c>
      <c r="I16" s="1978" t="s">
        <v>27</v>
      </c>
      <c r="J16" s="1978" t="s">
        <v>58</v>
      </c>
      <c r="K16" s="1978" t="s">
        <v>2938</v>
      </c>
      <c r="L16" s="1978" t="s">
        <v>2939</v>
      </c>
      <c r="M16" s="1978" t="s">
        <v>2940</v>
      </c>
      <c r="O16" s="1978" t="s">
        <v>2941</v>
      </c>
      <c r="P16" s="1978" t="s">
        <v>2942</v>
      </c>
      <c r="R16" s="1978" t="s">
        <v>0</v>
      </c>
      <c r="S16" s="1978" t="s">
        <v>2943</v>
      </c>
      <c r="T16" s="1978" t="s">
        <v>2944</v>
      </c>
    </row>
    <row r="17" spans="1:20">
      <c r="A17" s="1978">
        <v>1000</v>
      </c>
      <c r="B17" s="1978" t="s">
        <v>4</v>
      </c>
      <c r="C17" s="1978">
        <v>45</v>
      </c>
      <c r="D17" s="1978" t="s">
        <v>2639</v>
      </c>
      <c r="E17" s="1978" t="s">
        <v>2909</v>
      </c>
      <c r="F17" s="1978">
        <v>0</v>
      </c>
      <c r="G17" s="1978">
        <v>25</v>
      </c>
      <c r="H17" s="1978">
        <v>64</v>
      </c>
      <c r="I17" s="1978">
        <v>2711.53856</v>
      </c>
      <c r="J17" s="1978">
        <v>2820.0001023999998</v>
      </c>
      <c r="K17" s="1978">
        <v>0</v>
      </c>
      <c r="L17" s="1978">
        <v>0</v>
      </c>
      <c r="M17" s="1978">
        <v>0</v>
      </c>
      <c r="R17" s="1978">
        <v>2711.53856</v>
      </c>
      <c r="S17" s="1978">
        <v>2820.0001023999998</v>
      </c>
      <c r="T17" s="1978">
        <v>2884.0001023999998</v>
      </c>
    </row>
    <row r="18" spans="1:20">
      <c r="A18" s="1978">
        <v>1003</v>
      </c>
      <c r="B18" s="1978" t="s">
        <v>2608</v>
      </c>
      <c r="C18" s="1978">
        <v>11</v>
      </c>
      <c r="D18" s="1978" t="s">
        <v>90</v>
      </c>
      <c r="E18" s="1978">
        <v>240322</v>
      </c>
      <c r="F18" s="1978">
        <v>0</v>
      </c>
      <c r="G18" s="1978">
        <v>27.5</v>
      </c>
      <c r="H18" s="1978">
        <v>0</v>
      </c>
      <c r="I18" s="1978">
        <v>4837.4068965516999</v>
      </c>
      <c r="J18" s="1978">
        <v>5030.9031724138003</v>
      </c>
      <c r="K18" s="1978">
        <v>0</v>
      </c>
      <c r="L18" s="1978">
        <v>0</v>
      </c>
      <c r="M18" s="1978">
        <v>0</v>
      </c>
      <c r="R18" s="1978">
        <v>4837.4068965516999</v>
      </c>
      <c r="S18" s="1978">
        <v>5030.9031724138003</v>
      </c>
      <c r="T18" s="1978">
        <v>5030.9031724138003</v>
      </c>
    </row>
    <row r="25" spans="1:20">
      <c r="A25" s="1978" t="s">
        <v>25</v>
      </c>
      <c r="B25" s="1978" t="s">
        <v>2945</v>
      </c>
      <c r="C25" s="1978" t="s">
        <v>2946</v>
      </c>
      <c r="E25" s="1978" t="s">
        <v>2947</v>
      </c>
      <c r="G25" s="1978" t="s">
        <v>2948</v>
      </c>
    </row>
    <row r="26" spans="1:20">
      <c r="A26" s="1978" t="s">
        <v>1</v>
      </c>
      <c r="B26" s="1978">
        <v>1</v>
      </c>
      <c r="C26" s="1978">
        <v>24</v>
      </c>
      <c r="G26" s="1978">
        <v>24</v>
      </c>
    </row>
    <row r="31" spans="1:20">
      <c r="A31" s="1978" t="s">
        <v>24</v>
      </c>
      <c r="B31" s="1978">
        <v>301.95781826207002</v>
      </c>
    </row>
    <row r="32" spans="1:20">
      <c r="A32" s="1978" t="s">
        <v>2371</v>
      </c>
      <c r="B32" s="1978">
        <v>64</v>
      </c>
    </row>
    <row r="33" spans="1:177">
      <c r="A33" s="1978" t="s">
        <v>0</v>
      </c>
      <c r="B33" s="1978">
        <v>7548.9454565516999</v>
      </c>
    </row>
    <row r="34" spans="1:177">
      <c r="A34" s="1978" t="s">
        <v>2943</v>
      </c>
      <c r="B34" s="1978">
        <v>7938.9032748137997</v>
      </c>
    </row>
    <row r="35" spans="1:177">
      <c r="A35" s="1978">
        <v>2</v>
      </c>
      <c r="E35" s="1978">
        <v>42.5</v>
      </c>
      <c r="F35" s="1978">
        <v>730</v>
      </c>
      <c r="G35" s="1978">
        <v>24</v>
      </c>
      <c r="I35" s="1978">
        <v>7938.9032748137997</v>
      </c>
    </row>
    <row r="36" spans="1:177">
      <c r="A36" s="1978" t="s">
        <v>2949</v>
      </c>
      <c r="J36" s="1978" t="s">
        <v>2777</v>
      </c>
      <c r="X36" s="1978" t="s">
        <v>13</v>
      </c>
      <c r="AE36" s="1978" t="s">
        <v>2777</v>
      </c>
      <c r="AS36" s="1978" t="s">
        <v>13</v>
      </c>
      <c r="AZ36" s="1978" t="s">
        <v>2777</v>
      </c>
      <c r="BN36" s="1978" t="s">
        <v>13</v>
      </c>
      <c r="BU36" s="1978" t="s">
        <v>2777</v>
      </c>
      <c r="CI36" s="1978" t="s">
        <v>13</v>
      </c>
      <c r="CP36" s="1978" t="s">
        <v>2777</v>
      </c>
      <c r="DD36" s="1978" t="s">
        <v>13</v>
      </c>
      <c r="DK36" s="1978" t="s">
        <v>2777</v>
      </c>
      <c r="DY36" s="1978" t="s">
        <v>13</v>
      </c>
      <c r="EF36" s="1978" t="s">
        <v>2777</v>
      </c>
      <c r="ET36" s="1978" t="s">
        <v>13</v>
      </c>
      <c r="FA36" s="1978" t="s">
        <v>2777</v>
      </c>
      <c r="FO36" s="1978" t="s">
        <v>13</v>
      </c>
    </row>
    <row r="37" spans="1:177">
      <c r="A37" s="1978" t="s">
        <v>2950</v>
      </c>
      <c r="B37" s="1978" t="s">
        <v>16</v>
      </c>
      <c r="C37" s="1978" t="s">
        <v>17</v>
      </c>
      <c r="D37" s="1978" t="s">
        <v>2951</v>
      </c>
      <c r="E37" s="1978" t="s">
        <v>19</v>
      </c>
      <c r="F37" s="1978" t="s">
        <v>2952</v>
      </c>
      <c r="G37" s="1978" t="s">
        <v>2953</v>
      </c>
      <c r="H37" s="1978" t="s">
        <v>2954</v>
      </c>
      <c r="I37" s="1978" t="s">
        <v>1808</v>
      </c>
      <c r="J37" s="1978" t="s">
        <v>2955</v>
      </c>
      <c r="K37" s="1978" t="s">
        <v>2935</v>
      </c>
      <c r="L37" s="1978" t="s">
        <v>20</v>
      </c>
      <c r="M37" s="1978" t="s">
        <v>21</v>
      </c>
      <c r="N37" s="1978" t="s">
        <v>34</v>
      </c>
      <c r="O37" s="1978" t="s">
        <v>2956</v>
      </c>
      <c r="P37" s="1978" t="s">
        <v>2957</v>
      </c>
      <c r="Q37" s="1978" t="s">
        <v>1808</v>
      </c>
      <c r="R37" s="1978" t="s">
        <v>2958</v>
      </c>
      <c r="S37" s="1978" t="s">
        <v>2959</v>
      </c>
      <c r="T37" s="1978" t="s">
        <v>2960</v>
      </c>
      <c r="U37" s="1978" t="s">
        <v>2961</v>
      </c>
      <c r="V37" s="1978" t="s">
        <v>2962</v>
      </c>
      <c r="W37" s="1978" t="s">
        <v>2963</v>
      </c>
      <c r="X37" s="1978" t="s">
        <v>2276</v>
      </c>
      <c r="Y37" s="1978" t="s">
        <v>2964</v>
      </c>
      <c r="Z37" s="1978" t="s">
        <v>2965</v>
      </c>
      <c r="AA37" s="1978" t="s">
        <v>2966</v>
      </c>
      <c r="AB37" s="1978" t="s">
        <v>2967</v>
      </c>
      <c r="AC37" s="1978" t="s">
        <v>25</v>
      </c>
      <c r="AD37" s="1978" t="s">
        <v>2968</v>
      </c>
      <c r="AE37" s="1978" t="s">
        <v>2955</v>
      </c>
      <c r="AF37" s="1978" t="s">
        <v>2935</v>
      </c>
      <c r="AG37" s="1978" t="s">
        <v>20</v>
      </c>
      <c r="AH37" s="1978" t="s">
        <v>21</v>
      </c>
      <c r="AI37" s="1978" t="s">
        <v>34</v>
      </c>
      <c r="AJ37" s="1978" t="s">
        <v>2956</v>
      </c>
      <c r="AK37" s="1978" t="s">
        <v>2957</v>
      </c>
      <c r="AL37" s="1978" t="s">
        <v>1808</v>
      </c>
      <c r="AM37" s="1978" t="s">
        <v>2958</v>
      </c>
      <c r="AN37" s="1978" t="s">
        <v>2959</v>
      </c>
      <c r="AO37" s="1978" t="s">
        <v>2960</v>
      </c>
      <c r="AP37" s="1978" t="s">
        <v>2961</v>
      </c>
      <c r="AQ37" s="1978" t="s">
        <v>2962</v>
      </c>
      <c r="AR37" s="1978" t="s">
        <v>2963</v>
      </c>
      <c r="AS37" s="1978" t="s">
        <v>2276</v>
      </c>
      <c r="AT37" s="1978" t="s">
        <v>2964</v>
      </c>
      <c r="AU37" s="1978" t="s">
        <v>2965</v>
      </c>
      <c r="AV37" s="1978" t="s">
        <v>2966</v>
      </c>
      <c r="AW37" s="1978" t="s">
        <v>2967</v>
      </c>
      <c r="AX37" s="1978" t="s">
        <v>25</v>
      </c>
      <c r="AY37" s="1978" t="s">
        <v>2968</v>
      </c>
      <c r="AZ37" s="1978" t="s">
        <v>2955</v>
      </c>
      <c r="BA37" s="1978" t="s">
        <v>2935</v>
      </c>
      <c r="BB37" s="1978" t="s">
        <v>20</v>
      </c>
      <c r="BC37" s="1978" t="s">
        <v>21</v>
      </c>
      <c r="BD37" s="1978" t="s">
        <v>34</v>
      </c>
      <c r="BE37" s="1978" t="s">
        <v>2956</v>
      </c>
      <c r="BF37" s="1978" t="s">
        <v>2957</v>
      </c>
      <c r="BG37" s="1978" t="s">
        <v>1808</v>
      </c>
      <c r="BH37" s="1978" t="s">
        <v>2958</v>
      </c>
      <c r="BI37" s="1978" t="s">
        <v>2959</v>
      </c>
      <c r="BJ37" s="1978" t="s">
        <v>2960</v>
      </c>
      <c r="BK37" s="1978" t="s">
        <v>2961</v>
      </c>
      <c r="BL37" s="1978" t="s">
        <v>2962</v>
      </c>
      <c r="BM37" s="1978" t="s">
        <v>2963</v>
      </c>
      <c r="BN37" s="1978" t="s">
        <v>2276</v>
      </c>
      <c r="BO37" s="1978" t="s">
        <v>2964</v>
      </c>
      <c r="BP37" s="1978" t="s">
        <v>2965</v>
      </c>
      <c r="BQ37" s="1978" t="s">
        <v>2966</v>
      </c>
      <c r="BR37" s="1978" t="s">
        <v>2967</v>
      </c>
      <c r="BS37" s="1978" t="s">
        <v>25</v>
      </c>
      <c r="BT37" s="1978" t="s">
        <v>2968</v>
      </c>
      <c r="BU37" s="1978" t="s">
        <v>2955</v>
      </c>
      <c r="BV37" s="1978" t="s">
        <v>2935</v>
      </c>
      <c r="BW37" s="1978" t="s">
        <v>20</v>
      </c>
      <c r="BX37" s="1978" t="s">
        <v>21</v>
      </c>
      <c r="BY37" s="1978" t="s">
        <v>34</v>
      </c>
      <c r="BZ37" s="1978" t="s">
        <v>2956</v>
      </c>
      <c r="CA37" s="1978" t="s">
        <v>2957</v>
      </c>
      <c r="CB37" s="1978" t="s">
        <v>1808</v>
      </c>
      <c r="CC37" s="1978" t="s">
        <v>2958</v>
      </c>
      <c r="CD37" s="1978" t="s">
        <v>2959</v>
      </c>
      <c r="CE37" s="1978" t="s">
        <v>2960</v>
      </c>
      <c r="CF37" s="1978" t="s">
        <v>2961</v>
      </c>
      <c r="CG37" s="1978" t="s">
        <v>2962</v>
      </c>
      <c r="CH37" s="1978" t="s">
        <v>2963</v>
      </c>
      <c r="CI37" s="1978" t="s">
        <v>2276</v>
      </c>
      <c r="CJ37" s="1978" t="s">
        <v>2964</v>
      </c>
      <c r="CK37" s="1978" t="s">
        <v>2965</v>
      </c>
      <c r="CL37" s="1978" t="s">
        <v>2966</v>
      </c>
      <c r="CM37" s="1978" t="s">
        <v>2967</v>
      </c>
      <c r="CN37" s="1978" t="s">
        <v>25</v>
      </c>
      <c r="CO37" s="1978" t="s">
        <v>2968</v>
      </c>
      <c r="CP37" s="1978" t="s">
        <v>2955</v>
      </c>
      <c r="CQ37" s="1978" t="s">
        <v>2935</v>
      </c>
      <c r="CR37" s="1978" t="s">
        <v>20</v>
      </c>
      <c r="CS37" s="1978" t="s">
        <v>21</v>
      </c>
      <c r="CT37" s="1978" t="s">
        <v>34</v>
      </c>
      <c r="CU37" s="1978" t="s">
        <v>2956</v>
      </c>
      <c r="CV37" s="1978" t="s">
        <v>2957</v>
      </c>
      <c r="CW37" s="1978" t="s">
        <v>1808</v>
      </c>
      <c r="CX37" s="1978" t="s">
        <v>2958</v>
      </c>
      <c r="CY37" s="1978" t="s">
        <v>2959</v>
      </c>
      <c r="CZ37" s="1978" t="s">
        <v>2960</v>
      </c>
      <c r="DA37" s="1978" t="s">
        <v>2961</v>
      </c>
      <c r="DB37" s="1978" t="s">
        <v>2962</v>
      </c>
      <c r="DC37" s="1978" t="s">
        <v>2963</v>
      </c>
      <c r="DD37" s="1978" t="s">
        <v>2276</v>
      </c>
      <c r="DE37" s="1978" t="s">
        <v>2964</v>
      </c>
      <c r="DF37" s="1978" t="s">
        <v>2965</v>
      </c>
      <c r="DG37" s="1978" t="s">
        <v>2966</v>
      </c>
      <c r="DH37" s="1978" t="s">
        <v>2967</v>
      </c>
      <c r="DI37" s="1978" t="s">
        <v>25</v>
      </c>
      <c r="DJ37" s="1978" t="s">
        <v>2968</v>
      </c>
      <c r="DK37" s="1978" t="s">
        <v>2955</v>
      </c>
      <c r="DL37" s="1978" t="s">
        <v>2935</v>
      </c>
      <c r="DM37" s="1978" t="s">
        <v>20</v>
      </c>
      <c r="DN37" s="1978" t="s">
        <v>21</v>
      </c>
      <c r="DO37" s="1978" t="s">
        <v>34</v>
      </c>
      <c r="DP37" s="1978" t="s">
        <v>2956</v>
      </c>
      <c r="DQ37" s="1978" t="s">
        <v>2957</v>
      </c>
      <c r="DR37" s="1978" t="s">
        <v>1808</v>
      </c>
      <c r="DS37" s="1978" t="s">
        <v>2958</v>
      </c>
      <c r="DT37" s="1978" t="s">
        <v>2959</v>
      </c>
      <c r="DU37" s="1978" t="s">
        <v>2960</v>
      </c>
      <c r="DV37" s="1978" t="s">
        <v>2961</v>
      </c>
      <c r="DW37" s="1978" t="s">
        <v>2962</v>
      </c>
      <c r="DX37" s="1978" t="s">
        <v>2963</v>
      </c>
      <c r="DY37" s="1978" t="s">
        <v>2276</v>
      </c>
      <c r="DZ37" s="1978" t="s">
        <v>2964</v>
      </c>
      <c r="EA37" s="1978" t="s">
        <v>2965</v>
      </c>
      <c r="EB37" s="1978" t="s">
        <v>2966</v>
      </c>
      <c r="EC37" s="1978" t="s">
        <v>2967</v>
      </c>
      <c r="ED37" s="1978" t="s">
        <v>25</v>
      </c>
      <c r="EE37" s="1978" t="s">
        <v>2968</v>
      </c>
      <c r="EF37" s="1978" t="s">
        <v>2955</v>
      </c>
      <c r="EG37" s="1978" t="s">
        <v>2935</v>
      </c>
      <c r="EH37" s="1978" t="s">
        <v>20</v>
      </c>
      <c r="EI37" s="1978" t="s">
        <v>21</v>
      </c>
      <c r="EJ37" s="1978" t="s">
        <v>34</v>
      </c>
      <c r="EK37" s="1978" t="s">
        <v>2956</v>
      </c>
      <c r="EL37" s="1978" t="s">
        <v>2957</v>
      </c>
      <c r="EM37" s="1978" t="s">
        <v>1808</v>
      </c>
      <c r="EN37" s="1978" t="s">
        <v>2958</v>
      </c>
      <c r="EO37" s="1978" t="s">
        <v>2959</v>
      </c>
      <c r="EP37" s="1978" t="s">
        <v>2960</v>
      </c>
      <c r="EQ37" s="1978" t="s">
        <v>2961</v>
      </c>
      <c r="ER37" s="1978" t="s">
        <v>2962</v>
      </c>
      <c r="ES37" s="1978" t="s">
        <v>2963</v>
      </c>
      <c r="ET37" s="1978" t="s">
        <v>2276</v>
      </c>
      <c r="EU37" s="1978" t="s">
        <v>2964</v>
      </c>
      <c r="EV37" s="1978" t="s">
        <v>2965</v>
      </c>
      <c r="EW37" s="1978" t="s">
        <v>2966</v>
      </c>
      <c r="EX37" s="1978" t="s">
        <v>2967</v>
      </c>
      <c r="EY37" s="1978" t="s">
        <v>25</v>
      </c>
      <c r="EZ37" s="1978" t="s">
        <v>2968</v>
      </c>
      <c r="FA37" s="1978" t="s">
        <v>2955</v>
      </c>
      <c r="FB37" s="1978" t="s">
        <v>2935</v>
      </c>
      <c r="FC37" s="1978" t="s">
        <v>20</v>
      </c>
      <c r="FD37" s="1978" t="s">
        <v>21</v>
      </c>
      <c r="FE37" s="1978" t="s">
        <v>34</v>
      </c>
      <c r="FF37" s="1978" t="s">
        <v>2956</v>
      </c>
      <c r="FG37" s="1978" t="s">
        <v>2957</v>
      </c>
      <c r="FH37" s="1978" t="s">
        <v>1808</v>
      </c>
      <c r="FI37" s="1978" t="s">
        <v>2958</v>
      </c>
      <c r="FJ37" s="1978" t="s">
        <v>2959</v>
      </c>
      <c r="FK37" s="1978" t="s">
        <v>2960</v>
      </c>
      <c r="FL37" s="1978" t="s">
        <v>2961</v>
      </c>
      <c r="FM37" s="1978" t="s">
        <v>2962</v>
      </c>
      <c r="FN37" s="1978" t="s">
        <v>2963</v>
      </c>
      <c r="FO37" s="1978" t="s">
        <v>2276</v>
      </c>
      <c r="FP37" s="1978" t="s">
        <v>2964</v>
      </c>
      <c r="FQ37" s="1978" t="s">
        <v>2965</v>
      </c>
      <c r="FR37" s="1978" t="s">
        <v>2966</v>
      </c>
      <c r="FS37" s="1978" t="s">
        <v>2967</v>
      </c>
      <c r="FT37" s="1978" t="s">
        <v>25</v>
      </c>
      <c r="FU37" s="1978" t="s">
        <v>2968</v>
      </c>
    </row>
    <row r="38" spans="1:177">
      <c r="A38" s="1978">
        <v>130534</v>
      </c>
      <c r="B38" s="1978" t="s">
        <v>26</v>
      </c>
      <c r="C38" s="1978" t="s">
        <v>2902</v>
      </c>
      <c r="D38" s="1978" t="s">
        <v>2903</v>
      </c>
      <c r="E38" s="1979">
        <v>30953</v>
      </c>
      <c r="F38" s="1978">
        <v>365</v>
      </c>
      <c r="G38" s="1978">
        <v>12</v>
      </c>
      <c r="I38" s="1978">
        <v>4975.6322718897</v>
      </c>
      <c r="J38" s="1978" t="s">
        <v>3</v>
      </c>
      <c r="K38" s="1978" t="s">
        <v>4</v>
      </c>
      <c r="L38" s="1978" t="s">
        <v>2639</v>
      </c>
      <c r="M38" s="1978" t="s">
        <v>2909</v>
      </c>
      <c r="N38" s="1978" t="s">
        <v>33</v>
      </c>
      <c r="O38" s="1978">
        <v>365</v>
      </c>
      <c r="P38" s="1978">
        <v>12</v>
      </c>
      <c r="Q38" s="1978">
        <v>874.0385</v>
      </c>
      <c r="S38" s="1978" t="s">
        <v>2277</v>
      </c>
      <c r="T38" s="1978">
        <v>0</v>
      </c>
      <c r="U38" s="1978">
        <v>25</v>
      </c>
      <c r="V38" s="1978">
        <v>0</v>
      </c>
      <c r="W38" s="1978">
        <v>4</v>
      </c>
      <c r="X38" s="1978">
        <v>500000</v>
      </c>
      <c r="Y38" s="1978">
        <v>1165.3846666667</v>
      </c>
      <c r="Z38" s="1978">
        <v>1212.0000533333</v>
      </c>
      <c r="AA38" s="1978">
        <v>32</v>
      </c>
      <c r="AB38" s="1978" t="s">
        <v>1</v>
      </c>
      <c r="AC38" s="1978">
        <v>12</v>
      </c>
      <c r="AD38" s="1978">
        <v>1256.0000533333</v>
      </c>
      <c r="AE38" s="1978" t="s">
        <v>5</v>
      </c>
      <c r="AF38" s="1978" t="s">
        <v>4</v>
      </c>
      <c r="AG38" s="1978" t="s">
        <v>2639</v>
      </c>
      <c r="AH38" s="1978" t="s">
        <v>2909</v>
      </c>
      <c r="AI38" s="1978" t="s">
        <v>33</v>
      </c>
      <c r="AJ38" s="1978">
        <v>365</v>
      </c>
      <c r="AK38" s="1978">
        <v>12</v>
      </c>
      <c r="AL38" s="1978">
        <v>142.78845999999999</v>
      </c>
      <c r="AN38" s="1978" t="s">
        <v>2277</v>
      </c>
      <c r="AO38" s="1978">
        <v>0</v>
      </c>
      <c r="AP38" s="1978">
        <v>25</v>
      </c>
      <c r="AQ38" s="1978">
        <v>0</v>
      </c>
      <c r="AR38" s="1978">
        <v>4</v>
      </c>
      <c r="AS38" s="1978">
        <v>25000</v>
      </c>
      <c r="AT38" s="1978">
        <v>190.38461333333001</v>
      </c>
      <c r="AU38" s="1978">
        <v>197.99999786666999</v>
      </c>
      <c r="AV38" s="1978">
        <v>0</v>
      </c>
      <c r="AY38" s="1978">
        <v>197.99999786666999</v>
      </c>
      <c r="AZ38" s="1978" t="s">
        <v>6</v>
      </c>
      <c r="BA38" s="1978" t="s">
        <v>2608</v>
      </c>
      <c r="BB38" s="1978" t="s">
        <v>90</v>
      </c>
      <c r="BC38" s="1978">
        <v>240322</v>
      </c>
      <c r="BD38" s="1978" t="s">
        <v>33</v>
      </c>
      <c r="BE38" s="1978">
        <v>365</v>
      </c>
      <c r="BF38" s="1978">
        <v>12</v>
      </c>
      <c r="BH38" s="1978">
        <v>5.0099999999999999E-2</v>
      </c>
      <c r="BI38" s="1978" t="s">
        <v>2278</v>
      </c>
      <c r="BJ38" s="1978">
        <v>0</v>
      </c>
      <c r="BK38" s="1978">
        <v>27.5</v>
      </c>
      <c r="BL38" s="1978">
        <v>0</v>
      </c>
      <c r="BM38" s="1978">
        <v>4</v>
      </c>
      <c r="BN38" s="1978">
        <v>252000</v>
      </c>
      <c r="BO38" s="1978">
        <v>174.14068965517001</v>
      </c>
      <c r="BP38" s="1978">
        <v>181.10631724138</v>
      </c>
      <c r="BQ38" s="1978">
        <v>0</v>
      </c>
      <c r="BT38" s="1978">
        <v>181.10631724138</v>
      </c>
      <c r="BU38" s="1978" t="s">
        <v>8</v>
      </c>
      <c r="BV38" s="1978" t="s">
        <v>2608</v>
      </c>
      <c r="BW38" s="1978" t="s">
        <v>90</v>
      </c>
      <c r="BX38" s="1978">
        <v>240322</v>
      </c>
      <c r="BY38" s="1978" t="s">
        <v>33</v>
      </c>
      <c r="BZ38" s="1978">
        <v>365</v>
      </c>
      <c r="CA38" s="1978">
        <v>12</v>
      </c>
      <c r="CC38" s="1978">
        <v>0.12529999999999999</v>
      </c>
      <c r="CD38" s="1978" t="s">
        <v>2278</v>
      </c>
      <c r="CE38" s="1978">
        <v>0</v>
      </c>
      <c r="CF38" s="1978">
        <v>27.5</v>
      </c>
      <c r="CG38" s="1978">
        <v>0</v>
      </c>
      <c r="CH38" s="1978">
        <v>4</v>
      </c>
      <c r="CI38" s="1978">
        <v>252000</v>
      </c>
      <c r="CJ38" s="1978">
        <v>435.52551724137999</v>
      </c>
      <c r="CK38" s="1978">
        <v>452.94653793102998</v>
      </c>
      <c r="CL38" s="1978">
        <v>0</v>
      </c>
      <c r="CO38" s="1978">
        <v>452.94653793102998</v>
      </c>
      <c r="CP38" s="1978" t="s">
        <v>9</v>
      </c>
      <c r="CQ38" s="1978" t="s">
        <v>2608</v>
      </c>
      <c r="CR38" s="1978" t="s">
        <v>90</v>
      </c>
      <c r="CS38" s="1978">
        <v>240322</v>
      </c>
      <c r="CT38" s="1978" t="s">
        <v>33</v>
      </c>
      <c r="CU38" s="1978">
        <v>365</v>
      </c>
      <c r="CV38" s="1978">
        <v>12</v>
      </c>
      <c r="CX38" s="1978">
        <v>6.1899999999999997E-2</v>
      </c>
      <c r="CY38" s="1978" t="s">
        <v>2278</v>
      </c>
      <c r="CZ38" s="1978">
        <v>0</v>
      </c>
      <c r="DA38" s="1978">
        <v>27.5</v>
      </c>
      <c r="DB38" s="1978">
        <v>0</v>
      </c>
      <c r="DC38" s="1978">
        <v>4</v>
      </c>
      <c r="DD38" s="1978">
        <v>252000</v>
      </c>
      <c r="DE38" s="1978">
        <v>215.15586206897001</v>
      </c>
      <c r="DF38" s="1978">
        <v>223.76209655171999</v>
      </c>
      <c r="DG38" s="1978">
        <v>0</v>
      </c>
      <c r="DJ38" s="1978">
        <v>223.76209655171999</v>
      </c>
      <c r="DK38" s="1978" t="s">
        <v>10</v>
      </c>
      <c r="DL38" s="1978" t="s">
        <v>2608</v>
      </c>
      <c r="DM38" s="1978" t="s">
        <v>90</v>
      </c>
      <c r="DN38" s="1978">
        <v>240322</v>
      </c>
      <c r="DO38" s="1978" t="s">
        <v>33</v>
      </c>
      <c r="DP38" s="1978">
        <v>365</v>
      </c>
      <c r="DQ38" s="1978">
        <v>12</v>
      </c>
      <c r="DS38" s="1978">
        <v>0.1489</v>
      </c>
      <c r="DT38" s="1978" t="s">
        <v>2278</v>
      </c>
      <c r="DU38" s="1978">
        <v>0</v>
      </c>
      <c r="DV38" s="1978">
        <v>27.5</v>
      </c>
      <c r="DW38" s="1978">
        <v>0</v>
      </c>
      <c r="DX38" s="1978">
        <v>4</v>
      </c>
      <c r="DY38" s="1978">
        <v>252000</v>
      </c>
      <c r="DZ38" s="1978">
        <v>517.55586206896999</v>
      </c>
      <c r="EA38" s="1978">
        <v>538.25809655171997</v>
      </c>
      <c r="EB38" s="1978">
        <v>0</v>
      </c>
      <c r="EE38" s="1978">
        <v>538.25809655171997</v>
      </c>
      <c r="EF38" s="1978" t="s">
        <v>41</v>
      </c>
      <c r="EG38" s="1978" t="s">
        <v>2608</v>
      </c>
      <c r="EH38" s="1978" t="s">
        <v>90</v>
      </c>
      <c r="EI38" s="1978">
        <v>240322</v>
      </c>
      <c r="EJ38" s="1978" t="s">
        <v>33</v>
      </c>
      <c r="EK38" s="1978">
        <v>365</v>
      </c>
      <c r="EL38" s="1978">
        <v>12</v>
      </c>
      <c r="EN38" s="1978">
        <v>0.58830000000000005</v>
      </c>
      <c r="EO38" s="1978" t="s">
        <v>2278</v>
      </c>
      <c r="EP38" s="1978">
        <v>0</v>
      </c>
      <c r="EQ38" s="1978">
        <v>27.5</v>
      </c>
      <c r="ER38" s="1978">
        <v>0</v>
      </c>
      <c r="ES38" s="1978">
        <v>4</v>
      </c>
      <c r="ET38" s="1978">
        <v>84000</v>
      </c>
      <c r="EU38" s="1978">
        <v>681.61655172413998</v>
      </c>
      <c r="EV38" s="1978">
        <v>708.88121379309996</v>
      </c>
      <c r="EW38" s="1978">
        <v>0</v>
      </c>
      <c r="EZ38" s="1978">
        <v>708.88121379309996</v>
      </c>
      <c r="FA38" s="1978" t="s">
        <v>42</v>
      </c>
      <c r="FB38" s="1978" t="s">
        <v>2608</v>
      </c>
      <c r="FC38" s="1978" t="s">
        <v>90</v>
      </c>
      <c r="FD38" s="1978">
        <v>240322</v>
      </c>
      <c r="FE38" s="1978" t="s">
        <v>33</v>
      </c>
      <c r="FF38" s="1978">
        <v>365</v>
      </c>
      <c r="FG38" s="1978">
        <v>12</v>
      </c>
      <c r="FI38" s="1978">
        <v>1.1757</v>
      </c>
      <c r="FJ38" s="1978" t="s">
        <v>2278</v>
      </c>
      <c r="FK38" s="1978">
        <v>0</v>
      </c>
      <c r="FL38" s="1978">
        <v>27.5</v>
      </c>
      <c r="FM38" s="1978">
        <v>0</v>
      </c>
      <c r="FN38" s="1978">
        <v>4</v>
      </c>
      <c r="FO38" s="1978">
        <v>84000</v>
      </c>
      <c r="FP38" s="1978">
        <v>1362.1903448276</v>
      </c>
      <c r="FQ38" s="1978">
        <v>1416.6779586207001</v>
      </c>
      <c r="FR38" s="1978">
        <v>0</v>
      </c>
      <c r="FU38" s="1978">
        <v>1416.6779586207001</v>
      </c>
    </row>
    <row r="39" spans="1:177">
      <c r="A39" s="1978">
        <v>131262</v>
      </c>
      <c r="B39" s="1978" t="s">
        <v>2969</v>
      </c>
      <c r="C39" s="1978" t="s">
        <v>2877</v>
      </c>
      <c r="D39" s="1978" t="s">
        <v>636</v>
      </c>
      <c r="E39" s="1979">
        <v>22440</v>
      </c>
      <c r="F39" s="1978">
        <v>365</v>
      </c>
      <c r="G39" s="1978">
        <v>12</v>
      </c>
      <c r="I39" s="1978">
        <v>2963.2710029240998</v>
      </c>
      <c r="J39" s="1978" t="s">
        <v>3</v>
      </c>
      <c r="K39" s="1978" t="s">
        <v>4</v>
      </c>
      <c r="L39" s="1978" t="s">
        <v>2639</v>
      </c>
      <c r="M39" s="1978" t="s">
        <v>2909</v>
      </c>
      <c r="N39" s="1978" t="s">
        <v>33</v>
      </c>
      <c r="O39" s="1978">
        <v>365</v>
      </c>
      <c r="P39" s="1978">
        <v>12</v>
      </c>
      <c r="Q39" s="1978">
        <v>874.0385</v>
      </c>
      <c r="S39" s="1978" t="s">
        <v>2277</v>
      </c>
      <c r="T39" s="1978">
        <v>0</v>
      </c>
      <c r="U39" s="1978">
        <v>25</v>
      </c>
      <c r="V39" s="1978">
        <v>0</v>
      </c>
      <c r="W39" s="1978">
        <v>4</v>
      </c>
      <c r="X39" s="1978">
        <v>500000</v>
      </c>
      <c r="Y39" s="1978">
        <v>1165.3846666667</v>
      </c>
      <c r="Z39" s="1978">
        <v>1212.0000533333</v>
      </c>
      <c r="AA39" s="1978">
        <v>32</v>
      </c>
      <c r="AB39" s="1978" t="s">
        <v>1</v>
      </c>
      <c r="AC39" s="1978">
        <v>12</v>
      </c>
      <c r="AD39" s="1978">
        <v>1256.0000533333</v>
      </c>
      <c r="AE39" s="1978" t="s">
        <v>5</v>
      </c>
      <c r="AF39" s="1978" t="s">
        <v>4</v>
      </c>
      <c r="AG39" s="1978" t="s">
        <v>2639</v>
      </c>
      <c r="AH39" s="1978" t="s">
        <v>2909</v>
      </c>
      <c r="AI39" s="1978" t="s">
        <v>33</v>
      </c>
      <c r="AJ39" s="1978">
        <v>365</v>
      </c>
      <c r="AK39" s="1978">
        <v>12</v>
      </c>
      <c r="AL39" s="1978">
        <v>142.78845999999999</v>
      </c>
      <c r="AN39" s="1978" t="s">
        <v>2277</v>
      </c>
      <c r="AO39" s="1978">
        <v>0</v>
      </c>
      <c r="AP39" s="1978">
        <v>25</v>
      </c>
      <c r="AQ39" s="1978">
        <v>0</v>
      </c>
      <c r="AR39" s="1978">
        <v>4</v>
      </c>
      <c r="AS39" s="1978">
        <v>25000</v>
      </c>
      <c r="AT39" s="1978">
        <v>190.38461333333001</v>
      </c>
      <c r="AU39" s="1978">
        <v>197.99999786666999</v>
      </c>
      <c r="AV39" s="1978">
        <v>0</v>
      </c>
      <c r="AY39" s="1978">
        <v>197.99999786666999</v>
      </c>
      <c r="AZ39" s="1978" t="s">
        <v>6</v>
      </c>
      <c r="BA39" s="1978" t="s">
        <v>2608</v>
      </c>
      <c r="BB39" s="1978" t="s">
        <v>90</v>
      </c>
      <c r="BC39" s="1978">
        <v>240322</v>
      </c>
      <c r="BD39" s="1978" t="s">
        <v>33</v>
      </c>
      <c r="BE39" s="1978">
        <v>365</v>
      </c>
      <c r="BF39" s="1978">
        <v>12</v>
      </c>
      <c r="BH39" s="1978">
        <v>5.0099999999999999E-2</v>
      </c>
      <c r="BI39" s="1978" t="s">
        <v>2278</v>
      </c>
      <c r="BJ39" s="1978">
        <v>0</v>
      </c>
      <c r="BK39" s="1978">
        <v>27.5</v>
      </c>
      <c r="BL39" s="1978">
        <v>0</v>
      </c>
      <c r="BM39" s="1978">
        <v>4</v>
      </c>
      <c r="BN39" s="1978">
        <v>108000</v>
      </c>
      <c r="BO39" s="1978">
        <v>74.631724137931002</v>
      </c>
      <c r="BP39" s="1978">
        <v>77.616993103447996</v>
      </c>
      <c r="BQ39" s="1978">
        <v>0</v>
      </c>
      <c r="BT39" s="1978">
        <v>77.616993103447996</v>
      </c>
      <c r="BU39" s="1978" t="s">
        <v>8</v>
      </c>
      <c r="BV39" s="1978" t="s">
        <v>2608</v>
      </c>
      <c r="BW39" s="1978" t="s">
        <v>90</v>
      </c>
      <c r="BX39" s="1978">
        <v>240322</v>
      </c>
      <c r="BY39" s="1978" t="s">
        <v>33</v>
      </c>
      <c r="BZ39" s="1978">
        <v>365</v>
      </c>
      <c r="CA39" s="1978">
        <v>12</v>
      </c>
      <c r="CC39" s="1978">
        <v>0.12529999999999999</v>
      </c>
      <c r="CD39" s="1978" t="s">
        <v>2278</v>
      </c>
      <c r="CE39" s="1978">
        <v>0</v>
      </c>
      <c r="CF39" s="1978">
        <v>27.5</v>
      </c>
      <c r="CG39" s="1978">
        <v>0</v>
      </c>
      <c r="CH39" s="1978">
        <v>4</v>
      </c>
      <c r="CI39" s="1978">
        <v>108000</v>
      </c>
      <c r="CJ39" s="1978">
        <v>186.65379310345</v>
      </c>
      <c r="CK39" s="1978">
        <v>194.11994482758999</v>
      </c>
      <c r="CL39" s="1978">
        <v>0</v>
      </c>
      <c r="CO39" s="1978">
        <v>194.11994482758999</v>
      </c>
      <c r="CP39" s="1978" t="s">
        <v>9</v>
      </c>
      <c r="CQ39" s="1978" t="s">
        <v>2608</v>
      </c>
      <c r="CR39" s="1978" t="s">
        <v>90</v>
      </c>
      <c r="CS39" s="1978">
        <v>240322</v>
      </c>
      <c r="CT39" s="1978" t="s">
        <v>33</v>
      </c>
      <c r="CU39" s="1978">
        <v>365</v>
      </c>
      <c r="CV39" s="1978">
        <v>12</v>
      </c>
      <c r="CX39" s="1978">
        <v>6.1899999999999997E-2</v>
      </c>
      <c r="CY39" s="1978" t="s">
        <v>2278</v>
      </c>
      <c r="CZ39" s="1978">
        <v>0</v>
      </c>
      <c r="DA39" s="1978">
        <v>27.5</v>
      </c>
      <c r="DB39" s="1978">
        <v>0</v>
      </c>
      <c r="DC39" s="1978">
        <v>4</v>
      </c>
      <c r="DD39" s="1978">
        <v>108000</v>
      </c>
      <c r="DE39" s="1978">
        <v>92.209655172414003</v>
      </c>
      <c r="DF39" s="1978">
        <v>95.898041379310001</v>
      </c>
      <c r="DG39" s="1978">
        <v>0</v>
      </c>
      <c r="DJ39" s="1978">
        <v>95.898041379310001</v>
      </c>
      <c r="DK39" s="1978" t="s">
        <v>10</v>
      </c>
      <c r="DL39" s="1978" t="s">
        <v>2608</v>
      </c>
      <c r="DM39" s="1978" t="s">
        <v>90</v>
      </c>
      <c r="DN39" s="1978">
        <v>240322</v>
      </c>
      <c r="DO39" s="1978" t="s">
        <v>33</v>
      </c>
      <c r="DP39" s="1978">
        <v>365</v>
      </c>
      <c r="DQ39" s="1978">
        <v>12</v>
      </c>
      <c r="DS39" s="1978">
        <v>0.1489</v>
      </c>
      <c r="DT39" s="1978" t="s">
        <v>2278</v>
      </c>
      <c r="DU39" s="1978">
        <v>0</v>
      </c>
      <c r="DV39" s="1978">
        <v>27.5</v>
      </c>
      <c r="DW39" s="1978">
        <v>0</v>
      </c>
      <c r="DX39" s="1978">
        <v>4</v>
      </c>
      <c r="DY39" s="1978">
        <v>108000</v>
      </c>
      <c r="DZ39" s="1978">
        <v>221.80965517241</v>
      </c>
      <c r="EA39" s="1978">
        <v>230.68204137930999</v>
      </c>
      <c r="EB39" s="1978">
        <v>0</v>
      </c>
      <c r="EE39" s="1978">
        <v>230.68204137930999</v>
      </c>
      <c r="EF39" s="1978" t="s">
        <v>41</v>
      </c>
      <c r="EG39" s="1978" t="s">
        <v>2608</v>
      </c>
      <c r="EH39" s="1978" t="s">
        <v>90</v>
      </c>
      <c r="EI39" s="1978">
        <v>240322</v>
      </c>
      <c r="EJ39" s="1978" t="s">
        <v>33</v>
      </c>
      <c r="EK39" s="1978">
        <v>365</v>
      </c>
      <c r="EL39" s="1978">
        <v>12</v>
      </c>
      <c r="EN39" s="1978">
        <v>0.58830000000000005</v>
      </c>
      <c r="EO39" s="1978" t="s">
        <v>2278</v>
      </c>
      <c r="EP39" s="1978">
        <v>0</v>
      </c>
      <c r="EQ39" s="1978">
        <v>27.5</v>
      </c>
      <c r="ER39" s="1978">
        <v>0</v>
      </c>
      <c r="ES39" s="1978">
        <v>4</v>
      </c>
      <c r="ET39" s="1978">
        <v>36000</v>
      </c>
      <c r="EU39" s="1978">
        <v>292.12137931033999</v>
      </c>
      <c r="EV39" s="1978">
        <v>303.80623448275998</v>
      </c>
      <c r="EW39" s="1978">
        <v>0</v>
      </c>
      <c r="EZ39" s="1978">
        <v>303.80623448275998</v>
      </c>
      <c r="FA39" s="1978" t="s">
        <v>42</v>
      </c>
      <c r="FB39" s="1978" t="s">
        <v>2608</v>
      </c>
      <c r="FC39" s="1978" t="s">
        <v>90</v>
      </c>
      <c r="FD39" s="1978">
        <v>240322</v>
      </c>
      <c r="FE39" s="1978" t="s">
        <v>33</v>
      </c>
      <c r="FF39" s="1978">
        <v>365</v>
      </c>
      <c r="FG39" s="1978">
        <v>12</v>
      </c>
      <c r="FI39" s="1978">
        <v>1.1757</v>
      </c>
      <c r="FJ39" s="1978" t="s">
        <v>2278</v>
      </c>
      <c r="FK39" s="1978">
        <v>0</v>
      </c>
      <c r="FL39" s="1978">
        <v>27.5</v>
      </c>
      <c r="FM39" s="1978">
        <v>0</v>
      </c>
      <c r="FN39" s="1978">
        <v>4</v>
      </c>
      <c r="FO39" s="1978">
        <v>36000</v>
      </c>
      <c r="FP39" s="1978">
        <v>583.79586206897</v>
      </c>
      <c r="FQ39" s="1978">
        <v>607.14769655171995</v>
      </c>
      <c r="FR39" s="1978">
        <v>0</v>
      </c>
      <c r="FU39" s="1978">
        <v>607.14769655171995</v>
      </c>
    </row>
  </sheetData>
  <sortState ref="A38:EE65">
    <sortCondition ref="C38:C65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00B0F0"/>
  </sheetPr>
  <dimension ref="A1:Y103"/>
  <sheetViews>
    <sheetView view="pageBreakPreview" topLeftCell="C1" zoomScaleSheetLayoutView="100" workbookViewId="0">
      <selection activeCell="W24" sqref="W24"/>
    </sheetView>
  </sheetViews>
  <sheetFormatPr baseColWidth="10" defaultColWidth="11.42578125" defaultRowHeight="15"/>
  <cols>
    <col min="1" max="1" width="16.42578125" hidden="1" customWidth="1"/>
    <col min="2" max="2" width="13" hidden="1" customWidth="1"/>
    <col min="3" max="3" width="11" style="295" customWidth="1"/>
    <col min="4" max="4" width="11.5703125" bestFit="1" customWidth="1"/>
    <col min="5" max="5" width="13.140625" customWidth="1"/>
    <col min="6" max="6" width="11.5703125" bestFit="1" customWidth="1"/>
    <col min="7" max="7" width="14.42578125" bestFit="1" customWidth="1"/>
    <col min="8" max="11" width="11.5703125" bestFit="1" customWidth="1"/>
    <col min="12" max="12" width="22.5703125" customWidth="1"/>
    <col min="13" max="13" width="11.5703125" bestFit="1" customWidth="1"/>
    <col min="14" max="14" width="9.42578125" customWidth="1"/>
    <col min="15" max="15" width="11.5703125" style="784" hidden="1" customWidth="1"/>
    <col min="16" max="20" width="11.5703125" bestFit="1" customWidth="1"/>
    <col min="21" max="21" width="11.85546875" bestFit="1" customWidth="1"/>
    <col min="22" max="22" width="11.5703125" bestFit="1" customWidth="1"/>
    <col min="23" max="23" width="29.28515625" customWidth="1"/>
    <col min="24" max="24" width="15" customWidth="1"/>
    <col min="25" max="25" width="11.85546875" bestFit="1" customWidth="1"/>
  </cols>
  <sheetData>
    <row r="1" spans="1:25">
      <c r="A1" s="111" t="str">
        <f>J5&amp;"annual"</f>
        <v>2015-2016annual</v>
      </c>
      <c r="B1" s="112"/>
      <c r="C1" s="297"/>
      <c r="D1" s="112"/>
      <c r="E1" s="1830" t="s">
        <v>1968</v>
      </c>
      <c r="F1" s="1830"/>
      <c r="G1" s="113">
        <v>42704</v>
      </c>
      <c r="H1" s="114"/>
      <c r="I1" s="115"/>
      <c r="J1" s="1831"/>
      <c r="K1" s="1831"/>
      <c r="L1" s="116" t="s">
        <v>185</v>
      </c>
      <c r="M1" s="1832">
        <f>Admin!E5</f>
        <v>43050</v>
      </c>
      <c r="N1" s="1832"/>
      <c r="O1" s="778"/>
      <c r="P1" s="117"/>
      <c r="Q1" s="1825"/>
      <c r="R1" s="1825"/>
      <c r="S1" s="381"/>
      <c r="T1" s="381"/>
      <c r="U1" s="380" t="s">
        <v>1969</v>
      </c>
      <c r="V1" s="381"/>
      <c r="W1" s="378" t="str">
        <f>ANCERTIF</f>
        <v>2014</v>
      </c>
      <c r="X1" s="119" t="s">
        <v>1970</v>
      </c>
      <c r="Y1" s="351"/>
    </row>
    <row r="2" spans="1:25" ht="15" customHeight="1">
      <c r="A2" s="111" t="str">
        <f>J5&amp;"seasonal"</f>
        <v>2015-2016seasonal</v>
      </c>
      <c r="B2" s="112"/>
      <c r="C2" s="297"/>
      <c r="D2" s="112"/>
      <c r="E2" s="1826" t="s">
        <v>189</v>
      </c>
      <c r="F2" s="1826"/>
      <c r="G2" s="1829" t="str">
        <f>Admin!B9</f>
        <v>HUTIANE-TRANSPORTES MARITIMOS, UNIPESSOAL LDA</v>
      </c>
      <c r="H2" s="1829"/>
      <c r="I2" s="1829"/>
      <c r="J2" s="120"/>
      <c r="K2" s="120"/>
      <c r="L2" s="121" t="s">
        <v>192</v>
      </c>
      <c r="M2" s="1829" t="str">
        <f>APPORTEURS!C1</f>
        <v>ICS</v>
      </c>
      <c r="N2" s="1829"/>
      <c r="O2" s="1829"/>
      <c r="P2" s="1829"/>
      <c r="Q2" s="1829"/>
      <c r="R2" s="1829"/>
      <c r="S2" s="123"/>
      <c r="T2" s="123"/>
      <c r="U2" s="380" t="s">
        <v>1971</v>
      </c>
      <c r="V2" s="123"/>
      <c r="W2" s="378" t="str">
        <f>ANRENOUV</f>
        <v>2017</v>
      </c>
      <c r="X2" s="379"/>
      <c r="Y2" s="351"/>
    </row>
    <row r="3" spans="1:25" ht="15" customHeight="1">
      <c r="A3" s="111" t="str">
        <f>J5&amp;"day worker"</f>
        <v>2015-2016day worker</v>
      </c>
      <c r="B3" s="112"/>
      <c r="C3" s="297"/>
      <c r="D3" s="112"/>
      <c r="E3" s="1826" t="s">
        <v>1972</v>
      </c>
      <c r="F3" s="1826"/>
      <c r="G3" s="1827" t="str">
        <f>IF(Admin!D9=0,"",Admin!D9)</f>
        <v/>
      </c>
      <c r="H3" s="1827"/>
      <c r="I3" s="1827"/>
      <c r="J3" s="114"/>
      <c r="K3" s="114"/>
      <c r="L3" s="122" t="s">
        <v>194</v>
      </c>
      <c r="M3" s="123" t="str">
        <f>Admin!E2</f>
        <v>12600.1</v>
      </c>
      <c r="N3" s="1828" t="s">
        <v>195</v>
      </c>
      <c r="O3" s="1828"/>
      <c r="P3" s="1828"/>
      <c r="Q3" s="1828"/>
      <c r="R3" s="1828"/>
      <c r="S3" s="1828" t="s">
        <v>204</v>
      </c>
      <c r="T3" s="1828"/>
      <c r="U3" s="1828" t="s">
        <v>196</v>
      </c>
      <c r="V3" s="1828"/>
      <c r="W3" s="145" t="str">
        <f>W2-1&amp;"-"&amp;W2</f>
        <v>2016-2017</v>
      </c>
      <c r="X3" s="125"/>
      <c r="Y3" s="351"/>
    </row>
    <row r="4" spans="1:25">
      <c r="A4" s="112"/>
      <c r="B4" s="112"/>
      <c r="C4" s="297"/>
      <c r="D4" s="112"/>
      <c r="E4" s="1829"/>
      <c r="F4" s="1829"/>
      <c r="G4" s="114" t="str">
        <f>IF(Admin!H9=0,"",Admin!H9)</f>
        <v>P-9000-067</v>
      </c>
      <c r="H4" s="1836" t="str">
        <f>IF(Admin!I9=0,"",Admin!I9)</f>
        <v>Santa Luzia, Funchal</v>
      </c>
      <c r="I4" s="1836"/>
      <c r="J4" s="126"/>
      <c r="K4" s="126"/>
      <c r="L4" s="1833" t="s">
        <v>1973</v>
      </c>
      <c r="M4" s="1132" t="str">
        <f>HISTORY!G6</f>
        <v>L2022479</v>
      </c>
      <c r="N4" s="1837" t="str">
        <f>HISTORY!H6</f>
        <v>Perfect for All Crew members, except day workers</v>
      </c>
      <c r="O4" s="1837"/>
      <c r="P4" s="1837"/>
      <c r="Q4" s="1837"/>
      <c r="R4" s="1837"/>
      <c r="S4" s="1837"/>
      <c r="T4" s="1837"/>
      <c r="U4" s="1837"/>
      <c r="V4" s="1837"/>
      <c r="W4" s="124"/>
      <c r="X4" s="118"/>
      <c r="Y4" s="351"/>
    </row>
    <row r="5" spans="1:25" ht="15.75" thickBot="1">
      <c r="A5" s="112" t="s">
        <v>1974</v>
      </c>
      <c r="B5" s="112"/>
      <c r="C5" s="297"/>
      <c r="D5" s="112"/>
      <c r="E5" s="1838"/>
      <c r="F5" s="1838"/>
      <c r="G5" s="1838"/>
      <c r="H5" s="1838"/>
      <c r="I5" s="1838"/>
      <c r="J5" s="1839" t="s">
        <v>1975</v>
      </c>
      <c r="K5" s="1840"/>
      <c r="L5" s="1833"/>
      <c r="M5" s="1331" t="str">
        <f>HISTORY!G7</f>
        <v/>
      </c>
      <c r="N5" s="1837" t="str">
        <f>HISTORY!H7</f>
        <v/>
      </c>
      <c r="O5" s="1837"/>
      <c r="P5" s="1837"/>
      <c r="Q5" s="1837"/>
      <c r="R5" s="1837"/>
      <c r="S5" s="1837"/>
      <c r="T5" s="1837"/>
      <c r="U5" s="1837"/>
      <c r="V5" s="1837"/>
      <c r="W5" s="124"/>
      <c r="X5" s="118"/>
      <c r="Y5" s="351"/>
    </row>
    <row r="6" spans="1:25" ht="15" customHeight="1" thickBot="1">
      <c r="A6" s="111" t="str">
        <f>J5&amp;"annual"</f>
        <v>2015-2016annual</v>
      </c>
      <c r="B6" s="112"/>
      <c r="C6" s="297"/>
      <c r="D6" s="112"/>
      <c r="E6" s="127"/>
      <c r="F6" s="127"/>
      <c r="G6" s="128"/>
      <c r="H6" s="129" t="s">
        <v>1976</v>
      </c>
      <c r="I6" s="737">
        <f>SUMPRODUCT((EXACT($A$15:$A$120,A6)*1))</f>
        <v>3</v>
      </c>
      <c r="J6" s="737">
        <f>SUMIF($A$15:$A$120,A6,$R$15:$R$120)</f>
        <v>32</v>
      </c>
      <c r="K6" s="130">
        <f>SUMIF($A$15:$A$120,A6,$S$15:$S$120)</f>
        <v>974</v>
      </c>
      <c r="L6" s="1833"/>
      <c r="M6" s="1331">
        <f>HISTORY!G8</f>
        <v>140494</v>
      </c>
      <c r="N6" s="1837" t="str">
        <f>HISTORY!H8</f>
        <v>Medical Excellent and Homeland for Day Workers</v>
      </c>
      <c r="O6" s="1837"/>
      <c r="P6" s="1837"/>
      <c r="Q6" s="1837"/>
      <c r="R6" s="1837"/>
      <c r="S6" s="1837"/>
      <c r="T6" s="1837"/>
      <c r="U6" s="1837"/>
      <c r="V6" s="1837"/>
      <c r="W6" s="124"/>
      <c r="X6" s="118"/>
      <c r="Y6" s="351"/>
    </row>
    <row r="7" spans="1:25" ht="34.5" customHeight="1" thickBot="1">
      <c r="A7" s="111" t="str">
        <f>J5&amp;"seasonal"</f>
        <v>2015-2016seasonal</v>
      </c>
      <c r="B7" s="112"/>
      <c r="C7" s="297"/>
      <c r="D7" s="112"/>
      <c r="E7" s="123" t="str">
        <f>Currency!A2</f>
        <v>EUR/USD</v>
      </c>
      <c r="F7" s="131">
        <f>Currency!D2</f>
        <v>1.1100000000000001</v>
      </c>
      <c r="G7" s="132"/>
      <c r="H7" s="129" t="s">
        <v>1977</v>
      </c>
      <c r="I7" s="738">
        <f>SUMPRODUCT((EXACT($A$15:$A$120,A7)*1))</f>
        <v>0</v>
      </c>
      <c r="J7" s="738">
        <f t="shared" ref="J7:J8" si="0">SUMIF($A$15:$A$120,A7,$R$15:$R$120)</f>
        <v>0</v>
      </c>
      <c r="K7" s="133">
        <f t="shared" ref="K7:K8" si="1">SUMIF($A$15:$A$120,A7,$S$15:$S$120)</f>
        <v>0</v>
      </c>
      <c r="L7" s="1833" t="s">
        <v>1978</v>
      </c>
      <c r="M7" s="1132">
        <f>HISTORY!G11</f>
        <v>240322</v>
      </c>
      <c r="N7" s="1834" t="str">
        <f>HISTORY!H11</f>
        <v>Formula 3: LOL&amp;PTD 300% annual salary  , 100% annual salary   for All Crew members, except day workers</v>
      </c>
      <c r="O7" s="1834"/>
      <c r="P7" s="1834"/>
      <c r="Q7" s="1834"/>
      <c r="R7" s="1834"/>
      <c r="S7" s="1834"/>
      <c r="T7" s="1834"/>
      <c r="U7" s="1834"/>
      <c r="V7" s="1834"/>
      <c r="W7" s="118"/>
      <c r="X7" s="134"/>
      <c r="Y7" s="351"/>
    </row>
    <row r="8" spans="1:25" ht="35.25" customHeight="1" thickBot="1">
      <c r="A8" s="111" t="str">
        <f>J5&amp;"day worker"</f>
        <v>2015-2016day worker</v>
      </c>
      <c r="B8" s="112"/>
      <c r="C8" s="297"/>
      <c r="D8" s="112"/>
      <c r="E8" s="1830" t="s">
        <v>182</v>
      </c>
      <c r="F8" s="1830"/>
      <c r="G8" s="135"/>
      <c r="H8" s="136" t="s">
        <v>1979</v>
      </c>
      <c r="I8" s="739">
        <f>SUMPRODUCT((EXACT($A$15:$A$120,A8)*1))</f>
        <v>0</v>
      </c>
      <c r="J8" s="739">
        <f t="shared" si="0"/>
        <v>0</v>
      </c>
      <c r="K8" s="740">
        <f t="shared" si="1"/>
        <v>0</v>
      </c>
      <c r="L8" s="1833"/>
      <c r="M8" s="1331" t="str">
        <f>HISTORY!G12</f>
        <v/>
      </c>
      <c r="N8" s="1834" t="str">
        <f>HISTORY!H12</f>
        <v/>
      </c>
      <c r="O8" s="1834"/>
      <c r="P8" s="1834"/>
      <c r="Q8" s="1834"/>
      <c r="R8" s="1834"/>
      <c r="S8" s="1834"/>
      <c r="T8" s="1834"/>
      <c r="U8" s="1834"/>
      <c r="V8" s="1834"/>
      <c r="W8" s="118"/>
      <c r="X8" s="1152">
        <f>SUM(X15:X20)</f>
        <v>0</v>
      </c>
      <c r="Y8" s="351"/>
    </row>
    <row r="9" spans="1:25" ht="18" customHeight="1" thickBot="1">
      <c r="A9" s="112"/>
      <c r="B9" s="112"/>
      <c r="C9" s="297"/>
      <c r="D9" s="112"/>
      <c r="E9" s="1835" t="str">
        <f>Admin!B2</f>
        <v>HUTIANE</v>
      </c>
      <c r="F9" s="1835"/>
      <c r="G9" s="1835"/>
      <c r="H9" s="137"/>
      <c r="I9" s="138">
        <f>SUM(I6:I8)</f>
        <v>3</v>
      </c>
      <c r="J9" s="138">
        <f>SUM(J6:J8)</f>
        <v>32</v>
      </c>
      <c r="K9" s="138">
        <f>SUM(K6:K8)</f>
        <v>974</v>
      </c>
      <c r="L9" s="1833"/>
      <c r="M9" s="1331">
        <f>HISTORY!G13</f>
        <v>140494</v>
      </c>
      <c r="N9" s="1834" t="str">
        <f>HISTORY!H13</f>
        <v>Formula Day Worker: LOL&amp;PTD 50000 EUR ,  for Day Workers</v>
      </c>
      <c r="O9" s="1834"/>
      <c r="P9" s="1834"/>
      <c r="Q9" s="1834"/>
      <c r="R9" s="1834"/>
      <c r="S9" s="1834"/>
      <c r="T9" s="1834"/>
      <c r="U9" s="1834"/>
      <c r="V9" s="1834"/>
      <c r="W9" s="118"/>
      <c r="Y9" s="351"/>
    </row>
    <row r="10" spans="1:25" ht="18" customHeight="1">
      <c r="A10" s="112"/>
      <c r="B10" s="112"/>
      <c r="C10" s="297"/>
      <c r="D10" s="112"/>
      <c r="E10" s="1835"/>
      <c r="F10" s="1835"/>
      <c r="G10" s="1835"/>
      <c r="H10" s="137"/>
      <c r="I10" s="135" t="s">
        <v>1980</v>
      </c>
      <c r="J10" s="137"/>
      <c r="K10" s="137"/>
      <c r="L10" s="139"/>
      <c r="M10" s="120"/>
      <c r="N10" s="140"/>
      <c r="O10" s="776"/>
      <c r="P10" s="140"/>
      <c r="Q10" s="140"/>
      <c r="R10" s="140"/>
      <c r="S10" s="140"/>
      <c r="T10" s="1842" t="str">
        <f>"TOTAL FOR THE YEAR "&amp;W3</f>
        <v>TOTAL FOR THE YEAR 2016-2017</v>
      </c>
      <c r="U10" s="1843"/>
      <c r="V10" s="1148">
        <f>SUMPRODUCT((EXACT(V15:V69,W10)*1))</f>
        <v>5</v>
      </c>
      <c r="W10" s="141" t="s">
        <v>1981</v>
      </c>
      <c r="X10" s="2" t="s">
        <v>1982</v>
      </c>
      <c r="Y10" s="350"/>
    </row>
    <row r="11" spans="1:25" ht="18" customHeight="1">
      <c r="A11" s="112"/>
      <c r="B11" s="112"/>
      <c r="C11" s="297"/>
      <c r="D11" s="112"/>
      <c r="E11" s="1835"/>
      <c r="F11" s="1835"/>
      <c r="G11" s="1835"/>
      <c r="H11" s="135"/>
      <c r="I11" s="137" t="s">
        <v>1983</v>
      </c>
      <c r="J11" s="135"/>
      <c r="K11" s="137"/>
      <c r="L11" s="122"/>
      <c r="M11" s="122"/>
      <c r="N11" s="142">
        <f>SUM(N15:N149)</f>
        <v>36000</v>
      </c>
      <c r="O11" s="780"/>
      <c r="P11" s="142">
        <f>SUM(P15:P149)</f>
        <v>10000</v>
      </c>
      <c r="Q11" s="142">
        <f>SUM(Q15:Q149)</f>
        <v>0</v>
      </c>
      <c r="R11" s="142">
        <f>SUM(R15:R149)</f>
        <v>68</v>
      </c>
      <c r="S11" s="142">
        <f>SUM(S15:S149)</f>
        <v>1996</v>
      </c>
      <c r="T11" s="1844"/>
      <c r="U11" s="1845"/>
      <c r="V11" s="143">
        <f>SUMPRODUCT((EXACT(V15:V69,W11)*1))</f>
        <v>5</v>
      </c>
      <c r="W11" s="144" t="s">
        <v>1984</v>
      </c>
      <c r="X11" t="s">
        <v>1985</v>
      </c>
      <c r="Y11" s="145"/>
    </row>
    <row r="12" spans="1:25" ht="9" customHeight="1">
      <c r="A12" s="112"/>
      <c r="B12" s="112"/>
      <c r="C12" s="297"/>
      <c r="D12" s="112"/>
      <c r="F12" s="137"/>
      <c r="G12" s="137"/>
      <c r="H12" s="137"/>
      <c r="I12" s="137"/>
      <c r="J12" s="137"/>
      <c r="K12" s="146"/>
      <c r="L12" s="122"/>
      <c r="M12" s="122"/>
      <c r="N12" s="122"/>
      <c r="O12" s="779"/>
      <c r="P12" s="122"/>
      <c r="Q12" s="122"/>
      <c r="R12" s="122"/>
      <c r="S12" s="122"/>
      <c r="T12" s="122"/>
      <c r="U12" s="122"/>
      <c r="V12" s="140"/>
      <c r="W12" s="118"/>
      <c r="Y12" s="145"/>
    </row>
    <row r="13" spans="1:25" ht="19.5" hidden="1" customHeight="1">
      <c r="D13" s="147" t="e">
        <v>#REF!</v>
      </c>
      <c r="E13" s="147" t="e">
        <v>#REF!</v>
      </c>
      <c r="F13" s="147" t="e">
        <v>#REF!</v>
      </c>
      <c r="G13" s="147" t="e">
        <v>#REF!</v>
      </c>
      <c r="H13" s="147" t="e">
        <v>#REF!</v>
      </c>
      <c r="I13" s="147" t="e">
        <v>#REF!</v>
      </c>
      <c r="J13" s="147" t="e">
        <v>#REF!</v>
      </c>
      <c r="K13" s="147" t="e">
        <v>#REF!</v>
      </c>
      <c r="L13" s="147" t="e">
        <v>#REF!</v>
      </c>
      <c r="M13" s="147" t="e">
        <v>#REF!</v>
      </c>
      <c r="N13" s="147" t="e">
        <v>#REF!</v>
      </c>
      <c r="O13" s="781"/>
      <c r="P13" s="147" t="e">
        <v>#REF!</v>
      </c>
      <c r="Q13" s="147" t="e">
        <v>#REF!</v>
      </c>
      <c r="R13" s="147" t="e">
        <v>#REF!</v>
      </c>
      <c r="S13" s="147" t="e">
        <v>#REF!</v>
      </c>
      <c r="T13" s="147" t="e">
        <v>#REF!</v>
      </c>
      <c r="U13" s="147" t="e">
        <v>#REF!</v>
      </c>
      <c r="V13" s="147" t="e">
        <v>#REF!</v>
      </c>
      <c r="W13" s="147" t="e">
        <v>#REF!</v>
      </c>
      <c r="X13" s="147" t="e">
        <v>#REF!</v>
      </c>
      <c r="Y13" s="147" t="e">
        <v>#REF!</v>
      </c>
    </row>
    <row r="14" spans="1:25" ht="37.5" customHeight="1">
      <c r="A14" s="148"/>
      <c r="B14" s="148" t="s">
        <v>1986</v>
      </c>
      <c r="C14" s="148" t="s">
        <v>2370</v>
      </c>
      <c r="D14" s="148" t="s">
        <v>1987</v>
      </c>
      <c r="E14" s="148" t="s">
        <v>1988</v>
      </c>
      <c r="F14" s="149" t="s">
        <v>1989</v>
      </c>
      <c r="G14" s="148" t="s">
        <v>1990</v>
      </c>
      <c r="H14" s="150" t="s">
        <v>1991</v>
      </c>
      <c r="I14" s="150" t="s">
        <v>1992</v>
      </c>
      <c r="J14" s="150" t="s">
        <v>1993</v>
      </c>
      <c r="K14" s="150" t="s">
        <v>1994</v>
      </c>
      <c r="L14" s="150" t="s">
        <v>585</v>
      </c>
      <c r="M14" s="151" t="s">
        <v>1995</v>
      </c>
      <c r="N14" s="151" t="s">
        <v>1996</v>
      </c>
      <c r="O14" s="782" t="s">
        <v>2618</v>
      </c>
      <c r="P14" s="151" t="s">
        <v>1997</v>
      </c>
      <c r="Q14" s="151" t="s">
        <v>1998</v>
      </c>
      <c r="R14" s="1841" t="s">
        <v>1999</v>
      </c>
      <c r="S14" s="1841"/>
      <c r="T14" s="152" t="s">
        <v>2000</v>
      </c>
      <c r="U14" s="152" t="s">
        <v>2001</v>
      </c>
      <c r="V14" s="152" t="s">
        <v>2002</v>
      </c>
      <c r="W14" s="152" t="s">
        <v>2003</v>
      </c>
      <c r="X14" s="153" t="s">
        <v>2004</v>
      </c>
      <c r="Y14" s="154" t="s">
        <v>2005</v>
      </c>
    </row>
    <row r="15" spans="1:25" s="531" customFormat="1" ht="15" customHeight="1">
      <c r="A15" s="804" t="str">
        <f t="shared" ref="A15:A78" si="2">IF(D15="","",IF(U15="",$W$3&amp;V15,YEAR(T15)&amp;"-"&amp;YEAR(Y15)&amp;V15))</f>
        <v>2015-2016annual</v>
      </c>
      <c r="B15" s="1019" t="str">
        <f>$E$9</f>
        <v>HUTIANE</v>
      </c>
      <c r="C15" s="1976">
        <v>5677610</v>
      </c>
      <c r="D15" s="1976">
        <v>132898</v>
      </c>
      <c r="E15" s="1976" t="s">
        <v>2880</v>
      </c>
      <c r="F15" s="1976" t="s">
        <v>2877</v>
      </c>
      <c r="G15" s="1976" t="s">
        <v>2878</v>
      </c>
      <c r="H15" s="1976" t="s">
        <v>54</v>
      </c>
      <c r="I15" s="1976" t="s">
        <v>54</v>
      </c>
      <c r="J15" s="1976" t="s">
        <v>2976</v>
      </c>
      <c r="K15" s="1977">
        <v>33132</v>
      </c>
      <c r="L15" s="1976"/>
      <c r="M15" s="1976" t="s">
        <v>33</v>
      </c>
      <c r="N15" s="1976">
        <v>2500</v>
      </c>
      <c r="O15" s="790">
        <v>0</v>
      </c>
      <c r="P15" s="1017" t="str">
        <f>Cotations!R15</f>
        <v/>
      </c>
      <c r="Q15" s="1342">
        <v>0</v>
      </c>
      <c r="R15" s="529">
        <f>IF(T15="","",IF(U15="",(DATEDIF(T15,Y15,"M")+1),(DATEDIF(T15,U15,"M")+1)))</f>
        <v>8</v>
      </c>
      <c r="S15" s="529">
        <f>IF(T15="","",DATEDIF(T15,IF(U15="",T15+365,U15),"D")+1)</f>
        <v>242</v>
      </c>
      <c r="T15" s="1983">
        <v>42320</v>
      </c>
      <c r="U15" s="1983">
        <v>42561</v>
      </c>
      <c r="V15" s="1981" t="s">
        <v>1981</v>
      </c>
      <c r="W15" s="1980" t="s">
        <v>2981</v>
      </c>
      <c r="X15" s="1368"/>
      <c r="Y15" s="812">
        <f t="shared" ref="Y15:Y77" si="3">IF(T15="","",IF(U15="",DATERENOUV,IF(DATERENOUVMOINS365&gt;=U15,DATERENOUVMOINS365,DATERENOUV)))</f>
        <v>42685</v>
      </c>
    </row>
    <row r="16" spans="1:25" s="531" customFormat="1" ht="15" customHeight="1">
      <c r="A16" s="804" t="str">
        <f t="shared" si="2"/>
        <v>2015-2016annual</v>
      </c>
      <c r="B16" s="1019" t="str">
        <f t="shared" ref="B16:B79" si="4">$E$9</f>
        <v>HUTIANE</v>
      </c>
      <c r="C16" s="1976">
        <v>5677605</v>
      </c>
      <c r="D16" s="1976">
        <v>131262</v>
      </c>
      <c r="E16" s="1976" t="s">
        <v>2888</v>
      </c>
      <c r="F16" s="1976" t="s">
        <v>2877</v>
      </c>
      <c r="G16" s="1976" t="s">
        <v>2885</v>
      </c>
      <c r="H16" s="1976" t="s">
        <v>54</v>
      </c>
      <c r="I16" s="1976" t="s">
        <v>54</v>
      </c>
      <c r="J16" s="1976" t="s">
        <v>2977</v>
      </c>
      <c r="K16" s="1977">
        <v>22440</v>
      </c>
      <c r="L16" s="1976" t="s">
        <v>2886</v>
      </c>
      <c r="M16" s="1976" t="s">
        <v>33</v>
      </c>
      <c r="N16" s="1976">
        <v>3000</v>
      </c>
      <c r="O16" s="790">
        <v>0</v>
      </c>
      <c r="P16" s="1017" t="str">
        <f>Cotations!R16</f>
        <v/>
      </c>
      <c r="Q16" s="1343">
        <v>0</v>
      </c>
      <c r="R16" s="529">
        <f t="shared" ref="R16:R18" si="5">IF(T16="","",IF(U16="",(DATEDIF(T16,Y16,"M")+1),(DATEDIF(T16,U16,"M")+1)))</f>
        <v>12</v>
      </c>
      <c r="S16" s="529">
        <f t="shared" ref="S16:S18" si="6">IF(T16="","",DATEDIF(T16,IF(U16="",T16+365,U16),"D")+1)</f>
        <v>366</v>
      </c>
      <c r="T16" s="1983">
        <v>42320</v>
      </c>
      <c r="U16" s="1983">
        <v>42685</v>
      </c>
      <c r="V16" s="1981" t="s">
        <v>1981</v>
      </c>
      <c r="W16" s="1980" t="s">
        <v>2981</v>
      </c>
      <c r="X16" s="1368"/>
      <c r="Y16" s="812">
        <f t="shared" si="3"/>
        <v>42685</v>
      </c>
    </row>
    <row r="17" spans="1:25" s="531" customFormat="1" ht="15" customHeight="1">
      <c r="A17" s="804" t="str">
        <f t="shared" si="2"/>
        <v>2016-2016seasonal</v>
      </c>
      <c r="B17" s="1019" t="str">
        <f t="shared" si="4"/>
        <v>HUTIANE</v>
      </c>
      <c r="C17" s="1976"/>
      <c r="D17" s="1976">
        <v>134139</v>
      </c>
      <c r="E17" s="1976" t="s">
        <v>2890</v>
      </c>
      <c r="F17" s="1976" t="s">
        <v>2889</v>
      </c>
      <c r="G17" s="1976" t="s">
        <v>1352</v>
      </c>
      <c r="H17" s="1976" t="s">
        <v>54</v>
      </c>
      <c r="I17" s="1976" t="s">
        <v>54</v>
      </c>
      <c r="J17" s="1976" t="s">
        <v>2977</v>
      </c>
      <c r="K17" s="1977">
        <v>31461</v>
      </c>
      <c r="L17" s="1976"/>
      <c r="M17" s="1976" t="s">
        <v>33</v>
      </c>
      <c r="N17" s="1976">
        <v>2500</v>
      </c>
      <c r="O17" s="790">
        <v>0</v>
      </c>
      <c r="P17" s="1017" t="str">
        <f>Cotations!R17</f>
        <v/>
      </c>
      <c r="Q17" s="1344">
        <v>0</v>
      </c>
      <c r="R17" s="529">
        <f t="shared" si="5"/>
        <v>3</v>
      </c>
      <c r="S17" s="529">
        <f t="shared" si="6"/>
        <v>66</v>
      </c>
      <c r="T17" s="1983">
        <v>42496</v>
      </c>
      <c r="U17" s="1983">
        <v>42561</v>
      </c>
      <c r="V17" s="1981" t="s">
        <v>1984</v>
      </c>
      <c r="W17" s="1980" t="s">
        <v>2988</v>
      </c>
      <c r="X17" s="1368"/>
      <c r="Y17" s="812">
        <f t="shared" si="3"/>
        <v>42685</v>
      </c>
    </row>
    <row r="18" spans="1:25" s="432" customFormat="1" ht="15" customHeight="1">
      <c r="A18" s="804" t="str">
        <f t="shared" si="2"/>
        <v>2016-2016seasonal</v>
      </c>
      <c r="B18" s="1320" t="str">
        <f t="shared" si="4"/>
        <v>HUTIANE</v>
      </c>
      <c r="C18" s="1976"/>
      <c r="D18" s="1976">
        <v>134505</v>
      </c>
      <c r="E18" s="1976" t="s">
        <v>2893</v>
      </c>
      <c r="F18" s="1976" t="s">
        <v>2891</v>
      </c>
      <c r="G18" s="1976" t="s">
        <v>2892</v>
      </c>
      <c r="H18" s="1976" t="s">
        <v>2978</v>
      </c>
      <c r="I18" s="1976" t="s">
        <v>2978</v>
      </c>
      <c r="J18" s="1976" t="s">
        <v>2976</v>
      </c>
      <c r="K18" s="1977">
        <v>29698</v>
      </c>
      <c r="L18" s="1976"/>
      <c r="M18" s="1976" t="s">
        <v>33</v>
      </c>
      <c r="N18" s="1976">
        <v>2500</v>
      </c>
      <c r="O18" s="1332">
        <v>0</v>
      </c>
      <c r="P18" s="1017" t="str">
        <f>Cotations!R18</f>
        <v/>
      </c>
      <c r="Q18" s="1342">
        <v>0</v>
      </c>
      <c r="R18" s="529">
        <f t="shared" si="5"/>
        <v>1</v>
      </c>
      <c r="S18" s="529">
        <f t="shared" si="6"/>
        <v>18</v>
      </c>
      <c r="T18" s="1983">
        <v>42561</v>
      </c>
      <c r="U18" s="1983">
        <v>42578</v>
      </c>
      <c r="V18" s="1981" t="s">
        <v>1984</v>
      </c>
      <c r="W18" s="1980" t="s">
        <v>2988</v>
      </c>
      <c r="X18" s="1368"/>
      <c r="Y18" s="812">
        <f t="shared" si="3"/>
        <v>42685</v>
      </c>
    </row>
    <row r="19" spans="1:25" s="432" customFormat="1" ht="15" customHeight="1">
      <c r="A19" s="804" t="str">
        <f t="shared" si="2"/>
        <v>2016-2016seasonal</v>
      </c>
      <c r="B19" s="1320" t="str">
        <f t="shared" si="4"/>
        <v>HUTIANE</v>
      </c>
      <c r="C19" s="1976"/>
      <c r="D19" s="1976">
        <v>134624</v>
      </c>
      <c r="E19" s="1976" t="s">
        <v>2897</v>
      </c>
      <c r="F19" s="1976" t="s">
        <v>2895</v>
      </c>
      <c r="G19" s="1976" t="s">
        <v>2896</v>
      </c>
      <c r="H19" s="1976" t="s">
        <v>54</v>
      </c>
      <c r="I19" s="1976" t="s">
        <v>54</v>
      </c>
      <c r="J19" s="1976" t="s">
        <v>2976</v>
      </c>
      <c r="K19" s="1977">
        <v>33759</v>
      </c>
      <c r="L19" s="1976"/>
      <c r="M19" s="1976" t="s">
        <v>33</v>
      </c>
      <c r="N19" s="1976">
        <v>2500</v>
      </c>
      <c r="O19" s="1332">
        <v>0</v>
      </c>
      <c r="P19" s="1017" t="str">
        <f>Cotations!R19</f>
        <v/>
      </c>
      <c r="Q19" s="1343">
        <v>0</v>
      </c>
      <c r="R19" s="529">
        <f t="shared" ref="R19:R22" si="7">IF(T19="","",IF(U19="",(DATEDIF(T19,Y19,"M")+1),(DATEDIF(T19,U19,"M")+1)))</f>
        <v>1</v>
      </c>
      <c r="S19" s="529">
        <f t="shared" ref="S19:S22" si="8">IF(T19="","",DATEDIF(T19,IF(U19="",T19+365,U19),"D")+1)</f>
        <v>6</v>
      </c>
      <c r="T19" s="1983">
        <v>42580</v>
      </c>
      <c r="U19" s="1983">
        <v>42585</v>
      </c>
      <c r="V19" s="1981" t="s">
        <v>1984</v>
      </c>
      <c r="W19" s="1980" t="s">
        <v>2988</v>
      </c>
      <c r="X19" s="1368"/>
      <c r="Y19" s="812">
        <f t="shared" si="3"/>
        <v>42685</v>
      </c>
    </row>
    <row r="20" spans="1:25" s="1081" customFormat="1" ht="15" customHeight="1">
      <c r="A20" s="1333" t="str">
        <f t="shared" si="2"/>
        <v>2016-2016seasonal</v>
      </c>
      <c r="B20" s="869" t="str">
        <f t="shared" si="4"/>
        <v>HUTIANE</v>
      </c>
      <c r="C20" s="1976"/>
      <c r="D20" s="1976">
        <v>134687</v>
      </c>
      <c r="E20" s="1976" t="s">
        <v>2880</v>
      </c>
      <c r="F20" s="1976" t="s">
        <v>2898</v>
      </c>
      <c r="G20" s="1976" t="s">
        <v>2899</v>
      </c>
      <c r="H20" s="1976" t="s">
        <v>2979</v>
      </c>
      <c r="I20" s="1976" t="s">
        <v>2979</v>
      </c>
      <c r="J20" s="1976" t="s">
        <v>2976</v>
      </c>
      <c r="K20" s="1977">
        <v>33899</v>
      </c>
      <c r="L20" s="1976"/>
      <c r="M20" s="1976" t="s">
        <v>33</v>
      </c>
      <c r="N20" s="1976">
        <v>2500</v>
      </c>
      <c r="O20" s="1332">
        <v>0</v>
      </c>
      <c r="P20" s="1017" t="str">
        <f>Cotations!R20</f>
        <v/>
      </c>
      <c r="Q20" s="1344">
        <v>0</v>
      </c>
      <c r="R20" s="529">
        <f t="shared" si="7"/>
        <v>2</v>
      </c>
      <c r="S20" s="529">
        <f t="shared" si="8"/>
        <v>52</v>
      </c>
      <c r="T20" s="1983">
        <v>42592</v>
      </c>
      <c r="U20" s="1983">
        <v>42643</v>
      </c>
      <c r="V20" s="1981" t="s">
        <v>1984</v>
      </c>
      <c r="W20" s="1980" t="s">
        <v>2988</v>
      </c>
      <c r="X20" s="1368"/>
      <c r="Y20" s="812">
        <f t="shared" si="3"/>
        <v>42685</v>
      </c>
    </row>
    <row r="21" spans="1:25" s="421" customFormat="1" ht="15" customHeight="1">
      <c r="A21" s="804" t="str">
        <f t="shared" si="2"/>
        <v>2015-2016annual</v>
      </c>
      <c r="B21" s="942" t="str">
        <f t="shared" si="4"/>
        <v>HUTIANE</v>
      </c>
      <c r="C21" s="1976">
        <v>5265741</v>
      </c>
      <c r="D21" s="1976">
        <v>130534</v>
      </c>
      <c r="E21" s="1976" t="s">
        <v>2905</v>
      </c>
      <c r="F21" s="1976" t="s">
        <v>2902</v>
      </c>
      <c r="G21" s="1976" t="s">
        <v>2903</v>
      </c>
      <c r="H21" s="1976" t="s">
        <v>54</v>
      </c>
      <c r="I21" s="1976" t="s">
        <v>54</v>
      </c>
      <c r="J21" s="1976" t="s">
        <v>2976</v>
      </c>
      <c r="K21" s="1977">
        <v>30953</v>
      </c>
      <c r="L21" s="1976" t="s">
        <v>2904</v>
      </c>
      <c r="M21" s="1976" t="s">
        <v>33</v>
      </c>
      <c r="N21" s="1976">
        <v>7000</v>
      </c>
      <c r="O21" s="790">
        <v>0</v>
      </c>
      <c r="P21" s="1017" t="str">
        <f>Cotations!R21</f>
        <v/>
      </c>
      <c r="Q21" s="1342">
        <v>0</v>
      </c>
      <c r="R21" s="529">
        <f t="shared" si="7"/>
        <v>12</v>
      </c>
      <c r="S21" s="529">
        <f t="shared" si="8"/>
        <v>366</v>
      </c>
      <c r="T21" s="1983">
        <v>42320</v>
      </c>
      <c r="U21" s="1983">
        <v>42685</v>
      </c>
      <c r="V21" s="1981" t="s">
        <v>1981</v>
      </c>
      <c r="W21" s="1980" t="s">
        <v>2981</v>
      </c>
      <c r="X21" s="1368"/>
      <c r="Y21" s="812">
        <f t="shared" si="3"/>
        <v>42685</v>
      </c>
    </row>
    <row r="22" spans="1:25" s="421" customFormat="1" ht="15" customHeight="1">
      <c r="A22" s="804" t="str">
        <f t="shared" ref="A22" si="9">IF(D22="","",IF(U22="",$W$3&amp;V22,YEAR(T22)&amp;"-"&amp;YEAR(Y22)&amp;V22))</f>
        <v>2016-2016seasonal</v>
      </c>
      <c r="B22" s="942" t="str">
        <f t="shared" ref="B22" si="10">$E$9</f>
        <v>HUTIANE</v>
      </c>
      <c r="C22" s="1976"/>
      <c r="D22" s="1976">
        <v>134138</v>
      </c>
      <c r="E22" s="1976" t="s">
        <v>2908</v>
      </c>
      <c r="F22" s="1976" t="s">
        <v>2906</v>
      </c>
      <c r="G22" s="1976" t="s">
        <v>2980</v>
      </c>
      <c r="H22" s="1976" t="s">
        <v>2979</v>
      </c>
      <c r="I22" s="1976" t="s">
        <v>2979</v>
      </c>
      <c r="J22" s="1976" t="s">
        <v>2977</v>
      </c>
      <c r="K22" s="1977">
        <v>33961</v>
      </c>
      <c r="L22" s="1976"/>
      <c r="M22" s="1976" t="s">
        <v>33</v>
      </c>
      <c r="N22" s="1976">
        <v>3500</v>
      </c>
      <c r="O22" s="790">
        <v>0</v>
      </c>
      <c r="P22" s="1017" t="str">
        <f>Cotations!R22</f>
        <v/>
      </c>
      <c r="Q22" s="1343">
        <v>0</v>
      </c>
      <c r="R22" s="529">
        <f t="shared" si="7"/>
        <v>5</v>
      </c>
      <c r="S22" s="529">
        <f t="shared" si="8"/>
        <v>148</v>
      </c>
      <c r="T22" s="1983">
        <v>42496</v>
      </c>
      <c r="U22" s="1983">
        <v>42643</v>
      </c>
      <c r="V22" s="1981" t="s">
        <v>1984</v>
      </c>
      <c r="W22" s="1980" t="s">
        <v>2988</v>
      </c>
      <c r="X22" s="1368"/>
      <c r="Y22" s="812">
        <f t="shared" ref="Y22" si="11">IF(T22="","",IF(U22="",DATERENOUV,IF(DATERENOUVMOINS365&gt;=U22,DATERENOUVMOINS365,DATERENOUV)))</f>
        <v>42685</v>
      </c>
    </row>
    <row r="23" spans="1:25" s="937" customFormat="1" ht="15" customHeight="1">
      <c r="A23" s="944" t="str">
        <f t="shared" ref="A23:A47" si="12">IF(D23="","",IF(U23="",$W$3&amp;V23,YEAR(T23)&amp;"-"&amp;YEAR(Y23)&amp;V23))</f>
        <v>2016-2017annual</v>
      </c>
      <c r="B23" s="1383" t="str">
        <f t="shared" ref="B23:B47" si="13">$E$9</f>
        <v>HUTIANE</v>
      </c>
      <c r="C23" s="1976">
        <v>5677605</v>
      </c>
      <c r="D23" s="1976">
        <v>131262</v>
      </c>
      <c r="E23" s="1976" t="s">
        <v>2888</v>
      </c>
      <c r="F23" s="1976" t="s">
        <v>2877</v>
      </c>
      <c r="G23" s="1976" t="s">
        <v>2885</v>
      </c>
      <c r="H23" s="1976" t="s">
        <v>54</v>
      </c>
      <c r="I23" s="1976" t="s">
        <v>54</v>
      </c>
      <c r="J23" s="1976" t="s">
        <v>2977</v>
      </c>
      <c r="K23" s="1977">
        <v>22440</v>
      </c>
      <c r="L23" s="1976" t="s">
        <v>2886</v>
      </c>
      <c r="M23" s="1976" t="s">
        <v>33</v>
      </c>
      <c r="N23" s="1976">
        <v>3000</v>
      </c>
      <c r="O23" s="790">
        <v>0</v>
      </c>
      <c r="P23" s="1017">
        <f>Cotations!R23</f>
        <v>3000</v>
      </c>
      <c r="Q23" s="1344">
        <v>0</v>
      </c>
      <c r="R23" s="529">
        <f t="shared" ref="R23:R47" si="14">IF(T23="","",IF(U23="",(DATEDIF(T23,Y23,"M")+1),(DATEDIF(T23,U23,"M")+1)))</f>
        <v>12</v>
      </c>
      <c r="S23" s="529">
        <f t="shared" ref="S23:S47" si="15">IF(T23="","",DATEDIF(T23,IF(U23="",T23+365,U23),"D")+1)</f>
        <v>366</v>
      </c>
      <c r="T23" s="1982">
        <v>42686</v>
      </c>
      <c r="U23" s="1981"/>
      <c r="V23" s="1981" t="s">
        <v>1981</v>
      </c>
      <c r="W23" s="1980" t="s">
        <v>2994</v>
      </c>
      <c r="X23" s="1368"/>
      <c r="Y23" s="812">
        <f t="shared" ref="Y23:Y47" si="16">IF(T23="","",IF(U23="",DATERENOUV,IF(DATERENOUVMOINS365&gt;=U23,DATERENOUVMOINS365,DATERENOUV)))</f>
        <v>43050</v>
      </c>
    </row>
    <row r="24" spans="1:25" s="937" customFormat="1" ht="15" customHeight="1">
      <c r="A24" s="944" t="str">
        <f t="shared" si="12"/>
        <v>2016-2017annual</v>
      </c>
      <c r="B24" s="1383" t="str">
        <f t="shared" si="13"/>
        <v>HUTIANE</v>
      </c>
      <c r="C24" s="1976">
        <v>5265741</v>
      </c>
      <c r="D24" s="1976">
        <v>130534</v>
      </c>
      <c r="E24" s="1976" t="s">
        <v>2905</v>
      </c>
      <c r="F24" s="1976" t="s">
        <v>2902</v>
      </c>
      <c r="G24" s="1976" t="s">
        <v>2903</v>
      </c>
      <c r="H24" s="1976" t="s">
        <v>54</v>
      </c>
      <c r="I24" s="1976" t="s">
        <v>54</v>
      </c>
      <c r="J24" s="1976" t="s">
        <v>2976</v>
      </c>
      <c r="K24" s="1977">
        <v>30953</v>
      </c>
      <c r="L24" s="1976" t="s">
        <v>2904</v>
      </c>
      <c r="M24" s="1976" t="s">
        <v>33</v>
      </c>
      <c r="N24" s="1976">
        <v>7000</v>
      </c>
      <c r="O24" s="790">
        <v>0</v>
      </c>
      <c r="P24" s="1017">
        <f>Cotations!R24</f>
        <v>7000</v>
      </c>
      <c r="Q24" s="1342">
        <v>0</v>
      </c>
      <c r="R24" s="529">
        <f t="shared" si="14"/>
        <v>12</v>
      </c>
      <c r="S24" s="529">
        <f t="shared" si="15"/>
        <v>366</v>
      </c>
      <c r="T24" s="1982">
        <v>42686</v>
      </c>
      <c r="U24" s="1981"/>
      <c r="V24" s="1981" t="s">
        <v>1981</v>
      </c>
      <c r="W24" s="1980" t="s">
        <v>2994</v>
      </c>
      <c r="X24" s="1368"/>
      <c r="Y24" s="812">
        <f t="shared" si="16"/>
        <v>43050</v>
      </c>
    </row>
    <row r="25" spans="1:25" s="937" customFormat="1" ht="15" customHeight="1">
      <c r="A25" s="944" t="str">
        <f t="shared" si="12"/>
        <v/>
      </c>
      <c r="B25" s="1383" t="str">
        <f t="shared" si="13"/>
        <v>HUTIANE</v>
      </c>
      <c r="C25" s="1392"/>
      <c r="D25" s="1392"/>
      <c r="E25" s="1392"/>
      <c r="F25" s="1392"/>
      <c r="G25" s="1392"/>
      <c r="H25" s="1392"/>
      <c r="I25" s="1392"/>
      <c r="J25" s="1392"/>
      <c r="K25" s="1370"/>
      <c r="L25" s="1392"/>
      <c r="M25" s="1392"/>
      <c r="N25" s="1392"/>
      <c r="O25" s="790">
        <v>0</v>
      </c>
      <c r="P25" s="1017" t="str">
        <f>Cotations!R25</f>
        <v/>
      </c>
      <c r="Q25" s="1343">
        <v>0</v>
      </c>
      <c r="R25" s="529" t="str">
        <f t="shared" si="14"/>
        <v/>
      </c>
      <c r="S25" s="529" t="str">
        <f t="shared" si="15"/>
        <v/>
      </c>
      <c r="T25" s="1370"/>
      <c r="U25" s="1370"/>
      <c r="V25" s="1447"/>
      <c r="W25" s="1447"/>
      <c r="X25" s="1368"/>
      <c r="Y25" s="812" t="str">
        <f t="shared" si="16"/>
        <v/>
      </c>
    </row>
    <row r="26" spans="1:25" s="937" customFormat="1" ht="15" customHeight="1">
      <c r="A26" s="944" t="str">
        <f t="shared" si="12"/>
        <v/>
      </c>
      <c r="B26" s="1383" t="str">
        <f t="shared" si="13"/>
        <v>HUTIANE</v>
      </c>
      <c r="C26" s="1392"/>
      <c r="D26" s="1392"/>
      <c r="E26" s="1392"/>
      <c r="F26" s="1392"/>
      <c r="G26" s="1392"/>
      <c r="H26" s="1392"/>
      <c r="I26" s="1392"/>
      <c r="J26" s="1392"/>
      <c r="K26" s="1370"/>
      <c r="L26" s="1392"/>
      <c r="M26" s="1392"/>
      <c r="N26" s="1392"/>
      <c r="O26" s="790">
        <v>0</v>
      </c>
      <c r="P26" s="1017" t="str">
        <f>Cotations!R26</f>
        <v/>
      </c>
      <c r="Q26" s="1344">
        <v>0</v>
      </c>
      <c r="R26" s="529" t="str">
        <f t="shared" si="14"/>
        <v/>
      </c>
      <c r="S26" s="529" t="str">
        <f t="shared" si="15"/>
        <v/>
      </c>
      <c r="T26" s="1370"/>
      <c r="U26" s="1370"/>
      <c r="V26" s="1447"/>
      <c r="W26" s="1447"/>
      <c r="X26" s="1368"/>
      <c r="Y26" s="812" t="str">
        <f t="shared" si="16"/>
        <v/>
      </c>
    </row>
    <row r="27" spans="1:25" s="421" customFormat="1" ht="15" customHeight="1">
      <c r="A27" s="804" t="str">
        <f t="shared" si="12"/>
        <v/>
      </c>
      <c r="B27" s="1384" t="str">
        <f t="shared" si="13"/>
        <v>HUTIANE</v>
      </c>
      <c r="C27" s="1392"/>
      <c r="D27" s="1392"/>
      <c r="E27" s="1392"/>
      <c r="F27" s="1392"/>
      <c r="G27" s="1392"/>
      <c r="H27" s="1392"/>
      <c r="I27" s="1392"/>
      <c r="J27" s="1392"/>
      <c r="K27" s="1370"/>
      <c r="L27" s="1392"/>
      <c r="M27" s="1392"/>
      <c r="N27" s="1392"/>
      <c r="O27" s="790">
        <v>0</v>
      </c>
      <c r="P27" s="1017" t="str">
        <f>Cotations!R27</f>
        <v/>
      </c>
      <c r="Q27" s="1342">
        <v>0</v>
      </c>
      <c r="R27" s="529" t="str">
        <f t="shared" si="14"/>
        <v/>
      </c>
      <c r="S27" s="529" t="str">
        <f t="shared" si="15"/>
        <v/>
      </c>
      <c r="T27" s="1370"/>
      <c r="U27" s="1370"/>
      <c r="V27" s="1447"/>
      <c r="W27" s="1447"/>
      <c r="X27" s="1368"/>
      <c r="Y27" s="812" t="str">
        <f t="shared" si="16"/>
        <v/>
      </c>
    </row>
    <row r="28" spans="1:25" s="157" customFormat="1" ht="15" customHeight="1">
      <c r="A28" s="804" t="str">
        <f t="shared" si="12"/>
        <v/>
      </c>
      <c r="B28" s="1384" t="str">
        <f t="shared" si="13"/>
        <v>HUTIANE</v>
      </c>
      <c r="C28" s="1392"/>
      <c r="D28" s="1392"/>
      <c r="E28" s="1392"/>
      <c r="F28" s="1392"/>
      <c r="G28" s="1392"/>
      <c r="H28" s="1392"/>
      <c r="I28" s="1392"/>
      <c r="J28" s="1392"/>
      <c r="K28" s="1370"/>
      <c r="L28" s="1392"/>
      <c r="M28" s="1392"/>
      <c r="N28" s="1392"/>
      <c r="O28" s="790">
        <v>0</v>
      </c>
      <c r="P28" s="1017" t="str">
        <f>Cotations!R28</f>
        <v/>
      </c>
      <c r="Q28" s="1344">
        <v>0</v>
      </c>
      <c r="R28" s="529" t="str">
        <f t="shared" si="14"/>
        <v/>
      </c>
      <c r="S28" s="529" t="str">
        <f t="shared" si="15"/>
        <v/>
      </c>
      <c r="T28" s="1370"/>
      <c r="U28" s="1370"/>
      <c r="V28" s="1447"/>
      <c r="W28" s="1447"/>
      <c r="X28" s="1368"/>
      <c r="Y28" s="812" t="str">
        <f t="shared" si="16"/>
        <v/>
      </c>
    </row>
    <row r="29" spans="1:25" s="158" customFormat="1" ht="15" customHeight="1">
      <c r="A29" s="804" t="str">
        <f t="shared" si="12"/>
        <v/>
      </c>
      <c r="B29" s="1384" t="str">
        <f t="shared" si="13"/>
        <v>HUTIANE</v>
      </c>
      <c r="C29" s="1392"/>
      <c r="D29" s="1392"/>
      <c r="E29" s="1392"/>
      <c r="F29" s="1392"/>
      <c r="G29" s="1392"/>
      <c r="H29" s="1392"/>
      <c r="I29" s="1392"/>
      <c r="J29" s="1392"/>
      <c r="K29" s="1370"/>
      <c r="L29" s="1392"/>
      <c r="M29" s="1392"/>
      <c r="N29" s="1392"/>
      <c r="O29" s="790">
        <v>0</v>
      </c>
      <c r="P29" s="1017" t="str">
        <f>Cotations!R29</f>
        <v/>
      </c>
      <c r="Q29" s="1373">
        <v>0</v>
      </c>
      <c r="R29" s="529" t="str">
        <f t="shared" si="14"/>
        <v/>
      </c>
      <c r="S29" s="529" t="str">
        <f t="shared" si="15"/>
        <v/>
      </c>
      <c r="T29" s="1370"/>
      <c r="U29" s="1370"/>
      <c r="V29" s="1447"/>
      <c r="W29" s="1447"/>
      <c r="X29" s="1368"/>
      <c r="Y29" s="812" t="str">
        <f t="shared" si="16"/>
        <v/>
      </c>
    </row>
    <row r="30" spans="1:25" s="158" customFormat="1" ht="15" customHeight="1">
      <c r="A30" s="944" t="str">
        <f t="shared" si="12"/>
        <v/>
      </c>
      <c r="B30" s="1383" t="str">
        <f t="shared" si="13"/>
        <v>HUTIANE</v>
      </c>
      <c r="C30" s="1392"/>
      <c r="D30" s="1392"/>
      <c r="E30" s="1392"/>
      <c r="F30" s="1392"/>
      <c r="G30" s="1392"/>
      <c r="H30" s="1392"/>
      <c r="I30" s="1392"/>
      <c r="J30" s="1392"/>
      <c r="K30" s="1370"/>
      <c r="L30" s="1392"/>
      <c r="M30" s="1392"/>
      <c r="N30" s="1392"/>
      <c r="O30" s="790">
        <v>0</v>
      </c>
      <c r="P30" s="1017" t="str">
        <f>Cotations!R30</f>
        <v/>
      </c>
      <c r="Q30" s="1372">
        <v>0</v>
      </c>
      <c r="R30" s="529" t="str">
        <f t="shared" si="14"/>
        <v/>
      </c>
      <c r="S30" s="529" t="str">
        <f t="shared" si="15"/>
        <v/>
      </c>
      <c r="T30" s="1370"/>
      <c r="U30" s="1370"/>
      <c r="V30" s="1447"/>
      <c r="W30" s="1447"/>
      <c r="X30" s="1368"/>
      <c r="Y30" s="812" t="str">
        <f t="shared" si="16"/>
        <v/>
      </c>
    </row>
    <row r="31" spans="1:25" s="945" customFormat="1" ht="15" customHeight="1">
      <c r="A31" s="944" t="str">
        <f t="shared" si="12"/>
        <v/>
      </c>
      <c r="B31" s="1383" t="str">
        <f t="shared" si="13"/>
        <v>HUTIANE</v>
      </c>
      <c r="C31" s="1392"/>
      <c r="D31" s="1392"/>
      <c r="E31" s="1392"/>
      <c r="F31" s="1392"/>
      <c r="G31" s="1392"/>
      <c r="H31" s="1392"/>
      <c r="I31" s="1392"/>
      <c r="J31" s="1392"/>
      <c r="K31" s="1370"/>
      <c r="L31" s="1392"/>
      <c r="M31" s="1392"/>
      <c r="N31" s="1392"/>
      <c r="O31" s="790">
        <v>0</v>
      </c>
      <c r="P31" s="1017" t="str">
        <f>Cotations!R31</f>
        <v/>
      </c>
      <c r="Q31" s="1344">
        <v>0</v>
      </c>
      <c r="R31" s="529" t="str">
        <f t="shared" si="14"/>
        <v/>
      </c>
      <c r="S31" s="529" t="str">
        <f t="shared" si="15"/>
        <v/>
      </c>
      <c r="T31" s="1370"/>
      <c r="U31" s="1370"/>
      <c r="V31" s="1447"/>
      <c r="W31" s="1447"/>
      <c r="X31" s="1368"/>
      <c r="Y31" s="812" t="str">
        <f t="shared" si="16"/>
        <v/>
      </c>
    </row>
    <row r="32" spans="1:25" s="945" customFormat="1">
      <c r="A32" s="804" t="str">
        <f t="shared" si="12"/>
        <v/>
      </c>
      <c r="B32" s="1384" t="str">
        <f t="shared" si="13"/>
        <v>HUTIANE</v>
      </c>
      <c r="C32" s="1392"/>
      <c r="D32" s="1392"/>
      <c r="E32" s="1392"/>
      <c r="F32" s="1392"/>
      <c r="G32" s="1392"/>
      <c r="H32" s="1392"/>
      <c r="I32" s="1392"/>
      <c r="J32" s="1392"/>
      <c r="K32" s="1370"/>
      <c r="L32" s="1392"/>
      <c r="M32" s="1392"/>
      <c r="N32" s="1392"/>
      <c r="O32" s="790">
        <v>0</v>
      </c>
      <c r="P32" s="1017" t="str">
        <f>Cotations!R32</f>
        <v/>
      </c>
      <c r="Q32" s="1372">
        <v>0</v>
      </c>
      <c r="R32" s="529" t="str">
        <f t="shared" si="14"/>
        <v/>
      </c>
      <c r="S32" s="529" t="str">
        <f t="shared" si="15"/>
        <v/>
      </c>
      <c r="T32" s="1370"/>
      <c r="U32" s="1370"/>
      <c r="V32" s="1447"/>
      <c r="W32" s="1447"/>
      <c r="X32" s="1368"/>
      <c r="Y32" s="812" t="str">
        <f t="shared" si="16"/>
        <v/>
      </c>
    </row>
    <row r="33" spans="1:25" s="945" customFormat="1">
      <c r="A33" s="944" t="str">
        <f t="shared" si="12"/>
        <v/>
      </c>
      <c r="B33" s="1383" t="str">
        <f t="shared" si="13"/>
        <v>HUTIANE</v>
      </c>
      <c r="C33" s="1392"/>
      <c r="D33" s="1392"/>
      <c r="E33" s="1392"/>
      <c r="F33" s="1392"/>
      <c r="G33" s="1392"/>
      <c r="H33" s="1392"/>
      <c r="I33" s="1392"/>
      <c r="J33" s="1392"/>
      <c r="K33" s="1370"/>
      <c r="L33" s="1392"/>
      <c r="M33" s="1392"/>
      <c r="N33" s="1392"/>
      <c r="O33" s="790">
        <v>0</v>
      </c>
      <c r="P33" s="1017" t="str">
        <f>Cotations!R33</f>
        <v/>
      </c>
      <c r="Q33" s="1342">
        <v>0</v>
      </c>
      <c r="R33" s="529" t="str">
        <f t="shared" si="14"/>
        <v/>
      </c>
      <c r="S33" s="529" t="str">
        <f t="shared" si="15"/>
        <v/>
      </c>
      <c r="T33" s="1370"/>
      <c r="U33" s="1370"/>
      <c r="V33" s="1447"/>
      <c r="W33" s="1447"/>
      <c r="X33" s="1368"/>
      <c r="Y33" s="812" t="str">
        <f t="shared" si="16"/>
        <v/>
      </c>
    </row>
    <row r="34" spans="1:25" s="945" customFormat="1">
      <c r="A34" s="944" t="str">
        <f t="shared" si="12"/>
        <v/>
      </c>
      <c r="B34" s="1383" t="str">
        <f t="shared" si="13"/>
        <v>HUTIANE</v>
      </c>
      <c r="C34" s="1392"/>
      <c r="D34" s="1392"/>
      <c r="E34" s="1392"/>
      <c r="F34" s="1392"/>
      <c r="G34" s="1392"/>
      <c r="H34" s="1392"/>
      <c r="I34" s="1392"/>
      <c r="J34" s="1392"/>
      <c r="K34" s="1370"/>
      <c r="L34" s="1392"/>
      <c r="M34" s="1392"/>
      <c r="N34" s="1392"/>
      <c r="O34" s="790">
        <v>0</v>
      </c>
      <c r="P34" s="1017" t="str">
        <f>Cotations!R34</f>
        <v/>
      </c>
      <c r="Q34" s="1343">
        <v>0</v>
      </c>
      <c r="R34" s="529" t="str">
        <f t="shared" si="14"/>
        <v/>
      </c>
      <c r="S34" s="529" t="str">
        <f t="shared" si="15"/>
        <v/>
      </c>
      <c r="T34" s="1370"/>
      <c r="U34" s="1370"/>
      <c r="V34" s="1447"/>
      <c r="W34" s="1447"/>
      <c r="X34" s="1368"/>
      <c r="Y34" s="812" t="str">
        <f t="shared" si="16"/>
        <v/>
      </c>
    </row>
    <row r="35" spans="1:25" s="158" customFormat="1">
      <c r="A35" s="156" t="str">
        <f t="shared" si="12"/>
        <v/>
      </c>
      <c r="B35" s="1384" t="str">
        <f t="shared" si="13"/>
        <v>HUTIANE</v>
      </c>
      <c r="C35" s="1392"/>
      <c r="D35" s="1392"/>
      <c r="E35" s="1392"/>
      <c r="F35" s="1392"/>
      <c r="G35" s="1392"/>
      <c r="H35" s="1392"/>
      <c r="I35" s="1392"/>
      <c r="J35" s="1392"/>
      <c r="K35" s="1370"/>
      <c r="L35" s="1392"/>
      <c r="M35" s="1392"/>
      <c r="N35" s="1392"/>
      <c r="O35" s="790">
        <v>0</v>
      </c>
      <c r="P35" s="1017" t="str">
        <f>Cotations!R35</f>
        <v/>
      </c>
      <c r="Q35" s="1344">
        <v>0</v>
      </c>
      <c r="R35" s="529" t="str">
        <f t="shared" si="14"/>
        <v/>
      </c>
      <c r="S35" s="529" t="str">
        <f t="shared" si="15"/>
        <v/>
      </c>
      <c r="T35" s="1370"/>
      <c r="U35" s="1370"/>
      <c r="V35" s="1447"/>
      <c r="W35" s="1447"/>
      <c r="X35" s="1368"/>
      <c r="Y35" s="812" t="str">
        <f t="shared" si="16"/>
        <v/>
      </c>
    </row>
    <row r="36" spans="1:25" s="158" customFormat="1">
      <c r="A36" s="156" t="str">
        <f t="shared" si="12"/>
        <v/>
      </c>
      <c r="B36" s="1384" t="str">
        <f t="shared" si="13"/>
        <v>HUTIANE</v>
      </c>
      <c r="C36" s="1392"/>
      <c r="D36" s="1392"/>
      <c r="E36" s="1392"/>
      <c r="F36" s="1392"/>
      <c r="G36" s="1392"/>
      <c r="H36" s="1392"/>
      <c r="I36" s="1392"/>
      <c r="J36" s="1392"/>
      <c r="K36" s="1370"/>
      <c r="L36" s="1392"/>
      <c r="M36" s="1392"/>
      <c r="N36" s="1392"/>
      <c r="O36" s="790">
        <v>0</v>
      </c>
      <c r="P36" s="1017" t="str">
        <f>Cotations!R36</f>
        <v/>
      </c>
      <c r="Q36" s="1342">
        <v>0</v>
      </c>
      <c r="R36" s="529" t="str">
        <f t="shared" si="14"/>
        <v/>
      </c>
      <c r="S36" s="529" t="str">
        <f t="shared" si="15"/>
        <v/>
      </c>
      <c r="T36" s="1370"/>
      <c r="U36" s="1370"/>
      <c r="V36" s="1447"/>
      <c r="W36" s="1447"/>
      <c r="X36" s="1368"/>
      <c r="Y36" s="812" t="str">
        <f t="shared" si="16"/>
        <v/>
      </c>
    </row>
    <row r="37" spans="1:25" s="158" customFormat="1">
      <c r="A37" s="156" t="str">
        <f t="shared" si="12"/>
        <v/>
      </c>
      <c r="B37" s="1384" t="str">
        <f t="shared" si="13"/>
        <v>HUTIANE</v>
      </c>
      <c r="C37" s="1392"/>
      <c r="D37" s="1392"/>
      <c r="E37" s="1392"/>
      <c r="F37" s="1392"/>
      <c r="G37" s="1392"/>
      <c r="H37" s="1392"/>
      <c r="I37" s="1392"/>
      <c r="J37" s="1392"/>
      <c r="K37" s="1370"/>
      <c r="L37" s="1392"/>
      <c r="M37" s="1392"/>
      <c r="N37" s="1392"/>
      <c r="O37" s="790">
        <v>0</v>
      </c>
      <c r="P37" s="1017" t="str">
        <f>Cotations!R37</f>
        <v/>
      </c>
      <c r="Q37" s="1343">
        <v>0</v>
      </c>
      <c r="R37" s="529" t="str">
        <f t="shared" si="14"/>
        <v/>
      </c>
      <c r="S37" s="529" t="str">
        <f t="shared" si="15"/>
        <v/>
      </c>
      <c r="T37" s="1370"/>
      <c r="U37" s="1370"/>
      <c r="V37" s="1447"/>
      <c r="W37" s="1447"/>
      <c r="X37" s="1368"/>
      <c r="Y37" s="704" t="str">
        <f t="shared" si="16"/>
        <v/>
      </c>
    </row>
    <row r="38" spans="1:25" s="158" customFormat="1">
      <c r="A38" s="156" t="str">
        <f t="shared" si="12"/>
        <v/>
      </c>
      <c r="B38" s="1384" t="str">
        <f t="shared" si="13"/>
        <v>HUTIANE</v>
      </c>
      <c r="C38" s="1392"/>
      <c r="D38" s="1392"/>
      <c r="E38" s="1392"/>
      <c r="F38" s="1392"/>
      <c r="G38" s="1392"/>
      <c r="H38" s="1392"/>
      <c r="I38" s="1392"/>
      <c r="J38" s="1392"/>
      <c r="K38" s="1370"/>
      <c r="L38" s="1392"/>
      <c r="M38" s="1392"/>
      <c r="N38" s="1392"/>
      <c r="O38" s="790">
        <v>0</v>
      </c>
      <c r="P38" s="1017" t="str">
        <f>Cotations!R38</f>
        <v/>
      </c>
      <c r="Q38" s="1344">
        <v>0</v>
      </c>
      <c r="R38" s="529" t="str">
        <f t="shared" si="14"/>
        <v/>
      </c>
      <c r="S38" s="529" t="str">
        <f t="shared" si="15"/>
        <v/>
      </c>
      <c r="T38" s="1370"/>
      <c r="U38" s="1370"/>
      <c r="V38" s="1447"/>
      <c r="W38" s="1447"/>
      <c r="X38" s="1368"/>
      <c r="Y38" s="704" t="str">
        <f t="shared" si="16"/>
        <v/>
      </c>
    </row>
    <row r="39" spans="1:25" s="158" customFormat="1">
      <c r="A39" s="156" t="str">
        <f t="shared" si="12"/>
        <v/>
      </c>
      <c r="B39" s="1384" t="str">
        <f t="shared" si="13"/>
        <v>HUTIANE</v>
      </c>
      <c r="C39" s="1392"/>
      <c r="D39" s="1392"/>
      <c r="E39" s="1392"/>
      <c r="F39" s="1392"/>
      <c r="G39" s="1392"/>
      <c r="H39" s="1392"/>
      <c r="I39" s="1392"/>
      <c r="J39" s="1392"/>
      <c r="K39" s="1370"/>
      <c r="L39" s="1392"/>
      <c r="M39" s="1392"/>
      <c r="N39" s="1392"/>
      <c r="O39" s="790">
        <v>0</v>
      </c>
      <c r="P39" s="1017" t="str">
        <f>Cotations!R39</f>
        <v/>
      </c>
      <c r="Q39" s="1342">
        <v>0</v>
      </c>
      <c r="R39" s="529" t="str">
        <f t="shared" si="14"/>
        <v/>
      </c>
      <c r="S39" s="529" t="str">
        <f t="shared" si="15"/>
        <v/>
      </c>
      <c r="T39" s="1370"/>
      <c r="U39" s="1370"/>
      <c r="V39" s="1447"/>
      <c r="W39" s="1447"/>
      <c r="X39" s="1368"/>
      <c r="Y39" s="704" t="str">
        <f t="shared" si="16"/>
        <v/>
      </c>
    </row>
    <row r="40" spans="1:25" s="158" customFormat="1">
      <c r="A40" s="156" t="str">
        <f t="shared" si="12"/>
        <v/>
      </c>
      <c r="B40" s="1384" t="str">
        <f t="shared" si="13"/>
        <v>HUTIANE</v>
      </c>
      <c r="C40" s="1392"/>
      <c r="D40" s="1392"/>
      <c r="E40" s="1392"/>
      <c r="F40" s="1392"/>
      <c r="G40" s="1392"/>
      <c r="H40" s="1392"/>
      <c r="I40" s="1392"/>
      <c r="J40" s="1392"/>
      <c r="K40" s="1370"/>
      <c r="L40" s="1392"/>
      <c r="M40" s="1392"/>
      <c r="N40" s="1392"/>
      <c r="O40" s="790">
        <v>0</v>
      </c>
      <c r="P40" s="1017" t="str">
        <f>Cotations!R40</f>
        <v/>
      </c>
      <c r="Q40" s="1343">
        <v>0</v>
      </c>
      <c r="R40" s="529" t="str">
        <f t="shared" si="14"/>
        <v/>
      </c>
      <c r="S40" s="529" t="str">
        <f t="shared" si="15"/>
        <v/>
      </c>
      <c r="T40" s="1370"/>
      <c r="U40" s="1370"/>
      <c r="V40" s="1447"/>
      <c r="W40" s="1447"/>
      <c r="X40" s="1368"/>
      <c r="Y40" s="704" t="str">
        <f t="shared" si="16"/>
        <v/>
      </c>
    </row>
    <row r="41" spans="1:25" s="158" customFormat="1">
      <c r="A41" s="156" t="str">
        <f t="shared" si="12"/>
        <v/>
      </c>
      <c r="B41" s="1384" t="str">
        <f t="shared" si="13"/>
        <v>HUTIANE</v>
      </c>
      <c r="C41" s="1392"/>
      <c r="D41" s="1392"/>
      <c r="E41" s="1392"/>
      <c r="F41" s="1392"/>
      <c r="G41" s="1392"/>
      <c r="H41" s="1392"/>
      <c r="I41" s="1392"/>
      <c r="J41" s="1392"/>
      <c r="K41" s="1370"/>
      <c r="L41" s="1392"/>
      <c r="M41" s="1392"/>
      <c r="N41" s="1392"/>
      <c r="O41" s="790">
        <v>0</v>
      </c>
      <c r="P41" s="1017" t="str">
        <f>Cotations!R41</f>
        <v/>
      </c>
      <c r="Q41" s="1344">
        <v>0</v>
      </c>
      <c r="R41" s="529" t="str">
        <f t="shared" si="14"/>
        <v/>
      </c>
      <c r="S41" s="529" t="str">
        <f t="shared" si="15"/>
        <v/>
      </c>
      <c r="T41" s="1370"/>
      <c r="U41" s="1370"/>
      <c r="V41" s="1447"/>
      <c r="W41" s="1447"/>
      <c r="X41" s="1368"/>
      <c r="Y41" s="704" t="str">
        <f t="shared" si="16"/>
        <v/>
      </c>
    </row>
    <row r="42" spans="1:25" s="158" customFormat="1">
      <c r="A42" s="156" t="str">
        <f t="shared" si="12"/>
        <v/>
      </c>
      <c r="B42" s="1384" t="str">
        <f t="shared" si="13"/>
        <v>HUTIANE</v>
      </c>
      <c r="C42" s="1392"/>
      <c r="D42" s="1392"/>
      <c r="E42" s="1392"/>
      <c r="F42" s="1392"/>
      <c r="G42" s="1392"/>
      <c r="H42" s="1392"/>
      <c r="I42" s="1392"/>
      <c r="J42" s="1392"/>
      <c r="K42" s="1370"/>
      <c r="L42" s="1392"/>
      <c r="M42" s="1392"/>
      <c r="N42" s="1392"/>
      <c r="O42" s="790">
        <v>0</v>
      </c>
      <c r="P42" s="1017" t="str">
        <f>Cotations!R42</f>
        <v/>
      </c>
      <c r="Q42" s="1342">
        <v>0</v>
      </c>
      <c r="R42" s="529" t="str">
        <f t="shared" si="14"/>
        <v/>
      </c>
      <c r="S42" s="529" t="str">
        <f t="shared" si="15"/>
        <v/>
      </c>
      <c r="T42" s="1370"/>
      <c r="U42" s="1370"/>
      <c r="V42" s="1447"/>
      <c r="W42" s="1447"/>
      <c r="X42" s="1368"/>
      <c r="Y42" s="704" t="str">
        <f t="shared" si="16"/>
        <v/>
      </c>
    </row>
    <row r="43" spans="1:25" s="158" customFormat="1">
      <c r="A43" s="156" t="str">
        <f t="shared" si="12"/>
        <v/>
      </c>
      <c r="B43" s="1384" t="str">
        <f t="shared" si="13"/>
        <v>HUTIANE</v>
      </c>
      <c r="C43" s="1392"/>
      <c r="D43" s="1392"/>
      <c r="E43" s="1392"/>
      <c r="F43" s="1392"/>
      <c r="G43" s="1392"/>
      <c r="H43" s="1392"/>
      <c r="I43" s="1392"/>
      <c r="J43" s="1392"/>
      <c r="K43" s="1370"/>
      <c r="L43" s="1392"/>
      <c r="M43" s="1392"/>
      <c r="N43" s="1392"/>
      <c r="O43" s="790">
        <v>0</v>
      </c>
      <c r="P43" s="1017" t="str">
        <f>Cotations!R43</f>
        <v/>
      </c>
      <c r="Q43" s="1343">
        <v>0</v>
      </c>
      <c r="R43" s="529" t="str">
        <f t="shared" si="14"/>
        <v/>
      </c>
      <c r="S43" s="529" t="str">
        <f t="shared" si="15"/>
        <v/>
      </c>
      <c r="T43" s="1370"/>
      <c r="U43" s="1370"/>
      <c r="V43" s="1447"/>
      <c r="W43" s="1447"/>
      <c r="X43" s="1368"/>
      <c r="Y43" s="704" t="str">
        <f t="shared" si="16"/>
        <v/>
      </c>
    </row>
    <row r="44" spans="1:25" s="158" customFormat="1">
      <c r="A44" s="156" t="str">
        <f t="shared" si="12"/>
        <v/>
      </c>
      <c r="B44" s="1384" t="str">
        <f t="shared" si="13"/>
        <v>HUTIANE</v>
      </c>
      <c r="C44" s="1392"/>
      <c r="D44" s="1392"/>
      <c r="E44" s="1392"/>
      <c r="F44" s="1392"/>
      <c r="G44" s="1392"/>
      <c r="H44" s="1392"/>
      <c r="I44" s="1392"/>
      <c r="J44" s="1392"/>
      <c r="K44" s="1370"/>
      <c r="L44" s="1392"/>
      <c r="M44" s="1392"/>
      <c r="N44" s="1392"/>
      <c r="O44" s="790">
        <v>0</v>
      </c>
      <c r="P44" s="1017" t="str">
        <f>Cotations!R44</f>
        <v/>
      </c>
      <c r="Q44" s="1344">
        <v>0</v>
      </c>
      <c r="R44" s="529" t="str">
        <f t="shared" si="14"/>
        <v/>
      </c>
      <c r="S44" s="529" t="str">
        <f t="shared" si="15"/>
        <v/>
      </c>
      <c r="T44" s="1370"/>
      <c r="U44" s="1370"/>
      <c r="V44" s="1447"/>
      <c r="W44" s="1447"/>
      <c r="X44" s="1368"/>
      <c r="Y44" s="704" t="str">
        <f t="shared" si="16"/>
        <v/>
      </c>
    </row>
    <row r="45" spans="1:25" s="158" customFormat="1">
      <c r="A45" s="156" t="str">
        <f t="shared" si="12"/>
        <v/>
      </c>
      <c r="B45" s="1384" t="str">
        <f t="shared" si="13"/>
        <v>HUTIANE</v>
      </c>
      <c r="C45" s="1392"/>
      <c r="D45" s="1392"/>
      <c r="E45" s="1392"/>
      <c r="F45" s="1392"/>
      <c r="G45" s="1392"/>
      <c r="H45" s="1392"/>
      <c r="I45" s="1392"/>
      <c r="J45" s="1392"/>
      <c r="K45" s="1370"/>
      <c r="L45" s="1392"/>
      <c r="M45" s="1392"/>
      <c r="N45" s="1392"/>
      <c r="O45" s="790">
        <v>0</v>
      </c>
      <c r="P45" s="1017" t="str">
        <f>Cotations!R45</f>
        <v/>
      </c>
      <c r="Q45" s="1342">
        <v>0</v>
      </c>
      <c r="R45" s="529" t="str">
        <f t="shared" si="14"/>
        <v/>
      </c>
      <c r="S45" s="529" t="str">
        <f t="shared" si="15"/>
        <v/>
      </c>
      <c r="T45" s="1370"/>
      <c r="U45" s="1370"/>
      <c r="V45" s="1447"/>
      <c r="W45" s="1447"/>
      <c r="X45" s="1368"/>
      <c r="Y45" s="704" t="str">
        <f t="shared" si="16"/>
        <v/>
      </c>
    </row>
    <row r="46" spans="1:25" s="158" customFormat="1">
      <c r="A46" s="156" t="str">
        <f t="shared" si="12"/>
        <v/>
      </c>
      <c r="B46" s="1384" t="str">
        <f t="shared" si="13"/>
        <v>HUTIANE</v>
      </c>
      <c r="C46" s="1392"/>
      <c r="D46" s="1392"/>
      <c r="E46" s="1392"/>
      <c r="F46" s="1392"/>
      <c r="G46" s="1392"/>
      <c r="H46" s="1392"/>
      <c r="I46" s="1392"/>
      <c r="J46" s="1392"/>
      <c r="K46" s="1370"/>
      <c r="L46" s="1392"/>
      <c r="M46" s="1392"/>
      <c r="N46" s="1392"/>
      <c r="O46" s="790">
        <v>0</v>
      </c>
      <c r="P46" s="1017" t="str">
        <f>Cotations!R46</f>
        <v/>
      </c>
      <c r="Q46" s="1343">
        <v>0</v>
      </c>
      <c r="R46" s="529" t="str">
        <f t="shared" si="14"/>
        <v/>
      </c>
      <c r="S46" s="529" t="str">
        <f t="shared" si="15"/>
        <v/>
      </c>
      <c r="T46" s="1370"/>
      <c r="U46" s="1370"/>
      <c r="V46" s="1447"/>
      <c r="W46" s="1447"/>
      <c r="X46" s="1368"/>
      <c r="Y46" s="704" t="str">
        <f t="shared" si="16"/>
        <v/>
      </c>
    </row>
    <row r="47" spans="1:25" s="158" customFormat="1">
      <c r="A47" s="156" t="str">
        <f t="shared" si="12"/>
        <v/>
      </c>
      <c r="B47" s="1384" t="str">
        <f t="shared" si="13"/>
        <v>HUTIANE</v>
      </c>
      <c r="C47" s="1392"/>
      <c r="D47" s="1392"/>
      <c r="E47" s="1392"/>
      <c r="F47" s="1392"/>
      <c r="G47" s="1392"/>
      <c r="H47" s="1392"/>
      <c r="I47" s="1392"/>
      <c r="J47" s="1392"/>
      <c r="K47" s="1370"/>
      <c r="L47" s="1392"/>
      <c r="M47" s="1392"/>
      <c r="N47" s="1392"/>
      <c r="O47" s="790">
        <v>0</v>
      </c>
      <c r="P47" s="1017" t="str">
        <f>Cotations!R47</f>
        <v/>
      </c>
      <c r="Q47" s="1344">
        <v>0</v>
      </c>
      <c r="R47" s="529" t="str">
        <f t="shared" si="14"/>
        <v/>
      </c>
      <c r="S47" s="529" t="str">
        <f t="shared" si="15"/>
        <v/>
      </c>
      <c r="T47" s="1370"/>
      <c r="U47" s="1370"/>
      <c r="V47" s="1447"/>
      <c r="W47" s="1447"/>
      <c r="X47" s="1368"/>
      <c r="Y47" s="704" t="str">
        <f t="shared" si="16"/>
        <v/>
      </c>
    </row>
    <row r="48" spans="1:25" s="158" customFormat="1">
      <c r="A48" s="156" t="str">
        <f t="shared" ref="A48:A57" si="17">IF(D48="","",IF(U48="",$W$3&amp;V48,YEAR(T48)&amp;"-"&amp;YEAR(Y48)&amp;V48))</f>
        <v/>
      </c>
      <c r="B48" s="1384" t="str">
        <f t="shared" ref="B48:B57" si="18">$E$9</f>
        <v>HUTIANE</v>
      </c>
      <c r="C48" s="1392"/>
      <c r="D48" s="1392"/>
      <c r="E48" s="1392"/>
      <c r="F48" s="1392"/>
      <c r="G48" s="1392"/>
      <c r="H48" s="1392"/>
      <c r="I48" s="1392"/>
      <c r="J48" s="1392"/>
      <c r="K48" s="1370"/>
      <c r="L48" s="1392"/>
      <c r="M48" s="1392"/>
      <c r="N48" s="1392"/>
      <c r="O48" s="790">
        <v>0</v>
      </c>
      <c r="P48" s="1017" t="str">
        <f>Cotations!R48</f>
        <v/>
      </c>
      <c r="Q48" s="1342">
        <v>0</v>
      </c>
      <c r="R48" s="529" t="str">
        <f t="shared" ref="R48:R57" si="19">IF(T48="","",IF(U48="",(DATEDIF(T48,Y48,"M")+1),(DATEDIF(T48,U48,"M")+1)))</f>
        <v/>
      </c>
      <c r="S48" s="529" t="str">
        <f t="shared" ref="S48:S57" si="20">IF(T48="","",DATEDIF(T48,IF(U48="",T48+365,U48),"D")+1)</f>
        <v/>
      </c>
      <c r="T48" s="1370"/>
      <c r="U48" s="1370"/>
      <c r="V48" s="1447"/>
      <c r="W48" s="1447"/>
      <c r="X48" s="1368"/>
      <c r="Y48" s="704" t="str">
        <f t="shared" ref="Y48:Y57" si="21">IF(T48="","",IF(U48="",DATERENOUV,IF(DATERENOUVMOINS365&gt;=U48,DATERENOUVMOINS365,DATERENOUV)))</f>
        <v/>
      </c>
    </row>
    <row r="49" spans="1:25" s="158" customFormat="1">
      <c r="A49" s="156" t="str">
        <f t="shared" si="17"/>
        <v/>
      </c>
      <c r="B49" s="722" t="str">
        <f t="shared" si="18"/>
        <v>HUTIANE</v>
      </c>
      <c r="C49" s="1392"/>
      <c r="D49" s="1392"/>
      <c r="E49" s="1392"/>
      <c r="F49" s="1392"/>
      <c r="G49" s="1392"/>
      <c r="H49" s="1392"/>
      <c r="I49" s="1392"/>
      <c r="J49" s="1392"/>
      <c r="K49" s="1370"/>
      <c r="L49" s="1392"/>
      <c r="M49" s="1392"/>
      <c r="N49" s="1392"/>
      <c r="O49" s="790">
        <v>0</v>
      </c>
      <c r="P49" s="1017" t="str">
        <f>Cotations!R49</f>
        <v/>
      </c>
      <c r="Q49" s="1343">
        <v>0</v>
      </c>
      <c r="R49" s="529" t="str">
        <f t="shared" si="19"/>
        <v/>
      </c>
      <c r="S49" s="529" t="str">
        <f t="shared" si="20"/>
        <v/>
      </c>
      <c r="T49" s="1370"/>
      <c r="U49" s="1370"/>
      <c r="V49" s="1447"/>
      <c r="W49" s="1447"/>
      <c r="X49" s="1368"/>
      <c r="Y49" s="704" t="str">
        <f t="shared" si="21"/>
        <v/>
      </c>
    </row>
    <row r="50" spans="1:25" s="158" customFormat="1">
      <c r="A50" s="156" t="str">
        <f t="shared" si="17"/>
        <v/>
      </c>
      <c r="B50" s="722" t="str">
        <f t="shared" si="18"/>
        <v>HUTIANE</v>
      </c>
      <c r="C50" s="1392"/>
      <c r="D50" s="1392"/>
      <c r="E50" s="1392"/>
      <c r="F50" s="1392"/>
      <c r="G50" s="1392"/>
      <c r="H50" s="1392"/>
      <c r="I50" s="1392"/>
      <c r="J50" s="1392"/>
      <c r="K50" s="1370"/>
      <c r="L50" s="1392"/>
      <c r="M50" s="1392"/>
      <c r="N50" s="1392"/>
      <c r="O50" s="790">
        <v>0</v>
      </c>
      <c r="P50" s="1017" t="str">
        <f>Cotations!R51</f>
        <v/>
      </c>
      <c r="Q50" s="1373">
        <v>0</v>
      </c>
      <c r="R50" s="529" t="str">
        <f t="shared" si="19"/>
        <v/>
      </c>
      <c r="S50" s="529" t="str">
        <f t="shared" si="20"/>
        <v/>
      </c>
      <c r="T50" s="1370"/>
      <c r="U50" s="1370"/>
      <c r="V50" s="1447"/>
      <c r="W50" s="1447"/>
      <c r="X50" s="1368"/>
      <c r="Y50" s="704" t="str">
        <f t="shared" si="21"/>
        <v/>
      </c>
    </row>
    <row r="51" spans="1:25" s="158" customFormat="1">
      <c r="A51" s="156" t="str">
        <f t="shared" si="17"/>
        <v/>
      </c>
      <c r="B51" s="722" t="str">
        <f t="shared" si="18"/>
        <v>HUTIANE</v>
      </c>
      <c r="C51" s="1392"/>
      <c r="D51" s="1392"/>
      <c r="E51" s="1392"/>
      <c r="F51" s="1392"/>
      <c r="G51" s="1392"/>
      <c r="H51" s="1392"/>
      <c r="I51" s="1392"/>
      <c r="J51" s="1392"/>
      <c r="K51" s="1370"/>
      <c r="L51" s="1392"/>
      <c r="M51" s="1392"/>
      <c r="N51" s="1392"/>
      <c r="O51" s="790">
        <v>0</v>
      </c>
      <c r="P51" s="1017" t="str">
        <f>Cotations!R52</f>
        <v/>
      </c>
      <c r="Q51" s="1372">
        <v>0</v>
      </c>
      <c r="R51" s="529" t="str">
        <f t="shared" si="19"/>
        <v/>
      </c>
      <c r="S51" s="529" t="str">
        <f t="shared" si="20"/>
        <v/>
      </c>
      <c r="T51" s="1370"/>
      <c r="U51" s="1370"/>
      <c r="V51" s="1447"/>
      <c r="W51" s="1447"/>
      <c r="X51" s="1368"/>
      <c r="Y51" s="704" t="str">
        <f t="shared" si="21"/>
        <v/>
      </c>
    </row>
    <row r="52" spans="1:25" s="158" customFormat="1">
      <c r="A52" s="156" t="str">
        <f t="shared" si="17"/>
        <v/>
      </c>
      <c r="B52" s="722" t="str">
        <f t="shared" si="18"/>
        <v>HUTIANE</v>
      </c>
      <c r="C52" s="1392"/>
      <c r="D52" s="1392"/>
      <c r="E52" s="1392"/>
      <c r="F52" s="1392"/>
      <c r="G52" s="1392"/>
      <c r="H52" s="1392"/>
      <c r="I52" s="1392"/>
      <c r="J52" s="1392"/>
      <c r="K52" s="1370"/>
      <c r="L52" s="1392"/>
      <c r="M52" s="1392"/>
      <c r="N52" s="1392"/>
      <c r="O52" s="790">
        <v>0</v>
      </c>
      <c r="P52" s="1017" t="str">
        <f>Cotations!R50</f>
        <v/>
      </c>
      <c r="Q52" s="1344">
        <v>0</v>
      </c>
      <c r="R52" s="529" t="str">
        <f t="shared" si="19"/>
        <v/>
      </c>
      <c r="S52" s="529" t="str">
        <f t="shared" si="20"/>
        <v/>
      </c>
      <c r="T52" s="1370"/>
      <c r="U52" s="1370"/>
      <c r="V52" s="1447"/>
      <c r="W52" s="1447"/>
      <c r="X52" s="1368"/>
      <c r="Y52" s="704" t="str">
        <f t="shared" si="21"/>
        <v/>
      </c>
    </row>
    <row r="53" spans="1:25" s="158" customFormat="1">
      <c r="A53" s="156" t="str">
        <f t="shared" si="17"/>
        <v/>
      </c>
      <c r="B53" s="722" t="str">
        <f t="shared" si="18"/>
        <v>HUTIANE</v>
      </c>
      <c r="C53" s="1392"/>
      <c r="D53" s="1392"/>
      <c r="E53" s="1392"/>
      <c r="F53" s="1392"/>
      <c r="G53" s="1392"/>
      <c r="H53" s="1392"/>
      <c r="I53" s="1392"/>
      <c r="J53" s="1392"/>
      <c r="K53" s="1370"/>
      <c r="L53" s="1392"/>
      <c r="M53" s="1392"/>
      <c r="N53" s="1392"/>
      <c r="O53" s="790">
        <v>0</v>
      </c>
      <c r="P53" s="1017" t="str">
        <f>Cotations!R53</f>
        <v/>
      </c>
      <c r="Q53" s="1344">
        <v>0</v>
      </c>
      <c r="R53" s="529" t="str">
        <f t="shared" si="19"/>
        <v/>
      </c>
      <c r="S53" s="529" t="str">
        <f t="shared" si="20"/>
        <v/>
      </c>
      <c r="T53" s="1370"/>
      <c r="U53" s="1370"/>
      <c r="V53" s="1447"/>
      <c r="W53" s="1447"/>
      <c r="X53" s="1368"/>
      <c r="Y53" s="723" t="str">
        <f t="shared" si="21"/>
        <v/>
      </c>
    </row>
    <row r="54" spans="1:25" s="158" customFormat="1">
      <c r="A54" s="156" t="str">
        <f t="shared" si="17"/>
        <v/>
      </c>
      <c r="B54" s="722" t="str">
        <f t="shared" si="18"/>
        <v>HUTIANE</v>
      </c>
      <c r="C54" s="1392"/>
      <c r="D54" s="1392"/>
      <c r="E54" s="1392"/>
      <c r="F54" s="1392"/>
      <c r="G54" s="1392"/>
      <c r="H54" s="1392"/>
      <c r="I54" s="1392"/>
      <c r="J54" s="1392"/>
      <c r="K54" s="1370"/>
      <c r="L54" s="1392"/>
      <c r="M54" s="1392"/>
      <c r="N54" s="1392"/>
      <c r="O54" s="790">
        <v>0</v>
      </c>
      <c r="P54" s="1017" t="str">
        <f>Cotations!R54</f>
        <v/>
      </c>
      <c r="Q54" s="1342">
        <v>0</v>
      </c>
      <c r="R54" s="529" t="str">
        <f t="shared" si="19"/>
        <v/>
      </c>
      <c r="S54" s="529" t="str">
        <f t="shared" si="20"/>
        <v/>
      </c>
      <c r="T54" s="1370"/>
      <c r="U54" s="1370"/>
      <c r="V54" s="1447"/>
      <c r="W54" s="1447"/>
      <c r="X54" s="1368"/>
      <c r="Y54" s="723" t="str">
        <f t="shared" si="21"/>
        <v/>
      </c>
    </row>
    <row r="55" spans="1:25">
      <c r="A55" s="156" t="str">
        <f t="shared" si="17"/>
        <v/>
      </c>
      <c r="B55" s="722" t="str">
        <f t="shared" si="18"/>
        <v>HUTIANE</v>
      </c>
      <c r="C55" s="1392"/>
      <c r="D55" s="1392"/>
      <c r="E55" s="1392"/>
      <c r="F55" s="1392"/>
      <c r="G55" s="1392"/>
      <c r="H55" s="1392"/>
      <c r="I55" s="1392"/>
      <c r="J55" s="1392"/>
      <c r="K55" s="1370"/>
      <c r="L55" s="1392"/>
      <c r="M55" s="1392"/>
      <c r="N55" s="1392"/>
      <c r="O55" s="790">
        <v>0</v>
      </c>
      <c r="P55" s="1017" t="str">
        <f>Cotations!R55</f>
        <v/>
      </c>
      <c r="Q55" s="1343">
        <v>0</v>
      </c>
      <c r="R55" s="529" t="str">
        <f t="shared" si="19"/>
        <v/>
      </c>
      <c r="S55" s="529" t="str">
        <f t="shared" si="20"/>
        <v/>
      </c>
      <c r="T55" s="1370"/>
      <c r="U55" s="1370"/>
      <c r="V55" s="1447"/>
      <c r="W55" s="1447"/>
      <c r="X55" s="1368"/>
      <c r="Y55" s="723" t="str">
        <f t="shared" si="21"/>
        <v/>
      </c>
    </row>
    <row r="56" spans="1:25">
      <c r="A56" s="156" t="str">
        <f t="shared" si="17"/>
        <v/>
      </c>
      <c r="B56" s="722" t="str">
        <f t="shared" si="18"/>
        <v>HUTIANE</v>
      </c>
      <c r="C56" s="1392"/>
      <c r="D56" s="1392"/>
      <c r="E56" s="1392"/>
      <c r="F56" s="1392"/>
      <c r="G56" s="1392"/>
      <c r="H56" s="1392"/>
      <c r="I56" s="1392"/>
      <c r="J56" s="1392"/>
      <c r="K56" s="1370"/>
      <c r="L56" s="1392"/>
      <c r="M56" s="1392"/>
      <c r="N56" s="1392"/>
      <c r="O56" s="790">
        <v>0</v>
      </c>
      <c r="P56" s="1017" t="str">
        <f>Cotations!R56</f>
        <v/>
      </c>
      <c r="Q56" s="1344">
        <v>0</v>
      </c>
      <c r="R56" s="529" t="str">
        <f t="shared" si="19"/>
        <v/>
      </c>
      <c r="S56" s="529" t="str">
        <f t="shared" si="20"/>
        <v/>
      </c>
      <c r="T56" s="1370"/>
      <c r="U56" s="1370"/>
      <c r="V56" s="1447"/>
      <c r="W56" s="1447"/>
      <c r="X56" s="1368"/>
      <c r="Y56" s="723" t="str">
        <f t="shared" si="21"/>
        <v/>
      </c>
    </row>
    <row r="57" spans="1:25">
      <c r="A57" s="156" t="str">
        <f t="shared" si="17"/>
        <v/>
      </c>
      <c r="B57" s="722" t="str">
        <f t="shared" si="18"/>
        <v>HUTIANE</v>
      </c>
      <c r="C57" s="1392"/>
      <c r="D57" s="1392"/>
      <c r="E57" s="1392"/>
      <c r="F57" s="1392"/>
      <c r="G57" s="1392"/>
      <c r="H57" s="1392"/>
      <c r="I57" s="1392"/>
      <c r="J57" s="1392"/>
      <c r="K57" s="1370"/>
      <c r="L57" s="1392"/>
      <c r="M57" s="1392"/>
      <c r="N57" s="1392"/>
      <c r="O57" s="790">
        <v>0</v>
      </c>
      <c r="P57" s="1017" t="str">
        <f>Cotations!R57</f>
        <v/>
      </c>
      <c r="Q57" s="1342">
        <v>0</v>
      </c>
      <c r="R57" s="529" t="str">
        <f t="shared" si="19"/>
        <v/>
      </c>
      <c r="S57" s="529" t="str">
        <f t="shared" si="20"/>
        <v/>
      </c>
      <c r="T57" s="1370"/>
      <c r="U57" s="1370"/>
      <c r="V57" s="1447"/>
      <c r="W57" s="1447"/>
      <c r="X57" s="1368"/>
      <c r="Y57" s="723" t="str">
        <f t="shared" si="21"/>
        <v/>
      </c>
    </row>
    <row r="58" spans="1:25">
      <c r="A58" s="156" t="str">
        <f t="shared" si="2"/>
        <v/>
      </c>
      <c r="B58" s="722" t="str">
        <f t="shared" si="4"/>
        <v>HUTIANE</v>
      </c>
      <c r="C58" s="1392"/>
      <c r="D58" s="1392"/>
      <c r="E58" s="1392"/>
      <c r="F58" s="1392"/>
      <c r="G58" s="1392"/>
      <c r="H58" s="1392"/>
      <c r="I58" s="1392"/>
      <c r="J58" s="1392"/>
      <c r="K58" s="1370"/>
      <c r="L58" s="1392"/>
      <c r="M58" s="1392"/>
      <c r="N58" s="1392"/>
      <c r="O58" s="790">
        <v>0</v>
      </c>
      <c r="P58" s="1017" t="str">
        <f>Cotations!R58</f>
        <v/>
      </c>
      <c r="Q58" s="1343">
        <v>0</v>
      </c>
      <c r="R58" s="529" t="str">
        <f t="shared" ref="R58:R88" si="22">IF(T58="","",IF(U58="",(DATEDIF(T58,Y58,"M")+1),(DATEDIF(T58,U58,"M")+1)))</f>
        <v/>
      </c>
      <c r="S58" s="529" t="str">
        <f t="shared" ref="S58:S88" si="23">IF(T58="","",DATEDIF(T58,IF(U58="",T58+365,U58),"D")+1)</f>
        <v/>
      </c>
      <c r="T58" s="1370"/>
      <c r="U58" s="1370"/>
      <c r="V58" s="1447"/>
      <c r="W58" s="1447"/>
      <c r="X58" s="1368"/>
      <c r="Y58" s="723" t="str">
        <f t="shared" si="3"/>
        <v/>
      </c>
    </row>
    <row r="59" spans="1:25">
      <c r="A59" s="156" t="str">
        <f t="shared" si="2"/>
        <v/>
      </c>
      <c r="B59" s="722" t="str">
        <f t="shared" si="4"/>
        <v>HUTIANE</v>
      </c>
      <c r="C59" s="1392"/>
      <c r="D59" s="1392"/>
      <c r="E59" s="1392"/>
      <c r="F59" s="1392"/>
      <c r="G59" s="1392"/>
      <c r="H59" s="1392"/>
      <c r="I59" s="1392"/>
      <c r="J59" s="1392"/>
      <c r="K59" s="1370"/>
      <c r="L59" s="1392"/>
      <c r="M59" s="1392"/>
      <c r="N59" s="1392"/>
      <c r="O59" s="790">
        <v>0</v>
      </c>
      <c r="P59" s="1017" t="str">
        <f>Cotations!R59</f>
        <v/>
      </c>
      <c r="Q59" s="1344">
        <v>0</v>
      </c>
      <c r="R59" s="529" t="str">
        <f t="shared" si="22"/>
        <v/>
      </c>
      <c r="S59" s="529" t="str">
        <f t="shared" si="23"/>
        <v/>
      </c>
      <c r="T59" s="1370"/>
      <c r="U59" s="1370"/>
      <c r="V59" s="1447"/>
      <c r="W59" s="1447"/>
      <c r="X59" s="1368"/>
      <c r="Y59" s="723" t="str">
        <f t="shared" si="3"/>
        <v/>
      </c>
    </row>
    <row r="60" spans="1:25">
      <c r="A60" s="156" t="str">
        <f t="shared" si="2"/>
        <v/>
      </c>
      <c r="B60" s="722" t="str">
        <f t="shared" si="4"/>
        <v>HUTIANE</v>
      </c>
      <c r="C60" s="1392"/>
      <c r="D60" s="1392"/>
      <c r="E60" s="1392"/>
      <c r="F60" s="1392"/>
      <c r="G60" s="1392"/>
      <c r="H60" s="1392"/>
      <c r="I60" s="1392"/>
      <c r="J60" s="1392"/>
      <c r="K60" s="1370"/>
      <c r="L60" s="1392"/>
      <c r="M60" s="1392"/>
      <c r="N60" s="1392"/>
      <c r="O60" s="790">
        <v>0</v>
      </c>
      <c r="P60" s="1017" t="str">
        <f>Cotations!R60</f>
        <v/>
      </c>
      <c r="Q60" s="1342">
        <v>0</v>
      </c>
      <c r="R60" s="529" t="str">
        <f t="shared" si="22"/>
        <v/>
      </c>
      <c r="S60" s="529" t="str">
        <f t="shared" si="23"/>
        <v/>
      </c>
      <c r="T60" s="1370"/>
      <c r="U60" s="1370"/>
      <c r="V60" s="1447"/>
      <c r="W60" s="1447"/>
      <c r="X60" s="1368"/>
      <c r="Y60" s="723" t="str">
        <f t="shared" si="3"/>
        <v/>
      </c>
    </row>
    <row r="61" spans="1:25">
      <c r="A61" s="156" t="str">
        <f t="shared" si="2"/>
        <v/>
      </c>
      <c r="B61" s="722" t="str">
        <f t="shared" si="4"/>
        <v>HUTIANE</v>
      </c>
      <c r="C61" s="1392"/>
      <c r="D61" s="1392"/>
      <c r="E61" s="1392"/>
      <c r="F61" s="1392"/>
      <c r="G61" s="1392"/>
      <c r="H61" s="1392"/>
      <c r="I61" s="1392"/>
      <c r="J61" s="1392"/>
      <c r="K61" s="1370"/>
      <c r="L61" s="1392"/>
      <c r="M61" s="1392"/>
      <c r="N61" s="1392"/>
      <c r="O61" s="790">
        <v>0</v>
      </c>
      <c r="P61" s="1017" t="str">
        <f>Cotations!R61</f>
        <v/>
      </c>
      <c r="Q61" s="1343">
        <v>0</v>
      </c>
      <c r="R61" s="529" t="str">
        <f t="shared" si="22"/>
        <v/>
      </c>
      <c r="S61" s="529" t="str">
        <f t="shared" si="23"/>
        <v/>
      </c>
      <c r="T61" s="1370"/>
      <c r="U61" s="1370"/>
      <c r="V61" s="1447"/>
      <c r="W61" s="1447"/>
      <c r="X61" s="1346"/>
      <c r="Y61" s="723" t="str">
        <f t="shared" si="3"/>
        <v/>
      </c>
    </row>
    <row r="62" spans="1:25">
      <c r="A62" s="156" t="str">
        <f t="shared" si="2"/>
        <v/>
      </c>
      <c r="B62" s="722" t="str">
        <f t="shared" si="4"/>
        <v>HUTIANE</v>
      </c>
      <c r="C62" s="1392"/>
      <c r="D62" s="1392"/>
      <c r="E62" s="1392"/>
      <c r="F62" s="1392"/>
      <c r="G62" s="1392"/>
      <c r="H62" s="1392"/>
      <c r="I62" s="1392"/>
      <c r="J62" s="1392"/>
      <c r="K62" s="1370"/>
      <c r="L62" s="1392"/>
      <c r="M62" s="1392"/>
      <c r="N62" s="1392"/>
      <c r="O62" s="790">
        <v>0</v>
      </c>
      <c r="P62" s="1017" t="str">
        <f>Cotations!R62</f>
        <v/>
      </c>
      <c r="Q62" s="1344">
        <v>0</v>
      </c>
      <c r="R62" s="529" t="str">
        <f t="shared" si="22"/>
        <v/>
      </c>
      <c r="S62" s="529" t="str">
        <f t="shared" si="23"/>
        <v/>
      </c>
      <c r="T62" s="1370"/>
      <c r="U62" s="1370"/>
      <c r="V62" s="1447"/>
      <c r="W62" s="1447"/>
      <c r="X62" s="1345"/>
      <c r="Y62" s="723" t="str">
        <f t="shared" si="3"/>
        <v/>
      </c>
    </row>
    <row r="63" spans="1:25">
      <c r="A63" s="156" t="str">
        <f t="shared" si="2"/>
        <v/>
      </c>
      <c r="B63" s="722" t="str">
        <f t="shared" si="4"/>
        <v>HUTIANE</v>
      </c>
      <c r="C63" s="1392"/>
      <c r="D63" s="1392"/>
      <c r="E63" s="1392"/>
      <c r="F63" s="1392"/>
      <c r="G63" s="1392"/>
      <c r="H63" s="1392"/>
      <c r="I63" s="1392"/>
      <c r="J63" s="1392"/>
      <c r="K63" s="1370"/>
      <c r="L63" s="1392"/>
      <c r="M63" s="1392"/>
      <c r="N63" s="1392"/>
      <c r="O63" s="790">
        <v>0</v>
      </c>
      <c r="P63" s="1017" t="str">
        <f>Cotations!R63</f>
        <v/>
      </c>
      <c r="Q63" s="1342">
        <v>0</v>
      </c>
      <c r="R63" s="529" t="str">
        <f t="shared" si="22"/>
        <v/>
      </c>
      <c r="S63" s="529" t="str">
        <f t="shared" si="23"/>
        <v/>
      </c>
      <c r="T63" s="1370"/>
      <c r="U63" s="1370"/>
      <c r="V63" s="1447"/>
      <c r="W63" s="1447"/>
      <c r="X63" s="1346"/>
      <c r="Y63" s="723" t="str">
        <f t="shared" si="3"/>
        <v/>
      </c>
    </row>
    <row r="64" spans="1:25">
      <c r="A64" s="156" t="str">
        <f t="shared" si="2"/>
        <v/>
      </c>
      <c r="B64" s="722" t="str">
        <f t="shared" si="4"/>
        <v>HUTIANE</v>
      </c>
      <c r="C64" s="1392"/>
      <c r="D64" s="1392"/>
      <c r="E64" s="1392"/>
      <c r="F64" s="1392"/>
      <c r="G64" s="1392"/>
      <c r="H64" s="1392"/>
      <c r="I64" s="1392"/>
      <c r="J64" s="1392"/>
      <c r="K64" s="1370"/>
      <c r="L64" s="1392"/>
      <c r="M64" s="1392"/>
      <c r="N64" s="1392"/>
      <c r="O64" s="790">
        <v>0</v>
      </c>
      <c r="P64" s="1017" t="str">
        <f>Cotations!R64</f>
        <v/>
      </c>
      <c r="Q64" s="1343">
        <v>0</v>
      </c>
      <c r="R64" s="529" t="str">
        <f t="shared" si="22"/>
        <v/>
      </c>
      <c r="S64" s="529" t="str">
        <f t="shared" si="23"/>
        <v/>
      </c>
      <c r="T64" s="1370"/>
      <c r="U64" s="1370"/>
      <c r="V64" s="1447"/>
      <c r="W64" s="1447"/>
      <c r="X64" s="1346"/>
      <c r="Y64" s="723" t="str">
        <f t="shared" si="3"/>
        <v/>
      </c>
    </row>
    <row r="65" spans="1:25">
      <c r="A65" s="156" t="str">
        <f t="shared" si="2"/>
        <v/>
      </c>
      <c r="B65" s="722" t="str">
        <f t="shared" si="4"/>
        <v>HUTIANE</v>
      </c>
      <c r="C65" s="1392"/>
      <c r="D65" s="1392"/>
      <c r="E65" s="1392"/>
      <c r="F65" s="1392"/>
      <c r="G65" s="1392"/>
      <c r="H65" s="1392"/>
      <c r="I65" s="1392"/>
      <c r="J65" s="1392"/>
      <c r="K65" s="1370"/>
      <c r="L65" s="1392"/>
      <c r="M65" s="1392"/>
      <c r="N65" s="1392"/>
      <c r="O65" s="790">
        <v>0</v>
      </c>
      <c r="P65" s="1017" t="str">
        <f>Cotations!R65</f>
        <v/>
      </c>
      <c r="Q65" s="1344">
        <v>0</v>
      </c>
      <c r="R65" s="529" t="str">
        <f t="shared" si="22"/>
        <v/>
      </c>
      <c r="S65" s="529" t="str">
        <f t="shared" si="23"/>
        <v/>
      </c>
      <c r="T65" s="1370"/>
      <c r="U65" s="1370"/>
      <c r="V65" s="1447"/>
      <c r="W65" s="1447"/>
      <c r="X65" s="1346"/>
      <c r="Y65" s="723" t="str">
        <f t="shared" si="3"/>
        <v/>
      </c>
    </row>
    <row r="66" spans="1:25">
      <c r="A66" s="156" t="str">
        <f t="shared" si="2"/>
        <v/>
      </c>
      <c r="B66" s="722" t="str">
        <f t="shared" si="4"/>
        <v>HUTIANE</v>
      </c>
      <c r="C66" s="1392"/>
      <c r="D66" s="1392"/>
      <c r="E66" s="1392"/>
      <c r="F66" s="1392"/>
      <c r="G66" s="1392"/>
      <c r="H66" s="1392"/>
      <c r="I66" s="1392"/>
      <c r="J66" s="1392"/>
      <c r="K66" s="1370"/>
      <c r="L66" s="1392"/>
      <c r="M66" s="1392"/>
      <c r="N66" s="1392"/>
      <c r="O66" s="790">
        <v>0</v>
      </c>
      <c r="P66" s="1017" t="str">
        <f>Cotations!R66</f>
        <v/>
      </c>
      <c r="Q66" s="1342">
        <v>0</v>
      </c>
      <c r="R66" s="529" t="str">
        <f t="shared" si="22"/>
        <v/>
      </c>
      <c r="S66" s="529" t="str">
        <f t="shared" si="23"/>
        <v/>
      </c>
      <c r="T66" s="1370"/>
      <c r="U66" s="1370"/>
      <c r="V66" s="1447"/>
      <c r="W66" s="1447"/>
      <c r="X66" s="1345"/>
      <c r="Y66" s="723" t="str">
        <f t="shared" si="3"/>
        <v/>
      </c>
    </row>
    <row r="67" spans="1:25">
      <c r="A67" s="156" t="str">
        <f t="shared" si="2"/>
        <v/>
      </c>
      <c r="B67" s="722" t="str">
        <f t="shared" si="4"/>
        <v>HUTIANE</v>
      </c>
      <c r="C67" s="1392"/>
      <c r="D67" s="1392"/>
      <c r="E67" s="1392"/>
      <c r="F67" s="1392"/>
      <c r="G67" s="1392"/>
      <c r="H67" s="1392"/>
      <c r="I67" s="1392"/>
      <c r="J67" s="1392"/>
      <c r="K67" s="1370"/>
      <c r="L67" s="1392"/>
      <c r="M67" s="1392"/>
      <c r="N67" s="1392"/>
      <c r="O67" s="790">
        <v>0</v>
      </c>
      <c r="P67" s="1017" t="str">
        <f>Cotations!R67</f>
        <v/>
      </c>
      <c r="Q67" s="1343">
        <v>0</v>
      </c>
      <c r="R67" s="529" t="str">
        <f t="shared" si="22"/>
        <v/>
      </c>
      <c r="S67" s="529" t="str">
        <f t="shared" si="23"/>
        <v/>
      </c>
      <c r="T67" s="1370"/>
      <c r="U67" s="1370"/>
      <c r="V67" s="1447"/>
      <c r="W67" s="1447"/>
      <c r="X67" s="1346"/>
      <c r="Y67" s="723" t="str">
        <f t="shared" si="3"/>
        <v/>
      </c>
    </row>
    <row r="68" spans="1:25">
      <c r="A68" s="156" t="str">
        <f t="shared" si="2"/>
        <v/>
      </c>
      <c r="B68" s="722" t="str">
        <f t="shared" si="4"/>
        <v>HUTIANE</v>
      </c>
      <c r="C68" s="1392"/>
      <c r="D68" s="1392"/>
      <c r="E68" s="1392"/>
      <c r="F68" s="1392"/>
      <c r="G68" s="1392"/>
      <c r="H68" s="1392"/>
      <c r="I68" s="1392"/>
      <c r="J68" s="1392"/>
      <c r="K68" s="1370"/>
      <c r="L68" s="1392"/>
      <c r="M68" s="1392"/>
      <c r="N68" s="1392"/>
      <c r="O68" s="790">
        <v>0</v>
      </c>
      <c r="P68" s="1017" t="str">
        <f>Cotations!R68</f>
        <v/>
      </c>
      <c r="Q68" s="1344">
        <v>0</v>
      </c>
      <c r="R68" s="529" t="str">
        <f t="shared" si="22"/>
        <v/>
      </c>
      <c r="S68" s="529" t="str">
        <f t="shared" si="23"/>
        <v/>
      </c>
      <c r="T68" s="1370"/>
      <c r="U68" s="1370"/>
      <c r="V68" s="1447"/>
      <c r="W68" s="1447"/>
      <c r="X68" s="1346"/>
      <c r="Y68" s="723" t="str">
        <f t="shared" si="3"/>
        <v/>
      </c>
    </row>
    <row r="69" spans="1:25">
      <c r="A69" s="156" t="str">
        <f t="shared" si="2"/>
        <v/>
      </c>
      <c r="B69" s="722" t="str">
        <f t="shared" si="4"/>
        <v>HUTIANE</v>
      </c>
      <c r="C69" s="1392"/>
      <c r="D69" s="1392"/>
      <c r="E69" s="1392"/>
      <c r="F69" s="1392"/>
      <c r="G69" s="1392"/>
      <c r="H69" s="1392"/>
      <c r="I69" s="1392"/>
      <c r="J69" s="1392"/>
      <c r="K69" s="1370"/>
      <c r="L69" s="1392"/>
      <c r="M69" s="1392"/>
      <c r="N69" s="1392"/>
      <c r="O69" s="790">
        <v>0</v>
      </c>
      <c r="P69" s="1017" t="str">
        <f>Cotations!R69</f>
        <v/>
      </c>
      <c r="Q69" s="1342">
        <v>0</v>
      </c>
      <c r="R69" s="529" t="str">
        <f t="shared" si="22"/>
        <v/>
      </c>
      <c r="S69" s="529" t="str">
        <f t="shared" si="23"/>
        <v/>
      </c>
      <c r="T69" s="1370"/>
      <c r="U69" s="1370"/>
      <c r="V69" s="1447"/>
      <c r="W69" s="1447"/>
      <c r="X69" s="816"/>
      <c r="Y69" s="723" t="str">
        <f t="shared" si="3"/>
        <v/>
      </c>
    </row>
    <row r="70" spans="1:25">
      <c r="A70" s="156" t="str">
        <f t="shared" si="2"/>
        <v/>
      </c>
      <c r="B70" s="722" t="str">
        <f t="shared" si="4"/>
        <v>HUTIANE</v>
      </c>
      <c r="C70" s="1392"/>
      <c r="D70" s="1392"/>
      <c r="E70" s="1392"/>
      <c r="F70" s="1392"/>
      <c r="G70" s="1392"/>
      <c r="H70" s="1392"/>
      <c r="I70" s="1392"/>
      <c r="J70" s="1392"/>
      <c r="K70" s="1370"/>
      <c r="L70" s="1392"/>
      <c r="M70" s="1392"/>
      <c r="N70" s="1392"/>
      <c r="O70" s="790">
        <v>0</v>
      </c>
      <c r="P70" s="1017" t="str">
        <f>Cotations!R70</f>
        <v/>
      </c>
      <c r="Q70" s="1343">
        <v>0</v>
      </c>
      <c r="R70" s="529" t="str">
        <f t="shared" si="22"/>
        <v/>
      </c>
      <c r="S70" s="529" t="str">
        <f t="shared" si="23"/>
        <v/>
      </c>
      <c r="T70" s="1370"/>
      <c r="U70" s="1370"/>
      <c r="V70" s="1447"/>
      <c r="W70" s="1447"/>
      <c r="X70" s="816"/>
      <c r="Y70" s="723" t="str">
        <f t="shared" si="3"/>
        <v/>
      </c>
    </row>
    <row r="71" spans="1:25">
      <c r="A71" s="156" t="str">
        <f t="shared" si="2"/>
        <v/>
      </c>
      <c r="B71" s="722" t="str">
        <f t="shared" si="4"/>
        <v>HUTIANE</v>
      </c>
      <c r="C71" s="1392"/>
      <c r="D71" s="1392"/>
      <c r="E71" s="1392"/>
      <c r="F71" s="1392"/>
      <c r="G71" s="1392"/>
      <c r="H71" s="1392"/>
      <c r="I71" s="1392"/>
      <c r="J71" s="1392"/>
      <c r="K71" s="1370"/>
      <c r="L71" s="1392"/>
      <c r="M71" s="1392"/>
      <c r="N71" s="1392"/>
      <c r="O71" s="790">
        <v>0</v>
      </c>
      <c r="P71" s="1017" t="str">
        <f>Cotations!R71</f>
        <v/>
      </c>
      <c r="Q71" s="1344">
        <v>0</v>
      </c>
      <c r="R71" s="529" t="str">
        <f t="shared" si="22"/>
        <v/>
      </c>
      <c r="S71" s="529" t="str">
        <f t="shared" si="23"/>
        <v/>
      </c>
      <c r="T71" s="1370"/>
      <c r="U71" s="1370"/>
      <c r="V71" s="1447"/>
      <c r="W71" s="1447"/>
      <c r="X71" s="816"/>
      <c r="Y71" s="723" t="str">
        <f t="shared" si="3"/>
        <v/>
      </c>
    </row>
    <row r="72" spans="1:25">
      <c r="A72" s="156" t="str">
        <f t="shared" si="2"/>
        <v/>
      </c>
      <c r="B72" s="722" t="str">
        <f t="shared" si="4"/>
        <v>HUTIANE</v>
      </c>
      <c r="C72" s="813"/>
      <c r="D72" s="813"/>
      <c r="E72" s="813"/>
      <c r="F72" s="813"/>
      <c r="G72" s="813"/>
      <c r="H72" s="813"/>
      <c r="I72" s="813"/>
      <c r="J72" s="813"/>
      <c r="K72" s="814"/>
      <c r="L72" s="813"/>
      <c r="M72" s="813"/>
      <c r="N72" s="813"/>
      <c r="O72" s="790">
        <v>0</v>
      </c>
      <c r="P72" s="1017" t="str">
        <f>Cotations!R72</f>
        <v/>
      </c>
      <c r="Q72" s="1342">
        <v>0</v>
      </c>
      <c r="R72" s="529" t="str">
        <f t="shared" si="22"/>
        <v/>
      </c>
      <c r="S72" s="529" t="str">
        <f t="shared" si="23"/>
        <v/>
      </c>
      <c r="T72" s="1355"/>
      <c r="U72" s="1400"/>
      <c r="V72" s="1400"/>
      <c r="W72" s="1400"/>
      <c r="X72" s="816"/>
      <c r="Y72" s="723" t="str">
        <f t="shared" si="3"/>
        <v/>
      </c>
    </row>
    <row r="73" spans="1:25">
      <c r="A73" s="156" t="str">
        <f t="shared" si="2"/>
        <v/>
      </c>
      <c r="B73" s="722" t="str">
        <f t="shared" si="4"/>
        <v>HUTIANE</v>
      </c>
      <c r="C73" s="813"/>
      <c r="D73" s="813"/>
      <c r="E73" s="813"/>
      <c r="F73" s="813"/>
      <c r="G73" s="813"/>
      <c r="H73" s="813"/>
      <c r="I73" s="813"/>
      <c r="J73" s="813"/>
      <c r="K73" s="814"/>
      <c r="L73" s="813"/>
      <c r="M73" s="813"/>
      <c r="N73" s="813"/>
      <c r="O73" s="790">
        <v>0</v>
      </c>
      <c r="P73" s="1017" t="str">
        <f>Cotations!R73</f>
        <v/>
      </c>
      <c r="Q73" s="1343">
        <v>0</v>
      </c>
      <c r="R73" s="529" t="str">
        <f t="shared" si="22"/>
        <v/>
      </c>
      <c r="S73" s="529" t="str">
        <f t="shared" si="23"/>
        <v/>
      </c>
      <c r="T73" s="1355"/>
      <c r="U73" s="1400"/>
      <c r="V73" s="1400"/>
      <c r="W73" s="1400"/>
      <c r="X73" s="816"/>
      <c r="Y73" s="723" t="str">
        <f t="shared" si="3"/>
        <v/>
      </c>
    </row>
    <row r="74" spans="1:25">
      <c r="A74" s="156" t="str">
        <f t="shared" si="2"/>
        <v/>
      </c>
      <c r="B74" s="722" t="str">
        <f t="shared" si="4"/>
        <v>HUTIANE</v>
      </c>
      <c r="C74" s="813"/>
      <c r="D74" s="813"/>
      <c r="E74" s="813"/>
      <c r="F74" s="813"/>
      <c r="G74" s="813"/>
      <c r="H74" s="813"/>
      <c r="I74" s="813"/>
      <c r="J74" s="813"/>
      <c r="K74" s="814"/>
      <c r="L74" s="813"/>
      <c r="M74" s="813"/>
      <c r="N74" s="813"/>
      <c r="O74" s="790">
        <v>0</v>
      </c>
      <c r="P74" s="1017" t="str">
        <f>Cotations!R74</f>
        <v/>
      </c>
      <c r="Q74" s="1344">
        <v>0</v>
      </c>
      <c r="R74" s="529" t="str">
        <f t="shared" si="22"/>
        <v/>
      </c>
      <c r="S74" s="529" t="str">
        <f t="shared" si="23"/>
        <v/>
      </c>
      <c r="T74" s="1355"/>
      <c r="U74" s="1400"/>
      <c r="V74" s="1400"/>
      <c r="W74" s="1400"/>
      <c r="X74" s="816"/>
      <c r="Y74" s="723" t="str">
        <f t="shared" si="3"/>
        <v/>
      </c>
    </row>
    <row r="75" spans="1:25">
      <c r="A75" s="156" t="str">
        <f t="shared" si="2"/>
        <v/>
      </c>
      <c r="B75" s="722" t="str">
        <f t="shared" si="4"/>
        <v>HUTIANE</v>
      </c>
      <c r="C75" s="813"/>
      <c r="D75" s="813"/>
      <c r="E75" s="813"/>
      <c r="F75" s="813"/>
      <c r="G75" s="813"/>
      <c r="H75" s="813"/>
      <c r="I75" s="813"/>
      <c r="J75" s="813"/>
      <c r="K75" s="814"/>
      <c r="L75" s="813"/>
      <c r="M75" s="813"/>
      <c r="N75" s="813"/>
      <c r="O75" s="790">
        <v>0</v>
      </c>
      <c r="P75" s="1017" t="str">
        <f>Cotations!R75</f>
        <v/>
      </c>
      <c r="Q75" s="1342">
        <v>0</v>
      </c>
      <c r="R75" s="529" t="str">
        <f t="shared" si="22"/>
        <v/>
      </c>
      <c r="S75" s="529" t="str">
        <f t="shared" si="23"/>
        <v/>
      </c>
      <c r="T75" s="1355"/>
      <c r="U75" s="1400"/>
      <c r="V75" s="1400"/>
      <c r="W75" s="1400"/>
      <c r="X75" s="816"/>
      <c r="Y75" s="723" t="str">
        <f t="shared" si="3"/>
        <v/>
      </c>
    </row>
    <row r="76" spans="1:25">
      <c r="A76" s="156" t="str">
        <f t="shared" si="2"/>
        <v/>
      </c>
      <c r="B76" s="722" t="str">
        <f t="shared" si="4"/>
        <v>HUTIANE</v>
      </c>
      <c r="C76" s="813"/>
      <c r="D76" s="813"/>
      <c r="E76" s="813"/>
      <c r="F76" s="813"/>
      <c r="G76" s="813"/>
      <c r="H76" s="813"/>
      <c r="I76" s="813"/>
      <c r="J76" s="813"/>
      <c r="K76" s="814"/>
      <c r="L76" s="813"/>
      <c r="M76" s="813"/>
      <c r="N76" s="813"/>
      <c r="O76" s="790">
        <v>0</v>
      </c>
      <c r="P76" s="1017" t="str">
        <f>Cotations!R76</f>
        <v/>
      </c>
      <c r="Q76" s="1343">
        <v>0</v>
      </c>
      <c r="R76" s="529" t="str">
        <f t="shared" si="22"/>
        <v/>
      </c>
      <c r="S76" s="529" t="str">
        <f t="shared" si="23"/>
        <v/>
      </c>
      <c r="T76" s="1355"/>
      <c r="U76" s="1400"/>
      <c r="V76" s="1400"/>
      <c r="W76" s="1400"/>
      <c r="X76" s="816"/>
      <c r="Y76" s="723" t="str">
        <f t="shared" si="3"/>
        <v/>
      </c>
    </row>
    <row r="77" spans="1:25">
      <c r="A77" s="156" t="str">
        <f t="shared" si="2"/>
        <v/>
      </c>
      <c r="B77" s="722" t="str">
        <f t="shared" si="4"/>
        <v>HUTIANE</v>
      </c>
      <c r="C77" s="813"/>
      <c r="D77" s="813"/>
      <c r="E77" s="813"/>
      <c r="F77" s="813"/>
      <c r="G77" s="813"/>
      <c r="H77" s="813"/>
      <c r="I77" s="813"/>
      <c r="J77" s="813"/>
      <c r="K77" s="814"/>
      <c r="L77" s="813"/>
      <c r="M77" s="813"/>
      <c r="N77" s="813"/>
      <c r="O77" s="790">
        <v>0</v>
      </c>
      <c r="P77" s="1017" t="str">
        <f>Cotations!R77</f>
        <v/>
      </c>
      <c r="Q77" s="1344">
        <v>0</v>
      </c>
      <c r="R77" s="529" t="str">
        <f t="shared" si="22"/>
        <v/>
      </c>
      <c r="S77" s="529" t="str">
        <f t="shared" si="23"/>
        <v/>
      </c>
      <c r="T77" s="1355"/>
      <c r="U77" s="1400"/>
      <c r="V77" s="1400"/>
      <c r="W77" s="1400"/>
      <c r="X77" s="816"/>
      <c r="Y77" s="723" t="str">
        <f t="shared" si="3"/>
        <v/>
      </c>
    </row>
    <row r="78" spans="1:25">
      <c r="A78" s="156" t="str">
        <f t="shared" si="2"/>
        <v/>
      </c>
      <c r="B78" s="722" t="str">
        <f t="shared" si="4"/>
        <v>HUTIANE</v>
      </c>
      <c r="C78" s="813"/>
      <c r="D78" s="813"/>
      <c r="E78" s="813"/>
      <c r="F78" s="813"/>
      <c r="G78" s="813"/>
      <c r="H78" s="813"/>
      <c r="I78" s="813"/>
      <c r="J78" s="813"/>
      <c r="K78" s="814"/>
      <c r="L78" s="813"/>
      <c r="M78" s="813"/>
      <c r="N78" s="813"/>
      <c r="O78" s="790">
        <v>0</v>
      </c>
      <c r="P78" s="1017" t="str">
        <f>Cotations!R78</f>
        <v/>
      </c>
      <c r="Q78" s="1342">
        <v>0</v>
      </c>
      <c r="R78" s="529" t="str">
        <f t="shared" si="22"/>
        <v/>
      </c>
      <c r="S78" s="529" t="str">
        <f t="shared" si="23"/>
        <v/>
      </c>
      <c r="T78" s="817"/>
      <c r="U78" s="816"/>
      <c r="V78" s="816"/>
      <c r="W78" s="816"/>
      <c r="X78" s="816"/>
      <c r="Y78" s="723" t="str">
        <f t="shared" ref="Y78:Y103" si="24">IF(T78="","",IF(U78="",DATERENOUV,IF(DATERENOUVMOINS365&gt;=U78,DATERENOUVMOINS365,DATERENOUV)))</f>
        <v/>
      </c>
    </row>
    <row r="79" spans="1:25">
      <c r="A79" s="156" t="str">
        <f t="shared" ref="A79:A88" si="25">IF(D79="","",IF(U79="",$W$3&amp;V79,YEAR(T79)&amp;"-"&amp;YEAR(Y79)&amp;V79))</f>
        <v/>
      </c>
      <c r="B79" s="722" t="str">
        <f t="shared" si="4"/>
        <v>HUTIANE</v>
      </c>
      <c r="C79" s="813"/>
      <c r="D79" s="813"/>
      <c r="E79" s="813"/>
      <c r="F79" s="813"/>
      <c r="G79" s="813"/>
      <c r="H79" s="813"/>
      <c r="I79" s="813"/>
      <c r="J79" s="813"/>
      <c r="K79" s="814"/>
      <c r="L79" s="813"/>
      <c r="M79" s="813"/>
      <c r="N79" s="813"/>
      <c r="O79" s="790">
        <v>0</v>
      </c>
      <c r="P79" s="1017" t="str">
        <f>Cotations!R79</f>
        <v/>
      </c>
      <c r="Q79" s="1343">
        <v>0</v>
      </c>
      <c r="R79" s="529" t="str">
        <f t="shared" si="22"/>
        <v/>
      </c>
      <c r="S79" s="529" t="str">
        <f t="shared" si="23"/>
        <v/>
      </c>
      <c r="T79" s="817"/>
      <c r="U79" s="816"/>
      <c r="V79" s="816"/>
      <c r="W79" s="816"/>
      <c r="X79" s="816"/>
      <c r="Y79" s="723" t="str">
        <f t="shared" si="24"/>
        <v/>
      </c>
    </row>
    <row r="80" spans="1:25">
      <c r="A80" s="156" t="str">
        <f t="shared" si="25"/>
        <v/>
      </c>
      <c r="B80" s="722" t="str">
        <f t="shared" ref="B80" si="26">$E$9</f>
        <v>HUTIANE</v>
      </c>
      <c r="C80" s="813"/>
      <c r="D80" s="813"/>
      <c r="E80" s="813"/>
      <c r="F80" s="813"/>
      <c r="G80" s="813"/>
      <c r="H80" s="813"/>
      <c r="I80" s="813"/>
      <c r="J80" s="813"/>
      <c r="K80" s="814"/>
      <c r="L80" s="813"/>
      <c r="M80" s="813"/>
      <c r="N80" s="813"/>
      <c r="O80" s="790">
        <v>0</v>
      </c>
      <c r="P80" s="1017" t="str">
        <f>Cotations!R80</f>
        <v/>
      </c>
      <c r="Q80" s="1344">
        <v>0</v>
      </c>
      <c r="R80" s="529" t="str">
        <f t="shared" si="22"/>
        <v/>
      </c>
      <c r="S80" s="529" t="str">
        <f t="shared" si="23"/>
        <v/>
      </c>
      <c r="T80" s="817"/>
      <c r="U80" s="816"/>
      <c r="V80" s="816"/>
      <c r="W80" s="816"/>
      <c r="X80" s="816"/>
      <c r="Y80" s="723" t="str">
        <f t="shared" si="24"/>
        <v/>
      </c>
    </row>
    <row r="81" spans="1:25">
      <c r="A81" s="156" t="str">
        <f t="shared" si="25"/>
        <v/>
      </c>
      <c r="B81" s="722"/>
      <c r="C81" s="813"/>
      <c r="D81" s="813"/>
      <c r="E81" s="813"/>
      <c r="F81" s="813"/>
      <c r="G81" s="813"/>
      <c r="H81" s="813"/>
      <c r="I81" s="813"/>
      <c r="J81" s="813"/>
      <c r="K81" s="814"/>
      <c r="L81" s="813"/>
      <c r="M81" s="813"/>
      <c r="N81" s="813"/>
      <c r="O81" s="790">
        <v>0</v>
      </c>
      <c r="P81" s="1017" t="str">
        <f>Cotations!R81</f>
        <v/>
      </c>
      <c r="Q81" s="1342">
        <v>0</v>
      </c>
      <c r="R81" s="529" t="str">
        <f t="shared" si="22"/>
        <v/>
      </c>
      <c r="S81" s="529" t="str">
        <f t="shared" si="23"/>
        <v/>
      </c>
      <c r="T81" s="817"/>
      <c r="U81" s="816"/>
      <c r="V81" s="816"/>
      <c r="W81" s="816"/>
      <c r="X81" s="816"/>
      <c r="Y81" s="812" t="str">
        <f t="shared" si="24"/>
        <v/>
      </c>
    </row>
    <row r="82" spans="1:25">
      <c r="A82" s="156" t="str">
        <f t="shared" si="25"/>
        <v/>
      </c>
      <c r="B82" s="722"/>
      <c r="C82" s="813"/>
      <c r="D82" s="813"/>
      <c r="E82" s="813"/>
      <c r="F82" s="813"/>
      <c r="G82" s="813"/>
      <c r="H82" s="813"/>
      <c r="I82" s="813"/>
      <c r="J82" s="813"/>
      <c r="K82" s="814"/>
      <c r="L82" s="813"/>
      <c r="M82" s="813"/>
      <c r="N82" s="813"/>
      <c r="O82" s="790">
        <v>0</v>
      </c>
      <c r="P82" s="1017" t="str">
        <f>Cotations!R82</f>
        <v/>
      </c>
      <c r="Q82" s="1343">
        <v>0</v>
      </c>
      <c r="R82" s="529" t="str">
        <f t="shared" si="22"/>
        <v/>
      </c>
      <c r="S82" s="529" t="str">
        <f t="shared" si="23"/>
        <v/>
      </c>
      <c r="T82" s="817"/>
      <c r="U82" s="816"/>
      <c r="V82" s="816"/>
      <c r="W82" s="816"/>
      <c r="X82" s="816"/>
      <c r="Y82" s="812" t="str">
        <f t="shared" si="24"/>
        <v/>
      </c>
    </row>
    <row r="83" spans="1:25">
      <c r="A83" s="156" t="str">
        <f t="shared" si="25"/>
        <v/>
      </c>
      <c r="B83" s="722"/>
      <c r="C83" s="813"/>
      <c r="D83" s="813"/>
      <c r="E83" s="813"/>
      <c r="F83" s="813"/>
      <c r="G83" s="813"/>
      <c r="H83" s="813"/>
      <c r="I83" s="813"/>
      <c r="J83" s="813"/>
      <c r="K83" s="814"/>
      <c r="L83" s="813"/>
      <c r="M83" s="813"/>
      <c r="N83" s="813"/>
      <c r="O83" s="790">
        <v>0</v>
      </c>
      <c r="P83" s="1017" t="str">
        <f>Cotations!R83</f>
        <v/>
      </c>
      <c r="Q83" s="530">
        <v>0</v>
      </c>
      <c r="R83" s="529" t="str">
        <f t="shared" si="22"/>
        <v/>
      </c>
      <c r="S83" s="529" t="str">
        <f t="shared" si="23"/>
        <v/>
      </c>
      <c r="T83" s="817"/>
      <c r="U83" s="816"/>
      <c r="V83" s="816"/>
      <c r="W83" s="816"/>
      <c r="X83" s="816"/>
      <c r="Y83" s="812" t="str">
        <f t="shared" si="24"/>
        <v/>
      </c>
    </row>
    <row r="84" spans="1:25">
      <c r="A84" s="156" t="str">
        <f t="shared" si="25"/>
        <v/>
      </c>
      <c r="B84" s="722"/>
      <c r="C84" s="813"/>
      <c r="D84" s="813"/>
      <c r="E84" s="813"/>
      <c r="F84" s="813"/>
      <c r="G84" s="813"/>
      <c r="H84" s="813"/>
      <c r="I84" s="813"/>
      <c r="J84" s="813"/>
      <c r="K84" s="814"/>
      <c r="L84" s="813"/>
      <c r="M84" s="813"/>
      <c r="N84" s="813"/>
      <c r="O84" s="790">
        <v>0</v>
      </c>
      <c r="P84" s="1017" t="str">
        <f>Cotations!R84</f>
        <v/>
      </c>
      <c r="Q84" s="530">
        <v>0</v>
      </c>
      <c r="R84" s="529" t="str">
        <f t="shared" si="22"/>
        <v/>
      </c>
      <c r="S84" s="529" t="str">
        <f t="shared" si="23"/>
        <v/>
      </c>
      <c r="T84" s="817"/>
      <c r="U84" s="816"/>
      <c r="V84" s="816"/>
      <c r="W84" s="816"/>
      <c r="X84" s="816"/>
      <c r="Y84" s="812" t="str">
        <f t="shared" si="24"/>
        <v/>
      </c>
    </row>
    <row r="85" spans="1:25">
      <c r="A85" s="156" t="str">
        <f t="shared" si="25"/>
        <v/>
      </c>
      <c r="B85" s="722"/>
      <c r="C85" s="813"/>
      <c r="D85" s="813"/>
      <c r="E85" s="813"/>
      <c r="F85" s="813"/>
      <c r="G85" s="813"/>
      <c r="H85" s="813"/>
      <c r="I85" s="813"/>
      <c r="J85" s="813"/>
      <c r="K85" s="814"/>
      <c r="L85" s="813"/>
      <c r="M85" s="813"/>
      <c r="N85" s="813"/>
      <c r="O85" s="790">
        <v>0</v>
      </c>
      <c r="P85" s="1017" t="str">
        <f>Cotations!R85</f>
        <v/>
      </c>
      <c r="Q85" s="530">
        <v>0</v>
      </c>
      <c r="R85" s="529" t="str">
        <f t="shared" si="22"/>
        <v/>
      </c>
      <c r="S85" s="529" t="str">
        <f t="shared" si="23"/>
        <v/>
      </c>
      <c r="T85" s="817"/>
      <c r="U85" s="816"/>
      <c r="V85" s="816"/>
      <c r="W85" s="816"/>
      <c r="X85" s="816"/>
      <c r="Y85" s="812" t="str">
        <f t="shared" si="24"/>
        <v/>
      </c>
    </row>
    <row r="86" spans="1:25">
      <c r="A86" s="156" t="str">
        <f t="shared" si="25"/>
        <v/>
      </c>
      <c r="B86" s="722"/>
      <c r="C86" s="813"/>
      <c r="D86" s="813"/>
      <c r="E86" s="813"/>
      <c r="F86" s="813"/>
      <c r="G86" s="813"/>
      <c r="H86" s="813"/>
      <c r="I86" s="813"/>
      <c r="J86" s="813"/>
      <c r="K86" s="814"/>
      <c r="L86" s="813"/>
      <c r="M86" s="813"/>
      <c r="N86" s="813"/>
      <c r="O86" s="790">
        <v>0</v>
      </c>
      <c r="P86" s="1017" t="str">
        <f>Cotations!R86</f>
        <v/>
      </c>
      <c r="Q86" s="530">
        <v>0</v>
      </c>
      <c r="R86" s="529" t="str">
        <f t="shared" si="22"/>
        <v/>
      </c>
      <c r="S86" s="529" t="str">
        <f t="shared" si="23"/>
        <v/>
      </c>
      <c r="T86" s="817"/>
      <c r="U86" s="816"/>
      <c r="V86" s="816"/>
      <c r="W86" s="816"/>
      <c r="X86" s="816"/>
      <c r="Y86" s="812" t="str">
        <f t="shared" si="24"/>
        <v/>
      </c>
    </row>
    <row r="87" spans="1:25">
      <c r="A87" s="156" t="str">
        <f t="shared" si="25"/>
        <v/>
      </c>
      <c r="B87" s="722"/>
      <c r="C87" s="813"/>
      <c r="D87" s="813"/>
      <c r="E87" s="813"/>
      <c r="F87" s="813"/>
      <c r="G87" s="813"/>
      <c r="H87" s="813"/>
      <c r="I87" s="813"/>
      <c r="J87" s="813"/>
      <c r="K87" s="814"/>
      <c r="L87" s="813"/>
      <c r="M87" s="813"/>
      <c r="N87" s="813"/>
      <c r="O87" s="790">
        <v>0</v>
      </c>
      <c r="P87" s="1017" t="str">
        <f>Cotations!R87</f>
        <v/>
      </c>
      <c r="Q87" s="530">
        <v>0</v>
      </c>
      <c r="R87" s="529" t="str">
        <f t="shared" si="22"/>
        <v/>
      </c>
      <c r="S87" s="529" t="str">
        <f t="shared" si="23"/>
        <v/>
      </c>
      <c r="T87" s="817"/>
      <c r="U87" s="816"/>
      <c r="V87" s="816"/>
      <c r="W87" s="816"/>
      <c r="X87" s="816"/>
      <c r="Y87" s="812" t="str">
        <f t="shared" si="24"/>
        <v/>
      </c>
    </row>
    <row r="88" spans="1:25">
      <c r="A88" s="156" t="str">
        <f t="shared" si="25"/>
        <v/>
      </c>
      <c r="B88" s="722"/>
      <c r="C88" s="813"/>
      <c r="D88" s="813"/>
      <c r="E88" s="813"/>
      <c r="F88" s="813"/>
      <c r="G88" s="813"/>
      <c r="H88" s="813"/>
      <c r="I88" s="813"/>
      <c r="J88" s="813"/>
      <c r="K88" s="814"/>
      <c r="L88" s="813"/>
      <c r="M88" s="813"/>
      <c r="N88" s="813"/>
      <c r="O88" s="790">
        <v>0</v>
      </c>
      <c r="P88" s="1017" t="str">
        <f>Cotations!R88</f>
        <v/>
      </c>
      <c r="Q88" s="530">
        <v>0</v>
      </c>
      <c r="R88" s="529" t="str">
        <f t="shared" si="22"/>
        <v/>
      </c>
      <c r="S88" s="529" t="str">
        <f t="shared" si="23"/>
        <v/>
      </c>
      <c r="T88" s="817"/>
      <c r="U88" s="816"/>
      <c r="V88" s="816"/>
      <c r="W88" s="816"/>
      <c r="X88" s="816"/>
      <c r="Y88" s="812" t="str">
        <f t="shared" si="24"/>
        <v/>
      </c>
    </row>
    <row r="89" spans="1:25">
      <c r="C89" s="813"/>
      <c r="D89" s="813"/>
      <c r="E89" s="813"/>
      <c r="F89" s="813"/>
      <c r="G89" s="813"/>
      <c r="H89" s="813"/>
      <c r="I89" s="813"/>
      <c r="J89" s="813"/>
      <c r="K89" s="814"/>
      <c r="L89" s="813"/>
      <c r="M89" s="813"/>
      <c r="N89" s="813"/>
      <c r="O89" s="790">
        <v>0</v>
      </c>
      <c r="P89" s="1017" t="str">
        <f>Cotations!R89</f>
        <v/>
      </c>
      <c r="Q89" s="530">
        <v>0</v>
      </c>
      <c r="R89" s="529" t="str">
        <f t="shared" ref="R89:R97" si="27">IF(T89="","",IF(U89="",(DATEDIF(T89,Y89,"M")+1),(DATEDIF(T89,U89,"M")+1)))</f>
        <v/>
      </c>
      <c r="S89" s="529" t="str">
        <f t="shared" ref="S89:S97" si="28">IF(T89="","",DATEDIF(T89,IF(U89="",T89+365,U89),"D")+1)</f>
        <v/>
      </c>
      <c r="T89" s="817"/>
      <c r="U89" s="816"/>
      <c r="V89" s="816"/>
      <c r="W89" s="816"/>
      <c r="X89" s="816"/>
      <c r="Y89" s="812" t="str">
        <f t="shared" si="24"/>
        <v/>
      </c>
    </row>
    <row r="90" spans="1:25">
      <c r="C90" s="813"/>
      <c r="D90" s="813"/>
      <c r="E90" s="813"/>
      <c r="F90" s="813"/>
      <c r="G90" s="813"/>
      <c r="H90" s="813"/>
      <c r="I90" s="813"/>
      <c r="J90" s="813"/>
      <c r="K90" s="814"/>
      <c r="L90" s="813"/>
      <c r="M90" s="813"/>
      <c r="N90" s="813"/>
      <c r="O90" s="790">
        <v>0</v>
      </c>
      <c r="P90" s="1017" t="str">
        <f>Cotations!R90</f>
        <v/>
      </c>
      <c r="Q90" s="530">
        <v>0</v>
      </c>
      <c r="R90" s="529" t="str">
        <f t="shared" si="27"/>
        <v/>
      </c>
      <c r="S90" s="529" t="str">
        <f t="shared" si="28"/>
        <v/>
      </c>
      <c r="T90" s="817"/>
      <c r="U90" s="816"/>
      <c r="V90" s="816"/>
      <c r="W90" s="816"/>
      <c r="X90" s="816"/>
      <c r="Y90" s="812" t="str">
        <f t="shared" si="24"/>
        <v/>
      </c>
    </row>
    <row r="91" spans="1:25">
      <c r="C91" s="813"/>
      <c r="D91" s="813"/>
      <c r="E91" s="813"/>
      <c r="F91" s="813"/>
      <c r="G91" s="813"/>
      <c r="H91" s="813"/>
      <c r="I91" s="813"/>
      <c r="J91" s="813"/>
      <c r="K91" s="814"/>
      <c r="L91" s="813"/>
      <c r="M91" s="813"/>
      <c r="N91" s="813"/>
      <c r="O91" s="790">
        <v>0</v>
      </c>
      <c r="P91" s="1017" t="str">
        <f>Cotations!R91</f>
        <v/>
      </c>
      <c r="Q91" s="530">
        <v>0</v>
      </c>
      <c r="R91" s="529" t="str">
        <f t="shared" si="27"/>
        <v/>
      </c>
      <c r="S91" s="529" t="str">
        <f t="shared" si="28"/>
        <v/>
      </c>
      <c r="T91" s="817"/>
      <c r="U91" s="816"/>
      <c r="V91" s="816"/>
      <c r="W91" s="816"/>
      <c r="X91" s="816"/>
      <c r="Y91" s="812" t="str">
        <f t="shared" si="24"/>
        <v/>
      </c>
    </row>
    <row r="92" spans="1:25">
      <c r="C92" s="813"/>
      <c r="D92" s="813"/>
      <c r="E92" s="813"/>
      <c r="F92" s="813"/>
      <c r="G92" s="813"/>
      <c r="H92" s="813"/>
      <c r="I92" s="813"/>
      <c r="J92" s="813"/>
      <c r="K92" s="814"/>
      <c r="L92" s="813"/>
      <c r="M92" s="813"/>
      <c r="N92" s="813"/>
      <c r="O92" s="790">
        <v>0</v>
      </c>
      <c r="P92" s="1017" t="str">
        <f>Cotations!R92</f>
        <v/>
      </c>
      <c r="Q92" s="530">
        <v>0</v>
      </c>
      <c r="R92" s="529" t="str">
        <f t="shared" si="27"/>
        <v/>
      </c>
      <c r="S92" s="529" t="str">
        <f t="shared" si="28"/>
        <v/>
      </c>
      <c r="T92" s="817"/>
      <c r="U92" s="816"/>
      <c r="V92" s="816"/>
      <c r="W92" s="816"/>
      <c r="X92" s="816"/>
      <c r="Y92" s="812" t="str">
        <f t="shared" si="24"/>
        <v/>
      </c>
    </row>
    <row r="93" spans="1:25">
      <c r="C93" s="813"/>
      <c r="D93" s="813"/>
      <c r="E93" s="813"/>
      <c r="F93" s="813"/>
      <c r="G93" s="813"/>
      <c r="H93" s="813"/>
      <c r="I93" s="813"/>
      <c r="J93" s="813"/>
      <c r="K93" s="814"/>
      <c r="L93" s="813"/>
      <c r="M93" s="813"/>
      <c r="N93" s="813"/>
      <c r="O93" s="790">
        <v>0</v>
      </c>
      <c r="P93" s="1017" t="str">
        <f>Cotations!R93</f>
        <v/>
      </c>
      <c r="Q93" s="530">
        <v>0</v>
      </c>
      <c r="R93" s="529" t="str">
        <f t="shared" si="27"/>
        <v/>
      </c>
      <c r="S93" s="529" t="str">
        <f t="shared" si="28"/>
        <v/>
      </c>
      <c r="T93" s="817"/>
      <c r="U93" s="816"/>
      <c r="V93" s="816"/>
      <c r="W93" s="816"/>
      <c r="X93" s="816"/>
      <c r="Y93" s="812" t="str">
        <f t="shared" si="24"/>
        <v/>
      </c>
    </row>
    <row r="94" spans="1:25">
      <c r="C94" s="813"/>
      <c r="D94" s="813"/>
      <c r="E94" s="813"/>
      <c r="F94" s="813"/>
      <c r="G94" s="813"/>
      <c r="H94" s="813"/>
      <c r="I94" s="813"/>
      <c r="J94" s="813"/>
      <c r="K94" s="814"/>
      <c r="L94" s="813"/>
      <c r="M94" s="813"/>
      <c r="N94" s="813"/>
      <c r="O94" s="790">
        <v>0</v>
      </c>
      <c r="P94" s="1017" t="str">
        <f>Cotations!R94</f>
        <v/>
      </c>
      <c r="Q94" s="530">
        <v>0</v>
      </c>
      <c r="R94" s="529" t="str">
        <f t="shared" si="27"/>
        <v/>
      </c>
      <c r="S94" s="529" t="str">
        <f t="shared" si="28"/>
        <v/>
      </c>
      <c r="T94" s="817"/>
      <c r="U94" s="816"/>
      <c r="V94" s="816"/>
      <c r="W94" s="816"/>
      <c r="X94" s="816"/>
      <c r="Y94" s="812" t="str">
        <f t="shared" si="24"/>
        <v/>
      </c>
    </row>
    <row r="95" spans="1:25">
      <c r="C95" s="813"/>
      <c r="D95" s="813"/>
      <c r="E95" s="813"/>
      <c r="F95" s="813"/>
      <c r="G95" s="813"/>
      <c r="H95" s="813"/>
      <c r="I95" s="813"/>
      <c r="J95" s="813"/>
      <c r="K95" s="814"/>
      <c r="L95" s="813"/>
      <c r="M95" s="813"/>
      <c r="N95" s="813"/>
      <c r="O95" s="790">
        <v>0</v>
      </c>
      <c r="P95" s="1017" t="str">
        <f>Cotations!R95</f>
        <v/>
      </c>
      <c r="Q95" s="530">
        <v>0</v>
      </c>
      <c r="R95" s="529" t="str">
        <f t="shared" si="27"/>
        <v/>
      </c>
      <c r="S95" s="529" t="str">
        <f t="shared" si="28"/>
        <v/>
      </c>
      <c r="T95" s="817"/>
      <c r="U95" s="816"/>
      <c r="V95" s="816"/>
      <c r="W95" s="816"/>
      <c r="X95" s="816"/>
      <c r="Y95" s="812" t="str">
        <f t="shared" si="24"/>
        <v/>
      </c>
    </row>
    <row r="96" spans="1:25">
      <c r="C96" s="813"/>
      <c r="D96" s="813"/>
      <c r="E96" s="813"/>
      <c r="F96" s="813"/>
      <c r="G96" s="813"/>
      <c r="H96" s="813"/>
      <c r="I96" s="813"/>
      <c r="J96" s="813"/>
      <c r="K96" s="814"/>
      <c r="L96" s="813"/>
      <c r="M96" s="813"/>
      <c r="N96" s="813"/>
      <c r="O96" s="790">
        <v>0</v>
      </c>
      <c r="P96" s="1017" t="str">
        <f>Cotations!R96</f>
        <v/>
      </c>
      <c r="Q96" s="530">
        <v>0</v>
      </c>
      <c r="R96" s="529" t="str">
        <f t="shared" si="27"/>
        <v/>
      </c>
      <c r="S96" s="529" t="str">
        <f t="shared" si="28"/>
        <v/>
      </c>
      <c r="T96" s="817"/>
      <c r="U96" s="816"/>
      <c r="V96" s="816"/>
      <c r="W96" s="816"/>
      <c r="X96" s="816"/>
      <c r="Y96" s="812" t="str">
        <f t="shared" si="24"/>
        <v/>
      </c>
    </row>
    <row r="97" spans="1:25">
      <c r="C97" s="811"/>
      <c r="D97" s="811"/>
      <c r="E97" s="811"/>
      <c r="F97" s="811"/>
      <c r="G97" s="811"/>
      <c r="H97" s="811"/>
      <c r="I97" s="811"/>
      <c r="J97" s="811"/>
      <c r="K97" s="795"/>
      <c r="L97" s="811"/>
      <c r="M97" s="811"/>
      <c r="N97" s="811"/>
      <c r="O97" s="790">
        <v>0</v>
      </c>
      <c r="P97" s="1017" t="str">
        <f>Cotations!R97</f>
        <v/>
      </c>
      <c r="Q97" s="799">
        <v>0</v>
      </c>
      <c r="R97" s="796" t="str">
        <f t="shared" si="27"/>
        <v/>
      </c>
      <c r="S97" s="796" t="str">
        <f t="shared" si="28"/>
        <v/>
      </c>
      <c r="T97" s="795"/>
      <c r="U97" s="811"/>
      <c r="V97" s="811"/>
      <c r="W97" s="816"/>
      <c r="X97" s="811"/>
      <c r="Y97" s="797" t="str">
        <f t="shared" si="24"/>
        <v/>
      </c>
    </row>
    <row r="98" spans="1:25">
      <c r="A98" s="819"/>
      <c r="B98" s="819"/>
      <c r="C98" s="816"/>
      <c r="D98" s="816"/>
      <c r="E98" s="816"/>
      <c r="F98" s="816"/>
      <c r="G98" s="816"/>
      <c r="H98" s="816"/>
      <c r="I98" s="816"/>
      <c r="J98" s="816"/>
      <c r="K98" s="817"/>
      <c r="L98" s="816"/>
      <c r="M98" s="816"/>
      <c r="N98" s="816"/>
      <c r="O98" s="790">
        <v>0</v>
      </c>
      <c r="P98" s="1017" t="str">
        <f>Cotations!R98</f>
        <v/>
      </c>
      <c r="Q98" s="530">
        <v>0</v>
      </c>
      <c r="R98" s="529" t="str">
        <f t="shared" ref="R98:R102" si="29">IF(T98="","",IF(U98="",(DATEDIF(T98,Y98,"M")+1),(DATEDIF(T98,U98,"M")+1)))</f>
        <v/>
      </c>
      <c r="S98" s="529" t="str">
        <f t="shared" ref="S98:S102" si="30">IF(T98="","",DATEDIF(T98,IF(U98="",T98+365,U98),"D")+1)</f>
        <v/>
      </c>
      <c r="T98" s="817"/>
      <c r="U98" s="816"/>
      <c r="V98" s="816"/>
      <c r="W98" s="816"/>
      <c r="X98" s="816"/>
      <c r="Y98" s="812" t="str">
        <f t="shared" si="24"/>
        <v/>
      </c>
    </row>
    <row r="99" spans="1:25">
      <c r="A99" s="819"/>
      <c r="B99" s="819"/>
      <c r="C99" s="816"/>
      <c r="D99" s="816"/>
      <c r="E99" s="816"/>
      <c r="F99" s="816"/>
      <c r="G99" s="816"/>
      <c r="H99" s="816"/>
      <c r="I99" s="816"/>
      <c r="J99" s="816"/>
      <c r="K99" s="817"/>
      <c r="L99" s="816"/>
      <c r="M99" s="816"/>
      <c r="N99" s="816"/>
      <c r="O99" s="790">
        <v>0</v>
      </c>
      <c r="P99" s="1017" t="str">
        <f>Cotations!R99</f>
        <v/>
      </c>
      <c r="Q99" s="530">
        <v>0</v>
      </c>
      <c r="R99" s="529" t="str">
        <f t="shared" si="29"/>
        <v/>
      </c>
      <c r="S99" s="529" t="str">
        <f t="shared" si="30"/>
        <v/>
      </c>
      <c r="T99" s="817"/>
      <c r="U99" s="816"/>
      <c r="V99" s="816"/>
      <c r="W99" s="816"/>
      <c r="X99" s="816"/>
      <c r="Y99" s="812" t="str">
        <f t="shared" si="24"/>
        <v/>
      </c>
    </row>
    <row r="100" spans="1:25">
      <c r="A100" s="819"/>
      <c r="B100" s="819"/>
      <c r="C100" s="819"/>
      <c r="D100" s="818"/>
      <c r="E100" s="816"/>
      <c r="F100" s="816"/>
      <c r="G100" s="816"/>
      <c r="H100" s="816"/>
      <c r="I100" s="819"/>
      <c r="J100" s="819"/>
      <c r="K100" s="819"/>
      <c r="L100" s="819"/>
      <c r="M100" s="816"/>
      <c r="N100" s="819"/>
      <c r="O100" s="790">
        <v>0</v>
      </c>
      <c r="P100" s="528">
        <f t="shared" ref="P100:P103" si="31">IF(M100="USD",N100/$F$7,N100)</f>
        <v>0</v>
      </c>
      <c r="Q100" s="530">
        <v>0</v>
      </c>
      <c r="R100" s="529" t="str">
        <f t="shared" si="29"/>
        <v/>
      </c>
      <c r="S100" s="529" t="str">
        <f t="shared" si="30"/>
        <v/>
      </c>
      <c r="T100" s="817"/>
      <c r="U100" s="817"/>
      <c r="V100" s="816"/>
      <c r="W100" s="816"/>
      <c r="X100" s="816"/>
      <c r="Y100" s="812" t="str">
        <f t="shared" si="24"/>
        <v/>
      </c>
    </row>
    <row r="101" spans="1:25">
      <c r="A101" s="819"/>
      <c r="B101" s="819"/>
      <c r="C101" s="819"/>
      <c r="D101" s="818"/>
      <c r="E101" s="816"/>
      <c r="F101" s="816"/>
      <c r="G101" s="816"/>
      <c r="H101" s="816"/>
      <c r="I101" s="819"/>
      <c r="J101" s="819"/>
      <c r="K101" s="819"/>
      <c r="L101" s="819"/>
      <c r="M101" s="816"/>
      <c r="N101" s="819"/>
      <c r="O101" s="790">
        <v>0</v>
      </c>
      <c r="P101" s="528">
        <f t="shared" si="31"/>
        <v>0</v>
      </c>
      <c r="Q101" s="530">
        <v>0</v>
      </c>
      <c r="R101" s="529" t="str">
        <f t="shared" si="29"/>
        <v/>
      </c>
      <c r="S101" s="529" t="str">
        <f t="shared" si="30"/>
        <v/>
      </c>
      <c r="T101" s="817"/>
      <c r="U101" s="817"/>
      <c r="V101" s="816"/>
      <c r="W101" s="816"/>
      <c r="X101" s="816"/>
      <c r="Y101" s="812" t="str">
        <f t="shared" si="24"/>
        <v/>
      </c>
    </row>
    <row r="102" spans="1:25">
      <c r="A102" s="819"/>
      <c r="B102" s="819"/>
      <c r="C102" s="819"/>
      <c r="D102" s="818"/>
      <c r="E102" s="816"/>
      <c r="F102" s="816"/>
      <c r="G102" s="816"/>
      <c r="H102" s="816"/>
      <c r="I102" s="819"/>
      <c r="J102" s="819"/>
      <c r="K102" s="819"/>
      <c r="L102" s="819"/>
      <c r="M102" s="816"/>
      <c r="N102" s="819"/>
      <c r="O102" s="790">
        <v>0</v>
      </c>
      <c r="P102" s="528">
        <f t="shared" si="31"/>
        <v>0</v>
      </c>
      <c r="Q102" s="530">
        <v>0</v>
      </c>
      <c r="R102" s="529" t="str">
        <f t="shared" si="29"/>
        <v/>
      </c>
      <c r="S102" s="529" t="str">
        <f t="shared" si="30"/>
        <v/>
      </c>
      <c r="T102" s="817"/>
      <c r="U102" s="817"/>
      <c r="V102" s="816"/>
      <c r="W102" s="816"/>
      <c r="X102" s="816"/>
      <c r="Y102" s="812" t="str">
        <f t="shared" si="24"/>
        <v/>
      </c>
    </row>
    <row r="103" spans="1:25">
      <c r="A103" s="819"/>
      <c r="B103" s="819"/>
      <c r="C103" s="819"/>
      <c r="D103" s="818"/>
      <c r="E103" s="816"/>
      <c r="F103" s="816"/>
      <c r="G103" s="816"/>
      <c r="H103" s="816"/>
      <c r="I103" s="819"/>
      <c r="J103" s="819"/>
      <c r="K103" s="819"/>
      <c r="L103" s="819"/>
      <c r="M103" s="816"/>
      <c r="N103" s="819"/>
      <c r="O103" s="790">
        <v>0</v>
      </c>
      <c r="P103" s="528">
        <f t="shared" si="31"/>
        <v>0</v>
      </c>
      <c r="Q103" s="530">
        <v>0</v>
      </c>
      <c r="R103" s="529" t="str">
        <f t="shared" ref="R103" si="32">IF(T103="","",IF(U103="",(DATEDIF(T103,Y103,"M")+1),(DATEDIF(T103,U103,"M")+1)))</f>
        <v/>
      </c>
      <c r="S103" s="529" t="str">
        <f t="shared" ref="S103" si="33">IF(T103="","",DATEDIF(T103,IF(U103="",T103+365,U103),"D")+1)</f>
        <v/>
      </c>
      <c r="T103" s="817"/>
      <c r="U103" s="817"/>
      <c r="V103" s="816"/>
      <c r="W103" s="816"/>
      <c r="X103" s="819"/>
      <c r="Y103" s="812" t="str">
        <f t="shared" si="24"/>
        <v/>
      </c>
    </row>
  </sheetData>
  <autoFilter ref="A14:Y103">
    <filterColumn colId="17" showButton="0"/>
  </autoFilter>
  <sortState ref="A48:Y57">
    <sortCondition ref="F48:F57"/>
  </sortState>
  <mergeCells count="28">
    <mergeCell ref="R14:S14"/>
    <mergeCell ref="N6:V6"/>
    <mergeCell ref="N9:V9"/>
    <mergeCell ref="T10:U11"/>
    <mergeCell ref="U3:V3"/>
    <mergeCell ref="S3:T3"/>
    <mergeCell ref="E4:F4"/>
    <mergeCell ref="H4:I4"/>
    <mergeCell ref="L4:L6"/>
    <mergeCell ref="N4:V4"/>
    <mergeCell ref="E5:I5"/>
    <mergeCell ref="J5:K5"/>
    <mergeCell ref="N5:V5"/>
    <mergeCell ref="L7:L9"/>
    <mergeCell ref="N7:V7"/>
    <mergeCell ref="E8:F8"/>
    <mergeCell ref="N8:V8"/>
    <mergeCell ref="E9:G11"/>
    <mergeCell ref="Q1:R1"/>
    <mergeCell ref="E3:F3"/>
    <mergeCell ref="G3:I3"/>
    <mergeCell ref="N3:R3"/>
    <mergeCell ref="E2:F2"/>
    <mergeCell ref="G2:I2"/>
    <mergeCell ref="E1:F1"/>
    <mergeCell ref="J1:K1"/>
    <mergeCell ref="M1:N1"/>
    <mergeCell ref="M2:R2"/>
  </mergeCells>
  <pageMargins left="0.7" right="0.7" top="0.75" bottom="0.75" header="0.3" footer="0.3"/>
  <pageSetup paperSize="9" scale="43" orientation="landscape" r:id="rId1"/>
  <rowBreaks count="1" manualBreakCount="1">
    <brk id="47" min="1" max="24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00B0F0"/>
  </sheetPr>
  <dimension ref="A1:DU99"/>
  <sheetViews>
    <sheetView workbookViewId="0">
      <selection activeCell="I31" sqref="I31"/>
    </sheetView>
  </sheetViews>
  <sheetFormatPr baseColWidth="10" defaultColWidth="11.42578125" defaultRowHeight="15"/>
  <cols>
    <col min="1" max="1" width="11.5703125" customWidth="1"/>
    <col min="2" max="2" width="14.5703125" customWidth="1"/>
    <col min="4" max="4" width="17.85546875" customWidth="1"/>
    <col min="7" max="7" width="11.5703125" customWidth="1"/>
    <col min="47" max="47" width="16.7109375" customWidth="1"/>
    <col min="79" max="79" width="31.42578125" customWidth="1"/>
  </cols>
  <sheetData>
    <row r="1" spans="1:125" s="409" customFormat="1">
      <c r="A1" s="409" t="s">
        <v>2182</v>
      </c>
      <c r="B1" s="1">
        <v>42425.578865740739</v>
      </c>
      <c r="D1" s="409" t="s">
        <v>2183</v>
      </c>
    </row>
    <row r="2" spans="1:125" s="409" customFormat="1">
      <c r="D2" s="409" t="s">
        <v>2184</v>
      </c>
    </row>
    <row r="3" spans="1:125" s="409" customFormat="1"/>
    <row r="10" spans="1:125" s="409" customFormat="1"/>
    <row r="11" spans="1:125" s="295" customFormat="1">
      <c r="X11" s="1353"/>
      <c r="Y11" s="1353"/>
      <c r="Z11" s="1353"/>
    </row>
    <row r="12" spans="1:125" s="409" customFormat="1">
      <c r="A12" s="409" t="s">
        <v>11</v>
      </c>
      <c r="AD12" s="409" t="s">
        <v>2185</v>
      </c>
    </row>
    <row r="13" spans="1:125" s="409" customFormat="1">
      <c r="T13" s="542">
        <f>SUM(T15:T60)</f>
        <v>1992</v>
      </c>
      <c r="U13" s="409">
        <f>SUM(U15:U60)</f>
        <v>68</v>
      </c>
      <c r="AA13" s="1159">
        <f>SUM(AA15:AA120)</f>
        <v>0</v>
      </c>
      <c r="AD13" s="409" t="s">
        <v>3</v>
      </c>
      <c r="AL13" s="409" t="s">
        <v>5</v>
      </c>
      <c r="AT13" s="409" t="s">
        <v>6</v>
      </c>
      <c r="BB13" s="409" t="s">
        <v>8</v>
      </c>
      <c r="BJ13" s="409" t="s">
        <v>9</v>
      </c>
      <c r="BR13" s="409" t="s">
        <v>10</v>
      </c>
      <c r="BZ13" s="409" t="s">
        <v>41</v>
      </c>
      <c r="CH13" s="409" t="s">
        <v>42</v>
      </c>
      <c r="CP13" s="714" t="s">
        <v>6</v>
      </c>
      <c r="CQ13" s="714"/>
      <c r="CR13" s="714"/>
      <c r="CS13" s="714"/>
      <c r="CT13" s="714"/>
      <c r="CU13" s="714"/>
      <c r="CV13" s="714"/>
      <c r="CW13" s="714"/>
      <c r="CX13" s="714" t="s">
        <v>9</v>
      </c>
      <c r="CY13" s="714"/>
      <c r="CZ13" s="714"/>
      <c r="DA13" s="714"/>
      <c r="DB13" s="714"/>
      <c r="DC13" s="714"/>
      <c r="DD13" s="714"/>
      <c r="DE13" s="714"/>
      <c r="DF13" s="1018" t="s">
        <v>2692</v>
      </c>
      <c r="DG13" s="1018"/>
      <c r="DH13" s="1018"/>
      <c r="DI13" s="1018"/>
      <c r="DJ13" s="1018"/>
      <c r="DK13" s="1018"/>
      <c r="DL13" s="1018"/>
      <c r="DM13" s="1018"/>
      <c r="DN13" s="1079" t="s">
        <v>2747</v>
      </c>
      <c r="DO13" s="1079"/>
      <c r="DP13" s="1079"/>
      <c r="DQ13" s="1079"/>
      <c r="DR13" s="1079"/>
      <c r="DS13" s="1079"/>
      <c r="DT13" s="1079"/>
      <c r="DU13" s="1079"/>
    </row>
    <row r="14" spans="1:125" s="409" customFormat="1">
      <c r="A14" s="409" t="s">
        <v>2186</v>
      </c>
      <c r="B14" s="409" t="s">
        <v>14</v>
      </c>
      <c r="C14" s="409" t="s">
        <v>2187</v>
      </c>
      <c r="D14" s="409" t="s">
        <v>2188</v>
      </c>
      <c r="E14" s="409" t="s">
        <v>2189</v>
      </c>
      <c r="F14" s="409" t="s">
        <v>2190</v>
      </c>
      <c r="G14" s="409" t="s">
        <v>2191</v>
      </c>
      <c r="H14" s="409" t="s">
        <v>15</v>
      </c>
      <c r="I14" s="409" t="s">
        <v>2192</v>
      </c>
      <c r="J14" s="409" t="s">
        <v>16</v>
      </c>
      <c r="K14" s="409" t="s">
        <v>17</v>
      </c>
      <c r="L14" s="409" t="s">
        <v>18</v>
      </c>
      <c r="M14" s="409" t="s">
        <v>19</v>
      </c>
      <c r="N14" s="409" t="s">
        <v>585</v>
      </c>
      <c r="O14" s="409" t="s">
        <v>2193</v>
      </c>
      <c r="P14" s="409" t="s">
        <v>97</v>
      </c>
      <c r="Q14" s="409" t="s">
        <v>2194</v>
      </c>
      <c r="R14" s="409" t="s">
        <v>2195</v>
      </c>
      <c r="S14" s="409" t="s">
        <v>13</v>
      </c>
      <c r="T14" s="409" t="s">
        <v>2196</v>
      </c>
      <c r="U14" s="409" t="s">
        <v>2197</v>
      </c>
      <c r="V14" s="409" t="s">
        <v>2198</v>
      </c>
      <c r="W14" s="409" t="s">
        <v>2199</v>
      </c>
      <c r="X14" s="409" t="s">
        <v>2200</v>
      </c>
      <c r="Y14" s="409" t="s">
        <v>2201</v>
      </c>
      <c r="Z14" s="409" t="s">
        <v>98</v>
      </c>
      <c r="AA14" s="409" t="s">
        <v>2202</v>
      </c>
      <c r="AB14" s="409" t="s">
        <v>2203</v>
      </c>
      <c r="AC14" s="409" t="s">
        <v>2204</v>
      </c>
      <c r="AD14" s="409" t="s">
        <v>2205</v>
      </c>
      <c r="AE14" s="409" t="s">
        <v>20</v>
      </c>
      <c r="AF14" s="409" t="s">
        <v>21</v>
      </c>
      <c r="AG14" s="409" t="s">
        <v>34</v>
      </c>
      <c r="AH14" s="409" t="s">
        <v>2206</v>
      </c>
      <c r="AI14" s="409" t="s">
        <v>2113</v>
      </c>
      <c r="AJ14" s="409" t="s">
        <v>22</v>
      </c>
      <c r="AK14" s="409" t="s">
        <v>2207</v>
      </c>
      <c r="AL14" s="409" t="s">
        <v>2205</v>
      </c>
      <c r="AM14" s="409" t="s">
        <v>20</v>
      </c>
      <c r="AN14" s="409" t="s">
        <v>21</v>
      </c>
      <c r="AO14" s="409" t="s">
        <v>34</v>
      </c>
      <c r="AP14" s="409" t="s">
        <v>2206</v>
      </c>
      <c r="AQ14" s="409" t="s">
        <v>2113</v>
      </c>
      <c r="AR14" s="409" t="s">
        <v>22</v>
      </c>
      <c r="AS14" s="409" t="s">
        <v>2207</v>
      </c>
      <c r="AT14" s="409" t="s">
        <v>2205</v>
      </c>
      <c r="AU14" s="409" t="s">
        <v>20</v>
      </c>
      <c r="AV14" s="409" t="s">
        <v>21</v>
      </c>
      <c r="AW14" s="409" t="s">
        <v>34</v>
      </c>
      <c r="AX14" s="409" t="s">
        <v>2206</v>
      </c>
      <c r="AY14" s="409" t="s">
        <v>2113</v>
      </c>
      <c r="AZ14" s="409" t="s">
        <v>22</v>
      </c>
      <c r="BA14" s="409" t="s">
        <v>2207</v>
      </c>
      <c r="BB14" s="409" t="s">
        <v>2205</v>
      </c>
      <c r="BC14" s="409" t="s">
        <v>20</v>
      </c>
      <c r="BD14" s="409" t="s">
        <v>21</v>
      </c>
      <c r="BE14" s="409" t="s">
        <v>34</v>
      </c>
      <c r="BF14" s="409" t="s">
        <v>2206</v>
      </c>
      <c r="BG14" s="409" t="s">
        <v>2113</v>
      </c>
      <c r="BH14" s="409" t="s">
        <v>22</v>
      </c>
      <c r="BI14" s="409" t="s">
        <v>2207</v>
      </c>
      <c r="BJ14" s="409" t="s">
        <v>2205</v>
      </c>
      <c r="BK14" s="409" t="s">
        <v>20</v>
      </c>
      <c r="BL14" s="409" t="s">
        <v>21</v>
      </c>
      <c r="BM14" s="409" t="s">
        <v>34</v>
      </c>
      <c r="BN14" s="409" t="s">
        <v>2206</v>
      </c>
      <c r="BO14" s="409" t="s">
        <v>2113</v>
      </c>
      <c r="BP14" s="409" t="s">
        <v>22</v>
      </c>
      <c r="BQ14" s="409" t="s">
        <v>2207</v>
      </c>
      <c r="BR14" s="409" t="s">
        <v>2205</v>
      </c>
      <c r="BS14" s="409" t="s">
        <v>20</v>
      </c>
      <c r="BT14" s="409" t="s">
        <v>21</v>
      </c>
      <c r="BU14" s="409" t="s">
        <v>34</v>
      </c>
      <c r="BV14" s="409" t="s">
        <v>2206</v>
      </c>
      <c r="BW14" s="409" t="s">
        <v>2113</v>
      </c>
      <c r="BX14" s="409" t="s">
        <v>22</v>
      </c>
      <c r="BY14" s="409" t="s">
        <v>2207</v>
      </c>
      <c r="BZ14" s="409" t="s">
        <v>2205</v>
      </c>
      <c r="CA14" s="409" t="s">
        <v>20</v>
      </c>
      <c r="CB14" s="409" t="s">
        <v>21</v>
      </c>
      <c r="CC14" s="409" t="s">
        <v>34</v>
      </c>
      <c r="CD14" s="409" t="s">
        <v>2206</v>
      </c>
      <c r="CE14" s="409" t="s">
        <v>2113</v>
      </c>
      <c r="CF14" s="409" t="s">
        <v>22</v>
      </c>
      <c r="CG14" s="409" t="s">
        <v>2207</v>
      </c>
      <c r="CH14" s="409" t="s">
        <v>2205</v>
      </c>
      <c r="CI14" s="409" t="s">
        <v>20</v>
      </c>
      <c r="CJ14" s="409" t="s">
        <v>21</v>
      </c>
      <c r="CK14" s="409" t="s">
        <v>34</v>
      </c>
      <c r="CL14" s="409" t="s">
        <v>2206</v>
      </c>
      <c r="CM14" s="409" t="s">
        <v>2113</v>
      </c>
      <c r="CN14" s="409" t="s">
        <v>22</v>
      </c>
      <c r="CO14" s="409" t="s">
        <v>2207</v>
      </c>
      <c r="CP14" s="714" t="s">
        <v>2205</v>
      </c>
      <c r="CQ14" s="714" t="s">
        <v>20</v>
      </c>
      <c r="CR14" s="714" t="s">
        <v>21</v>
      </c>
      <c r="CS14" s="714" t="s">
        <v>34</v>
      </c>
      <c r="CT14" s="714" t="s">
        <v>2206</v>
      </c>
      <c r="CU14" s="714" t="s">
        <v>2113</v>
      </c>
      <c r="CV14" s="714" t="s">
        <v>22</v>
      </c>
      <c r="CW14" s="714" t="s">
        <v>2207</v>
      </c>
      <c r="CX14" s="714" t="s">
        <v>2205</v>
      </c>
      <c r="CY14" s="714" t="s">
        <v>20</v>
      </c>
      <c r="CZ14" s="714" t="s">
        <v>21</v>
      </c>
      <c r="DA14" s="714" t="s">
        <v>34</v>
      </c>
      <c r="DB14" s="714" t="s">
        <v>2206</v>
      </c>
      <c r="DC14" s="714" t="s">
        <v>2113</v>
      </c>
      <c r="DD14" s="714" t="s">
        <v>22</v>
      </c>
      <c r="DE14" s="714" t="s">
        <v>2207</v>
      </c>
      <c r="DF14" s="1018" t="s">
        <v>2205</v>
      </c>
      <c r="DG14" s="1018" t="s">
        <v>20</v>
      </c>
      <c r="DH14" s="1018" t="s">
        <v>21</v>
      </c>
      <c r="DI14" s="1018" t="s">
        <v>34</v>
      </c>
      <c r="DJ14" s="1018" t="s">
        <v>2206</v>
      </c>
      <c r="DK14" s="1018" t="s">
        <v>2113</v>
      </c>
      <c r="DL14" s="1018" t="s">
        <v>22</v>
      </c>
      <c r="DM14" s="1018" t="s">
        <v>2207</v>
      </c>
      <c r="DN14" s="1079" t="s">
        <v>2205</v>
      </c>
      <c r="DO14" s="1079" t="s">
        <v>20</v>
      </c>
      <c r="DP14" s="1079" t="s">
        <v>21</v>
      </c>
      <c r="DQ14" s="1079" t="s">
        <v>34</v>
      </c>
      <c r="DR14" s="1079" t="s">
        <v>2206</v>
      </c>
      <c r="DS14" s="1079" t="s">
        <v>2113</v>
      </c>
      <c r="DT14" s="1079" t="s">
        <v>22</v>
      </c>
      <c r="DU14" s="1079" t="s">
        <v>2207</v>
      </c>
    </row>
    <row r="15" spans="1:125" s="1428" customFormat="1">
      <c r="A15" s="1428" t="s">
        <v>2875</v>
      </c>
      <c r="B15" s="1428">
        <v>12600</v>
      </c>
      <c r="C15" s="1431">
        <v>41955</v>
      </c>
      <c r="D15" s="1431">
        <v>43050</v>
      </c>
      <c r="F15" s="1431">
        <v>42320</v>
      </c>
      <c r="G15" s="1431">
        <v>42685</v>
      </c>
      <c r="H15" s="1428">
        <v>132898</v>
      </c>
      <c r="I15" s="1428">
        <v>5677610</v>
      </c>
      <c r="J15" s="1428" t="s">
        <v>2876</v>
      </c>
      <c r="K15" s="1428" t="s">
        <v>2877</v>
      </c>
      <c r="L15" s="1428" t="s">
        <v>2878</v>
      </c>
      <c r="M15" s="1431">
        <v>33132</v>
      </c>
      <c r="O15" s="1428" t="s">
        <v>2879</v>
      </c>
      <c r="P15" s="1428" t="s">
        <v>2880</v>
      </c>
      <c r="Q15" s="1428">
        <v>2500</v>
      </c>
      <c r="R15" s="1428" t="s">
        <v>33</v>
      </c>
      <c r="S15" s="1428" t="s">
        <v>12</v>
      </c>
      <c r="T15" s="1428">
        <v>242</v>
      </c>
      <c r="U15" s="1428">
        <v>8</v>
      </c>
      <c r="V15" s="1428" t="s">
        <v>2180</v>
      </c>
      <c r="W15" s="1428" t="s">
        <v>2180</v>
      </c>
      <c r="X15" s="1431">
        <v>42320</v>
      </c>
      <c r="Y15" s="1431">
        <v>42561</v>
      </c>
      <c r="Z15" s="1428" t="s">
        <v>2881</v>
      </c>
      <c r="AA15" s="1428">
        <v>0</v>
      </c>
      <c r="AB15" s="1428" t="s">
        <v>54</v>
      </c>
      <c r="AC15" s="1428" t="s">
        <v>2882</v>
      </c>
      <c r="AD15" s="1428" t="s">
        <v>4</v>
      </c>
      <c r="AE15" s="1428" t="s">
        <v>88</v>
      </c>
      <c r="AF15" s="1428" t="s">
        <v>2883</v>
      </c>
      <c r="AG15" s="1428" t="s">
        <v>33</v>
      </c>
      <c r="AH15" s="1428" t="s">
        <v>2881</v>
      </c>
      <c r="AI15" s="1428" t="s">
        <v>2881</v>
      </c>
      <c r="AJ15" s="1428">
        <v>500000</v>
      </c>
      <c r="AK15" s="1428">
        <v>791.82690000000002</v>
      </c>
      <c r="AL15" s="1428" t="s">
        <v>4</v>
      </c>
      <c r="AM15" s="1428" t="s">
        <v>88</v>
      </c>
      <c r="AN15" s="1428" t="s">
        <v>2883</v>
      </c>
      <c r="AO15" s="1428" t="s">
        <v>33</v>
      </c>
      <c r="AP15" s="1428" t="s">
        <v>2881</v>
      </c>
      <c r="AQ15" s="1428" t="s">
        <v>2881</v>
      </c>
      <c r="AR15" s="1428">
        <v>25000</v>
      </c>
      <c r="AS15" s="1428">
        <v>129.80770000000001</v>
      </c>
      <c r="AT15" s="1428" t="s">
        <v>7</v>
      </c>
      <c r="AU15" s="1428" t="s">
        <v>90</v>
      </c>
      <c r="AV15" s="1428">
        <v>240322</v>
      </c>
      <c r="AW15" s="1428" t="s">
        <v>33</v>
      </c>
      <c r="AX15" s="1428" t="s">
        <v>2881</v>
      </c>
      <c r="AY15" s="1428" t="s">
        <v>2881</v>
      </c>
      <c r="AZ15" s="1428">
        <v>90000</v>
      </c>
      <c r="BA15" s="777">
        <v>5.0100000000000003E-4</v>
      </c>
      <c r="BB15" s="1428" t="s">
        <v>7</v>
      </c>
      <c r="BC15" s="1428" t="s">
        <v>90</v>
      </c>
      <c r="BD15" s="1428">
        <v>240322</v>
      </c>
      <c r="BE15" s="1428" t="s">
        <v>33</v>
      </c>
      <c r="BF15" s="1428" t="s">
        <v>2881</v>
      </c>
      <c r="BG15" s="1428" t="s">
        <v>2881</v>
      </c>
      <c r="BH15" s="1428">
        <v>90000</v>
      </c>
      <c r="BI15" s="777">
        <v>1.253E-3</v>
      </c>
      <c r="BJ15" s="1428" t="s">
        <v>7</v>
      </c>
      <c r="BK15" s="1428" t="s">
        <v>90</v>
      </c>
      <c r="BL15" s="1428">
        <v>240322</v>
      </c>
      <c r="BM15" s="1428" t="s">
        <v>33</v>
      </c>
      <c r="BN15" s="1428" t="s">
        <v>2881</v>
      </c>
      <c r="BO15" s="1428" t="s">
        <v>2881</v>
      </c>
      <c r="BP15" s="1428">
        <v>90000</v>
      </c>
      <c r="BQ15" s="777">
        <v>6.1899999999999998E-4</v>
      </c>
      <c r="BR15" s="1428" t="s">
        <v>7</v>
      </c>
      <c r="BS15" s="1428" t="s">
        <v>90</v>
      </c>
      <c r="BT15" s="1428">
        <v>240322</v>
      </c>
      <c r="BU15" s="1428" t="s">
        <v>33</v>
      </c>
      <c r="BV15" s="1428" t="s">
        <v>2881</v>
      </c>
      <c r="BW15" s="1428" t="s">
        <v>2881</v>
      </c>
      <c r="BX15" s="1428">
        <v>90000</v>
      </c>
      <c r="BY15" s="777">
        <v>1.4890000000000001E-3</v>
      </c>
      <c r="BZ15" s="1428" t="s">
        <v>7</v>
      </c>
      <c r="CA15" s="1428" t="s">
        <v>90</v>
      </c>
      <c r="CB15" s="1428">
        <v>240322</v>
      </c>
      <c r="CC15" s="1428" t="s">
        <v>33</v>
      </c>
      <c r="CD15" s="1428">
        <v>7</v>
      </c>
      <c r="CE15" s="1428">
        <v>365</v>
      </c>
      <c r="CF15" s="1428">
        <v>30000</v>
      </c>
      <c r="CG15" s="777">
        <v>4.5250000000000004E-3</v>
      </c>
      <c r="CH15" s="1428" t="s">
        <v>7</v>
      </c>
      <c r="CI15" s="1428" t="s">
        <v>90</v>
      </c>
      <c r="CJ15" s="1428">
        <v>240322</v>
      </c>
      <c r="CK15" s="1428" t="s">
        <v>33</v>
      </c>
      <c r="CL15" s="1428">
        <v>7</v>
      </c>
      <c r="CM15" s="1428">
        <v>365</v>
      </c>
      <c r="CN15" s="1428">
        <v>30000</v>
      </c>
      <c r="CO15" s="777">
        <v>9.044E-3</v>
      </c>
    </row>
    <row r="16" spans="1:125" s="1428" customFormat="1">
      <c r="A16" s="1428" t="s">
        <v>2875</v>
      </c>
      <c r="B16" s="1428">
        <v>12600</v>
      </c>
      <c r="C16" s="1431">
        <v>41955</v>
      </c>
      <c r="D16" s="1431">
        <v>43050</v>
      </c>
      <c r="F16" s="1431">
        <v>42320</v>
      </c>
      <c r="G16" s="1431">
        <v>42685</v>
      </c>
      <c r="H16" s="1428">
        <v>131262</v>
      </c>
      <c r="I16" s="1428">
        <v>5677605</v>
      </c>
      <c r="J16" s="1428" t="s">
        <v>2884</v>
      </c>
      <c r="K16" s="1428" t="s">
        <v>2877</v>
      </c>
      <c r="L16" s="1428" t="s">
        <v>2885</v>
      </c>
      <c r="M16" s="1431">
        <v>22440</v>
      </c>
      <c r="N16" s="1428" t="s">
        <v>2886</v>
      </c>
      <c r="O16" s="1428" t="s">
        <v>2887</v>
      </c>
      <c r="P16" s="1428" t="s">
        <v>2888</v>
      </c>
      <c r="Q16" s="1428">
        <v>3000</v>
      </c>
      <c r="R16" s="1428" t="s">
        <v>33</v>
      </c>
      <c r="S16" s="1428" t="s">
        <v>12</v>
      </c>
      <c r="T16" s="1428">
        <v>365</v>
      </c>
      <c r="U16" s="1428">
        <v>12</v>
      </c>
      <c r="V16" s="1428" t="s">
        <v>2180</v>
      </c>
      <c r="W16" s="1428" t="s">
        <v>2180</v>
      </c>
      <c r="X16" s="1431">
        <v>42320</v>
      </c>
      <c r="Y16" s="1431">
        <v>42685</v>
      </c>
      <c r="Z16" s="1428" t="s">
        <v>2881</v>
      </c>
      <c r="AA16" s="1428">
        <v>0</v>
      </c>
      <c r="AB16" s="1428" t="s">
        <v>54</v>
      </c>
      <c r="AC16" s="1428" t="s">
        <v>2882</v>
      </c>
      <c r="AD16" s="1428" t="s">
        <v>4</v>
      </c>
      <c r="AE16" s="1428" t="s">
        <v>88</v>
      </c>
      <c r="AF16" s="1428" t="s">
        <v>2883</v>
      </c>
      <c r="AG16" s="1428" t="s">
        <v>33</v>
      </c>
      <c r="AH16" s="1428" t="s">
        <v>2881</v>
      </c>
      <c r="AI16" s="1428" t="s">
        <v>2881</v>
      </c>
      <c r="AJ16" s="1428">
        <v>500000</v>
      </c>
      <c r="AK16" s="1428">
        <v>791.82690000000002</v>
      </c>
      <c r="AL16" s="1428" t="s">
        <v>4</v>
      </c>
      <c r="AM16" s="1428" t="s">
        <v>88</v>
      </c>
      <c r="AN16" s="1428" t="s">
        <v>2883</v>
      </c>
      <c r="AO16" s="1428" t="s">
        <v>33</v>
      </c>
      <c r="AP16" s="1428" t="s">
        <v>2881</v>
      </c>
      <c r="AQ16" s="1428" t="s">
        <v>2881</v>
      </c>
      <c r="AR16" s="1428">
        <v>25000</v>
      </c>
      <c r="AS16" s="1428">
        <v>129.80770000000001</v>
      </c>
      <c r="AT16" s="1428" t="s">
        <v>7</v>
      </c>
      <c r="AU16" s="1428" t="s">
        <v>90</v>
      </c>
      <c r="AV16" s="1428">
        <v>240322</v>
      </c>
      <c r="AW16" s="1428" t="s">
        <v>33</v>
      </c>
      <c r="AX16" s="1428" t="s">
        <v>2881</v>
      </c>
      <c r="AY16" s="1428" t="s">
        <v>2881</v>
      </c>
      <c r="AZ16" s="1428">
        <v>108000</v>
      </c>
      <c r="BA16" s="777">
        <v>5.0100000000000003E-4</v>
      </c>
      <c r="BB16" s="1428" t="s">
        <v>7</v>
      </c>
      <c r="BC16" s="1428" t="s">
        <v>90</v>
      </c>
      <c r="BD16" s="1428">
        <v>240322</v>
      </c>
      <c r="BE16" s="1428" t="s">
        <v>33</v>
      </c>
      <c r="BF16" s="1428" t="s">
        <v>2881</v>
      </c>
      <c r="BG16" s="1428" t="s">
        <v>2881</v>
      </c>
      <c r="BH16" s="1428">
        <v>108000</v>
      </c>
      <c r="BI16" s="777">
        <v>1.253E-3</v>
      </c>
      <c r="BJ16" s="1428" t="s">
        <v>7</v>
      </c>
      <c r="BK16" s="1428" t="s">
        <v>90</v>
      </c>
      <c r="BL16" s="1428">
        <v>240322</v>
      </c>
      <c r="BM16" s="1428" t="s">
        <v>33</v>
      </c>
      <c r="BN16" s="1428" t="s">
        <v>2881</v>
      </c>
      <c r="BO16" s="1428" t="s">
        <v>2881</v>
      </c>
      <c r="BP16" s="1428">
        <v>108000</v>
      </c>
      <c r="BQ16" s="777">
        <v>6.1899999999999998E-4</v>
      </c>
      <c r="BR16" s="1428" t="s">
        <v>7</v>
      </c>
      <c r="BS16" s="1428" t="s">
        <v>90</v>
      </c>
      <c r="BT16" s="1428">
        <v>240322</v>
      </c>
      <c r="BU16" s="1428" t="s">
        <v>33</v>
      </c>
      <c r="BV16" s="1428" t="s">
        <v>2881</v>
      </c>
      <c r="BW16" s="1428" t="s">
        <v>2881</v>
      </c>
      <c r="BX16" s="1428">
        <v>108000</v>
      </c>
      <c r="BY16" s="777">
        <v>1.4890000000000001E-3</v>
      </c>
      <c r="BZ16" s="1428" t="s">
        <v>7</v>
      </c>
      <c r="CA16" s="1428" t="s">
        <v>90</v>
      </c>
      <c r="CB16" s="1428">
        <v>240322</v>
      </c>
      <c r="CC16" s="1428" t="s">
        <v>33</v>
      </c>
      <c r="CD16" s="1428">
        <v>7</v>
      </c>
      <c r="CE16" s="1428">
        <v>365</v>
      </c>
      <c r="CF16" s="1428">
        <v>36000</v>
      </c>
      <c r="CG16" s="777">
        <v>4.5250000000000004E-3</v>
      </c>
      <c r="CH16" s="1428" t="s">
        <v>7</v>
      </c>
      <c r="CI16" s="1428" t="s">
        <v>90</v>
      </c>
      <c r="CJ16" s="1428">
        <v>240322</v>
      </c>
      <c r="CK16" s="1428" t="s">
        <v>33</v>
      </c>
      <c r="CL16" s="1428">
        <v>7</v>
      </c>
      <c r="CM16" s="1428">
        <v>365</v>
      </c>
      <c r="CN16" s="1428">
        <v>36000</v>
      </c>
      <c r="CO16" s="777">
        <v>9.044E-3</v>
      </c>
    </row>
    <row r="17" spans="1:93" s="1428" customFormat="1">
      <c r="A17" s="1428" t="s">
        <v>2875</v>
      </c>
      <c r="B17" s="1428">
        <v>12600</v>
      </c>
      <c r="C17" s="1431">
        <v>41955</v>
      </c>
      <c r="D17" s="1431">
        <v>43050</v>
      </c>
      <c r="F17" s="1431">
        <v>42320</v>
      </c>
      <c r="G17" s="1431">
        <v>42685</v>
      </c>
      <c r="H17" s="1428">
        <v>134139</v>
      </c>
      <c r="J17" s="1428" t="s">
        <v>2884</v>
      </c>
      <c r="K17" s="1428" t="s">
        <v>2889</v>
      </c>
      <c r="L17" s="1428" t="s">
        <v>1352</v>
      </c>
      <c r="M17" s="1431">
        <v>31461</v>
      </c>
      <c r="O17" s="1428" t="s">
        <v>2879</v>
      </c>
      <c r="P17" s="1428" t="s">
        <v>2890</v>
      </c>
      <c r="Q17" s="1428">
        <v>2500</v>
      </c>
      <c r="R17" s="1428" t="s">
        <v>33</v>
      </c>
      <c r="S17" s="1428" t="s">
        <v>205</v>
      </c>
      <c r="T17" s="1428">
        <v>66</v>
      </c>
      <c r="U17" s="1428">
        <v>3</v>
      </c>
      <c r="V17" s="1428" t="s">
        <v>2180</v>
      </c>
      <c r="W17" s="1428" t="s">
        <v>2180</v>
      </c>
      <c r="X17" s="1431">
        <v>42496</v>
      </c>
      <c r="Y17" s="1431">
        <v>42561</v>
      </c>
      <c r="Z17" s="1428" t="s">
        <v>2881</v>
      </c>
      <c r="AA17" s="1428">
        <v>0</v>
      </c>
      <c r="AB17" s="1428" t="s">
        <v>54</v>
      </c>
      <c r="AC17" s="1428" t="s">
        <v>2882</v>
      </c>
      <c r="AD17" s="1428" t="s">
        <v>4</v>
      </c>
      <c r="AE17" s="1428" t="s">
        <v>88</v>
      </c>
      <c r="AF17" s="1428" t="s">
        <v>2883</v>
      </c>
      <c r="AG17" s="1428" t="s">
        <v>33</v>
      </c>
      <c r="AH17" s="1428" t="s">
        <v>2881</v>
      </c>
      <c r="AI17" s="1428" t="s">
        <v>2881</v>
      </c>
      <c r="AJ17" s="1428">
        <v>500000</v>
      </c>
      <c r="AK17" s="1428">
        <v>791.82690000000002</v>
      </c>
      <c r="AL17" s="1428" t="s">
        <v>4</v>
      </c>
      <c r="AM17" s="1428" t="s">
        <v>88</v>
      </c>
      <c r="AN17" s="1428" t="s">
        <v>2883</v>
      </c>
      <c r="AO17" s="1428" t="s">
        <v>33</v>
      </c>
      <c r="AP17" s="1428" t="s">
        <v>2881</v>
      </c>
      <c r="AQ17" s="1428" t="s">
        <v>2881</v>
      </c>
      <c r="AR17" s="1428">
        <v>25000</v>
      </c>
      <c r="AS17" s="1428">
        <v>129.80770000000001</v>
      </c>
      <c r="AT17" s="1428" t="s">
        <v>7</v>
      </c>
      <c r="AU17" s="1428" t="s">
        <v>90</v>
      </c>
      <c r="AV17" s="1428">
        <v>240322</v>
      </c>
      <c r="AW17" s="1428" t="s">
        <v>33</v>
      </c>
      <c r="AX17" s="1428" t="s">
        <v>2881</v>
      </c>
      <c r="AY17" s="1428" t="s">
        <v>2881</v>
      </c>
      <c r="AZ17" s="1428">
        <v>90000</v>
      </c>
      <c r="BA17" s="777">
        <v>5.0100000000000003E-4</v>
      </c>
      <c r="BB17" s="1428" t="s">
        <v>7</v>
      </c>
      <c r="BC17" s="1428" t="s">
        <v>90</v>
      </c>
      <c r="BD17" s="1428">
        <v>240322</v>
      </c>
      <c r="BE17" s="1428" t="s">
        <v>33</v>
      </c>
      <c r="BF17" s="1428" t="s">
        <v>2881</v>
      </c>
      <c r="BG17" s="1428" t="s">
        <v>2881</v>
      </c>
      <c r="BH17" s="1428">
        <v>90000</v>
      </c>
      <c r="BI17" s="777">
        <v>1.253E-3</v>
      </c>
      <c r="BJ17" s="1428" t="s">
        <v>7</v>
      </c>
      <c r="BK17" s="1428" t="s">
        <v>90</v>
      </c>
      <c r="BL17" s="1428">
        <v>240322</v>
      </c>
      <c r="BM17" s="1428" t="s">
        <v>33</v>
      </c>
      <c r="BN17" s="1428" t="s">
        <v>2881</v>
      </c>
      <c r="BO17" s="1428" t="s">
        <v>2881</v>
      </c>
      <c r="BP17" s="1428">
        <v>90000</v>
      </c>
      <c r="BQ17" s="777">
        <v>6.1899999999999998E-4</v>
      </c>
      <c r="BR17" s="1428" t="s">
        <v>7</v>
      </c>
      <c r="BS17" s="1428" t="s">
        <v>90</v>
      </c>
      <c r="BT17" s="1428">
        <v>240322</v>
      </c>
      <c r="BU17" s="1428" t="s">
        <v>33</v>
      </c>
      <c r="BV17" s="1428" t="s">
        <v>2881</v>
      </c>
      <c r="BW17" s="1428" t="s">
        <v>2881</v>
      </c>
      <c r="BX17" s="1428">
        <v>90000</v>
      </c>
      <c r="BY17" s="777">
        <v>1.4890000000000001E-3</v>
      </c>
      <c r="BZ17" s="1428" t="s">
        <v>7</v>
      </c>
      <c r="CA17" s="1428" t="s">
        <v>90</v>
      </c>
      <c r="CB17" s="1428">
        <v>240322</v>
      </c>
      <c r="CC17" s="1428" t="s">
        <v>33</v>
      </c>
      <c r="CD17" s="1428">
        <v>7</v>
      </c>
      <c r="CE17" s="1428">
        <v>365</v>
      </c>
      <c r="CF17" s="1428">
        <v>30000</v>
      </c>
      <c r="CG17" s="777">
        <v>4.5250000000000004E-3</v>
      </c>
      <c r="CH17" s="1428" t="s">
        <v>7</v>
      </c>
      <c r="CI17" s="1428" t="s">
        <v>90</v>
      </c>
      <c r="CJ17" s="1428">
        <v>240322</v>
      </c>
      <c r="CK17" s="1428" t="s">
        <v>33</v>
      </c>
      <c r="CL17" s="1428">
        <v>7</v>
      </c>
      <c r="CM17" s="1428">
        <v>365</v>
      </c>
      <c r="CN17" s="1428">
        <v>30000</v>
      </c>
      <c r="CO17" s="777">
        <v>9.044E-3</v>
      </c>
    </row>
    <row r="18" spans="1:93" s="1428" customFormat="1">
      <c r="A18" s="1428" t="s">
        <v>2875</v>
      </c>
      <c r="B18" s="1428">
        <v>12600</v>
      </c>
      <c r="C18" s="1431">
        <v>41955</v>
      </c>
      <c r="D18" s="1431">
        <v>43050</v>
      </c>
      <c r="F18" s="1431">
        <v>42320</v>
      </c>
      <c r="G18" s="1431">
        <v>42685</v>
      </c>
      <c r="H18" s="1428">
        <v>134505</v>
      </c>
      <c r="J18" s="1428" t="s">
        <v>2876</v>
      </c>
      <c r="K18" s="1428" t="s">
        <v>2891</v>
      </c>
      <c r="L18" s="1428" t="s">
        <v>2892</v>
      </c>
      <c r="M18" s="1431">
        <v>29698</v>
      </c>
      <c r="O18" s="1428" t="s">
        <v>2887</v>
      </c>
      <c r="P18" s="1428" t="s">
        <v>2893</v>
      </c>
      <c r="Q18" s="1428">
        <v>2500</v>
      </c>
      <c r="R18" s="1428" t="s">
        <v>33</v>
      </c>
      <c r="S18" s="1428" t="s">
        <v>205</v>
      </c>
      <c r="T18" s="1428">
        <v>18</v>
      </c>
      <c r="U18" s="1428">
        <v>1</v>
      </c>
      <c r="V18" s="1428" t="s">
        <v>2180</v>
      </c>
      <c r="W18" s="1428" t="s">
        <v>2180</v>
      </c>
      <c r="X18" s="1431">
        <v>42561</v>
      </c>
      <c r="Y18" s="1431">
        <v>42578</v>
      </c>
      <c r="Z18" s="1428" t="s">
        <v>2881</v>
      </c>
      <c r="AA18" s="1428">
        <v>0</v>
      </c>
      <c r="AB18" s="1428" t="s">
        <v>1526</v>
      </c>
      <c r="AC18" s="1428" t="s">
        <v>2894</v>
      </c>
      <c r="AD18" s="1428" t="s">
        <v>4</v>
      </c>
      <c r="AE18" s="1428" t="s">
        <v>88</v>
      </c>
      <c r="AF18" s="1428" t="s">
        <v>2883</v>
      </c>
      <c r="AG18" s="1428" t="s">
        <v>33</v>
      </c>
      <c r="AH18" s="1428" t="s">
        <v>2881</v>
      </c>
      <c r="AI18" s="1428" t="s">
        <v>2881</v>
      </c>
      <c r="AJ18" s="1428">
        <v>500000</v>
      </c>
      <c r="AK18" s="1428">
        <v>791.82690000000002</v>
      </c>
      <c r="AL18" s="1428" t="s">
        <v>4</v>
      </c>
      <c r="AM18" s="1428" t="s">
        <v>88</v>
      </c>
      <c r="AN18" s="1428" t="s">
        <v>2883</v>
      </c>
      <c r="AO18" s="1428" t="s">
        <v>33</v>
      </c>
      <c r="AP18" s="1428" t="s">
        <v>2881</v>
      </c>
      <c r="AQ18" s="1428" t="s">
        <v>2881</v>
      </c>
      <c r="AR18" s="1428">
        <v>25000</v>
      </c>
      <c r="AS18" s="1428">
        <v>129.80770000000001</v>
      </c>
      <c r="AT18" s="1428" t="s">
        <v>7</v>
      </c>
      <c r="AU18" s="1428" t="s">
        <v>90</v>
      </c>
      <c r="AV18" s="1428">
        <v>240322</v>
      </c>
      <c r="AW18" s="1428" t="s">
        <v>33</v>
      </c>
      <c r="AX18" s="1428" t="s">
        <v>2881</v>
      </c>
      <c r="AY18" s="1428" t="s">
        <v>2881</v>
      </c>
      <c r="AZ18" s="1428">
        <v>90000</v>
      </c>
      <c r="BA18" s="777">
        <v>5.0100000000000003E-4</v>
      </c>
      <c r="BB18" s="1428" t="s">
        <v>7</v>
      </c>
      <c r="BC18" s="1428" t="s">
        <v>90</v>
      </c>
      <c r="BD18" s="1428">
        <v>240322</v>
      </c>
      <c r="BE18" s="1428" t="s">
        <v>33</v>
      </c>
      <c r="BF18" s="1428" t="s">
        <v>2881</v>
      </c>
      <c r="BG18" s="1428" t="s">
        <v>2881</v>
      </c>
      <c r="BH18" s="1428">
        <v>90000</v>
      </c>
      <c r="BI18" s="777">
        <v>1.253E-3</v>
      </c>
      <c r="BJ18" s="1428" t="s">
        <v>7</v>
      </c>
      <c r="BK18" s="1428" t="s">
        <v>90</v>
      </c>
      <c r="BL18" s="1428">
        <v>240322</v>
      </c>
      <c r="BM18" s="1428" t="s">
        <v>33</v>
      </c>
      <c r="BN18" s="1428" t="s">
        <v>2881</v>
      </c>
      <c r="BO18" s="1428" t="s">
        <v>2881</v>
      </c>
      <c r="BP18" s="1428">
        <v>90000</v>
      </c>
      <c r="BQ18" s="777">
        <v>6.1899999999999998E-4</v>
      </c>
      <c r="BR18" s="1428" t="s">
        <v>7</v>
      </c>
      <c r="BS18" s="1428" t="s">
        <v>90</v>
      </c>
      <c r="BT18" s="1428">
        <v>240322</v>
      </c>
      <c r="BU18" s="1428" t="s">
        <v>33</v>
      </c>
      <c r="BV18" s="1428" t="s">
        <v>2881</v>
      </c>
      <c r="BW18" s="1428" t="s">
        <v>2881</v>
      </c>
      <c r="BX18" s="1428">
        <v>90000</v>
      </c>
      <c r="BY18" s="777">
        <v>1.4890000000000001E-3</v>
      </c>
      <c r="BZ18" s="1428" t="s">
        <v>7</v>
      </c>
      <c r="CA18" s="1428" t="s">
        <v>90</v>
      </c>
      <c r="CB18" s="1428">
        <v>240322</v>
      </c>
      <c r="CC18" s="1428" t="s">
        <v>33</v>
      </c>
      <c r="CD18" s="1428">
        <v>7</v>
      </c>
      <c r="CE18" s="1428">
        <v>365</v>
      </c>
      <c r="CF18" s="1428">
        <v>30000</v>
      </c>
      <c r="CG18" s="777">
        <v>4.5250000000000004E-3</v>
      </c>
      <c r="CH18" s="1428" t="s">
        <v>7</v>
      </c>
      <c r="CI18" s="1428" t="s">
        <v>90</v>
      </c>
      <c r="CJ18" s="1428">
        <v>240322</v>
      </c>
      <c r="CK18" s="1428" t="s">
        <v>33</v>
      </c>
      <c r="CL18" s="1428">
        <v>7</v>
      </c>
      <c r="CM18" s="1428">
        <v>365</v>
      </c>
      <c r="CN18" s="1428">
        <v>30000</v>
      </c>
      <c r="CO18" s="777">
        <v>9.044E-3</v>
      </c>
    </row>
    <row r="19" spans="1:93" s="1428" customFormat="1">
      <c r="A19" s="1428" t="s">
        <v>2875</v>
      </c>
      <c r="B19" s="1428">
        <v>12600</v>
      </c>
      <c r="C19" s="1431">
        <v>41955</v>
      </c>
      <c r="D19" s="1431">
        <v>43050</v>
      </c>
      <c r="F19" s="1431">
        <v>42320</v>
      </c>
      <c r="G19" s="1431">
        <v>42685</v>
      </c>
      <c r="H19" s="1428">
        <v>134624</v>
      </c>
      <c r="J19" s="1428" t="s">
        <v>2876</v>
      </c>
      <c r="K19" s="1428" t="s">
        <v>2895</v>
      </c>
      <c r="L19" s="1428" t="s">
        <v>2896</v>
      </c>
      <c r="M19" s="1431">
        <v>33759</v>
      </c>
      <c r="O19" s="1428" t="s">
        <v>2879</v>
      </c>
      <c r="P19" s="1428" t="s">
        <v>2897</v>
      </c>
      <c r="Q19" s="1428">
        <v>2500</v>
      </c>
      <c r="R19" s="1428" t="s">
        <v>33</v>
      </c>
      <c r="S19" s="1428" t="s">
        <v>205</v>
      </c>
      <c r="T19" s="1428">
        <v>6</v>
      </c>
      <c r="U19" s="1428">
        <v>1</v>
      </c>
      <c r="V19" s="1428" t="s">
        <v>2180</v>
      </c>
      <c r="W19" s="1428" t="s">
        <v>2180</v>
      </c>
      <c r="X19" s="1431">
        <v>42580</v>
      </c>
      <c r="Y19" s="1431">
        <v>42585</v>
      </c>
      <c r="Z19" s="1428" t="s">
        <v>2881</v>
      </c>
      <c r="AA19" s="1428">
        <v>0</v>
      </c>
      <c r="AB19" s="1428" t="s">
        <v>54</v>
      </c>
      <c r="AC19" s="1428" t="s">
        <v>2882</v>
      </c>
      <c r="AD19" s="1428" t="s">
        <v>4</v>
      </c>
      <c r="AE19" s="1428" t="s">
        <v>88</v>
      </c>
      <c r="AF19" s="1428" t="s">
        <v>2883</v>
      </c>
      <c r="AG19" s="1428" t="s">
        <v>33</v>
      </c>
      <c r="AH19" s="1428" t="s">
        <v>2881</v>
      </c>
      <c r="AI19" s="1428" t="s">
        <v>2881</v>
      </c>
      <c r="AJ19" s="1428">
        <v>500000</v>
      </c>
      <c r="AK19" s="1428">
        <v>791.82690000000002</v>
      </c>
      <c r="AL19" s="1428" t="s">
        <v>4</v>
      </c>
      <c r="AM19" s="1428" t="s">
        <v>88</v>
      </c>
      <c r="AN19" s="1428" t="s">
        <v>2883</v>
      </c>
      <c r="AO19" s="1428" t="s">
        <v>33</v>
      </c>
      <c r="AP19" s="1428" t="s">
        <v>2881</v>
      </c>
      <c r="AQ19" s="1428" t="s">
        <v>2881</v>
      </c>
      <c r="AR19" s="1428">
        <v>25000</v>
      </c>
      <c r="AS19" s="1428">
        <v>129.80770000000001</v>
      </c>
      <c r="AT19" s="1428" t="s">
        <v>7</v>
      </c>
      <c r="AU19" s="1428" t="s">
        <v>90</v>
      </c>
      <c r="AV19" s="1428">
        <v>240322</v>
      </c>
      <c r="AW19" s="1428" t="s">
        <v>33</v>
      </c>
      <c r="AX19" s="1428" t="s">
        <v>2881</v>
      </c>
      <c r="AY19" s="1428" t="s">
        <v>2881</v>
      </c>
      <c r="AZ19" s="1428">
        <v>90000</v>
      </c>
      <c r="BA19" s="777">
        <v>5.0100000000000003E-4</v>
      </c>
      <c r="BB19" s="1428" t="s">
        <v>7</v>
      </c>
      <c r="BC19" s="1428" t="s">
        <v>90</v>
      </c>
      <c r="BD19" s="1428">
        <v>240322</v>
      </c>
      <c r="BE19" s="1428" t="s">
        <v>33</v>
      </c>
      <c r="BF19" s="1428" t="s">
        <v>2881</v>
      </c>
      <c r="BG19" s="1428" t="s">
        <v>2881</v>
      </c>
      <c r="BH19" s="1428">
        <v>90000</v>
      </c>
      <c r="BI19" s="777">
        <v>1.253E-3</v>
      </c>
      <c r="BJ19" s="1428" t="s">
        <v>7</v>
      </c>
      <c r="BK19" s="1428" t="s">
        <v>90</v>
      </c>
      <c r="BL19" s="1428">
        <v>240322</v>
      </c>
      <c r="BM19" s="1428" t="s">
        <v>33</v>
      </c>
      <c r="BN19" s="1428" t="s">
        <v>2881</v>
      </c>
      <c r="BO19" s="1428" t="s">
        <v>2881</v>
      </c>
      <c r="BP19" s="1428">
        <v>90000</v>
      </c>
      <c r="BQ19" s="777">
        <v>6.1899999999999998E-4</v>
      </c>
      <c r="BR19" s="1428" t="s">
        <v>7</v>
      </c>
      <c r="BS19" s="1428" t="s">
        <v>90</v>
      </c>
      <c r="BT19" s="1428">
        <v>240322</v>
      </c>
      <c r="BU19" s="1428" t="s">
        <v>33</v>
      </c>
      <c r="BV19" s="1428" t="s">
        <v>2881</v>
      </c>
      <c r="BW19" s="1428" t="s">
        <v>2881</v>
      </c>
      <c r="BX19" s="1428">
        <v>90000</v>
      </c>
      <c r="BY19" s="777">
        <v>1.4890000000000001E-3</v>
      </c>
      <c r="BZ19" s="1428" t="s">
        <v>7</v>
      </c>
      <c r="CA19" s="1428" t="s">
        <v>90</v>
      </c>
      <c r="CB19" s="1428">
        <v>240322</v>
      </c>
      <c r="CC19" s="1428" t="s">
        <v>33</v>
      </c>
      <c r="CD19" s="1428">
        <v>7</v>
      </c>
      <c r="CE19" s="1428">
        <v>365</v>
      </c>
      <c r="CF19" s="1428">
        <v>30000</v>
      </c>
      <c r="CG19" s="777">
        <v>4.5250000000000004E-3</v>
      </c>
      <c r="CH19" s="1428" t="s">
        <v>7</v>
      </c>
      <c r="CI19" s="1428" t="s">
        <v>90</v>
      </c>
      <c r="CJ19" s="1428">
        <v>240322</v>
      </c>
      <c r="CK19" s="1428" t="s">
        <v>33</v>
      </c>
      <c r="CL19" s="1428">
        <v>7</v>
      </c>
      <c r="CM19" s="1428">
        <v>365</v>
      </c>
      <c r="CN19" s="1428">
        <v>30000</v>
      </c>
      <c r="CO19" s="777">
        <v>9.044E-3</v>
      </c>
    </row>
    <row r="20" spans="1:93" s="1428" customFormat="1">
      <c r="A20" s="1428" t="s">
        <v>2875</v>
      </c>
      <c r="B20" s="1428">
        <v>12600</v>
      </c>
      <c r="C20" s="1431">
        <v>41955</v>
      </c>
      <c r="D20" s="1431">
        <v>43050</v>
      </c>
      <c r="F20" s="1431">
        <v>42320</v>
      </c>
      <c r="G20" s="1431">
        <v>42685</v>
      </c>
      <c r="H20" s="1428">
        <v>134687</v>
      </c>
      <c r="J20" s="1428" t="s">
        <v>2876</v>
      </c>
      <c r="K20" s="1428" t="s">
        <v>2898</v>
      </c>
      <c r="L20" s="1428" t="s">
        <v>2899</v>
      </c>
      <c r="M20" s="1431">
        <v>33899</v>
      </c>
      <c r="O20" s="1428" t="s">
        <v>2879</v>
      </c>
      <c r="P20" s="1428" t="s">
        <v>2880</v>
      </c>
      <c r="Q20" s="1428">
        <v>2500</v>
      </c>
      <c r="R20" s="1428" t="s">
        <v>33</v>
      </c>
      <c r="S20" s="1428" t="s">
        <v>205</v>
      </c>
      <c r="T20" s="1428">
        <v>52</v>
      </c>
      <c r="U20" s="1428">
        <v>2</v>
      </c>
      <c r="V20" s="1428" t="s">
        <v>2180</v>
      </c>
      <c r="W20" s="1428" t="s">
        <v>2180</v>
      </c>
      <c r="X20" s="1431">
        <v>42592</v>
      </c>
      <c r="Y20" s="1431">
        <v>42643</v>
      </c>
      <c r="Z20" s="1428" t="s">
        <v>2881</v>
      </c>
      <c r="AA20" s="1428">
        <v>0</v>
      </c>
      <c r="AB20" s="1428" t="s">
        <v>2900</v>
      </c>
      <c r="AC20" s="1428" t="s">
        <v>2901</v>
      </c>
      <c r="AD20" s="1428" t="s">
        <v>4</v>
      </c>
      <c r="AE20" s="1428" t="s">
        <v>88</v>
      </c>
      <c r="AF20" s="1428" t="s">
        <v>2883</v>
      </c>
      <c r="AG20" s="1428" t="s">
        <v>33</v>
      </c>
      <c r="AH20" s="1428" t="s">
        <v>2881</v>
      </c>
      <c r="AI20" s="1428" t="s">
        <v>2881</v>
      </c>
      <c r="AJ20" s="1428">
        <v>500000</v>
      </c>
      <c r="AK20" s="1428">
        <v>791.82690000000002</v>
      </c>
      <c r="AL20" s="1428" t="s">
        <v>4</v>
      </c>
      <c r="AM20" s="1428" t="s">
        <v>88</v>
      </c>
      <c r="AN20" s="1428" t="s">
        <v>2883</v>
      </c>
      <c r="AO20" s="1428" t="s">
        <v>33</v>
      </c>
      <c r="AP20" s="1428" t="s">
        <v>2881</v>
      </c>
      <c r="AQ20" s="1428" t="s">
        <v>2881</v>
      </c>
      <c r="AR20" s="1428">
        <v>25000</v>
      </c>
      <c r="AS20" s="1428">
        <v>129.80770000000001</v>
      </c>
      <c r="AT20" s="1428" t="s">
        <v>7</v>
      </c>
      <c r="AU20" s="1428" t="s">
        <v>90</v>
      </c>
      <c r="AV20" s="1428">
        <v>240322</v>
      </c>
      <c r="AW20" s="1428" t="s">
        <v>33</v>
      </c>
      <c r="AX20" s="1428" t="s">
        <v>2881</v>
      </c>
      <c r="AY20" s="1428" t="s">
        <v>2881</v>
      </c>
      <c r="AZ20" s="1428">
        <v>90000</v>
      </c>
      <c r="BA20" s="777">
        <v>5.0100000000000003E-4</v>
      </c>
      <c r="BB20" s="1428" t="s">
        <v>7</v>
      </c>
      <c r="BC20" s="1428" t="s">
        <v>90</v>
      </c>
      <c r="BD20" s="1428">
        <v>240322</v>
      </c>
      <c r="BE20" s="1428" t="s">
        <v>33</v>
      </c>
      <c r="BF20" s="1428" t="s">
        <v>2881</v>
      </c>
      <c r="BG20" s="1428" t="s">
        <v>2881</v>
      </c>
      <c r="BH20" s="1428">
        <v>90000</v>
      </c>
      <c r="BI20" s="777">
        <v>1.253E-3</v>
      </c>
      <c r="BJ20" s="1428" t="s">
        <v>7</v>
      </c>
      <c r="BK20" s="1428" t="s">
        <v>90</v>
      </c>
      <c r="BL20" s="1428">
        <v>240322</v>
      </c>
      <c r="BM20" s="1428" t="s">
        <v>33</v>
      </c>
      <c r="BN20" s="1428" t="s">
        <v>2881</v>
      </c>
      <c r="BO20" s="1428" t="s">
        <v>2881</v>
      </c>
      <c r="BP20" s="1428">
        <v>90000</v>
      </c>
      <c r="BQ20" s="777">
        <v>6.1899999999999998E-4</v>
      </c>
      <c r="BR20" s="1428" t="s">
        <v>7</v>
      </c>
      <c r="BS20" s="1428" t="s">
        <v>90</v>
      </c>
      <c r="BT20" s="1428">
        <v>240322</v>
      </c>
      <c r="BU20" s="1428" t="s">
        <v>33</v>
      </c>
      <c r="BV20" s="1428" t="s">
        <v>2881</v>
      </c>
      <c r="BW20" s="1428" t="s">
        <v>2881</v>
      </c>
      <c r="BX20" s="1428">
        <v>90000</v>
      </c>
      <c r="BY20" s="777">
        <v>1.4890000000000001E-3</v>
      </c>
      <c r="BZ20" s="1428" t="s">
        <v>7</v>
      </c>
      <c r="CA20" s="1428" t="s">
        <v>90</v>
      </c>
      <c r="CB20" s="1428">
        <v>240322</v>
      </c>
      <c r="CC20" s="1428" t="s">
        <v>33</v>
      </c>
      <c r="CD20" s="1428">
        <v>7</v>
      </c>
      <c r="CE20" s="1428">
        <v>365</v>
      </c>
      <c r="CF20" s="1428">
        <v>30000</v>
      </c>
      <c r="CG20" s="777">
        <v>4.5250000000000004E-3</v>
      </c>
      <c r="CH20" s="1428" t="s">
        <v>7</v>
      </c>
      <c r="CI20" s="1428" t="s">
        <v>90</v>
      </c>
      <c r="CJ20" s="1428">
        <v>240322</v>
      </c>
      <c r="CK20" s="1428" t="s">
        <v>33</v>
      </c>
      <c r="CL20" s="1428">
        <v>7</v>
      </c>
      <c r="CM20" s="1428">
        <v>365</v>
      </c>
      <c r="CN20" s="1428">
        <v>30000</v>
      </c>
      <c r="CO20" s="777">
        <v>9.044E-3</v>
      </c>
    </row>
    <row r="21" spans="1:93" s="1428" customFormat="1">
      <c r="A21" s="1428" t="s">
        <v>2875</v>
      </c>
      <c r="B21" s="1428">
        <v>12600</v>
      </c>
      <c r="C21" s="1431">
        <v>41955</v>
      </c>
      <c r="D21" s="1431">
        <v>43050</v>
      </c>
      <c r="F21" s="1431">
        <v>42320</v>
      </c>
      <c r="G21" s="1431">
        <v>42685</v>
      </c>
      <c r="H21" s="1428">
        <v>130534</v>
      </c>
      <c r="I21" s="1428">
        <v>5265741</v>
      </c>
      <c r="J21" s="1428" t="s">
        <v>2876</v>
      </c>
      <c r="K21" s="1428" t="s">
        <v>2902</v>
      </c>
      <c r="L21" s="1428" t="s">
        <v>2903</v>
      </c>
      <c r="M21" s="1431">
        <v>30953</v>
      </c>
      <c r="N21" s="1428" t="s">
        <v>2904</v>
      </c>
      <c r="O21" s="1428" t="s">
        <v>2887</v>
      </c>
      <c r="P21" s="1428" t="s">
        <v>2905</v>
      </c>
      <c r="Q21" s="1428">
        <v>7000</v>
      </c>
      <c r="R21" s="1428" t="s">
        <v>33</v>
      </c>
      <c r="S21" s="1428" t="s">
        <v>12</v>
      </c>
      <c r="T21" s="1428">
        <v>365</v>
      </c>
      <c r="U21" s="1428">
        <v>12</v>
      </c>
      <c r="V21" s="1428" t="s">
        <v>2180</v>
      </c>
      <c r="W21" s="1428" t="s">
        <v>2180</v>
      </c>
      <c r="X21" s="1431">
        <v>42320</v>
      </c>
      <c r="Y21" s="1431">
        <v>42685</v>
      </c>
      <c r="Z21" s="1428" t="s">
        <v>2881</v>
      </c>
      <c r="AA21" s="1428">
        <v>0</v>
      </c>
      <c r="AB21" s="1428" t="s">
        <v>54</v>
      </c>
      <c r="AC21" s="1428" t="s">
        <v>2882</v>
      </c>
      <c r="AD21" s="1428" t="s">
        <v>4</v>
      </c>
      <c r="AE21" s="1428" t="s">
        <v>88</v>
      </c>
      <c r="AF21" s="1428" t="s">
        <v>2883</v>
      </c>
      <c r="AG21" s="1428" t="s">
        <v>33</v>
      </c>
      <c r="AH21" s="1428" t="s">
        <v>2881</v>
      </c>
      <c r="AI21" s="1428" t="s">
        <v>2881</v>
      </c>
      <c r="AJ21" s="1428">
        <v>500000</v>
      </c>
      <c r="AK21" s="1428">
        <v>791.82690000000002</v>
      </c>
      <c r="AL21" s="1428" t="s">
        <v>4</v>
      </c>
      <c r="AM21" s="1428" t="s">
        <v>88</v>
      </c>
      <c r="AN21" s="1428" t="s">
        <v>2883</v>
      </c>
      <c r="AO21" s="1428" t="s">
        <v>33</v>
      </c>
      <c r="AP21" s="1428" t="s">
        <v>2881</v>
      </c>
      <c r="AQ21" s="1428" t="s">
        <v>2881</v>
      </c>
      <c r="AR21" s="1428">
        <v>25000</v>
      </c>
      <c r="AS21" s="1428">
        <v>129.80770000000001</v>
      </c>
      <c r="AT21" s="1428" t="s">
        <v>7</v>
      </c>
      <c r="AU21" s="1428" t="s">
        <v>90</v>
      </c>
      <c r="AV21" s="1428">
        <v>240322</v>
      </c>
      <c r="AW21" s="1428" t="s">
        <v>33</v>
      </c>
      <c r="AX21" s="1428" t="s">
        <v>2881</v>
      </c>
      <c r="AY21" s="1428" t="s">
        <v>2881</v>
      </c>
      <c r="AZ21" s="1428">
        <v>252000</v>
      </c>
      <c r="BA21" s="777">
        <v>5.0100000000000003E-4</v>
      </c>
      <c r="BB21" s="1428" t="s">
        <v>7</v>
      </c>
      <c r="BC21" s="1428" t="s">
        <v>90</v>
      </c>
      <c r="BD21" s="1428">
        <v>240322</v>
      </c>
      <c r="BE21" s="1428" t="s">
        <v>33</v>
      </c>
      <c r="BF21" s="1428" t="s">
        <v>2881</v>
      </c>
      <c r="BG21" s="1428" t="s">
        <v>2881</v>
      </c>
      <c r="BH21" s="1428">
        <v>252000</v>
      </c>
      <c r="BI21" s="777">
        <v>1.253E-3</v>
      </c>
      <c r="BJ21" s="1428" t="s">
        <v>7</v>
      </c>
      <c r="BK21" s="1428" t="s">
        <v>90</v>
      </c>
      <c r="BL21" s="1428">
        <v>240322</v>
      </c>
      <c r="BM21" s="1428" t="s">
        <v>33</v>
      </c>
      <c r="BN21" s="1428" t="s">
        <v>2881</v>
      </c>
      <c r="BO21" s="1428" t="s">
        <v>2881</v>
      </c>
      <c r="BP21" s="1428">
        <v>252000</v>
      </c>
      <c r="BQ21" s="777">
        <v>6.1899999999999998E-4</v>
      </c>
      <c r="BR21" s="1428" t="s">
        <v>7</v>
      </c>
      <c r="BS21" s="1428" t="s">
        <v>90</v>
      </c>
      <c r="BT21" s="1428">
        <v>240322</v>
      </c>
      <c r="BU21" s="1428" t="s">
        <v>33</v>
      </c>
      <c r="BV21" s="1428" t="s">
        <v>2881</v>
      </c>
      <c r="BW21" s="1428" t="s">
        <v>2881</v>
      </c>
      <c r="BX21" s="1428">
        <v>252000</v>
      </c>
      <c r="BY21" s="777">
        <v>1.4890000000000001E-3</v>
      </c>
      <c r="BZ21" s="1428" t="s">
        <v>7</v>
      </c>
      <c r="CA21" s="1428" t="s">
        <v>90</v>
      </c>
      <c r="CB21" s="1428">
        <v>240322</v>
      </c>
      <c r="CC21" s="1428" t="s">
        <v>33</v>
      </c>
      <c r="CD21" s="1428">
        <v>7</v>
      </c>
      <c r="CE21" s="1428">
        <v>365</v>
      </c>
      <c r="CF21" s="1428">
        <v>84000</v>
      </c>
      <c r="CG21" s="777">
        <v>4.5250000000000004E-3</v>
      </c>
      <c r="CH21" s="1428" t="s">
        <v>7</v>
      </c>
      <c r="CI21" s="1428" t="s">
        <v>90</v>
      </c>
      <c r="CJ21" s="1428">
        <v>240322</v>
      </c>
      <c r="CK21" s="1428" t="s">
        <v>33</v>
      </c>
      <c r="CL21" s="1428">
        <v>7</v>
      </c>
      <c r="CM21" s="1428">
        <v>365</v>
      </c>
      <c r="CN21" s="1428">
        <v>84000</v>
      </c>
      <c r="CO21" s="777">
        <v>9.044E-3</v>
      </c>
    </row>
    <row r="22" spans="1:93" s="1428" customFormat="1">
      <c r="A22" s="1428" t="s">
        <v>2875</v>
      </c>
      <c r="B22" s="1428">
        <v>12600</v>
      </c>
      <c r="C22" s="1431">
        <v>41955</v>
      </c>
      <c r="D22" s="1431">
        <v>43050</v>
      </c>
      <c r="F22" s="1431">
        <v>42320</v>
      </c>
      <c r="G22" s="1431">
        <v>42685</v>
      </c>
      <c r="H22" s="1428">
        <v>134138</v>
      </c>
      <c r="J22" s="1428" t="s">
        <v>2884</v>
      </c>
      <c r="K22" s="1428" t="s">
        <v>2906</v>
      </c>
      <c r="L22" s="1428" t="s">
        <v>2907</v>
      </c>
      <c r="M22" s="1431">
        <v>33961</v>
      </c>
      <c r="O22" s="1428" t="s">
        <v>2887</v>
      </c>
      <c r="P22" s="1428" t="s">
        <v>2908</v>
      </c>
      <c r="Q22" s="1428">
        <v>3500</v>
      </c>
      <c r="R22" s="1428" t="s">
        <v>33</v>
      </c>
      <c r="S22" s="1428" t="s">
        <v>205</v>
      </c>
      <c r="T22" s="1428">
        <v>148</v>
      </c>
      <c r="U22" s="1428">
        <v>5</v>
      </c>
      <c r="V22" s="1428" t="s">
        <v>2180</v>
      </c>
      <c r="W22" s="1428" t="s">
        <v>2180</v>
      </c>
      <c r="X22" s="1431">
        <v>42496</v>
      </c>
      <c r="Y22" s="1431">
        <v>42643</v>
      </c>
      <c r="Z22" s="1428" t="s">
        <v>2881</v>
      </c>
      <c r="AA22" s="1428">
        <v>0</v>
      </c>
      <c r="AB22" s="1428" t="s">
        <v>2900</v>
      </c>
      <c r="AC22" s="1428" t="s">
        <v>2901</v>
      </c>
      <c r="AD22" s="1428" t="s">
        <v>4</v>
      </c>
      <c r="AE22" s="1428" t="s">
        <v>88</v>
      </c>
      <c r="AF22" s="1428" t="s">
        <v>2883</v>
      </c>
      <c r="AG22" s="1428" t="s">
        <v>33</v>
      </c>
      <c r="AH22" s="1428" t="s">
        <v>2881</v>
      </c>
      <c r="AI22" s="1428" t="s">
        <v>2881</v>
      </c>
      <c r="AJ22" s="1428">
        <v>500000</v>
      </c>
      <c r="AK22" s="1428">
        <v>791.82690000000002</v>
      </c>
      <c r="AL22" s="1428" t="s">
        <v>4</v>
      </c>
      <c r="AM22" s="1428" t="s">
        <v>88</v>
      </c>
      <c r="AN22" s="1428" t="s">
        <v>2883</v>
      </c>
      <c r="AO22" s="1428" t="s">
        <v>33</v>
      </c>
      <c r="AP22" s="1428" t="s">
        <v>2881</v>
      </c>
      <c r="AQ22" s="1428" t="s">
        <v>2881</v>
      </c>
      <c r="AR22" s="1428">
        <v>25000</v>
      </c>
      <c r="AS22" s="1428">
        <v>129.80770000000001</v>
      </c>
      <c r="AT22" s="1428" t="s">
        <v>7</v>
      </c>
      <c r="AU22" s="1428" t="s">
        <v>90</v>
      </c>
      <c r="AV22" s="1428">
        <v>240322</v>
      </c>
      <c r="AW22" s="1428" t="s">
        <v>33</v>
      </c>
      <c r="AX22" s="1428" t="s">
        <v>2881</v>
      </c>
      <c r="AY22" s="1428" t="s">
        <v>2881</v>
      </c>
      <c r="AZ22" s="1428">
        <v>126000</v>
      </c>
      <c r="BA22" s="777">
        <v>5.0100000000000003E-4</v>
      </c>
      <c r="BB22" s="1428" t="s">
        <v>7</v>
      </c>
      <c r="BC22" s="1428" t="s">
        <v>90</v>
      </c>
      <c r="BD22" s="1428">
        <v>240322</v>
      </c>
      <c r="BE22" s="1428" t="s">
        <v>33</v>
      </c>
      <c r="BF22" s="1428" t="s">
        <v>2881</v>
      </c>
      <c r="BG22" s="1428" t="s">
        <v>2881</v>
      </c>
      <c r="BH22" s="1428">
        <v>126000</v>
      </c>
      <c r="BI22" s="777">
        <v>1.253E-3</v>
      </c>
      <c r="BJ22" s="1428" t="s">
        <v>7</v>
      </c>
      <c r="BK22" s="1428" t="s">
        <v>90</v>
      </c>
      <c r="BL22" s="1428">
        <v>240322</v>
      </c>
      <c r="BM22" s="1428" t="s">
        <v>33</v>
      </c>
      <c r="BN22" s="1428" t="s">
        <v>2881</v>
      </c>
      <c r="BO22" s="1428" t="s">
        <v>2881</v>
      </c>
      <c r="BP22" s="1428">
        <v>126000</v>
      </c>
      <c r="BQ22" s="777">
        <v>6.1899999999999998E-4</v>
      </c>
      <c r="BR22" s="1428" t="s">
        <v>7</v>
      </c>
      <c r="BS22" s="1428" t="s">
        <v>90</v>
      </c>
      <c r="BT22" s="1428">
        <v>240322</v>
      </c>
      <c r="BU22" s="1428" t="s">
        <v>33</v>
      </c>
      <c r="BV22" s="1428" t="s">
        <v>2881</v>
      </c>
      <c r="BW22" s="1428" t="s">
        <v>2881</v>
      </c>
      <c r="BX22" s="1428">
        <v>126000</v>
      </c>
      <c r="BY22" s="777">
        <v>1.4890000000000001E-3</v>
      </c>
      <c r="BZ22" s="1428" t="s">
        <v>7</v>
      </c>
      <c r="CA22" s="1428" t="s">
        <v>90</v>
      </c>
      <c r="CB22" s="1428">
        <v>240322</v>
      </c>
      <c r="CC22" s="1428" t="s">
        <v>33</v>
      </c>
      <c r="CD22" s="1428">
        <v>7</v>
      </c>
      <c r="CE22" s="1428">
        <v>365</v>
      </c>
      <c r="CF22" s="1428">
        <v>42000</v>
      </c>
      <c r="CG22" s="777">
        <v>4.5250000000000004E-3</v>
      </c>
      <c r="CH22" s="1428" t="s">
        <v>7</v>
      </c>
      <c r="CI22" s="1428" t="s">
        <v>90</v>
      </c>
      <c r="CJ22" s="1428">
        <v>240322</v>
      </c>
      <c r="CK22" s="1428" t="s">
        <v>33</v>
      </c>
      <c r="CL22" s="1428">
        <v>7</v>
      </c>
      <c r="CM22" s="1428">
        <v>365</v>
      </c>
      <c r="CN22" s="1428">
        <v>42000</v>
      </c>
      <c r="CO22" s="777">
        <v>9.044E-3</v>
      </c>
    </row>
    <row r="23" spans="1:93" s="1428" customFormat="1">
      <c r="A23" s="1428" t="s">
        <v>2875</v>
      </c>
      <c r="B23" s="1428">
        <v>12600</v>
      </c>
      <c r="C23" s="1431">
        <v>41955</v>
      </c>
      <c r="D23" s="1431">
        <v>43050</v>
      </c>
      <c r="F23" s="1431">
        <v>42686</v>
      </c>
      <c r="H23" s="1428">
        <v>131262</v>
      </c>
      <c r="I23" s="1428">
        <v>5677605</v>
      </c>
      <c r="J23" s="1428" t="s">
        <v>2884</v>
      </c>
      <c r="K23" s="1428" t="s">
        <v>2877</v>
      </c>
      <c r="L23" s="1428" t="s">
        <v>2885</v>
      </c>
      <c r="M23" s="1431">
        <v>22440</v>
      </c>
      <c r="N23" s="1428" t="s">
        <v>2886</v>
      </c>
      <c r="O23" s="1428" t="s">
        <v>2887</v>
      </c>
      <c r="P23" s="1428" t="s">
        <v>2888</v>
      </c>
      <c r="Q23" s="1428">
        <v>3000</v>
      </c>
      <c r="R23" s="1428" t="s">
        <v>33</v>
      </c>
      <c r="S23" s="1428" t="s">
        <v>12</v>
      </c>
      <c r="T23" s="1428">
        <v>365</v>
      </c>
      <c r="U23" s="1428">
        <v>12</v>
      </c>
      <c r="V23" s="1428" t="s">
        <v>2180</v>
      </c>
      <c r="W23" s="1428" t="s">
        <v>2180</v>
      </c>
      <c r="X23" s="1431">
        <v>42686</v>
      </c>
      <c r="Z23" s="1428" t="s">
        <v>2881</v>
      </c>
      <c r="AA23" s="1428">
        <v>0</v>
      </c>
      <c r="AB23" s="1428" t="s">
        <v>54</v>
      </c>
      <c r="AC23" s="1428" t="s">
        <v>2882</v>
      </c>
      <c r="AD23" s="1428" t="s">
        <v>4</v>
      </c>
      <c r="AE23" s="1428" t="s">
        <v>2639</v>
      </c>
      <c r="AF23" s="1428" t="s">
        <v>2909</v>
      </c>
      <c r="AG23" s="1428" t="s">
        <v>33</v>
      </c>
      <c r="AH23" s="1428" t="s">
        <v>2881</v>
      </c>
      <c r="AI23" s="1428" t="s">
        <v>2881</v>
      </c>
      <c r="AJ23" s="1428">
        <v>500000</v>
      </c>
      <c r="AK23" s="1428">
        <v>874.0385</v>
      </c>
      <c r="AL23" s="1428" t="s">
        <v>4</v>
      </c>
      <c r="AM23" s="1428" t="s">
        <v>2639</v>
      </c>
      <c r="AN23" s="1428" t="s">
        <v>2909</v>
      </c>
      <c r="AO23" s="1428" t="s">
        <v>33</v>
      </c>
      <c r="AP23" s="1428" t="s">
        <v>2881</v>
      </c>
      <c r="AQ23" s="1428" t="s">
        <v>2881</v>
      </c>
      <c r="AR23" s="1428">
        <v>25000</v>
      </c>
      <c r="AS23" s="1428">
        <v>142.78845999999999</v>
      </c>
      <c r="AT23" s="1428" t="s">
        <v>7</v>
      </c>
      <c r="AU23" s="1428" t="s">
        <v>90</v>
      </c>
      <c r="AV23" s="1428">
        <v>240322</v>
      </c>
      <c r="AW23" s="1428" t="s">
        <v>33</v>
      </c>
      <c r="AX23" s="1428" t="s">
        <v>2881</v>
      </c>
      <c r="AY23" s="1428" t="s">
        <v>2881</v>
      </c>
      <c r="AZ23" s="1428">
        <v>108000</v>
      </c>
      <c r="BA23" s="777">
        <v>5.0100000000000003E-4</v>
      </c>
      <c r="BB23" s="1428" t="s">
        <v>7</v>
      </c>
      <c r="BC23" s="1428" t="s">
        <v>90</v>
      </c>
      <c r="BD23" s="1428">
        <v>240322</v>
      </c>
      <c r="BE23" s="1428" t="s">
        <v>33</v>
      </c>
      <c r="BF23" s="1428" t="s">
        <v>2881</v>
      </c>
      <c r="BG23" s="1428" t="s">
        <v>2881</v>
      </c>
      <c r="BH23" s="1428">
        <v>108000</v>
      </c>
      <c r="BI23" s="777">
        <v>1.253E-3</v>
      </c>
      <c r="BJ23" s="1428" t="s">
        <v>7</v>
      </c>
      <c r="BK23" s="1428" t="s">
        <v>90</v>
      </c>
      <c r="BL23" s="1428">
        <v>240322</v>
      </c>
      <c r="BM23" s="1428" t="s">
        <v>33</v>
      </c>
      <c r="BN23" s="1428" t="s">
        <v>2881</v>
      </c>
      <c r="BO23" s="1428" t="s">
        <v>2881</v>
      </c>
      <c r="BP23" s="1428">
        <v>108000</v>
      </c>
      <c r="BQ23" s="777">
        <v>6.1899999999999998E-4</v>
      </c>
      <c r="BR23" s="1428" t="s">
        <v>7</v>
      </c>
      <c r="BS23" s="1428" t="s">
        <v>90</v>
      </c>
      <c r="BT23" s="1428">
        <v>240322</v>
      </c>
      <c r="BU23" s="1428" t="s">
        <v>33</v>
      </c>
      <c r="BV23" s="1428" t="s">
        <v>2881</v>
      </c>
      <c r="BW23" s="1428" t="s">
        <v>2881</v>
      </c>
      <c r="BX23" s="1428">
        <v>108000</v>
      </c>
      <c r="BY23" s="777">
        <v>1.4890000000000001E-3</v>
      </c>
      <c r="BZ23" s="1428" t="s">
        <v>7</v>
      </c>
      <c r="CA23" s="1428" t="s">
        <v>90</v>
      </c>
      <c r="CB23" s="1428">
        <v>240322</v>
      </c>
      <c r="CC23" s="1428" t="s">
        <v>33</v>
      </c>
      <c r="CD23" s="1428">
        <v>7</v>
      </c>
      <c r="CE23" s="1428">
        <v>365</v>
      </c>
      <c r="CF23" s="1428">
        <v>36000</v>
      </c>
      <c r="CG23" s="777">
        <v>5.8830000000000002E-3</v>
      </c>
      <c r="CH23" s="1428" t="s">
        <v>7</v>
      </c>
      <c r="CI23" s="1428" t="s">
        <v>90</v>
      </c>
      <c r="CJ23" s="1428">
        <v>240322</v>
      </c>
      <c r="CK23" s="1428" t="s">
        <v>33</v>
      </c>
      <c r="CL23" s="1428">
        <v>7</v>
      </c>
      <c r="CM23" s="1428">
        <v>365</v>
      </c>
      <c r="CN23" s="1428">
        <v>36000</v>
      </c>
      <c r="CO23" s="777">
        <v>1.1757E-2</v>
      </c>
    </row>
    <row r="24" spans="1:93" s="1428" customFormat="1">
      <c r="A24" s="1428" t="s">
        <v>2875</v>
      </c>
      <c r="B24" s="1428">
        <v>12600</v>
      </c>
      <c r="C24" s="1431">
        <v>41955</v>
      </c>
      <c r="D24" s="1431">
        <v>43050</v>
      </c>
      <c r="F24" s="1431">
        <v>42686</v>
      </c>
      <c r="H24" s="1428">
        <v>130534</v>
      </c>
      <c r="I24" s="1428">
        <v>5265741</v>
      </c>
      <c r="J24" s="1428" t="s">
        <v>2876</v>
      </c>
      <c r="K24" s="1428" t="s">
        <v>2902</v>
      </c>
      <c r="L24" s="1428" t="s">
        <v>2903</v>
      </c>
      <c r="M24" s="1431">
        <v>30953</v>
      </c>
      <c r="N24" s="1428" t="s">
        <v>2904</v>
      </c>
      <c r="O24" s="1428" t="s">
        <v>2887</v>
      </c>
      <c r="P24" s="1428" t="s">
        <v>2905</v>
      </c>
      <c r="Q24" s="1428">
        <v>7000</v>
      </c>
      <c r="R24" s="1428" t="s">
        <v>33</v>
      </c>
      <c r="S24" s="1428" t="s">
        <v>12</v>
      </c>
      <c r="T24" s="1428">
        <v>365</v>
      </c>
      <c r="U24" s="1428">
        <v>12</v>
      </c>
      <c r="V24" s="1428" t="s">
        <v>2180</v>
      </c>
      <c r="W24" s="1428" t="s">
        <v>2180</v>
      </c>
      <c r="X24" s="1431">
        <v>42686</v>
      </c>
      <c r="Z24" s="1428" t="s">
        <v>2881</v>
      </c>
      <c r="AA24" s="1428">
        <v>0</v>
      </c>
      <c r="AB24" s="1428" t="s">
        <v>54</v>
      </c>
      <c r="AC24" s="1428" t="s">
        <v>2882</v>
      </c>
      <c r="AD24" s="1428" t="s">
        <v>4</v>
      </c>
      <c r="AE24" s="1428" t="s">
        <v>2639</v>
      </c>
      <c r="AF24" s="1428" t="s">
        <v>2909</v>
      </c>
      <c r="AG24" s="1428" t="s">
        <v>33</v>
      </c>
      <c r="AH24" s="1428" t="s">
        <v>2881</v>
      </c>
      <c r="AI24" s="1428" t="s">
        <v>2881</v>
      </c>
      <c r="AJ24" s="1428">
        <v>500000</v>
      </c>
      <c r="AK24" s="1428">
        <v>874.0385</v>
      </c>
      <c r="AL24" s="1428" t="s">
        <v>4</v>
      </c>
      <c r="AM24" s="1428" t="s">
        <v>2639</v>
      </c>
      <c r="AN24" s="1428" t="s">
        <v>2909</v>
      </c>
      <c r="AO24" s="1428" t="s">
        <v>33</v>
      </c>
      <c r="AP24" s="1428" t="s">
        <v>2881</v>
      </c>
      <c r="AQ24" s="1428" t="s">
        <v>2881</v>
      </c>
      <c r="AR24" s="1428">
        <v>25000</v>
      </c>
      <c r="AS24" s="1428">
        <v>142.78845999999999</v>
      </c>
      <c r="AT24" s="1428" t="s">
        <v>7</v>
      </c>
      <c r="AU24" s="1428" t="s">
        <v>90</v>
      </c>
      <c r="AV24" s="1428">
        <v>240322</v>
      </c>
      <c r="AW24" s="1428" t="s">
        <v>33</v>
      </c>
      <c r="AX24" s="1428" t="s">
        <v>2881</v>
      </c>
      <c r="AY24" s="1428" t="s">
        <v>2881</v>
      </c>
      <c r="AZ24" s="1428">
        <v>252000</v>
      </c>
      <c r="BA24" s="777">
        <v>5.0100000000000003E-4</v>
      </c>
      <c r="BB24" s="1428" t="s">
        <v>7</v>
      </c>
      <c r="BC24" s="1428" t="s">
        <v>90</v>
      </c>
      <c r="BD24" s="1428">
        <v>240322</v>
      </c>
      <c r="BE24" s="1428" t="s">
        <v>33</v>
      </c>
      <c r="BF24" s="1428" t="s">
        <v>2881</v>
      </c>
      <c r="BG24" s="1428" t="s">
        <v>2881</v>
      </c>
      <c r="BH24" s="1428">
        <v>252000</v>
      </c>
      <c r="BI24" s="777">
        <v>1.253E-3</v>
      </c>
      <c r="BJ24" s="1428" t="s">
        <v>7</v>
      </c>
      <c r="BK24" s="1428" t="s">
        <v>90</v>
      </c>
      <c r="BL24" s="1428">
        <v>240322</v>
      </c>
      <c r="BM24" s="1428" t="s">
        <v>33</v>
      </c>
      <c r="BN24" s="1428" t="s">
        <v>2881</v>
      </c>
      <c r="BO24" s="1428" t="s">
        <v>2881</v>
      </c>
      <c r="BP24" s="1428">
        <v>252000</v>
      </c>
      <c r="BQ24" s="777">
        <v>6.1899999999999998E-4</v>
      </c>
      <c r="BR24" s="1428" t="s">
        <v>7</v>
      </c>
      <c r="BS24" s="1428" t="s">
        <v>90</v>
      </c>
      <c r="BT24" s="1428">
        <v>240322</v>
      </c>
      <c r="BU24" s="1428" t="s">
        <v>33</v>
      </c>
      <c r="BV24" s="1428" t="s">
        <v>2881</v>
      </c>
      <c r="BW24" s="1428" t="s">
        <v>2881</v>
      </c>
      <c r="BX24" s="1428">
        <v>252000</v>
      </c>
      <c r="BY24" s="777">
        <v>1.4890000000000001E-3</v>
      </c>
      <c r="BZ24" s="1428" t="s">
        <v>7</v>
      </c>
      <c r="CA24" s="1428" t="s">
        <v>90</v>
      </c>
      <c r="CB24" s="1428">
        <v>240322</v>
      </c>
      <c r="CC24" s="1428" t="s">
        <v>33</v>
      </c>
      <c r="CD24" s="1428">
        <v>7</v>
      </c>
      <c r="CE24" s="1428">
        <v>365</v>
      </c>
      <c r="CF24" s="1428">
        <v>84000</v>
      </c>
      <c r="CG24" s="777">
        <v>5.8830000000000002E-3</v>
      </c>
      <c r="CH24" s="1428" t="s">
        <v>7</v>
      </c>
      <c r="CI24" s="1428" t="s">
        <v>90</v>
      </c>
      <c r="CJ24" s="1428">
        <v>240322</v>
      </c>
      <c r="CK24" s="1428" t="s">
        <v>33</v>
      </c>
      <c r="CL24" s="1428">
        <v>7</v>
      </c>
      <c r="CM24" s="1428">
        <v>365</v>
      </c>
      <c r="CN24" s="1428">
        <v>84000</v>
      </c>
      <c r="CO24" s="777">
        <v>1.1757E-2</v>
      </c>
    </row>
    <row r="25" spans="1:93" s="1398" customFormat="1">
      <c r="C25" s="1386"/>
      <c r="D25" s="1386"/>
      <c r="F25" s="1386"/>
      <c r="M25" s="1386"/>
      <c r="X25" s="1386"/>
      <c r="Y25" s="1386"/>
      <c r="BA25" s="1387"/>
      <c r="BQ25" s="1387"/>
    </row>
    <row r="26" spans="1:93" s="1398" customFormat="1">
      <c r="C26" s="1386"/>
      <c r="D26" s="1386"/>
      <c r="F26" s="1386"/>
      <c r="M26" s="1386"/>
      <c r="X26" s="1386"/>
      <c r="Y26" s="1386"/>
      <c r="BA26" s="1387"/>
      <c r="BQ26" s="1387"/>
    </row>
    <row r="27" spans="1:93" s="1398" customFormat="1">
      <c r="C27" s="1386"/>
      <c r="D27" s="1386"/>
      <c r="F27" s="1386"/>
      <c r="M27" s="1386"/>
      <c r="X27" s="1386"/>
      <c r="Y27" s="1386"/>
      <c r="BA27" s="1387"/>
      <c r="BQ27" s="1387"/>
    </row>
    <row r="28" spans="1:93" s="1398" customFormat="1">
      <c r="C28" s="1386"/>
      <c r="D28" s="1386"/>
      <c r="F28" s="1386"/>
      <c r="M28" s="1386"/>
      <c r="X28" s="1386"/>
      <c r="Y28" s="1386"/>
      <c r="BA28" s="1387"/>
      <c r="BQ28" s="1387"/>
    </row>
    <row r="29" spans="1:93" s="1398" customFormat="1">
      <c r="C29" s="1386"/>
      <c r="D29" s="1386"/>
      <c r="F29" s="1386"/>
      <c r="M29" s="1386"/>
      <c r="X29" s="1386"/>
      <c r="Y29" s="1386"/>
      <c r="BA29" s="1387"/>
      <c r="BQ29" s="1387"/>
    </row>
    <row r="30" spans="1:93" s="1398" customFormat="1">
      <c r="C30" s="1386"/>
      <c r="D30" s="1386"/>
      <c r="F30" s="1386"/>
      <c r="M30" s="1386"/>
      <c r="X30" s="1386"/>
      <c r="Y30" s="1386"/>
      <c r="BA30" s="1387"/>
      <c r="BQ30" s="1387"/>
    </row>
    <row r="31" spans="1:93" s="1398" customFormat="1">
      <c r="C31" s="1386"/>
      <c r="D31" s="1386"/>
      <c r="F31" s="1386"/>
      <c r="M31" s="1386"/>
      <c r="X31" s="1386"/>
      <c r="Y31" s="1386"/>
      <c r="BA31" s="1387"/>
      <c r="BQ31" s="1387"/>
    </row>
    <row r="32" spans="1:93" s="1398" customFormat="1">
      <c r="C32" s="1386"/>
      <c r="D32" s="1386"/>
      <c r="F32" s="1386"/>
      <c r="M32" s="1386"/>
      <c r="X32" s="1386"/>
      <c r="Y32" s="1386"/>
      <c r="BA32" s="1387"/>
      <c r="BQ32" s="1387"/>
    </row>
    <row r="33" spans="3:69" s="1398" customFormat="1">
      <c r="C33" s="1386"/>
      <c r="D33" s="1386"/>
      <c r="F33" s="1386"/>
      <c r="M33" s="1386"/>
      <c r="X33" s="1386"/>
      <c r="Y33" s="1386"/>
      <c r="BA33" s="1387"/>
      <c r="BQ33" s="1387"/>
    </row>
    <row r="34" spans="3:69" s="1398" customFormat="1">
      <c r="C34" s="1386"/>
      <c r="D34" s="1386"/>
      <c r="F34" s="1386"/>
      <c r="M34" s="1386"/>
      <c r="X34" s="1386"/>
      <c r="Y34" s="1386"/>
      <c r="BA34" s="1387"/>
      <c r="BQ34" s="1387"/>
    </row>
    <row r="35" spans="3:69" s="1398" customFormat="1">
      <c r="C35" s="1386"/>
      <c r="D35" s="1386"/>
      <c r="F35" s="1386"/>
      <c r="M35" s="1386"/>
      <c r="X35" s="1386"/>
      <c r="Y35" s="1386"/>
      <c r="BA35" s="1387"/>
      <c r="BQ35" s="1387"/>
    </row>
    <row r="36" spans="3:69" s="1398" customFormat="1">
      <c r="C36" s="1386"/>
      <c r="D36" s="1386"/>
      <c r="F36" s="1386"/>
      <c r="M36" s="1386"/>
      <c r="X36" s="1386"/>
      <c r="Y36" s="1386"/>
      <c r="BA36" s="1387"/>
      <c r="BQ36" s="1387"/>
    </row>
    <row r="37" spans="3:69" s="1398" customFormat="1">
      <c r="C37" s="1386"/>
      <c r="D37" s="1386"/>
      <c r="F37" s="1386"/>
      <c r="M37" s="1386"/>
      <c r="X37" s="1386"/>
      <c r="Y37" s="1386"/>
      <c r="BA37" s="1387"/>
      <c r="BQ37" s="1387"/>
    </row>
    <row r="38" spans="3:69" s="1398" customFormat="1">
      <c r="C38" s="1386"/>
      <c r="D38" s="1386"/>
      <c r="F38" s="1386"/>
      <c r="M38" s="1386"/>
      <c r="X38" s="1386"/>
      <c r="Y38" s="1386"/>
      <c r="BA38" s="1387"/>
      <c r="BQ38" s="1387"/>
    </row>
    <row r="39" spans="3:69" s="1398" customFormat="1">
      <c r="C39" s="1386"/>
      <c r="D39" s="1386"/>
      <c r="F39" s="1386"/>
      <c r="M39" s="1386"/>
      <c r="X39" s="1386"/>
      <c r="Y39" s="1386"/>
      <c r="BA39" s="1387"/>
      <c r="BQ39" s="1387"/>
    </row>
    <row r="40" spans="3:69" s="1398" customFormat="1">
      <c r="C40" s="1386"/>
      <c r="D40" s="1386"/>
      <c r="F40" s="1386"/>
      <c r="M40" s="1386"/>
      <c r="X40" s="1386"/>
      <c r="Y40" s="1386"/>
      <c r="BA40" s="1387"/>
      <c r="BQ40" s="1387"/>
    </row>
    <row r="41" spans="3:69" s="1398" customFormat="1">
      <c r="C41" s="1386"/>
      <c r="D41" s="1386"/>
      <c r="F41" s="1386"/>
      <c r="M41" s="1386"/>
      <c r="X41" s="1386"/>
      <c r="Y41" s="1386"/>
      <c r="BA41" s="1387"/>
      <c r="BQ41" s="1387"/>
    </row>
    <row r="42" spans="3:69" s="1398" customFormat="1">
      <c r="C42" s="1386"/>
      <c r="D42" s="1386"/>
      <c r="F42" s="1386"/>
      <c r="M42" s="1386"/>
      <c r="X42" s="1386"/>
      <c r="Y42" s="1386"/>
      <c r="BA42" s="1387"/>
      <c r="BQ42" s="1387"/>
    </row>
    <row r="43" spans="3:69" s="1398" customFormat="1">
      <c r="C43" s="1386"/>
      <c r="D43" s="1386"/>
      <c r="F43" s="1386"/>
      <c r="M43" s="1386"/>
      <c r="X43" s="1386"/>
      <c r="Y43" s="1386"/>
      <c r="BA43" s="1387"/>
      <c r="BQ43" s="1387"/>
    </row>
    <row r="44" spans="3:69" s="1398" customFormat="1">
      <c r="C44" s="1386"/>
      <c r="D44" s="1386"/>
      <c r="F44" s="1386"/>
      <c r="M44" s="1386"/>
      <c r="X44" s="1386"/>
      <c r="Y44" s="1386"/>
      <c r="BA44" s="1387"/>
      <c r="BQ44" s="1387"/>
    </row>
    <row r="45" spans="3:69" s="1398" customFormat="1">
      <c r="C45" s="1386"/>
      <c r="D45" s="1386"/>
      <c r="F45" s="1386"/>
      <c r="M45" s="1386"/>
      <c r="X45" s="1386"/>
      <c r="Y45" s="1386"/>
      <c r="BA45" s="1387"/>
      <c r="BQ45" s="1387"/>
    </row>
    <row r="46" spans="3:69" s="1398" customFormat="1">
      <c r="C46" s="1386"/>
      <c r="D46" s="1386"/>
      <c r="F46" s="1386"/>
      <c r="M46" s="1386"/>
      <c r="X46" s="1386"/>
      <c r="Y46" s="1386"/>
      <c r="BA46" s="1387"/>
      <c r="BQ46" s="1387"/>
    </row>
    <row r="47" spans="3:69" s="1398" customFormat="1">
      <c r="C47" s="1386"/>
      <c r="D47" s="1386"/>
      <c r="F47" s="1386"/>
      <c r="M47" s="1386"/>
      <c r="X47" s="1386"/>
      <c r="Y47" s="1386"/>
      <c r="BA47" s="1387"/>
      <c r="BQ47" s="1387"/>
    </row>
    <row r="48" spans="3:69" s="1398" customFormat="1">
      <c r="C48" s="1386"/>
      <c r="D48" s="1386"/>
      <c r="F48" s="1386"/>
      <c r="M48" s="1386"/>
      <c r="X48" s="1386"/>
      <c r="Y48" s="1386"/>
      <c r="BA48" s="1387"/>
      <c r="BQ48" s="1387"/>
    </row>
    <row r="49" spans="3:93" s="1398" customFormat="1">
      <c r="C49" s="1386"/>
      <c r="D49" s="1386"/>
      <c r="F49" s="1386"/>
      <c r="M49" s="1386"/>
      <c r="X49" s="1386"/>
      <c r="Y49" s="1386"/>
      <c r="BA49" s="1387"/>
      <c r="BQ49" s="1387"/>
    </row>
    <row r="50" spans="3:93" s="1398" customFormat="1">
      <c r="C50" s="1386"/>
      <c r="D50" s="1386"/>
      <c r="F50" s="1386"/>
      <c r="M50" s="1386"/>
      <c r="X50" s="1386"/>
      <c r="Y50" s="1386"/>
      <c r="BA50" s="1387"/>
      <c r="BQ50" s="1387"/>
    </row>
    <row r="51" spans="3:93" s="1398" customFormat="1">
      <c r="C51" s="1386"/>
      <c r="D51" s="1386"/>
      <c r="F51" s="1386"/>
      <c r="M51" s="1386"/>
      <c r="X51" s="1386"/>
      <c r="Y51" s="1386"/>
      <c r="BA51" s="1387"/>
      <c r="BQ51" s="1387"/>
    </row>
    <row r="52" spans="3:93" s="1398" customFormat="1">
      <c r="C52" s="1386"/>
      <c r="D52" s="1386"/>
      <c r="F52" s="1386"/>
      <c r="M52" s="1386"/>
      <c r="X52" s="1386"/>
      <c r="Y52" s="1386"/>
      <c r="BA52" s="1387"/>
      <c r="BQ52" s="1387"/>
    </row>
    <row r="53" spans="3:93" s="1398" customFormat="1">
      <c r="C53" s="1386"/>
      <c r="D53" s="1386"/>
      <c r="F53" s="1386"/>
      <c r="M53" s="1386"/>
      <c r="X53" s="1386"/>
      <c r="Y53" s="1386"/>
      <c r="BA53" s="1387"/>
      <c r="BQ53" s="1387"/>
    </row>
    <row r="54" spans="3:93" s="1398" customFormat="1">
      <c r="C54" s="1386"/>
      <c r="D54" s="1386"/>
      <c r="F54" s="1386"/>
      <c r="M54" s="1386"/>
      <c r="X54" s="1386"/>
      <c r="Y54" s="1386"/>
      <c r="BA54" s="1387"/>
      <c r="BQ54" s="1387"/>
    </row>
    <row r="55" spans="3:93" s="1398" customFormat="1">
      <c r="C55" s="1386"/>
      <c r="D55" s="1386"/>
      <c r="F55" s="1386"/>
      <c r="M55" s="1386"/>
      <c r="X55" s="1386"/>
      <c r="Y55" s="1386"/>
      <c r="BA55" s="1387"/>
      <c r="BQ55" s="1387"/>
    </row>
    <row r="56" spans="3:93" s="1398" customFormat="1">
      <c r="C56" s="1386"/>
      <c r="D56" s="1386"/>
      <c r="F56" s="1386"/>
      <c r="M56" s="1386"/>
      <c r="X56" s="1386"/>
      <c r="Y56" s="1386"/>
      <c r="BA56" s="1387"/>
      <c r="BQ56" s="1387"/>
    </row>
    <row r="57" spans="3:93" s="1398" customFormat="1">
      <c r="C57" s="1386"/>
      <c r="D57" s="1386"/>
      <c r="F57" s="1386"/>
      <c r="M57" s="1386"/>
      <c r="X57" s="1386"/>
      <c r="Y57" s="1386"/>
      <c r="BA57" s="1387"/>
      <c r="BI57" s="1387"/>
      <c r="BQ57" s="1387"/>
      <c r="BY57" s="1387"/>
      <c r="CG57" s="1387"/>
      <c r="CO57" s="1387"/>
    </row>
    <row r="58" spans="3:93" s="1398" customFormat="1">
      <c r="C58" s="1386"/>
      <c r="D58" s="1386"/>
      <c r="F58" s="1386"/>
      <c r="M58" s="1386"/>
      <c r="X58" s="1386"/>
      <c r="Y58" s="1386"/>
      <c r="BA58" s="1387"/>
      <c r="BQ58" s="1387"/>
    </row>
    <row r="59" spans="3:93" s="1398" customFormat="1">
      <c r="C59" s="1386"/>
      <c r="D59" s="1386"/>
      <c r="F59" s="1386"/>
      <c r="M59" s="1386"/>
      <c r="X59" s="1386"/>
      <c r="Y59" s="1386"/>
      <c r="BA59" s="1387"/>
      <c r="BQ59" s="1387"/>
    </row>
    <row r="60" spans="3:93" s="1398" customFormat="1">
      <c r="C60" s="1386"/>
      <c r="D60" s="1386"/>
      <c r="F60" s="1386"/>
      <c r="M60" s="1386"/>
      <c r="X60" s="1386"/>
      <c r="Y60" s="1386"/>
      <c r="BA60" s="1387"/>
      <c r="BQ60" s="1387"/>
    </row>
    <row r="61" spans="3:93" s="1398" customFormat="1">
      <c r="C61" s="1386"/>
      <c r="D61" s="1386"/>
      <c r="F61" s="1386"/>
      <c r="M61" s="1386"/>
      <c r="X61" s="1386"/>
      <c r="Y61" s="1386"/>
      <c r="BA61" s="1387"/>
      <c r="BQ61" s="1387"/>
    </row>
    <row r="62" spans="3:93" s="1398" customFormat="1">
      <c r="C62" s="1386"/>
      <c r="D62" s="1386"/>
      <c r="F62" s="1386"/>
      <c r="M62" s="1386"/>
      <c r="X62" s="1386"/>
      <c r="Y62" s="1386"/>
      <c r="BA62" s="1387"/>
      <c r="BQ62" s="1387"/>
    </row>
    <row r="63" spans="3:93" s="1398" customFormat="1">
      <c r="C63" s="1386"/>
      <c r="D63" s="1386"/>
      <c r="F63" s="1386"/>
      <c r="M63" s="1386"/>
      <c r="X63" s="1386"/>
      <c r="Y63" s="1386"/>
      <c r="BA63" s="1387"/>
      <c r="BQ63" s="1387"/>
    </row>
    <row r="64" spans="3:93" s="1398" customFormat="1">
      <c r="C64" s="1386"/>
      <c r="D64" s="1386"/>
      <c r="F64" s="1386"/>
      <c r="M64" s="1386"/>
      <c r="X64" s="1386"/>
      <c r="Y64" s="1386"/>
      <c r="BA64" s="1387"/>
      <c r="BQ64" s="1387"/>
    </row>
    <row r="65" spans="3:93" s="1398" customFormat="1">
      <c r="C65" s="1386"/>
      <c r="D65" s="1386"/>
      <c r="F65" s="1386"/>
      <c r="M65" s="1386"/>
      <c r="X65" s="1386"/>
      <c r="Y65" s="1386"/>
      <c r="BA65" s="1387"/>
      <c r="BQ65" s="1387"/>
    </row>
    <row r="66" spans="3:93" s="1398" customFormat="1">
      <c r="C66" s="1386"/>
      <c r="D66" s="1386"/>
      <c r="F66" s="1386"/>
      <c r="M66" s="1386"/>
      <c r="X66" s="1386"/>
      <c r="Y66" s="1386"/>
      <c r="BA66" s="1387"/>
      <c r="BQ66" s="1387"/>
    </row>
    <row r="67" spans="3:93" s="1398" customFormat="1">
      <c r="C67" s="1386"/>
      <c r="D67" s="1386"/>
      <c r="F67" s="1386"/>
      <c r="M67" s="1386"/>
      <c r="X67" s="1386"/>
      <c r="Y67" s="1386"/>
      <c r="BA67" s="1387"/>
      <c r="BQ67" s="1387"/>
    </row>
    <row r="68" spans="3:93" s="1398" customFormat="1">
      <c r="C68" s="1386"/>
      <c r="D68" s="1386"/>
      <c r="F68" s="1386"/>
      <c r="M68" s="1386"/>
      <c r="X68" s="1386"/>
      <c r="Y68" s="1386"/>
      <c r="BA68" s="1387"/>
      <c r="BQ68" s="1387"/>
    </row>
    <row r="69" spans="3:93" s="1398" customFormat="1">
      <c r="C69" s="1386"/>
      <c r="D69" s="1386"/>
      <c r="F69" s="1386"/>
      <c r="M69" s="1386"/>
      <c r="X69" s="1386"/>
      <c r="Y69" s="1386"/>
      <c r="BA69" s="1387"/>
      <c r="BQ69" s="1387"/>
    </row>
    <row r="70" spans="3:93" s="1398" customFormat="1">
      <c r="C70" s="1386"/>
      <c r="D70" s="1386"/>
      <c r="F70" s="1386"/>
      <c r="M70" s="1386"/>
      <c r="X70" s="1386"/>
      <c r="Y70" s="1386"/>
      <c r="BA70" s="1387"/>
      <c r="BQ70" s="1387"/>
    </row>
    <row r="71" spans="3:93" s="1398" customFormat="1">
      <c r="C71" s="1386"/>
      <c r="D71" s="1386"/>
      <c r="F71" s="1386"/>
      <c r="M71" s="1386"/>
      <c r="X71" s="1386"/>
      <c r="Y71" s="1386"/>
      <c r="BA71" s="1387"/>
      <c r="BQ71" s="1387"/>
    </row>
    <row r="72" spans="3:93" s="1398" customFormat="1"/>
    <row r="73" spans="3:93" s="1398" customFormat="1">
      <c r="C73" s="1386"/>
      <c r="D73" s="1386"/>
      <c r="F73" s="1386"/>
      <c r="M73" s="1386"/>
      <c r="X73" s="1386"/>
      <c r="BA73" s="1387"/>
      <c r="BI73" s="1387"/>
      <c r="BQ73" s="1387"/>
      <c r="BY73" s="1387"/>
      <c r="CG73" s="1387"/>
      <c r="CO73" s="1387"/>
    </row>
    <row r="74" spans="3:93" s="1398" customFormat="1">
      <c r="C74" s="1386"/>
      <c r="D74" s="1386"/>
      <c r="F74" s="1386"/>
      <c r="M74" s="1386"/>
      <c r="X74" s="1386"/>
      <c r="BA74" s="1387"/>
      <c r="BI74" s="1387"/>
      <c r="BQ74" s="1387"/>
      <c r="BY74" s="1387"/>
      <c r="CG74" s="1387"/>
      <c r="CO74" s="1387"/>
    </row>
    <row r="75" spans="3:93" s="1398" customFormat="1">
      <c r="C75" s="1386"/>
      <c r="D75" s="1386"/>
      <c r="F75" s="1386"/>
      <c r="M75" s="1386"/>
      <c r="X75" s="1386"/>
      <c r="BA75" s="1387"/>
      <c r="BI75" s="1387"/>
      <c r="BQ75" s="1387"/>
      <c r="BY75" s="1387"/>
      <c r="CG75" s="1387"/>
      <c r="CO75" s="1387"/>
    </row>
    <row r="76" spans="3:93" s="1398" customFormat="1">
      <c r="C76" s="1386"/>
      <c r="D76" s="1386"/>
      <c r="F76" s="1386"/>
      <c r="M76" s="1386"/>
      <c r="X76" s="1386"/>
      <c r="BA76" s="1387"/>
      <c r="BI76" s="1387"/>
      <c r="BQ76" s="1387"/>
      <c r="BY76" s="1387"/>
      <c r="CG76" s="1387"/>
      <c r="CO76" s="1387"/>
    </row>
    <row r="77" spans="3:93" s="1398" customFormat="1">
      <c r="C77" s="1386"/>
      <c r="D77" s="1386"/>
      <c r="F77" s="1386"/>
      <c r="M77" s="1386"/>
      <c r="X77" s="1386"/>
      <c r="BA77" s="1387"/>
      <c r="BI77" s="1387"/>
      <c r="BQ77" s="1387"/>
      <c r="BY77" s="1387"/>
      <c r="CG77" s="1387"/>
      <c r="CO77" s="1387"/>
    </row>
    <row r="78" spans="3:93" s="1398" customFormat="1">
      <c r="C78" s="1386"/>
      <c r="D78" s="1386"/>
      <c r="F78" s="1386"/>
      <c r="M78" s="1386"/>
      <c r="X78" s="1386"/>
      <c r="BA78" s="1387"/>
      <c r="BI78" s="1387"/>
      <c r="BQ78" s="1387"/>
      <c r="BY78" s="1387"/>
      <c r="CG78" s="1387"/>
      <c r="CO78" s="1387"/>
    </row>
    <row r="79" spans="3:93" s="1398" customFormat="1">
      <c r="C79" s="1386"/>
      <c r="D79" s="1386"/>
      <c r="F79" s="1386"/>
      <c r="M79" s="1386"/>
      <c r="X79" s="1386"/>
      <c r="BA79" s="1387"/>
      <c r="BI79" s="1387"/>
      <c r="BQ79" s="1387"/>
      <c r="BY79" s="1387"/>
      <c r="CG79" s="1387"/>
      <c r="CO79" s="1387"/>
    </row>
    <row r="80" spans="3:93" s="1398" customFormat="1">
      <c r="C80" s="1386"/>
      <c r="D80" s="1386"/>
      <c r="F80" s="1386"/>
      <c r="M80" s="1386"/>
      <c r="X80" s="1386"/>
      <c r="BA80" s="1387"/>
      <c r="BI80" s="1387"/>
      <c r="BQ80" s="1387"/>
      <c r="BY80" s="1387"/>
      <c r="CG80" s="1387"/>
      <c r="CO80" s="1387"/>
    </row>
    <row r="81" spans="3:93" s="1398" customFormat="1">
      <c r="C81" s="1386"/>
      <c r="D81" s="1386"/>
      <c r="F81" s="1386"/>
      <c r="M81" s="1386"/>
      <c r="X81" s="1386"/>
      <c r="BA81" s="1387"/>
      <c r="BI81" s="1387"/>
      <c r="BQ81" s="1387"/>
      <c r="BY81" s="1387"/>
      <c r="CG81" s="1387"/>
      <c r="CO81" s="1387"/>
    </row>
    <row r="82" spans="3:93" s="1398" customFormat="1">
      <c r="C82" s="1386"/>
      <c r="D82" s="1386"/>
      <c r="F82" s="1386"/>
      <c r="M82" s="1386"/>
      <c r="X82" s="1386"/>
      <c r="BA82" s="1387"/>
      <c r="BI82" s="1387"/>
      <c r="BQ82" s="1387"/>
      <c r="BY82" s="1387"/>
      <c r="CG82" s="1387"/>
      <c r="CO82" s="1387"/>
    </row>
    <row r="83" spans="3:93" s="1398" customFormat="1">
      <c r="C83" s="1386"/>
      <c r="D83" s="1386"/>
      <c r="F83" s="1386"/>
      <c r="M83" s="1386"/>
      <c r="X83" s="1386"/>
      <c r="BA83" s="1387"/>
      <c r="BI83" s="1387"/>
      <c r="BQ83" s="1387"/>
      <c r="BY83" s="1387"/>
      <c r="CG83" s="1387"/>
      <c r="CO83" s="1387"/>
    </row>
    <row r="84" spans="3:93" s="805" customFormat="1">
      <c r="C84" s="806"/>
      <c r="D84" s="806"/>
      <c r="F84" s="806"/>
      <c r="M84" s="806"/>
      <c r="X84" s="806"/>
      <c r="BA84" s="777"/>
      <c r="BI84" s="777"/>
      <c r="BQ84" s="777"/>
      <c r="BY84" s="777"/>
      <c r="CG84" s="777"/>
      <c r="CO84" s="777"/>
    </row>
    <row r="85" spans="3:93" s="805" customFormat="1">
      <c r="C85" s="806"/>
      <c r="D85" s="806"/>
      <c r="F85" s="806"/>
      <c r="M85" s="806"/>
      <c r="X85" s="806"/>
      <c r="BA85" s="777"/>
      <c r="BI85" s="777"/>
      <c r="BQ85" s="777"/>
      <c r="BY85" s="777"/>
      <c r="CG85" s="777"/>
      <c r="CO85" s="777"/>
    </row>
    <row r="86" spans="3:93" s="805" customFormat="1">
      <c r="C86" s="806"/>
      <c r="D86" s="806"/>
      <c r="F86" s="806"/>
      <c r="M86" s="806"/>
      <c r="X86" s="806"/>
      <c r="BA86" s="777"/>
      <c r="BI86" s="777"/>
      <c r="BQ86" s="777"/>
      <c r="BY86" s="777"/>
      <c r="CG86" s="777"/>
      <c r="CO86" s="777"/>
    </row>
    <row r="87" spans="3:93" s="805" customFormat="1">
      <c r="C87" s="806"/>
      <c r="D87" s="806"/>
      <c r="F87" s="806"/>
      <c r="M87" s="806"/>
      <c r="X87" s="806"/>
      <c r="BA87" s="777"/>
      <c r="BI87" s="777"/>
      <c r="BQ87" s="777"/>
      <c r="BY87" s="777"/>
      <c r="CG87" s="777"/>
      <c r="CO87" s="777"/>
    </row>
    <row r="88" spans="3:93" s="805" customFormat="1">
      <c r="C88" s="806"/>
      <c r="D88" s="806"/>
      <c r="F88" s="806"/>
      <c r="M88" s="806"/>
      <c r="X88" s="806"/>
      <c r="BA88" s="777"/>
      <c r="BI88" s="777"/>
      <c r="BQ88" s="777"/>
      <c r="BY88" s="777"/>
      <c r="CG88" s="777"/>
      <c r="CO88" s="777"/>
    </row>
    <row r="89" spans="3:93" s="805" customFormat="1">
      <c r="C89" s="806"/>
      <c r="D89" s="806"/>
      <c r="F89" s="806"/>
      <c r="M89" s="806"/>
      <c r="X89" s="806"/>
      <c r="BA89" s="777"/>
      <c r="BI89" s="777"/>
      <c r="BQ89" s="777"/>
      <c r="BY89" s="777"/>
      <c r="CG89" s="777"/>
      <c r="CO89" s="777"/>
    </row>
    <row r="90" spans="3:93" s="805" customFormat="1">
      <c r="C90" s="806"/>
      <c r="D90" s="806"/>
      <c r="F90" s="806"/>
      <c r="M90" s="806"/>
      <c r="X90" s="806"/>
      <c r="BA90" s="777"/>
      <c r="BI90" s="777"/>
      <c r="BQ90" s="777"/>
      <c r="BY90" s="777"/>
      <c r="CG90" s="777"/>
      <c r="CO90" s="777"/>
    </row>
    <row r="91" spans="3:93" s="805" customFormat="1">
      <c r="C91" s="806"/>
      <c r="D91" s="806"/>
      <c r="F91" s="806"/>
      <c r="M91" s="806"/>
      <c r="X91" s="806"/>
      <c r="BA91" s="777"/>
      <c r="BI91" s="777"/>
      <c r="BQ91" s="777"/>
      <c r="BY91" s="777"/>
      <c r="CG91" s="777"/>
      <c r="CO91" s="777"/>
    </row>
    <row r="92" spans="3:93" s="805" customFormat="1">
      <c r="C92" s="806"/>
      <c r="D92" s="806"/>
      <c r="F92" s="806"/>
      <c r="M92" s="806"/>
      <c r="X92" s="806"/>
      <c r="BA92" s="777"/>
      <c r="BI92" s="777"/>
      <c r="BQ92" s="777"/>
      <c r="BY92" s="777"/>
      <c r="CG92" s="777"/>
      <c r="CO92" s="777"/>
    </row>
    <row r="93" spans="3:93" s="805" customFormat="1">
      <c r="C93" s="806"/>
      <c r="D93" s="806"/>
      <c r="F93" s="806"/>
      <c r="M93" s="806"/>
      <c r="X93" s="806"/>
      <c r="BA93" s="777"/>
      <c r="BI93" s="777"/>
      <c r="BQ93" s="777"/>
      <c r="BY93" s="777"/>
      <c r="CG93" s="777"/>
      <c r="CO93" s="777"/>
    </row>
    <row r="94" spans="3:93" s="805" customFormat="1">
      <c r="C94" s="806"/>
      <c r="D94" s="806"/>
      <c r="F94" s="806"/>
      <c r="M94" s="806"/>
      <c r="X94" s="806"/>
      <c r="BA94" s="777"/>
      <c r="BI94" s="777"/>
      <c r="BQ94" s="777"/>
      <c r="BY94" s="777"/>
      <c r="CG94" s="777"/>
      <c r="CO94" s="777"/>
    </row>
    <row r="95" spans="3:93" s="805" customFormat="1">
      <c r="C95" s="806"/>
      <c r="D95" s="806"/>
      <c r="F95" s="806"/>
      <c r="M95" s="806"/>
      <c r="X95" s="806"/>
      <c r="BA95" s="777"/>
      <c r="BI95" s="777"/>
      <c r="BQ95" s="777"/>
      <c r="BY95" s="777"/>
      <c r="CG95" s="777"/>
      <c r="CO95" s="777"/>
    </row>
    <row r="96" spans="3:93" s="805" customFormat="1">
      <c r="C96" s="806"/>
      <c r="D96" s="806"/>
      <c r="F96" s="806"/>
      <c r="M96" s="806"/>
      <c r="X96" s="806"/>
      <c r="BA96" s="777"/>
      <c r="BI96" s="777"/>
      <c r="BQ96" s="777"/>
      <c r="BY96" s="777"/>
      <c r="CG96" s="777"/>
      <c r="CO96" s="777"/>
    </row>
    <row r="97" spans="3:93" s="805" customFormat="1">
      <c r="C97" s="806"/>
      <c r="D97" s="806"/>
      <c r="F97" s="806"/>
      <c r="M97" s="806"/>
      <c r="X97" s="806"/>
      <c r="BA97" s="777"/>
      <c r="BI97" s="777"/>
      <c r="BQ97" s="777"/>
      <c r="BY97" s="777"/>
      <c r="CG97" s="777"/>
      <c r="CO97" s="777"/>
    </row>
    <row r="98" spans="3:93" s="805" customFormat="1">
      <c r="C98" s="806"/>
      <c r="D98" s="806"/>
      <c r="F98" s="806"/>
      <c r="M98" s="806"/>
      <c r="X98" s="806"/>
      <c r="BA98" s="777"/>
      <c r="BI98" s="777"/>
      <c r="BQ98" s="777"/>
      <c r="BY98" s="777"/>
      <c r="CG98" s="777"/>
      <c r="CO98" s="777"/>
    </row>
    <row r="99" spans="3:93" s="805" customFormat="1">
      <c r="C99" s="806"/>
      <c r="D99" s="806"/>
      <c r="F99" s="806"/>
      <c r="M99" s="806"/>
      <c r="X99" s="806"/>
      <c r="BA99" s="777"/>
      <c r="BI99" s="777"/>
      <c r="BQ99" s="777"/>
      <c r="BY99" s="777"/>
      <c r="CG99" s="777"/>
      <c r="CO99" s="777"/>
    </row>
  </sheetData>
  <autoFilter ref="A14:CO55"/>
  <sortState ref="A15:DU71">
    <sortCondition ref="K15:K71"/>
    <sortCondition ref="Y15:Y7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 filterMode="1">
    <tabColor rgb="FFFFFF00"/>
  </sheetPr>
  <dimension ref="A1:AL122"/>
  <sheetViews>
    <sheetView showRuler="0" view="pageBreakPreview" zoomScaleSheetLayoutView="100" workbookViewId="0">
      <selection activeCell="K16" sqref="K16"/>
    </sheetView>
  </sheetViews>
  <sheetFormatPr baseColWidth="10" defaultColWidth="11.42578125" defaultRowHeight="12.75"/>
  <cols>
    <col min="1" max="1" width="10.42578125" style="3" customWidth="1"/>
    <col min="2" max="2" width="11.5703125" style="3" customWidth="1"/>
    <col min="3" max="3" width="12.140625" style="3" customWidth="1"/>
    <col min="4" max="4" width="16.85546875" style="3" customWidth="1"/>
    <col min="5" max="5" width="9.42578125" style="3" customWidth="1"/>
    <col min="6" max="6" width="9.85546875" style="3" customWidth="1"/>
    <col min="7" max="7" width="12.140625" style="3" customWidth="1"/>
    <col min="8" max="8" width="9.85546875" style="3" customWidth="1"/>
    <col min="9" max="9" width="14.42578125" style="3" customWidth="1"/>
    <col min="10" max="10" width="20" style="3" customWidth="1"/>
    <col min="11" max="11" width="9.5703125" style="3" customWidth="1"/>
    <col min="12" max="23" width="12.140625" style="3" customWidth="1"/>
    <col min="24" max="16384" width="11.42578125" style="3"/>
  </cols>
  <sheetData>
    <row r="1" spans="2:24">
      <c r="D1" s="1856" t="s">
        <v>28</v>
      </c>
      <c r="E1" s="1856"/>
      <c r="S1" s="1857">
        <f ca="1">TODAY()</f>
        <v>42723</v>
      </c>
      <c r="T1" s="1857"/>
      <c r="U1" s="1857"/>
    </row>
    <row r="2" spans="2:24" ht="13.5" thickBot="1">
      <c r="Q2" s="3" t="s">
        <v>2000</v>
      </c>
      <c r="S2" s="1858"/>
      <c r="T2" s="1858"/>
      <c r="U2" s="1858"/>
    </row>
    <row r="3" spans="2:24" ht="15.75" thickBot="1">
      <c r="C3" s="19"/>
      <c r="D3" s="19"/>
      <c r="E3" s="19"/>
      <c r="F3" s="19"/>
      <c r="G3" s="19"/>
      <c r="H3" s="19"/>
      <c r="I3" s="19"/>
      <c r="J3" s="1859" t="s">
        <v>2422</v>
      </c>
      <c r="K3" s="1860"/>
      <c r="L3" s="1860"/>
      <c r="M3" s="1860"/>
      <c r="N3" s="1860"/>
      <c r="O3" s="1860"/>
      <c r="P3" s="1860"/>
      <c r="Q3" s="946" t="s">
        <v>33</v>
      </c>
      <c r="R3" s="19"/>
      <c r="S3" s="19"/>
      <c r="T3" s="19"/>
      <c r="U3" s="19"/>
      <c r="V3" s="19"/>
      <c r="W3" s="19"/>
    </row>
    <row r="4" spans="2:24">
      <c r="C4" s="22"/>
      <c r="D4" s="22"/>
      <c r="E4" s="22"/>
      <c r="F4" s="22"/>
      <c r="G4" s="22"/>
      <c r="H4" s="22"/>
      <c r="I4" s="22"/>
      <c r="J4" s="1861" t="str">
        <f>CONCATENATE(Admin!B9," - ",Admin!E2)</f>
        <v>HUTIANE-TRANSPORTES MARITIMOS, UNIPESSOAL LDA - 12600.1</v>
      </c>
      <c r="K4" s="1861"/>
      <c r="L4" s="1861"/>
      <c r="M4" s="1861"/>
      <c r="N4" s="1861"/>
      <c r="O4" s="1861"/>
      <c r="P4" s="1861"/>
      <c r="Q4" s="22"/>
      <c r="R4" s="22"/>
      <c r="S4" s="22"/>
      <c r="T4" s="22"/>
      <c r="U4" s="22"/>
      <c r="V4" s="22"/>
      <c r="W4" s="22"/>
    </row>
    <row r="5" spans="2:24" ht="9" customHeight="1"/>
    <row r="6" spans="2:24">
      <c r="I6" s="1855" t="s">
        <v>44</v>
      </c>
      <c r="J6" s="1855"/>
      <c r="K6" s="1855"/>
      <c r="L6" s="1855"/>
      <c r="M6" s="1855"/>
      <c r="N6" s="1855"/>
      <c r="O6" s="1855"/>
      <c r="P6" s="1855"/>
      <c r="Q6" s="1855"/>
      <c r="R6" s="1855"/>
      <c r="S6" s="1855"/>
    </row>
    <row r="7" spans="2:24" ht="9" customHeight="1">
      <c r="E7" s="10"/>
      <c r="F7" s="6"/>
      <c r="G7" s="7"/>
      <c r="H7" s="7"/>
      <c r="I7" s="634"/>
      <c r="J7" s="10"/>
      <c r="K7" s="10"/>
    </row>
    <row r="8" spans="2:24">
      <c r="B8" s="1853" t="s">
        <v>31</v>
      </c>
      <c r="C8" s="1853"/>
      <c r="D8" s="1853"/>
      <c r="E8" s="1853"/>
      <c r="F8" s="581"/>
      <c r="G8" s="1853" t="s">
        <v>98</v>
      </c>
      <c r="H8" s="1853"/>
      <c r="I8" s="1853"/>
      <c r="J8" s="1853"/>
      <c r="K8" s="1853"/>
      <c r="L8" s="1853"/>
      <c r="N8" s="1853" t="s">
        <v>99</v>
      </c>
      <c r="O8" s="1853"/>
      <c r="P8" s="1853"/>
      <c r="Q8" s="1853"/>
      <c r="T8" s="1853" t="s">
        <v>29</v>
      </c>
      <c r="U8" s="1853"/>
      <c r="V8" s="1853"/>
      <c r="W8" s="1853"/>
    </row>
    <row r="9" spans="2:24" ht="12" customHeight="1">
      <c r="B9" s="1854" t="str">
        <f>Admin!B9</f>
        <v>HUTIANE-TRANSPORTES MARITIMOS, UNIPESSOAL LDA</v>
      </c>
      <c r="C9" s="1854"/>
      <c r="D9" s="1854"/>
      <c r="E9" s="1854"/>
      <c r="F9" s="581"/>
      <c r="G9" s="1854" t="str">
        <f>IF(Admin!B10="","",Admin!B10)</f>
        <v/>
      </c>
      <c r="H9" s="1854"/>
      <c r="I9" s="1854"/>
      <c r="J9" s="1854"/>
      <c r="K9" s="1854"/>
      <c r="L9" s="1854"/>
      <c r="N9" s="1854" t="str">
        <f>MAname</f>
        <v xml:space="preserve">BOATTRUST </v>
      </c>
      <c r="O9" s="1854"/>
      <c r="P9" s="1854"/>
      <c r="Q9" s="1854"/>
      <c r="T9" s="1854" t="str">
        <f>BRname</f>
        <v>ICS</v>
      </c>
      <c r="U9" s="1854"/>
      <c r="V9" s="1854"/>
      <c r="W9" s="1854"/>
    </row>
    <row r="10" spans="2:24">
      <c r="B10" s="1854" t="str">
        <f>IF(Admin!D9="","",Admin!D9)</f>
        <v/>
      </c>
      <c r="C10" s="1854"/>
      <c r="D10" s="1854"/>
      <c r="E10" s="1854"/>
      <c r="F10" s="581"/>
      <c r="G10" s="1854" t="str">
        <f>IF(Admin!D10="","",Admin!D10)</f>
        <v/>
      </c>
      <c r="H10" s="1854"/>
      <c r="I10" s="1854"/>
      <c r="J10" s="1854"/>
      <c r="K10" s="1854"/>
      <c r="L10" s="1854"/>
      <c r="N10" s="1854" t="str">
        <f>MAaddress</f>
        <v>Rua Nova do Pina, n.º 4-B</v>
      </c>
      <c r="O10" s="1854"/>
      <c r="P10" s="1854"/>
      <c r="Q10" s="1854"/>
      <c r="T10" s="1854" t="str">
        <f>BRaddress</f>
        <v>Centre Mercure -Avenue de la Gare, 41</v>
      </c>
      <c r="U10" s="1854"/>
      <c r="V10" s="1854"/>
      <c r="W10" s="1854"/>
    </row>
    <row r="11" spans="2:24">
      <c r="B11" s="633" t="str">
        <f>IF(Admin!H9="","",Admin!H9)</f>
        <v>P-9000-067</v>
      </c>
      <c r="C11" s="1854" t="str">
        <f>IF(Admin!I9="","",Admin!I9)</f>
        <v>Santa Luzia, Funchal</v>
      </c>
      <c r="D11" s="1854"/>
      <c r="E11" s="1854"/>
      <c r="F11" s="581"/>
      <c r="G11" s="633" t="str">
        <f>IF(Admin!H10="","",Admin!H10)</f>
        <v/>
      </c>
      <c r="H11" s="633"/>
      <c r="I11" s="1854" t="s">
        <v>2243</v>
      </c>
      <c r="J11" s="1854"/>
      <c r="K11" s="1854"/>
      <c r="L11" s="1854"/>
      <c r="N11" s="633" t="str">
        <f>MApostalcode</f>
        <v xml:space="preserve">P-9000 - 068 </v>
      </c>
      <c r="O11" s="1854" t="str">
        <f>MAcity</f>
        <v>FUNCHAL, MADEIRA</v>
      </c>
      <c r="P11" s="1854"/>
      <c r="Q11" s="1854"/>
      <c r="T11" s="633" t="str">
        <f>BRpostalcode</f>
        <v>L-1611</v>
      </c>
      <c r="U11" s="1854" t="str">
        <f>BRcity</f>
        <v>Luxembourg</v>
      </c>
      <c r="V11" s="1854"/>
      <c r="W11" s="1854"/>
    </row>
    <row r="12" spans="2:24">
      <c r="B12" s="1862" t="str">
        <f>IF(Admin!L9="","",Admin!L9)</f>
        <v>Portugal</v>
      </c>
      <c r="C12" s="1862"/>
      <c r="D12" s="1862"/>
      <c r="E12" s="1862"/>
      <c r="F12" s="581"/>
      <c r="G12" s="1862" t="str">
        <f>IF(Admin!L10="","",Admin!L10)</f>
        <v/>
      </c>
      <c r="H12" s="1862"/>
      <c r="I12" s="1862"/>
      <c r="J12" s="1862"/>
      <c r="K12" s="1862"/>
      <c r="L12" s="1862"/>
      <c r="N12" s="1862" t="str">
        <f>MAcountry</f>
        <v>Portugal</v>
      </c>
      <c r="O12" s="1862"/>
      <c r="P12" s="1862"/>
      <c r="Q12" s="1862"/>
      <c r="T12" s="1862" t="str">
        <f>BRcountry</f>
        <v>LUXEMBOURG</v>
      </c>
      <c r="U12" s="1862"/>
      <c r="V12" s="1862"/>
      <c r="W12" s="1862"/>
    </row>
    <row r="14" spans="2:24" ht="12.75" customHeight="1">
      <c r="B14" s="1440"/>
      <c r="C14" s="1441" t="s">
        <v>2185</v>
      </c>
      <c r="D14" s="1442" t="s">
        <v>2408</v>
      </c>
      <c r="E14" s="635"/>
      <c r="F14" s="1846" t="s">
        <v>2669</v>
      </c>
      <c r="G14" s="1846"/>
      <c r="H14" s="1846"/>
      <c r="I14" s="1846"/>
      <c r="J14" s="635"/>
      <c r="K14" s="635"/>
      <c r="L14" s="1848" t="s">
        <v>2408</v>
      </c>
      <c r="M14" s="1848"/>
      <c r="N14" s="1846" t="s">
        <v>2669</v>
      </c>
      <c r="O14" s="1846"/>
      <c r="P14" s="1846"/>
      <c r="Q14" s="1847"/>
      <c r="R14" s="1848" t="s">
        <v>49</v>
      </c>
      <c r="S14" s="1848"/>
      <c r="T14" s="635" t="s">
        <v>51</v>
      </c>
      <c r="U14" s="636">
        <f>IF(LISTES!$A$17=3,Admin!E4,Source!$B$2)</f>
        <v>41955</v>
      </c>
      <c r="V14" s="652"/>
      <c r="W14" s="1849" t="s">
        <v>2602</v>
      </c>
      <c r="X14" s="1850"/>
    </row>
    <row r="15" spans="2:24" ht="12.75" customHeight="1">
      <c r="B15" s="1424" t="s">
        <v>2179</v>
      </c>
      <c r="C15" s="585" t="s">
        <v>2006</v>
      </c>
      <c r="D15" s="1419" t="str">
        <f>IF(B15="NO","",IF(E15="","",Modules!$E$35))</f>
        <v>Perfect</v>
      </c>
      <c r="E15" s="10" t="str">
        <f>IF($Q$3=Admin!$D$63,Admin!$D$63,"")</f>
        <v>EUR</v>
      </c>
      <c r="F15" s="585"/>
      <c r="G15" s="10" t="str">
        <f>IF(B15="NO","",IF(E15="","",Modules!$E$39))</f>
        <v>All Crew members, except day workers</v>
      </c>
      <c r="H15" s="10"/>
      <c r="I15" s="10"/>
      <c r="J15" s="10"/>
      <c r="K15" s="10"/>
      <c r="L15" s="585" t="str">
        <f>IF(B15="NO","",IF(M15="","",Modules!$E$64))</f>
        <v/>
      </c>
      <c r="M15" s="10" t="str">
        <f>IF(Admin!$D$88="","",IF($Q$3=Admin!$D$88,Admin!$D$88,""))</f>
        <v/>
      </c>
      <c r="N15" s="585"/>
      <c r="O15" s="1867" t="str">
        <f>IF(B15="NO","",IF(M15="","",Modules!$E$68))</f>
        <v/>
      </c>
      <c r="P15" s="1867"/>
      <c r="Q15" s="1868"/>
      <c r="R15" s="585"/>
      <c r="S15" s="585"/>
      <c r="T15" s="10" t="s">
        <v>47</v>
      </c>
      <c r="U15" s="586">
        <f>IF(NAMES!$B$10=FALSE,Source!$C$2,Admin!E5)</f>
        <v>43050</v>
      </c>
      <c r="V15" s="585"/>
      <c r="W15" s="1851" t="str">
        <f>Admin!B2</f>
        <v>HUTIANE</v>
      </c>
      <c r="X15" s="1852"/>
    </row>
    <row r="16" spans="2:24" ht="12.75" customHeight="1">
      <c r="B16" s="1424" t="s">
        <v>2179</v>
      </c>
      <c r="C16" s="585" t="s">
        <v>2219</v>
      </c>
      <c r="D16" s="1419" t="str">
        <f>IF(B16="NO","",IF(E16="","",Modules!$E$35))</f>
        <v>Perfect</v>
      </c>
      <c r="E16" s="10" t="str">
        <f>IF($Q$3=Admin!$D$63,Admin!$D$63,"")</f>
        <v>EUR</v>
      </c>
      <c r="F16" s="585"/>
      <c r="G16" s="10" t="str">
        <f>IF(B16="NO","",IF(E16="","",Modules!$E$39))</f>
        <v>All Crew members, except day workers</v>
      </c>
      <c r="H16" s="10"/>
      <c r="I16" s="10"/>
      <c r="J16" s="10"/>
      <c r="K16" s="10"/>
      <c r="L16" s="585" t="str">
        <f>IF(B16="NO","",IF(M16="","",Modules!$E$64))</f>
        <v/>
      </c>
      <c r="M16" s="10" t="str">
        <f>IF(Admin!$D$88="","",IF($Q$3=Admin!$D$88,Admin!$D$88,""))</f>
        <v/>
      </c>
      <c r="N16" s="585"/>
      <c r="O16" s="1867" t="str">
        <f>IF(B16="NO","",IF(M16="","",Modules!$E$68))</f>
        <v/>
      </c>
      <c r="P16" s="1867"/>
      <c r="Q16" s="1868"/>
      <c r="R16" s="10"/>
      <c r="S16" s="10"/>
      <c r="T16" s="10"/>
      <c r="U16" s="585"/>
      <c r="V16" s="585"/>
      <c r="W16" s="10"/>
      <c r="X16" s="638"/>
    </row>
    <row r="17" spans="1:38" ht="12.75" customHeight="1">
      <c r="B17" s="1424" t="s">
        <v>2180</v>
      </c>
      <c r="C17" s="10" t="s">
        <v>2699</v>
      </c>
      <c r="D17" s="1419"/>
      <c r="E17" s="10" t="str">
        <f>IF($Q$3=Admin!$D$63,Admin!$D$63,"")</f>
        <v>EUR</v>
      </c>
      <c r="F17" s="585"/>
      <c r="G17" s="10" t="str">
        <f>IF(B17="NO","",IF(E17="","",Modules!$E$7))</f>
        <v/>
      </c>
      <c r="H17" s="10"/>
      <c r="I17" s="10"/>
      <c r="J17" s="10"/>
      <c r="K17" s="10"/>
      <c r="L17" s="585"/>
      <c r="M17" s="10"/>
      <c r="N17" s="585"/>
      <c r="O17" s="1419"/>
      <c r="P17" s="1419"/>
      <c r="Q17" s="1420"/>
      <c r="R17" s="10"/>
      <c r="S17" s="10"/>
      <c r="T17" s="10"/>
      <c r="U17" s="585"/>
      <c r="V17" s="585"/>
      <c r="W17" s="10"/>
      <c r="X17" s="638"/>
    </row>
    <row r="18" spans="1:38" ht="12.75" customHeight="1">
      <c r="B18" s="1424" t="s">
        <v>2180</v>
      </c>
      <c r="C18" s="10" t="s">
        <v>2700</v>
      </c>
      <c r="D18" s="1419"/>
      <c r="E18" s="10" t="str">
        <f>IF($Q$3=Admin!$D$63,Admin!$D$63,"")</f>
        <v>EUR</v>
      </c>
      <c r="F18" s="585"/>
      <c r="G18" s="10" t="str">
        <f>IF(B18="NO","",IF(E18="","",Modules!$E$7))</f>
        <v/>
      </c>
      <c r="H18" s="10"/>
      <c r="I18" s="10"/>
      <c r="J18" s="10"/>
      <c r="K18" s="10"/>
      <c r="L18" s="585"/>
      <c r="M18" s="10"/>
      <c r="N18" s="585"/>
      <c r="O18" s="1419"/>
      <c r="P18" s="1419"/>
      <c r="Q18" s="1420"/>
      <c r="R18" s="10"/>
      <c r="S18" s="10"/>
      <c r="T18" s="10"/>
      <c r="U18" s="585"/>
      <c r="V18" s="585"/>
      <c r="W18" s="10"/>
      <c r="X18" s="638"/>
    </row>
    <row r="19" spans="1:38" ht="12.75" customHeight="1">
      <c r="B19" s="1424" t="s">
        <v>2179</v>
      </c>
      <c r="C19" s="585" t="s">
        <v>2268</v>
      </c>
      <c r="D19" s="934" t="str">
        <f>IF(B19="NO","",IF(E19="","",Modules!F27))</f>
        <v>300%</v>
      </c>
      <c r="E19" s="10" t="str">
        <f>IF($Q$3=Admin!$D$69,Admin!$D$69,"")</f>
        <v>EUR</v>
      </c>
      <c r="F19" s="710">
        <f>IF(B19="NO","",IF(E19="","",IF(Cotations!$BA$6=0,0,Cotations!$BA$7)))</f>
        <v>0</v>
      </c>
      <c r="G19" s="10" t="str">
        <f>IF(B19="NO","",IF(E19="","",Modules!$F$39))</f>
        <v>All Crew members, except day workers</v>
      </c>
      <c r="H19" s="10"/>
      <c r="I19" s="10"/>
      <c r="J19" s="10"/>
      <c r="K19" s="10"/>
      <c r="L19" s="1421" t="str">
        <f>IF(B19="NO","",IF(M19="","",Modules!F56))</f>
        <v/>
      </c>
      <c r="M19" s="10" t="str">
        <f>IF(Admin!$D$95="","",IF($Q$3=Admin!$D$95,Admin!$D$95,""))</f>
        <v/>
      </c>
      <c r="N19" s="585"/>
      <c r="O19" s="1867" t="str">
        <f>IF(B19="NO","",IF(M19="","",Modules!$F$68))</f>
        <v/>
      </c>
      <c r="P19" s="1867"/>
      <c r="Q19" s="1868"/>
      <c r="R19" s="1866" t="s">
        <v>48</v>
      </c>
      <c r="S19" s="1866"/>
      <c r="T19" s="10" t="s">
        <v>35</v>
      </c>
      <c r="U19" s="586">
        <f>MAX(Admin!H17:H18)</f>
        <v>42167</v>
      </c>
      <c r="V19" s="585"/>
      <c r="W19" s="10"/>
      <c r="X19" s="638"/>
    </row>
    <row r="20" spans="1:38" ht="12.75" customHeight="1">
      <c r="B20" s="1424" t="s">
        <v>2179</v>
      </c>
      <c r="C20" s="585" t="s">
        <v>2260</v>
      </c>
      <c r="D20" s="934" t="str">
        <f>IF(B20="NO","",IF(E20="","",Modules!G27))</f>
        <v>300%</v>
      </c>
      <c r="E20" s="10" t="str">
        <f>IF($Q$3=Admin!$D$69,Admin!$D$69,"")</f>
        <v>EUR</v>
      </c>
      <c r="F20" s="710">
        <f>IF(B20="NO","",IF(E20="","",IF(Cotations!$BM$6=0,0,Cotations!$BM$7)))</f>
        <v>0</v>
      </c>
      <c r="G20" s="10" t="str">
        <f>IF(B20="NO","",IF(E20="","",Modules!$F$39))</f>
        <v>All Crew members, except day workers</v>
      </c>
      <c r="H20" s="10"/>
      <c r="I20" s="10"/>
      <c r="J20" s="10"/>
      <c r="K20" s="10"/>
      <c r="L20" s="1421" t="str">
        <f>IF(B20="NO","",IF(M20="","",Modules!G56))</f>
        <v/>
      </c>
      <c r="M20" s="10" t="str">
        <f>IF(Admin!$D$95="","",IF($Q$3=Admin!$D$95,Admin!$D$95,""))</f>
        <v/>
      </c>
      <c r="N20" s="10"/>
      <c r="O20" s="1867" t="str">
        <f>IF(B20="NO","",IF(M20="","",Modules!$F$68))</f>
        <v/>
      </c>
      <c r="P20" s="1867"/>
      <c r="Q20" s="1868"/>
      <c r="R20" s="10"/>
      <c r="S20" s="10"/>
      <c r="T20" s="10" t="s">
        <v>50</v>
      </c>
      <c r="U20" s="10">
        <f>MAX(Admin!G17:G24)</f>
        <v>1</v>
      </c>
      <c r="V20" s="10"/>
      <c r="W20" s="10"/>
      <c r="X20" s="638"/>
    </row>
    <row r="21" spans="1:38" ht="12.75" customHeight="1">
      <c r="B21" s="1424" t="s">
        <v>2179</v>
      </c>
      <c r="C21" s="585" t="s">
        <v>2407</v>
      </c>
      <c r="D21" s="934" t="str">
        <f>IF(B21="NO","",IF(E21="","",Modules!H27))</f>
        <v>300%</v>
      </c>
      <c r="E21" s="10" t="str">
        <f>IF($Q$3=Admin!$D$69,Admin!$D$69,"")</f>
        <v>EUR</v>
      </c>
      <c r="F21" s="710">
        <f>IF(B21="NO","",IF(E21="","",IF(Cotations!$BY$6=0,0,Cotations!$BY$7)))</f>
        <v>0</v>
      </c>
      <c r="G21" s="10" t="str">
        <f>IF(B21="NO","",IF(E21="","",Modules!$F$39))</f>
        <v>All Crew members, except day workers</v>
      </c>
      <c r="H21" s="10"/>
      <c r="I21" s="10"/>
      <c r="J21" s="10"/>
      <c r="K21" s="10"/>
      <c r="L21" s="1421" t="str">
        <f>IF(B21="NO","",IF(M21="","",Modules!H56))</f>
        <v/>
      </c>
      <c r="M21" s="10" t="str">
        <f>IF(Admin!$D$95="","",IF($Q$3=Admin!$D$95,Admin!$D$95,""))</f>
        <v/>
      </c>
      <c r="N21" s="10"/>
      <c r="O21" s="1867" t="str">
        <f>IF(B21="NO","",IF(M21="","",Modules!$F$68))</f>
        <v/>
      </c>
      <c r="P21" s="1867"/>
      <c r="Q21" s="1868"/>
      <c r="R21" s="10"/>
      <c r="S21" s="10"/>
      <c r="T21" s="10"/>
      <c r="U21" s="10"/>
      <c r="V21" s="10"/>
      <c r="W21" s="10"/>
      <c r="X21" s="638"/>
    </row>
    <row r="22" spans="1:38" ht="12.75" customHeight="1">
      <c r="B22" s="1424" t="s">
        <v>2179</v>
      </c>
      <c r="C22" s="585" t="s">
        <v>2261</v>
      </c>
      <c r="D22" s="934" t="str">
        <f>IF(B22="NO","",IF(E22="","",Modules!I27))</f>
        <v>300%</v>
      </c>
      <c r="E22" s="10" t="str">
        <f>IF($Q$3=Admin!$D$69,Admin!$D$69,"")</f>
        <v>EUR</v>
      </c>
      <c r="F22" s="710">
        <f>IF(B22="NO","",IF(E22="","",IF(Cotations!$CK$6=0,0,Cotations!$CK$7)))</f>
        <v>0</v>
      </c>
      <c r="G22" s="10" t="str">
        <f>IF(B22="NO","",IF(E22="","",Modules!$F$39))</f>
        <v>All Crew members, except day workers</v>
      </c>
      <c r="H22" s="10"/>
      <c r="I22" s="10"/>
      <c r="J22" s="10"/>
      <c r="K22" s="10"/>
      <c r="L22" s="1421" t="str">
        <f>IF(B22="NO","",IF(M22="","",Modules!$I$56))</f>
        <v/>
      </c>
      <c r="M22" s="10" t="str">
        <f>IF(Admin!$D$95="","",IF($Q$3=Admin!$D$95,Admin!$D$95,""))</f>
        <v/>
      </c>
      <c r="N22" s="10"/>
      <c r="O22" s="1867" t="str">
        <f>IF(B22="NO","",IF(M22="","",Modules!$F$68))</f>
        <v/>
      </c>
      <c r="P22" s="1867"/>
      <c r="Q22" s="1868"/>
      <c r="R22" s="1866" t="s">
        <v>14</v>
      </c>
      <c r="S22" s="1866"/>
      <c r="T22" s="10" t="str">
        <f>IF(NAMES!$B$10=FALSE,Source!$H$1,"Effective date")</f>
        <v>Effective date</v>
      </c>
      <c r="U22" s="586">
        <f>IF(LISTES!$A$17=3,Admin!E4,Source!$H$2)</f>
        <v>41955</v>
      </c>
      <c r="V22" s="10"/>
      <c r="W22" s="10"/>
      <c r="X22" s="638"/>
    </row>
    <row r="23" spans="1:38" ht="12.75" customHeight="1">
      <c r="B23" s="1424" t="s">
        <v>2179</v>
      </c>
      <c r="C23" s="585" t="s">
        <v>2410</v>
      </c>
      <c r="D23" s="934" t="str">
        <f>IF(B23="NO","",IF(E23="","",Modules!J27))</f>
        <v>100%</v>
      </c>
      <c r="E23" s="10" t="str">
        <f>IF($Q$3=Admin!$D$69,Admin!$D$69,"")</f>
        <v>EUR</v>
      </c>
      <c r="F23" s="710">
        <f>IF(B23="NO","",IF(E23="","",IF(Cotations!$CW$6=0,0,Cotations!$CW$7)))</f>
        <v>0</v>
      </c>
      <c r="G23" s="10" t="str">
        <f>IF(B23="NO","",IF(E23="","",Modules!$F$39))</f>
        <v>All Crew members, except day workers</v>
      </c>
      <c r="H23" s="10"/>
      <c r="I23" s="10"/>
      <c r="J23" s="10"/>
      <c r="K23" s="10"/>
      <c r="L23" s="1421" t="str">
        <f>IF(B23="NO","",IF(M23="","",IF(Modules!$J$56=0,"")))</f>
        <v/>
      </c>
      <c r="M23" s="10" t="str">
        <f>IF(Admin!$D$95="","",IF($Q$3=Admin!$D$95,Admin!$D$95,""))</f>
        <v/>
      </c>
      <c r="N23" s="581"/>
      <c r="O23" s="1867" t="str">
        <f>IF(B23="NO","",IF(M23="","",IF(L23="","",Modules!$F$68)))</f>
        <v/>
      </c>
      <c r="P23" s="1867"/>
      <c r="Q23" s="1868"/>
      <c r="R23" s="581"/>
      <c r="S23" s="581"/>
      <c r="T23" s="586" t="str">
        <f>IF(NAMES!$B$10=FALSE,IF(Source!$J$2="",Source!$I$1,Source!$J$1),"Renewal date")</f>
        <v>Renewal date</v>
      </c>
      <c r="U23" s="586">
        <f>IF(LISTES!$A$17=3,Admin!E5,IF(Source!$J$2="",Source!$I$2,Source!$J$2))</f>
        <v>43050</v>
      </c>
      <c r="V23" s="10"/>
      <c r="W23" s="10"/>
      <c r="X23" s="638"/>
    </row>
    <row r="24" spans="1:38" ht="12.75" customHeight="1">
      <c r="B24" s="1027" t="s">
        <v>2179</v>
      </c>
      <c r="C24" s="639" t="s">
        <v>2263</v>
      </c>
      <c r="D24" s="1381" t="str">
        <f>IF(B24="NO","",IF(E24="","",Modules!K27))</f>
        <v>100%</v>
      </c>
      <c r="E24" s="555" t="str">
        <f>IF($Q$3=Admin!$D$69,Admin!$D$69,"")</f>
        <v>EUR</v>
      </c>
      <c r="F24" s="708">
        <f>IF(B24="NO","",IF(E24="","",IF(Cotations!$DI$6=0,0,Cotations!$DI$7)))</f>
        <v>0</v>
      </c>
      <c r="G24" s="555" t="str">
        <f>IF(B24="NO","",IF(E24="","",Modules!$F$39))</f>
        <v>All Crew members, except day workers</v>
      </c>
      <c r="H24" s="555"/>
      <c r="I24" s="555"/>
      <c r="J24" s="555"/>
      <c r="K24" s="555"/>
      <c r="L24" s="1426" t="str">
        <f>IF(B24="NO","",IF(M24="","",IF(Modules!$J$56=0,"")))</f>
        <v/>
      </c>
      <c r="M24" s="555" t="str">
        <f>IF(Admin!$D$95="","",IF($Q$3=Admin!$D$95,Admin!$D$95,""))</f>
        <v/>
      </c>
      <c r="N24" s="555"/>
      <c r="O24" s="1864" t="str">
        <f>IF(B24="NO","",IF(M24="","",IF(L24="","",Modules!$F$68)))</f>
        <v/>
      </c>
      <c r="P24" s="1864"/>
      <c r="Q24" s="1865"/>
      <c r="R24" s="640"/>
      <c r="S24" s="641"/>
      <c r="T24" s="641"/>
      <c r="U24" s="555"/>
      <c r="V24" s="555"/>
      <c r="W24" s="555"/>
      <c r="X24" s="642"/>
    </row>
    <row r="25" spans="1:38" ht="13.5" thickBot="1">
      <c r="S25" s="12"/>
      <c r="T25" s="13"/>
      <c r="U25" s="13"/>
      <c r="Z25" s="3" t="s">
        <v>2596</v>
      </c>
      <c r="AA25" s="764">
        <f>Cotations!V11</f>
        <v>7938.903172413794</v>
      </c>
    </row>
    <row r="26" spans="1:38" ht="25.5" customHeight="1" thickBot="1">
      <c r="H26" s="3" t="str">
        <f>"payroll in "&amp;Q3</f>
        <v>payroll in EUR</v>
      </c>
      <c r="L26" s="1869" t="s">
        <v>2426</v>
      </c>
      <c r="M26" s="1870"/>
      <c r="N26" s="1870"/>
      <c r="O26" s="1870"/>
      <c r="P26" s="1870"/>
      <c r="Q26" s="1871"/>
      <c r="R26" s="1869" t="s">
        <v>2427</v>
      </c>
      <c r="S26" s="1870"/>
      <c r="T26" s="1870"/>
      <c r="U26" s="1870"/>
      <c r="V26" s="1870"/>
      <c r="W26" s="1871"/>
      <c r="X26" s="649" t="s">
        <v>2173</v>
      </c>
      <c r="Z26" s="764" t="s">
        <v>597</v>
      </c>
      <c r="AA26" s="764">
        <f>Source!B34</f>
        <v>7938.9032748137997</v>
      </c>
      <c r="AL26" s="649" t="s">
        <v>2173</v>
      </c>
    </row>
    <row r="27" spans="1:38" ht="12" customHeight="1">
      <c r="E27" s="14">
        <f>Cotations!P11</f>
        <v>730</v>
      </c>
      <c r="F27" s="648">
        <f>Cotations!N11</f>
        <v>24</v>
      </c>
      <c r="G27" s="648"/>
      <c r="H27" s="648">
        <f ca="1">Cotations!T11</f>
        <v>120000</v>
      </c>
      <c r="M27" s="15">
        <f>SUBTOTAL(9,M30:M202)</f>
        <v>2908</v>
      </c>
      <c r="N27" s="15"/>
      <c r="O27" s="15">
        <f>SUBTOTAL(9,O30:O202)</f>
        <v>5030.903172413794</v>
      </c>
      <c r="P27" s="15"/>
      <c r="Q27" s="15">
        <f>SUBTOTAL(9,Q30:Q202)</f>
        <v>0</v>
      </c>
      <c r="S27" s="15">
        <f>SUBTOTAL(9,S30:S202)</f>
        <v>0</v>
      </c>
      <c r="T27" s="15"/>
      <c r="U27" s="15">
        <f>SUBTOTAL(9,U30:U202)</f>
        <v>0</v>
      </c>
      <c r="V27" s="15"/>
      <c r="W27" s="15">
        <f>SUBTOTAL(9,W30:W202)</f>
        <v>0</v>
      </c>
      <c r="X27" s="15">
        <f>SUBTOTAL(9,X30:X202)</f>
        <v>7938.903172413794</v>
      </c>
      <c r="Z27" s="3" t="s">
        <v>2597</v>
      </c>
      <c r="AA27" s="3">
        <f ca="1">Cotations!V13</f>
        <v>5030.9031724137931</v>
      </c>
      <c r="AL27" s="15">
        <f>SUBTOTAL(9,W30:W103)</f>
        <v>0</v>
      </c>
    </row>
    <row r="28" spans="1:38" s="632" customFormat="1" ht="30.75" customHeight="1">
      <c r="A28" s="1863" t="s">
        <v>2240</v>
      </c>
      <c r="B28" s="1863" t="s">
        <v>37</v>
      </c>
      <c r="C28" s="1863" t="s">
        <v>2428</v>
      </c>
      <c r="D28" s="1863" t="s">
        <v>2429</v>
      </c>
      <c r="E28" s="1873" t="s">
        <v>46</v>
      </c>
      <c r="F28" s="1873"/>
      <c r="G28" s="696" t="s">
        <v>13</v>
      </c>
      <c r="H28" s="1872" t="s">
        <v>2430</v>
      </c>
      <c r="I28" s="1872" t="s">
        <v>2554</v>
      </c>
      <c r="J28" s="1872" t="s">
        <v>2555</v>
      </c>
      <c r="K28" s="936" t="s">
        <v>2670</v>
      </c>
      <c r="L28" s="1863" t="s">
        <v>2746</v>
      </c>
      <c r="M28" s="1863"/>
      <c r="N28" s="1863" t="s">
        <v>2432</v>
      </c>
      <c r="O28" s="1863"/>
      <c r="P28" s="1863" t="s">
        <v>2433</v>
      </c>
      <c r="Q28" s="1863"/>
      <c r="R28" s="1863" t="s">
        <v>2746</v>
      </c>
      <c r="S28" s="1863"/>
      <c r="T28" s="1863" t="s">
        <v>2432</v>
      </c>
      <c r="U28" s="1863"/>
      <c r="V28" s="1863" t="s">
        <v>2433</v>
      </c>
      <c r="W28" s="1863"/>
      <c r="AE28" s="1863" t="s">
        <v>2431</v>
      </c>
      <c r="AF28" s="1863"/>
      <c r="AG28" s="1863"/>
      <c r="AH28" s="1863" t="s">
        <v>2432</v>
      </c>
      <c r="AI28" s="1863"/>
      <c r="AJ28" s="1863"/>
      <c r="AL28" s="1855"/>
    </row>
    <row r="29" spans="1:38" s="632" customFormat="1">
      <c r="A29" s="1863"/>
      <c r="B29" s="1863"/>
      <c r="C29" s="1863"/>
      <c r="D29" s="1863"/>
      <c r="E29" s="694" t="s">
        <v>38</v>
      </c>
      <c r="F29" s="694" t="s">
        <v>39</v>
      </c>
      <c r="G29" s="694"/>
      <c r="H29" s="1872"/>
      <c r="I29" s="1872"/>
      <c r="J29" s="1872"/>
      <c r="K29" s="936"/>
      <c r="L29" s="1863"/>
      <c r="M29" s="1863"/>
      <c r="N29" s="1863"/>
      <c r="O29" s="1863"/>
      <c r="P29" s="1863"/>
      <c r="Q29" s="1863"/>
      <c r="R29" s="1863"/>
      <c r="S29" s="1863"/>
      <c r="T29" s="1863"/>
      <c r="U29" s="1863"/>
      <c r="V29" s="1863"/>
      <c r="W29" s="1863"/>
      <c r="AE29" s="1863"/>
      <c r="AF29" s="1863"/>
      <c r="AG29" s="1863"/>
      <c r="AH29" s="1863"/>
      <c r="AI29" s="1863"/>
      <c r="AJ29" s="1863"/>
      <c r="AL29" s="1855"/>
    </row>
    <row r="30" spans="1:38" s="11" customFormat="1" ht="24.95" hidden="1" customHeight="1">
      <c r="A30" s="11" t="str">
        <f>IF(Cotations!C15=FALSE,"",Cotations!E15)</f>
        <v/>
      </c>
      <c r="B30" s="11" t="str">
        <f>IF(Cotations!C15=FALSE,"",Cotations!G15)</f>
        <v/>
      </c>
      <c r="C30" s="11" t="str">
        <f>IF($B30="","",IF(LISTES!$A$17=3,Crewlist!G15,Detail!L15))</f>
        <v/>
      </c>
      <c r="D30" s="11" t="str">
        <f>IF($B30="","",Cotations!I15)</f>
        <v/>
      </c>
      <c r="E30" s="17" t="str">
        <f>IF($B30="","",Cotations!P15)</f>
        <v/>
      </c>
      <c r="F30" s="17" t="str">
        <f>IF($B30="","",Cotations!N15)</f>
        <v/>
      </c>
      <c r="G30" s="17" t="str">
        <f>IF($B30="","",Cotations!U15)</f>
        <v/>
      </c>
      <c r="H30" s="17" t="str">
        <f>IF($B30="","",Calcul!X15)</f>
        <v/>
      </c>
      <c r="I30" s="11" t="str">
        <f>IF($B30="","",Calcul!ED15)</f>
        <v/>
      </c>
      <c r="J30" s="11" t="str">
        <f>IF($B30="","",Calcul!ID15)</f>
        <v/>
      </c>
      <c r="K30" s="1300" t="str">
        <f>IF($B30="","",Calcul!AH15)</f>
        <v/>
      </c>
      <c r="L30" s="646" t="str">
        <f>IF($B30="","",IF(ALLTHESAME=TRUE,Cotations!$AM$4,Cotations!AM15))</f>
        <v/>
      </c>
      <c r="M30" s="644" t="str">
        <f>IF($B30="","",(Calcul!AJ15+Calcul!AQ15)*L30)</f>
        <v/>
      </c>
      <c r="N30" s="646" t="str">
        <f>IF($B30="","",IF(ALLTHESAME=TRUE,Cotations!$BH$4,Cotations!BH15))</f>
        <v/>
      </c>
      <c r="O30" s="644" t="str">
        <f>IF($B30="","",IF(Cotations!$BA$6=0,(Calcul!AK15*N30),Cotations!$Z$4*E30))</f>
        <v/>
      </c>
      <c r="P30" s="646">
        <v>0</v>
      </c>
      <c r="Q30" s="644" t="str">
        <f>IF($B30="","",Calcul!AG15*P30)</f>
        <v/>
      </c>
      <c r="R30" s="646" t="str">
        <f>IF($B30="","",100%-L30)</f>
        <v/>
      </c>
      <c r="S30" s="644" t="str">
        <f>IF($B30="","",((Calcul!AS15*R30)+Calcul!AL15)*R30)</f>
        <v/>
      </c>
      <c r="T30" s="646" t="str">
        <f>IF($B30="","",Cotations!BI15)</f>
        <v/>
      </c>
      <c r="U30" s="644" t="str">
        <f>IF($B30="","",(Calcul!AT15+Calcul!AL15)*T30)</f>
        <v/>
      </c>
      <c r="V30" s="646">
        <v>0</v>
      </c>
      <c r="W30" s="644" t="str">
        <f>IF($B30="","",Calcul!AG15*V30)</f>
        <v/>
      </c>
      <c r="X30" s="650" t="str">
        <f>IF($B30="","",M30+O30+Q30+S30+U30+W30)</f>
        <v/>
      </c>
      <c r="AF30" s="646"/>
      <c r="AG30" s="644"/>
      <c r="AI30" s="646" t="str">
        <f t="shared" ref="AI30:AI71" si="0">IF($B30="","",100%-N30)</f>
        <v/>
      </c>
      <c r="AJ30" s="644" t="str">
        <f>IF($B30="","",)</f>
        <v/>
      </c>
      <c r="AL30" s="644" t="str">
        <f t="shared" ref="AL30:AL70" si="1">IF($B30="","",M30+O30+AG30+AJ30)</f>
        <v/>
      </c>
    </row>
    <row r="31" spans="1:38" ht="24.95" hidden="1" customHeight="1">
      <c r="A31" s="11" t="str">
        <f>IF(Cotations!C16=FALSE,"",Cotations!E16)</f>
        <v/>
      </c>
      <c r="B31" s="11" t="str">
        <f>IF(Cotations!C16=FALSE,"",Cotations!G16)</f>
        <v/>
      </c>
      <c r="C31" s="11" t="str">
        <f>IF($B31="","",IF(LISTES!$A$17=3,Crewlist!G16,Detail!L16))</f>
        <v/>
      </c>
      <c r="D31" s="11" t="str">
        <f>IF($B31="","",Cotations!I16)</f>
        <v/>
      </c>
      <c r="E31" s="17" t="str">
        <f>IF($B31="","",Cotations!P16)</f>
        <v/>
      </c>
      <c r="F31" s="17" t="str">
        <f>IF($B31="","",Cotations!N16)</f>
        <v/>
      </c>
      <c r="G31" s="17" t="str">
        <f>IF($B31="","",Cotations!U16)</f>
        <v/>
      </c>
      <c r="H31" s="17" t="str">
        <f>IF($B31="","",Calcul!X16)</f>
        <v/>
      </c>
      <c r="I31" s="11" t="str">
        <f>IF($B31="","",Calcul!ED16)</f>
        <v/>
      </c>
      <c r="J31" s="11" t="str">
        <f>IF($B31="","",Calcul!ID16)</f>
        <v/>
      </c>
      <c r="K31" s="16" t="str">
        <f>IF($B31="","",Calcul!AH16)</f>
        <v/>
      </c>
      <c r="L31" s="646" t="str">
        <f>IF($B31="","",IF(ALLTHESAME=TRUE,Cotations!$AM$4,Cotations!AM16))</f>
        <v/>
      </c>
      <c r="M31" s="644" t="str">
        <f>IF($B31="","",(Calcul!AJ16+Calcul!AQ16)*L31)</f>
        <v/>
      </c>
      <c r="N31" s="646" t="str">
        <f>IF($B31="","",IF(ALLTHESAME=TRUE,Cotations!$BH$4,Cotations!BH16))</f>
        <v/>
      </c>
      <c r="O31" s="644" t="str">
        <f>IF($B31="","",IF(Cotations!$BA$6=0,(Calcul!AK16*N31),Cotations!$Z$4*E31))</f>
        <v/>
      </c>
      <c r="P31" s="646">
        <v>0</v>
      </c>
      <c r="Q31" s="644" t="str">
        <f>IF($B31="","",Calcul!AG16*P31)</f>
        <v/>
      </c>
      <c r="R31" s="646" t="str">
        <f t="shared" ref="R31:R32" si="2">IF($B31="","",100%-L31)</f>
        <v/>
      </c>
      <c r="S31" s="644" t="str">
        <f>IF($B31="","",((Calcul!AS16*R31)+Calcul!AL16)*R31)</f>
        <v/>
      </c>
      <c r="T31" s="646" t="str">
        <f>IF($B31="","",Cotations!BI16)</f>
        <v/>
      </c>
      <c r="U31" s="644" t="str">
        <f>IF($B31="","",(Calcul!AT16+Calcul!AL16)*T31)</f>
        <v/>
      </c>
      <c r="V31" s="646">
        <v>0</v>
      </c>
      <c r="W31" s="644" t="str">
        <f>IF($B31="","",Calcul!AG16*V31)</f>
        <v/>
      </c>
      <c r="X31" s="650" t="str">
        <f t="shared" ref="X31:X94" si="3">IF($B31="","",M31+O31+Q31+S31+U31+W31)</f>
        <v/>
      </c>
      <c r="AE31" s="11"/>
      <c r="AF31" s="646" t="str">
        <f t="shared" ref="AF31:AF71" si="4">IF($B31="","",100%-L31)</f>
        <v/>
      </c>
      <c r="AG31" s="644" t="e">
        <v>#VALUE!</v>
      </c>
      <c r="AH31" s="11"/>
      <c r="AI31" s="646" t="str">
        <f t="shared" si="0"/>
        <v/>
      </c>
      <c r="AJ31" s="644" t="str">
        <f>IF($B31="","",SUM(#REF!)*AI31)</f>
        <v/>
      </c>
      <c r="AL31" s="644" t="str">
        <f t="shared" si="1"/>
        <v/>
      </c>
    </row>
    <row r="32" spans="1:38" ht="24.95" hidden="1" customHeight="1">
      <c r="A32" s="11" t="str">
        <f>IF(Cotations!C17=FALSE,"",Cotations!E17)</f>
        <v/>
      </c>
      <c r="B32" s="11" t="str">
        <f>IF(Cotations!C17=FALSE,"",Cotations!G17)</f>
        <v/>
      </c>
      <c r="C32" s="11" t="str">
        <f>IF($B32="","",IF(LISTES!$A$17=3,Crewlist!G17,Detail!L17))</f>
        <v/>
      </c>
      <c r="D32" s="11" t="str">
        <f>IF($B32="","",Cotations!I17)</f>
        <v/>
      </c>
      <c r="E32" s="17" t="str">
        <f>IF($B32="","",Cotations!P17)</f>
        <v/>
      </c>
      <c r="F32" s="17" t="str">
        <f>IF($B32="","",Cotations!N17)</f>
        <v/>
      </c>
      <c r="G32" s="17" t="str">
        <f>IF($B32="","",Cotations!U17)</f>
        <v/>
      </c>
      <c r="H32" s="17" t="str">
        <f>IF($B32="","",Calcul!X17)</f>
        <v/>
      </c>
      <c r="I32" s="11" t="str">
        <f>IF($B32="","",Calcul!ED17)</f>
        <v/>
      </c>
      <c r="J32" s="11" t="str">
        <f>IF($B32="","",Calcul!ID17)</f>
        <v/>
      </c>
      <c r="K32" s="16" t="str">
        <f>IF($B32="","",Calcul!AH17)</f>
        <v/>
      </c>
      <c r="L32" s="646" t="str">
        <f>IF($B32="","",IF(ALLTHESAME=TRUE,Cotations!$AM$4,Cotations!AM17))</f>
        <v/>
      </c>
      <c r="M32" s="644" t="str">
        <f>IF($B32="","",(Calcul!AJ17+Calcul!AQ17)*L32)</f>
        <v/>
      </c>
      <c r="N32" s="646" t="str">
        <f>IF($B32="","",IF(ALLTHESAME=TRUE,Cotations!$BH$4,Cotations!BH17))</f>
        <v/>
      </c>
      <c r="O32" s="644" t="str">
        <f>IF($B32="","",IF(Cotations!$BA$6=0,(Calcul!AK17*N32),Cotations!$Z$4*E32))</f>
        <v/>
      </c>
      <c r="P32" s="646">
        <v>0</v>
      </c>
      <c r="Q32" s="644" t="str">
        <f>IF($B32="","",Calcul!AG17*P32)</f>
        <v/>
      </c>
      <c r="R32" s="646" t="str">
        <f t="shared" si="2"/>
        <v/>
      </c>
      <c r="S32" s="644" t="str">
        <f>IF($B32="","",((Calcul!AS17*R32)+Calcul!AL17)*R32)</f>
        <v/>
      </c>
      <c r="T32" s="646" t="str">
        <f>IF($B32="","",Cotations!BI17)</f>
        <v/>
      </c>
      <c r="U32" s="644" t="str">
        <f>IF($B32="","",(Calcul!AT17+Calcul!AL17)*T32)</f>
        <v/>
      </c>
      <c r="V32" s="646">
        <v>0</v>
      </c>
      <c r="W32" s="644" t="str">
        <f>IF($B32="","",Calcul!AG17*V32)</f>
        <v/>
      </c>
      <c r="X32" s="650" t="str">
        <f t="shared" si="3"/>
        <v/>
      </c>
      <c r="AE32" s="11"/>
      <c r="AF32" s="646" t="str">
        <f t="shared" si="4"/>
        <v/>
      </c>
      <c r="AG32" s="644" t="s">
        <v>2243</v>
      </c>
      <c r="AH32" s="11"/>
      <c r="AI32" s="646" t="str">
        <f t="shared" si="0"/>
        <v/>
      </c>
      <c r="AJ32" s="644" t="str">
        <f>IF($B32="","",SUM(#REF!)*AI32)</f>
        <v/>
      </c>
      <c r="AL32" s="644" t="str">
        <f t="shared" si="1"/>
        <v/>
      </c>
    </row>
    <row r="33" spans="1:38" ht="24.95" hidden="1" customHeight="1">
      <c r="A33" s="11" t="str">
        <f>IF(Cotations!C18=FALSE,"",Cotations!E18)</f>
        <v/>
      </c>
      <c r="B33" s="11" t="str">
        <f>IF(Cotations!C18=FALSE,"",Cotations!G18)</f>
        <v/>
      </c>
      <c r="C33" s="11" t="str">
        <f>IF($B33="","",IF(LISTES!$A$17=3,Crewlist!G18,Detail!L18))</f>
        <v/>
      </c>
      <c r="D33" s="11" t="str">
        <f>IF($B33="","",Cotations!I18)</f>
        <v/>
      </c>
      <c r="E33" s="17" t="str">
        <f>IF($B33="","",Cotations!P18)</f>
        <v/>
      </c>
      <c r="F33" s="17" t="str">
        <f>IF($B33="","",Cotations!N18)</f>
        <v/>
      </c>
      <c r="G33" s="17" t="str">
        <f>IF($B33="","",Cotations!U18)</f>
        <v/>
      </c>
      <c r="H33" s="17" t="str">
        <f>IF($B33="","",Calcul!X18)</f>
        <v/>
      </c>
      <c r="I33" s="11" t="str">
        <f>IF($B33="","",Calcul!ED18)</f>
        <v/>
      </c>
      <c r="J33" s="11" t="str">
        <f>IF($B33="","",Calcul!ID18)</f>
        <v/>
      </c>
      <c r="K33" s="16" t="str">
        <f>IF($B33="","",Calcul!AH18)</f>
        <v/>
      </c>
      <c r="L33" s="646" t="str">
        <f>IF($B33="","",IF(ALLTHESAME=TRUE,Cotations!$AM$4,Cotations!AM18))</f>
        <v/>
      </c>
      <c r="M33" s="644" t="str">
        <f>IF($B33="","",(Calcul!AJ18+Calcul!AQ18)*L33)</f>
        <v/>
      </c>
      <c r="N33" s="646" t="str">
        <f>IF($B33="","",IF(ALLTHESAME=TRUE,Cotations!$BH$4,Cotations!BH18))</f>
        <v/>
      </c>
      <c r="O33" s="644" t="str">
        <f>IF($B33="","",IF(Cotations!$BA$6=0,(Calcul!AK18*N33),Cotations!$Z$4*E33))</f>
        <v/>
      </c>
      <c r="P33" s="646">
        <v>0</v>
      </c>
      <c r="Q33" s="644" t="str">
        <f>IF($B33="","",Calcul!AG18*P33)</f>
        <v/>
      </c>
      <c r="R33" s="646" t="str">
        <f t="shared" ref="R33:R96" si="5">IF($B33="","",100%-L33)</f>
        <v/>
      </c>
      <c r="S33" s="644" t="str">
        <f>IF($B33="","",((Calcul!AS18*R33)+Calcul!AL18)*R33)</f>
        <v/>
      </c>
      <c r="T33" s="646" t="str">
        <f>IF($B33="","",Cotations!BI18)</f>
        <v/>
      </c>
      <c r="U33" s="644" t="str">
        <f>IF($B33="","",(Calcul!AT18+Calcul!AL18)*T33)</f>
        <v/>
      </c>
      <c r="V33" s="646">
        <v>0</v>
      </c>
      <c r="W33" s="644" t="str">
        <f>IF($B33="","",Calcul!AG18*V33)</f>
        <v/>
      </c>
      <c r="X33" s="650" t="str">
        <f t="shared" si="3"/>
        <v/>
      </c>
      <c r="AE33" s="11"/>
      <c r="AF33" s="646" t="str">
        <f t="shared" si="4"/>
        <v/>
      </c>
      <c r="AG33" s="644" t="s">
        <v>2243</v>
      </c>
      <c r="AH33" s="11"/>
      <c r="AI33" s="646" t="str">
        <f t="shared" si="0"/>
        <v/>
      </c>
      <c r="AJ33" s="644" t="str">
        <f>IF($B33="","",SUM(#REF!)*AI33)</f>
        <v/>
      </c>
      <c r="AL33" s="644" t="str">
        <f t="shared" si="1"/>
        <v/>
      </c>
    </row>
    <row r="34" spans="1:38" ht="24.95" hidden="1" customHeight="1">
      <c r="A34" s="11" t="str">
        <f>IF(Cotations!C19=FALSE,"",Cotations!E19)</f>
        <v/>
      </c>
      <c r="B34" s="11" t="str">
        <f>IF(Cotations!C19=FALSE,"",Cotations!G19)</f>
        <v/>
      </c>
      <c r="C34" s="11" t="str">
        <f>IF($B34="","",IF(LISTES!$A$17=3,Crewlist!G19,Detail!L19))</f>
        <v/>
      </c>
      <c r="D34" s="11" t="str">
        <f>IF($B34="","",Cotations!I19)</f>
        <v/>
      </c>
      <c r="E34" s="17" t="str">
        <f>IF($B34="","",Cotations!P19)</f>
        <v/>
      </c>
      <c r="F34" s="17" t="str">
        <f>IF($B34="","",Cotations!N19)</f>
        <v/>
      </c>
      <c r="G34" s="17" t="str">
        <f>IF($B34="","",Cotations!U19)</f>
        <v/>
      </c>
      <c r="H34" s="17" t="str">
        <f>IF($B34="","",Calcul!X19)</f>
        <v/>
      </c>
      <c r="I34" s="11" t="str">
        <f>IF($B34="","",Calcul!ED19)</f>
        <v/>
      </c>
      <c r="J34" s="11" t="str">
        <f>IF($B34="","",Calcul!ID19)</f>
        <v/>
      </c>
      <c r="K34" s="16" t="str">
        <f>IF($B34="","",Calcul!AH19)</f>
        <v/>
      </c>
      <c r="L34" s="646" t="str">
        <f>IF($B34="","",IF(ALLTHESAME=TRUE,Cotations!$AM$4,Cotations!AM19))</f>
        <v/>
      </c>
      <c r="M34" s="644" t="str">
        <f>IF($B34="","",(Calcul!AJ19+Calcul!AQ19)*L34)</f>
        <v/>
      </c>
      <c r="N34" s="646" t="str">
        <f>IF($B34="","",IF(ALLTHESAME=TRUE,Cotations!$BH$4,Cotations!BH19))</f>
        <v/>
      </c>
      <c r="O34" s="644" t="str">
        <f>IF($B34="","",IF(Cotations!$BA$6=0,(Calcul!AK19*N34),Cotations!$Z$4*E34))</f>
        <v/>
      </c>
      <c r="P34" s="646">
        <v>0</v>
      </c>
      <c r="Q34" s="644" t="str">
        <f>IF($B34="","",Calcul!AG19*P34)</f>
        <v/>
      </c>
      <c r="R34" s="646" t="str">
        <f t="shared" si="5"/>
        <v/>
      </c>
      <c r="S34" s="644" t="str">
        <f>IF($B34="","",((Calcul!AS19*R34)+Calcul!AL19)*R34)</f>
        <v/>
      </c>
      <c r="T34" s="646" t="str">
        <f>IF($B34="","",Cotations!BI19)</f>
        <v/>
      </c>
      <c r="U34" s="644" t="str">
        <f>IF($B34="","",(Calcul!AT19+Calcul!AL19)*T34)</f>
        <v/>
      </c>
      <c r="V34" s="646">
        <v>0</v>
      </c>
      <c r="W34" s="644" t="str">
        <f>IF($B34="","",Calcul!AG19*V34)</f>
        <v/>
      </c>
      <c r="X34" s="650" t="str">
        <f t="shared" si="3"/>
        <v/>
      </c>
      <c r="AE34" s="11"/>
      <c r="AF34" s="646" t="str">
        <f t="shared" si="4"/>
        <v/>
      </c>
      <c r="AG34" s="644" t="s">
        <v>2243</v>
      </c>
      <c r="AH34" s="11"/>
      <c r="AI34" s="646" t="str">
        <f t="shared" si="0"/>
        <v/>
      </c>
      <c r="AJ34" s="644" t="str">
        <f>IF($B34="","",SUM(#REF!)*AI34)</f>
        <v/>
      </c>
      <c r="AL34" s="644" t="str">
        <f t="shared" si="1"/>
        <v/>
      </c>
    </row>
    <row r="35" spans="1:38" ht="24.95" hidden="1" customHeight="1">
      <c r="A35" s="11" t="str">
        <f>IF(Cotations!C20=FALSE,"",Cotations!E20)</f>
        <v/>
      </c>
      <c r="B35" s="11" t="str">
        <f>IF(Cotations!C20=FALSE,"",Cotations!G20)</f>
        <v/>
      </c>
      <c r="C35" s="11" t="str">
        <f>IF($B35="","",IF(LISTES!$A$17=3,Crewlist!G20,Detail!L20))</f>
        <v/>
      </c>
      <c r="D35" s="11" t="str">
        <f>IF($B35="","",Cotations!I20)</f>
        <v/>
      </c>
      <c r="E35" s="17" t="str">
        <f>IF($B35="","",Cotations!P20)</f>
        <v/>
      </c>
      <c r="F35" s="17" t="str">
        <f>IF($B35="","",Cotations!N20)</f>
        <v/>
      </c>
      <c r="G35" s="17" t="str">
        <f>IF($B35="","",Cotations!U20)</f>
        <v/>
      </c>
      <c r="H35" s="17" t="str">
        <f>IF($B35="","",Calcul!X20)</f>
        <v/>
      </c>
      <c r="I35" s="11" t="str">
        <f>IF($B35="","",Calcul!ED20)</f>
        <v/>
      </c>
      <c r="J35" s="11" t="str">
        <f>IF($B35="","",Calcul!ID20)</f>
        <v/>
      </c>
      <c r="K35" s="16" t="str">
        <f>IF($B35="","",Calcul!AH20)</f>
        <v/>
      </c>
      <c r="L35" s="646" t="str">
        <f>IF($B35="","",IF(ALLTHESAME=TRUE,Cotations!$AM$4,Cotations!AM20))</f>
        <v/>
      </c>
      <c r="M35" s="644" t="str">
        <f>IF($B35="","",(Calcul!AJ20+Calcul!AQ20)*L35)</f>
        <v/>
      </c>
      <c r="N35" s="646" t="str">
        <f>IF($B35="","",IF(ALLTHESAME=TRUE,Cotations!$BH$4,Cotations!BH20))</f>
        <v/>
      </c>
      <c r="O35" s="644" t="str">
        <f>IF($B35="","",IF(Cotations!$BA$6=0,(Calcul!AK20*N35),Cotations!$Z$4*E35))</f>
        <v/>
      </c>
      <c r="P35" s="646">
        <v>0</v>
      </c>
      <c r="Q35" s="644" t="str">
        <f>IF($B35="","",Calcul!AG20*P35)</f>
        <v/>
      </c>
      <c r="R35" s="646" t="str">
        <f t="shared" si="5"/>
        <v/>
      </c>
      <c r="S35" s="644" t="str">
        <f>IF($B35="","",((Calcul!AS20*R35)+Calcul!AL20)*R35)</f>
        <v/>
      </c>
      <c r="T35" s="646" t="str">
        <f>IF($B35="","",Cotations!BI20)</f>
        <v/>
      </c>
      <c r="U35" s="644" t="str">
        <f>IF($B35="","",(Calcul!AT20+Calcul!AL20)*T35)</f>
        <v/>
      </c>
      <c r="V35" s="646">
        <v>0</v>
      </c>
      <c r="W35" s="644" t="str">
        <f>IF($B35="","",Calcul!AG20*V35)</f>
        <v/>
      </c>
      <c r="X35" s="650" t="str">
        <f t="shared" si="3"/>
        <v/>
      </c>
      <c r="AE35" s="11"/>
      <c r="AF35" s="646" t="str">
        <f t="shared" si="4"/>
        <v/>
      </c>
      <c r="AG35" s="644" t="s">
        <v>2243</v>
      </c>
      <c r="AH35" s="11"/>
      <c r="AI35" s="646" t="str">
        <f t="shared" si="0"/>
        <v/>
      </c>
      <c r="AJ35" s="644" t="str">
        <f>IF($B35="","",SUM(#REF!)*AI35)</f>
        <v/>
      </c>
      <c r="AL35" s="644" t="str">
        <f t="shared" si="1"/>
        <v/>
      </c>
    </row>
    <row r="36" spans="1:38" ht="24.95" hidden="1" customHeight="1">
      <c r="A36" s="11" t="str">
        <f>IF(Cotations!C21=FALSE,"",Cotations!E21)</f>
        <v/>
      </c>
      <c r="B36" s="11" t="str">
        <f>IF(Cotations!C21=FALSE,"",Cotations!G21)</f>
        <v/>
      </c>
      <c r="C36" s="11" t="str">
        <f>IF($B36="","",IF(LISTES!$A$17=3,Crewlist!G21,Detail!L21))</f>
        <v/>
      </c>
      <c r="D36" s="11" t="str">
        <f>IF($B36="","",Cotations!I21)</f>
        <v/>
      </c>
      <c r="E36" s="17" t="str">
        <f>IF($B36="","",Cotations!P21)</f>
        <v/>
      </c>
      <c r="F36" s="17" t="str">
        <f>IF($B36="","",Cotations!N21)</f>
        <v/>
      </c>
      <c r="G36" s="17" t="str">
        <f>IF($B36="","",Cotations!U21)</f>
        <v/>
      </c>
      <c r="H36" s="17" t="str">
        <f>IF($B36="","",Calcul!X21)</f>
        <v/>
      </c>
      <c r="I36" s="11" t="str">
        <f>IF($B36="","",Calcul!ED21)</f>
        <v/>
      </c>
      <c r="J36" s="11" t="str">
        <f>IF($B36="","",Calcul!ID21)</f>
        <v/>
      </c>
      <c r="K36" s="16" t="str">
        <f>IF($B36="","",Calcul!AH21)</f>
        <v/>
      </c>
      <c r="L36" s="646" t="str">
        <f>IF($B36="","",IF(ALLTHESAME=TRUE,Cotations!$AM$4,Cotations!AM21))</f>
        <v/>
      </c>
      <c r="M36" s="644" t="str">
        <f>IF($B36="","",(Calcul!AJ21+Calcul!AQ21)*L36)</f>
        <v/>
      </c>
      <c r="N36" s="646" t="str">
        <f>IF($B36="","",IF(ALLTHESAME=TRUE,Cotations!$BH$4,Cotations!BH21))</f>
        <v/>
      </c>
      <c r="O36" s="644" t="str">
        <f>IF($B36="","",IF(Cotations!$BA$6=0,(Calcul!AK21*N36),Cotations!$Z$4*E36))</f>
        <v/>
      </c>
      <c r="P36" s="646">
        <v>0</v>
      </c>
      <c r="Q36" s="644" t="str">
        <f>IF($B36="","",Calcul!AG21*P36)</f>
        <v/>
      </c>
      <c r="R36" s="646" t="str">
        <f t="shared" si="5"/>
        <v/>
      </c>
      <c r="S36" s="644" t="str">
        <f>IF($B36="","",((Calcul!AS21*R36)+Calcul!AL21)*R36)</f>
        <v/>
      </c>
      <c r="T36" s="646" t="str">
        <f>IF($B36="","",Cotations!BI21)</f>
        <v/>
      </c>
      <c r="U36" s="644" t="str">
        <f>IF($B36="","",(Calcul!AT21+Calcul!AL21)*T36)</f>
        <v/>
      </c>
      <c r="V36" s="646">
        <v>0</v>
      </c>
      <c r="W36" s="644" t="str">
        <f>IF($B36="","",Calcul!AG21*V36)</f>
        <v/>
      </c>
      <c r="X36" s="650" t="str">
        <f t="shared" si="3"/>
        <v/>
      </c>
      <c r="AE36" s="11"/>
      <c r="AF36" s="646" t="str">
        <f t="shared" si="4"/>
        <v/>
      </c>
      <c r="AG36" s="644" t="s">
        <v>2243</v>
      </c>
      <c r="AH36" s="11"/>
      <c r="AI36" s="646" t="str">
        <f t="shared" si="0"/>
        <v/>
      </c>
      <c r="AJ36" s="644" t="str">
        <f>IF($B36="","",SUM(#REF!)*AI36)</f>
        <v/>
      </c>
      <c r="AL36" s="644" t="str">
        <f t="shared" si="1"/>
        <v/>
      </c>
    </row>
    <row r="37" spans="1:38" ht="24.95" hidden="1" customHeight="1">
      <c r="A37" s="11" t="str">
        <f>IF(Cotations!C22=FALSE,"",Cotations!E22)</f>
        <v/>
      </c>
      <c r="B37" s="11" t="str">
        <f>IF(Cotations!C22=FALSE,"",Cotations!G22)</f>
        <v/>
      </c>
      <c r="C37" s="11" t="str">
        <f>IF($B37="","",IF(LISTES!$A$17=3,Crewlist!G22,Detail!L22))</f>
        <v/>
      </c>
      <c r="D37" s="11" t="str">
        <f>IF($B37="","",Cotations!I22)</f>
        <v/>
      </c>
      <c r="E37" s="17" t="str">
        <f>IF($B37="","",Cotations!P22)</f>
        <v/>
      </c>
      <c r="F37" s="17" t="str">
        <f>IF($B37="","",Cotations!N22)</f>
        <v/>
      </c>
      <c r="G37" s="17" t="str">
        <f>IF($B37="","",Cotations!U22)</f>
        <v/>
      </c>
      <c r="H37" s="17" t="str">
        <f>IF($B37="","",Calcul!X22)</f>
        <v/>
      </c>
      <c r="I37" s="11" t="str">
        <f>IF($B37="","",Calcul!ED22)</f>
        <v/>
      </c>
      <c r="J37" s="11" t="str">
        <f>IF($B37="","",Calcul!ID22)</f>
        <v/>
      </c>
      <c r="K37" s="16" t="str">
        <f>IF($B37="","",Calcul!AH22)</f>
        <v/>
      </c>
      <c r="L37" s="646" t="str">
        <f>IF($B37="","",IF(ALLTHESAME=TRUE,Cotations!$AM$4,Cotations!AM22))</f>
        <v/>
      </c>
      <c r="M37" s="644" t="str">
        <f>IF($B37="","",(Calcul!AJ22+Calcul!AQ22)*L37)</f>
        <v/>
      </c>
      <c r="N37" s="646" t="str">
        <f>IF($B37="","",IF(ALLTHESAME=TRUE,Cotations!$BH$4,Cotations!BH22))</f>
        <v/>
      </c>
      <c r="O37" s="644" t="str">
        <f>IF($B37="","",IF(Cotations!$BA$6=0,(Calcul!AK22*N37),Cotations!$Z$4*E37))</f>
        <v/>
      </c>
      <c r="P37" s="646">
        <v>0</v>
      </c>
      <c r="Q37" s="644" t="str">
        <f>IF($B37="","",Calcul!AG22*P37)</f>
        <v/>
      </c>
      <c r="R37" s="646" t="str">
        <f t="shared" si="5"/>
        <v/>
      </c>
      <c r="S37" s="644" t="str">
        <f>IF($B37="","",((Calcul!AS22*R37)+Calcul!AL22)*R37)</f>
        <v/>
      </c>
      <c r="T37" s="646" t="str">
        <f>IF($B37="","",Cotations!BI22)</f>
        <v/>
      </c>
      <c r="U37" s="644" t="str">
        <f>IF($B37="","",(Calcul!AT22+Calcul!AL22)*T37)</f>
        <v/>
      </c>
      <c r="V37" s="646">
        <v>0</v>
      </c>
      <c r="W37" s="644" t="str">
        <f>IF($B37="","",Calcul!AG22*V37)</f>
        <v/>
      </c>
      <c r="X37" s="650" t="str">
        <f t="shared" si="3"/>
        <v/>
      </c>
      <c r="AE37" s="11"/>
      <c r="AF37" s="646" t="str">
        <f t="shared" si="4"/>
        <v/>
      </c>
      <c r="AG37" s="644" t="s">
        <v>2243</v>
      </c>
      <c r="AH37" s="11"/>
      <c r="AI37" s="646" t="str">
        <f t="shared" si="0"/>
        <v/>
      </c>
      <c r="AJ37" s="644" t="str">
        <f>IF($B37="","",SUM(#REF!)*AI37)</f>
        <v/>
      </c>
      <c r="AL37" s="644" t="str">
        <f t="shared" si="1"/>
        <v/>
      </c>
    </row>
    <row r="38" spans="1:38" ht="24.95" customHeight="1">
      <c r="A38" s="11" t="str">
        <f>IF(Cotations!C23=FALSE,"",Cotations!E23)</f>
        <v>2016-2017!</v>
      </c>
      <c r="B38" s="11">
        <f>IF(Cotations!C23=FALSE,"",Cotations!G23)</f>
        <v>131262</v>
      </c>
      <c r="C38" s="11" t="str">
        <f>IF($B38="","",IF(LISTES!$A$17=3,Crewlist!G23,Detail!L23))</f>
        <v>MURIEL</v>
      </c>
      <c r="D38" s="11" t="str">
        <f>IF($B38="","",Cotations!I23)</f>
        <v>BERTHE</v>
      </c>
      <c r="E38" s="17">
        <f>IF($B38="","",Cotations!P23)</f>
        <v>365</v>
      </c>
      <c r="F38" s="17">
        <f>IF($B38="","",Cotations!N23)</f>
        <v>12</v>
      </c>
      <c r="G38" s="17" t="str">
        <f>IF($B38="","",Cotations!U23)</f>
        <v>annual</v>
      </c>
      <c r="H38" s="17">
        <f>IF($B38="","",Calcul!X23)</f>
        <v>3000</v>
      </c>
      <c r="I38" s="11" t="str">
        <f>IF($B38="","",Calcul!ED23)</f>
        <v>Perfect</v>
      </c>
      <c r="J38" s="11" t="str">
        <f>IF($B38="","",Calcul!ID23)</f>
        <v>Formula 3</v>
      </c>
      <c r="K38" s="16" t="str">
        <f>IF($B38="","",Calcul!AH23)</f>
        <v>EUR</v>
      </c>
      <c r="L38" s="646">
        <f>IF($B38="","",IF(ALLTHESAME=TRUE,Cotations!$AM$4,Cotations!AM23))</f>
        <v>1</v>
      </c>
      <c r="M38" s="644">
        <f>IF($B38="","",(Calcul!AJ23+Calcul!AQ23)*L38)</f>
        <v>1454</v>
      </c>
      <c r="N38" s="646">
        <f>IF($B38="","",IF(ALLTHESAME=TRUE,Cotations!$BH$4,Cotations!BH23))</f>
        <v>1</v>
      </c>
      <c r="O38" s="644">
        <f>IF($B38="","",IF(Cotations!$BA$6=0,(Calcul!AK23*N38),Cotations!$Z$4*E38))</f>
        <v>1509.2709517241381</v>
      </c>
      <c r="P38" s="646">
        <v>0</v>
      </c>
      <c r="Q38" s="644">
        <f>IF($B38="","",Calcul!AG23*P38)</f>
        <v>0</v>
      </c>
      <c r="R38" s="646">
        <f t="shared" si="5"/>
        <v>0</v>
      </c>
      <c r="S38" s="644">
        <f>IF($B38="","",((Calcul!AS23*R38)+Calcul!AL23)*R38)</f>
        <v>0</v>
      </c>
      <c r="T38" s="646">
        <f>IF($B38="","",Cotations!BI23)</f>
        <v>0</v>
      </c>
      <c r="U38" s="644">
        <f>IF($B38="","",(Calcul!AT23+Calcul!AL23)*T38)</f>
        <v>0</v>
      </c>
      <c r="V38" s="646">
        <v>0</v>
      </c>
      <c r="W38" s="644">
        <f>IF($B38="","",Calcul!AG23*V38)</f>
        <v>0</v>
      </c>
      <c r="X38" s="650">
        <f t="shared" si="3"/>
        <v>2963.2709517241383</v>
      </c>
      <c r="AE38" s="11"/>
      <c r="AF38" s="646">
        <f t="shared" si="4"/>
        <v>0</v>
      </c>
      <c r="AG38" s="644" t="s">
        <v>2243</v>
      </c>
      <c r="AH38" s="11"/>
      <c r="AI38" s="646">
        <f t="shared" si="0"/>
        <v>0</v>
      </c>
      <c r="AJ38" s="644" t="e">
        <f>IF($B38="","",SUM(#REF!)*AI38)</f>
        <v>#REF!</v>
      </c>
      <c r="AL38" s="644" t="e">
        <f t="shared" si="1"/>
        <v>#VALUE!</v>
      </c>
    </row>
    <row r="39" spans="1:38" ht="24.95" customHeight="1">
      <c r="A39" s="11" t="str">
        <f>IF(Cotations!C24=FALSE,"",Cotations!E24)</f>
        <v>2016-2017!</v>
      </c>
      <c r="B39" s="11">
        <f>IF(Cotations!C24=FALSE,"",Cotations!G24)</f>
        <v>130534</v>
      </c>
      <c r="C39" s="11" t="str">
        <f>IF($B39="","",IF(LISTES!$A$17=3,Crewlist!G24,Detail!L24))</f>
        <v>Arnaud</v>
      </c>
      <c r="D39" s="11" t="str">
        <f>IF($B39="","",Cotations!I24)</f>
        <v>MATTER</v>
      </c>
      <c r="E39" s="17">
        <f>IF($B39="","",Cotations!P24)</f>
        <v>365</v>
      </c>
      <c r="F39" s="17">
        <f>IF($B39="","",Cotations!N24)</f>
        <v>12</v>
      </c>
      <c r="G39" s="17" t="str">
        <f>IF($B39="","",Cotations!U24)</f>
        <v>annual</v>
      </c>
      <c r="H39" s="17">
        <f>IF($B39="","",Calcul!X24)</f>
        <v>7000</v>
      </c>
      <c r="I39" s="11" t="str">
        <f>IF($B39="","",Calcul!ED24)</f>
        <v>Perfect</v>
      </c>
      <c r="J39" s="11" t="str">
        <f>IF($B39="","",Calcul!ID24)</f>
        <v>Formula 3</v>
      </c>
      <c r="K39" s="16" t="str">
        <f>IF($B39="","",Calcul!AH24)</f>
        <v>EUR</v>
      </c>
      <c r="L39" s="646">
        <f>IF($B39="","",IF(ALLTHESAME=TRUE,Cotations!$AM$4,Cotations!AM24))</f>
        <v>1</v>
      </c>
      <c r="M39" s="644">
        <f>IF($B39="","",(Calcul!AJ24+Calcul!AQ24)*L39)</f>
        <v>1454</v>
      </c>
      <c r="N39" s="646">
        <f>IF($B39="","",IF(ALLTHESAME=TRUE,Cotations!$BH$4,Cotations!BH24))</f>
        <v>1</v>
      </c>
      <c r="O39" s="644">
        <f>IF($B39="","",IF(Cotations!$BA$6=0,(Calcul!AK24*N39),Cotations!$Z$4*E39))</f>
        <v>3521.6322206896557</v>
      </c>
      <c r="P39" s="646">
        <v>0</v>
      </c>
      <c r="Q39" s="644">
        <f>IF($B39="","",Calcul!AG24*P39)</f>
        <v>0</v>
      </c>
      <c r="R39" s="646">
        <f t="shared" si="5"/>
        <v>0</v>
      </c>
      <c r="S39" s="644">
        <f>IF($B39="","",((Calcul!AS24*R39)+Calcul!AL24)*R39)</f>
        <v>0</v>
      </c>
      <c r="T39" s="646">
        <f>IF($B39="","",Cotations!BI24)</f>
        <v>0</v>
      </c>
      <c r="U39" s="644">
        <f>IF($B39="","",(Calcul!AT24+Calcul!AL24)*T39)</f>
        <v>0</v>
      </c>
      <c r="V39" s="646">
        <v>0</v>
      </c>
      <c r="W39" s="644">
        <f>IF($B39="","",Calcul!AG24*V39)</f>
        <v>0</v>
      </c>
      <c r="X39" s="650">
        <f t="shared" si="3"/>
        <v>4975.6322206896557</v>
      </c>
      <c r="AE39" s="11"/>
      <c r="AF39" s="646">
        <f t="shared" si="4"/>
        <v>0</v>
      </c>
      <c r="AG39" s="644" t="s">
        <v>2243</v>
      </c>
      <c r="AH39" s="11"/>
      <c r="AI39" s="646">
        <f t="shared" si="0"/>
        <v>0</v>
      </c>
      <c r="AJ39" s="644" t="e">
        <f>IF($B39="","",SUM(#REF!)*AI39)</f>
        <v>#REF!</v>
      </c>
      <c r="AL39" s="644" t="e">
        <f t="shared" si="1"/>
        <v>#VALUE!</v>
      </c>
    </row>
    <row r="40" spans="1:38" ht="24.95" hidden="1" customHeight="1">
      <c r="A40" s="11" t="str">
        <f>IF(Cotations!C25=FALSE,"",Cotations!E25)</f>
        <v/>
      </c>
      <c r="B40" s="11" t="str">
        <f>IF(Cotations!C25=FALSE,"",Cotations!G25)</f>
        <v/>
      </c>
      <c r="C40" s="11" t="str">
        <f>IF($B40="","",IF(LISTES!$A$17=3,Crewlist!G25,Detail!L25))</f>
        <v/>
      </c>
      <c r="D40" s="11" t="str">
        <f>IF($B40="","",Cotations!I25)</f>
        <v/>
      </c>
      <c r="E40" s="17" t="str">
        <f>IF($B40="","",Cotations!P25)</f>
        <v/>
      </c>
      <c r="F40" s="17" t="str">
        <f>IF($B40="","",Cotations!N25)</f>
        <v/>
      </c>
      <c r="G40" s="17" t="str">
        <f>IF($B40="","",Cotations!U25)</f>
        <v/>
      </c>
      <c r="H40" s="17" t="str">
        <f>IF($B40="","",Calcul!X25)</f>
        <v/>
      </c>
      <c r="I40" s="11" t="str">
        <f>IF($B40="","",Calcul!ED25)</f>
        <v/>
      </c>
      <c r="J40" s="11" t="str">
        <f>IF($B40="","",Calcul!ID25)</f>
        <v/>
      </c>
      <c r="K40" s="16" t="str">
        <f>IF($B40="","",Calcul!AH25)</f>
        <v/>
      </c>
      <c r="L40" s="646" t="str">
        <f>IF($B40="","",IF(ALLTHESAME=TRUE,Cotations!$AM$4,Cotations!AM25))</f>
        <v/>
      </c>
      <c r="M40" s="644" t="str">
        <f>IF($B40="","",(Calcul!AJ25+Calcul!AQ25)*L40)</f>
        <v/>
      </c>
      <c r="N40" s="646" t="str">
        <f>IF($B40="","",IF(ALLTHESAME=TRUE,Cotations!$BH$4,Cotations!BH25))</f>
        <v/>
      </c>
      <c r="O40" s="644" t="str">
        <f>IF($B40="","",IF(Cotations!$BA$6=0,(Calcul!AK25*N40),Cotations!$Z$4*E40))</f>
        <v/>
      </c>
      <c r="P40" s="646">
        <v>0</v>
      </c>
      <c r="Q40" s="644" t="str">
        <f>IF($B40="","",Calcul!X25*P40)</f>
        <v/>
      </c>
      <c r="R40" s="646" t="str">
        <f t="shared" si="5"/>
        <v/>
      </c>
      <c r="S40" s="644" t="str">
        <f>IF($B40="","",((Calcul!AS25*R40)+Calcul!AL25)*R40)</f>
        <v/>
      </c>
      <c r="T40" s="646" t="str">
        <f>IF($B40="","",Cotations!BI25)</f>
        <v/>
      </c>
      <c r="U40" s="644" t="str">
        <f>IF($B40="","",(Calcul!AT25+Calcul!AL25)*T40)</f>
        <v/>
      </c>
      <c r="V40" s="646">
        <v>0</v>
      </c>
      <c r="W40" s="644" t="str">
        <f>IF($B40="","",Calcul!X25*V40)</f>
        <v/>
      </c>
      <c r="X40" s="650" t="str">
        <f t="shared" si="3"/>
        <v/>
      </c>
      <c r="AE40" s="11"/>
      <c r="AF40" s="646" t="str">
        <f t="shared" si="4"/>
        <v/>
      </c>
      <c r="AG40" s="644" t="s">
        <v>2243</v>
      </c>
      <c r="AH40" s="11"/>
      <c r="AI40" s="646" t="str">
        <f t="shared" si="0"/>
        <v/>
      </c>
      <c r="AJ40" s="644" t="str">
        <f>IF($B40="","",SUM(#REF!)*AI40)</f>
        <v/>
      </c>
      <c r="AL40" s="644" t="str">
        <f t="shared" si="1"/>
        <v/>
      </c>
    </row>
    <row r="41" spans="1:38" ht="24.95" hidden="1" customHeight="1">
      <c r="A41" s="11" t="str">
        <f>IF(Cotations!C26=FALSE,"",Cotations!E26)</f>
        <v/>
      </c>
      <c r="B41" s="11" t="str">
        <f>IF(Cotations!C26=FALSE,"",Cotations!G26)</f>
        <v/>
      </c>
      <c r="C41" s="11" t="str">
        <f>IF($B41="","",IF(LISTES!$A$17=3,Crewlist!G26,Detail!L26))</f>
        <v/>
      </c>
      <c r="D41" s="11" t="str">
        <f>IF($B41="","",Cotations!I26)</f>
        <v/>
      </c>
      <c r="E41" s="17" t="str">
        <f>IF($B41="","",Cotations!P26)</f>
        <v/>
      </c>
      <c r="F41" s="17" t="str">
        <f>IF($B41="","",Cotations!N26)</f>
        <v/>
      </c>
      <c r="G41" s="17" t="str">
        <f>IF($B41="","",Cotations!U26)</f>
        <v/>
      </c>
      <c r="H41" s="17" t="str">
        <f>IF($B41="","",Calcul!X26)</f>
        <v/>
      </c>
      <c r="I41" s="11" t="str">
        <f>IF($B41="","",Calcul!ED26)</f>
        <v/>
      </c>
      <c r="J41" s="11" t="str">
        <f>IF($B41="","",Calcul!ID26)</f>
        <v/>
      </c>
      <c r="K41" s="16" t="str">
        <f>IF($B41="","",Calcul!AH26)</f>
        <v/>
      </c>
      <c r="L41" s="646" t="str">
        <f>IF($B41="","",IF(ALLTHESAME=TRUE,Cotations!$AM$4,Cotations!AM26))</f>
        <v/>
      </c>
      <c r="M41" s="644" t="str">
        <f>IF($B41="","",(Calcul!AJ26+Calcul!AQ26)*L41)</f>
        <v/>
      </c>
      <c r="N41" s="646" t="str">
        <f>IF($B41="","",IF(ALLTHESAME=TRUE,Cotations!$BH$4,Cotations!BH26))</f>
        <v/>
      </c>
      <c r="O41" s="644" t="str">
        <f>IF($B41="","",IF(Cotations!$BA$6=0,(Calcul!AK26*N41),Cotations!$Z$4*E41))</f>
        <v/>
      </c>
      <c r="P41" s="646">
        <v>0</v>
      </c>
      <c r="Q41" s="644" t="str">
        <f>IF($B41="","",Calcul!X26*P41)</f>
        <v/>
      </c>
      <c r="R41" s="646" t="str">
        <f t="shared" si="5"/>
        <v/>
      </c>
      <c r="S41" s="644" t="str">
        <f>IF($B41="","",((Calcul!AS26*R41)+Calcul!AL26)*R41)</f>
        <v/>
      </c>
      <c r="T41" s="646" t="str">
        <f>IF($B41="","",Cotations!BI26)</f>
        <v/>
      </c>
      <c r="U41" s="644" t="str">
        <f>IF($B41="","",(Calcul!AT26+Calcul!AL26)*T41)</f>
        <v/>
      </c>
      <c r="V41" s="646">
        <v>0</v>
      </c>
      <c r="W41" s="644" t="str">
        <f>IF($B41="","",Calcul!X26*V41)</f>
        <v/>
      </c>
      <c r="X41" s="650" t="str">
        <f t="shared" si="3"/>
        <v/>
      </c>
      <c r="AE41" s="11"/>
      <c r="AF41" s="646" t="str">
        <f t="shared" si="4"/>
        <v/>
      </c>
      <c r="AG41" s="644" t="s">
        <v>2243</v>
      </c>
      <c r="AH41" s="11"/>
      <c r="AI41" s="646" t="str">
        <f t="shared" si="0"/>
        <v/>
      </c>
      <c r="AJ41" s="644" t="str">
        <f>IF($B41="","",SUM(#REF!)*AI41)</f>
        <v/>
      </c>
      <c r="AL41" s="644" t="str">
        <f t="shared" si="1"/>
        <v/>
      </c>
    </row>
    <row r="42" spans="1:38" ht="24.95" hidden="1" customHeight="1">
      <c r="A42" s="11" t="str">
        <f>IF(Cotations!C27=FALSE,"",Cotations!E27)</f>
        <v/>
      </c>
      <c r="B42" s="11" t="str">
        <f>IF(Cotations!C27=FALSE,"",Cotations!G27)</f>
        <v/>
      </c>
      <c r="C42" s="11" t="str">
        <f>IF($B42="","",IF(LISTES!$A$17=3,Crewlist!G27,Detail!L27))</f>
        <v/>
      </c>
      <c r="D42" s="11" t="str">
        <f>IF($B42="","",Cotations!I27)</f>
        <v/>
      </c>
      <c r="E42" s="17" t="str">
        <f>IF($B42="","",Cotations!P27)</f>
        <v/>
      </c>
      <c r="F42" s="17" t="str">
        <f>IF($B42="","",Cotations!N27)</f>
        <v/>
      </c>
      <c r="G42" s="17" t="str">
        <f>IF($B42="","",Cotations!U27)</f>
        <v/>
      </c>
      <c r="H42" s="17" t="str">
        <f>IF($B42="","",Calcul!X27)</f>
        <v/>
      </c>
      <c r="I42" s="11" t="str">
        <f>IF($B42="","",Calcul!ED27)</f>
        <v/>
      </c>
      <c r="J42" s="11" t="str">
        <f>IF($B42="","",Calcul!ID27)</f>
        <v/>
      </c>
      <c r="K42" s="16" t="str">
        <f>IF($B42="","",Calcul!AH27)</f>
        <v/>
      </c>
      <c r="L42" s="646" t="str">
        <f>IF($B42="","",IF(ALLTHESAME=TRUE,Cotations!$AM$4,Cotations!AM27))</f>
        <v/>
      </c>
      <c r="M42" s="644" t="str">
        <f>IF($B42="","",(Calcul!AJ27+Calcul!AQ27)*L42)</f>
        <v/>
      </c>
      <c r="N42" s="646" t="str">
        <f>IF($B42="","",IF(ALLTHESAME=TRUE,Cotations!$BH$4,Cotations!BH27))</f>
        <v/>
      </c>
      <c r="O42" s="644" t="str">
        <f>IF($B42="","",IF(Cotations!$BA$6=0,(Calcul!AK27*N42),Cotations!$Z$4*E42))</f>
        <v/>
      </c>
      <c r="P42" s="646">
        <v>0</v>
      </c>
      <c r="Q42" s="644" t="str">
        <f>IF($B42="","",Calcul!X27*P42)</f>
        <v/>
      </c>
      <c r="R42" s="646" t="str">
        <f t="shared" si="5"/>
        <v/>
      </c>
      <c r="S42" s="644" t="str">
        <f>IF($B42="","",((Calcul!AS27*R42)+Calcul!AL27)*R42)</f>
        <v/>
      </c>
      <c r="T42" s="646" t="str">
        <f>IF($B42="","",Cotations!BI27)</f>
        <v/>
      </c>
      <c r="U42" s="644" t="str">
        <f>IF($B42="","",(Calcul!AT27+Calcul!AL27)*T42)</f>
        <v/>
      </c>
      <c r="V42" s="646">
        <v>0</v>
      </c>
      <c r="W42" s="644" t="str">
        <f>IF($B42="","",Calcul!X27*V42)</f>
        <v/>
      </c>
      <c r="X42" s="650" t="str">
        <f t="shared" si="3"/>
        <v/>
      </c>
      <c r="AE42" s="11"/>
      <c r="AF42" s="646" t="str">
        <f t="shared" si="4"/>
        <v/>
      </c>
      <c r="AG42" s="644" t="s">
        <v>2243</v>
      </c>
      <c r="AH42" s="11"/>
      <c r="AI42" s="646" t="str">
        <f t="shared" si="0"/>
        <v/>
      </c>
      <c r="AJ42" s="644" t="str">
        <f>IF($B42="","",SUM(#REF!)*AI42)</f>
        <v/>
      </c>
      <c r="AL42" s="644" t="str">
        <f t="shared" si="1"/>
        <v/>
      </c>
    </row>
    <row r="43" spans="1:38" ht="24.95" hidden="1" customHeight="1">
      <c r="A43" s="11" t="str">
        <f>IF(Cotations!C28=FALSE,"",Cotations!E28)</f>
        <v/>
      </c>
      <c r="B43" s="11" t="str">
        <f>IF(Cotations!C28=FALSE,"",Cotations!G28)</f>
        <v/>
      </c>
      <c r="C43" s="11" t="str">
        <f>IF($B43="","",IF(LISTES!$A$17=3,Crewlist!G28,Detail!L28))</f>
        <v/>
      </c>
      <c r="D43" s="11" t="str">
        <f>IF($B43="","",Cotations!I28)</f>
        <v/>
      </c>
      <c r="E43" s="17" t="str">
        <f>IF($B43="","",Cotations!P28)</f>
        <v/>
      </c>
      <c r="F43" s="17" t="str">
        <f>IF($B43="","",Cotations!N28)</f>
        <v/>
      </c>
      <c r="G43" s="17" t="str">
        <f>IF($B43="","",Cotations!U28)</f>
        <v/>
      </c>
      <c r="H43" s="17" t="str">
        <f>IF($B43="","",Calcul!X28)</f>
        <v/>
      </c>
      <c r="I43" s="11" t="str">
        <f>IF($B43="","",Calcul!ED28)</f>
        <v/>
      </c>
      <c r="J43" s="11" t="str">
        <f>IF($B43="","",Calcul!ID28)</f>
        <v/>
      </c>
      <c r="K43" s="16" t="str">
        <f>IF($B43="","",Calcul!AH28)</f>
        <v/>
      </c>
      <c r="L43" s="646" t="str">
        <f>IF($B43="","",IF(ALLTHESAME=TRUE,Cotations!$AM$4,Cotations!AM28))</f>
        <v/>
      </c>
      <c r="M43" s="644" t="str">
        <f>IF($B43="","",(Calcul!AJ28+Calcul!AQ28)*L43)</f>
        <v/>
      </c>
      <c r="N43" s="646" t="str">
        <f>IF($B43="","",IF(ALLTHESAME=TRUE,Cotations!$BH$4,Cotations!BH28))</f>
        <v/>
      </c>
      <c r="O43" s="644" t="str">
        <f>IF($B43="","",IF(Cotations!$BA$6=0,(Calcul!AK28*N43),Cotations!$Z$4*E43))</f>
        <v/>
      </c>
      <c r="P43" s="646">
        <v>0</v>
      </c>
      <c r="Q43" s="644" t="str">
        <f>IF($B43="","",Calcul!X28*P43)</f>
        <v/>
      </c>
      <c r="R43" s="646" t="str">
        <f t="shared" si="5"/>
        <v/>
      </c>
      <c r="S43" s="644" t="str">
        <f>IF($B43="","",((Calcul!AS28*R43)+Calcul!AL28)*R43)</f>
        <v/>
      </c>
      <c r="T43" s="646" t="str">
        <f>IF($B43="","",Cotations!BI28)</f>
        <v/>
      </c>
      <c r="U43" s="644" t="str">
        <f>IF($B43="","",(Calcul!AT28+Calcul!AL28)*T43)</f>
        <v/>
      </c>
      <c r="V43" s="646">
        <v>0</v>
      </c>
      <c r="W43" s="644" t="str">
        <f>IF($B43="","",Calcul!X28*V43)</f>
        <v/>
      </c>
      <c r="X43" s="650" t="str">
        <f t="shared" si="3"/>
        <v/>
      </c>
      <c r="AE43" s="11"/>
      <c r="AF43" s="646" t="str">
        <f t="shared" si="4"/>
        <v/>
      </c>
      <c r="AG43" s="644" t="s">
        <v>2243</v>
      </c>
      <c r="AH43" s="11"/>
      <c r="AI43" s="646" t="str">
        <f t="shared" si="0"/>
        <v/>
      </c>
      <c r="AJ43" s="644" t="str">
        <f>IF($B43="","",SUM(#REF!)*AI43)</f>
        <v/>
      </c>
      <c r="AL43" s="644" t="str">
        <f t="shared" si="1"/>
        <v/>
      </c>
    </row>
    <row r="44" spans="1:38" ht="24.95" hidden="1" customHeight="1">
      <c r="A44" s="11" t="str">
        <f>IF(Cotations!C29=FALSE,"",Cotations!E29)</f>
        <v/>
      </c>
      <c r="B44" s="11" t="str">
        <f>IF(Cotations!C29=FALSE,"",Cotations!G29)</f>
        <v/>
      </c>
      <c r="C44" s="11" t="str">
        <f>IF($B44="","",IF(LISTES!$A$17=3,Crewlist!G29,Detail!L29))</f>
        <v/>
      </c>
      <c r="D44" s="11" t="str">
        <f>IF($B44="","",Cotations!I29)</f>
        <v/>
      </c>
      <c r="E44" s="17" t="str">
        <f>IF($B44="","",Cotations!P29)</f>
        <v/>
      </c>
      <c r="F44" s="17" t="str">
        <f>IF($B44="","",Cotations!N29)</f>
        <v/>
      </c>
      <c r="G44" s="17" t="str">
        <f>IF($B44="","",Cotations!U29)</f>
        <v/>
      </c>
      <c r="H44" s="17" t="str">
        <f>IF($B44="","",Calcul!X29)</f>
        <v/>
      </c>
      <c r="I44" s="11" t="str">
        <f>IF($B44="","",Calcul!ED29)</f>
        <v/>
      </c>
      <c r="J44" s="11" t="str">
        <f>IF($B44="","",Calcul!ID29)</f>
        <v/>
      </c>
      <c r="K44" s="16" t="str">
        <f>IF($B44="","",Calcul!AH29)</f>
        <v/>
      </c>
      <c r="L44" s="646" t="str">
        <f>IF($B44="","",IF(ALLTHESAME=TRUE,Cotations!$AM$4,Cotations!AM29))</f>
        <v/>
      </c>
      <c r="M44" s="644" t="str">
        <f>IF($B44="","",(Calcul!AJ29+Calcul!AQ29)*L44)</f>
        <v/>
      </c>
      <c r="N44" s="646" t="str">
        <f>IF($B44="","",IF(ALLTHESAME=TRUE,Cotations!$BH$4,Cotations!BH29))</f>
        <v/>
      </c>
      <c r="O44" s="644" t="str">
        <f>IF($B44="","",IF(Cotations!$BA$6=0,(Calcul!AK29*N44),Cotations!$Z$4*E44))</f>
        <v/>
      </c>
      <c r="P44" s="646">
        <v>0</v>
      </c>
      <c r="Q44" s="644" t="str">
        <f>IF($B44="","",Calcul!X29*P44)</f>
        <v/>
      </c>
      <c r="R44" s="646" t="str">
        <f t="shared" si="5"/>
        <v/>
      </c>
      <c r="S44" s="644" t="str">
        <f>IF($B44="","",((Calcul!AS29*R44)+Calcul!AL29)*R44)</f>
        <v/>
      </c>
      <c r="T44" s="646" t="str">
        <f>IF($B44="","",Cotations!BI29)</f>
        <v/>
      </c>
      <c r="U44" s="644" t="str">
        <f>IF($B44="","",(Calcul!AT29+Calcul!AL29)*T44)</f>
        <v/>
      </c>
      <c r="V44" s="646">
        <v>0</v>
      </c>
      <c r="W44" s="644" t="str">
        <f>IF($B44="","",Calcul!X29*V44)</f>
        <v/>
      </c>
      <c r="X44" s="650" t="str">
        <f t="shared" si="3"/>
        <v/>
      </c>
      <c r="AE44" s="11"/>
      <c r="AF44" s="646" t="str">
        <f t="shared" si="4"/>
        <v/>
      </c>
      <c r="AG44" s="644" t="s">
        <v>2243</v>
      </c>
      <c r="AH44" s="11"/>
      <c r="AI44" s="646" t="str">
        <f t="shared" si="0"/>
        <v/>
      </c>
      <c r="AJ44" s="644" t="str">
        <f>IF($B44="","",SUM(#REF!)*AI44)</f>
        <v/>
      </c>
      <c r="AL44" s="644" t="str">
        <f t="shared" si="1"/>
        <v/>
      </c>
    </row>
    <row r="45" spans="1:38" ht="24.95" hidden="1" customHeight="1">
      <c r="A45" s="11" t="str">
        <f>IF(Cotations!C30=FALSE,"",Cotations!E30)</f>
        <v/>
      </c>
      <c r="B45" s="11" t="str">
        <f>IF(Cotations!C30=FALSE,"",Cotations!G30)</f>
        <v/>
      </c>
      <c r="C45" s="11" t="str">
        <f>IF($B45="","",IF(LISTES!$A$17=3,Crewlist!G30,Detail!L30))</f>
        <v/>
      </c>
      <c r="D45" s="11" t="str">
        <f>IF($B45="","",Cotations!I30)</f>
        <v/>
      </c>
      <c r="E45" s="17" t="str">
        <f>IF($B45="","",Cotations!P30)</f>
        <v/>
      </c>
      <c r="F45" s="17" t="str">
        <f>IF($B45="","",Cotations!N30)</f>
        <v/>
      </c>
      <c r="G45" s="17" t="str">
        <f>IF($B45="","",Cotations!U30)</f>
        <v/>
      </c>
      <c r="H45" s="17" t="str">
        <f>IF($B45="","",Calcul!X30)</f>
        <v/>
      </c>
      <c r="I45" s="11" t="str">
        <f>IF($B45="","",Calcul!ED30)</f>
        <v/>
      </c>
      <c r="J45" s="11" t="str">
        <f>IF($B45="","",Calcul!ID30)</f>
        <v/>
      </c>
      <c r="K45" s="16" t="str">
        <f>IF($B45="","",Calcul!AH30)</f>
        <v/>
      </c>
      <c r="L45" s="646" t="str">
        <f>IF($B45="","",IF(ALLTHESAME=TRUE,Cotations!$AM$4,Cotations!AM30))</f>
        <v/>
      </c>
      <c r="M45" s="644" t="str">
        <f>IF($B45="","",(Calcul!AJ30+Calcul!AQ30)*L45)</f>
        <v/>
      </c>
      <c r="N45" s="646" t="str">
        <f>IF($B45="","",IF(ALLTHESAME=TRUE,Cotations!$BH$4,Cotations!BH30))</f>
        <v/>
      </c>
      <c r="O45" s="644" t="str">
        <f>IF($B45="","",IF(Cotations!$BA$6=0,(Calcul!AK30*N45),Cotations!$Z$4*E45))</f>
        <v/>
      </c>
      <c r="P45" s="646">
        <v>0</v>
      </c>
      <c r="Q45" s="644" t="str">
        <f>IF($B45="","",Calcul!X30*P45)</f>
        <v/>
      </c>
      <c r="R45" s="646" t="str">
        <f t="shared" si="5"/>
        <v/>
      </c>
      <c r="S45" s="644" t="str">
        <f>IF($B45="","",((Calcul!AS30*R45)+Calcul!AL30)*R45)</f>
        <v/>
      </c>
      <c r="T45" s="646" t="str">
        <f>IF($B45="","",Cotations!BI30)</f>
        <v/>
      </c>
      <c r="U45" s="644" t="str">
        <f>IF($B45="","",(Calcul!AT30+Calcul!AL30)*T45)</f>
        <v/>
      </c>
      <c r="V45" s="646">
        <v>0</v>
      </c>
      <c r="W45" s="644" t="str">
        <f>IF($B45="","",Calcul!X30*V45)</f>
        <v/>
      </c>
      <c r="X45" s="650" t="str">
        <f t="shared" si="3"/>
        <v/>
      </c>
      <c r="AE45" s="11"/>
      <c r="AF45" s="646" t="str">
        <f t="shared" si="4"/>
        <v/>
      </c>
      <c r="AG45" s="644" t="s">
        <v>2243</v>
      </c>
      <c r="AH45" s="11"/>
      <c r="AI45" s="646" t="str">
        <f t="shared" si="0"/>
        <v/>
      </c>
      <c r="AJ45" s="644" t="str">
        <f>IF($B45="","",SUM(#REF!)*AI45)</f>
        <v/>
      </c>
      <c r="AL45" s="644" t="str">
        <f t="shared" si="1"/>
        <v/>
      </c>
    </row>
    <row r="46" spans="1:38" ht="24.95" hidden="1" customHeight="1">
      <c r="A46" s="11" t="str">
        <f>IF(Cotations!C31=FALSE,"",Cotations!E31)</f>
        <v/>
      </c>
      <c r="B46" s="11" t="str">
        <f>IF(Cotations!C31=FALSE,"",Cotations!G31)</f>
        <v/>
      </c>
      <c r="C46" s="11" t="str">
        <f>IF($B46="","",IF(LISTES!$A$17=3,Crewlist!G31,Detail!L31))</f>
        <v/>
      </c>
      <c r="D46" s="11" t="str">
        <f>IF($B46="","",Cotations!I31)</f>
        <v/>
      </c>
      <c r="E46" s="17" t="str">
        <f>IF($B46="","",Cotations!P31)</f>
        <v/>
      </c>
      <c r="F46" s="17" t="str">
        <f>IF($B46="","",Cotations!N31)</f>
        <v/>
      </c>
      <c r="G46" s="17" t="str">
        <f>IF($B46="","",Cotations!U31)</f>
        <v/>
      </c>
      <c r="H46" s="17" t="str">
        <f>IF($B46="","",Calcul!X31)</f>
        <v/>
      </c>
      <c r="I46" s="11" t="str">
        <f>IF($B46="","",Calcul!ED31)</f>
        <v/>
      </c>
      <c r="J46" s="11" t="str">
        <f>IF($B46="","",Calcul!ID31)</f>
        <v/>
      </c>
      <c r="K46" s="16" t="str">
        <f>IF($B46="","",Calcul!AH31)</f>
        <v/>
      </c>
      <c r="L46" s="646" t="str">
        <f>IF($B46="","",IF(ALLTHESAME=TRUE,Cotations!$AM$4,Cotations!AM31))</f>
        <v/>
      </c>
      <c r="M46" s="644" t="str">
        <f>IF($B46="","",(Calcul!AJ31+Calcul!AQ31)*L46)</f>
        <v/>
      </c>
      <c r="N46" s="646" t="str">
        <f>IF($B46="","",IF(ALLTHESAME=TRUE,Cotations!$BH$4,Cotations!BH31))</f>
        <v/>
      </c>
      <c r="O46" s="644" t="str">
        <f>IF($B46="","",IF(Cotations!$BA$6=0,(Calcul!AK31*N46),Cotations!$Z$4*E46))</f>
        <v/>
      </c>
      <c r="P46" s="646">
        <v>0</v>
      </c>
      <c r="Q46" s="644" t="str">
        <f>IF($B46="","",Calcul!X31*P46)</f>
        <v/>
      </c>
      <c r="R46" s="646" t="str">
        <f t="shared" si="5"/>
        <v/>
      </c>
      <c r="S46" s="644" t="str">
        <f>IF($B46="","",((Calcul!AS31*R46)+Calcul!AL31)*R46)</f>
        <v/>
      </c>
      <c r="T46" s="646" t="str">
        <f>IF($B46="","",Cotations!BI31)</f>
        <v/>
      </c>
      <c r="U46" s="644" t="str">
        <f>IF($B46="","",(Calcul!AT31+Calcul!AL31)*T46)</f>
        <v/>
      </c>
      <c r="V46" s="646">
        <v>0</v>
      </c>
      <c r="W46" s="644" t="str">
        <f>IF($B46="","",Calcul!X31*V46)</f>
        <v/>
      </c>
      <c r="X46" s="650" t="str">
        <f t="shared" si="3"/>
        <v/>
      </c>
      <c r="AE46" s="11"/>
      <c r="AF46" s="646" t="str">
        <f t="shared" si="4"/>
        <v/>
      </c>
      <c r="AG46" s="644" t="s">
        <v>2243</v>
      </c>
      <c r="AH46" s="11"/>
      <c r="AI46" s="646" t="str">
        <f t="shared" si="0"/>
        <v/>
      </c>
      <c r="AJ46" s="644" t="str">
        <f>IF($B46="","",SUM(#REF!)*AI46)</f>
        <v/>
      </c>
      <c r="AL46" s="644" t="str">
        <f t="shared" si="1"/>
        <v/>
      </c>
    </row>
    <row r="47" spans="1:38" ht="24.95" hidden="1" customHeight="1">
      <c r="A47" s="11" t="str">
        <f>IF(Cotations!C32=FALSE,"",Cotations!E32)</f>
        <v/>
      </c>
      <c r="B47" s="11" t="str">
        <f>IF(Cotations!C32=FALSE,"",Cotations!G32)</f>
        <v/>
      </c>
      <c r="C47" s="11" t="str">
        <f>IF($B47="","",IF(LISTES!$A$17=3,Crewlist!G32,Detail!L32))</f>
        <v/>
      </c>
      <c r="D47" s="11" t="str">
        <f>IF($B47="","",Cotations!I32)</f>
        <v/>
      </c>
      <c r="E47" s="17" t="str">
        <f>IF($B47="","",Cotations!P32)</f>
        <v/>
      </c>
      <c r="F47" s="17" t="str">
        <f>IF($B47="","",Cotations!N32)</f>
        <v/>
      </c>
      <c r="G47" s="17" t="str">
        <f>IF($B47="","",Cotations!U32)</f>
        <v/>
      </c>
      <c r="H47" s="17" t="str">
        <f>IF($B47="","",Calcul!X32)</f>
        <v/>
      </c>
      <c r="I47" s="11" t="str">
        <f>IF($B47="","",Calcul!ED32)</f>
        <v/>
      </c>
      <c r="J47" s="11" t="str">
        <f>IF($B47="","",Calcul!ID32)</f>
        <v/>
      </c>
      <c r="K47" s="16" t="str">
        <f>IF($B47="","",Calcul!AH32)</f>
        <v/>
      </c>
      <c r="L47" s="646" t="str">
        <f>IF($B47="","",IF(ALLTHESAME=TRUE,Cotations!$AM$4,Cotations!AM32))</f>
        <v/>
      </c>
      <c r="M47" s="644" t="str">
        <f>IF($B47="","",(Calcul!AJ32+Calcul!AQ32)*L47)</f>
        <v/>
      </c>
      <c r="N47" s="646" t="str">
        <f>IF($B47="","",IF(ALLTHESAME=TRUE,Cotations!$BH$4,Cotations!BH32))</f>
        <v/>
      </c>
      <c r="O47" s="644" t="str">
        <f>IF($B47="","",IF(Cotations!$BA$6=0,(Calcul!AK32*N47),Cotations!$Z$4*E47))</f>
        <v/>
      </c>
      <c r="P47" s="646">
        <v>0</v>
      </c>
      <c r="Q47" s="644" t="str">
        <f>IF($B47="","",Calcul!X32*P47)</f>
        <v/>
      </c>
      <c r="R47" s="646" t="str">
        <f t="shared" si="5"/>
        <v/>
      </c>
      <c r="S47" s="644" t="str">
        <f>IF($B47="","",((Calcul!AS32*R47)+Calcul!AL32)*R47)</f>
        <v/>
      </c>
      <c r="T47" s="646" t="str">
        <f>IF($B47="","",Cotations!BI32)</f>
        <v/>
      </c>
      <c r="U47" s="644" t="str">
        <f>IF($B47="","",(Calcul!AT32+Calcul!AL32)*T47)</f>
        <v/>
      </c>
      <c r="V47" s="646">
        <v>0</v>
      </c>
      <c r="W47" s="644" t="str">
        <f>IF($B47="","",Calcul!X32*V47)</f>
        <v/>
      </c>
      <c r="X47" s="650" t="str">
        <f t="shared" si="3"/>
        <v/>
      </c>
      <c r="AE47" s="11"/>
      <c r="AF47" s="646" t="str">
        <f t="shared" si="4"/>
        <v/>
      </c>
      <c r="AG47" s="644" t="s">
        <v>2243</v>
      </c>
      <c r="AH47" s="11"/>
      <c r="AI47" s="646" t="str">
        <f t="shared" si="0"/>
        <v/>
      </c>
      <c r="AJ47" s="644" t="str">
        <f>IF($B47="","",SUM(#REF!)*AI47)</f>
        <v/>
      </c>
      <c r="AL47" s="644" t="str">
        <f t="shared" si="1"/>
        <v/>
      </c>
    </row>
    <row r="48" spans="1:38" ht="24.95" hidden="1" customHeight="1">
      <c r="A48" s="11" t="str">
        <f>IF(Cotations!C33=FALSE,"",Cotations!E33)</f>
        <v/>
      </c>
      <c r="B48" s="11" t="str">
        <f>IF(Cotations!C33=FALSE,"",Cotations!G33)</f>
        <v/>
      </c>
      <c r="C48" s="11" t="str">
        <f>IF($B48="","",IF(LISTES!$A$17=3,Crewlist!G33,Detail!L33))</f>
        <v/>
      </c>
      <c r="D48" s="11" t="str">
        <f>IF($B48="","",Cotations!I33)</f>
        <v/>
      </c>
      <c r="E48" s="17" t="str">
        <f>IF($B48="","",Cotations!P33)</f>
        <v/>
      </c>
      <c r="F48" s="17" t="str">
        <f>IF($B48="","",Cotations!N33)</f>
        <v/>
      </c>
      <c r="G48" s="17" t="str">
        <f>IF($B48="","",Cotations!U33)</f>
        <v/>
      </c>
      <c r="H48" s="17" t="str">
        <f>IF($B48="","",Calcul!X33)</f>
        <v/>
      </c>
      <c r="I48" s="11" t="str">
        <f>IF($B48="","",Calcul!ED33)</f>
        <v/>
      </c>
      <c r="J48" s="11" t="str">
        <f>IF($B48="","",Calcul!ID33)</f>
        <v/>
      </c>
      <c r="K48" s="16" t="str">
        <f>IF($B48="","",Calcul!AH33)</f>
        <v/>
      </c>
      <c r="L48" s="646" t="str">
        <f>IF($B48="","",IF(ALLTHESAME=TRUE,Cotations!$AM$4,Cotations!AM33))</f>
        <v/>
      </c>
      <c r="M48" s="644" t="str">
        <f>IF($B48="","",(Calcul!AJ33+Calcul!AQ33)*L48)</f>
        <v/>
      </c>
      <c r="N48" s="646" t="str">
        <f>IF($B48="","",IF(ALLTHESAME=TRUE,Cotations!$BH$4,Cotations!BH33))</f>
        <v/>
      </c>
      <c r="O48" s="644" t="str">
        <f>IF($B48="","",IF(Cotations!$BA$6=0,(Calcul!AK33*N48),Cotations!$Z$4*E48))</f>
        <v/>
      </c>
      <c r="P48" s="646">
        <v>0</v>
      </c>
      <c r="Q48" s="644" t="str">
        <f>IF($B48="","",Calcul!X33*P48)</f>
        <v/>
      </c>
      <c r="R48" s="646" t="str">
        <f t="shared" si="5"/>
        <v/>
      </c>
      <c r="S48" s="644" t="str">
        <f>IF($B48="","",((Calcul!AS33*R48)+Calcul!AL33)*R48)</f>
        <v/>
      </c>
      <c r="T48" s="646" t="str">
        <f>IF($B48="","",Cotations!BI33)</f>
        <v/>
      </c>
      <c r="U48" s="644" t="str">
        <f>IF($B48="","",(Calcul!AT33+Calcul!AL33)*T48)</f>
        <v/>
      </c>
      <c r="V48" s="646">
        <v>0</v>
      </c>
      <c r="W48" s="644" t="str">
        <f>IF($B48="","",Calcul!X33*V48)</f>
        <v/>
      </c>
      <c r="X48" s="650" t="str">
        <f t="shared" si="3"/>
        <v/>
      </c>
      <c r="AE48" s="11"/>
      <c r="AF48" s="646" t="str">
        <f t="shared" si="4"/>
        <v/>
      </c>
      <c r="AG48" s="644" t="s">
        <v>2243</v>
      </c>
      <c r="AH48" s="11"/>
      <c r="AI48" s="646" t="str">
        <f t="shared" si="0"/>
        <v/>
      </c>
      <c r="AJ48" s="644" t="str">
        <f>IF($B48="","",SUM(#REF!)*AI48)</f>
        <v/>
      </c>
      <c r="AL48" s="644" t="str">
        <f t="shared" si="1"/>
        <v/>
      </c>
    </row>
    <row r="49" spans="1:38" ht="24.95" hidden="1" customHeight="1">
      <c r="A49" s="11" t="str">
        <f>IF(Cotations!C34=FALSE,"",Cotations!E34)</f>
        <v/>
      </c>
      <c r="B49" s="11" t="str">
        <f>IF(Cotations!C34=FALSE,"",Cotations!G34)</f>
        <v/>
      </c>
      <c r="C49" s="11" t="str">
        <f>IF($B49="","",IF(LISTES!$A$17=3,Crewlist!G34,Detail!L34))</f>
        <v/>
      </c>
      <c r="D49" s="11" t="str">
        <f>IF($B49="","",Cotations!I34)</f>
        <v/>
      </c>
      <c r="E49" s="17" t="str">
        <f>IF($B49="","",Cotations!P34)</f>
        <v/>
      </c>
      <c r="F49" s="17" t="str">
        <f>IF($B49="","",Cotations!N34)</f>
        <v/>
      </c>
      <c r="G49" s="17" t="str">
        <f>IF($B49="","",Cotations!U34)</f>
        <v/>
      </c>
      <c r="H49" s="17" t="str">
        <f>IF($B49="","",Calcul!X34)</f>
        <v/>
      </c>
      <c r="I49" s="11" t="str">
        <f>IF($B49="","",Calcul!ED34)</f>
        <v/>
      </c>
      <c r="J49" s="11" t="str">
        <f>IF($B49="","",Calcul!ID34)</f>
        <v/>
      </c>
      <c r="K49" s="16" t="str">
        <f>IF($B49="","",Calcul!AH34)</f>
        <v/>
      </c>
      <c r="L49" s="646" t="str">
        <f>IF($B49="","",IF(ALLTHESAME=TRUE,Cotations!$AM$4,Cotations!AM34))</f>
        <v/>
      </c>
      <c r="M49" s="644" t="str">
        <f>IF($B49="","",(Calcul!AJ34+Calcul!AQ34)*L49)</f>
        <v/>
      </c>
      <c r="N49" s="646" t="str">
        <f>IF($B49="","",IF(ALLTHESAME=TRUE,Cotations!$BH$4,Cotations!BH34))</f>
        <v/>
      </c>
      <c r="O49" s="644" t="str">
        <f>IF($B49="","",IF(Cotations!$BA$6=0,(Calcul!AK34*N49),Cotations!$Z$4*E49))</f>
        <v/>
      </c>
      <c r="P49" s="646">
        <v>0</v>
      </c>
      <c r="Q49" s="644" t="str">
        <f>IF($B49="","",Calcul!X34*P49)</f>
        <v/>
      </c>
      <c r="R49" s="646" t="str">
        <f t="shared" si="5"/>
        <v/>
      </c>
      <c r="S49" s="644" t="str">
        <f>IF($B49="","",((Calcul!AS34*R49)+Calcul!AL34)*R49)</f>
        <v/>
      </c>
      <c r="T49" s="646" t="str">
        <f>IF($B49="","",Cotations!BI34)</f>
        <v/>
      </c>
      <c r="U49" s="644" t="str">
        <f>IF($B49="","",(Calcul!AT34+Calcul!AL34)*T49)</f>
        <v/>
      </c>
      <c r="V49" s="646">
        <v>0</v>
      </c>
      <c r="W49" s="644" t="str">
        <f>IF($B49="","",Calcul!X34*V49)</f>
        <v/>
      </c>
      <c r="X49" s="650" t="str">
        <f t="shared" si="3"/>
        <v/>
      </c>
      <c r="AE49" s="11"/>
      <c r="AF49" s="646" t="str">
        <f t="shared" si="4"/>
        <v/>
      </c>
      <c r="AG49" s="644" t="s">
        <v>2243</v>
      </c>
      <c r="AH49" s="11"/>
      <c r="AI49" s="646" t="str">
        <f t="shared" si="0"/>
        <v/>
      </c>
      <c r="AJ49" s="644" t="str">
        <f>IF($B49="","",SUM(#REF!)*AI49)</f>
        <v/>
      </c>
      <c r="AL49" s="644" t="str">
        <f t="shared" si="1"/>
        <v/>
      </c>
    </row>
    <row r="50" spans="1:38" ht="24.95" hidden="1" customHeight="1">
      <c r="A50" s="11" t="str">
        <f>IF(Cotations!C35=FALSE,"",Cotations!E35)</f>
        <v/>
      </c>
      <c r="B50" s="11" t="str">
        <f>IF(Cotations!C35=FALSE,"",Cotations!G35)</f>
        <v/>
      </c>
      <c r="C50" s="11" t="str">
        <f>IF($B50="","",IF(LISTES!$A$17=3,Crewlist!G35,Detail!L35))</f>
        <v/>
      </c>
      <c r="D50" s="11" t="str">
        <f>IF($B50="","",Cotations!I35)</f>
        <v/>
      </c>
      <c r="E50" s="17" t="str">
        <f>IF($B50="","",Cotations!P35)</f>
        <v/>
      </c>
      <c r="F50" s="17" t="str">
        <f>IF($B50="","",Cotations!N35)</f>
        <v/>
      </c>
      <c r="G50" s="17" t="str">
        <f>IF($B50="","",Cotations!U35)</f>
        <v/>
      </c>
      <c r="H50" s="17" t="str">
        <f>IF($B50="","",Calcul!X35)</f>
        <v/>
      </c>
      <c r="I50" s="11" t="str">
        <f>IF($B50="","",Calcul!ED35)</f>
        <v/>
      </c>
      <c r="J50" s="11" t="str">
        <f>IF($B50="","",Calcul!ID35)</f>
        <v/>
      </c>
      <c r="K50" s="16" t="str">
        <f>IF($B50="","",Calcul!AH35)</f>
        <v/>
      </c>
      <c r="L50" s="646" t="str">
        <f>IF($B50="","",IF(ALLTHESAME=TRUE,Cotations!$AM$4,Cotations!AM35))</f>
        <v/>
      </c>
      <c r="M50" s="644" t="str">
        <f>IF($B50="","",(Calcul!AJ35+Calcul!AQ35)*L50)</f>
        <v/>
      </c>
      <c r="N50" s="646" t="str">
        <f>IF($B50="","",IF(ALLTHESAME=TRUE,Cotations!$BH$4,Cotations!BH35))</f>
        <v/>
      </c>
      <c r="O50" s="644" t="str">
        <f>IF($B50="","",IF(Cotations!$BA$6=0,(Calcul!AK35*N50),Cotations!$Z$4*E50))</f>
        <v/>
      </c>
      <c r="P50" s="646">
        <v>0</v>
      </c>
      <c r="Q50" s="644" t="str">
        <f>IF($B50="","",Calcul!X35*P50)</f>
        <v/>
      </c>
      <c r="R50" s="646" t="str">
        <f t="shared" si="5"/>
        <v/>
      </c>
      <c r="S50" s="644" t="str">
        <f>IF($B50="","",((Calcul!AS35*R50)+Calcul!AL35)*R50)</f>
        <v/>
      </c>
      <c r="T50" s="646" t="str">
        <f>IF($B50="","",Cotations!BI35)</f>
        <v/>
      </c>
      <c r="U50" s="644" t="str">
        <f>IF($B50="","",(Calcul!AT35+Calcul!AL35)*T50)</f>
        <v/>
      </c>
      <c r="V50" s="646">
        <v>0</v>
      </c>
      <c r="W50" s="644" t="str">
        <f>IF($B50="","",Calcul!X35*V50)</f>
        <v/>
      </c>
      <c r="X50" s="650" t="str">
        <f t="shared" si="3"/>
        <v/>
      </c>
      <c r="AE50" s="11"/>
      <c r="AF50" s="646" t="str">
        <f t="shared" si="4"/>
        <v/>
      </c>
      <c r="AG50" s="644" t="s">
        <v>2243</v>
      </c>
      <c r="AH50" s="11"/>
      <c r="AI50" s="646" t="str">
        <f t="shared" si="0"/>
        <v/>
      </c>
      <c r="AJ50" s="644" t="str">
        <f>IF($B50="","",SUM(#REF!)*AI50)</f>
        <v/>
      </c>
      <c r="AL50" s="644" t="str">
        <f t="shared" si="1"/>
        <v/>
      </c>
    </row>
    <row r="51" spans="1:38" ht="24.95" hidden="1" customHeight="1">
      <c r="A51" s="11" t="str">
        <f>IF(Cotations!C36=FALSE,"",Cotations!E36)</f>
        <v/>
      </c>
      <c r="B51" s="11" t="str">
        <f>IF(Cotations!C36=FALSE,"",Cotations!G36)</f>
        <v/>
      </c>
      <c r="C51" s="11" t="str">
        <f>IF($B51="","",IF(LISTES!$A$17=3,Crewlist!G36,Detail!L36))</f>
        <v/>
      </c>
      <c r="D51" s="11" t="str">
        <f>IF($B51="","",Cotations!I36)</f>
        <v/>
      </c>
      <c r="E51" s="17" t="str">
        <f>IF($B51="","",Cotations!P36)</f>
        <v/>
      </c>
      <c r="F51" s="17" t="str">
        <f>IF($B51="","",Cotations!N36)</f>
        <v/>
      </c>
      <c r="G51" s="17" t="str">
        <f>IF($B51="","",Cotations!U36)</f>
        <v/>
      </c>
      <c r="H51" s="17" t="str">
        <f>IF($B51="","",Calcul!X36)</f>
        <v/>
      </c>
      <c r="I51" s="11" t="str">
        <f>IF($B51="","",Calcul!ED36)</f>
        <v/>
      </c>
      <c r="J51" s="11" t="str">
        <f>IF($B51="","",Calcul!ID36)</f>
        <v/>
      </c>
      <c r="K51" s="16" t="str">
        <f>IF($B51="","",Calcul!AH36)</f>
        <v/>
      </c>
      <c r="L51" s="646" t="str">
        <f>IF($B51="","",IF(ALLTHESAME=TRUE,Cotations!$AM$4,Cotations!AM36))</f>
        <v/>
      </c>
      <c r="M51" s="644" t="str">
        <f>IF($B51="","",(Calcul!AJ36+Calcul!AQ36)*L51)</f>
        <v/>
      </c>
      <c r="N51" s="646" t="str">
        <f>IF($B51="","",IF(ALLTHESAME=TRUE,Cotations!$BH$4,Cotations!BH36))</f>
        <v/>
      </c>
      <c r="O51" s="644" t="str">
        <f>IF($B51="","",IF(Cotations!$BA$6=0,(Calcul!AK36*N51),Cotations!$Z$4*E51))</f>
        <v/>
      </c>
      <c r="P51" s="646">
        <v>0</v>
      </c>
      <c r="Q51" s="644" t="str">
        <f>IF($B51="","",Calcul!X36*P51)</f>
        <v/>
      </c>
      <c r="R51" s="646" t="str">
        <f t="shared" si="5"/>
        <v/>
      </c>
      <c r="S51" s="644" t="str">
        <f>IF($B51="","",((Calcul!AS36*R51)+Calcul!AL36)*R51)</f>
        <v/>
      </c>
      <c r="T51" s="646" t="str">
        <f>IF($B51="","",Cotations!BI36)</f>
        <v/>
      </c>
      <c r="U51" s="644" t="str">
        <f>IF($B51="","",(Calcul!AT36+Calcul!AL36)*T51)</f>
        <v/>
      </c>
      <c r="V51" s="646">
        <v>0</v>
      </c>
      <c r="W51" s="644" t="str">
        <f>IF($B51="","",Calcul!X36*V51)</f>
        <v/>
      </c>
      <c r="X51" s="650" t="str">
        <f t="shared" si="3"/>
        <v/>
      </c>
      <c r="AE51" s="11"/>
      <c r="AF51" s="646" t="str">
        <f t="shared" si="4"/>
        <v/>
      </c>
      <c r="AG51" s="644" t="s">
        <v>2243</v>
      </c>
      <c r="AH51" s="11"/>
      <c r="AI51" s="646" t="str">
        <f t="shared" si="0"/>
        <v/>
      </c>
      <c r="AJ51" s="644" t="str">
        <f>IF($B51="","",SUM(#REF!)*AI51)</f>
        <v/>
      </c>
      <c r="AL51" s="644" t="str">
        <f t="shared" si="1"/>
        <v/>
      </c>
    </row>
    <row r="52" spans="1:38" s="647" customFormat="1" ht="24.95" hidden="1" customHeight="1">
      <c r="A52" s="11" t="str">
        <f>IF(Cotations!C37=FALSE,"",Cotations!E37)</f>
        <v/>
      </c>
      <c r="B52" s="11" t="str">
        <f>IF(Cotations!C37=FALSE,"",Cotations!G37)</f>
        <v/>
      </c>
      <c r="C52" s="11" t="str">
        <f>IF($B52="","",IF(LISTES!$A$17=3,Crewlist!G37,Detail!L37))</f>
        <v/>
      </c>
      <c r="D52" s="11" t="str">
        <f>IF($B52="","",Cotations!I37)</f>
        <v/>
      </c>
      <c r="E52" s="17" t="str">
        <f>IF($B52="","",Cotations!P37)</f>
        <v/>
      </c>
      <c r="F52" s="17" t="str">
        <f>IF($B52="","",Cotations!N37)</f>
        <v/>
      </c>
      <c r="G52" s="17" t="str">
        <f>IF($B52="","",Cotations!U37)</f>
        <v/>
      </c>
      <c r="H52" s="17" t="str">
        <f>IF($B52="","",Calcul!X37)</f>
        <v/>
      </c>
      <c r="I52" s="11" t="str">
        <f>IF($B52="","",Calcul!ED37)</f>
        <v/>
      </c>
      <c r="J52" s="11" t="str">
        <f>IF($B52="","",Calcul!ID37)</f>
        <v/>
      </c>
      <c r="K52" s="16" t="str">
        <f>IF($B52="","",Calcul!AH37)</f>
        <v/>
      </c>
      <c r="L52" s="646" t="str">
        <f>IF($B52="","",IF(ALLTHESAME=TRUE,Cotations!$AM$4,Cotations!AM37))</f>
        <v/>
      </c>
      <c r="M52" s="644" t="str">
        <f>IF($B52="","",(Calcul!AJ37+Calcul!AQ37)*L52)</f>
        <v/>
      </c>
      <c r="N52" s="646" t="str">
        <f>IF($B52="","",IF(ALLTHESAME=TRUE,Cotations!$BH$4,Cotations!BH37))</f>
        <v/>
      </c>
      <c r="O52" s="644" t="str">
        <f>IF($B52="","",IF(Cotations!$BA$6=0,(Calcul!AK37*N52),Cotations!$Z$4*E52))</f>
        <v/>
      </c>
      <c r="P52" s="646">
        <v>0</v>
      </c>
      <c r="Q52" s="644" t="str">
        <f>IF($B52="","",Calcul!X37*P52)</f>
        <v/>
      </c>
      <c r="R52" s="646" t="str">
        <f t="shared" si="5"/>
        <v/>
      </c>
      <c r="S52" s="644" t="str">
        <f>IF($B52="","",((Calcul!AS37*R52)+Calcul!AL37)*R52)</f>
        <v/>
      </c>
      <c r="T52" s="646" t="str">
        <f>IF($B52="","",Cotations!BI37)</f>
        <v/>
      </c>
      <c r="U52" s="644" t="str">
        <f>IF($B52="","",(Calcul!AT37+Calcul!AL37)*T52)</f>
        <v/>
      </c>
      <c r="V52" s="646">
        <v>0</v>
      </c>
      <c r="W52" s="644" t="str">
        <f>IF($B52="","",Calcul!X37*V52)</f>
        <v/>
      </c>
      <c r="X52" s="650" t="str">
        <f t="shared" si="3"/>
        <v/>
      </c>
      <c r="AE52" s="11"/>
      <c r="AF52" s="646" t="str">
        <f t="shared" si="4"/>
        <v/>
      </c>
      <c r="AG52" s="644" t="s">
        <v>2243</v>
      </c>
      <c r="AH52" s="11"/>
      <c r="AI52" s="646" t="str">
        <f t="shared" si="0"/>
        <v/>
      </c>
      <c r="AJ52" s="645" t="str">
        <f>IF($B52="","",SUM(#REF!)*AI52)</f>
        <v/>
      </c>
      <c r="AL52" s="644" t="str">
        <f t="shared" si="1"/>
        <v/>
      </c>
    </row>
    <row r="53" spans="1:38" s="647" customFormat="1" ht="24.95" hidden="1" customHeight="1">
      <c r="A53" s="11" t="str">
        <f>IF(Cotations!C38=FALSE,"",Cotations!E38)</f>
        <v/>
      </c>
      <c r="B53" s="11" t="str">
        <f>IF(Cotations!C38=FALSE,"",Cotations!G38)</f>
        <v/>
      </c>
      <c r="C53" s="11" t="str">
        <f>IF($B53="","",IF(LISTES!$A$17=3,Crewlist!G38,Detail!L38))</f>
        <v/>
      </c>
      <c r="D53" s="11" t="str">
        <f>IF($B53="","",Cotations!I38)</f>
        <v/>
      </c>
      <c r="E53" s="17" t="str">
        <f>IF($B53="","",Cotations!P38)</f>
        <v/>
      </c>
      <c r="F53" s="17" t="str">
        <f>IF($B53="","",Cotations!N38)</f>
        <v/>
      </c>
      <c r="G53" s="17" t="str">
        <f>IF($B53="","",Cotations!U38)</f>
        <v/>
      </c>
      <c r="H53" s="17" t="str">
        <f>IF($B53="","",Calcul!X38)</f>
        <v/>
      </c>
      <c r="I53" s="11" t="str">
        <f>IF($B53="","",Calcul!ED38)</f>
        <v/>
      </c>
      <c r="J53" s="11" t="str">
        <f>IF($B53="","",Calcul!ID38)</f>
        <v/>
      </c>
      <c r="K53" s="16" t="str">
        <f>IF($B53="","",Calcul!AH38)</f>
        <v/>
      </c>
      <c r="L53" s="646" t="str">
        <f>IF($B53="","",IF(ALLTHESAME=TRUE,Cotations!$AM$4,Cotations!AM38))</f>
        <v/>
      </c>
      <c r="M53" s="644" t="str">
        <f>IF($B53="","",(Calcul!AJ38+Calcul!AQ38)*L53)</f>
        <v/>
      </c>
      <c r="N53" s="646" t="str">
        <f>IF($B53="","",IF(ALLTHESAME=TRUE,Cotations!$BH$4,Cotations!BH38))</f>
        <v/>
      </c>
      <c r="O53" s="644" t="str">
        <f>IF($B53="","",IF(Cotations!$BA$6=0,(Calcul!AK38*N53),Cotations!$Z$4*E53))</f>
        <v/>
      </c>
      <c r="P53" s="646">
        <v>0</v>
      </c>
      <c r="Q53" s="644" t="str">
        <f>IF($B53="","",Calcul!X38*P53)</f>
        <v/>
      </c>
      <c r="R53" s="646" t="str">
        <f t="shared" si="5"/>
        <v/>
      </c>
      <c r="S53" s="644" t="str">
        <f>IF($B53="","",((Calcul!AS38*R53)+Calcul!AL38)*R53)</f>
        <v/>
      </c>
      <c r="T53" s="646" t="str">
        <f>IF($B53="","",Cotations!BI38)</f>
        <v/>
      </c>
      <c r="U53" s="644" t="str">
        <f>IF($B53="","",(Calcul!AT38+Calcul!AL38)*T53)</f>
        <v/>
      </c>
      <c r="V53" s="646">
        <v>0</v>
      </c>
      <c r="W53" s="644" t="str">
        <f>IF($B53="","",Calcul!X38*V53)</f>
        <v/>
      </c>
      <c r="X53" s="650" t="str">
        <f t="shared" si="3"/>
        <v/>
      </c>
      <c r="AE53" s="11"/>
      <c r="AF53" s="646" t="str">
        <f t="shared" si="4"/>
        <v/>
      </c>
      <c r="AG53" s="644" t="s">
        <v>2243</v>
      </c>
      <c r="AH53" s="11"/>
      <c r="AI53" s="646" t="str">
        <f t="shared" si="0"/>
        <v/>
      </c>
      <c r="AJ53" s="645" t="str">
        <f>IF($B53="","",SUM(#REF!)*AI53)</f>
        <v/>
      </c>
      <c r="AL53" s="644" t="str">
        <f t="shared" si="1"/>
        <v/>
      </c>
    </row>
    <row r="54" spans="1:38" ht="24.95" hidden="1" customHeight="1">
      <c r="A54" s="11" t="str">
        <f>IF(Cotations!C39=FALSE,"",Cotations!E39)</f>
        <v/>
      </c>
      <c r="B54" s="11" t="str">
        <f>IF(Cotations!C39=FALSE,"",Cotations!G39)</f>
        <v/>
      </c>
      <c r="C54" s="11" t="str">
        <f>IF($B54="","",IF(LISTES!$A$17=3,Crewlist!G39,Detail!L39))</f>
        <v/>
      </c>
      <c r="D54" s="11" t="str">
        <f>IF($B54="","",Cotations!I39)</f>
        <v/>
      </c>
      <c r="E54" s="17" t="str">
        <f>IF($B54="","",Cotations!P39)</f>
        <v/>
      </c>
      <c r="F54" s="17" t="str">
        <f>IF($B54="","",Cotations!N39)</f>
        <v/>
      </c>
      <c r="G54" s="17" t="str">
        <f>IF($B54="","",Cotations!U39)</f>
        <v/>
      </c>
      <c r="H54" s="17" t="str">
        <f>IF($B54="","",Calcul!X39)</f>
        <v/>
      </c>
      <c r="I54" s="11" t="str">
        <f>IF($B54="","",Calcul!ED39)</f>
        <v/>
      </c>
      <c r="J54" s="11" t="str">
        <f>IF($B54="","",Calcul!ID39)</f>
        <v/>
      </c>
      <c r="K54" s="16" t="str">
        <f>IF($B54="","",Calcul!AH39)</f>
        <v/>
      </c>
      <c r="L54" s="646" t="str">
        <f>IF($B54="","",IF(ALLTHESAME=TRUE,Cotations!$AM$4,Cotations!AM39))</f>
        <v/>
      </c>
      <c r="M54" s="644" t="str">
        <f>IF($B54="","",(Calcul!AJ39+Calcul!AQ39)*L54)</f>
        <v/>
      </c>
      <c r="N54" s="646" t="str">
        <f>IF($B54="","",IF(ALLTHESAME=TRUE,Cotations!$BH$4,Cotations!BH39))</f>
        <v/>
      </c>
      <c r="O54" s="644" t="str">
        <f>IF($B54="","",IF(Cotations!$BA$6=0,(Calcul!AK39*N54),Cotations!$Z$4*E54))</f>
        <v/>
      </c>
      <c r="P54" s="646">
        <v>0</v>
      </c>
      <c r="Q54" s="644" t="str">
        <f>IF($B54="","",Calcul!X39*P54)</f>
        <v/>
      </c>
      <c r="R54" s="646" t="str">
        <f t="shared" si="5"/>
        <v/>
      </c>
      <c r="S54" s="644" t="str">
        <f>IF($B54="","",((Calcul!AS39*R54)+Calcul!AL39)*R54)</f>
        <v/>
      </c>
      <c r="T54" s="646" t="str">
        <f>IF($B54="","",Cotations!BI39)</f>
        <v/>
      </c>
      <c r="U54" s="644" t="str">
        <f>IF($B54="","",(Calcul!AT39+Calcul!AL39)*T54)</f>
        <v/>
      </c>
      <c r="V54" s="646">
        <v>0</v>
      </c>
      <c r="W54" s="644" t="str">
        <f>IF($B54="","",Calcul!X39*V54)</f>
        <v/>
      </c>
      <c r="X54" s="650" t="str">
        <f t="shared" si="3"/>
        <v/>
      </c>
      <c r="AE54" s="11"/>
      <c r="AF54" s="646" t="str">
        <f t="shared" si="4"/>
        <v/>
      </c>
      <c r="AG54" s="644" t="s">
        <v>2243</v>
      </c>
      <c r="AH54" s="11"/>
      <c r="AI54" s="646" t="str">
        <f t="shared" si="0"/>
        <v/>
      </c>
      <c r="AJ54" s="644" t="str">
        <f>IF($B54="","",SUM(#REF!)*AI54)</f>
        <v/>
      </c>
      <c r="AL54" s="644" t="str">
        <f t="shared" si="1"/>
        <v/>
      </c>
    </row>
    <row r="55" spans="1:38" ht="24.95" hidden="1" customHeight="1">
      <c r="A55" s="11" t="str">
        <f>IF(Cotations!C40=FALSE,"",Cotations!E40)</f>
        <v/>
      </c>
      <c r="B55" s="11" t="str">
        <f>IF(Cotations!C40=FALSE,"",Cotations!G40)</f>
        <v/>
      </c>
      <c r="C55" s="11" t="str">
        <f>IF($B55="","",IF(LISTES!$A$17=3,Crewlist!G40,Detail!L40))</f>
        <v/>
      </c>
      <c r="D55" s="11" t="str">
        <f>IF($B55="","",Cotations!I40)</f>
        <v/>
      </c>
      <c r="E55" s="17" t="str">
        <f>IF($B55="","",Cotations!P40)</f>
        <v/>
      </c>
      <c r="F55" s="17" t="str">
        <f>IF($B55="","",Cotations!N40)</f>
        <v/>
      </c>
      <c r="G55" s="17" t="str">
        <f>IF($B55="","",Cotations!U40)</f>
        <v/>
      </c>
      <c r="H55" s="17" t="str">
        <f>IF($B55="","",Calcul!X40)</f>
        <v/>
      </c>
      <c r="I55" s="11" t="str">
        <f>IF($B55="","",Calcul!ED40)</f>
        <v/>
      </c>
      <c r="J55" s="11" t="str">
        <f>IF($B55="","",Calcul!ID40)</f>
        <v/>
      </c>
      <c r="K55" s="16" t="str">
        <f>IF($B55="","",Calcul!AH40)</f>
        <v/>
      </c>
      <c r="L55" s="646" t="str">
        <f>IF($B55="","",IF(ALLTHESAME=TRUE,Cotations!$AM$4,Cotations!AM40))</f>
        <v/>
      </c>
      <c r="M55" s="644" t="str">
        <f>IF($B55="","",(Calcul!AJ40+Calcul!AQ40)*L55)</f>
        <v/>
      </c>
      <c r="N55" s="646" t="str">
        <f>IF($B55="","",IF(ALLTHESAME=TRUE,Cotations!$BH$4,Cotations!BH40))</f>
        <v/>
      </c>
      <c r="O55" s="644" t="str">
        <f>IF($B55="","",IF(Cotations!$BA$6=0,(Calcul!AK40*N55),Cotations!$Z$4*E55))</f>
        <v/>
      </c>
      <c r="P55" s="646">
        <v>0</v>
      </c>
      <c r="Q55" s="644" t="str">
        <f>IF($B55="","",Calcul!X40*P55)</f>
        <v/>
      </c>
      <c r="R55" s="646" t="str">
        <f t="shared" si="5"/>
        <v/>
      </c>
      <c r="S55" s="644" t="str">
        <f>IF($B55="","",((Calcul!AS40*R55)+Calcul!AL40)*R55)</f>
        <v/>
      </c>
      <c r="T55" s="646" t="str">
        <f>IF($B55="","",Cotations!BI40)</f>
        <v/>
      </c>
      <c r="U55" s="644" t="str">
        <f>IF($B55="","",(Calcul!AT40+Calcul!AL40)*T55)</f>
        <v/>
      </c>
      <c r="V55" s="646">
        <v>0</v>
      </c>
      <c r="W55" s="644" t="str">
        <f>IF($B55="","",Calcul!X40*V55)</f>
        <v/>
      </c>
      <c r="X55" s="650" t="str">
        <f t="shared" si="3"/>
        <v/>
      </c>
      <c r="AE55" s="11"/>
      <c r="AF55" s="646" t="str">
        <f t="shared" si="4"/>
        <v/>
      </c>
      <c r="AG55" s="644" t="s">
        <v>2243</v>
      </c>
      <c r="AH55" s="11"/>
      <c r="AI55" s="646" t="str">
        <f t="shared" si="0"/>
        <v/>
      </c>
      <c r="AJ55" s="644" t="str">
        <f>IF($B55="","",SUM(#REF!)*AI55)</f>
        <v/>
      </c>
      <c r="AL55" s="644" t="str">
        <f t="shared" si="1"/>
        <v/>
      </c>
    </row>
    <row r="56" spans="1:38" ht="24.95" hidden="1" customHeight="1">
      <c r="A56" s="11" t="str">
        <f>IF(Cotations!C41=FALSE,"",Cotations!E41)</f>
        <v/>
      </c>
      <c r="B56" s="11" t="str">
        <f>IF(Cotations!C41=FALSE,"",Cotations!G41)</f>
        <v/>
      </c>
      <c r="C56" s="11" t="str">
        <f>IF($B56="","",IF(LISTES!$A$17=3,Crewlist!G41,Detail!L41))</f>
        <v/>
      </c>
      <c r="D56" s="11" t="str">
        <f>IF($B56="","",Cotations!I41)</f>
        <v/>
      </c>
      <c r="E56" s="17" t="str">
        <f>IF($B56="","",Cotations!P41)</f>
        <v/>
      </c>
      <c r="F56" s="17" t="str">
        <f>IF($B56="","",Cotations!N41)</f>
        <v/>
      </c>
      <c r="G56" s="17" t="str">
        <f>IF($B56="","",Cotations!U41)</f>
        <v/>
      </c>
      <c r="H56" s="17" t="str">
        <f>IF($B56="","",Calcul!X41)</f>
        <v/>
      </c>
      <c r="I56" s="11" t="str">
        <f>IF($B56="","",Calcul!ED41)</f>
        <v/>
      </c>
      <c r="J56" s="11" t="str">
        <f>IF($B56="","",Calcul!ID41)</f>
        <v/>
      </c>
      <c r="K56" s="16" t="str">
        <f>IF($B56="","",Calcul!AH41)</f>
        <v/>
      </c>
      <c r="L56" s="646" t="str">
        <f>IF($B56="","",IF(ALLTHESAME=TRUE,Cotations!$AM$4,Cotations!AM41))</f>
        <v/>
      </c>
      <c r="M56" s="644" t="str">
        <f>IF($B56="","",(Calcul!AJ41+Calcul!AQ41)*L56)</f>
        <v/>
      </c>
      <c r="N56" s="646" t="str">
        <f>IF($B56="","",IF(ALLTHESAME=TRUE,Cotations!$BH$4,Cotations!BH41))</f>
        <v/>
      </c>
      <c r="O56" s="644" t="str">
        <f>IF($B56="","",IF(Cotations!$BA$6=0,(Calcul!AK41*N56),Cotations!$Z$4*E56))</f>
        <v/>
      </c>
      <c r="P56" s="646">
        <v>0</v>
      </c>
      <c r="Q56" s="644" t="str">
        <f>IF($B56="","",Calcul!X41*P56)</f>
        <v/>
      </c>
      <c r="R56" s="646" t="str">
        <f t="shared" si="5"/>
        <v/>
      </c>
      <c r="S56" s="644" t="str">
        <f>IF($B56="","",((Calcul!AS41*R56)+Calcul!AL41)*R56)</f>
        <v/>
      </c>
      <c r="T56" s="646" t="str">
        <f>IF($B56="","",Cotations!BI41)</f>
        <v/>
      </c>
      <c r="U56" s="644" t="str">
        <f>IF($B56="","",(Calcul!AT41+Calcul!AL41)*T56)</f>
        <v/>
      </c>
      <c r="V56" s="646">
        <v>0</v>
      </c>
      <c r="W56" s="644" t="str">
        <f>IF($B56="","",Calcul!X41*V56)</f>
        <v/>
      </c>
      <c r="X56" s="650" t="str">
        <f t="shared" si="3"/>
        <v/>
      </c>
      <c r="AE56" s="11"/>
      <c r="AF56" s="646" t="str">
        <f t="shared" si="4"/>
        <v/>
      </c>
      <c r="AG56" s="644" t="s">
        <v>2243</v>
      </c>
      <c r="AH56" s="11"/>
      <c r="AI56" s="646" t="str">
        <f t="shared" si="0"/>
        <v/>
      </c>
      <c r="AJ56" s="644" t="str">
        <f>IF($B56="","",SUM(#REF!)*AI56)</f>
        <v/>
      </c>
      <c r="AL56" s="644" t="str">
        <f t="shared" si="1"/>
        <v/>
      </c>
    </row>
    <row r="57" spans="1:38" ht="24.95" hidden="1" customHeight="1">
      <c r="A57" s="11" t="str">
        <f>IF(Cotations!C42=FALSE,"",Cotations!E42)</f>
        <v/>
      </c>
      <c r="B57" s="11" t="str">
        <f>IF(Cotations!C42=FALSE,"",Cotations!G42)</f>
        <v/>
      </c>
      <c r="C57" s="11" t="str">
        <f>IF($B57="","",IF(LISTES!$A$17=3,Crewlist!G42,Detail!L42))</f>
        <v/>
      </c>
      <c r="D57" s="11" t="str">
        <f>IF($B57="","",Cotations!I42)</f>
        <v/>
      </c>
      <c r="E57" s="17" t="str">
        <f>IF($B57="","",Cotations!P42)</f>
        <v/>
      </c>
      <c r="F57" s="17" t="str">
        <f>IF($B57="","",Cotations!N42)</f>
        <v/>
      </c>
      <c r="G57" s="17" t="str">
        <f>IF($B57="","",Cotations!U42)</f>
        <v/>
      </c>
      <c r="H57" s="17" t="str">
        <f>IF($B57="","",Calcul!X42)</f>
        <v/>
      </c>
      <c r="I57" s="11" t="str">
        <f>IF($B57="","",Calcul!ED42)</f>
        <v/>
      </c>
      <c r="J57" s="11" t="str">
        <f>IF($B57="","",Calcul!ID42)</f>
        <v/>
      </c>
      <c r="K57" s="16" t="str">
        <f>IF($B57="","",Calcul!AH42)</f>
        <v/>
      </c>
      <c r="L57" s="646" t="str">
        <f>IF($B57="","",IF(ALLTHESAME=TRUE,Cotations!$AM$4,Cotations!AM42))</f>
        <v/>
      </c>
      <c r="M57" s="644" t="str">
        <f>IF($B57="","",(Calcul!AJ42+Calcul!AQ42)*L57)</f>
        <v/>
      </c>
      <c r="N57" s="646" t="str">
        <f>IF($B57="","",IF(ALLTHESAME=TRUE,Cotations!$BH$4,Cotations!BH42))</f>
        <v/>
      </c>
      <c r="O57" s="644" t="str">
        <f>IF($B57="","",IF(Cotations!$BA$6=0,(Calcul!AK42*N57),Cotations!$Z$4*E57))</f>
        <v/>
      </c>
      <c r="P57" s="646">
        <v>0</v>
      </c>
      <c r="Q57" s="644" t="str">
        <f>IF($B57="","",Calcul!X42*P57)</f>
        <v/>
      </c>
      <c r="R57" s="646" t="str">
        <f t="shared" si="5"/>
        <v/>
      </c>
      <c r="S57" s="644" t="str">
        <f>IF($B57="","",((Calcul!AS42*R57)+Calcul!AL42)*R57)</f>
        <v/>
      </c>
      <c r="T57" s="646" t="str">
        <f>IF($B57="","",Cotations!BI42)</f>
        <v/>
      </c>
      <c r="U57" s="644" t="str">
        <f>IF($B57="","",(Calcul!AT42+Calcul!AL42)*T57)</f>
        <v/>
      </c>
      <c r="V57" s="646">
        <v>0</v>
      </c>
      <c r="W57" s="644" t="str">
        <f>IF($B57="","",Calcul!X42*V57)</f>
        <v/>
      </c>
      <c r="X57" s="650" t="str">
        <f t="shared" si="3"/>
        <v/>
      </c>
      <c r="AE57" s="11"/>
      <c r="AF57" s="646" t="str">
        <f t="shared" si="4"/>
        <v/>
      </c>
      <c r="AG57" s="644" t="s">
        <v>2243</v>
      </c>
      <c r="AH57" s="11"/>
      <c r="AI57" s="646" t="str">
        <f t="shared" si="0"/>
        <v/>
      </c>
      <c r="AJ57" s="644" t="str">
        <f>IF($B57="","",SUM(#REF!)*AI57)</f>
        <v/>
      </c>
      <c r="AL57" s="644" t="str">
        <f t="shared" si="1"/>
        <v/>
      </c>
    </row>
    <row r="58" spans="1:38" ht="24.95" hidden="1" customHeight="1">
      <c r="A58" s="11" t="str">
        <f>IF(Cotations!C43=FALSE,"",Cotations!E43)</f>
        <v/>
      </c>
      <c r="B58" s="11" t="str">
        <f>IF(Cotations!C43=FALSE,"",Cotations!G43)</f>
        <v/>
      </c>
      <c r="C58" s="11" t="str">
        <f>IF($B58="","",IF(LISTES!$A$17=3,Crewlist!G43,Detail!L43))</f>
        <v/>
      </c>
      <c r="D58" s="11" t="str">
        <f>IF($B58="","",Cotations!I43)</f>
        <v/>
      </c>
      <c r="E58" s="17" t="str">
        <f>IF($B58="","",Cotations!P43)</f>
        <v/>
      </c>
      <c r="F58" s="17" t="str">
        <f>IF($B58="","",Cotations!N43)</f>
        <v/>
      </c>
      <c r="G58" s="17" t="str">
        <f>IF($B58="","",Cotations!U43)</f>
        <v/>
      </c>
      <c r="H58" s="17" t="str">
        <f>IF($B58="","",Calcul!X43)</f>
        <v/>
      </c>
      <c r="I58" s="11" t="str">
        <f>IF($B58="","",Calcul!ED43)</f>
        <v/>
      </c>
      <c r="J58" s="11" t="str">
        <f>IF($B58="","",Calcul!ID43)</f>
        <v/>
      </c>
      <c r="K58" s="16" t="str">
        <f>IF($B58="","",Calcul!AH43)</f>
        <v/>
      </c>
      <c r="L58" s="646" t="str">
        <f>IF($B58="","",IF(ALLTHESAME=TRUE,Cotations!$AM$4,Cotations!AM43))</f>
        <v/>
      </c>
      <c r="M58" s="644" t="str">
        <f>IF($B58="","",(Calcul!AJ43+Calcul!AQ43)*L58)</f>
        <v/>
      </c>
      <c r="N58" s="646" t="str">
        <f>IF($B58="","",IF(ALLTHESAME=TRUE,Cotations!$BH$4,Cotations!BH43))</f>
        <v/>
      </c>
      <c r="O58" s="644" t="str">
        <f>IF($B58="","",IF(Cotations!$BA$6=0,(Calcul!AK43*N58),Cotations!$Z$4*E58))</f>
        <v/>
      </c>
      <c r="P58" s="646">
        <v>0</v>
      </c>
      <c r="Q58" s="644" t="str">
        <f>IF($B58="","",Calcul!X43*P58)</f>
        <v/>
      </c>
      <c r="R58" s="646" t="str">
        <f t="shared" si="5"/>
        <v/>
      </c>
      <c r="S58" s="644" t="str">
        <f>IF($B58="","",((Calcul!AS43*R58)+Calcul!AL43)*R58)</f>
        <v/>
      </c>
      <c r="T58" s="646" t="str">
        <f>IF($B58="","",Cotations!BI43)</f>
        <v/>
      </c>
      <c r="U58" s="644" t="str">
        <f>IF($B58="","",(Calcul!AT43+Calcul!AL43)*T58)</f>
        <v/>
      </c>
      <c r="V58" s="646">
        <v>0</v>
      </c>
      <c r="W58" s="644" t="str">
        <f>IF($B58="","",Calcul!X43*V58)</f>
        <v/>
      </c>
      <c r="X58" s="650" t="str">
        <f t="shared" si="3"/>
        <v/>
      </c>
      <c r="AE58" s="11"/>
      <c r="AF58" s="646" t="str">
        <f t="shared" si="4"/>
        <v/>
      </c>
      <c r="AG58" s="644" t="s">
        <v>2243</v>
      </c>
      <c r="AH58" s="11"/>
      <c r="AI58" s="646" t="str">
        <f t="shared" si="0"/>
        <v/>
      </c>
      <c r="AJ58" s="644" t="str">
        <f>IF($B58="","",SUM(#REF!)*AI58)</f>
        <v/>
      </c>
      <c r="AL58" s="644" t="str">
        <f t="shared" si="1"/>
        <v/>
      </c>
    </row>
    <row r="59" spans="1:38" ht="24.95" hidden="1" customHeight="1">
      <c r="A59" s="11" t="str">
        <f>IF(Cotations!C44=FALSE,"",Cotations!E44)</f>
        <v/>
      </c>
      <c r="B59" s="11" t="str">
        <f>IF(Cotations!C44=FALSE,"",Cotations!G44)</f>
        <v/>
      </c>
      <c r="C59" s="11" t="str">
        <f>IF($B59="","",IF(LISTES!$A$17=3,Crewlist!G44,Detail!L44))</f>
        <v/>
      </c>
      <c r="D59" s="11" t="str">
        <f>IF($B59="","",Cotations!I44)</f>
        <v/>
      </c>
      <c r="E59" s="17" t="str">
        <f>IF($B59="","",Cotations!P44)</f>
        <v/>
      </c>
      <c r="F59" s="17" t="str">
        <f>IF($B59="","",Cotations!N44)</f>
        <v/>
      </c>
      <c r="G59" s="17" t="str">
        <f>IF($B59="","",Cotations!U44)</f>
        <v/>
      </c>
      <c r="H59" s="17" t="str">
        <f>IF($B59="","",Calcul!X44)</f>
        <v/>
      </c>
      <c r="I59" s="11" t="str">
        <f>IF($B59="","",Calcul!ED44)</f>
        <v/>
      </c>
      <c r="J59" s="11" t="str">
        <f>IF($B59="","",Calcul!ID44)</f>
        <v/>
      </c>
      <c r="K59" s="16" t="str">
        <f>IF($B59="","",Calcul!AH44)</f>
        <v/>
      </c>
      <c r="L59" s="646" t="str">
        <f>IF($B59="","",IF(ALLTHESAME=TRUE,Cotations!$AM$4,Cotations!AM44))</f>
        <v/>
      </c>
      <c r="M59" s="644" t="str">
        <f>IF($B59="","",(Calcul!AJ44+Calcul!AQ44)*L59)</f>
        <v/>
      </c>
      <c r="N59" s="646" t="str">
        <f>IF($B59="","",IF(ALLTHESAME=TRUE,Cotations!$BH$4,Cotations!BH44))</f>
        <v/>
      </c>
      <c r="O59" s="644" t="str">
        <f>IF($B59="","",IF(Cotations!$BA$6=0,(Calcul!AK44*N59),Cotations!$Z$4*E59))</f>
        <v/>
      </c>
      <c r="P59" s="646">
        <v>0</v>
      </c>
      <c r="Q59" s="644" t="str">
        <f>IF($B59="","",Calcul!X44*P59)</f>
        <v/>
      </c>
      <c r="R59" s="646" t="str">
        <f t="shared" si="5"/>
        <v/>
      </c>
      <c r="S59" s="644" t="str">
        <f>IF($B59="","",((Calcul!AS44*R59)+Calcul!AL44)*R59)</f>
        <v/>
      </c>
      <c r="T59" s="646" t="str">
        <f>IF($B59="","",Cotations!BI44)</f>
        <v/>
      </c>
      <c r="U59" s="644" t="str">
        <f>IF($B59="","",(Calcul!AT44+Calcul!AL44)*T59)</f>
        <v/>
      </c>
      <c r="V59" s="646">
        <v>0</v>
      </c>
      <c r="W59" s="644" t="str">
        <f>IF($B59="","",Calcul!X44*V59)</f>
        <v/>
      </c>
      <c r="X59" s="650" t="str">
        <f t="shared" si="3"/>
        <v/>
      </c>
      <c r="AE59" s="11"/>
      <c r="AF59" s="646" t="str">
        <f t="shared" si="4"/>
        <v/>
      </c>
      <c r="AG59" s="644" t="s">
        <v>2243</v>
      </c>
      <c r="AH59" s="11"/>
      <c r="AI59" s="646" t="str">
        <f t="shared" si="0"/>
        <v/>
      </c>
      <c r="AJ59" s="644" t="str">
        <f>IF($B59="","",SUM(#REF!)*AI59)</f>
        <v/>
      </c>
      <c r="AL59" s="644" t="str">
        <f t="shared" si="1"/>
        <v/>
      </c>
    </row>
    <row r="60" spans="1:38" ht="24.95" hidden="1" customHeight="1">
      <c r="A60" s="11" t="str">
        <f>IF(Cotations!C45=FALSE,"",Cotations!E45)</f>
        <v/>
      </c>
      <c r="B60" s="11" t="str">
        <f>IF(Cotations!C45=FALSE,"",Cotations!G45)</f>
        <v/>
      </c>
      <c r="C60" s="11" t="str">
        <f>IF($B60="","",IF(LISTES!$A$17=3,Crewlist!G45,Detail!L45))</f>
        <v/>
      </c>
      <c r="D60" s="11" t="str">
        <f>IF($B60="","",Cotations!I45)</f>
        <v/>
      </c>
      <c r="E60" s="17" t="str">
        <f>IF($B60="","",Cotations!P45)</f>
        <v/>
      </c>
      <c r="F60" s="17" t="str">
        <f>IF($B60="","",Cotations!N45)</f>
        <v/>
      </c>
      <c r="G60" s="17" t="str">
        <f>IF($B60="","",Cotations!U45)</f>
        <v/>
      </c>
      <c r="H60" s="17" t="str">
        <f>IF($B60="","",Calcul!X45)</f>
        <v/>
      </c>
      <c r="I60" s="11" t="str">
        <f>IF($B60="","",Calcul!ED45)</f>
        <v/>
      </c>
      <c r="J60" s="11" t="str">
        <f>IF($B60="","",Calcul!ID45)</f>
        <v/>
      </c>
      <c r="K60" s="16" t="str">
        <f>IF($B60="","",Calcul!AH45)</f>
        <v/>
      </c>
      <c r="L60" s="646" t="str">
        <f>IF($B60="","",IF(ALLTHESAME=TRUE,Cotations!$AM$4,Cotations!AM45))</f>
        <v/>
      </c>
      <c r="M60" s="644" t="str">
        <f>IF($B60="","",(Calcul!AJ45+Calcul!AQ45)*L60)</f>
        <v/>
      </c>
      <c r="N60" s="646" t="str">
        <f>IF($B60="","",IF(ALLTHESAME=TRUE,Cotations!$BH$4,Cotations!BH45))</f>
        <v/>
      </c>
      <c r="O60" s="644" t="str">
        <f>IF($B60="","",IF(Cotations!$BA$6=0,(Calcul!AK45*N60),Cotations!$Z$4*E60))</f>
        <v/>
      </c>
      <c r="P60" s="646">
        <v>0</v>
      </c>
      <c r="Q60" s="644" t="str">
        <f>IF($B60="","",Calcul!X45*P60)</f>
        <v/>
      </c>
      <c r="R60" s="646" t="str">
        <f t="shared" si="5"/>
        <v/>
      </c>
      <c r="S60" s="644" t="str">
        <f>IF($B60="","",((Calcul!AS45*R60)+Calcul!AL45)*R60)</f>
        <v/>
      </c>
      <c r="T60" s="646" t="str">
        <f>IF($B60="","",Cotations!BI45)</f>
        <v/>
      </c>
      <c r="U60" s="644" t="str">
        <f>IF($B60="","",(Calcul!AT45+Calcul!AL45)*T60)</f>
        <v/>
      </c>
      <c r="V60" s="646">
        <v>0</v>
      </c>
      <c r="W60" s="644" t="str">
        <f>IF($B60="","",Calcul!X45*V60)</f>
        <v/>
      </c>
      <c r="X60" s="650" t="str">
        <f t="shared" si="3"/>
        <v/>
      </c>
      <c r="AE60" s="11"/>
      <c r="AF60" s="646" t="str">
        <f t="shared" si="4"/>
        <v/>
      </c>
      <c r="AG60" s="644" t="s">
        <v>2243</v>
      </c>
      <c r="AH60" s="11"/>
      <c r="AI60" s="646" t="str">
        <f t="shared" si="0"/>
        <v/>
      </c>
      <c r="AJ60" s="644" t="str">
        <f>IF($B60="","",SUM(#REF!)*AI60)</f>
        <v/>
      </c>
      <c r="AL60" s="644" t="str">
        <f t="shared" si="1"/>
        <v/>
      </c>
    </row>
    <row r="61" spans="1:38" ht="24.95" hidden="1" customHeight="1">
      <c r="A61" s="11" t="str">
        <f>IF(Cotations!C46=FALSE,"",Cotations!E46)</f>
        <v/>
      </c>
      <c r="B61" s="11" t="str">
        <f>IF(Cotations!C46=FALSE,"",Cotations!G46)</f>
        <v/>
      </c>
      <c r="C61" s="11" t="str">
        <f>IF($B61="","",IF(LISTES!$A$17=3,Crewlist!G46,Detail!L46))</f>
        <v/>
      </c>
      <c r="D61" s="11" t="str">
        <f>IF($B61="","",Cotations!I46)</f>
        <v/>
      </c>
      <c r="E61" s="17" t="str">
        <f>IF($B61="","",Cotations!P46)</f>
        <v/>
      </c>
      <c r="F61" s="17" t="str">
        <f>IF($B61="","",Cotations!N46)</f>
        <v/>
      </c>
      <c r="G61" s="17" t="str">
        <f>IF($B61="","",Cotations!U46)</f>
        <v/>
      </c>
      <c r="H61" s="17" t="str">
        <f>IF($B61="","",Calcul!X46)</f>
        <v/>
      </c>
      <c r="I61" s="11" t="str">
        <f>IF($B61="","",Calcul!ED46)</f>
        <v/>
      </c>
      <c r="J61" s="11" t="str">
        <f>IF($B61="","",Calcul!ID46)</f>
        <v/>
      </c>
      <c r="K61" s="16" t="str">
        <f>IF($B61="","",Calcul!AH46)</f>
        <v/>
      </c>
      <c r="L61" s="646" t="str">
        <f>IF($B61="","",IF(ALLTHESAME=TRUE,Cotations!$AM$4,Cotations!AM46))</f>
        <v/>
      </c>
      <c r="M61" s="644" t="str">
        <f>IF($B61="","",(Calcul!AJ46+Calcul!AQ46)*L61)</f>
        <v/>
      </c>
      <c r="N61" s="646" t="str">
        <f>IF($B61="","",IF(ALLTHESAME=TRUE,Cotations!$BH$4,Cotations!BH46))</f>
        <v/>
      </c>
      <c r="O61" s="644" t="str">
        <f>IF($B61="","",IF(Cotations!$BA$6=0,(Calcul!AK46*N61),Cotations!$Z$4*E61))</f>
        <v/>
      </c>
      <c r="P61" s="646">
        <v>0</v>
      </c>
      <c r="Q61" s="644" t="str">
        <f>IF($B61="","",Calcul!X46*P61)</f>
        <v/>
      </c>
      <c r="R61" s="646" t="str">
        <f t="shared" si="5"/>
        <v/>
      </c>
      <c r="S61" s="644" t="str">
        <f>IF($B61="","",((Calcul!AS46*R61)+Calcul!AL46)*R61)</f>
        <v/>
      </c>
      <c r="T61" s="646" t="str">
        <f>IF($B61="","",Cotations!BI46)</f>
        <v/>
      </c>
      <c r="U61" s="644" t="str">
        <f>IF($B61="","",(Calcul!AT46+Calcul!AL46)*T61)</f>
        <v/>
      </c>
      <c r="V61" s="646">
        <v>0</v>
      </c>
      <c r="W61" s="644" t="str">
        <f>IF($B61="","",Calcul!X46*V61)</f>
        <v/>
      </c>
      <c r="X61" s="650" t="str">
        <f t="shared" si="3"/>
        <v/>
      </c>
      <c r="AE61" s="11"/>
      <c r="AF61" s="646" t="str">
        <f t="shared" si="4"/>
        <v/>
      </c>
      <c r="AG61" s="644" t="s">
        <v>2243</v>
      </c>
      <c r="AH61" s="11"/>
      <c r="AI61" s="646" t="str">
        <f t="shared" si="0"/>
        <v/>
      </c>
      <c r="AJ61" s="644" t="str">
        <f>IF($B61="","",SUM(#REF!)*AI61)</f>
        <v/>
      </c>
      <c r="AL61" s="644" t="str">
        <f t="shared" si="1"/>
        <v/>
      </c>
    </row>
    <row r="62" spans="1:38" ht="24.95" hidden="1" customHeight="1">
      <c r="A62" s="11" t="str">
        <f>IF(Cotations!C47=FALSE,"",Cotations!E47)</f>
        <v/>
      </c>
      <c r="B62" s="11" t="str">
        <f>IF(Cotations!C47=FALSE,"",Cotations!G47)</f>
        <v/>
      </c>
      <c r="C62" s="11" t="str">
        <f>IF($B62="","",IF(LISTES!$A$17=3,Crewlist!G47,Detail!L47))</f>
        <v/>
      </c>
      <c r="D62" s="11" t="str">
        <f>IF($B62="","",Cotations!I47)</f>
        <v/>
      </c>
      <c r="E62" s="17" t="str">
        <f>IF($B62="","",Cotations!P47)</f>
        <v/>
      </c>
      <c r="F62" s="17" t="str">
        <f>IF($B62="","",Cotations!N47)</f>
        <v/>
      </c>
      <c r="G62" s="17" t="str">
        <f>IF($B62="","",Cotations!U47)</f>
        <v/>
      </c>
      <c r="H62" s="17" t="str">
        <f>IF($B62="","",Calcul!X47)</f>
        <v/>
      </c>
      <c r="I62" s="11" t="str">
        <f>IF($B62="","",Calcul!ED47)</f>
        <v/>
      </c>
      <c r="J62" s="11" t="str">
        <f>IF($B62="","",Calcul!ID47)</f>
        <v/>
      </c>
      <c r="K62" s="16" t="str">
        <f>IF($B62="","",Calcul!AH47)</f>
        <v/>
      </c>
      <c r="L62" s="646" t="str">
        <f>IF($B62="","",IF(ALLTHESAME=TRUE,Cotations!$AM$4,Cotations!AM47))</f>
        <v/>
      </c>
      <c r="M62" s="644" t="str">
        <f>IF($B62="","",(Calcul!AJ47+Calcul!AQ47)*L62)</f>
        <v/>
      </c>
      <c r="N62" s="646" t="str">
        <f>IF($B62="","",IF(ALLTHESAME=TRUE,Cotations!$BH$4,Cotations!BH47))</f>
        <v/>
      </c>
      <c r="O62" s="644" t="str">
        <f>IF($B62="","",IF(Cotations!$BA$6=0,(Calcul!AK47*N62),Cotations!$Z$4*E62))</f>
        <v/>
      </c>
      <c r="P62" s="646">
        <v>0</v>
      </c>
      <c r="Q62" s="644" t="str">
        <f>IF($B62="","",Calcul!X47*P62)</f>
        <v/>
      </c>
      <c r="R62" s="646" t="str">
        <f t="shared" si="5"/>
        <v/>
      </c>
      <c r="S62" s="644" t="str">
        <f>IF($B62="","",((Calcul!AS47*R62)+Calcul!AL47)*R62)</f>
        <v/>
      </c>
      <c r="T62" s="646" t="str">
        <f>IF($B62="","",Cotations!BI47)</f>
        <v/>
      </c>
      <c r="U62" s="644" t="str">
        <f>IF($B62="","",(Calcul!AT47+Calcul!AL47)*T62)</f>
        <v/>
      </c>
      <c r="V62" s="646">
        <v>0</v>
      </c>
      <c r="W62" s="644" t="str">
        <f>IF($B62="","",Calcul!X47*V62)</f>
        <v/>
      </c>
      <c r="X62" s="650" t="str">
        <f t="shared" si="3"/>
        <v/>
      </c>
      <c r="AE62" s="11"/>
      <c r="AF62" s="646" t="str">
        <f t="shared" si="4"/>
        <v/>
      </c>
      <c r="AG62" s="644" t="s">
        <v>2243</v>
      </c>
      <c r="AH62" s="11"/>
      <c r="AI62" s="646" t="str">
        <f t="shared" si="0"/>
        <v/>
      </c>
      <c r="AJ62" s="644" t="str">
        <f>IF($B62="","",SUM(#REF!)*AI62)</f>
        <v/>
      </c>
      <c r="AL62" s="644" t="str">
        <f t="shared" si="1"/>
        <v/>
      </c>
    </row>
    <row r="63" spans="1:38" ht="24.95" hidden="1" customHeight="1">
      <c r="A63" s="11" t="str">
        <f>IF(Cotations!C48=FALSE,"",Cotations!E48)</f>
        <v/>
      </c>
      <c r="B63" s="11" t="str">
        <f>IF(Cotations!C48=FALSE,"",Cotations!G48)</f>
        <v/>
      </c>
      <c r="C63" s="11" t="str">
        <f>IF($B63="","",IF(LISTES!$A$17=3,Crewlist!G48,Detail!L48))</f>
        <v/>
      </c>
      <c r="D63" s="11" t="str">
        <f>IF($B63="","",Cotations!I48)</f>
        <v/>
      </c>
      <c r="E63" s="17" t="str">
        <f>IF($B63="","",Cotations!P48)</f>
        <v/>
      </c>
      <c r="F63" s="17" t="str">
        <f>IF($B63="","",Cotations!N48)</f>
        <v/>
      </c>
      <c r="G63" s="17" t="str">
        <f>IF($B63="","",Cotations!U48)</f>
        <v/>
      </c>
      <c r="H63" s="17" t="str">
        <f>IF($B63="","",Calcul!X48)</f>
        <v/>
      </c>
      <c r="I63" s="11" t="str">
        <f>IF($B63="","",Calcul!ED48)</f>
        <v/>
      </c>
      <c r="J63" s="11" t="str">
        <f>IF($B63="","",Calcul!ID48)</f>
        <v/>
      </c>
      <c r="K63" s="16" t="str">
        <f>IF($B63="","",Calcul!AH48)</f>
        <v/>
      </c>
      <c r="L63" s="646" t="str">
        <f>IF($B63="","",IF(ALLTHESAME=TRUE,Cotations!$AM$4,Cotations!AM48))</f>
        <v/>
      </c>
      <c r="M63" s="644" t="str">
        <f>IF($B63="","",(Calcul!AJ48+Calcul!AQ48)*L63)</f>
        <v/>
      </c>
      <c r="N63" s="646" t="str">
        <f>IF($B63="","",IF(ALLTHESAME=TRUE,Cotations!$BH$4,Cotations!BH48))</f>
        <v/>
      </c>
      <c r="O63" s="644" t="str">
        <f>IF($B63="","",IF(Cotations!$BA$6=0,(Calcul!AK48*N63),Cotations!$Z$4*E63))</f>
        <v/>
      </c>
      <c r="P63" s="646">
        <v>0</v>
      </c>
      <c r="Q63" s="644" t="str">
        <f>IF($B63="","",Calcul!X48*P63)</f>
        <v/>
      </c>
      <c r="R63" s="646" t="str">
        <f t="shared" si="5"/>
        <v/>
      </c>
      <c r="S63" s="644" t="str">
        <f>IF($B63="","",((Calcul!AS48*R63)+Calcul!AL48)*R63)</f>
        <v/>
      </c>
      <c r="T63" s="646" t="str">
        <f>IF($B63="","",Cotations!BI48)</f>
        <v/>
      </c>
      <c r="U63" s="644" t="str">
        <f>IF($B63="","",(Calcul!AT48+Calcul!AL48)*T63)</f>
        <v/>
      </c>
      <c r="V63" s="646">
        <v>0</v>
      </c>
      <c r="W63" s="644" t="str">
        <f>IF($B63="","",Calcul!X48*V63)</f>
        <v/>
      </c>
      <c r="X63" s="650" t="str">
        <f t="shared" si="3"/>
        <v/>
      </c>
      <c r="AE63" s="11"/>
      <c r="AF63" s="646" t="str">
        <f t="shared" si="4"/>
        <v/>
      </c>
      <c r="AG63" s="644" t="s">
        <v>2243</v>
      </c>
      <c r="AH63" s="11"/>
      <c r="AI63" s="646" t="str">
        <f t="shared" si="0"/>
        <v/>
      </c>
      <c r="AJ63" s="644" t="str">
        <f>IF($B63="","",SUM(#REF!)*AI63)</f>
        <v/>
      </c>
      <c r="AL63" s="644" t="str">
        <f t="shared" si="1"/>
        <v/>
      </c>
    </row>
    <row r="64" spans="1:38" ht="24.95" hidden="1" customHeight="1">
      <c r="A64" s="11" t="str">
        <f>IF(Cotations!C49=FALSE,"",Cotations!E49)</f>
        <v/>
      </c>
      <c r="B64" s="11" t="str">
        <f>IF(Cotations!C49=FALSE,"",Cotations!G49)</f>
        <v/>
      </c>
      <c r="C64" s="11" t="str">
        <f>IF($B64="","",IF(LISTES!$A$17=3,Crewlist!G49,Detail!L49))</f>
        <v/>
      </c>
      <c r="D64" s="11" t="str">
        <f>IF($B64="","",Cotations!I49)</f>
        <v/>
      </c>
      <c r="E64" s="17" t="str">
        <f>IF($B64="","",Cotations!P49)</f>
        <v/>
      </c>
      <c r="F64" s="17" t="str">
        <f>IF($B64="","",Cotations!N49)</f>
        <v/>
      </c>
      <c r="G64" s="17" t="str">
        <f>IF($B64="","",Cotations!U49)</f>
        <v/>
      </c>
      <c r="H64" s="17" t="str">
        <f>IF($B64="","",Calcul!X49)</f>
        <v/>
      </c>
      <c r="I64" s="11" t="str">
        <f>IF($B64="","",Calcul!ED49)</f>
        <v/>
      </c>
      <c r="J64" s="11" t="str">
        <f>IF($B64="","",Calcul!ID49)</f>
        <v/>
      </c>
      <c r="K64" s="16" t="str">
        <f>IF($B64="","",Calcul!AH49)</f>
        <v/>
      </c>
      <c r="L64" s="646" t="str">
        <f>IF($B64="","",IF(ALLTHESAME=TRUE,Cotations!$AM$4,Cotations!AM49))</f>
        <v/>
      </c>
      <c r="M64" s="644" t="str">
        <f>IF($B64="","",(Calcul!AJ49+Calcul!AQ49)*L64)</f>
        <v/>
      </c>
      <c r="N64" s="646" t="str">
        <f>IF($B64="","",IF(ALLTHESAME=TRUE,Cotations!$BH$4,Cotations!BH49))</f>
        <v/>
      </c>
      <c r="O64" s="644" t="str">
        <f>IF($B64="","",IF(Cotations!$BA$6=0,(Calcul!AK49*N64),Cotations!$Z$4*E64))</f>
        <v/>
      </c>
      <c r="P64" s="646">
        <v>0</v>
      </c>
      <c r="Q64" s="644" t="str">
        <f>IF($B64="","",Calcul!X49*P64)</f>
        <v/>
      </c>
      <c r="R64" s="646" t="str">
        <f t="shared" si="5"/>
        <v/>
      </c>
      <c r="S64" s="644" t="str">
        <f>IF($B64="","",((Calcul!AS49*R64)+Calcul!AL49)*R64)</f>
        <v/>
      </c>
      <c r="T64" s="646" t="str">
        <f>IF($B64="","",Cotations!BI49)</f>
        <v/>
      </c>
      <c r="U64" s="644" t="str">
        <f>IF($B64="","",(Calcul!AT49+Calcul!AL49)*T64)</f>
        <v/>
      </c>
      <c r="V64" s="646">
        <v>0</v>
      </c>
      <c r="W64" s="644" t="str">
        <f>IF($B64="","",Calcul!X49*V64)</f>
        <v/>
      </c>
      <c r="X64" s="650" t="str">
        <f t="shared" si="3"/>
        <v/>
      </c>
      <c r="AE64" s="11"/>
      <c r="AF64" s="646" t="str">
        <f t="shared" si="4"/>
        <v/>
      </c>
      <c r="AG64" s="644" t="s">
        <v>2243</v>
      </c>
      <c r="AH64" s="11"/>
      <c r="AI64" s="646" t="str">
        <f t="shared" si="0"/>
        <v/>
      </c>
      <c r="AJ64" s="644" t="str">
        <f>IF($B64="","",SUM(#REF!)*AI64)</f>
        <v/>
      </c>
      <c r="AL64" s="644" t="str">
        <f t="shared" si="1"/>
        <v/>
      </c>
    </row>
    <row r="65" spans="1:38" ht="24.95" hidden="1" customHeight="1">
      <c r="A65" s="11" t="str">
        <f>IF(Cotations!C50=FALSE,"",Cotations!E50)</f>
        <v/>
      </c>
      <c r="B65" s="11" t="str">
        <f>IF(Cotations!C50=FALSE,"",Cotations!G50)</f>
        <v/>
      </c>
      <c r="C65" s="11" t="str">
        <f>IF($B65="","",IF(LISTES!$A$17=3,Crewlist!G50,Detail!L50))</f>
        <v/>
      </c>
      <c r="D65" s="11" t="str">
        <f>IF($B65="","",Cotations!I50)</f>
        <v/>
      </c>
      <c r="E65" s="17" t="str">
        <f>IF($B65="","",Cotations!P50)</f>
        <v/>
      </c>
      <c r="F65" s="17" t="str">
        <f>IF($B65="","",Cotations!N50)</f>
        <v/>
      </c>
      <c r="G65" s="17" t="str">
        <f>IF($B65="","",Cotations!U50)</f>
        <v/>
      </c>
      <c r="H65" s="17" t="str">
        <f>IF($B65="","",Calcul!X50)</f>
        <v/>
      </c>
      <c r="I65" s="11" t="str">
        <f>IF($B65="","",Calcul!ED50)</f>
        <v/>
      </c>
      <c r="J65" s="11" t="str">
        <f>IF($B65="","",Calcul!ID50)</f>
        <v/>
      </c>
      <c r="K65" s="16" t="str">
        <f>IF($B65="","",Calcul!AH50)</f>
        <v/>
      </c>
      <c r="L65" s="646" t="str">
        <f>IF($B65="","",IF(ALLTHESAME=TRUE,Cotations!$AM$4,Cotations!AM50))</f>
        <v/>
      </c>
      <c r="M65" s="644" t="str">
        <f>IF($B65="","",(Calcul!AJ50+Calcul!AQ50)*L65)</f>
        <v/>
      </c>
      <c r="N65" s="646" t="str">
        <f>IF($B65="","",IF(ALLTHESAME=TRUE,Cotations!$BH$4,Cotations!BH50))</f>
        <v/>
      </c>
      <c r="O65" s="644" t="str">
        <f>IF($B65="","",IF(Cotations!$BA$6=0,(Calcul!AK50*N65),Cotations!$Z$4*E65))</f>
        <v/>
      </c>
      <c r="P65" s="646">
        <v>0</v>
      </c>
      <c r="Q65" s="644" t="str">
        <f>IF($B65="","",Calcul!X50*P65)</f>
        <v/>
      </c>
      <c r="R65" s="646" t="str">
        <f t="shared" si="5"/>
        <v/>
      </c>
      <c r="S65" s="644" t="str">
        <f>IF($B65="","",((Calcul!AS50*R65)+Calcul!AL50)*R65)</f>
        <v/>
      </c>
      <c r="T65" s="646" t="str">
        <f>IF($B65="","",Cotations!BI50)</f>
        <v/>
      </c>
      <c r="U65" s="644" t="str">
        <f>IF($B65="","",(Calcul!AT50+Calcul!AL50)*T65)</f>
        <v/>
      </c>
      <c r="V65" s="646">
        <v>0</v>
      </c>
      <c r="W65" s="644" t="str">
        <f>IF($B65="","",Calcul!X50*V65)</f>
        <v/>
      </c>
      <c r="X65" s="650" t="str">
        <f t="shared" si="3"/>
        <v/>
      </c>
      <c r="AE65" s="11"/>
      <c r="AF65" s="646" t="str">
        <f t="shared" si="4"/>
        <v/>
      </c>
      <c r="AG65" s="644" t="s">
        <v>2243</v>
      </c>
      <c r="AH65" s="11"/>
      <c r="AI65" s="646" t="str">
        <f t="shared" si="0"/>
        <v/>
      </c>
      <c r="AJ65" s="644" t="str">
        <f>IF($B65="","",SUM(#REF!)*AI65)</f>
        <v/>
      </c>
      <c r="AL65" s="644" t="str">
        <f t="shared" si="1"/>
        <v/>
      </c>
    </row>
    <row r="66" spans="1:38" ht="24.95" hidden="1" customHeight="1">
      <c r="A66" s="11" t="str">
        <f>IF(Cotations!C51=FALSE,"",Cotations!E51)</f>
        <v/>
      </c>
      <c r="B66" s="11" t="str">
        <f>IF(Cotations!C51=FALSE,"",Cotations!G51)</f>
        <v/>
      </c>
      <c r="C66" s="11" t="str">
        <f>IF($B66="","",IF(LISTES!$A$17=3,Crewlist!G51,Detail!L51))</f>
        <v/>
      </c>
      <c r="D66" s="11" t="str">
        <f>IF($B66="","",Cotations!I51)</f>
        <v/>
      </c>
      <c r="E66" s="17" t="str">
        <f>IF($B66="","",Cotations!P51)</f>
        <v/>
      </c>
      <c r="F66" s="17" t="str">
        <f>IF($B66="","",Cotations!N51)</f>
        <v/>
      </c>
      <c r="G66" s="17" t="str">
        <f>IF($B66="","",Cotations!U51)</f>
        <v/>
      </c>
      <c r="H66" s="17" t="str">
        <f>IF($B66="","",Calcul!X51)</f>
        <v/>
      </c>
      <c r="I66" s="11" t="str">
        <f>IF($B66="","",Calcul!ED51)</f>
        <v/>
      </c>
      <c r="J66" s="11" t="str">
        <f>IF($B66="","",Calcul!ID51)</f>
        <v/>
      </c>
      <c r="K66" s="16" t="str">
        <f>IF($B66="","",Calcul!AH51)</f>
        <v/>
      </c>
      <c r="L66" s="646" t="str">
        <f>IF($B66="","",IF(ALLTHESAME=TRUE,Cotations!$AM$4,Cotations!AM51))</f>
        <v/>
      </c>
      <c r="M66" s="644" t="str">
        <f>IF($B66="","",(Calcul!AJ51+Calcul!AQ51)*L66)</f>
        <v/>
      </c>
      <c r="N66" s="646" t="str">
        <f>IF($B66="","",IF(ALLTHESAME=TRUE,Cotations!$BH$4,Cotations!BH51))</f>
        <v/>
      </c>
      <c r="O66" s="644" t="str">
        <f>IF($B66="","",IF(Cotations!$BA$6=0,(Calcul!AK51*N66),Cotations!$Z$4*E66))</f>
        <v/>
      </c>
      <c r="P66" s="646">
        <v>0</v>
      </c>
      <c r="Q66" s="644" t="str">
        <f>IF($B66="","",Calcul!X51*P66)</f>
        <v/>
      </c>
      <c r="R66" s="646" t="str">
        <f t="shared" si="5"/>
        <v/>
      </c>
      <c r="S66" s="644" t="str">
        <f>IF($B66="","",((Calcul!AS51*R66)+Calcul!AL51)*R66)</f>
        <v/>
      </c>
      <c r="T66" s="646" t="str">
        <f>IF($B66="","",Cotations!BI51)</f>
        <v/>
      </c>
      <c r="U66" s="644" t="str">
        <f>IF($B66="","",(Calcul!AT51+Calcul!AL51)*T66)</f>
        <v/>
      </c>
      <c r="V66" s="646">
        <v>0</v>
      </c>
      <c r="W66" s="644" t="str">
        <f>IF($B66="","",Calcul!X51*V66)</f>
        <v/>
      </c>
      <c r="X66" s="650" t="str">
        <f t="shared" si="3"/>
        <v/>
      </c>
      <c r="AE66" s="11"/>
      <c r="AF66" s="646" t="str">
        <f t="shared" si="4"/>
        <v/>
      </c>
      <c r="AG66" s="644" t="s">
        <v>2243</v>
      </c>
      <c r="AH66" s="11"/>
      <c r="AI66" s="646" t="str">
        <f t="shared" si="0"/>
        <v/>
      </c>
      <c r="AJ66" s="644" t="str">
        <f>IF($B66="","",SUM(#REF!)*AI66)</f>
        <v/>
      </c>
      <c r="AL66" s="644" t="str">
        <f t="shared" si="1"/>
        <v/>
      </c>
    </row>
    <row r="67" spans="1:38" ht="24.95" hidden="1" customHeight="1">
      <c r="A67" s="11" t="str">
        <f>IF(Cotations!C52=FALSE,"",Cotations!E52)</f>
        <v/>
      </c>
      <c r="B67" s="11" t="str">
        <f>IF(Cotations!C52=FALSE,"",Cotations!G52)</f>
        <v/>
      </c>
      <c r="C67" s="11" t="str">
        <f>IF($B67="","",IF(LISTES!$A$17=3,Crewlist!G52,Detail!L52))</f>
        <v/>
      </c>
      <c r="D67" s="11" t="str">
        <f>IF($B67="","",Cotations!I52)</f>
        <v/>
      </c>
      <c r="E67" s="17" t="str">
        <f>IF($B67="","",Cotations!P52)</f>
        <v/>
      </c>
      <c r="F67" s="17" t="str">
        <f>IF($B67="","",Cotations!N52)</f>
        <v/>
      </c>
      <c r="G67" s="17" t="str">
        <f>IF($B67="","",Cotations!U52)</f>
        <v/>
      </c>
      <c r="H67" s="17" t="str">
        <f>IF($B67="","",Calcul!X52)</f>
        <v/>
      </c>
      <c r="I67" s="11" t="str">
        <f>IF($B67="","",Calcul!ED52)</f>
        <v/>
      </c>
      <c r="J67" s="11" t="str">
        <f>IF($B67="","",Calcul!ID52)</f>
        <v/>
      </c>
      <c r="K67" s="16" t="str">
        <f>IF($B67="","",Calcul!AH52)</f>
        <v/>
      </c>
      <c r="L67" s="646" t="str">
        <f>IF($B67="","",IF(ALLTHESAME=TRUE,Cotations!$AM$4,Cotations!AM52))</f>
        <v/>
      </c>
      <c r="M67" s="644" t="str">
        <f>IF($B67="","",(Calcul!AJ52+Calcul!AQ52)*L67)</f>
        <v/>
      </c>
      <c r="N67" s="646" t="str">
        <f>IF($B67="","",IF(ALLTHESAME=TRUE,Cotations!$BH$4,Cotations!BH52))</f>
        <v/>
      </c>
      <c r="O67" s="644" t="str">
        <f>IF($B67="","",IF(Cotations!$BA$6=0,(Calcul!AK52*N67),Cotations!$Z$4*E67))</f>
        <v/>
      </c>
      <c r="P67" s="646">
        <v>0</v>
      </c>
      <c r="Q67" s="644" t="str">
        <f>IF($B67="","",Calcul!X52*P67)</f>
        <v/>
      </c>
      <c r="R67" s="646" t="str">
        <f t="shared" si="5"/>
        <v/>
      </c>
      <c r="S67" s="644" t="str">
        <f>IF($B67="","",((Calcul!AS52*R67)+Calcul!AL52)*R67)</f>
        <v/>
      </c>
      <c r="T67" s="646" t="str">
        <f>IF($B67="","",Cotations!BI52)</f>
        <v/>
      </c>
      <c r="U67" s="644" t="str">
        <f>IF($B67="","",(Calcul!AT52+Calcul!AL52)*T67)</f>
        <v/>
      </c>
      <c r="V67" s="646">
        <v>0</v>
      </c>
      <c r="W67" s="644" t="str">
        <f>IF($B67="","",Calcul!X52*V67)</f>
        <v/>
      </c>
      <c r="X67" s="650" t="str">
        <f t="shared" si="3"/>
        <v/>
      </c>
      <c r="AE67" s="11"/>
      <c r="AF67" s="646" t="str">
        <f t="shared" si="4"/>
        <v/>
      </c>
      <c r="AG67" s="644" t="s">
        <v>2243</v>
      </c>
      <c r="AH67" s="11"/>
      <c r="AI67" s="646" t="str">
        <f t="shared" si="0"/>
        <v/>
      </c>
      <c r="AJ67" s="644" t="str">
        <f>IF($B67="","",SUM(#REF!)*AI67)</f>
        <v/>
      </c>
      <c r="AL67" s="644" t="str">
        <f t="shared" si="1"/>
        <v/>
      </c>
    </row>
    <row r="68" spans="1:38" ht="24.95" hidden="1" customHeight="1">
      <c r="A68" s="11" t="str">
        <f>IF(Cotations!C53=FALSE,"",Cotations!E53)</f>
        <v/>
      </c>
      <c r="B68" s="11" t="str">
        <f>IF(Cotations!C53=FALSE,"",Cotations!G53)</f>
        <v/>
      </c>
      <c r="C68" s="11" t="str">
        <f>IF($B68="","",IF(LISTES!$A$17=3,Crewlist!G53,Detail!L53))</f>
        <v/>
      </c>
      <c r="D68" s="11" t="str">
        <f>IF($B68="","",Cotations!I53)</f>
        <v/>
      </c>
      <c r="E68" s="17" t="str">
        <f>IF($B68="","",Cotations!P53)</f>
        <v/>
      </c>
      <c r="F68" s="17" t="str">
        <f>IF($B68="","",Cotations!N53)</f>
        <v/>
      </c>
      <c r="G68" s="17" t="str">
        <f>IF($B68="","",Cotations!U53)</f>
        <v/>
      </c>
      <c r="H68" s="17" t="str">
        <f>IF($B68="","",Calcul!X53)</f>
        <v/>
      </c>
      <c r="I68" s="11" t="str">
        <f>IF($B68="","",Calcul!ED53)</f>
        <v/>
      </c>
      <c r="J68" s="11" t="str">
        <f>IF($B68="","",Calcul!ID53)</f>
        <v/>
      </c>
      <c r="K68" s="16" t="str">
        <f>IF($B68="","",Calcul!AH53)</f>
        <v/>
      </c>
      <c r="L68" s="646" t="str">
        <f>IF($B68="","",IF(ALLTHESAME=TRUE,Cotations!$AM$4,Cotations!AM53))</f>
        <v/>
      </c>
      <c r="M68" s="644" t="str">
        <f>IF($B68="","",(Calcul!AJ53+Calcul!AQ53)*L68)</f>
        <v/>
      </c>
      <c r="N68" s="646" t="str">
        <f>IF($B68="","",IF(ALLTHESAME=TRUE,Cotations!$BH$4,Cotations!BH53))</f>
        <v/>
      </c>
      <c r="O68" s="644" t="str">
        <f>IF($B68="","",IF(Cotations!$BA$6=0,(Calcul!AK53*N68),Cotations!$Z$4*E68))</f>
        <v/>
      </c>
      <c r="P68" s="646">
        <v>0</v>
      </c>
      <c r="Q68" s="644" t="str">
        <f>IF($B68="","",Calcul!X53*P68)</f>
        <v/>
      </c>
      <c r="R68" s="646" t="str">
        <f t="shared" si="5"/>
        <v/>
      </c>
      <c r="S68" s="644" t="str">
        <f>IF($B68="","",((Calcul!AS53*R68)+Calcul!AL53)*R68)</f>
        <v/>
      </c>
      <c r="T68" s="646" t="str">
        <f>IF($B68="","",Cotations!BI53)</f>
        <v/>
      </c>
      <c r="U68" s="644" t="str">
        <f>IF($B68="","",(Calcul!AT53+Calcul!AL53)*T68)</f>
        <v/>
      </c>
      <c r="V68" s="646">
        <v>0</v>
      </c>
      <c r="W68" s="644" t="str">
        <f>IF($B68="","",Calcul!X53*V68)</f>
        <v/>
      </c>
      <c r="X68" s="650" t="str">
        <f t="shared" si="3"/>
        <v/>
      </c>
      <c r="AE68" s="11"/>
      <c r="AF68" s="646" t="str">
        <f t="shared" si="4"/>
        <v/>
      </c>
      <c r="AG68" s="644" t="s">
        <v>2243</v>
      </c>
      <c r="AH68" s="11"/>
      <c r="AI68" s="646" t="str">
        <f t="shared" si="0"/>
        <v/>
      </c>
      <c r="AJ68" s="644" t="str">
        <f>IF($B68="","",SUM(#REF!)*AI68)</f>
        <v/>
      </c>
      <c r="AL68" s="644" t="str">
        <f t="shared" si="1"/>
        <v/>
      </c>
    </row>
    <row r="69" spans="1:38" s="647" customFormat="1" ht="24.95" hidden="1" customHeight="1">
      <c r="A69" s="11" t="str">
        <f>IF(Cotations!C54=FALSE,"",Cotations!E54)</f>
        <v/>
      </c>
      <c r="B69" s="11" t="str">
        <f>IF(Cotations!C54=FALSE,"",Cotations!G54)</f>
        <v/>
      </c>
      <c r="C69" s="11" t="str">
        <f>IF($B69="","",IF(LISTES!$A$17=3,Crewlist!G54,Detail!L54))</f>
        <v/>
      </c>
      <c r="D69" s="11" t="str">
        <f>IF($B69="","",Cotations!I54)</f>
        <v/>
      </c>
      <c r="E69" s="17" t="str">
        <f>IF($B69="","",Cotations!P54)</f>
        <v/>
      </c>
      <c r="F69" s="17" t="str">
        <f>IF($B69="","",Cotations!N54)</f>
        <v/>
      </c>
      <c r="G69" s="17" t="str">
        <f>IF($B69="","",Cotations!U54)</f>
        <v/>
      </c>
      <c r="H69" s="17" t="str">
        <f>IF($B69="","",Calcul!X54)</f>
        <v/>
      </c>
      <c r="I69" s="11" t="str">
        <f>IF($B69="","",Calcul!ED54)</f>
        <v/>
      </c>
      <c r="J69" s="11" t="str">
        <f>IF($B69="","",Calcul!ID54)</f>
        <v/>
      </c>
      <c r="K69" s="16" t="str">
        <f>IF($B69="","",Calcul!AH54)</f>
        <v/>
      </c>
      <c r="L69" s="646" t="str">
        <f>IF($B69="","",IF(ALLTHESAME=TRUE,Cotations!$AM$4,Cotations!AM54))</f>
        <v/>
      </c>
      <c r="M69" s="644" t="str">
        <f>IF($B69="","",(Calcul!AJ54+Calcul!AQ54)*L69)</f>
        <v/>
      </c>
      <c r="N69" s="646" t="str">
        <f>IF($B69="","",IF(ALLTHESAME=TRUE,Cotations!$BH$4,Cotations!BH54))</f>
        <v/>
      </c>
      <c r="O69" s="644" t="str">
        <f>IF($B69="","",IF(Cotations!$BA$6=0,(Calcul!AK54*N69),Cotations!$Z$4*E69))</f>
        <v/>
      </c>
      <c r="P69" s="646">
        <v>0</v>
      </c>
      <c r="Q69" s="644" t="str">
        <f>IF($B69="","",Calcul!X54*P69)</f>
        <v/>
      </c>
      <c r="R69" s="646" t="str">
        <f t="shared" si="5"/>
        <v/>
      </c>
      <c r="S69" s="644" t="str">
        <f>IF($B69="","",((Calcul!AS54*R69)+Calcul!AL54)*R69)</f>
        <v/>
      </c>
      <c r="T69" s="646" t="str">
        <f>IF($B69="","",Cotations!BI54)</f>
        <v/>
      </c>
      <c r="U69" s="644" t="str">
        <f>IF($B69="","",(Calcul!AT54+Calcul!AL54)*T69)</f>
        <v/>
      </c>
      <c r="V69" s="646">
        <v>0</v>
      </c>
      <c r="W69" s="644" t="str">
        <f>IF($B69="","",Calcul!X54*V69)</f>
        <v/>
      </c>
      <c r="X69" s="650" t="str">
        <f t="shared" si="3"/>
        <v/>
      </c>
      <c r="AE69" s="11"/>
      <c r="AF69" s="646" t="str">
        <f t="shared" si="4"/>
        <v/>
      </c>
      <c r="AG69" s="644" t="s">
        <v>2243</v>
      </c>
      <c r="AH69" s="11"/>
      <c r="AI69" s="646" t="str">
        <f t="shared" si="0"/>
        <v/>
      </c>
      <c r="AJ69" s="645" t="str">
        <f>IF($B69="","",SUM(#REF!)*AI69)</f>
        <v/>
      </c>
      <c r="AL69" s="644" t="str">
        <f t="shared" si="1"/>
        <v/>
      </c>
    </row>
    <row r="70" spans="1:38" s="647" customFormat="1" ht="24.95" hidden="1" customHeight="1">
      <c r="A70" s="11" t="str">
        <f>IF(Cotations!C55=FALSE,"",Cotations!E55)</f>
        <v/>
      </c>
      <c r="B70" s="11" t="str">
        <f>IF(Cotations!C55=FALSE,"",Cotations!G55)</f>
        <v/>
      </c>
      <c r="C70" s="11" t="str">
        <f>IF($B70="","",IF(LISTES!$A$17=3,Crewlist!G55,Detail!L55))</f>
        <v/>
      </c>
      <c r="D70" s="11" t="str">
        <f>IF($B70="","",Cotations!I55)</f>
        <v/>
      </c>
      <c r="E70" s="17" t="str">
        <f>IF($B70="","",Cotations!P55)</f>
        <v/>
      </c>
      <c r="F70" s="17" t="str">
        <f>IF($B70="","",Cotations!N55)</f>
        <v/>
      </c>
      <c r="G70" s="17" t="str">
        <f>IF($B70="","",Cotations!U55)</f>
        <v/>
      </c>
      <c r="H70" s="17" t="str">
        <f>IF($B70="","",Calcul!X55)</f>
        <v/>
      </c>
      <c r="I70" s="11" t="str">
        <f>IF($B70="","",Calcul!ED55)</f>
        <v/>
      </c>
      <c r="J70" s="11" t="str">
        <f>IF($B70="","",Calcul!ID55)</f>
        <v/>
      </c>
      <c r="K70" s="16" t="str">
        <f>IF($B70="","",Calcul!AH55)</f>
        <v/>
      </c>
      <c r="L70" s="646" t="str">
        <f>IF($B70="","",IF(ALLTHESAME=TRUE,Cotations!$AM$4,Cotations!AM55))</f>
        <v/>
      </c>
      <c r="M70" s="644" t="str">
        <f>IF($B70="","",(Calcul!AJ55+Calcul!AQ55)*L70)</f>
        <v/>
      </c>
      <c r="N70" s="646" t="str">
        <f>IF($B70="","",IF(ALLTHESAME=TRUE,Cotations!$BH$4,Cotations!BH55))</f>
        <v/>
      </c>
      <c r="O70" s="644" t="str">
        <f>IF($B70="","",IF(Cotations!$BA$6=0,(Calcul!AK55*N70),Cotations!$Z$4*E70))</f>
        <v/>
      </c>
      <c r="P70" s="646">
        <v>0</v>
      </c>
      <c r="Q70" s="644" t="str">
        <f>IF($B70="","",Calcul!X55*P70)</f>
        <v/>
      </c>
      <c r="R70" s="646" t="str">
        <f t="shared" si="5"/>
        <v/>
      </c>
      <c r="S70" s="644" t="str">
        <f>IF($B70="","",((Calcul!AS55*R70)+Calcul!AL55)*R70)</f>
        <v/>
      </c>
      <c r="T70" s="646" t="str">
        <f>IF($B70="","",Cotations!BI55)</f>
        <v/>
      </c>
      <c r="U70" s="644" t="str">
        <f>IF($B70="","",(Calcul!AT55+Calcul!AL55)*T70)</f>
        <v/>
      </c>
      <c r="V70" s="646">
        <v>0</v>
      </c>
      <c r="W70" s="644" t="str">
        <f>IF($B70="","",Calcul!X55*V70)</f>
        <v/>
      </c>
      <c r="X70" s="650" t="str">
        <f t="shared" si="3"/>
        <v/>
      </c>
      <c r="AE70" s="11"/>
      <c r="AF70" s="646" t="str">
        <f t="shared" si="4"/>
        <v/>
      </c>
      <c r="AG70" s="644" t="s">
        <v>2243</v>
      </c>
      <c r="AH70" s="11"/>
      <c r="AI70" s="646" t="str">
        <f t="shared" si="0"/>
        <v/>
      </c>
      <c r="AJ70" s="645" t="str">
        <f>IF($B70="","",SUM(#REF!)*AI70)</f>
        <v/>
      </c>
      <c r="AL70" s="644" t="str">
        <f t="shared" si="1"/>
        <v/>
      </c>
    </row>
    <row r="71" spans="1:38" ht="24.95" hidden="1" customHeight="1">
      <c r="A71" s="11" t="str">
        <f>IF(Cotations!C56=FALSE,"",Cotations!E56)</f>
        <v/>
      </c>
      <c r="B71" s="11" t="str">
        <f>IF(Cotations!C56=FALSE,"",Cotations!G56)</f>
        <v/>
      </c>
      <c r="C71" s="11" t="str">
        <f>IF($B71="","",IF(LISTES!$A$17=3,Crewlist!G56,Detail!L56))</f>
        <v/>
      </c>
      <c r="D71" s="11" t="str">
        <f>IF($B71="","",Cotations!I56)</f>
        <v/>
      </c>
      <c r="E71" s="17" t="str">
        <f>IF($B71="","",Cotations!P56)</f>
        <v/>
      </c>
      <c r="F71" s="17" t="str">
        <f>IF($B71="","",Cotations!N56)</f>
        <v/>
      </c>
      <c r="G71" s="17" t="str">
        <f>IF($B71="","",Cotations!U56)</f>
        <v/>
      </c>
      <c r="H71" s="17" t="str">
        <f>IF($B71="","",Calcul!X56)</f>
        <v/>
      </c>
      <c r="I71" s="11" t="str">
        <f>IF($B71="","",Calcul!ED56)</f>
        <v/>
      </c>
      <c r="J71" s="11" t="str">
        <f>IF($B71="","",Calcul!ID56)</f>
        <v/>
      </c>
      <c r="K71" s="16" t="str">
        <f>IF($B71="","",Calcul!AH56)</f>
        <v/>
      </c>
      <c r="L71" s="646" t="str">
        <f>IF($B71="","",IF(ALLTHESAME=TRUE,Cotations!$AM$4,Cotations!AM56))</f>
        <v/>
      </c>
      <c r="M71" s="644" t="str">
        <f>IF($B71="","",(Calcul!AJ56+Calcul!AQ56)*L71)</f>
        <v/>
      </c>
      <c r="N71" s="646" t="str">
        <f>IF($B71="","",IF(ALLTHESAME=TRUE,Cotations!$BH$4,Cotations!BH56))</f>
        <v/>
      </c>
      <c r="O71" s="644" t="str">
        <f>IF($B71="","",IF(Cotations!$BA$6=0,(Calcul!AK56*N71),Cotations!$Z$4*E71))</f>
        <v/>
      </c>
      <c r="P71" s="646">
        <v>0</v>
      </c>
      <c r="Q71" s="644" t="str">
        <f>IF($B71="","",Calcul!X56*P71)</f>
        <v/>
      </c>
      <c r="R71" s="646" t="str">
        <f t="shared" si="5"/>
        <v/>
      </c>
      <c r="S71" s="644" t="str">
        <f>IF($B71="","",((Calcul!AS56*R71)+Calcul!AL56)*R71)</f>
        <v/>
      </c>
      <c r="T71" s="646" t="str">
        <f>IF($B71="","",Cotations!BI56)</f>
        <v/>
      </c>
      <c r="U71" s="644" t="str">
        <f>IF($B71="","",(Calcul!AT56+Calcul!AL56)*T71)</f>
        <v/>
      </c>
      <c r="V71" s="646">
        <v>0</v>
      </c>
      <c r="W71" s="644" t="str">
        <f>IF($B71="","",Calcul!X56*V71)</f>
        <v/>
      </c>
      <c r="X71" s="650" t="str">
        <f t="shared" si="3"/>
        <v/>
      </c>
      <c r="Y71" s="11" t="s">
        <v>2243</v>
      </c>
      <c r="AB71" s="11" t="s">
        <v>2243</v>
      </c>
      <c r="AD71" s="644" t="s">
        <v>2243</v>
      </c>
      <c r="AE71" s="11"/>
      <c r="AF71" s="646" t="str">
        <f t="shared" si="4"/>
        <v/>
      </c>
      <c r="AG71" s="644" t="str">
        <f>IF($B71="","",SUM(#REF!)*AF71)</f>
        <v/>
      </c>
      <c r="AH71" s="11"/>
      <c r="AI71" s="646" t="str">
        <f t="shared" si="0"/>
        <v/>
      </c>
      <c r="AL71" s="644" t="str">
        <f>IF($B71="","",AA71+AD71+AG71+AJ71)</f>
        <v/>
      </c>
    </row>
    <row r="72" spans="1:38" ht="24.95" hidden="1" customHeight="1">
      <c r="A72" s="11" t="str">
        <f>IF(Cotations!C57=FALSE,"",Cotations!E57)</f>
        <v/>
      </c>
      <c r="B72" s="11" t="str">
        <f>IF(Cotations!C57=FALSE,"",Cotations!G57)</f>
        <v/>
      </c>
      <c r="C72" s="11" t="str">
        <f>IF($B72="","",IF(LISTES!$A$17=3,Crewlist!G57,Detail!L57))</f>
        <v/>
      </c>
      <c r="D72" s="11" t="str">
        <f>IF($B72="","",Cotations!I57)</f>
        <v/>
      </c>
      <c r="E72" s="17" t="str">
        <f>IF($B72="","",Cotations!P57)</f>
        <v/>
      </c>
      <c r="F72" s="17" t="str">
        <f>IF($B72="","",Cotations!N57)</f>
        <v/>
      </c>
      <c r="G72" s="17" t="str">
        <f>IF($B72="","",Cotations!U57)</f>
        <v/>
      </c>
      <c r="H72" s="17" t="str">
        <f>IF($B72="","",Calcul!X57)</f>
        <v/>
      </c>
      <c r="I72" s="11" t="str">
        <f>IF($B72="","",Calcul!ED57)</f>
        <v/>
      </c>
      <c r="J72" s="11" t="str">
        <f>IF($B72="","",Calcul!ID57)</f>
        <v/>
      </c>
      <c r="K72" s="16" t="str">
        <f>IF($B72="","",Calcul!AH57)</f>
        <v/>
      </c>
      <c r="L72" s="646" t="str">
        <f>IF($B72="","",IF(ALLTHESAME=TRUE,Cotations!$AM$4,Cotations!AM57))</f>
        <v/>
      </c>
      <c r="M72" s="644" t="str">
        <f>IF($B72="","",(Calcul!AJ57+Calcul!AQ57)*L72)</f>
        <v/>
      </c>
      <c r="N72" s="646" t="str">
        <f>IF($B72="","",IF(ALLTHESAME=TRUE,Cotations!$BH$4,Cotations!BH57))</f>
        <v/>
      </c>
      <c r="O72" s="644" t="str">
        <f>IF($B72="","",IF(Cotations!$BA$6=0,(Calcul!AK57*N72),Cotations!$Z$4*E72))</f>
        <v/>
      </c>
      <c r="P72" s="646">
        <v>0</v>
      </c>
      <c r="Q72" s="644" t="str">
        <f>IF($B72="","",Calcul!X57*P72)</f>
        <v/>
      </c>
      <c r="R72" s="646" t="str">
        <f t="shared" si="5"/>
        <v/>
      </c>
      <c r="S72" s="644" t="str">
        <f>IF($B72="","",((Calcul!AS57*R72)+Calcul!AL57)*R72)</f>
        <v/>
      </c>
      <c r="T72" s="646" t="str">
        <f>IF($B72="","",Cotations!BI57)</f>
        <v/>
      </c>
      <c r="U72" s="644" t="str">
        <f>IF($B72="","",(Calcul!AT57+Calcul!AL57)*T72)</f>
        <v/>
      </c>
      <c r="V72" s="646">
        <v>0</v>
      </c>
      <c r="W72" s="644" t="str">
        <f>IF($B72="","",Calcul!X57*V72)</f>
        <v/>
      </c>
      <c r="X72" s="650" t="str">
        <f t="shared" si="3"/>
        <v/>
      </c>
    </row>
    <row r="73" spans="1:38" ht="24.95" hidden="1" customHeight="1">
      <c r="A73" s="11" t="str">
        <f>IF(Cotations!C58=FALSE,"",Cotations!E58)</f>
        <v/>
      </c>
      <c r="B73" s="11" t="str">
        <f>IF(Cotations!C58=FALSE,"",Cotations!G58)</f>
        <v/>
      </c>
      <c r="C73" s="11" t="str">
        <f>IF($B73="","",IF(LISTES!$A$17=3,Crewlist!G58,Detail!L58))</f>
        <v/>
      </c>
      <c r="D73" s="11" t="str">
        <f>IF($B73="","",Cotations!I58)</f>
        <v/>
      </c>
      <c r="E73" s="17" t="str">
        <f>IF($B73="","",Cotations!P58)</f>
        <v/>
      </c>
      <c r="F73" s="17" t="str">
        <f>IF($B73="","",Cotations!N58)</f>
        <v/>
      </c>
      <c r="G73" s="17" t="str">
        <f>IF($B73="","",Cotations!U58)</f>
        <v/>
      </c>
      <c r="H73" s="17" t="str">
        <f>IF($B73="","",Calcul!X58)</f>
        <v/>
      </c>
      <c r="I73" s="11" t="str">
        <f>IF($B73="","",Calcul!ED58)</f>
        <v/>
      </c>
      <c r="J73" s="11" t="str">
        <f>IF($B73="","",Calcul!ID58)</f>
        <v/>
      </c>
      <c r="K73" s="16" t="str">
        <f>IF($B73="","",Calcul!AH58)</f>
        <v/>
      </c>
      <c r="L73" s="646" t="str">
        <f>IF($B73="","",IF(ALLTHESAME=TRUE,Cotations!$AM$4,Cotations!AM58))</f>
        <v/>
      </c>
      <c r="M73" s="644" t="str">
        <f>IF($B73="","",(Calcul!AJ58+Calcul!AQ58)*L73)</f>
        <v/>
      </c>
      <c r="N73" s="646" t="str">
        <f>IF($B73="","",IF(ALLTHESAME=TRUE,Cotations!$BH$4,Cotations!BH58))</f>
        <v/>
      </c>
      <c r="O73" s="644" t="str">
        <f>IF($B73="","",IF(Cotations!$BA$6=0,(Calcul!AK58*N73),Cotations!$Z$4*E73))</f>
        <v/>
      </c>
      <c r="P73" s="646">
        <v>0</v>
      </c>
      <c r="Q73" s="644" t="str">
        <f>IF($B73="","",Calcul!X58*P73)</f>
        <v/>
      </c>
      <c r="R73" s="646" t="str">
        <f t="shared" si="5"/>
        <v/>
      </c>
      <c r="S73" s="644" t="str">
        <f>IF($B73="","",((Calcul!AS58*R73)+Calcul!AL58)*R73)</f>
        <v/>
      </c>
      <c r="T73" s="646" t="str">
        <f>IF($B73="","",Cotations!BI58)</f>
        <v/>
      </c>
      <c r="U73" s="644" t="str">
        <f>IF($B73="","",(Calcul!AT58+Calcul!AL58)*T73)</f>
        <v/>
      </c>
      <c r="V73" s="646">
        <v>0</v>
      </c>
      <c r="W73" s="644" t="str">
        <f>IF($B73="","",Calcul!X58*V73)</f>
        <v/>
      </c>
      <c r="X73" s="650" t="str">
        <f t="shared" si="3"/>
        <v/>
      </c>
    </row>
    <row r="74" spans="1:38" ht="24.95" hidden="1" customHeight="1">
      <c r="A74" s="11" t="str">
        <f>IF(Cotations!C59=FALSE,"",Cotations!E59)</f>
        <v/>
      </c>
      <c r="B74" s="11" t="str">
        <f>IF(Cotations!C59=FALSE,"",Cotations!G59)</f>
        <v/>
      </c>
      <c r="C74" s="11" t="str">
        <f>IF($B74="","",IF(LISTES!$A$17=3,Crewlist!G59,Detail!L59))</f>
        <v/>
      </c>
      <c r="D74" s="11" t="str">
        <f>IF($B74="","",Cotations!I59)</f>
        <v/>
      </c>
      <c r="E74" s="17" t="str">
        <f>IF($B74="","",Cotations!P59)</f>
        <v/>
      </c>
      <c r="F74" s="17" t="str">
        <f>IF($B74="","",Cotations!N59)</f>
        <v/>
      </c>
      <c r="G74" s="17" t="str">
        <f>IF($B74="","",Cotations!U59)</f>
        <v/>
      </c>
      <c r="H74" s="17" t="str">
        <f>IF($B74="","",Calcul!X59)</f>
        <v/>
      </c>
      <c r="I74" s="11" t="str">
        <f>IF($B74="","",Calcul!ED59)</f>
        <v/>
      </c>
      <c r="J74" s="11" t="str">
        <f>IF($B74="","",Calcul!ID59)</f>
        <v/>
      </c>
      <c r="K74" s="16" t="str">
        <f>IF($B74="","",Calcul!AH59)</f>
        <v/>
      </c>
      <c r="L74" s="646" t="str">
        <f>IF($B74="","",IF(ALLTHESAME=TRUE,Cotations!$AM$4,Cotations!AM59))</f>
        <v/>
      </c>
      <c r="M74" s="644" t="str">
        <f>IF($B74="","",(Calcul!AJ59+Calcul!AQ59)*L74)</f>
        <v/>
      </c>
      <c r="N74" s="646" t="str">
        <f>IF($B74="","",IF(ALLTHESAME=TRUE,Cotations!$BH$4,Cotations!BH59))</f>
        <v/>
      </c>
      <c r="O74" s="644" t="str">
        <f>IF($B74="","",IF(Cotations!$BA$6=0,(Calcul!AK59*N74),Cotations!$Z$4*E74))</f>
        <v/>
      </c>
      <c r="P74" s="646">
        <v>0</v>
      </c>
      <c r="Q74" s="644" t="str">
        <f>IF($B74="","",Calcul!X59*P74)</f>
        <v/>
      </c>
      <c r="R74" s="646" t="str">
        <f t="shared" si="5"/>
        <v/>
      </c>
      <c r="S74" s="644" t="str">
        <f>IF($B74="","",((Calcul!AS59*R74)+Calcul!AL59)*R74)</f>
        <v/>
      </c>
      <c r="T74" s="646" t="str">
        <f>IF($B74="","",Cotations!BI59)</f>
        <v/>
      </c>
      <c r="U74" s="644" t="str">
        <f>IF($B74="","",(Calcul!AT59+Calcul!AL59)*T74)</f>
        <v/>
      </c>
      <c r="V74" s="646">
        <v>0</v>
      </c>
      <c r="W74" s="644" t="str">
        <f>IF($B74="","",Calcul!X59*V74)</f>
        <v/>
      </c>
      <c r="X74" s="650" t="str">
        <f t="shared" si="3"/>
        <v/>
      </c>
    </row>
    <row r="75" spans="1:38" ht="24.95" hidden="1" customHeight="1">
      <c r="A75" s="11" t="str">
        <f>IF(Cotations!C60=FALSE,"",Cotations!E60)</f>
        <v/>
      </c>
      <c r="B75" s="11" t="str">
        <f>IF(Cotations!C60=FALSE,"",Cotations!G60)</f>
        <v/>
      </c>
      <c r="C75" s="11" t="str">
        <f>IF($B75="","",IF(LISTES!$A$17=3,Crewlist!G60,Detail!L60))</f>
        <v/>
      </c>
      <c r="D75" s="11" t="str">
        <f>IF($B75="","",Cotations!I60)</f>
        <v/>
      </c>
      <c r="E75" s="17" t="str">
        <f>IF($B75="","",Cotations!P60)</f>
        <v/>
      </c>
      <c r="F75" s="17" t="str">
        <f>IF($B75="","",Cotations!N60)</f>
        <v/>
      </c>
      <c r="G75" s="17" t="str">
        <f>IF($B75="","",Cotations!U60)</f>
        <v/>
      </c>
      <c r="H75" s="17" t="str">
        <f>IF($B75="","",Calcul!X60)</f>
        <v/>
      </c>
      <c r="I75" s="11" t="str">
        <f>IF($B75="","",Calcul!ED60)</f>
        <v/>
      </c>
      <c r="J75" s="11" t="str">
        <f>IF($B75="","",Calcul!ID60)</f>
        <v/>
      </c>
      <c r="K75" s="16" t="str">
        <f>IF($B75="","",Calcul!AH60)</f>
        <v/>
      </c>
      <c r="L75" s="646" t="str">
        <f>IF($B75="","",IF(ALLTHESAME=TRUE,Cotations!$AM$4,Cotations!AM60))</f>
        <v/>
      </c>
      <c r="M75" s="644" t="str">
        <f>IF($B75="","",(Calcul!AJ60+Calcul!AQ60)*L75)</f>
        <v/>
      </c>
      <c r="N75" s="646" t="str">
        <f>IF($B75="","",IF(ALLTHESAME=TRUE,Cotations!$BH$4,Cotations!BH60))</f>
        <v/>
      </c>
      <c r="O75" s="644" t="str">
        <f>IF($B75="","",IF(Cotations!$BA$6=0,(Calcul!AK60*N75),Cotations!$Z$4*E75))</f>
        <v/>
      </c>
      <c r="P75" s="646">
        <v>0</v>
      </c>
      <c r="Q75" s="644" t="str">
        <f>IF($B75="","",Calcul!X60*P75)</f>
        <v/>
      </c>
      <c r="R75" s="646" t="str">
        <f t="shared" si="5"/>
        <v/>
      </c>
      <c r="S75" s="644" t="str">
        <f>IF($B75="","",((Calcul!AS60*R75)+Calcul!AL60)*R75)</f>
        <v/>
      </c>
      <c r="T75" s="646" t="str">
        <f>IF($B75="","",Cotations!BI60)</f>
        <v/>
      </c>
      <c r="U75" s="644" t="str">
        <f>IF($B75="","",(Calcul!AT60+Calcul!AL60)*T75)</f>
        <v/>
      </c>
      <c r="V75" s="646">
        <v>0</v>
      </c>
      <c r="W75" s="644" t="str">
        <f>IF($B75="","",Calcul!X60*V75)</f>
        <v/>
      </c>
      <c r="X75" s="650" t="str">
        <f t="shared" si="3"/>
        <v/>
      </c>
    </row>
    <row r="76" spans="1:38" ht="24.95" hidden="1" customHeight="1">
      <c r="A76" s="11" t="str">
        <f>IF(Cotations!C61=FALSE,"",Cotations!E61)</f>
        <v/>
      </c>
      <c r="B76" s="11" t="str">
        <f>IF(Cotations!C61=FALSE,"",Cotations!G61)</f>
        <v/>
      </c>
      <c r="C76" s="11" t="str">
        <f>IF($B76="","",IF(LISTES!$A$17=3,Crewlist!G61,Detail!L61))</f>
        <v/>
      </c>
      <c r="D76" s="11" t="str">
        <f>IF($B76="","",Cotations!I61)</f>
        <v/>
      </c>
      <c r="E76" s="17" t="str">
        <f>IF($B76="","",Cotations!P61)</f>
        <v/>
      </c>
      <c r="F76" s="17" t="str">
        <f>IF($B76="","",Cotations!N61)</f>
        <v/>
      </c>
      <c r="G76" s="17" t="str">
        <f>IF($B76="","",Cotations!U61)</f>
        <v/>
      </c>
      <c r="H76" s="17" t="str">
        <f>IF($B76="","",Calcul!X61)</f>
        <v/>
      </c>
      <c r="I76" s="11" t="str">
        <f>IF($B76="","",Calcul!ED61)</f>
        <v/>
      </c>
      <c r="J76" s="11" t="str">
        <f>IF($B76="","",Calcul!ID61)</f>
        <v/>
      </c>
      <c r="K76" s="16" t="str">
        <f>IF($B76="","",Calcul!AH61)</f>
        <v/>
      </c>
      <c r="L76" s="646" t="str">
        <f>IF($B76="","",IF(ALLTHESAME=TRUE,Cotations!$AM$4,Cotations!AM61))</f>
        <v/>
      </c>
      <c r="M76" s="644" t="str">
        <f>IF($B76="","",(Calcul!AJ61+Calcul!AQ61)*L76)</f>
        <v/>
      </c>
      <c r="N76" s="646" t="str">
        <f>IF($B76="","",IF(ALLTHESAME=TRUE,Cotations!$BH$4,Cotations!BH61))</f>
        <v/>
      </c>
      <c r="O76" s="644" t="str">
        <f>IF($B76="","",IF(Cotations!$BA$6=0,(Calcul!AK61*N76),Cotations!$Z$4*E76))</f>
        <v/>
      </c>
      <c r="P76" s="646">
        <v>0</v>
      </c>
      <c r="Q76" s="644" t="str">
        <f>IF($B76="","",Calcul!X61*P76)</f>
        <v/>
      </c>
      <c r="R76" s="646" t="str">
        <f t="shared" si="5"/>
        <v/>
      </c>
      <c r="S76" s="644" t="str">
        <f>IF($B76="","",((Calcul!AS61*R76)+Calcul!AL61)*R76)</f>
        <v/>
      </c>
      <c r="T76" s="646" t="str">
        <f>IF($B76="","",Cotations!BI61)</f>
        <v/>
      </c>
      <c r="U76" s="644" t="str">
        <f>IF($B76="","",(Calcul!AT61+Calcul!AL61)*T76)</f>
        <v/>
      </c>
      <c r="V76" s="646">
        <v>0</v>
      </c>
      <c r="W76" s="644" t="str">
        <f>IF($B76="","",Calcul!X61*V76)</f>
        <v/>
      </c>
      <c r="X76" s="650" t="str">
        <f t="shared" si="3"/>
        <v/>
      </c>
    </row>
    <row r="77" spans="1:38" ht="24.95" hidden="1" customHeight="1">
      <c r="A77" s="11" t="str">
        <f>IF(Cotations!C62=FALSE,"",Cotations!E62)</f>
        <v/>
      </c>
      <c r="B77" s="11" t="str">
        <f>IF(Cotations!C62=FALSE,"",Cotations!G62)</f>
        <v/>
      </c>
      <c r="C77" s="11" t="str">
        <f>IF($B77="","",IF(LISTES!$A$17=3,Crewlist!G62,Detail!L62))</f>
        <v/>
      </c>
      <c r="D77" s="11" t="str">
        <f>IF($B77="","",Cotations!I62)</f>
        <v/>
      </c>
      <c r="E77" s="17" t="str">
        <f>IF($B77="","",Cotations!P62)</f>
        <v/>
      </c>
      <c r="F77" s="17" t="str">
        <f>IF($B77="","",Cotations!N62)</f>
        <v/>
      </c>
      <c r="G77" s="17" t="str">
        <f>IF($B77="","",Cotations!U62)</f>
        <v/>
      </c>
      <c r="H77" s="17" t="str">
        <f>IF($B77="","",Calcul!X62)</f>
        <v/>
      </c>
      <c r="I77" s="11" t="str">
        <f>IF($B77="","",Calcul!ED62)</f>
        <v/>
      </c>
      <c r="J77" s="11" t="str">
        <f>IF($B77="","",Calcul!ID62)</f>
        <v/>
      </c>
      <c r="K77" s="16" t="str">
        <f>IF($B77="","",Calcul!AH62)</f>
        <v/>
      </c>
      <c r="L77" s="646" t="str">
        <f>IF($B77="","",IF(ALLTHESAME=TRUE,Cotations!$AM$4,Cotations!AM62))</f>
        <v/>
      </c>
      <c r="M77" s="644" t="str">
        <f>IF($B77="","",(Calcul!AJ62+Calcul!AQ62)*L77)</f>
        <v/>
      </c>
      <c r="N77" s="646" t="str">
        <f>IF($B77="","",IF(ALLTHESAME=TRUE,Cotations!$BH$4,Cotations!BH62))</f>
        <v/>
      </c>
      <c r="O77" s="644" t="str">
        <f>IF($B77="","",IF(Cotations!$BA$6=0,(Calcul!AK62*N77),Cotations!$Z$4*E77))</f>
        <v/>
      </c>
      <c r="P77" s="646">
        <v>0</v>
      </c>
      <c r="Q77" s="644" t="str">
        <f>IF($B77="","",Calcul!X62*P77)</f>
        <v/>
      </c>
      <c r="R77" s="646" t="str">
        <f t="shared" si="5"/>
        <v/>
      </c>
      <c r="S77" s="644" t="str">
        <f>IF($B77="","",((Calcul!AS62*R77)+Calcul!AL62)*R77)</f>
        <v/>
      </c>
      <c r="T77" s="646" t="str">
        <f>IF($B77="","",Cotations!BI62)</f>
        <v/>
      </c>
      <c r="U77" s="644" t="str">
        <f>IF($B77="","",(Calcul!AT62+Calcul!AL62)*T77)</f>
        <v/>
      </c>
      <c r="V77" s="646">
        <v>0</v>
      </c>
      <c r="W77" s="644" t="str">
        <f>IF($B77="","",Calcul!X62*V77)</f>
        <v/>
      </c>
      <c r="X77" s="650" t="str">
        <f t="shared" si="3"/>
        <v/>
      </c>
    </row>
    <row r="78" spans="1:38" ht="24.95" hidden="1" customHeight="1">
      <c r="A78" s="11" t="str">
        <f>IF(Cotations!C63=FALSE,"",Cotations!E63)</f>
        <v/>
      </c>
      <c r="B78" s="11" t="str">
        <f>IF(Cotations!C63=FALSE,"",Cotations!G63)</f>
        <v/>
      </c>
      <c r="C78" s="11" t="str">
        <f>IF($B78="","",IF(LISTES!$A$17=3,Crewlist!G63,Detail!L63))</f>
        <v/>
      </c>
      <c r="D78" s="11" t="str">
        <f>IF($B78="","",Cotations!I63)</f>
        <v/>
      </c>
      <c r="E78" s="17" t="str">
        <f>IF($B78="","",Cotations!P63)</f>
        <v/>
      </c>
      <c r="F78" s="17" t="str">
        <f>IF($B78="","",Cotations!N63)</f>
        <v/>
      </c>
      <c r="G78" s="17" t="str">
        <f>IF($B78="","",Cotations!U63)</f>
        <v/>
      </c>
      <c r="H78" s="17" t="str">
        <f>IF($B78="","",Calcul!X63)</f>
        <v/>
      </c>
      <c r="I78" s="11" t="str">
        <f>IF($B78="","",Calcul!ED63)</f>
        <v/>
      </c>
      <c r="J78" s="11" t="str">
        <f>IF($B78="","",Calcul!ID63)</f>
        <v/>
      </c>
      <c r="K78" s="16" t="str">
        <f>IF($B78="","",Calcul!AH63)</f>
        <v/>
      </c>
      <c r="L78" s="646" t="str">
        <f>IF($B78="","",IF(ALLTHESAME=TRUE,Cotations!$AM$4,Cotations!AM63))</f>
        <v/>
      </c>
      <c r="M78" s="644" t="str">
        <f>IF($B78="","",(Calcul!AJ63+Calcul!AQ63)*L78)</f>
        <v/>
      </c>
      <c r="N78" s="646" t="str">
        <f>IF($B78="","",IF(ALLTHESAME=TRUE,Cotations!$BH$4,Cotations!BH63))</f>
        <v/>
      </c>
      <c r="O78" s="644" t="str">
        <f>IF($B78="","",IF(Cotations!$BA$6=0,(Calcul!AK63*N78),Cotations!$Z$4*E78))</f>
        <v/>
      </c>
      <c r="P78" s="646">
        <v>0</v>
      </c>
      <c r="Q78" s="644" t="str">
        <f>IF($B78="","",Calcul!X63*P78)</f>
        <v/>
      </c>
      <c r="R78" s="646" t="str">
        <f t="shared" si="5"/>
        <v/>
      </c>
      <c r="S78" s="644" t="str">
        <f>IF($B78="","",((Calcul!AS63*R78)+Calcul!AL63)*R78)</f>
        <v/>
      </c>
      <c r="T78" s="646" t="str">
        <f>IF($B78="","",Cotations!BI63)</f>
        <v/>
      </c>
      <c r="U78" s="644" t="str">
        <f>IF($B78="","",(Calcul!AT63+Calcul!AL63)*T78)</f>
        <v/>
      </c>
      <c r="V78" s="646">
        <v>0</v>
      </c>
      <c r="W78" s="644" t="str">
        <f>IF($B78="","",Calcul!X63*V78)</f>
        <v/>
      </c>
      <c r="X78" s="650" t="str">
        <f t="shared" si="3"/>
        <v/>
      </c>
    </row>
    <row r="79" spans="1:38" ht="24.95" hidden="1" customHeight="1">
      <c r="A79" s="11" t="str">
        <f>IF(Cotations!C64=FALSE,"",Cotations!E64)</f>
        <v/>
      </c>
      <c r="B79" s="11" t="str">
        <f>IF(Cotations!C64=FALSE,"",Cotations!G64)</f>
        <v/>
      </c>
      <c r="C79" s="11" t="str">
        <f>IF($B79="","",IF(LISTES!$A$17=3,Crewlist!G64,Detail!L64))</f>
        <v/>
      </c>
      <c r="D79" s="11" t="str">
        <f>IF($B79="","",Cotations!I64)</f>
        <v/>
      </c>
      <c r="E79" s="17" t="str">
        <f>IF($B79="","",Cotations!P64)</f>
        <v/>
      </c>
      <c r="F79" s="17" t="str">
        <f>IF($B79="","",Cotations!N64)</f>
        <v/>
      </c>
      <c r="G79" s="17" t="str">
        <f>IF($B79="","",Cotations!U64)</f>
        <v/>
      </c>
      <c r="H79" s="17" t="str">
        <f>IF($B79="","",Calcul!X64)</f>
        <v/>
      </c>
      <c r="I79" s="11" t="str">
        <f>IF($B79="","",Calcul!ED64)</f>
        <v/>
      </c>
      <c r="J79" s="11" t="str">
        <f>IF($B79="","",Calcul!ID64)</f>
        <v/>
      </c>
      <c r="K79" s="16" t="str">
        <f>IF($B79="","",Calcul!AH64)</f>
        <v/>
      </c>
      <c r="L79" s="646" t="str">
        <f>IF($B79="","",IF(ALLTHESAME=TRUE,Cotations!$AM$4,Cotations!AM64))</f>
        <v/>
      </c>
      <c r="M79" s="644" t="str">
        <f>IF($B79="","",(Calcul!AJ64+Calcul!AQ64)*L79)</f>
        <v/>
      </c>
      <c r="N79" s="646" t="str">
        <f>IF($B79="","",IF(ALLTHESAME=TRUE,Cotations!$BH$4,Cotations!BH64))</f>
        <v/>
      </c>
      <c r="O79" s="644" t="str">
        <f>IF($B79="","",IF(Cotations!$BA$6=0,(Calcul!AK64*N79),Cotations!$Z$4*E79))</f>
        <v/>
      </c>
      <c r="P79" s="646">
        <v>0</v>
      </c>
      <c r="Q79" s="644" t="str">
        <f>IF($B79="","",Calcul!X64*P79)</f>
        <v/>
      </c>
      <c r="R79" s="646" t="str">
        <f t="shared" si="5"/>
        <v/>
      </c>
      <c r="S79" s="644" t="str">
        <f>IF($B79="","",((Calcul!AS64*R79)+Calcul!AL64)*R79)</f>
        <v/>
      </c>
      <c r="T79" s="646" t="str">
        <f>IF($B79="","",Cotations!BI64)</f>
        <v/>
      </c>
      <c r="U79" s="644" t="str">
        <f>IF($B79="","",(Calcul!AT64+Calcul!AL64)*T79)</f>
        <v/>
      </c>
      <c r="V79" s="646">
        <v>0</v>
      </c>
      <c r="W79" s="644" t="str">
        <f>IF($B79="","",Calcul!X64*V79)</f>
        <v/>
      </c>
      <c r="X79" s="650" t="str">
        <f t="shared" si="3"/>
        <v/>
      </c>
    </row>
    <row r="80" spans="1:38" ht="24.95" hidden="1" customHeight="1">
      <c r="A80" s="11" t="str">
        <f>IF(Cotations!C65=FALSE,"",Cotations!E65)</f>
        <v/>
      </c>
      <c r="B80" s="11" t="str">
        <f>IF(Cotations!C65=FALSE,"",Cotations!G65)</f>
        <v/>
      </c>
      <c r="C80" s="11" t="str">
        <f>IF($B80="","",IF(LISTES!$A$17=3,Crewlist!G65,Detail!L65))</f>
        <v/>
      </c>
      <c r="D80" s="11" t="str">
        <f>IF($B80="","",Cotations!I65)</f>
        <v/>
      </c>
      <c r="E80" s="17" t="str">
        <f>IF($B80="","",Cotations!P65)</f>
        <v/>
      </c>
      <c r="F80" s="17" t="str">
        <f>IF($B80="","",Cotations!N65)</f>
        <v/>
      </c>
      <c r="G80" s="17" t="str">
        <f>IF($B80="","",Cotations!U65)</f>
        <v/>
      </c>
      <c r="H80" s="17" t="str">
        <f>IF($B80="","",Calcul!X65)</f>
        <v/>
      </c>
      <c r="I80" s="11" t="str">
        <f>IF($B80="","",Calcul!ED65)</f>
        <v/>
      </c>
      <c r="J80" s="11" t="str">
        <f>IF($B80="","",Calcul!ID65)</f>
        <v/>
      </c>
      <c r="K80" s="16" t="str">
        <f>IF($B80="","",Calcul!AH65)</f>
        <v/>
      </c>
      <c r="L80" s="646" t="str">
        <f>IF($B80="","",IF(ALLTHESAME=TRUE,Cotations!$AM$4,Cotations!AM65))</f>
        <v/>
      </c>
      <c r="M80" s="644" t="str">
        <f>IF($B80="","",(Calcul!AJ65+Calcul!AQ65)*L80)</f>
        <v/>
      </c>
      <c r="N80" s="646" t="str">
        <f>IF($B80="","",IF(ALLTHESAME=TRUE,Cotations!$BH$4,Cotations!BH65))</f>
        <v/>
      </c>
      <c r="O80" s="644" t="str">
        <f>IF($B80="","",IF(Cotations!$BA$6=0,(Calcul!AK65*N80),Cotations!$Z$4*E80))</f>
        <v/>
      </c>
      <c r="P80" s="646">
        <v>0</v>
      </c>
      <c r="Q80" s="644" t="str">
        <f>IF($B80="","",Calcul!X65*P80)</f>
        <v/>
      </c>
      <c r="R80" s="646" t="str">
        <f t="shared" si="5"/>
        <v/>
      </c>
      <c r="S80" s="644" t="str">
        <f>IF($B80="","",((Calcul!AS65*R80)+Calcul!AL65)*R80)</f>
        <v/>
      </c>
      <c r="T80" s="646" t="str">
        <f>IF($B80="","",Cotations!BI65)</f>
        <v/>
      </c>
      <c r="U80" s="644" t="str">
        <f>IF($B80="","",(Calcul!AT65+Calcul!AL65)*T80)</f>
        <v/>
      </c>
      <c r="V80" s="646">
        <v>0</v>
      </c>
      <c r="W80" s="644" t="str">
        <f>IF($B80="","",Calcul!X65*V80)</f>
        <v/>
      </c>
      <c r="X80" s="650" t="str">
        <f t="shared" si="3"/>
        <v/>
      </c>
    </row>
    <row r="81" spans="1:24" ht="24.95" hidden="1" customHeight="1">
      <c r="A81" s="11" t="str">
        <f>IF(Cotations!C66=FALSE,"",Cotations!E66)</f>
        <v/>
      </c>
      <c r="B81" s="11" t="str">
        <f>IF(Cotations!C66=FALSE,"",Cotations!G66)</f>
        <v/>
      </c>
      <c r="C81" s="11" t="str">
        <f>IF($B81="","",IF(LISTES!$A$17=3,Crewlist!G66,Detail!L66))</f>
        <v/>
      </c>
      <c r="D81" s="11" t="str">
        <f>IF($B81="","",Cotations!I66)</f>
        <v/>
      </c>
      <c r="E81" s="17" t="str">
        <f>IF($B81="","",Cotations!P66)</f>
        <v/>
      </c>
      <c r="F81" s="17" t="str">
        <f>IF($B81="","",Cotations!N66)</f>
        <v/>
      </c>
      <c r="G81" s="17" t="str">
        <f>IF($B81="","",Cotations!U66)</f>
        <v/>
      </c>
      <c r="H81" s="17" t="str">
        <f>IF($B81="","",Calcul!X66)</f>
        <v/>
      </c>
      <c r="I81" s="11" t="str">
        <f>IF($B81="","",Calcul!ED66)</f>
        <v/>
      </c>
      <c r="J81" s="11" t="str">
        <f>IF($B81="","",Calcul!ID66)</f>
        <v/>
      </c>
      <c r="K81" s="16" t="str">
        <f>IF($B81="","",Calcul!AH66)</f>
        <v/>
      </c>
      <c r="L81" s="646" t="str">
        <f>IF($B81="","",IF(ALLTHESAME=TRUE,Cotations!$AM$4,Cotations!AM66))</f>
        <v/>
      </c>
      <c r="M81" s="644" t="str">
        <f>IF($B81="","",(Calcul!AJ66+Calcul!AQ66)*L81)</f>
        <v/>
      </c>
      <c r="N81" s="646" t="str">
        <f>IF($B81="","",IF(ALLTHESAME=TRUE,Cotations!$BH$4,Cotations!BH66))</f>
        <v/>
      </c>
      <c r="O81" s="644" t="str">
        <f>IF($B81="","",IF(Cotations!$BA$6=0,(Calcul!AK66*N81),Cotations!$Z$4*E81))</f>
        <v/>
      </c>
      <c r="P81" s="646">
        <v>0</v>
      </c>
      <c r="Q81" s="644" t="str">
        <f>IF($B81="","",Calcul!X66*P81)</f>
        <v/>
      </c>
      <c r="R81" s="646" t="str">
        <f t="shared" si="5"/>
        <v/>
      </c>
      <c r="S81" s="644" t="str">
        <f>IF($B81="","",((Calcul!AS66*R81)+Calcul!AL66)*R81)</f>
        <v/>
      </c>
      <c r="T81" s="646" t="str">
        <f>IF($B81="","",Cotations!BI66)</f>
        <v/>
      </c>
      <c r="U81" s="644" t="str">
        <f>IF($B81="","",(Calcul!AT66+Calcul!AL66)*T81)</f>
        <v/>
      </c>
      <c r="V81" s="646">
        <v>0</v>
      </c>
      <c r="W81" s="644" t="str">
        <f>IF($B81="","",Calcul!X66*V81)</f>
        <v/>
      </c>
      <c r="X81" s="650" t="str">
        <f t="shared" si="3"/>
        <v/>
      </c>
    </row>
    <row r="82" spans="1:24" ht="24.95" hidden="1" customHeight="1">
      <c r="A82" s="11" t="str">
        <f>IF(Cotations!C67=FALSE,"",Cotations!E67)</f>
        <v/>
      </c>
      <c r="B82" s="11" t="str">
        <f>IF(Cotations!C67=FALSE,"",Cotations!G67)</f>
        <v/>
      </c>
      <c r="C82" s="11" t="str">
        <f>IF($B82="","",IF(LISTES!$A$17=3,Crewlist!G67,Detail!L67))</f>
        <v/>
      </c>
      <c r="D82" s="11" t="str">
        <f>IF($B82="","",Cotations!I67)</f>
        <v/>
      </c>
      <c r="E82" s="17" t="str">
        <f>IF($B82="","",Cotations!P67)</f>
        <v/>
      </c>
      <c r="F82" s="17" t="str">
        <f>IF($B82="","",Cotations!N67)</f>
        <v/>
      </c>
      <c r="G82" s="17" t="str">
        <f>IF($B82="","",Cotations!U67)</f>
        <v/>
      </c>
      <c r="H82" s="17" t="str">
        <f>IF($B82="","",Calcul!X67)</f>
        <v/>
      </c>
      <c r="I82" s="11" t="str">
        <f>IF($B82="","",Calcul!ED67)</f>
        <v/>
      </c>
      <c r="J82" s="11" t="str">
        <f>IF($B82="","",Calcul!ID67)</f>
        <v/>
      </c>
      <c r="K82" s="16" t="str">
        <f>IF($B82="","",Calcul!AH67)</f>
        <v/>
      </c>
      <c r="L82" s="646" t="str">
        <f>IF($B82="","",IF(ALLTHESAME=TRUE,Cotations!$AM$4,Cotations!AM67))</f>
        <v/>
      </c>
      <c r="M82" s="644" t="str">
        <f>IF($B82="","",(Calcul!AJ67+Calcul!AQ67)*L82)</f>
        <v/>
      </c>
      <c r="N82" s="646" t="str">
        <f>IF($B82="","",IF(ALLTHESAME=TRUE,Cotations!$BH$4,Cotations!BH67))</f>
        <v/>
      </c>
      <c r="O82" s="644" t="str">
        <f>IF($B82="","",IF(Cotations!$BA$6=0,(Calcul!AK67*N82),Cotations!$Z$4*E82))</f>
        <v/>
      </c>
      <c r="P82" s="646">
        <v>0</v>
      </c>
      <c r="Q82" s="644" t="str">
        <f>IF($B82="","",Calcul!X67*P82)</f>
        <v/>
      </c>
      <c r="R82" s="646" t="str">
        <f t="shared" si="5"/>
        <v/>
      </c>
      <c r="S82" s="644" t="str">
        <f>IF($B82="","",((Calcul!AS67*R82)+Calcul!AL67)*R82)</f>
        <v/>
      </c>
      <c r="T82" s="646" t="str">
        <f>IF($B82="","",Cotations!BI67)</f>
        <v/>
      </c>
      <c r="U82" s="644" t="str">
        <f>IF($B82="","",(Calcul!AT67+Calcul!AL67)*T82)</f>
        <v/>
      </c>
      <c r="V82" s="646">
        <v>0</v>
      </c>
      <c r="W82" s="644" t="str">
        <f>IF($B82="","",Calcul!X67*V82)</f>
        <v/>
      </c>
      <c r="X82" s="650" t="str">
        <f t="shared" si="3"/>
        <v/>
      </c>
    </row>
    <row r="83" spans="1:24" ht="24.95" hidden="1" customHeight="1">
      <c r="A83" s="11" t="str">
        <f>IF(Cotations!C68=FALSE,"",Cotations!E68)</f>
        <v/>
      </c>
      <c r="B83" s="11" t="str">
        <f>IF(Cotations!C68=FALSE,"",Cotations!G68)</f>
        <v/>
      </c>
      <c r="C83" s="11" t="str">
        <f>IF($B83="","",Detail!L68)</f>
        <v/>
      </c>
      <c r="D83" s="11" t="str">
        <f>IF($B83="","",Cotations!I68)</f>
        <v/>
      </c>
      <c r="E83" s="17" t="str">
        <f>IF($B83="","",Cotations!P68)</f>
        <v/>
      </c>
      <c r="F83" s="17" t="str">
        <f>IF($B83="","",Cotations!N68)</f>
        <v/>
      </c>
      <c r="G83" s="17" t="str">
        <f>IF($B83="","",Cotations!U68)</f>
        <v/>
      </c>
      <c r="H83" s="17" t="str">
        <f>IF($B83="","",Calcul!X68)</f>
        <v/>
      </c>
      <c r="I83" s="11" t="str">
        <f>IF($B83="","",Calcul!ED68)</f>
        <v/>
      </c>
      <c r="J83" s="11" t="str">
        <f>IF($B83="","",Calcul!ID68)</f>
        <v/>
      </c>
      <c r="K83" s="16" t="str">
        <f>IF($B83="","",Calcul!AH68)</f>
        <v/>
      </c>
      <c r="L83" s="646" t="str">
        <f>IF($B83="","",IF(ALLTHESAME=TRUE,Cotations!$AM$4,Cotations!AM68))</f>
        <v/>
      </c>
      <c r="M83" s="644" t="str">
        <f>IF($B83="","",(Calcul!AJ68+Calcul!AQ68)*L83)</f>
        <v/>
      </c>
      <c r="N83" s="646" t="str">
        <f>IF($B83="","",IF(ALLTHESAME=TRUE,Cotations!$BH$4,Cotations!BH68))</f>
        <v/>
      </c>
      <c r="O83" s="644" t="str">
        <f>IF($B83="","",IF(Cotations!$BA$6=0,(Calcul!AK68*N83),Cotations!$Z$4*E83))</f>
        <v/>
      </c>
      <c r="P83" s="646">
        <v>0</v>
      </c>
      <c r="Q83" s="644" t="str">
        <f>IF($B83="","",Calcul!X68*P83)</f>
        <v/>
      </c>
      <c r="R83" s="646" t="str">
        <f t="shared" si="5"/>
        <v/>
      </c>
      <c r="S83" s="644" t="str">
        <f>IF($B83="","",((Calcul!AS68*R83)+Calcul!AL68)*R83)</f>
        <v/>
      </c>
      <c r="T83" s="646" t="str">
        <f>IF($B83="","",Cotations!BI68)</f>
        <v/>
      </c>
      <c r="U83" s="644" t="str">
        <f>IF($B83="","",(Calcul!AT68+Calcul!AL68)*T83)</f>
        <v/>
      </c>
      <c r="V83" s="646">
        <v>0</v>
      </c>
      <c r="W83" s="644" t="str">
        <f>IF($B83="","",Calcul!X68*V83)</f>
        <v/>
      </c>
      <c r="X83" s="650" t="str">
        <f t="shared" si="3"/>
        <v/>
      </c>
    </row>
    <row r="84" spans="1:24" ht="24.95" hidden="1" customHeight="1">
      <c r="A84" s="11" t="str">
        <f>IF(Cotations!C69=FALSE,"",Cotations!E69)</f>
        <v/>
      </c>
      <c r="B84" s="11" t="str">
        <f>IF(Cotations!C69=FALSE,"",Cotations!G69)</f>
        <v/>
      </c>
      <c r="C84" s="11" t="str">
        <f>IF($B84="","",Detail!L69)</f>
        <v/>
      </c>
      <c r="D84" s="11" t="str">
        <f>IF($B84="","",Cotations!I69)</f>
        <v/>
      </c>
      <c r="E84" s="17" t="str">
        <f>IF($B84="","",Cotations!P69)</f>
        <v/>
      </c>
      <c r="F84" s="17" t="str">
        <f>IF($B84="","",Cotations!N69)</f>
        <v/>
      </c>
      <c r="G84" s="17" t="str">
        <f>IF($B84="","",Cotations!U69)</f>
        <v/>
      </c>
      <c r="H84" s="17" t="str">
        <f>IF($B84="","",Calcul!X69)</f>
        <v/>
      </c>
      <c r="I84" s="11" t="str">
        <f>IF($B84="","",Calcul!ED69)</f>
        <v/>
      </c>
      <c r="J84" s="11" t="str">
        <f>IF($B84="","",Calcul!ID69)</f>
        <v/>
      </c>
      <c r="K84" s="16" t="str">
        <f>IF($B84="","",Calcul!AH69)</f>
        <v/>
      </c>
      <c r="L84" s="646" t="str">
        <f>IF($B84="","",IF(ALLTHESAME=TRUE,Cotations!$AM$4,Cotations!AM69))</f>
        <v/>
      </c>
      <c r="M84" s="644" t="str">
        <f>IF($B84="","",(Calcul!AJ69+Calcul!AQ69)*L84)</f>
        <v/>
      </c>
      <c r="N84" s="646" t="str">
        <f>IF($B84="","",IF(ALLTHESAME=TRUE,Cotations!$BH$4,Cotations!BH69))</f>
        <v/>
      </c>
      <c r="O84" s="644" t="str">
        <f>IF($B84="","",IF(Cotations!$BA$6=0,(Calcul!AK69*N84),Cotations!$Z$4*E84))</f>
        <v/>
      </c>
      <c r="P84" s="646">
        <v>0</v>
      </c>
      <c r="Q84" s="644" t="str">
        <f>IF($B84="","",Calcul!X69*P84)</f>
        <v/>
      </c>
      <c r="R84" s="646" t="str">
        <f t="shared" si="5"/>
        <v/>
      </c>
      <c r="S84" s="644" t="str">
        <f>IF($B84="","",((Calcul!AS69*R84)+Calcul!AL69)*R84)</f>
        <v/>
      </c>
      <c r="T84" s="646" t="str">
        <f>IF($B84="","",Cotations!BI69)</f>
        <v/>
      </c>
      <c r="U84" s="644" t="str">
        <f>IF($B84="","",(Calcul!AT69+Calcul!AL69)*T84)</f>
        <v/>
      </c>
      <c r="V84" s="646">
        <v>0</v>
      </c>
      <c r="W84" s="644" t="str">
        <f>IF($B84="","",Calcul!X69*V84)</f>
        <v/>
      </c>
      <c r="X84" s="650" t="str">
        <f t="shared" si="3"/>
        <v/>
      </c>
    </row>
    <row r="85" spans="1:24" ht="24.95" hidden="1" customHeight="1">
      <c r="A85" s="11" t="str">
        <f>IF(Cotations!C70=FALSE,"",Cotations!E70)</f>
        <v/>
      </c>
      <c r="B85" s="11" t="str">
        <f>IF(Cotations!C70=FALSE,"",Cotations!G70)</f>
        <v/>
      </c>
      <c r="C85" s="11" t="str">
        <f>IF($B85="","",Detail!L70)</f>
        <v/>
      </c>
      <c r="D85" s="11" t="str">
        <f>IF($B85="","",Cotations!I70)</f>
        <v/>
      </c>
      <c r="E85" s="17" t="str">
        <f>IF($B85="","",Cotations!P70)</f>
        <v/>
      </c>
      <c r="F85" s="17" t="str">
        <f>IF($B85="","",Cotations!N70)</f>
        <v/>
      </c>
      <c r="G85" s="17" t="str">
        <f>IF($B85="","",Cotations!U70)</f>
        <v/>
      </c>
      <c r="H85" s="17" t="str">
        <f>IF($B85="","",Calcul!X70)</f>
        <v/>
      </c>
      <c r="I85" s="11" t="str">
        <f>IF($B85="","",Calcul!ED70)</f>
        <v/>
      </c>
      <c r="J85" s="11" t="str">
        <f>IF($B85="","",Calcul!ID70)</f>
        <v/>
      </c>
      <c r="K85" s="16" t="str">
        <f>IF($B85="","",Calcul!AH70)</f>
        <v/>
      </c>
      <c r="L85" s="646" t="str">
        <f>IF($B85="","",IF(ALLTHESAME=TRUE,Cotations!$AM$4,Cotations!AM70))</f>
        <v/>
      </c>
      <c r="M85" s="644" t="str">
        <f>IF($B85="","",(Calcul!AJ70+Calcul!AQ70)*L85)</f>
        <v/>
      </c>
      <c r="N85" s="646" t="str">
        <f>IF($B85="","",IF(ALLTHESAME=TRUE,Cotations!$BH$4,Cotations!BH70))</f>
        <v/>
      </c>
      <c r="O85" s="644" t="str">
        <f>IF($B85="","",IF(Cotations!$BA$6=0,(Calcul!AK70*N85),Cotations!$Z$4*E85))</f>
        <v/>
      </c>
      <c r="P85" s="646">
        <v>0</v>
      </c>
      <c r="Q85" s="644" t="str">
        <f>IF($B85="","",Calcul!X70*P85)</f>
        <v/>
      </c>
      <c r="R85" s="646" t="str">
        <f t="shared" si="5"/>
        <v/>
      </c>
      <c r="S85" s="644" t="str">
        <f>IF($B85="","",((Calcul!AS70*R85)+Calcul!AL70)*R85)</f>
        <v/>
      </c>
      <c r="T85" s="646" t="str">
        <f>IF($B85="","",Cotations!BI70)</f>
        <v/>
      </c>
      <c r="U85" s="644" t="str">
        <f>IF($B85="","",(Calcul!AT70+Calcul!AL70)*T85)</f>
        <v/>
      </c>
      <c r="V85" s="646">
        <v>0</v>
      </c>
      <c r="W85" s="644" t="str">
        <f>IF($B85="","",Calcul!X70*V85)</f>
        <v/>
      </c>
      <c r="X85" s="650" t="str">
        <f t="shared" si="3"/>
        <v/>
      </c>
    </row>
    <row r="86" spans="1:24" ht="24.95" hidden="1" customHeight="1">
      <c r="A86" s="11" t="str">
        <f>IF(Cotations!C71=FALSE,"",Cotations!E71)</f>
        <v/>
      </c>
      <c r="B86" s="11" t="str">
        <f>IF(Cotations!C71=FALSE,"",Cotations!G71)</f>
        <v/>
      </c>
      <c r="C86" s="11" t="str">
        <f>IF($B86="","",Detail!L71)</f>
        <v/>
      </c>
      <c r="D86" s="11" t="str">
        <f>IF($B86="","",Cotations!I71)</f>
        <v/>
      </c>
      <c r="E86" s="17" t="str">
        <f>IF($B86="","",Cotations!P71)</f>
        <v/>
      </c>
      <c r="F86" s="17" t="str">
        <f>IF($B86="","",Cotations!N71)</f>
        <v/>
      </c>
      <c r="G86" s="17" t="str">
        <f>IF($B86="","",Cotations!U71)</f>
        <v/>
      </c>
      <c r="H86" s="17" t="str">
        <f>IF($B86="","",Calcul!X71)</f>
        <v/>
      </c>
      <c r="I86" s="11" t="str">
        <f>IF($B86="","",Calcul!ED71)</f>
        <v/>
      </c>
      <c r="J86" s="11" t="str">
        <f>IF($B86="","",Calcul!ID71)</f>
        <v/>
      </c>
      <c r="K86" s="16" t="str">
        <f>IF($B86="","",Calcul!AH71)</f>
        <v/>
      </c>
      <c r="L86" s="646" t="str">
        <f>IF($B86="","",IF(ALLTHESAME=TRUE,Cotations!$AM$4,Cotations!AM71))</f>
        <v/>
      </c>
      <c r="M86" s="644" t="str">
        <f>IF($B86="","",(Calcul!AJ71+Calcul!AQ71)*L86)</f>
        <v/>
      </c>
      <c r="N86" s="646" t="str">
        <f>IF($B86="","",IF(ALLTHESAME=TRUE,Cotations!$BH$4,Cotations!BH71))</f>
        <v/>
      </c>
      <c r="O86" s="644" t="str">
        <f>IF($B86="","",IF(Cotations!$BA$6=0,(Calcul!AK71*N86),Cotations!$Z$4*E86))</f>
        <v/>
      </c>
      <c r="P86" s="646">
        <v>0</v>
      </c>
      <c r="Q86" s="644" t="str">
        <f>IF($B86="","",Calcul!X71*P86)</f>
        <v/>
      </c>
      <c r="R86" s="646" t="str">
        <f t="shared" si="5"/>
        <v/>
      </c>
      <c r="S86" s="644" t="str">
        <f>IF($B86="","",((Calcul!AS71*R86)+Calcul!AL71)*R86)</f>
        <v/>
      </c>
      <c r="T86" s="646" t="str">
        <f>IF($B86="","",Cotations!BI71)</f>
        <v/>
      </c>
      <c r="U86" s="644" t="str">
        <f>IF($B86="","",(Calcul!AT71+Calcul!AL71)*T86)</f>
        <v/>
      </c>
      <c r="V86" s="646">
        <v>0</v>
      </c>
      <c r="W86" s="644" t="str">
        <f>IF($B86="","",Calcul!X71*V86)</f>
        <v/>
      </c>
      <c r="X86" s="650" t="str">
        <f t="shared" si="3"/>
        <v/>
      </c>
    </row>
    <row r="87" spans="1:24" ht="24.95" hidden="1" customHeight="1">
      <c r="A87" s="11" t="str">
        <f>IF(Cotations!C72=FALSE,"",Cotations!E72)</f>
        <v/>
      </c>
      <c r="B87" s="11" t="str">
        <f>IF(Cotations!C72=FALSE,"",Cotations!G72)</f>
        <v/>
      </c>
      <c r="C87" s="11" t="str">
        <f>IF($B87="","",Detail!L72)</f>
        <v/>
      </c>
      <c r="D87" s="11" t="str">
        <f>IF($B87="","",Cotations!I72)</f>
        <v/>
      </c>
      <c r="E87" s="17" t="str">
        <f>IF($B87="","",Cotations!P72)</f>
        <v/>
      </c>
      <c r="F87" s="17" t="str">
        <f>IF($B87="","",Cotations!N72)</f>
        <v/>
      </c>
      <c r="G87" s="17" t="str">
        <f>IF($B87="","",Cotations!U72)</f>
        <v/>
      </c>
      <c r="H87" s="17" t="str">
        <f>IF($B87="","",Calcul!X72)</f>
        <v/>
      </c>
      <c r="I87" s="11" t="str">
        <f>IF($B87="","",Calcul!ED72)</f>
        <v/>
      </c>
      <c r="J87" s="11" t="str">
        <f>IF($B87="","",Calcul!ID72)</f>
        <v/>
      </c>
      <c r="K87" s="16" t="str">
        <f>IF($B87="","",Calcul!AH72)</f>
        <v/>
      </c>
      <c r="L87" s="646" t="str">
        <f>IF($B87="","",IF(ALLTHESAME=TRUE,Cotations!$AM$4,Cotations!AM72))</f>
        <v/>
      </c>
      <c r="M87" s="644" t="str">
        <f>IF($B87="","",(Calcul!AJ72+Calcul!AQ72)*L87)</f>
        <v/>
      </c>
      <c r="N87" s="646" t="str">
        <f>IF($B87="","",IF(ALLTHESAME=TRUE,Cotations!$BH$4,Cotations!BH72))</f>
        <v/>
      </c>
      <c r="O87" s="644" t="str">
        <f>IF($B87="","",IF(Cotations!$BA$6=0,(Calcul!AK72*N87),Cotations!$Z$4*E87))</f>
        <v/>
      </c>
      <c r="P87" s="646">
        <v>0</v>
      </c>
      <c r="Q87" s="644" t="str">
        <f>IF($B87="","",Calcul!X72*P87)</f>
        <v/>
      </c>
      <c r="R87" s="646" t="str">
        <f t="shared" si="5"/>
        <v/>
      </c>
      <c r="S87" s="644" t="str">
        <f>IF($B87="","",((Calcul!AS72*R87)+Calcul!AL72)*R87)</f>
        <v/>
      </c>
      <c r="T87" s="646" t="str">
        <f>IF($B87="","",Cotations!BI72)</f>
        <v/>
      </c>
      <c r="U87" s="644" t="str">
        <f>IF($B87="","",(Calcul!AT72+Calcul!AL72)*T87)</f>
        <v/>
      </c>
      <c r="V87" s="646">
        <v>0</v>
      </c>
      <c r="W87" s="644" t="str">
        <f>IF($B87="","",Calcul!X72*V87)</f>
        <v/>
      </c>
      <c r="X87" s="650" t="str">
        <f t="shared" si="3"/>
        <v/>
      </c>
    </row>
    <row r="88" spans="1:24" ht="24.95" hidden="1" customHeight="1">
      <c r="A88" s="11" t="str">
        <f>IF(Cotations!C73=FALSE,"",Cotations!E73)</f>
        <v/>
      </c>
      <c r="B88" s="11" t="str">
        <f>IF(Cotations!C73=FALSE,"",Cotations!G73)</f>
        <v/>
      </c>
      <c r="C88" s="11" t="str">
        <f>IF($B88="","",Detail!L73)</f>
        <v/>
      </c>
      <c r="D88" s="11" t="str">
        <f>IF($B88="","",Cotations!I73)</f>
        <v/>
      </c>
      <c r="E88" s="17" t="str">
        <f>IF($B88="","",Cotations!P73)</f>
        <v/>
      </c>
      <c r="F88" s="17" t="str">
        <f>IF($B88="","",Cotations!N73)</f>
        <v/>
      </c>
      <c r="G88" s="17" t="str">
        <f>IF($B88="","",Cotations!U73)</f>
        <v/>
      </c>
      <c r="H88" s="17" t="str">
        <f>IF($B88="","",Calcul!X73)</f>
        <v/>
      </c>
      <c r="I88" s="11" t="str">
        <f>IF($B88="","",Calcul!ED73)</f>
        <v/>
      </c>
      <c r="J88" s="11" t="str">
        <f>IF($B88="","",Calcul!ID73)</f>
        <v/>
      </c>
      <c r="K88" s="16" t="str">
        <f>IF($B88="","",Calcul!AH73)</f>
        <v/>
      </c>
      <c r="L88" s="646" t="str">
        <f>IF($B88="","",IF(ALLTHESAME=TRUE,Cotations!$AM$4,Cotations!AM73))</f>
        <v/>
      </c>
      <c r="M88" s="644" t="str">
        <f>IF($B88="","",(Calcul!AJ73+Calcul!AQ73)*L88)</f>
        <v/>
      </c>
      <c r="N88" s="646" t="str">
        <f>IF($B88="","",IF(ALLTHESAME=TRUE,Cotations!$BH$4,Cotations!BH73))</f>
        <v/>
      </c>
      <c r="O88" s="644" t="str">
        <f>IF($B88="","",IF(Cotations!$BA$6=0,(Calcul!AK73*N88),Cotations!$Z$4*E88))</f>
        <v/>
      </c>
      <c r="P88" s="646">
        <v>0</v>
      </c>
      <c r="Q88" s="644" t="str">
        <f>IF($B88="","",Calcul!X73*P88)</f>
        <v/>
      </c>
      <c r="R88" s="646" t="str">
        <f t="shared" si="5"/>
        <v/>
      </c>
      <c r="S88" s="644" t="str">
        <f>IF($B88="","",((Calcul!AS73*R88)+Calcul!AL73)*R88)</f>
        <v/>
      </c>
      <c r="T88" s="646" t="str">
        <f>IF($B88="","",Cotations!BI73)</f>
        <v/>
      </c>
      <c r="U88" s="644" t="str">
        <f>IF($B88="","",(Calcul!AT73+Calcul!AL73)*T88)</f>
        <v/>
      </c>
      <c r="V88" s="646">
        <v>0</v>
      </c>
      <c r="W88" s="644" t="str">
        <f>IF($B88="","",Calcul!X73*V88)</f>
        <v/>
      </c>
      <c r="X88" s="650" t="str">
        <f t="shared" si="3"/>
        <v/>
      </c>
    </row>
    <row r="89" spans="1:24" ht="24.95" hidden="1" customHeight="1">
      <c r="A89" s="11" t="str">
        <f>IF(Cotations!C74=FALSE,"",Cotations!E74)</f>
        <v/>
      </c>
      <c r="B89" s="11" t="str">
        <f>IF(Cotations!C74=FALSE,"",Cotations!G74)</f>
        <v/>
      </c>
      <c r="C89" s="11" t="str">
        <f>IF($B89="","",Detail!L74)</f>
        <v/>
      </c>
      <c r="D89" s="11" t="str">
        <f>IF($B89="","",Cotations!I74)</f>
        <v/>
      </c>
      <c r="E89" s="17" t="str">
        <f>IF($B89="","",Cotations!P74)</f>
        <v/>
      </c>
      <c r="F89" s="17" t="str">
        <f>IF($B89="","",Cotations!N74)</f>
        <v/>
      </c>
      <c r="G89" s="17" t="str">
        <f>IF($B89="","",Cotations!U74)</f>
        <v/>
      </c>
      <c r="H89" s="17" t="str">
        <f>IF($B89="","",Calcul!X74)</f>
        <v/>
      </c>
      <c r="I89" s="11" t="str">
        <f>IF($B89="","",Calcul!ED74)</f>
        <v/>
      </c>
      <c r="J89" s="11" t="str">
        <f>IF($B89="","",Calcul!ID74)</f>
        <v/>
      </c>
      <c r="K89" s="16" t="str">
        <f>IF($B89="","",Calcul!AH74)</f>
        <v/>
      </c>
      <c r="L89" s="646" t="str">
        <f>IF($B89="","",IF(ALLTHESAME=TRUE,Cotations!$AM$4,Cotations!AM74))</f>
        <v/>
      </c>
      <c r="M89" s="644" t="str">
        <f>IF($B89="","",(Calcul!AJ74+Calcul!AQ74)*L89)</f>
        <v/>
      </c>
      <c r="N89" s="646" t="str">
        <f>IF($B89="","",IF(ALLTHESAME=TRUE,Cotations!$BH$4,Cotations!BH74))</f>
        <v/>
      </c>
      <c r="O89" s="644" t="str">
        <f>IF($B89="","",IF(Cotations!$BA$6=0,(Calcul!AK74*N89),Cotations!$Z$4*E89))</f>
        <v/>
      </c>
      <c r="P89" s="646">
        <v>0</v>
      </c>
      <c r="Q89" s="644" t="str">
        <f>IF($B89="","",Calcul!X74*P89)</f>
        <v/>
      </c>
      <c r="R89" s="646" t="str">
        <f t="shared" si="5"/>
        <v/>
      </c>
      <c r="S89" s="644" t="str">
        <f>IF($B89="","",((Calcul!AS74*R89)+Calcul!AL74)*R89)</f>
        <v/>
      </c>
      <c r="T89" s="646" t="str">
        <f>IF($B89="","",Cotations!BI74)</f>
        <v/>
      </c>
      <c r="U89" s="644" t="str">
        <f>IF($B89="","",(Calcul!AT74+Calcul!AL74)*T89)</f>
        <v/>
      </c>
      <c r="V89" s="646">
        <v>0</v>
      </c>
      <c r="W89" s="644" t="str">
        <f>IF($B89="","",Calcul!X74*V89)</f>
        <v/>
      </c>
      <c r="X89" s="650" t="str">
        <f t="shared" si="3"/>
        <v/>
      </c>
    </row>
    <row r="90" spans="1:24" ht="24.95" hidden="1" customHeight="1">
      <c r="A90" s="11" t="str">
        <f>IF(Cotations!C75=FALSE,"",Cotations!E75)</f>
        <v/>
      </c>
      <c r="B90" s="11" t="str">
        <f>IF(Cotations!C75=FALSE,"",Cotations!G75)</f>
        <v/>
      </c>
      <c r="C90" s="11" t="str">
        <f>IF($B90="","",Detail!L75)</f>
        <v/>
      </c>
      <c r="D90" s="11" t="str">
        <f>IF($B90="","",Cotations!I75)</f>
        <v/>
      </c>
      <c r="E90" s="17" t="str">
        <f>IF($B90="","",Cotations!P75)</f>
        <v/>
      </c>
      <c r="F90" s="17" t="str">
        <f>IF($B90="","",Cotations!N75)</f>
        <v/>
      </c>
      <c r="G90" s="17" t="str">
        <f>IF($B90="","",Cotations!U75)</f>
        <v/>
      </c>
      <c r="H90" s="17" t="str">
        <f>IF($B90="","",Calcul!X75)</f>
        <v/>
      </c>
      <c r="I90" s="11" t="str">
        <f>IF($B90="","",Calcul!ED75)</f>
        <v/>
      </c>
      <c r="J90" s="11" t="str">
        <f>IF($B90="","",Calcul!ID75)</f>
        <v/>
      </c>
      <c r="K90" s="16" t="str">
        <f>IF($B90="","",Calcul!AH75)</f>
        <v/>
      </c>
      <c r="L90" s="646" t="str">
        <f>IF($B90="","",IF(ALLTHESAME=TRUE,Cotations!$AM$4,Cotations!AM75))</f>
        <v/>
      </c>
      <c r="M90" s="644" t="str">
        <f>IF($B90="","",(Calcul!AJ75+Calcul!AQ75)*L90)</f>
        <v/>
      </c>
      <c r="N90" s="646" t="str">
        <f>IF($B90="","",IF(ALLTHESAME=TRUE,Cotations!$BH$4,Cotations!BH75))</f>
        <v/>
      </c>
      <c r="O90" s="644" t="str">
        <f>IF($B90="","",IF(Cotations!$BA$6=0,(Calcul!AK75*N90),Cotations!$Z$4*E90))</f>
        <v/>
      </c>
      <c r="P90" s="646">
        <v>0</v>
      </c>
      <c r="Q90" s="644" t="str">
        <f>IF($B90="","",Calcul!X75*P90)</f>
        <v/>
      </c>
      <c r="R90" s="646" t="str">
        <f t="shared" si="5"/>
        <v/>
      </c>
      <c r="S90" s="644" t="str">
        <f>IF($B90="","",((Calcul!AS75*R90)+Calcul!AL75)*R90)</f>
        <v/>
      </c>
      <c r="T90" s="646" t="str">
        <f>IF($B90="","",Cotations!BI75)</f>
        <v/>
      </c>
      <c r="U90" s="644" t="str">
        <f>IF($B90="","",(Calcul!AT75+Calcul!AL75)*T90)</f>
        <v/>
      </c>
      <c r="V90" s="646">
        <v>0</v>
      </c>
      <c r="W90" s="644" t="str">
        <f>IF($B90="","",Calcul!X75*V90)</f>
        <v/>
      </c>
      <c r="X90" s="650" t="str">
        <f t="shared" si="3"/>
        <v/>
      </c>
    </row>
    <row r="91" spans="1:24" ht="24.95" hidden="1" customHeight="1">
      <c r="A91" s="11" t="str">
        <f>IF(Cotations!C76=FALSE,"",Cotations!E76)</f>
        <v/>
      </c>
      <c r="B91" s="11" t="str">
        <f>IF(Cotations!C76=FALSE,"",Cotations!G76)</f>
        <v/>
      </c>
      <c r="C91" s="11" t="str">
        <f>IF($B91="","",Detail!L76)</f>
        <v/>
      </c>
      <c r="D91" s="11" t="str">
        <f>IF($B91="","",Cotations!I76)</f>
        <v/>
      </c>
      <c r="E91" s="17" t="str">
        <f>IF($B91="","",Cotations!P76)</f>
        <v/>
      </c>
      <c r="F91" s="17" t="str">
        <f>IF($B91="","",Cotations!N76)</f>
        <v/>
      </c>
      <c r="G91" s="17" t="str">
        <f>IF($B91="","",Cotations!U76)</f>
        <v/>
      </c>
      <c r="H91" s="17" t="str">
        <f>IF($B91="","",Calcul!X76)</f>
        <v/>
      </c>
      <c r="I91" s="11" t="str">
        <f>IF($B91="","",Calcul!ED76)</f>
        <v/>
      </c>
      <c r="J91" s="11" t="str">
        <f>IF($B91="","",Calcul!ID76)</f>
        <v/>
      </c>
      <c r="K91" s="16" t="str">
        <f>IF($B91="","",Calcul!AH76)</f>
        <v/>
      </c>
      <c r="L91" s="646" t="str">
        <f>IF($B91="","",IF(ALLTHESAME=TRUE,Cotations!$AM$4,Cotations!AM76))</f>
        <v/>
      </c>
      <c r="M91" s="644" t="str">
        <f>IF($B91="","",(Calcul!AJ76+Calcul!AQ76)*L91)</f>
        <v/>
      </c>
      <c r="N91" s="646" t="str">
        <f>IF($B91="","",IF(ALLTHESAME=TRUE,Cotations!$BH$4,Cotations!BH76))</f>
        <v/>
      </c>
      <c r="O91" s="644" t="str">
        <f>IF($B91="","",IF(Cotations!$BA$6=0,(Calcul!AK76*N91),Cotations!$Z$4*E91))</f>
        <v/>
      </c>
      <c r="P91" s="646">
        <v>0</v>
      </c>
      <c r="Q91" s="644" t="str">
        <f>IF($B91="","",Calcul!X76*P91)</f>
        <v/>
      </c>
      <c r="R91" s="646" t="str">
        <f t="shared" si="5"/>
        <v/>
      </c>
      <c r="S91" s="644" t="str">
        <f>IF($B91="","",((Calcul!AS76*R91)+Calcul!AL76)*R91)</f>
        <v/>
      </c>
      <c r="T91" s="646" t="str">
        <f>IF($B91="","",Cotations!BI76)</f>
        <v/>
      </c>
      <c r="U91" s="644" t="str">
        <f>IF($B91="","",(Calcul!AT76+Calcul!AL76)*T91)</f>
        <v/>
      </c>
      <c r="V91" s="646">
        <v>0</v>
      </c>
      <c r="W91" s="644" t="str">
        <f>IF($B91="","",Calcul!X76*V91)</f>
        <v/>
      </c>
      <c r="X91" s="650" t="str">
        <f t="shared" si="3"/>
        <v/>
      </c>
    </row>
    <row r="92" spans="1:24" ht="24.95" hidden="1" customHeight="1">
      <c r="A92" s="11" t="str">
        <f>IF(Cotations!C77=FALSE,"",Cotations!E77)</f>
        <v/>
      </c>
      <c r="B92" s="11" t="str">
        <f>IF(Cotations!C77=FALSE,"",Cotations!G77)</f>
        <v/>
      </c>
      <c r="C92" s="11" t="str">
        <f>IF($B92="","",Detail!L77)</f>
        <v/>
      </c>
      <c r="D92" s="11" t="str">
        <f>IF($B92="","",Cotations!I77)</f>
        <v/>
      </c>
      <c r="E92" s="17" t="str">
        <f>IF($B92="","",Cotations!P77)</f>
        <v/>
      </c>
      <c r="F92" s="17" t="str">
        <f>IF($B92="","",Cotations!N77)</f>
        <v/>
      </c>
      <c r="G92" s="17" t="str">
        <f>IF($B92="","",Cotations!U77)</f>
        <v/>
      </c>
      <c r="H92" s="17" t="str">
        <f>IF($B92="","",Calcul!X77)</f>
        <v/>
      </c>
      <c r="I92" s="11" t="str">
        <f>IF($B92="","",Calcul!ED77)</f>
        <v/>
      </c>
      <c r="J92" s="11" t="str">
        <f>IF($B92="","",Calcul!ID77)</f>
        <v/>
      </c>
      <c r="K92" s="16" t="str">
        <f>IF($B92="","",Calcul!AH77)</f>
        <v/>
      </c>
      <c r="L92" s="646" t="str">
        <f>IF($B92="","",IF(ALLTHESAME=TRUE,Cotations!$AM$4,Cotations!AM77))</f>
        <v/>
      </c>
      <c r="M92" s="644" t="str">
        <f>IF($B92="","",(Calcul!AJ77+Calcul!AQ77)*L92)</f>
        <v/>
      </c>
      <c r="N92" s="646" t="str">
        <f>IF($B92="","",IF(ALLTHESAME=TRUE,Cotations!$BH$4,Cotations!BH77))</f>
        <v/>
      </c>
      <c r="O92" s="644" t="str">
        <f>IF($B92="","",IF(Cotations!$BA$6=0,(Calcul!AK77*N92),Cotations!$Z$4*E92))</f>
        <v/>
      </c>
      <c r="P92" s="646">
        <v>0</v>
      </c>
      <c r="Q92" s="644" t="str">
        <f>IF($B92="","",Calcul!X77*P92)</f>
        <v/>
      </c>
      <c r="R92" s="646" t="str">
        <f t="shared" si="5"/>
        <v/>
      </c>
      <c r="S92" s="644" t="str">
        <f>IF($B92="","",((Calcul!AS77*R92)+Calcul!AL77)*R92)</f>
        <v/>
      </c>
      <c r="T92" s="646" t="str">
        <f>IF($B92="","",Cotations!BI77)</f>
        <v/>
      </c>
      <c r="U92" s="644" t="str">
        <f>IF($B92="","",(Calcul!AT77+Calcul!AL77)*T92)</f>
        <v/>
      </c>
      <c r="V92" s="646">
        <v>0</v>
      </c>
      <c r="W92" s="644" t="str">
        <f>IF($B92="","",Calcul!X77*V92)</f>
        <v/>
      </c>
      <c r="X92" s="650" t="str">
        <f t="shared" si="3"/>
        <v/>
      </c>
    </row>
    <row r="93" spans="1:24" ht="24.95" hidden="1" customHeight="1">
      <c r="A93" s="11" t="str">
        <f>IF(Cotations!C78=FALSE,"",Cotations!E78)</f>
        <v/>
      </c>
      <c r="B93" s="11" t="str">
        <f>IF(Cotations!C78=FALSE,"",Cotations!G78)</f>
        <v/>
      </c>
      <c r="C93" s="11" t="str">
        <f>IF($B93="","",Detail!L78)</f>
        <v/>
      </c>
      <c r="D93" s="11" t="str">
        <f>IF($B93="","",Cotations!I78)</f>
        <v/>
      </c>
      <c r="E93" s="17" t="str">
        <f>IF($B93="","",Cotations!P78)</f>
        <v/>
      </c>
      <c r="F93" s="17" t="str">
        <f>IF($B93="","",Cotations!N78)</f>
        <v/>
      </c>
      <c r="G93" s="17" t="str">
        <f>IF($B93="","",Cotations!U78)</f>
        <v/>
      </c>
      <c r="H93" s="17" t="str">
        <f>IF($B93="","",Calcul!X78)</f>
        <v/>
      </c>
      <c r="I93" s="11" t="str">
        <f>IF($B93="","",Calcul!ED78)</f>
        <v/>
      </c>
      <c r="J93" s="11" t="str">
        <f>IF($B93="","",Calcul!ID78)</f>
        <v/>
      </c>
      <c r="K93" s="16" t="str">
        <f>IF($B93="","",Calcul!AH78)</f>
        <v/>
      </c>
      <c r="L93" s="646" t="str">
        <f>IF($B93="","",IF(ALLTHESAME=TRUE,Cotations!$AM$4,Cotations!AM78))</f>
        <v/>
      </c>
      <c r="M93" s="644" t="str">
        <f>IF($B93="","",(Calcul!AJ78+Calcul!AQ78)*L93)</f>
        <v/>
      </c>
      <c r="N93" s="646" t="str">
        <f>IF($B93="","",IF(ALLTHESAME=TRUE,Cotations!$BH$4,Cotations!BH78))</f>
        <v/>
      </c>
      <c r="O93" s="644" t="str">
        <f>IF($B93="","",IF(Cotations!$BA$6=0,(Calcul!AK78*N93),Cotations!$Z$4*E93))</f>
        <v/>
      </c>
      <c r="P93" s="646">
        <v>0</v>
      </c>
      <c r="Q93" s="644" t="str">
        <f>IF($B93="","",Calcul!X78*P93)</f>
        <v/>
      </c>
      <c r="R93" s="646" t="str">
        <f t="shared" si="5"/>
        <v/>
      </c>
      <c r="S93" s="644" t="str">
        <f>IF($B93="","",((Calcul!AS78*R93)+Calcul!AL78)*R93)</f>
        <v/>
      </c>
      <c r="T93" s="646" t="str">
        <f>IF($B93="","",Cotations!BI78)</f>
        <v/>
      </c>
      <c r="U93" s="644" t="str">
        <f>IF($B93="","",(Calcul!AT78+Calcul!AL78)*T93)</f>
        <v/>
      </c>
      <c r="V93" s="646">
        <v>0</v>
      </c>
      <c r="W93" s="644" t="str">
        <f>IF($B93="","",Calcul!X78*V93)</f>
        <v/>
      </c>
      <c r="X93" s="650" t="str">
        <f t="shared" si="3"/>
        <v/>
      </c>
    </row>
    <row r="94" spans="1:24" ht="24.95" hidden="1" customHeight="1">
      <c r="A94" s="11" t="str">
        <f>IF(Cotations!C79=FALSE,"",Cotations!E79)</f>
        <v/>
      </c>
      <c r="B94" s="11" t="str">
        <f>IF(Cotations!C79=FALSE,"",Cotations!G79)</f>
        <v/>
      </c>
      <c r="C94" s="11" t="str">
        <f>IF($B94="","",Detail!L79)</f>
        <v/>
      </c>
      <c r="D94" s="11" t="str">
        <f>IF($B94="","",Cotations!I79)</f>
        <v/>
      </c>
      <c r="E94" s="17" t="str">
        <f>IF($B94="","",Cotations!P79)</f>
        <v/>
      </c>
      <c r="F94" s="17" t="str">
        <f>IF($B94="","",Cotations!N79)</f>
        <v/>
      </c>
      <c r="G94" s="17" t="str">
        <f>IF($B94="","",Cotations!U79)</f>
        <v/>
      </c>
      <c r="H94" s="17" t="str">
        <f>IF($B94="","",Calcul!X79)</f>
        <v/>
      </c>
      <c r="I94" s="11" t="str">
        <f>IF($B94="","",Calcul!ED79)</f>
        <v/>
      </c>
      <c r="J94" s="11" t="str">
        <f>IF($B94="","",Calcul!ID79)</f>
        <v/>
      </c>
      <c r="K94" s="16" t="str">
        <f>IF($B94="","",Calcul!AH79)</f>
        <v/>
      </c>
      <c r="L94" s="646" t="str">
        <f>IF($B94="","",IF(ALLTHESAME=TRUE,Cotations!$AM$4,Cotations!AM79))</f>
        <v/>
      </c>
      <c r="M94" s="644" t="str">
        <f>IF($B94="","",(Calcul!AJ79+Calcul!AQ79)*L94)</f>
        <v/>
      </c>
      <c r="N94" s="646" t="str">
        <f>IF($B94="","",IF(ALLTHESAME=TRUE,Cotations!$BH$4,Cotations!BH79))</f>
        <v/>
      </c>
      <c r="O94" s="644" t="str">
        <f>IF($B94="","",IF(Cotations!$BA$6=0,(Calcul!AK79*N94),Cotations!$Z$4*E94))</f>
        <v/>
      </c>
      <c r="P94" s="646">
        <v>0</v>
      </c>
      <c r="Q94" s="644" t="str">
        <f>IF($B94="","",Calcul!X79*P94)</f>
        <v/>
      </c>
      <c r="R94" s="646" t="str">
        <f t="shared" si="5"/>
        <v/>
      </c>
      <c r="S94" s="644" t="str">
        <f>IF($B94="","",((Calcul!AS79*R94)+Calcul!AL79)*R94)</f>
        <v/>
      </c>
      <c r="T94" s="646" t="str">
        <f>IF($B94="","",Cotations!BI79)</f>
        <v/>
      </c>
      <c r="U94" s="644" t="str">
        <f>IF($B94="","",(Calcul!AT79+Calcul!AL79)*T94)</f>
        <v/>
      </c>
      <c r="V94" s="646">
        <v>0</v>
      </c>
      <c r="W94" s="644" t="str">
        <f>IF($B94="","",Calcul!X79*V94)</f>
        <v/>
      </c>
      <c r="X94" s="650" t="str">
        <f t="shared" si="3"/>
        <v/>
      </c>
    </row>
    <row r="95" spans="1:24" ht="24.95" hidden="1" customHeight="1">
      <c r="A95" s="11" t="str">
        <f>IF(Cotations!C80=FALSE,"",Cotations!E80)</f>
        <v/>
      </c>
      <c r="B95" s="11" t="str">
        <f>IF(Cotations!C80=FALSE,"",Cotations!G80)</f>
        <v/>
      </c>
      <c r="C95" s="11" t="str">
        <f>IF($B95="","",Detail!L80)</f>
        <v/>
      </c>
      <c r="D95" s="11" t="str">
        <f>IF($B95="","",Cotations!I80)</f>
        <v/>
      </c>
      <c r="E95" s="17" t="str">
        <f>IF($B95="","",Cotations!P80)</f>
        <v/>
      </c>
      <c r="F95" s="17" t="str">
        <f>IF($B95="","",Cotations!N80)</f>
        <v/>
      </c>
      <c r="G95" s="17" t="str">
        <f>IF($B95="","",Cotations!U80)</f>
        <v/>
      </c>
      <c r="H95" s="17" t="str">
        <f>IF($B95="","",Calcul!X80)</f>
        <v/>
      </c>
      <c r="I95" s="11" t="str">
        <f>IF($B95="","",Calcul!ED80)</f>
        <v/>
      </c>
      <c r="J95" s="11" t="str">
        <f>IF($B95="","",Calcul!ID80)</f>
        <v/>
      </c>
      <c r="K95" s="16" t="str">
        <f>IF($B95="","",Calcul!AH80)</f>
        <v/>
      </c>
      <c r="L95" s="646" t="str">
        <f>IF($B95="","",IF(ALLTHESAME=TRUE,Cotations!$AM$4,Cotations!AM80))</f>
        <v/>
      </c>
      <c r="M95" s="644" t="str">
        <f>IF($B95="","",(Calcul!AJ80+Calcul!AQ80)*L95)</f>
        <v/>
      </c>
      <c r="N95" s="646" t="str">
        <f>IF($B95="","",IF(ALLTHESAME=TRUE,Cotations!$BH$4,Cotations!BH80))</f>
        <v/>
      </c>
      <c r="O95" s="644" t="str">
        <f>IF($B95="","",IF(Cotations!$BA$6=0,(Calcul!AK80*N95),Cotations!$Z$4*E95))</f>
        <v/>
      </c>
      <c r="P95" s="646">
        <v>0</v>
      </c>
      <c r="Q95" s="644" t="str">
        <f>IF($B95="","",Calcul!X80*P95)</f>
        <v/>
      </c>
      <c r="R95" s="646" t="str">
        <f t="shared" si="5"/>
        <v/>
      </c>
      <c r="S95" s="644" t="str">
        <f>IF($B95="","",((Calcul!AS80*R95)+Calcul!AL80)*R95)</f>
        <v/>
      </c>
      <c r="T95" s="646" t="str">
        <f>IF($B95="","",Cotations!BI80)</f>
        <v/>
      </c>
      <c r="U95" s="644" t="str">
        <f>IF($B95="","",(Calcul!AT80+Calcul!AL80)*T95)</f>
        <v/>
      </c>
      <c r="V95" s="646">
        <v>0</v>
      </c>
      <c r="W95" s="644" t="str">
        <f>IF($B95="","",Calcul!X80*V95)</f>
        <v/>
      </c>
      <c r="X95" s="650" t="str">
        <f t="shared" ref="X95:X113" si="6">IF($B95="","",M95+O95+Q95+S95+U95+W95)</f>
        <v/>
      </c>
    </row>
    <row r="96" spans="1:24" ht="24.95" hidden="1" customHeight="1">
      <c r="A96" s="11" t="str">
        <f>IF(Cotations!C81=FALSE,"",Cotations!E81)</f>
        <v/>
      </c>
      <c r="B96" s="11" t="str">
        <f>IF(Cotations!C81=FALSE,"",Cotations!G81)</f>
        <v/>
      </c>
      <c r="C96" s="11" t="str">
        <f>IF($B96="","",Detail!L81)</f>
        <v/>
      </c>
      <c r="D96" s="11" t="str">
        <f>IF($B96="","",Cotations!I81)</f>
        <v/>
      </c>
      <c r="E96" s="17" t="str">
        <f>IF($B96="","",Cotations!P81)</f>
        <v/>
      </c>
      <c r="F96" s="17" t="str">
        <f>IF($B96="","",Cotations!N81)</f>
        <v/>
      </c>
      <c r="G96" s="17" t="str">
        <f>IF($B96="","",Cotations!U81)</f>
        <v/>
      </c>
      <c r="H96" s="17" t="str">
        <f>IF($B96="","",Calcul!X81)</f>
        <v/>
      </c>
      <c r="I96" s="11" t="str">
        <f>IF($B96="","",Calcul!ED81)</f>
        <v/>
      </c>
      <c r="J96" s="11" t="str">
        <f>IF($B96="","",Calcul!ID81)</f>
        <v/>
      </c>
      <c r="K96" s="16" t="str">
        <f>IF($B96="","",Calcul!AH81)</f>
        <v/>
      </c>
      <c r="L96" s="646" t="str">
        <f>IF($B96="","",IF(ALLTHESAME=TRUE,Cotations!$AM$4,Cotations!AM81))</f>
        <v/>
      </c>
      <c r="M96" s="644" t="str">
        <f>IF($B96="","",(Calcul!AJ81+Calcul!AQ81)*L96)</f>
        <v/>
      </c>
      <c r="N96" s="646" t="str">
        <f>IF($B96="","",IF(ALLTHESAME=TRUE,Cotations!$BH$4,Cotations!BH81))</f>
        <v/>
      </c>
      <c r="O96" s="644" t="str">
        <f>IF($B96="","",IF(Cotations!$BA$6=0,(Calcul!AK81*N96),Cotations!$Z$4*E96))</f>
        <v/>
      </c>
      <c r="P96" s="646">
        <v>0</v>
      </c>
      <c r="Q96" s="644" t="str">
        <f>IF($B96="","",Calcul!X81*P96)</f>
        <v/>
      </c>
      <c r="R96" s="646" t="str">
        <f t="shared" si="5"/>
        <v/>
      </c>
      <c r="S96" s="644" t="str">
        <f>IF($B96="","",((Calcul!AS81*R96)+Calcul!AL81)*R96)</f>
        <v/>
      </c>
      <c r="T96" s="646" t="str">
        <f>IF($B96="","",Cotations!BI81)</f>
        <v/>
      </c>
      <c r="U96" s="644" t="str">
        <f>IF($B96="","",(Calcul!AT81+Calcul!AL81)*T96)</f>
        <v/>
      </c>
      <c r="V96" s="646">
        <v>0</v>
      </c>
      <c r="W96" s="644" t="str">
        <f>IF($B96="","",Calcul!X81*V96)</f>
        <v/>
      </c>
      <c r="X96" s="650" t="str">
        <f t="shared" si="6"/>
        <v/>
      </c>
    </row>
    <row r="97" spans="1:24" ht="24.95" hidden="1" customHeight="1">
      <c r="A97" s="11" t="str">
        <f>IF(Cotations!C82=FALSE,"",Cotations!E82)</f>
        <v/>
      </c>
      <c r="B97" s="11" t="str">
        <f>IF(Cotations!C82=FALSE,"",Cotations!G82)</f>
        <v/>
      </c>
      <c r="C97" s="11" t="str">
        <f>IF($B97="","",Detail!L82)</f>
        <v/>
      </c>
      <c r="D97" s="11" t="str">
        <f>IF($B97="","",Cotations!I82)</f>
        <v/>
      </c>
      <c r="E97" s="17" t="str">
        <f>IF($B97="","",Cotations!P82)</f>
        <v/>
      </c>
      <c r="F97" s="17" t="str">
        <f>IF($B97="","",Cotations!N82)</f>
        <v/>
      </c>
      <c r="G97" s="17" t="str">
        <f>IF($B97="","",Cotations!U82)</f>
        <v/>
      </c>
      <c r="H97" s="17" t="str">
        <f>IF($B97="","",Calcul!X82)</f>
        <v/>
      </c>
      <c r="I97" s="11" t="str">
        <f>IF($B97="","",Calcul!ED82)</f>
        <v/>
      </c>
      <c r="J97" s="11" t="str">
        <f>IF($B97="","",Calcul!ID82)</f>
        <v/>
      </c>
      <c r="K97" s="16" t="str">
        <f>IF($B97="","",Calcul!AH82)</f>
        <v/>
      </c>
      <c r="L97" s="646" t="str">
        <f>IF($B97="","",IF(ALLTHESAME=TRUE,Cotations!$AM$4,Cotations!AM82))</f>
        <v/>
      </c>
      <c r="M97" s="644" t="str">
        <f>IF($B97="","",(Calcul!AJ82+Calcul!AQ82)*L97)</f>
        <v/>
      </c>
      <c r="N97" s="646" t="str">
        <f>IF($B97="","",IF(ALLTHESAME=TRUE,Cotations!$BH$4,Cotations!BH82))</f>
        <v/>
      </c>
      <c r="O97" s="644" t="str">
        <f>IF($B97="","",IF(Cotations!$BA$6=0,(Calcul!AK82*N97),Cotations!$Z$4*E97))</f>
        <v/>
      </c>
      <c r="P97" s="646">
        <v>0</v>
      </c>
      <c r="Q97" s="644" t="str">
        <f>IF($B97="","",Calcul!X82*P97)</f>
        <v/>
      </c>
      <c r="R97" s="646" t="str">
        <f t="shared" ref="R97:R99" si="7">IF($B97="","",100%-L97)</f>
        <v/>
      </c>
      <c r="S97" s="644" t="str">
        <f>IF($B97="","",((Calcul!AS82*R97)+Calcul!AL82)*R97)</f>
        <v/>
      </c>
      <c r="T97" s="646" t="str">
        <f>IF($B97="","",Cotations!BI82)</f>
        <v/>
      </c>
      <c r="U97" s="644" t="str">
        <f>IF($B97="","",(Calcul!AT82+Calcul!AL82)*T97)</f>
        <v/>
      </c>
      <c r="V97" s="646">
        <v>0</v>
      </c>
      <c r="W97" s="644" t="str">
        <f>IF($B97="","",Calcul!X82*V97)</f>
        <v/>
      </c>
      <c r="X97" s="650" t="str">
        <f t="shared" si="6"/>
        <v/>
      </c>
    </row>
    <row r="98" spans="1:24" ht="24.95" hidden="1" customHeight="1">
      <c r="A98" s="11" t="str">
        <f>IF(Cotations!C83=FALSE,"",Cotations!E83)</f>
        <v/>
      </c>
      <c r="B98" s="11" t="str">
        <f>IF(Cotations!C83=FALSE,"",Cotations!G83)</f>
        <v/>
      </c>
      <c r="C98" s="11" t="str">
        <f>IF($B98="","",Detail!L83)</f>
        <v/>
      </c>
      <c r="D98" s="11" t="str">
        <f>IF($B98="","",Cotations!I83)</f>
        <v/>
      </c>
      <c r="E98" s="17" t="str">
        <f>IF($B98="","",Cotations!P83)</f>
        <v/>
      </c>
      <c r="F98" s="17" t="str">
        <f>IF($B98="","",Cotations!N83)</f>
        <v/>
      </c>
      <c r="G98" s="17" t="str">
        <f>IF($B98="","",Cotations!U83)</f>
        <v/>
      </c>
      <c r="H98" s="17" t="str">
        <f>IF($B98="","",Calcul!X83)</f>
        <v/>
      </c>
      <c r="I98" s="11" t="str">
        <f>IF($B98="","",Calcul!ED83)</f>
        <v/>
      </c>
      <c r="J98" s="11" t="str">
        <f>IF($B98="","",Calcul!ID83)</f>
        <v/>
      </c>
      <c r="K98" s="16" t="str">
        <f>IF($B98="","",Calcul!AH83)</f>
        <v/>
      </c>
      <c r="L98" s="646" t="str">
        <f>IF($B98="","",IF(ALLTHESAME=TRUE,Cotations!$AM$4,Cotations!AM83))</f>
        <v/>
      </c>
      <c r="M98" s="644" t="str">
        <f>IF($B98="","",(Calcul!AJ83+Calcul!AQ83)*L98)</f>
        <v/>
      </c>
      <c r="N98" s="646" t="str">
        <f>IF($B98="","",IF(ALLTHESAME=TRUE,Cotations!$BH$4,Cotations!BH83))</f>
        <v/>
      </c>
      <c r="O98" s="644" t="str">
        <f>IF($B98="","",IF(Cotations!$BA$6=0,(Calcul!AK83*N98),Cotations!$Z$4*E98))</f>
        <v/>
      </c>
      <c r="P98" s="646">
        <v>0</v>
      </c>
      <c r="Q98" s="644" t="str">
        <f>IF($B98="","",Calcul!X83*P98)</f>
        <v/>
      </c>
      <c r="R98" s="646" t="str">
        <f t="shared" si="7"/>
        <v/>
      </c>
      <c r="S98" s="644" t="str">
        <f>IF($B98="","",((Calcul!AS83*R98)+Calcul!AL83)*R98)</f>
        <v/>
      </c>
      <c r="T98" s="646" t="str">
        <f>IF($B98="","",Cotations!BI83)</f>
        <v/>
      </c>
      <c r="U98" s="644" t="str">
        <f>IF($B98="","",(Calcul!AT83+Calcul!AL83)*T98)</f>
        <v/>
      </c>
      <c r="V98" s="646">
        <v>0</v>
      </c>
      <c r="W98" s="644" t="str">
        <f>IF($B98="","",Calcul!X83*V98)</f>
        <v/>
      </c>
      <c r="X98" s="650" t="str">
        <f t="shared" si="6"/>
        <v/>
      </c>
    </row>
    <row r="99" spans="1:24" ht="24.95" hidden="1" customHeight="1">
      <c r="A99" s="11" t="str">
        <f>IF(Cotations!C84=FALSE,"",Cotations!E84)</f>
        <v/>
      </c>
      <c r="B99" s="11" t="str">
        <f>IF(Cotations!C84=FALSE,"",Cotations!G84)</f>
        <v/>
      </c>
      <c r="C99" s="11" t="str">
        <f>IF($B99="","",Detail!L84)</f>
        <v/>
      </c>
      <c r="D99" s="11" t="str">
        <f>IF($B99="","",Cotations!I84)</f>
        <v/>
      </c>
      <c r="E99" s="17" t="str">
        <f>IF($B99="","",Cotations!P84)</f>
        <v/>
      </c>
      <c r="F99" s="17" t="str">
        <f>IF($B99="","",Cotations!N84)</f>
        <v/>
      </c>
      <c r="G99" s="17" t="str">
        <f>IF($B99="","",Cotations!U84)</f>
        <v/>
      </c>
      <c r="H99" s="17" t="str">
        <f>IF($B99="","",Calcul!X84)</f>
        <v/>
      </c>
      <c r="I99" s="11" t="str">
        <f>IF($B99="","",Calcul!ED84)</f>
        <v/>
      </c>
      <c r="J99" s="11" t="str">
        <f>IF($B99="","",Calcul!ID84)</f>
        <v/>
      </c>
      <c r="K99" s="16" t="str">
        <f>IF($B99="","",Calcul!AH84)</f>
        <v/>
      </c>
      <c r="L99" s="646" t="str">
        <f>IF($B99="","",IF(ALLTHESAME=TRUE,Cotations!$AM$4,Cotations!AM84))</f>
        <v/>
      </c>
      <c r="M99" s="644" t="str">
        <f>IF($B99="","",(Calcul!AJ84+Calcul!AQ84)*L99)</f>
        <v/>
      </c>
      <c r="N99" s="646" t="str">
        <f>IF($B99="","",IF(ALLTHESAME=TRUE,Cotations!$BH$4,Cotations!BH84))</f>
        <v/>
      </c>
      <c r="O99" s="644" t="str">
        <f>IF($B99="","",IF(Cotations!$BA$6=0,(Calcul!AK84*N99),Cotations!$Z$4*E99))</f>
        <v/>
      </c>
      <c r="P99" s="646">
        <v>0</v>
      </c>
      <c r="Q99" s="644" t="str">
        <f>IF($B99="","",Calcul!X84*P99)</f>
        <v/>
      </c>
      <c r="R99" s="646" t="str">
        <f t="shared" si="7"/>
        <v/>
      </c>
      <c r="S99" s="644" t="str">
        <f>IF($B99="","",((Calcul!AS84*R99)+Calcul!AL84)*R99)</f>
        <v/>
      </c>
      <c r="T99" s="646" t="str">
        <f>IF($B99="","",Cotations!BI84)</f>
        <v/>
      </c>
      <c r="U99" s="644" t="str">
        <f>IF($B99="","",(Calcul!AT84+Calcul!AL84)*T99)</f>
        <v/>
      </c>
      <c r="V99" s="646">
        <v>0</v>
      </c>
      <c r="W99" s="644" t="str">
        <f>IF($B99="","",Calcul!X84*V99)</f>
        <v/>
      </c>
      <c r="X99" s="650" t="str">
        <f t="shared" si="6"/>
        <v/>
      </c>
    </row>
    <row r="100" spans="1:24" ht="24.95" hidden="1" customHeight="1">
      <c r="A100" s="11" t="str">
        <f>IF(Cotations!C85=FALSE,"",Cotations!E85)</f>
        <v/>
      </c>
      <c r="B100" s="11" t="str">
        <f>IF(Cotations!C85=FALSE,"",Cotations!G85)</f>
        <v/>
      </c>
      <c r="C100" s="11" t="str">
        <f>IF($B100="","",Detail!L85)</f>
        <v/>
      </c>
      <c r="D100" s="11" t="str">
        <f>IF($B100="","",Cotations!I85)</f>
        <v/>
      </c>
      <c r="E100" s="17" t="str">
        <f>IF($B100="","",Cotations!P85)</f>
        <v/>
      </c>
      <c r="F100" s="17" t="str">
        <f>IF($B100="","",Cotations!N85)</f>
        <v/>
      </c>
      <c r="G100" s="17" t="str">
        <f>IF($B100="","",Cotations!U85)</f>
        <v/>
      </c>
      <c r="H100" s="17" t="str">
        <f>IF($B100="","",Calcul!X85)</f>
        <v/>
      </c>
      <c r="I100" s="11" t="str">
        <f>IF($B100="","",Calcul!ED85)</f>
        <v/>
      </c>
      <c r="J100" s="11" t="str">
        <f>IF($B100="","",Calcul!ID85)</f>
        <v/>
      </c>
      <c r="K100" s="16" t="str">
        <f>IF($B100="","",Calcul!AH85)</f>
        <v/>
      </c>
      <c r="L100" s="646" t="str">
        <f>IF($B100="","",IF(ALLTHESAME=TRUE,Cotations!$AM$4,Cotations!AM85))</f>
        <v/>
      </c>
      <c r="M100" s="644" t="str">
        <f>IF($B100="","",(Calcul!AJ85+Calcul!AQ85)*L100)</f>
        <v/>
      </c>
      <c r="N100" s="646" t="str">
        <f>IF($B100="","",IF(ALLTHESAME=TRUE,Cotations!$BH$4,Cotations!BH85))</f>
        <v/>
      </c>
      <c r="O100" s="644" t="str">
        <f>IF($B100="","",IF(Cotations!$BA$6=0,(Calcul!AK85*N100),Cotations!$Z$4*E100))</f>
        <v/>
      </c>
      <c r="P100" s="646">
        <v>0</v>
      </c>
      <c r="Q100" s="644" t="str">
        <f>IF($B100="","",Calcul!X85*P100)</f>
        <v/>
      </c>
      <c r="R100" s="646" t="str">
        <f t="shared" ref="R100:R113" si="8">IF($B100="","",100%-L100)</f>
        <v/>
      </c>
      <c r="S100" s="644" t="str">
        <f>IF($B100="","",((Calcul!AS85*R100)+Calcul!AL85)*R100)</f>
        <v/>
      </c>
      <c r="T100" s="646" t="str">
        <f>IF($B100="","",Cotations!BI85)</f>
        <v/>
      </c>
      <c r="U100" s="644" t="str">
        <f>IF($B100="","",(Calcul!AT85+Calcul!AL85)*T100)</f>
        <v/>
      </c>
      <c r="V100" s="646">
        <v>0</v>
      </c>
      <c r="W100" s="644" t="str">
        <f>IF($B100="","",Calcul!X85*V100)</f>
        <v/>
      </c>
      <c r="X100" s="650" t="str">
        <f t="shared" si="6"/>
        <v/>
      </c>
    </row>
    <row r="101" spans="1:24" ht="24.95" hidden="1" customHeight="1">
      <c r="A101" s="11" t="str">
        <f>IF(Cotations!C86=FALSE,"",Cotations!E86)</f>
        <v/>
      </c>
      <c r="B101" s="11" t="str">
        <f>IF(Cotations!C86=FALSE,"",Cotations!G86)</f>
        <v/>
      </c>
      <c r="C101" s="11" t="str">
        <f>IF($B101="","",Detail!L86)</f>
        <v/>
      </c>
      <c r="D101" s="11" t="str">
        <f>IF($B101="","",Cotations!I86)</f>
        <v/>
      </c>
      <c r="E101" s="17" t="str">
        <f>IF($B101="","",Cotations!P86)</f>
        <v/>
      </c>
      <c r="F101" s="17" t="str">
        <f>IF($B101="","",Cotations!N86)</f>
        <v/>
      </c>
      <c r="G101" s="17" t="str">
        <f>IF($B101="","",Cotations!U86)</f>
        <v/>
      </c>
      <c r="H101" s="17" t="str">
        <f>IF($B101="","",Calcul!X86)</f>
        <v/>
      </c>
      <c r="I101" s="11" t="str">
        <f>IF($B101="","",Calcul!ED86)</f>
        <v/>
      </c>
      <c r="J101" s="11" t="str">
        <f>IF($B101="","",Calcul!ID86)</f>
        <v/>
      </c>
      <c r="K101" s="16" t="str">
        <f>IF($B101="","",Calcul!AH86)</f>
        <v/>
      </c>
      <c r="L101" s="646" t="str">
        <f>IF($B101="","",IF(ALLTHESAME=TRUE,Cotations!$AM$4,Cotations!AM86))</f>
        <v/>
      </c>
      <c r="M101" s="644" t="str">
        <f>IF($B101="","",(Calcul!AJ86+Calcul!AQ86)*L101)</f>
        <v/>
      </c>
      <c r="N101" s="646" t="str">
        <f>IF($B101="","",IF(ALLTHESAME=TRUE,Cotations!$BH$4,Cotations!BH86))</f>
        <v/>
      </c>
      <c r="O101" s="644" t="str">
        <f>IF($B101="","",IF(Cotations!$BA$6=0,(Calcul!AK86*N101),Cotations!$Z$4*E101))</f>
        <v/>
      </c>
      <c r="P101" s="646">
        <v>0</v>
      </c>
      <c r="Q101" s="644" t="str">
        <f>IF($B101="","",Calcul!X86*P101)</f>
        <v/>
      </c>
      <c r="R101" s="646" t="str">
        <f t="shared" si="8"/>
        <v/>
      </c>
      <c r="S101" s="644" t="str">
        <f>IF($B101="","",((Calcul!AS86*R101)+Calcul!AL86)*R101)</f>
        <v/>
      </c>
      <c r="T101" s="646" t="str">
        <f>IF($B101="","",Cotations!BI86)</f>
        <v/>
      </c>
      <c r="U101" s="644" t="str">
        <f>IF($B101="","",(Calcul!AT86+Calcul!AL86)*T101)</f>
        <v/>
      </c>
      <c r="V101" s="646">
        <v>0</v>
      </c>
      <c r="W101" s="644" t="str">
        <f>IF($B101="","",Calcul!X86*V101)</f>
        <v/>
      </c>
      <c r="X101" s="650" t="str">
        <f t="shared" si="6"/>
        <v/>
      </c>
    </row>
    <row r="102" spans="1:24" ht="24.95" hidden="1" customHeight="1">
      <c r="A102" s="11" t="str">
        <f>IF(Cotations!C87=FALSE,"",Cotations!E87)</f>
        <v/>
      </c>
      <c r="B102" s="11" t="str">
        <f>IF(Cotations!C87=FALSE,"",Cotations!G87)</f>
        <v/>
      </c>
      <c r="C102" s="11" t="str">
        <f>IF($B102="","",Detail!L87)</f>
        <v/>
      </c>
      <c r="D102" s="11" t="str">
        <f>IF($B102="","",Cotations!I87)</f>
        <v/>
      </c>
      <c r="E102" s="17" t="str">
        <f>IF($B102="","",Cotations!P87)</f>
        <v/>
      </c>
      <c r="F102" s="17" t="str">
        <f>IF($B102="","",Cotations!N87)</f>
        <v/>
      </c>
      <c r="G102" s="17" t="str">
        <f>IF($B102="","",Cotations!U87)</f>
        <v/>
      </c>
      <c r="H102" s="17" t="str">
        <f>IF($B102="","",Calcul!X87)</f>
        <v/>
      </c>
      <c r="I102" s="11" t="str">
        <f>IF($B102="","",Calcul!ED87)</f>
        <v/>
      </c>
      <c r="J102" s="11" t="str">
        <f>IF($B102="","",Calcul!ID87)</f>
        <v/>
      </c>
      <c r="K102" s="16" t="str">
        <f>IF($B102="","",Calcul!AH87)</f>
        <v/>
      </c>
      <c r="L102" s="646" t="str">
        <f>IF($B102="","",IF(ALLTHESAME=TRUE,Cotations!$AM$4,Cotations!AM87))</f>
        <v/>
      </c>
      <c r="M102" s="644" t="str">
        <f>IF($B102="","",(Calcul!AJ87+Calcul!AQ87)*L102)</f>
        <v/>
      </c>
      <c r="N102" s="646" t="str">
        <f>IF($B102="","",IF(ALLTHESAME=TRUE,Cotations!$BH$4,Cotations!BH87))</f>
        <v/>
      </c>
      <c r="O102" s="644" t="str">
        <f>IF($B102="","",IF(Cotations!$BA$6=0,(Calcul!AK87*N102),Cotations!$Z$4*E102))</f>
        <v/>
      </c>
      <c r="P102" s="646">
        <v>0</v>
      </c>
      <c r="Q102" s="644" t="str">
        <f>IF($B102="","",Calcul!X87*P102)</f>
        <v/>
      </c>
      <c r="R102" s="646" t="str">
        <f t="shared" si="8"/>
        <v/>
      </c>
      <c r="S102" s="644" t="str">
        <f>IF($B102="","",((Calcul!AS87*R102)+Calcul!AL87)*R102)</f>
        <v/>
      </c>
      <c r="T102" s="646" t="str">
        <f>IF($B102="","",Cotations!BI87)</f>
        <v/>
      </c>
      <c r="U102" s="644" t="str">
        <f>IF($B102="","",(Calcul!AT87+Calcul!AL87)*T102)</f>
        <v/>
      </c>
      <c r="V102" s="646">
        <v>0</v>
      </c>
      <c r="W102" s="644" t="str">
        <f>IF($B102="","",Calcul!X87*V102)</f>
        <v/>
      </c>
      <c r="X102" s="650" t="str">
        <f t="shared" si="6"/>
        <v/>
      </c>
    </row>
    <row r="103" spans="1:24" ht="24.95" hidden="1" customHeight="1">
      <c r="A103" s="11" t="str">
        <f>IF(Cotations!C88=FALSE,"",Cotations!E88)</f>
        <v/>
      </c>
      <c r="B103" s="11" t="str">
        <f>IF(Cotations!C88=FALSE,"",Cotations!G88)</f>
        <v/>
      </c>
      <c r="C103" s="11" t="str">
        <f>IF($B103="","",Detail!L88)</f>
        <v/>
      </c>
      <c r="D103" s="11" t="str">
        <f>IF($B103="","",Cotations!I88)</f>
        <v/>
      </c>
      <c r="E103" s="17" t="str">
        <f>IF($B103="","",Cotations!P88)</f>
        <v/>
      </c>
      <c r="F103" s="17" t="str">
        <f>IF($B103="","",Cotations!N88)</f>
        <v/>
      </c>
      <c r="G103" s="17" t="str">
        <f>IF($B103="","",Cotations!U88)</f>
        <v/>
      </c>
      <c r="H103" s="17" t="str">
        <f>IF($B103="","",Calcul!X88)</f>
        <v/>
      </c>
      <c r="I103" s="11" t="str">
        <f>IF($B103="","",Calcul!ED88)</f>
        <v/>
      </c>
      <c r="J103" s="11" t="str">
        <f>IF($B103="","",Calcul!ID88)</f>
        <v/>
      </c>
      <c r="K103" s="16" t="str">
        <f>IF($B103="","",Calcul!AH88)</f>
        <v/>
      </c>
      <c r="L103" s="646" t="str">
        <f>IF($B103="","",IF(ALLTHESAME=TRUE,Cotations!$AM$4,Cotations!AM88))</f>
        <v/>
      </c>
      <c r="M103" s="644" t="str">
        <f>IF($B103="","",(Calcul!AJ88+Calcul!AQ88)*L103)</f>
        <v/>
      </c>
      <c r="N103" s="646" t="str">
        <f>IF($B103="","",IF(ALLTHESAME=TRUE,Cotations!$BH$4,Cotations!BH88))</f>
        <v/>
      </c>
      <c r="O103" s="644" t="str">
        <f>IF($B103="","",IF(Cotations!$BA$6=0,(Calcul!AK88*N103),Cotations!$Z$4*E103))</f>
        <v/>
      </c>
      <c r="P103" s="646">
        <v>0</v>
      </c>
      <c r="Q103" s="644" t="str">
        <f>IF($B103="","",Calcul!X88*P103)</f>
        <v/>
      </c>
      <c r="R103" s="646" t="str">
        <f t="shared" si="8"/>
        <v/>
      </c>
      <c r="S103" s="644" t="str">
        <f>IF($B103="","",((Calcul!AS88*R103)+Calcul!AL88)*R103)</f>
        <v/>
      </c>
      <c r="T103" s="646" t="str">
        <f>IF($B103="","",Cotations!BI88)</f>
        <v/>
      </c>
      <c r="U103" s="644" t="str">
        <f>IF($B103="","",(Calcul!AT88+Calcul!AL88)*T103)</f>
        <v/>
      </c>
      <c r="V103" s="646">
        <v>0</v>
      </c>
      <c r="W103" s="644" t="str">
        <f>IF($B103="","",Calcul!X88*V103)</f>
        <v/>
      </c>
      <c r="X103" s="650" t="str">
        <f t="shared" si="6"/>
        <v/>
      </c>
    </row>
    <row r="104" spans="1:24" ht="24.95" hidden="1" customHeight="1">
      <c r="A104" s="11" t="str">
        <f>IF(Cotations!C89=FALSE,"",Cotations!E89)</f>
        <v/>
      </c>
      <c r="B104" s="11" t="str">
        <f>IF(Cotations!C89=FALSE,"",Cotations!G89)</f>
        <v/>
      </c>
      <c r="C104" s="11" t="str">
        <f>IF($B104="","",Detail!L89)</f>
        <v/>
      </c>
      <c r="D104" s="11" t="str">
        <f>IF($B104="","",Cotations!I89)</f>
        <v/>
      </c>
      <c r="E104" s="17" t="str">
        <f>IF($B104="","",Cotations!P89)</f>
        <v/>
      </c>
      <c r="F104" s="17" t="str">
        <f>IF($B104="","",Cotations!N89)</f>
        <v/>
      </c>
      <c r="G104" s="17" t="str">
        <f>IF($B104="","",Cotations!U89)</f>
        <v/>
      </c>
      <c r="H104" s="17" t="str">
        <f>IF($B104="","",Calcul!X89)</f>
        <v/>
      </c>
      <c r="I104" s="11" t="str">
        <f>IF($B104="","",Calcul!ED89)</f>
        <v/>
      </c>
      <c r="J104" s="11" t="str">
        <f>IF($B104="","",Calcul!ID89)</f>
        <v/>
      </c>
      <c r="K104" s="16" t="str">
        <f>IF($B104="","",Calcul!AH89)</f>
        <v/>
      </c>
      <c r="L104" s="646" t="str">
        <f>IF($B104="","",IF(ALLTHESAME=TRUE,Cotations!$AM$4,Cotations!AM89))</f>
        <v/>
      </c>
      <c r="M104" s="644" t="str">
        <f>IF($B104="","",(Calcul!AJ89+Calcul!AQ89)*L104)</f>
        <v/>
      </c>
      <c r="N104" s="646" t="str">
        <f>IF($B104="","",IF(ALLTHESAME=TRUE,Cotations!$BH$4,Cotations!BH89))</f>
        <v/>
      </c>
      <c r="O104" s="644" t="str">
        <f>IF($B104="","",IF(Cotations!$BA$6=0,(Calcul!AK89*N104),Cotations!$Z$4*E104))</f>
        <v/>
      </c>
      <c r="P104" s="646">
        <v>0</v>
      </c>
      <c r="Q104" s="644" t="str">
        <f>IF($B104="","",Calcul!X89*P104)</f>
        <v/>
      </c>
      <c r="R104" s="646" t="str">
        <f t="shared" si="8"/>
        <v/>
      </c>
      <c r="S104" s="644" t="str">
        <f>IF($B104="","",((Calcul!AS89*R104)+Calcul!AL89)*R104)</f>
        <v/>
      </c>
      <c r="T104" s="646" t="str">
        <f>IF($B104="","",Cotations!BI89)</f>
        <v/>
      </c>
      <c r="U104" s="644" t="str">
        <f>IF($B104="","",(Calcul!AT89+Calcul!AL89)*T104)</f>
        <v/>
      </c>
      <c r="V104" s="646">
        <v>0</v>
      </c>
      <c r="W104" s="644" t="str">
        <f>IF($B104="","",Calcul!X89*V104)</f>
        <v/>
      </c>
      <c r="X104" s="650" t="str">
        <f t="shared" si="6"/>
        <v/>
      </c>
    </row>
    <row r="105" spans="1:24" ht="24.95" hidden="1" customHeight="1">
      <c r="A105" s="11" t="str">
        <f>IF(Cotations!C90=FALSE,"",Cotations!E90)</f>
        <v/>
      </c>
      <c r="B105" s="11" t="str">
        <f>IF(Cotations!C90=FALSE,"",Cotations!G90)</f>
        <v/>
      </c>
      <c r="C105" s="11" t="str">
        <f>IF($B105="","",Detail!L90)</f>
        <v/>
      </c>
      <c r="D105" s="11" t="str">
        <f>IF($B105="","",Cotations!I90)</f>
        <v/>
      </c>
      <c r="E105" s="17" t="str">
        <f>IF($B105="","",Cotations!P90)</f>
        <v/>
      </c>
      <c r="F105" s="17" t="str">
        <f>IF($B105="","",Cotations!N90)</f>
        <v/>
      </c>
      <c r="G105" s="17" t="str">
        <f>IF($B105="","",Cotations!U90)</f>
        <v/>
      </c>
      <c r="H105" s="17" t="str">
        <f>IF($B105="","",Calcul!X90)</f>
        <v/>
      </c>
      <c r="I105" s="11" t="str">
        <f>IF($B105="","",Calcul!ED90)</f>
        <v/>
      </c>
      <c r="J105" s="11" t="str">
        <f>IF($B105="","",Calcul!ID90)</f>
        <v/>
      </c>
      <c r="K105" s="16" t="str">
        <f>IF($B105="","",Calcul!AH90)</f>
        <v/>
      </c>
      <c r="L105" s="646" t="str">
        <f>IF($B105="","",IF(ALLTHESAME=TRUE,Cotations!$AM$4,Cotations!AM90))</f>
        <v/>
      </c>
      <c r="M105" s="644" t="str">
        <f>IF($B105="","",(Calcul!AJ90+Calcul!AQ90)*L105)</f>
        <v/>
      </c>
      <c r="N105" s="646" t="str">
        <f>IF($B105="","",IF(ALLTHESAME=TRUE,Cotations!$BH$4,Cotations!BH90))</f>
        <v/>
      </c>
      <c r="O105" s="644" t="str">
        <f>IF($B105="","",IF(Cotations!$BA$6=0,(Calcul!AK90*N105),Cotations!$Z$4*E105))</f>
        <v/>
      </c>
      <c r="P105" s="646">
        <v>0</v>
      </c>
      <c r="Q105" s="644" t="str">
        <f>IF($B105="","",Calcul!X90*P105)</f>
        <v/>
      </c>
      <c r="R105" s="646" t="str">
        <f t="shared" si="8"/>
        <v/>
      </c>
      <c r="S105" s="644" t="str">
        <f>IF($B105="","",((Calcul!AS90*R105)+Calcul!AL90)*R105)</f>
        <v/>
      </c>
      <c r="T105" s="646" t="str">
        <f>IF($B105="","",Cotations!BI90)</f>
        <v/>
      </c>
      <c r="U105" s="644" t="str">
        <f>IF($B105="","",(Calcul!AT90+Calcul!AL90)*T105)</f>
        <v/>
      </c>
      <c r="V105" s="646">
        <v>0</v>
      </c>
      <c r="W105" s="644" t="str">
        <f>IF($B105="","",Calcul!X90*V105)</f>
        <v/>
      </c>
      <c r="X105" s="650" t="str">
        <f t="shared" si="6"/>
        <v/>
      </c>
    </row>
    <row r="106" spans="1:24" ht="24.95" hidden="1" customHeight="1">
      <c r="A106" s="11" t="str">
        <f>IF(Cotations!C91=FALSE,"",Cotations!E91)</f>
        <v/>
      </c>
      <c r="B106" s="11" t="str">
        <f>IF(Cotations!C91=FALSE,"",Cotations!G91)</f>
        <v/>
      </c>
      <c r="C106" s="11" t="str">
        <f>IF($B106="","",Detail!L91)</f>
        <v/>
      </c>
      <c r="D106" s="11" t="str">
        <f>IF($B106="","",Cotations!I91)</f>
        <v/>
      </c>
      <c r="E106" s="17" t="str">
        <f>IF($B106="","",Cotations!P91)</f>
        <v/>
      </c>
      <c r="F106" s="17" t="str">
        <f>IF($B106="","",Cotations!N91)</f>
        <v/>
      </c>
      <c r="G106" s="17" t="str">
        <f>IF($B106="","",Cotations!U91)</f>
        <v/>
      </c>
      <c r="H106" s="17" t="str">
        <f>IF($B106="","",Calcul!X91)</f>
        <v/>
      </c>
      <c r="I106" s="11" t="str">
        <f>IF($B106="","",Calcul!ED91)</f>
        <v/>
      </c>
      <c r="J106" s="11" t="str">
        <f>IF($B106="","",Calcul!ID91)</f>
        <v/>
      </c>
      <c r="K106" s="16" t="str">
        <f>IF($B106="","",Calcul!AH91)</f>
        <v/>
      </c>
      <c r="L106" s="646" t="str">
        <f>IF($B106="","",IF(ALLTHESAME=TRUE,Cotations!$AM$4,Cotations!AM91))</f>
        <v/>
      </c>
      <c r="M106" s="644" t="str">
        <f>IF($B106="","",(Calcul!AJ91+Calcul!AQ91)*L106)</f>
        <v/>
      </c>
      <c r="N106" s="646" t="str">
        <f>IF($B106="","",IF(ALLTHESAME=TRUE,Cotations!$BH$4,Cotations!BH91))</f>
        <v/>
      </c>
      <c r="O106" s="644" t="str">
        <f>IF($B106="","",IF(Cotations!$BA$6=0,(Calcul!AK91*N106),Cotations!$Z$4*E106))</f>
        <v/>
      </c>
      <c r="P106" s="646">
        <v>0</v>
      </c>
      <c r="Q106" s="644" t="str">
        <f>IF($B106="","",Calcul!X91*P106)</f>
        <v/>
      </c>
      <c r="R106" s="646" t="str">
        <f t="shared" si="8"/>
        <v/>
      </c>
      <c r="S106" s="644" t="str">
        <f>IF($B106="","",((Calcul!AS91*R106)+Calcul!AL91)*R106)</f>
        <v/>
      </c>
      <c r="T106" s="646" t="str">
        <f>IF($B106="","",Cotations!BI91)</f>
        <v/>
      </c>
      <c r="U106" s="644" t="str">
        <f>IF($B106="","",(Calcul!AT91+Calcul!AL91)*T106)</f>
        <v/>
      </c>
      <c r="V106" s="646">
        <v>0</v>
      </c>
      <c r="W106" s="644" t="str">
        <f>IF($B106="","",Calcul!X91*V106)</f>
        <v/>
      </c>
      <c r="X106" s="650" t="str">
        <f t="shared" si="6"/>
        <v/>
      </c>
    </row>
    <row r="107" spans="1:24" ht="24.95" hidden="1" customHeight="1">
      <c r="A107" s="11" t="str">
        <f>IF(Cotations!C92=FALSE,"",Cotations!E92)</f>
        <v/>
      </c>
      <c r="B107" s="11" t="str">
        <f>IF(Cotations!C92=FALSE,"",Cotations!G92)</f>
        <v/>
      </c>
      <c r="C107" s="11" t="str">
        <f>IF($B107="","",Detail!L92)</f>
        <v/>
      </c>
      <c r="D107" s="11" t="str">
        <f>IF($B107="","",Cotations!I92)</f>
        <v/>
      </c>
      <c r="E107" s="17" t="str">
        <f>IF($B107="","",Cotations!P92)</f>
        <v/>
      </c>
      <c r="F107" s="17" t="str">
        <f>IF($B107="","",Cotations!N92)</f>
        <v/>
      </c>
      <c r="G107" s="17" t="str">
        <f>IF($B107="","",Cotations!U92)</f>
        <v/>
      </c>
      <c r="H107" s="17" t="str">
        <f>IF($B107="","",Calcul!X92)</f>
        <v/>
      </c>
      <c r="I107" s="11" t="str">
        <f>IF($B107="","",Calcul!ED92)</f>
        <v/>
      </c>
      <c r="J107" s="11" t="str">
        <f>IF($B107="","",Calcul!ID92)</f>
        <v/>
      </c>
      <c r="K107" s="11"/>
      <c r="L107" s="646" t="str">
        <f>IF($B107="","",IF(ALLTHESAME=TRUE,Cotations!$AM$4,Cotations!AM92))</f>
        <v/>
      </c>
      <c r="M107" s="644" t="str">
        <f>IF($B107="","",(Calcul!AJ92+Calcul!AQ92)*L107)</f>
        <v/>
      </c>
      <c r="N107" s="646" t="str">
        <f>IF($B107="","",IF(ALLTHESAME=TRUE,Cotations!$BH$4,Cotations!BH92))</f>
        <v/>
      </c>
      <c r="O107" s="644" t="str">
        <f>IF($B107="","",IF(Cotations!$BA$6=0,(Calcul!AK92*N107),Cotations!$Z$4*E107))</f>
        <v/>
      </c>
      <c r="P107" s="646">
        <v>0</v>
      </c>
      <c r="Q107" s="644" t="str">
        <f>IF($B107="","",Calcul!X92*P107)</f>
        <v/>
      </c>
      <c r="R107" s="646" t="str">
        <f t="shared" si="8"/>
        <v/>
      </c>
      <c r="S107" s="644" t="str">
        <f>IF($B107="","",((Calcul!AS92*R107)+Calcul!AL92)*R107)</f>
        <v/>
      </c>
      <c r="T107" s="646" t="str">
        <f>IF($B107="","",Cotations!BI92)</f>
        <v/>
      </c>
      <c r="U107" s="644" t="str">
        <f>IF($B107="","",(Calcul!AT92+Calcul!AL92)*T107)</f>
        <v/>
      </c>
      <c r="V107" s="646">
        <v>0</v>
      </c>
      <c r="W107" s="644" t="str">
        <f>IF($B107="","",Calcul!X92*V107)</f>
        <v/>
      </c>
      <c r="X107" s="650" t="str">
        <f t="shared" si="6"/>
        <v/>
      </c>
    </row>
    <row r="108" spans="1:24" ht="24.95" hidden="1" customHeight="1">
      <c r="A108" s="11" t="str">
        <f>IF(Cotations!C93=FALSE,"",Cotations!E93)</f>
        <v/>
      </c>
      <c r="B108" s="11" t="str">
        <f>IF(Cotations!C93=FALSE,"",Cotations!G93)</f>
        <v/>
      </c>
      <c r="C108" s="11" t="str">
        <f>IF($B108="","",Detail!L93)</f>
        <v/>
      </c>
      <c r="D108" s="11" t="str">
        <f>IF($B108="","",Cotations!I93)</f>
        <v/>
      </c>
      <c r="E108" s="17" t="str">
        <f>IF($B108="","",Cotations!P93)</f>
        <v/>
      </c>
      <c r="F108" s="17" t="str">
        <f>IF($B108="","",Cotations!N93)</f>
        <v/>
      </c>
      <c r="G108" s="17" t="str">
        <f>IF($B108="","",Cotations!U93)</f>
        <v/>
      </c>
      <c r="H108" s="17" t="str">
        <f>IF($B108="","",Calcul!X93)</f>
        <v/>
      </c>
      <c r="I108" s="11" t="str">
        <f>IF($B108="","",Calcul!ED93)</f>
        <v/>
      </c>
      <c r="J108" s="11" t="str">
        <f>IF($B108="","",Calcul!ID93)</f>
        <v/>
      </c>
      <c r="K108" s="11"/>
      <c r="L108" s="646" t="str">
        <f>IF($B108="","",IF(ALLTHESAME=TRUE,Cotations!$AM$4,Cotations!AM93))</f>
        <v/>
      </c>
      <c r="M108" s="644" t="str">
        <f>IF($B108="","",(Calcul!AJ93+Calcul!AQ93)*L108)</f>
        <v/>
      </c>
      <c r="N108" s="646" t="str">
        <f>IF($B108="","",IF(ALLTHESAME=TRUE,Cotations!$BH$4,Cotations!BH93))</f>
        <v/>
      </c>
      <c r="O108" s="644" t="str">
        <f>IF($B108="","",IF(Cotations!$BA$6=0,(Calcul!AK93*N108),Cotations!$Z$4*E108))</f>
        <v/>
      </c>
      <c r="P108" s="646">
        <v>0</v>
      </c>
      <c r="Q108" s="644" t="str">
        <f>IF($B108="","",Calcul!X93*P108)</f>
        <v/>
      </c>
      <c r="R108" s="646" t="str">
        <f t="shared" si="8"/>
        <v/>
      </c>
      <c r="S108" s="644" t="str">
        <f>IF($B108="","",((Calcul!AS93*R108)+Calcul!AL93)*R108)</f>
        <v/>
      </c>
      <c r="T108" s="646" t="str">
        <f>IF($B108="","",Cotations!BI93)</f>
        <v/>
      </c>
      <c r="U108" s="644" t="str">
        <f>IF($B108="","",(Calcul!AT93+Calcul!AL93)*T108)</f>
        <v/>
      </c>
      <c r="V108" s="646">
        <v>0</v>
      </c>
      <c r="W108" s="644" t="str">
        <f>IF($B108="","",Calcul!X93*V108)</f>
        <v/>
      </c>
      <c r="X108" s="650" t="str">
        <f t="shared" si="6"/>
        <v/>
      </c>
    </row>
    <row r="109" spans="1:24" ht="24.95" hidden="1" customHeight="1">
      <c r="A109" s="11" t="str">
        <f>IF(Cotations!C94=FALSE,"",Cotations!E94)</f>
        <v/>
      </c>
      <c r="B109" s="11" t="str">
        <f>IF(Cotations!C94=FALSE,"",Cotations!G94)</f>
        <v/>
      </c>
      <c r="C109" s="11" t="str">
        <f>IF($B109="","",Detail!L94)</f>
        <v/>
      </c>
      <c r="D109" s="11" t="str">
        <f>IF($B109="","",Cotations!I94)</f>
        <v/>
      </c>
      <c r="E109" s="17" t="str">
        <f>IF($B109="","",Cotations!P94)</f>
        <v/>
      </c>
      <c r="F109" s="17" t="str">
        <f>IF($B109="","",Cotations!N94)</f>
        <v/>
      </c>
      <c r="G109" s="17" t="str">
        <f>IF($B109="","",Cotations!U94)</f>
        <v/>
      </c>
      <c r="H109" s="17" t="str">
        <f>IF($B109="","",Calcul!X94)</f>
        <v/>
      </c>
      <c r="I109" s="11" t="str">
        <f>IF($B109="","",Calcul!ED94)</f>
        <v/>
      </c>
      <c r="J109" s="11" t="str">
        <f>IF($B109="","",Calcul!ID94)</f>
        <v/>
      </c>
      <c r="K109" s="11"/>
      <c r="L109" s="646" t="str">
        <f>IF($B109="","",IF(ALLTHESAME=TRUE,Cotations!$AM$4,Cotations!AM94))</f>
        <v/>
      </c>
      <c r="M109" s="644" t="str">
        <f>IF($B109="","",(Calcul!AJ94+Calcul!AQ94)*L109)</f>
        <v/>
      </c>
      <c r="N109" s="646" t="str">
        <f>IF($B109="","",IF(ALLTHESAME=TRUE,Cotations!$BH$4,Cotations!BH94))</f>
        <v/>
      </c>
      <c r="O109" s="644" t="str">
        <f>IF($B109="","",IF(Cotations!$BA$6=0,(Calcul!AK94*N109),Cotations!$Z$4*E109))</f>
        <v/>
      </c>
      <c r="P109" s="646">
        <v>0</v>
      </c>
      <c r="Q109" s="644" t="str">
        <f>IF($B109="","",Calcul!X94*P109)</f>
        <v/>
      </c>
      <c r="R109" s="646" t="str">
        <f t="shared" si="8"/>
        <v/>
      </c>
      <c r="S109" s="644" t="str">
        <f>IF($B109="","",((Calcul!AS94*R109)+Calcul!AL94)*R109)</f>
        <v/>
      </c>
      <c r="T109" s="646" t="str">
        <f>IF($B109="","",Cotations!BI94)</f>
        <v/>
      </c>
      <c r="U109" s="644" t="str">
        <f>IF($B109="","",(Calcul!AT94+Calcul!AL94)*T109)</f>
        <v/>
      </c>
      <c r="V109" s="646">
        <v>0</v>
      </c>
      <c r="W109" s="644" t="str">
        <f>IF($B109="","",Calcul!X94*V109)</f>
        <v/>
      </c>
      <c r="X109" s="650" t="str">
        <f t="shared" si="6"/>
        <v/>
      </c>
    </row>
    <row r="110" spans="1:24" ht="24.95" hidden="1" customHeight="1">
      <c r="A110" s="11" t="str">
        <f>IF(Cotations!C95=FALSE,"",Cotations!E95)</f>
        <v/>
      </c>
      <c r="B110" s="11" t="str">
        <f>IF(Cotations!C95=FALSE,"",Cotations!G95)</f>
        <v/>
      </c>
      <c r="C110" s="11" t="str">
        <f>IF($B110="","",Detail!L95)</f>
        <v/>
      </c>
      <c r="D110" s="11" t="str">
        <f>IF($B110="","",Cotations!I95)</f>
        <v/>
      </c>
      <c r="E110" s="17" t="str">
        <f>IF($B110="","",Cotations!P95)</f>
        <v/>
      </c>
      <c r="F110" s="17" t="str">
        <f>IF($B110="","",Cotations!N95)</f>
        <v/>
      </c>
      <c r="G110" s="17" t="str">
        <f>IF($B110="","",Cotations!U95)</f>
        <v/>
      </c>
      <c r="H110" s="17" t="str">
        <f>IF($B110="","",Calcul!X95)</f>
        <v/>
      </c>
      <c r="I110" s="11" t="str">
        <f>IF($B110="","",Calcul!ED95)</f>
        <v/>
      </c>
      <c r="J110" s="11" t="str">
        <f>IF($B110="","",Calcul!ID95)</f>
        <v/>
      </c>
      <c r="K110" s="11"/>
      <c r="L110" s="646" t="str">
        <f>IF($B110="","",IF(ALLTHESAME=TRUE,Cotations!$AM$4,Cotations!AM95))</f>
        <v/>
      </c>
      <c r="M110" s="644" t="str">
        <f>IF($B110="","",(Calcul!AJ95+Calcul!AQ95)*L110)</f>
        <v/>
      </c>
      <c r="N110" s="646" t="str">
        <f>IF($B110="","",IF(ALLTHESAME=TRUE,Cotations!$BH$4,Cotations!BH95))</f>
        <v/>
      </c>
      <c r="O110" s="644" t="str">
        <f>IF($B110="","",IF(Cotations!$BA$6=0,(Calcul!AK95*N110),Cotations!$Z$4*E110))</f>
        <v/>
      </c>
      <c r="P110" s="646">
        <v>0</v>
      </c>
      <c r="Q110" s="644" t="str">
        <f>IF($B110="","",Calcul!X95*P110)</f>
        <v/>
      </c>
      <c r="R110" s="646" t="str">
        <f t="shared" si="8"/>
        <v/>
      </c>
      <c r="S110" s="644" t="str">
        <f>IF($B110="","",((Calcul!AS95*R110)+Calcul!AL95)*R110)</f>
        <v/>
      </c>
      <c r="T110" s="646" t="str">
        <f>IF($B110="","",Cotations!BI95)</f>
        <v/>
      </c>
      <c r="U110" s="644" t="str">
        <f>IF($B110="","",(Calcul!AT95+Calcul!AL95)*T110)</f>
        <v/>
      </c>
      <c r="V110" s="646">
        <v>0</v>
      </c>
      <c r="W110" s="644" t="str">
        <f>IF($B110="","",Calcul!X95*V110)</f>
        <v/>
      </c>
      <c r="X110" s="650" t="str">
        <f t="shared" si="6"/>
        <v/>
      </c>
    </row>
    <row r="111" spans="1:24" ht="24.95" hidden="1" customHeight="1">
      <c r="A111" s="11" t="str">
        <f>IF(Cotations!C96=FALSE,"",Cotations!E96)</f>
        <v/>
      </c>
      <c r="B111" s="11" t="str">
        <f>IF(Cotations!C96=FALSE,"",Cotations!G96)</f>
        <v/>
      </c>
      <c r="C111" s="11" t="str">
        <f>IF($B111="","",Detail!L96)</f>
        <v/>
      </c>
      <c r="D111" s="11" t="str">
        <f>IF($B111="","",Cotations!I96)</f>
        <v/>
      </c>
      <c r="E111" s="17" t="str">
        <f>IF($B111="","",Cotations!P96)</f>
        <v/>
      </c>
      <c r="F111" s="17" t="str">
        <f>IF($B111="","",Cotations!N96)</f>
        <v/>
      </c>
      <c r="G111" s="17" t="str">
        <f>IF($B111="","",Cotations!U96)</f>
        <v/>
      </c>
      <c r="H111" s="17" t="str">
        <f>IF($B111="","",Calcul!X96)</f>
        <v/>
      </c>
      <c r="I111" s="11" t="str">
        <f>IF($B111="","",Calcul!ED96)</f>
        <v/>
      </c>
      <c r="J111" s="11" t="str">
        <f>IF($B111="","",Calcul!ID96)</f>
        <v/>
      </c>
      <c r="K111" s="11"/>
      <c r="L111" s="646" t="str">
        <f>IF($B111="","",IF(ALLTHESAME=TRUE,Cotations!$AM$4,Cotations!AM96))</f>
        <v/>
      </c>
      <c r="M111" s="644" t="str">
        <f>IF($B111="","",(Calcul!AJ96+Calcul!AQ96)*L111)</f>
        <v/>
      </c>
      <c r="N111" s="646" t="str">
        <f>IF($B111="","",IF(ALLTHESAME=TRUE,Cotations!$BH$4,Cotations!BH96))</f>
        <v/>
      </c>
      <c r="O111" s="644" t="str">
        <f>IF($B111="","",IF(Cotations!$BA$6=0,(Calcul!AK96*N111),Cotations!$Z$4*E111))</f>
        <v/>
      </c>
      <c r="P111" s="646">
        <v>0</v>
      </c>
      <c r="Q111" s="644" t="str">
        <f>IF($B111="","",Calcul!X96*P111)</f>
        <v/>
      </c>
      <c r="R111" s="646" t="str">
        <f t="shared" si="8"/>
        <v/>
      </c>
      <c r="S111" s="644" t="str">
        <f>IF($B111="","",((Calcul!AS96*R111)+Calcul!AL96)*R111)</f>
        <v/>
      </c>
      <c r="T111" s="646" t="str">
        <f>IF($B111="","",Cotations!BI96)</f>
        <v/>
      </c>
      <c r="U111" s="644" t="str">
        <f>IF($B111="","",(Calcul!AT96+Calcul!AL96)*T111)</f>
        <v/>
      </c>
      <c r="V111" s="646">
        <v>0</v>
      </c>
      <c r="W111" s="644" t="str">
        <f>IF($B111="","",Calcul!X96*V111)</f>
        <v/>
      </c>
      <c r="X111" s="650" t="str">
        <f t="shared" si="6"/>
        <v/>
      </c>
    </row>
    <row r="112" spans="1:24" ht="24.95" hidden="1" customHeight="1">
      <c r="A112" s="11" t="str">
        <f>IF(Cotations!C97=FALSE,"",Cotations!E97)</f>
        <v/>
      </c>
      <c r="B112" s="11" t="str">
        <f>IF(Cotations!C97=FALSE,"",Cotations!G97)</f>
        <v/>
      </c>
      <c r="C112" s="11" t="str">
        <f>IF($B112="","",Detail!L97)</f>
        <v/>
      </c>
      <c r="D112" s="11" t="str">
        <f>IF($B112="","",Cotations!I97)</f>
        <v/>
      </c>
      <c r="E112" s="17" t="str">
        <f>IF($B112="","",Cotations!P97)</f>
        <v/>
      </c>
      <c r="F112" s="17" t="str">
        <f>IF($B112="","",Cotations!N97)</f>
        <v/>
      </c>
      <c r="G112" s="17" t="str">
        <f>IF($B112="","",Cotations!U97)</f>
        <v/>
      </c>
      <c r="H112" s="17" t="str">
        <f>IF($B112="","",Calcul!X97)</f>
        <v/>
      </c>
      <c r="I112" s="11" t="str">
        <f>IF($B112="","",Calcul!ED97)</f>
        <v/>
      </c>
      <c r="J112" s="11" t="str">
        <f>IF($B112="","",Calcul!ID97)</f>
        <v/>
      </c>
      <c r="K112" s="11"/>
      <c r="L112" s="646" t="str">
        <f>IF($B112="","",IF(ALLTHESAME=TRUE,Cotations!$AM$4,Cotations!AM97))</f>
        <v/>
      </c>
      <c r="M112" s="644" t="str">
        <f>IF($B112="","",(Calcul!AJ97+Calcul!AQ97)*L112)</f>
        <v/>
      </c>
      <c r="N112" s="646" t="str">
        <f>IF($B112="","",IF(ALLTHESAME=TRUE,Cotations!$BH$4,Cotations!BH97))</f>
        <v/>
      </c>
      <c r="O112" s="644" t="str">
        <f>IF($B112="","",IF(Cotations!$BA$6=0,(Calcul!AK97*N112),Cotations!$Z$4*E112))</f>
        <v/>
      </c>
      <c r="P112" s="646">
        <v>0</v>
      </c>
      <c r="Q112" s="644" t="str">
        <f>IF($B112="","",Calcul!X97*P112)</f>
        <v/>
      </c>
      <c r="R112" s="646" t="str">
        <f t="shared" si="8"/>
        <v/>
      </c>
      <c r="S112" s="644" t="str">
        <f>IF($B112="","",((Calcul!AS97*R112)+Calcul!AL97)*R112)</f>
        <v/>
      </c>
      <c r="T112" s="646" t="str">
        <f>IF($B112="","",Cotations!BI97)</f>
        <v/>
      </c>
      <c r="U112" s="644" t="str">
        <f>IF($B112="","",(Calcul!AT97+Calcul!AL97)*T112)</f>
        <v/>
      </c>
      <c r="V112" s="646">
        <v>0</v>
      </c>
      <c r="W112" s="644" t="str">
        <f>IF($B112="","",Calcul!X97*V112)</f>
        <v/>
      </c>
      <c r="X112" s="650" t="str">
        <f t="shared" si="6"/>
        <v/>
      </c>
    </row>
    <row r="113" spans="1:24" ht="24.95" hidden="1" customHeight="1">
      <c r="A113" s="11" t="str">
        <f>IF(Cotations!C98=FALSE,"",Cotations!E98)</f>
        <v/>
      </c>
      <c r="B113" s="11" t="str">
        <f>IF(Cotations!C98=FALSE,"",Cotations!G98)</f>
        <v/>
      </c>
      <c r="C113" s="11" t="str">
        <f>IF($B113="","",Detail!L98)</f>
        <v/>
      </c>
      <c r="D113" s="11" t="str">
        <f>IF($B113="","",Cotations!I98)</f>
        <v/>
      </c>
      <c r="E113" s="17" t="str">
        <f>IF($B113="","",Cotations!P98)</f>
        <v/>
      </c>
      <c r="F113" s="17" t="str">
        <f>IF($B113="","",Cotations!N98)</f>
        <v/>
      </c>
      <c r="G113" s="17" t="str">
        <f>IF($B113="","",Cotations!U98)</f>
        <v/>
      </c>
      <c r="H113" s="17" t="str">
        <f>IF($B113="","",Calcul!X98)</f>
        <v/>
      </c>
      <c r="I113" s="11" t="str">
        <f>IF($B113="","",Calcul!ED98)</f>
        <v/>
      </c>
      <c r="J113" s="11" t="str">
        <f>IF($B113="","",Calcul!ID98)</f>
        <v/>
      </c>
      <c r="K113" s="11"/>
      <c r="L113" s="646" t="str">
        <f>IF($B113="","",IF(ALLTHESAME=TRUE,Cotations!$AM$4,Cotations!AM98))</f>
        <v/>
      </c>
      <c r="M113" s="644" t="str">
        <f>IF($B113="","",(Calcul!AJ98+Calcul!AQ98)*L113)</f>
        <v/>
      </c>
      <c r="N113" s="646" t="str">
        <f>IF($B113="","",IF(ALLTHESAME=TRUE,Cotations!$BH$4,Cotations!BH98))</f>
        <v/>
      </c>
      <c r="O113" s="644" t="str">
        <f>IF($B113="","",IF(Cotations!$BA$6=0,(Calcul!AK98*N113),Cotations!$Z$4*E113))</f>
        <v/>
      </c>
      <c r="P113" s="646">
        <v>0</v>
      </c>
      <c r="Q113" s="644" t="str">
        <f>IF($B113="","",Calcul!X98*P113)</f>
        <v/>
      </c>
      <c r="R113" s="646" t="str">
        <f t="shared" si="8"/>
        <v/>
      </c>
      <c r="S113" s="644" t="str">
        <f>IF($B113="","",((Calcul!AS98*R113)+Calcul!AL98)*R113)</f>
        <v/>
      </c>
      <c r="T113" s="646" t="str">
        <f>IF($B113="","",Cotations!BI98)</f>
        <v/>
      </c>
      <c r="U113" s="644" t="str">
        <f>IF($B113="","",(Calcul!AT98+Calcul!AL98)*T113)</f>
        <v/>
      </c>
      <c r="V113" s="646">
        <v>0</v>
      </c>
      <c r="W113" s="644" t="str">
        <f>IF($B113="","",Calcul!X98*V113)</f>
        <v/>
      </c>
      <c r="X113" s="650" t="str">
        <f t="shared" si="6"/>
        <v/>
      </c>
    </row>
    <row r="114" spans="1:24" ht="24.95" hidden="1" customHeight="1">
      <c r="A114" s="11" t="str">
        <f>IF(Cotations!C99=FALSE,"",Cotations!E99)</f>
        <v/>
      </c>
      <c r="B114" s="11" t="str">
        <f>IF(Cotations!C99=FALSE,"",Cotations!G99)</f>
        <v/>
      </c>
      <c r="C114" s="11" t="str">
        <f>IF($B114="","",Detail!L99)</f>
        <v/>
      </c>
      <c r="D114" s="11" t="str">
        <f>IF($B114="","",Cotations!I99)</f>
        <v/>
      </c>
      <c r="E114" s="17" t="str">
        <f>IF($B114="","",Cotations!P99)</f>
        <v/>
      </c>
      <c r="F114" s="17" t="str">
        <f>IF($B114="","",Cotations!N99)</f>
        <v/>
      </c>
      <c r="G114" s="17" t="str">
        <f>IF($B114="","",Cotations!U99)</f>
        <v/>
      </c>
      <c r="H114" s="17" t="str">
        <f>IF($B114="","",Calcul!X99)</f>
        <v/>
      </c>
      <c r="I114" s="11" t="str">
        <f>IF($B114="","",Calcul!ED99)</f>
        <v/>
      </c>
      <c r="J114" s="11" t="str">
        <f>IF($B114="","",Calcul!ID99)</f>
        <v/>
      </c>
      <c r="K114" s="11"/>
      <c r="L114" s="646" t="str">
        <f>IF($B114="","",IF(ALLTHESAME=TRUE,Cotations!$AM$4,Cotations!AM99))</f>
        <v/>
      </c>
      <c r="M114" s="644" t="str">
        <f>IF($B114="","",(Calcul!AJ99+Calcul!AQ99)*L114)</f>
        <v/>
      </c>
      <c r="N114" s="646" t="str">
        <f>IF($B114="","",IF(ALLTHESAME=TRUE,Cotations!$BH$4,Cotations!BH99))</f>
        <v/>
      </c>
      <c r="O114" s="644" t="str">
        <f>IF($B114="","",IF(Cotations!$BA$6=0,(Calcul!AK99*N114),Cotations!$Z$4*E114))</f>
        <v/>
      </c>
      <c r="P114" s="646">
        <v>0</v>
      </c>
      <c r="Q114" s="644" t="str">
        <f>IF($B114="","",Calcul!X99*P114)</f>
        <v/>
      </c>
      <c r="R114" s="646" t="str">
        <f t="shared" ref="R114:R118" si="9">IF($B114="","",100%-L114)</f>
        <v/>
      </c>
      <c r="S114" s="644" t="str">
        <f>IF($B114="","",((Calcul!AS99*R114)+Calcul!AL99)*R114)</f>
        <v/>
      </c>
      <c r="T114" s="646" t="str">
        <f>IF($B114="","",Cotations!BI99)</f>
        <v/>
      </c>
      <c r="U114" s="644" t="str">
        <f>IF($B114="","",(Calcul!AT99+Calcul!AL99)*T114)</f>
        <v/>
      </c>
      <c r="V114" s="646">
        <v>0</v>
      </c>
      <c r="W114" s="644" t="str">
        <f>IF($B114="","",Calcul!X99*V114)</f>
        <v/>
      </c>
      <c r="X114" s="650" t="str">
        <f t="shared" ref="X114:X118" si="10">IF($B114="","",M114+O114+Q114+S114+U114+W114)</f>
        <v/>
      </c>
    </row>
    <row r="115" spans="1:24" ht="24.95" hidden="1" customHeight="1">
      <c r="A115" s="11" t="str">
        <f>IF(Cotations!C100=FALSE,"",Cotations!E100)</f>
        <v/>
      </c>
      <c r="B115" s="11" t="str">
        <f>IF(Cotations!C100=FALSE,"",Cotations!G100)</f>
        <v/>
      </c>
      <c r="C115" s="11" t="str">
        <f>IF($B115="","",Detail!L100)</f>
        <v/>
      </c>
      <c r="D115" s="11" t="str">
        <f>IF($B115="","",Cotations!I100)</f>
        <v/>
      </c>
      <c r="E115" s="17" t="str">
        <f>IF($B115="","",Cotations!P100)</f>
        <v/>
      </c>
      <c r="F115" s="17" t="str">
        <f>IF($B115="","",Cotations!N100)</f>
        <v/>
      </c>
      <c r="G115" s="17" t="str">
        <f>IF($B115="","",Cotations!U100)</f>
        <v/>
      </c>
      <c r="H115" s="17" t="str">
        <f>IF($B115="","",Calcul!X100)</f>
        <v/>
      </c>
      <c r="I115" s="11" t="str">
        <f>IF($B115="","",Calcul!ED100)</f>
        <v/>
      </c>
      <c r="J115" s="11" t="str">
        <f>IF($B115="","",Calcul!ID100)</f>
        <v/>
      </c>
      <c r="K115" s="11"/>
      <c r="L115" s="646" t="str">
        <f>IF($B115="","",IF(ALLTHESAME=TRUE,Cotations!$AM$4,Cotations!AM100))</f>
        <v/>
      </c>
      <c r="M115" s="644" t="str">
        <f>IF($B115="","",(Calcul!AJ100+Calcul!AQ100)*L115)</f>
        <v/>
      </c>
      <c r="N115" s="646" t="str">
        <f>IF($B115="","",IF(ALLTHESAME=TRUE,Cotations!$BH$4,Cotations!BH100))</f>
        <v/>
      </c>
      <c r="O115" s="644" t="str">
        <f>IF($B115="","",IF(Cotations!$BA$6=0,(Calcul!AK100*N115),Cotations!$Z$4*E115))</f>
        <v/>
      </c>
      <c r="P115" s="646">
        <v>0</v>
      </c>
      <c r="Q115" s="644" t="str">
        <f>IF($B115="","",Calcul!X100*P115)</f>
        <v/>
      </c>
      <c r="R115" s="646" t="str">
        <f t="shared" si="9"/>
        <v/>
      </c>
      <c r="S115" s="644" t="str">
        <f>IF($B115="","",((Calcul!AS100*R115)+Calcul!AL100)*R115)</f>
        <v/>
      </c>
      <c r="T115" s="646" t="str">
        <f>IF($B115="","",Cotations!BI100)</f>
        <v/>
      </c>
      <c r="U115" s="644" t="str">
        <f>IF($B115="","",(Calcul!AT100+Calcul!AL100)*T115)</f>
        <v/>
      </c>
      <c r="V115" s="646">
        <v>0</v>
      </c>
      <c r="W115" s="644" t="str">
        <f>IF($B115="","",Calcul!X100*V115)</f>
        <v/>
      </c>
      <c r="X115" s="650" t="str">
        <f t="shared" si="10"/>
        <v/>
      </c>
    </row>
    <row r="116" spans="1:24" ht="24.95" hidden="1" customHeight="1">
      <c r="A116" s="11" t="str">
        <f>IF(Cotations!C101=FALSE,"",Cotations!E101)</f>
        <v/>
      </c>
      <c r="B116" s="11" t="str">
        <f>IF(Cotations!C101=FALSE,"",Cotations!G101)</f>
        <v/>
      </c>
      <c r="C116" s="11" t="str">
        <f>IF($B116="","",Detail!L101)</f>
        <v/>
      </c>
      <c r="D116" s="11" t="str">
        <f>IF($B116="","",Cotations!I101)</f>
        <v/>
      </c>
      <c r="E116" s="17" t="str">
        <f>IF($B116="","",Cotations!P101)</f>
        <v/>
      </c>
      <c r="F116" s="17" t="str">
        <f>IF($B116="","",Cotations!N101)</f>
        <v/>
      </c>
      <c r="G116" s="17" t="str">
        <f>IF($B116="","",Cotations!U101)</f>
        <v/>
      </c>
      <c r="H116" s="17" t="str">
        <f>IF($B116="","",Calcul!X101)</f>
        <v/>
      </c>
      <c r="I116" s="11" t="str">
        <f>IF($B116="","",Calcul!ED101)</f>
        <v/>
      </c>
      <c r="J116" s="11" t="str">
        <f>IF($B116="","",Calcul!ID101)</f>
        <v/>
      </c>
      <c r="K116" s="11"/>
      <c r="L116" s="646" t="str">
        <f>IF($B116="","",IF(ALLTHESAME=TRUE,Cotations!$AM$4,Cotations!AM101))</f>
        <v/>
      </c>
      <c r="M116" s="644" t="str">
        <f>IF($B116="","",(Calcul!AJ101+Calcul!AQ101)*L116)</f>
        <v/>
      </c>
      <c r="N116" s="646" t="str">
        <f>IF($B116="","",IF(ALLTHESAME=TRUE,Cotations!$BH$4,Cotations!BH101))</f>
        <v/>
      </c>
      <c r="O116" s="644" t="str">
        <f>IF($B116="","",IF(Cotations!$BA$6=0,(Calcul!AK101*N116),Cotations!$Z$4*E116))</f>
        <v/>
      </c>
      <c r="P116" s="646">
        <v>0</v>
      </c>
      <c r="Q116" s="644" t="str">
        <f>IF($B116="","",Calcul!X101*P116)</f>
        <v/>
      </c>
      <c r="R116" s="646" t="str">
        <f t="shared" si="9"/>
        <v/>
      </c>
      <c r="S116" s="644" t="str">
        <f>IF($B116="","",((Calcul!AS101*R116)+Calcul!AL101)*R116)</f>
        <v/>
      </c>
      <c r="T116" s="646" t="str">
        <f>IF($B116="","",Cotations!BI101)</f>
        <v/>
      </c>
      <c r="U116" s="644" t="str">
        <f>IF($B116="","",(Calcul!AT101+Calcul!AL101)*T116)</f>
        <v/>
      </c>
      <c r="V116" s="646">
        <v>0</v>
      </c>
      <c r="W116" s="644" t="str">
        <f>IF($B116="","",Calcul!X101*V116)</f>
        <v/>
      </c>
      <c r="X116" s="650" t="str">
        <f t="shared" si="10"/>
        <v/>
      </c>
    </row>
    <row r="117" spans="1:24" ht="24.95" hidden="1" customHeight="1">
      <c r="A117" s="11" t="str">
        <f>IF(Cotations!C102=FALSE,"",Cotations!E102)</f>
        <v/>
      </c>
      <c r="B117" s="11" t="str">
        <f>IF(Cotations!C102=FALSE,"",Cotations!G102)</f>
        <v/>
      </c>
      <c r="C117" s="11" t="str">
        <f>IF($B117="","",Detail!L102)</f>
        <v/>
      </c>
      <c r="D117" s="11" t="str">
        <f>IF($B117="","",Cotations!I102)</f>
        <v/>
      </c>
      <c r="E117" s="17" t="str">
        <f>IF($B117="","",Cotations!P102)</f>
        <v/>
      </c>
      <c r="F117" s="17" t="str">
        <f>IF($B117="","",Cotations!N102)</f>
        <v/>
      </c>
      <c r="G117" s="17" t="str">
        <f>IF($B117="","",Cotations!U102)</f>
        <v/>
      </c>
      <c r="H117" s="17" t="str">
        <f>IF($B117="","",Calcul!X102)</f>
        <v/>
      </c>
      <c r="I117" s="11" t="str">
        <f>IF($B117="","",Calcul!ED102)</f>
        <v/>
      </c>
      <c r="J117" s="11" t="str">
        <f>IF($B117="","",Calcul!ID102)</f>
        <v/>
      </c>
      <c r="K117" s="11"/>
      <c r="L117" s="646" t="str">
        <f>IF($B117="","",IF(ALLTHESAME=TRUE,Cotations!$AM$4,Cotations!AM102))</f>
        <v/>
      </c>
      <c r="M117" s="644" t="str">
        <f>IF($B117="","",(Calcul!AJ102+Calcul!AQ102)*L117)</f>
        <v/>
      </c>
      <c r="N117" s="646" t="str">
        <f>IF($B117="","",IF(ALLTHESAME=TRUE,Cotations!$BH$4,Cotations!BH102))</f>
        <v/>
      </c>
      <c r="O117" s="644" t="str">
        <f>IF($B117="","",IF(Cotations!$BA$6=0,(Calcul!AK102*N117),Cotations!$Z$4*E117))</f>
        <v/>
      </c>
      <c r="P117" s="646">
        <v>0</v>
      </c>
      <c r="Q117" s="644" t="str">
        <f>IF($B117="","",Calcul!X102*P117)</f>
        <v/>
      </c>
      <c r="R117" s="646" t="str">
        <f t="shared" si="9"/>
        <v/>
      </c>
      <c r="S117" s="644" t="str">
        <f>IF($B117="","",((Calcul!AS102*R117)+Calcul!AL102)*R117)</f>
        <v/>
      </c>
      <c r="T117" s="646" t="str">
        <f>IF($B117="","",Cotations!BI102)</f>
        <v/>
      </c>
      <c r="U117" s="644" t="str">
        <f>IF($B117="","",(Calcul!AT102+Calcul!AL102)*T117)</f>
        <v/>
      </c>
      <c r="V117" s="646">
        <v>0</v>
      </c>
      <c r="W117" s="644" t="str">
        <f>IF($B117="","",Calcul!X102*V117)</f>
        <v/>
      </c>
      <c r="X117" s="650" t="str">
        <f t="shared" si="10"/>
        <v/>
      </c>
    </row>
    <row r="118" spans="1:24" ht="24.95" hidden="1" customHeight="1">
      <c r="A118" s="11" t="str">
        <f>IF(Cotations!C103=FALSE,"",Cotations!E103)</f>
        <v/>
      </c>
      <c r="B118" s="11" t="str">
        <f>IF(Cotations!C103=FALSE,"",Cotations!G103)</f>
        <v/>
      </c>
      <c r="C118" s="11" t="str">
        <f>IF($B118="","",Detail!L103)</f>
        <v/>
      </c>
      <c r="D118" s="11" t="str">
        <f>IF($B118="","",Cotations!I103)</f>
        <v/>
      </c>
      <c r="E118" s="17" t="str">
        <f>IF($B118="","",Cotations!P103)</f>
        <v/>
      </c>
      <c r="F118" s="17" t="str">
        <f>IF($B118="","",Cotations!N103)</f>
        <v/>
      </c>
      <c r="G118" s="17" t="str">
        <f>IF($B118="","",Cotations!U103)</f>
        <v/>
      </c>
      <c r="H118" s="17" t="str">
        <f>IF($B118="","",Calcul!X103)</f>
        <v/>
      </c>
      <c r="I118" s="11" t="str">
        <f>IF($B118="","",Calcul!ED103)</f>
        <v/>
      </c>
      <c r="J118" s="11" t="str">
        <f>IF($B118="","",Calcul!ID103)</f>
        <v/>
      </c>
      <c r="K118" s="11"/>
      <c r="L118" s="646" t="str">
        <f>IF($B118="","",IF(ALLTHESAME=TRUE,Cotations!$AM$4,Cotations!AM103))</f>
        <v/>
      </c>
      <c r="M118" s="644" t="str">
        <f>IF($B118="","",IF(Cotations!$AF$3=0,(Calcul!AS103+Calcul!AQ103+Calcul!BZ103)*L118,(Calcul!EU103+Calcul!GQ103+Calcul!AQ103)*L118))</f>
        <v/>
      </c>
      <c r="N118" s="646" t="str">
        <f>IF($B118="","",IF(ALLTHESAME=TRUE,Cotations!$BH$4,Cotations!BH103))</f>
        <v/>
      </c>
      <c r="O118" s="644" t="str">
        <f>IF($B118="","",IF(Cotations!$BA$6=0,(Calcul!AK103*N118),Cotations!$Z$4*E118))</f>
        <v/>
      </c>
      <c r="P118" s="646">
        <v>0</v>
      </c>
      <c r="Q118" s="644" t="str">
        <f>IF($B118="","",Calcul!X103*P118)</f>
        <v/>
      </c>
      <c r="R118" s="646" t="str">
        <f t="shared" si="9"/>
        <v/>
      </c>
      <c r="S118" s="644" t="str">
        <f>IF($B118="","",((Calcul!AS103*R118)+Calcul!AL103)*R118)</f>
        <v/>
      </c>
      <c r="T118" s="646" t="str">
        <f>IF($B118="","",Cotations!BI103)</f>
        <v/>
      </c>
      <c r="U118" s="644" t="str">
        <f>IF($B118="","",(Calcul!AT103+Calcul!AL103)*T118)</f>
        <v/>
      </c>
      <c r="V118" s="646">
        <v>0</v>
      </c>
      <c r="W118" s="644" t="str">
        <f>IF($B118="","",Calcul!X103*V118)</f>
        <v/>
      </c>
      <c r="X118" s="650" t="str">
        <f t="shared" si="10"/>
        <v/>
      </c>
    </row>
    <row r="119" spans="1:24" ht="24.95" hidden="1" customHeight="1">
      <c r="M119" s="644" t="str">
        <f>IF($B119="","",(Calcul!AJ104+Calcul!AQ104)*L119)</f>
        <v/>
      </c>
    </row>
    <row r="120" spans="1:24" ht="24.95" customHeight="1"/>
    <row r="121" spans="1:24" ht="24.95" customHeight="1"/>
    <row r="122" spans="1:24" ht="24.95" customHeight="1"/>
  </sheetData>
  <autoFilter ref="A29:AL119">
    <filterColumn colId="0">
      <customFilters>
        <customFilter operator="notEqual" val=" "/>
      </customFilters>
    </filterColumn>
    <filterColumn colId="11" showButton="0"/>
    <filterColumn colId="13" showButton="0"/>
    <filterColumn colId="15" showButton="0"/>
    <filterColumn colId="17" showButton="0"/>
    <filterColumn colId="19" showButton="0"/>
    <filterColumn colId="21" showButton="0"/>
    <filterColumn colId="30" showButton="0"/>
    <filterColumn colId="31" showButton="0"/>
    <filterColumn colId="33" showButton="0"/>
    <filterColumn colId="34" showButton="0"/>
  </autoFilter>
  <mergeCells count="61">
    <mergeCell ref="A28:A29"/>
    <mergeCell ref="H28:H29"/>
    <mergeCell ref="I28:I29"/>
    <mergeCell ref="J28:J29"/>
    <mergeCell ref="B28:B29"/>
    <mergeCell ref="C28:C29"/>
    <mergeCell ref="D28:D29"/>
    <mergeCell ref="E28:F28"/>
    <mergeCell ref="AH28:AJ29"/>
    <mergeCell ref="AL28:AL29"/>
    <mergeCell ref="L26:Q26"/>
    <mergeCell ref="R26:W26"/>
    <mergeCell ref="N28:O29"/>
    <mergeCell ref="P28:Q29"/>
    <mergeCell ref="R28:S29"/>
    <mergeCell ref="L28:M29"/>
    <mergeCell ref="T28:U29"/>
    <mergeCell ref="V28:W29"/>
    <mergeCell ref="B12:E12"/>
    <mergeCell ref="G12:L12"/>
    <mergeCell ref="N12:Q12"/>
    <mergeCell ref="T12:W12"/>
    <mergeCell ref="AE28:AG29"/>
    <mergeCell ref="O24:Q24"/>
    <mergeCell ref="R19:S19"/>
    <mergeCell ref="O20:Q20"/>
    <mergeCell ref="O21:Q21"/>
    <mergeCell ref="O22:Q22"/>
    <mergeCell ref="R22:S22"/>
    <mergeCell ref="O23:Q23"/>
    <mergeCell ref="R14:S14"/>
    <mergeCell ref="O15:Q15"/>
    <mergeCell ref="O16:Q16"/>
    <mergeCell ref="O19:Q19"/>
    <mergeCell ref="I6:S6"/>
    <mergeCell ref="D1:E1"/>
    <mergeCell ref="S1:U1"/>
    <mergeCell ref="S2:U2"/>
    <mergeCell ref="J3:P3"/>
    <mergeCell ref="J4:P4"/>
    <mergeCell ref="B10:E10"/>
    <mergeCell ref="G10:L10"/>
    <mergeCell ref="N10:Q10"/>
    <mergeCell ref="T10:W10"/>
    <mergeCell ref="C11:E11"/>
    <mergeCell ref="I11:L11"/>
    <mergeCell ref="O11:Q11"/>
    <mergeCell ref="U11:W11"/>
    <mergeCell ref="B8:E8"/>
    <mergeCell ref="G8:L8"/>
    <mergeCell ref="N8:Q8"/>
    <mergeCell ref="T8:W8"/>
    <mergeCell ref="B9:E9"/>
    <mergeCell ref="G9:L9"/>
    <mergeCell ref="N9:Q9"/>
    <mergeCell ref="T9:W9"/>
    <mergeCell ref="F14:I14"/>
    <mergeCell ref="N14:Q14"/>
    <mergeCell ref="L14:M14"/>
    <mergeCell ref="W14:X14"/>
    <mergeCell ref="W15:X15"/>
  </mergeCells>
  <dataValidations count="1">
    <dataValidation type="list" showInputMessage="1" showErrorMessage="1" sqref="S2:U2">
      <formula1>COMPANY_LIST</formula1>
    </dataValidation>
  </dataValidations>
  <pageMargins left="0.51181102362204722" right="0.51181102362204722" top="0.55118110236220474" bottom="0.55118110236220474" header="0.31496062992125984" footer="0.31496062992125984"/>
  <pageSetup paperSize="9" scale="46" fitToHeight="0" orientation="landscape" r:id="rId1"/>
  <headerFooter>
    <oddFooter>&amp;C&amp;P/&amp;N</oddFooter>
  </headerFooter>
  <rowBreaks count="2" manualBreakCount="2">
    <brk id="46" max="23" man="1"/>
    <brk id="100" max="2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LIST!$D$1:$D$3</xm:f>
          </x14:formula1>
          <xm:sqref>B15:B24</xm:sqref>
        </x14:dataValidation>
        <x14:dataValidation type="list" allowBlank="1" showInputMessage="1" showErrorMessage="1">
          <x14:formula1>
            <xm:f>LISTES!$C$40:$C$42</xm:f>
          </x14:formula1>
          <xm:sqref>J3:P3</xm:sqref>
        </x14:dataValidation>
        <x14:dataValidation type="list" showInputMessage="1" showErrorMessage="1">
          <x14:formula1>
            <xm:f>LISTES!$C$72:$C$75</xm:f>
          </x14:formula1>
          <xm:sqref>Q3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 filterMode="1">
    <tabColor rgb="FFFFFF00"/>
    <pageSetUpPr fitToPage="1"/>
  </sheetPr>
  <dimension ref="A1:Y92"/>
  <sheetViews>
    <sheetView showRuler="0" view="pageBreakPreview" zoomScaleSheetLayoutView="100" workbookViewId="0">
      <selection activeCell="Q2" sqref="Q2:S2"/>
    </sheetView>
  </sheetViews>
  <sheetFormatPr baseColWidth="10" defaultColWidth="11.42578125" defaultRowHeight="12.75"/>
  <cols>
    <col min="1" max="1" width="11.42578125" style="3"/>
    <col min="2" max="5" width="12.140625" style="3" customWidth="1"/>
    <col min="6" max="6" width="13.140625" style="3" bestFit="1" customWidth="1"/>
    <col min="7" max="7" width="12.140625" style="3" customWidth="1"/>
    <col min="8" max="8" width="12.28515625" style="3" customWidth="1"/>
    <col min="9" max="9" width="14.42578125" style="3" customWidth="1"/>
    <col min="10" max="23" width="12.140625" style="3" customWidth="1"/>
    <col min="24" max="16384" width="11.42578125" style="3"/>
  </cols>
  <sheetData>
    <row r="1" spans="2:25">
      <c r="D1" s="1856" t="s">
        <v>28</v>
      </c>
      <c r="E1" s="1856"/>
      <c r="Q1" s="559" t="s">
        <v>2401</v>
      </c>
      <c r="R1" s="559">
        <f ca="1">TODAY()</f>
        <v>42723</v>
      </c>
      <c r="S1" s="559"/>
    </row>
    <row r="2" spans="2:25" ht="13.5" thickBot="1">
      <c r="Q2" s="1858" t="s">
        <v>4</v>
      </c>
      <c r="R2" s="1858"/>
      <c r="S2" s="1858"/>
    </row>
    <row r="3" spans="2:25" ht="15.75" thickBot="1">
      <c r="C3" s="19"/>
      <c r="D3" s="19"/>
      <c r="E3" s="19"/>
      <c r="F3" s="19"/>
      <c r="G3" s="19"/>
      <c r="H3" s="19"/>
      <c r="I3" s="1975" t="s">
        <v>2059</v>
      </c>
      <c r="J3" s="1965"/>
      <c r="K3" s="1965"/>
      <c r="L3" s="1965"/>
      <c r="M3" s="1965"/>
      <c r="N3" s="1969"/>
      <c r="O3" s="19"/>
      <c r="P3" s="19"/>
      <c r="Q3" s="19"/>
      <c r="R3" s="19"/>
      <c r="S3" s="19"/>
      <c r="T3" s="19"/>
      <c r="U3" s="19"/>
    </row>
    <row r="4" spans="2:25">
      <c r="C4" s="22"/>
      <c r="D4" s="22"/>
      <c r="E4" s="22"/>
      <c r="F4" s="22"/>
      <c r="G4" s="22"/>
      <c r="H4" s="22"/>
      <c r="I4" s="1861" t="str">
        <f>CONCATENATE(Source!$E$2," - ",Source!$F$2&amp;" - "&amp;Admin!B2)</f>
        <v>12600 - Société du développement du tourisme - HUTIANE</v>
      </c>
      <c r="J4" s="1861"/>
      <c r="K4" s="1861"/>
      <c r="L4" s="1861"/>
      <c r="M4" s="1861"/>
      <c r="N4" s="1861"/>
      <c r="O4" s="22"/>
      <c r="P4" s="22"/>
      <c r="Q4" s="559" t="s">
        <v>24</v>
      </c>
      <c r="R4" s="1022">
        <f>Admin!E28</f>
        <v>0.04</v>
      </c>
      <c r="S4" s="1874" t="str">
        <f>IF(R4=4%,"WCA Luxembourg","WCA Holland")</f>
        <v>WCA Luxembourg</v>
      </c>
      <c r="T4" s="1874"/>
      <c r="U4" s="22"/>
    </row>
    <row r="5" spans="2:25" ht="9" customHeight="1"/>
    <row r="6" spans="2:25">
      <c r="G6" s="1855" t="s">
        <v>44</v>
      </c>
      <c r="H6" s="1855"/>
      <c r="I6" s="1855"/>
      <c r="J6" s="1855"/>
      <c r="K6" s="1855"/>
      <c r="L6" s="1855"/>
      <c r="M6" s="1855"/>
      <c r="N6" s="1855"/>
      <c r="O6" s="1855"/>
      <c r="P6" s="1855"/>
    </row>
    <row r="7" spans="2:25" ht="9" customHeight="1">
      <c r="E7" s="4"/>
      <c r="F7" s="6"/>
      <c r="G7" s="7"/>
      <c r="H7" s="5"/>
      <c r="I7" s="4"/>
    </row>
    <row r="8" spans="2:25">
      <c r="B8" s="1853" t="s">
        <v>31</v>
      </c>
      <c r="C8" s="1853"/>
      <c r="D8" s="1853"/>
      <c r="E8" s="1853"/>
      <c r="F8" s="20"/>
      <c r="G8" s="1853" t="s">
        <v>98</v>
      </c>
      <c r="H8" s="1853"/>
      <c r="I8" s="1853"/>
      <c r="J8" s="1853"/>
      <c r="L8" s="1853" t="s">
        <v>99</v>
      </c>
      <c r="M8" s="1853"/>
      <c r="N8" s="1853"/>
      <c r="O8" s="1853"/>
      <c r="R8" s="1853" t="s">
        <v>29</v>
      </c>
      <c r="S8" s="1853"/>
      <c r="T8" s="1853"/>
      <c r="U8" s="1853"/>
    </row>
    <row r="9" spans="2:25" ht="12" customHeight="1">
      <c r="B9" s="1967" t="str">
        <f>IF(NAMES!$B$10=FALSE,IF(Source!$O$2&lt;&gt;"",Source!$O$3,"n/a"),PHname)</f>
        <v>HUTIANE-TRANSPORTES MARITIMOS, UNIPESSOAL LDA</v>
      </c>
      <c r="C9" s="1967"/>
      <c r="D9" s="1967"/>
      <c r="E9" s="1967"/>
      <c r="F9" s="20"/>
      <c r="L9" s="1854" t="str">
        <f>MAname</f>
        <v xml:space="preserve">BOATTRUST </v>
      </c>
      <c r="M9" s="1854"/>
      <c r="N9" s="1854"/>
      <c r="O9" s="1854"/>
      <c r="R9" s="1854" t="str">
        <f>IF(NAMES!$B$10=TRUE,APPORTEURS!E1,IF(Source!$P$2&lt;&gt;"",Source!$P$3,"n/a"))</f>
        <v>ICS</v>
      </c>
      <c r="S9" s="1854"/>
      <c r="T9" s="1854"/>
      <c r="U9" s="1854"/>
      <c r="V9" s="1854" t="str">
        <f>IF(NAMES!$B$10=FALSE,IF(Source!$Q$2&lt;&gt;"",Source!$Q$3,"n/a"),EMname)</f>
        <v/>
      </c>
      <c r="W9" s="1854"/>
      <c r="X9" s="1854"/>
      <c r="Y9" s="1854"/>
    </row>
    <row r="10" spans="2:25">
      <c r="B10" s="1967" t="str">
        <f>IF(NAMES!$B$10=FALSE,IF($B$9="n/a","",Source!$O$4),PHaddress)</f>
        <v>Rua Nova do Pina, N°4B</v>
      </c>
      <c r="C10" s="1967"/>
      <c r="D10" s="1967"/>
      <c r="E10" s="1967"/>
      <c r="F10" s="20"/>
      <c r="L10" s="1877" t="str">
        <f>MAaddress</f>
        <v>Rua Nova do Pina, n.º 4-B</v>
      </c>
      <c r="M10" s="1877"/>
      <c r="N10" s="1877"/>
      <c r="O10" s="1877"/>
      <c r="R10" s="1854" t="str">
        <f>IF(NAMES!$B$10=TRUE,APPORTEURS!H1,IF($R$9="n/a","",Source!$P$4))</f>
        <v>Centre Mercure -Avenue de la Gare, 41</v>
      </c>
      <c r="S10" s="1854"/>
      <c r="T10" s="1854"/>
      <c r="U10" s="1854"/>
      <c r="V10" s="1877" t="str">
        <f>IF(NAMES!$B$10=FALSE,IF($V$9="n/a","",Source!$Q$4),EMaddress)</f>
        <v/>
      </c>
      <c r="W10" s="1877"/>
      <c r="X10" s="1877"/>
      <c r="Y10" s="1877"/>
    </row>
    <row r="11" spans="2:25">
      <c r="B11" s="1964" t="str">
        <f>IF(NAMES!$B$10=FALSE,IF($B$9="n/a","",Source!$O$5),PHpostalcode)</f>
        <v>P-9000-067</v>
      </c>
      <c r="C11" s="1967" t="str">
        <f>IF(NAMES!$B$10=FALSE,IF($B$9="n/a","",Source!$O$6),PHcity)</f>
        <v>Santa Luzia, Funchal</v>
      </c>
      <c r="D11" s="1967"/>
      <c r="E11" s="1967"/>
      <c r="F11" s="20"/>
      <c r="L11" s="34" t="str">
        <f>MApostalcode</f>
        <v xml:space="preserve">P-9000 - 068 </v>
      </c>
      <c r="M11" s="1877" t="str">
        <f>MAcity</f>
        <v>FUNCHAL, MADEIRA</v>
      </c>
      <c r="N11" s="1877"/>
      <c r="O11" s="1877"/>
      <c r="R11" s="24" t="str">
        <f>IF(NAMES!$B$10=TRUE,APPORTEURS!I1,IF($R$9="n/a","",Source!$P$5))</f>
        <v>L-1611</v>
      </c>
      <c r="S11" s="1854" t="str">
        <f>IF(NAMES!$B$10=TRUE,APPORTEURS!J1,IF($R$9="n/a","",Source!$P$6))</f>
        <v>Luxembourg</v>
      </c>
      <c r="T11" s="1854"/>
      <c r="U11" s="1854"/>
      <c r="V11" s="34" t="str">
        <f>IF(NAMES!$B$10=FALSE,IF($V$9="n/a","",Source!$Q$5),EMpostalcode)</f>
        <v/>
      </c>
      <c r="W11" s="1877" t="str">
        <f>IF(NAMES!$B$10=FALSE,IF($V$9="n/a","",Source!$Q$6),EMcity)</f>
        <v/>
      </c>
      <c r="X11" s="1877"/>
      <c r="Y11" s="1877"/>
    </row>
    <row r="12" spans="2:25">
      <c r="B12" s="1968" t="str">
        <f>IF(NAMES!$B$10=FALSE,IF($B$9="n/a","",Source!$O$7),PHcountry)</f>
        <v>Portugal</v>
      </c>
      <c r="C12" s="1968"/>
      <c r="D12" s="1968"/>
      <c r="E12" s="1968"/>
      <c r="F12" s="20"/>
      <c r="L12" s="1862" t="str">
        <f>MAcountry</f>
        <v>Portugal</v>
      </c>
      <c r="M12" s="1862"/>
      <c r="N12" s="1862"/>
      <c r="O12" s="1862"/>
      <c r="R12" s="1862" t="str">
        <f>IF(NAMES!$B$10=TRUE,APPORTEURS!K1,IF($R$9="n/a","",Source!$P$7))</f>
        <v>LUXEMBOURG</v>
      </c>
      <c r="S12" s="1862"/>
      <c r="T12" s="1862"/>
      <c r="U12" s="1862"/>
      <c r="V12" s="1862" t="str">
        <f>IF(NAMES!$B$10=FALSE,IF($V$9="n/a","",Source!$Q$7),EMcountry)</f>
        <v/>
      </c>
      <c r="W12" s="1862"/>
      <c r="X12" s="1862"/>
      <c r="Y12" s="1862"/>
    </row>
    <row r="14" spans="2:25" ht="12.75" customHeight="1">
      <c r="B14" s="1040" t="s">
        <v>21</v>
      </c>
      <c r="C14" s="1133" t="s">
        <v>34</v>
      </c>
      <c r="D14" s="1133" t="s">
        <v>27</v>
      </c>
      <c r="E14" s="1133" t="s">
        <v>58</v>
      </c>
      <c r="F14" s="1890" t="s">
        <v>20</v>
      </c>
      <c r="G14" s="1891"/>
      <c r="H14" s="1440"/>
      <c r="I14" s="1441" t="s">
        <v>2185</v>
      </c>
      <c r="J14" s="1846" t="s">
        <v>2408</v>
      </c>
      <c r="K14" s="1846"/>
      <c r="L14" s="1442" t="s">
        <v>2276</v>
      </c>
      <c r="M14" s="1441" t="s">
        <v>23</v>
      </c>
      <c r="N14" s="1846" t="s">
        <v>2409</v>
      </c>
      <c r="O14" s="1846"/>
      <c r="P14" s="1846"/>
      <c r="Q14" s="1848" t="s">
        <v>49</v>
      </c>
      <c r="R14" s="1848"/>
      <c r="S14" s="635" t="s">
        <v>51</v>
      </c>
      <c r="T14" s="636">
        <f>Source!$B$2</f>
        <v>42686</v>
      </c>
      <c r="U14" s="1443"/>
    </row>
    <row r="15" spans="2:25" ht="15" customHeight="1">
      <c r="B15" s="637" t="str">
        <f ca="1">POLICY($Q$2,OFFSET(Source!$B$17,0,0,COUNTA(Source!$B$17:$B$24),4),4,B15)</f>
        <v>L2022479</v>
      </c>
      <c r="C15" s="581" t="str">
        <f ca="1">IF(B15="","",Source!$M$2)</f>
        <v>EUR</v>
      </c>
      <c r="D15" s="766">
        <f ca="1">IF(NAMES!$B$10=FALSE,POLICY($Q$2,OFFSET(Source!$B$17,0,0,COUNTA(Source!$B$17:$B$24),4),17,D15),IF(Q2="AIG Luxembourg",Cotations!AC11,Cotations!AE11))</f>
        <v>2711.5384615384614</v>
      </c>
      <c r="E15" s="766">
        <f ca="1">IF(B15="","",D15*1.04)</f>
        <v>2820</v>
      </c>
      <c r="F15" s="1888" t="str">
        <f ca="1">POLICY($Q$2,OFFSET(Source!$B$17,0,0,COUNTA(Source!$B$17:$B$24),4),3,D15)</f>
        <v>Perfect</v>
      </c>
      <c r="G15" s="1889"/>
      <c r="H15" s="1444" t="s">
        <v>2179</v>
      </c>
      <c r="I15" s="585" t="s">
        <v>2006</v>
      </c>
      <c r="J15" s="585" t="str">
        <f>IF(H15="NO","",Modules!$E$35)</f>
        <v>Perfect</v>
      </c>
      <c r="K15" s="585" t="str">
        <f>IF(H15="NO","",Modules!$E$64)</f>
        <v/>
      </c>
      <c r="L15" s="10"/>
      <c r="M15" s="709">
        <f>IF(H15="NO","",0%)</f>
        <v>0</v>
      </c>
      <c r="N15" s="1851" t="str">
        <f>IF(H15="NO","",Modules!$E$39&amp;"/ "&amp;Modules!$E$68)</f>
        <v xml:space="preserve">All Crew members, except day workers/ </v>
      </c>
      <c r="O15" s="1851"/>
      <c r="P15" s="1851"/>
      <c r="Q15" s="585"/>
      <c r="R15" s="585"/>
      <c r="S15" s="10" t="s">
        <v>47</v>
      </c>
      <c r="T15" s="586">
        <f>Source!$C$2</f>
        <v>43050</v>
      </c>
      <c r="U15" s="638"/>
      <c r="V15" s="1875" t="str">
        <f>IF(H15="NO","",Modules!$E$39&amp;" "&amp;Modules!$E$68)</f>
        <v xml:space="preserve">All Crew members, except day workers </v>
      </c>
      <c r="W15" s="1875"/>
      <c r="X15" s="1875"/>
    </row>
    <row r="16" spans="2:25" ht="15" customHeight="1">
      <c r="B16" s="637" t="str">
        <f ca="1">POLICY($Q$2,OFFSET(Source!$B$17,0,0,COUNTA(Source!$B$17:$B$24),4),4,B16)</f>
        <v/>
      </c>
      <c r="C16" s="581" t="str">
        <f ca="1">IF(B16="","",Source!$M$2)</f>
        <v/>
      </c>
      <c r="D16" s="766">
        <f ca="1">IF(NAMES!$B$10=FALSE,POLICY($Q$2,OFFSET(Source!$B$17,0,0,COUNTA(Source!$B$17:$B$24),4),17,D16),Calcul!BI9)</f>
        <v>0</v>
      </c>
      <c r="E16" s="766" t="str">
        <f t="shared" ref="E16:E20" ca="1" si="0">IF(B16="","",D16*1.04)</f>
        <v/>
      </c>
      <c r="F16" s="1888" t="str">
        <f ca="1">POLICY($Q$2,OFFSET(Source!$B$17,0,0,COUNTA(Source!$B$17:$B$24),4),3,D16)</f>
        <v/>
      </c>
      <c r="G16" s="1889"/>
      <c r="H16" s="1444" t="s">
        <v>2179</v>
      </c>
      <c r="I16" s="585" t="s">
        <v>2219</v>
      </c>
      <c r="J16" s="585" t="str">
        <f>IF(H16="NO","",Modules!$E$35)</f>
        <v>Perfect</v>
      </c>
      <c r="K16" s="585" t="str">
        <f>IF(H16="NO","",Modules!$E$64)</f>
        <v/>
      </c>
      <c r="L16" s="10"/>
      <c r="M16" s="709">
        <f>IF(H16="NO","",0%)</f>
        <v>0</v>
      </c>
      <c r="N16" s="1851" t="str">
        <f>IF(H16="NO","",Modules!$E$39&amp;"/ "&amp;Modules!$E$68)</f>
        <v xml:space="preserve">All Crew members, except day workers/ </v>
      </c>
      <c r="O16" s="1851"/>
      <c r="P16" s="1851"/>
      <c r="Q16" s="10"/>
      <c r="R16" s="10"/>
      <c r="S16" s="10"/>
      <c r="T16" s="585"/>
      <c r="U16" s="638"/>
      <c r="V16" s="1875" t="str">
        <f>IF(H16="NO","",Modules!$E$39&amp;" "&amp;Modules!$E$68)</f>
        <v xml:space="preserve">All Crew members, except day workers </v>
      </c>
      <c r="W16" s="1875"/>
      <c r="X16" s="1875"/>
    </row>
    <row r="17" spans="1:23" ht="15" customHeight="1">
      <c r="B17" s="637" t="str">
        <f ca="1">POLICY($Q$2,OFFSET(Source!$B$17,0,0,COUNTA(Source!$B$17:$B$24),4),4,B17)</f>
        <v/>
      </c>
      <c r="C17" s="581" t="str">
        <f ca="1">IF(B17="","",Source!$M$2)</f>
        <v/>
      </c>
      <c r="D17" s="766" t="str">
        <f ca="1">POLICY($Q$2,OFFSET(Source!$B$17,0,0,COUNTA(Source!$B$17:$B$24),4),17,D17)</f>
        <v/>
      </c>
      <c r="E17" s="766" t="str">
        <f t="shared" ca="1" si="0"/>
        <v/>
      </c>
      <c r="F17" s="1888" t="str">
        <f ca="1">POLICY($Q$2,OFFSET(Source!$B$17,0,0,COUNTA(Source!$B$17:$B$24),4),3,D17)</f>
        <v/>
      </c>
      <c r="G17" s="1889"/>
      <c r="H17" s="1444" t="s">
        <v>2180</v>
      </c>
      <c r="I17" s="10" t="s">
        <v>2699</v>
      </c>
      <c r="J17" s="10"/>
      <c r="K17" s="10"/>
      <c r="L17" s="10"/>
      <c r="M17" s="709" t="str">
        <f t="shared" ref="M17" si="1">IF(H17="NO","",0%)</f>
        <v/>
      </c>
      <c r="N17" s="1875" t="str">
        <f>IF(H17="NO","",Modules!#REF!)</f>
        <v/>
      </c>
      <c r="O17" s="1875"/>
      <c r="P17" s="1875"/>
      <c r="Q17" s="1866" t="s">
        <v>48</v>
      </c>
      <c r="R17" s="1866"/>
      <c r="S17" s="10" t="s">
        <v>35</v>
      </c>
      <c r="T17" s="586">
        <f>MAX(Admin!H17:H18)</f>
        <v>42167</v>
      </c>
      <c r="U17" s="638"/>
      <c r="W17" s="759">
        <v>2</v>
      </c>
    </row>
    <row r="18" spans="1:23" ht="15" customHeight="1">
      <c r="B18" s="637" t="str">
        <f ca="1">POLICY($Q$2,OFFSET(Source!$B$17,0,0,COUNTA(Source!$B$17:$B$24),4),4,B18)</f>
        <v/>
      </c>
      <c r="C18" s="581" t="str">
        <f ca="1">IF(B18="","",Source!$M$2)</f>
        <v/>
      </c>
      <c r="D18" s="766" t="str">
        <f ca="1">POLICY($Q$2,OFFSET(Source!$B$17,0,0,COUNTA(Source!$B$17:$B$24),4),17,D18)</f>
        <v/>
      </c>
      <c r="E18" s="766" t="str">
        <f t="shared" ca="1" si="0"/>
        <v/>
      </c>
      <c r="F18" s="1888" t="str">
        <f ca="1">POLICY($Q$2,OFFSET(Source!$B$17,0,0,COUNTA(Source!$B$17:$B$24),4),3,D18)</f>
        <v/>
      </c>
      <c r="G18" s="1889"/>
      <c r="H18" s="1424" t="s">
        <v>2180</v>
      </c>
      <c r="I18" s="10" t="s">
        <v>2700</v>
      </c>
      <c r="J18" s="10"/>
      <c r="K18" s="10"/>
      <c r="L18" s="10"/>
      <c r="M18" s="709" t="str">
        <f>IF(H18="NO","",0%)</f>
        <v/>
      </c>
      <c r="N18" s="1875" t="str">
        <f>IF(H18="NO","",Modules!#REF!)</f>
        <v/>
      </c>
      <c r="O18" s="1875"/>
      <c r="P18" s="1875"/>
      <c r="Q18" s="10"/>
      <c r="R18" s="10"/>
      <c r="S18" s="10" t="s">
        <v>50</v>
      </c>
      <c r="T18" s="1149">
        <f>MAX(Admin!G17:G24)</f>
        <v>1</v>
      </c>
      <c r="U18" s="638"/>
      <c r="W18" s="759">
        <v>2</v>
      </c>
    </row>
    <row r="19" spans="1:23" ht="15" customHeight="1">
      <c r="B19" s="637" t="str">
        <f ca="1">POLICY($Q$2,OFFSET(Source!$B$17,0,0,COUNTA(Source!$B$17:$B$24),4),4,B19)</f>
        <v/>
      </c>
      <c r="C19" s="581" t="str">
        <f ca="1">IF(B19="","",Source!$M$2)</f>
        <v/>
      </c>
      <c r="D19" s="766" t="str">
        <f ca="1">POLICY($Q$2,OFFSET(Source!$B$17,0,0,COUNTA(Source!$B$17:$B$24),4),17,D19)</f>
        <v/>
      </c>
      <c r="E19" s="766" t="str">
        <f t="shared" ca="1" si="0"/>
        <v/>
      </c>
      <c r="F19" s="1888" t="str">
        <f ca="1">POLICY($Q$2,OFFSET(Source!$B$17,0,0,COUNTA(Source!$B$17:$B$24),4),3,D19)</f>
        <v/>
      </c>
      <c r="G19" s="1889"/>
      <c r="H19" s="1450" t="s">
        <v>2180</v>
      </c>
      <c r="I19" s="585" t="s">
        <v>2268</v>
      </c>
      <c r="J19" s="1044" t="str">
        <f>IF(H19="NO","",Modules!F27)</f>
        <v/>
      </c>
      <c r="K19" s="1425" t="str">
        <f>IF(H19="NO","",Modules!F56)</f>
        <v/>
      </c>
      <c r="L19" s="710" t="str">
        <f>IF(H19="NO","",IF(Cotations!$BA$6=0,0,Cotations!$BA$7))</f>
        <v/>
      </c>
      <c r="M19" s="585"/>
      <c r="N19" s="1875" t="str">
        <f>IF(H19="NO","",Modules!$F$39&amp;"/ "&amp;Modules!$F$68)</f>
        <v/>
      </c>
      <c r="O19" s="1875"/>
      <c r="P19" s="1875"/>
      <c r="Q19" s="10"/>
      <c r="R19" s="10"/>
      <c r="S19" s="10"/>
      <c r="T19" s="10"/>
      <c r="U19" s="638"/>
      <c r="W19" s="759">
        <v>2</v>
      </c>
    </row>
    <row r="20" spans="1:23" ht="15" customHeight="1">
      <c r="B20" s="1041" t="str">
        <f ca="1">POLICY($Q$2,OFFSET(Source!$B$17,0,0,COUNTA(Source!$B$17:$B$24),4),4,B20)</f>
        <v/>
      </c>
      <c r="C20" s="1042" t="str">
        <f ca="1">IF(B20="","",Source!$M$2)</f>
        <v/>
      </c>
      <c r="D20" s="1043" t="str">
        <f ca="1">POLICY($Q$2,OFFSET(Source!$B$17,0,0,COUNTA(Source!$B$17:$B$24),4),17,D20)</f>
        <v/>
      </c>
      <c r="E20" s="1043" t="str">
        <f t="shared" ca="1" si="0"/>
        <v/>
      </c>
      <c r="F20" s="1878" t="str">
        <f ca="1">POLICY($Q$2,OFFSET(Source!$B$17,0,0,COUNTA(Source!$B$17:$B$24),4),3,D20)</f>
        <v/>
      </c>
      <c r="G20" s="1879"/>
      <c r="H20" s="1450" t="s">
        <v>2180</v>
      </c>
      <c r="I20" s="585" t="s">
        <v>2260</v>
      </c>
      <c r="J20" s="1044" t="str">
        <f>IF(H20="NO","",Modules!G27)</f>
        <v/>
      </c>
      <c r="K20" s="1425" t="str">
        <f>IF(H20="NO","",Modules!G56)</f>
        <v/>
      </c>
      <c r="L20" s="710" t="str">
        <f>IF(H20="NO","",IF(Cotations!$BM$6=0,0,Cotations!$BM$7))</f>
        <v/>
      </c>
      <c r="M20" s="10"/>
      <c r="N20" s="1875" t="str">
        <f>IF(H20="NO","",Modules!$F$39&amp;"/ "&amp;Modules!$F$68)</f>
        <v/>
      </c>
      <c r="O20" s="1875"/>
      <c r="P20" s="1875"/>
      <c r="Q20" s="1866" t="s">
        <v>14</v>
      </c>
      <c r="R20" s="1866"/>
      <c r="S20" s="10" t="str">
        <f>Source!$H$1</f>
        <v>Effective date</v>
      </c>
      <c r="T20" s="586">
        <f>Source!$H$2</f>
        <v>41955</v>
      </c>
      <c r="U20" s="638"/>
      <c r="V20" s="3" t="str">
        <f>"/ "&amp;Modules!$F$68</f>
        <v xml:space="preserve">/ </v>
      </c>
      <c r="W20" s="759">
        <v>2</v>
      </c>
    </row>
    <row r="21" spans="1:23" ht="15" customHeight="1">
      <c r="B21" s="1039" t="s">
        <v>60</v>
      </c>
      <c r="C21" s="932"/>
      <c r="D21" s="1150">
        <f ca="1">SUM(D15:D20)</f>
        <v>2711.5384615384614</v>
      </c>
      <c r="E21" s="1150">
        <f ca="1">SUM(E15:E20)</f>
        <v>2820</v>
      </c>
      <c r="F21" s="1880" t="s">
        <v>2567</v>
      </c>
      <c r="G21" s="1881"/>
      <c r="H21" s="1450" t="s">
        <v>2180</v>
      </c>
      <c r="I21" s="585" t="s">
        <v>2407</v>
      </c>
      <c r="J21" s="1044" t="str">
        <f>IF(H21="NO","",Modules!H27)</f>
        <v/>
      </c>
      <c r="K21" s="1425" t="str">
        <f>IF(H21="NO","",Modules!H56)</f>
        <v/>
      </c>
      <c r="L21" s="710" t="str">
        <f>IF(H21="NO","",IF(Cotations!$BY$6=0,0,Cotations!$BY$7))</f>
        <v/>
      </c>
      <c r="M21" s="10"/>
      <c r="N21" s="1875" t="str">
        <f>IF(H21="NO","",Modules!$F$39&amp;"/ "&amp;Modules!$F$68)</f>
        <v/>
      </c>
      <c r="O21" s="1875"/>
      <c r="P21" s="1875"/>
      <c r="Q21" s="581"/>
      <c r="R21" s="581"/>
      <c r="S21" s="586" t="str">
        <f>IF(Source!$J$2="",Source!$I$1,Source!$J$1)</f>
        <v>Renewal date</v>
      </c>
      <c r="T21" s="586">
        <f>IF(Source!$J$2="",Source!$I$2,Source!$J$2)</f>
        <v>43050</v>
      </c>
      <c r="U21" s="638"/>
      <c r="V21" s="3" t="str">
        <f>"/ "&amp;Modules!$F$68</f>
        <v xml:space="preserve">/ </v>
      </c>
      <c r="W21" s="759">
        <v>1</v>
      </c>
    </row>
    <row r="22" spans="1:23" ht="15" customHeight="1">
      <c r="B22" s="36"/>
      <c r="C22" s="10"/>
      <c r="D22" s="587"/>
      <c r="E22" s="587">
        <f>D22*1.04</f>
        <v>0</v>
      </c>
      <c r="F22" s="1882" t="s">
        <v>2568</v>
      </c>
      <c r="G22" s="1883"/>
      <c r="H22" s="1450" t="s">
        <v>2180</v>
      </c>
      <c r="I22" s="585" t="s">
        <v>2261</v>
      </c>
      <c r="J22" s="1044" t="str">
        <f>IF(H22="NO","",Modules!I27)</f>
        <v/>
      </c>
      <c r="K22" s="1425" t="str">
        <f>IF(H22="NO","",Modules!I56)</f>
        <v/>
      </c>
      <c r="L22" s="710" t="str">
        <f>IF(H22="NO","",IF(Cotations!$CK$6=0,0,Cotations!$CK$7))</f>
        <v/>
      </c>
      <c r="M22" s="10"/>
      <c r="N22" s="1875" t="str">
        <f>IF(H22="NO","",Modules!$F$39&amp;"/ "&amp;Modules!$F$68)</f>
        <v/>
      </c>
      <c r="O22" s="1875"/>
      <c r="P22" s="1875"/>
      <c r="Q22" s="1038"/>
      <c r="R22" s="1422"/>
      <c r="S22" s="1422"/>
      <c r="T22" s="10"/>
      <c r="U22" s="638"/>
      <c r="V22" s="3" t="str">
        <f>"/ "&amp;Modules!$F$68</f>
        <v xml:space="preserve">/ </v>
      </c>
      <c r="W22" s="759">
        <v>1</v>
      </c>
    </row>
    <row r="23" spans="1:23" ht="15" customHeight="1">
      <c r="B23" s="1884" t="s">
        <v>2569</v>
      </c>
      <c r="C23" s="1885"/>
      <c r="D23" s="1885"/>
      <c r="E23" s="1885"/>
      <c r="F23" s="1885"/>
      <c r="G23" s="1886"/>
      <c r="H23" s="1450" t="s">
        <v>2180</v>
      </c>
      <c r="I23" s="585" t="s">
        <v>2410</v>
      </c>
      <c r="J23" s="1044" t="str">
        <f>IF(H23="NO","",Modules!J27)</f>
        <v/>
      </c>
      <c r="K23" s="1425" t="str">
        <f>IF(H23="NO","",Modules!J56)</f>
        <v/>
      </c>
      <c r="L23" s="710" t="str">
        <f>IF(H23="NO","",IF(Cotations!$CW$6=0,0,Cotations!$CW$7))</f>
        <v/>
      </c>
      <c r="M23" s="581"/>
      <c r="N23" s="1875" t="str">
        <f>IF(H23="NO","",Modules!$F$39)</f>
        <v/>
      </c>
      <c r="O23" s="1875"/>
      <c r="P23" s="1875"/>
      <c r="Q23" s="1038"/>
      <c r="R23" s="1422"/>
      <c r="S23" s="1422"/>
      <c r="T23" s="10"/>
      <c r="U23" s="638"/>
      <c r="V23" s="3" t="str">
        <f>"/ "&amp;Modules!$F$68</f>
        <v xml:space="preserve">/ </v>
      </c>
    </row>
    <row r="24" spans="1:23" ht="15" customHeight="1">
      <c r="B24" s="1027"/>
      <c r="C24" s="1028"/>
      <c r="D24" s="1028"/>
      <c r="E24" s="1028"/>
      <c r="F24" s="1028"/>
      <c r="G24" s="1029"/>
      <c r="H24" s="1450" t="s">
        <v>2180</v>
      </c>
      <c r="I24" s="639" t="s">
        <v>2263</v>
      </c>
      <c r="J24" s="1445" t="str">
        <f>IF(H24="NO","",Modules!K27)</f>
        <v/>
      </c>
      <c r="K24" s="1425" t="str">
        <f>IF(H24="NO","",Modules!K56)</f>
        <v/>
      </c>
      <c r="L24" s="708" t="str">
        <f>IF(H24="NO","",IF(Cotations!$DI$6=0,0,Cotations!$DI$7))</f>
        <v/>
      </c>
      <c r="M24" s="555"/>
      <c r="N24" s="1876" t="str">
        <f>IF(H24="NO","",Modules!$F$39)</f>
        <v/>
      </c>
      <c r="O24" s="1876"/>
      <c r="P24" s="1876"/>
      <c r="Q24" s="640"/>
      <c r="R24" s="1423"/>
      <c r="S24" s="1423"/>
      <c r="T24" s="555"/>
      <c r="U24" s="642"/>
      <c r="V24" s="3" t="str">
        <f>"/ "&amp;Modules!$F$68</f>
        <v xml:space="preserve">/ </v>
      </c>
    </row>
    <row r="25" spans="1:23" ht="15" customHeight="1">
      <c r="B25" s="553"/>
      <c r="C25" s="553"/>
      <c r="D25" s="553"/>
      <c r="E25" s="553"/>
      <c r="F25" s="553"/>
      <c r="G25" s="553"/>
      <c r="Q25" s="12"/>
      <c r="R25" s="13"/>
      <c r="S25" s="13"/>
    </row>
    <row r="26" spans="1:23" ht="15" customHeight="1">
      <c r="Q26" s="12"/>
      <c r="R26" s="13"/>
      <c r="S26" s="13"/>
    </row>
    <row r="27" spans="1:23" ht="15" customHeight="1">
      <c r="B27" s="1887"/>
      <c r="C27" s="1887"/>
      <c r="D27" s="14"/>
      <c r="E27" s="14"/>
      <c r="F27" s="14"/>
      <c r="G27" s="14">
        <f>Source!$F$35</f>
        <v>730</v>
      </c>
      <c r="H27" s="14">
        <f>Source!$G$35</f>
        <v>24</v>
      </c>
      <c r="I27" s="15">
        <f t="shared" ref="I27:R27" ca="1" si="2">SUM(OFFSET(I30,0,0,COUNTA(I30:I10003),1))</f>
        <v>2330.7692307692305</v>
      </c>
      <c r="J27" s="15">
        <f t="shared" ca="1" si="2"/>
        <v>380.76923076923077</v>
      </c>
      <c r="K27" s="15">
        <f t="shared" ca="1" si="2"/>
        <v>0</v>
      </c>
      <c r="L27" s="15">
        <f t="shared" ca="1" si="2"/>
        <v>0</v>
      </c>
      <c r="M27" s="15">
        <f t="shared" ca="1" si="2"/>
        <v>0</v>
      </c>
      <c r="N27" s="15">
        <f t="shared" ca="1" si="2"/>
        <v>0</v>
      </c>
      <c r="O27" s="15">
        <f t="shared" ca="1" si="2"/>
        <v>0</v>
      </c>
      <c r="P27" s="15">
        <f t="shared" ca="1" si="2"/>
        <v>0</v>
      </c>
      <c r="Q27" s="15">
        <f t="shared" ca="1" si="2"/>
        <v>2711.5384615384614</v>
      </c>
      <c r="R27" s="15">
        <f t="shared" ca="1" si="2"/>
        <v>2820</v>
      </c>
    </row>
    <row r="28" spans="1:23" s="9" customFormat="1" ht="30.75" customHeight="1">
      <c r="A28" s="1863" t="s">
        <v>2583</v>
      </c>
      <c r="B28" s="1863" t="s">
        <v>37</v>
      </c>
      <c r="C28" s="1863" t="s">
        <v>16</v>
      </c>
      <c r="D28" s="1863" t="s">
        <v>36</v>
      </c>
      <c r="E28" s="1863" t="s">
        <v>18</v>
      </c>
      <c r="F28" s="1863" t="s">
        <v>19</v>
      </c>
      <c r="G28" s="1892" t="s">
        <v>46</v>
      </c>
      <c r="H28" s="1892"/>
      <c r="I28" s="1863" t="s">
        <v>3</v>
      </c>
      <c r="J28" s="1863" t="s">
        <v>2698</v>
      </c>
      <c r="K28" s="1863" t="s">
        <v>6</v>
      </c>
      <c r="L28" s="1863" t="s">
        <v>8</v>
      </c>
      <c r="M28" s="1863" t="s">
        <v>9</v>
      </c>
      <c r="N28" s="1863" t="s">
        <v>10</v>
      </c>
      <c r="O28" s="1863" t="s">
        <v>41</v>
      </c>
      <c r="P28" s="1863" t="s">
        <v>42</v>
      </c>
      <c r="Q28" s="1893" t="s">
        <v>40</v>
      </c>
      <c r="R28" s="1893" t="s">
        <v>43</v>
      </c>
      <c r="S28" s="1863" t="s">
        <v>45</v>
      </c>
      <c r="T28" s="1863"/>
      <c r="U28" s="1863"/>
    </row>
    <row r="29" spans="1:23" s="9" customFormat="1">
      <c r="A29" s="1863"/>
      <c r="B29" s="1863"/>
      <c r="C29" s="1863"/>
      <c r="D29" s="1863"/>
      <c r="E29" s="1863"/>
      <c r="F29" s="1863"/>
      <c r="G29" s="558" t="s">
        <v>38</v>
      </c>
      <c r="H29" s="558" t="s">
        <v>39</v>
      </c>
      <c r="I29" s="1863"/>
      <c r="J29" s="1863"/>
      <c r="K29" s="1863"/>
      <c r="L29" s="1863"/>
      <c r="M29" s="1863"/>
      <c r="N29" s="1863"/>
      <c r="O29" s="1863"/>
      <c r="P29" s="1863"/>
      <c r="Q29" s="1893"/>
      <c r="R29" s="1893"/>
      <c r="S29" s="1863"/>
      <c r="T29" s="1863"/>
      <c r="U29" s="1863"/>
    </row>
    <row r="30" spans="1:23" s="11" customFormat="1" ht="12.75" hidden="1" customHeight="1">
      <c r="A30" s="11" t="str">
        <f>IF(NAMES!$B$10=TRUE,IF(Cotations!C15=FALSE,"",Cotations!E15),IF(Source!A38="","",YEAR(Source!$B$2)&amp;"-"&amp;YEAR(Source!$C$2)&amp;"!"))</f>
        <v/>
      </c>
      <c r="B30" s="11" t="str">
        <f>IF(NAMES!$B$10=FALSE,IF(Source!A38="","",Source!A38),Cotations!G15)</f>
        <v/>
      </c>
      <c r="C30" s="11" t="str">
        <f>IF(NAMES!$B$10=FALSE,IF($B30="","",Source!B38),IF($B30="","",Crewlist!J15))</f>
        <v/>
      </c>
      <c r="D30" s="11" t="str">
        <f>IF(NAMES!$B$10=FALSE,IF($B30="","",Source!C38),IF($B30="","",Cotations!I15))</f>
        <v/>
      </c>
      <c r="E30" s="11" t="str">
        <f>IF(NAMES!$B$10=FALSE,IF($B30="","",Source!D38),IF($B30="","",Crewlist!G15))</f>
        <v/>
      </c>
      <c r="F30" s="16" t="str">
        <f>IF(NAMES!$B$10=FALSE,IF($B30="","",Source!E38),IF($B30="","",Crewlist!K15))</f>
        <v/>
      </c>
      <c r="G30" s="17" t="str">
        <f>IF(NAMES!$B$10=FALSE,IF($B30="","",Source!F38),Cotations!P15)</f>
        <v/>
      </c>
      <c r="H30" s="17" t="str">
        <f>IF(NAMES!$B$10=FALSE,IF($B30="","",Source!G38),Cotations!N15)</f>
        <v/>
      </c>
      <c r="I30" s="18" t="str">
        <f ca="1">IF(NAMES!$B$10=FALSE,IF($B30="","",CIE_HT(I$28,$Q$2,OFFSET(Source!$A38,0,0,1,Config!$K$7))),IF($B30="","",IF(Calcul!$BC$7=$Q$2,Calcul!BE15,Calcul!BQ15)))</f>
        <v/>
      </c>
      <c r="J30" s="18" t="str">
        <f ca="1">IF(NAMES!$B$10=FALSE,IF($B30="","",CIE_HT(J$28,$Q$2,OFFSET(Source!$A38,0,0,1,Config!$K$7))),IF($B30="","",IF(Calcul!$BC$7=$Q$2,Calcul!BF15+Calcul!BG15+Calcul!BH15,Calcul!BR15)))</f>
        <v/>
      </c>
      <c r="K30" s="18" t="str">
        <f ca="1">IF(NAMES!$B$10=FALSE,IF($B30="","",CIE_HT(K$28,$Q$2,OFFSET(Source!$A38,0,0,1,Config!$K$7))),IF($B30="","",IF(Calcul!$BC$7=$Q$2,Calcul!BI15,Calcul!BS15)))</f>
        <v/>
      </c>
      <c r="L30" s="18" t="str">
        <f ca="1">IF(NAMES!$B$10=FALSE,IF($B30="","",CIE_HT(L$28,$Q$2,OFFSET(Source!$A38,0,0,1,Config!$K$7))),IF($B30="","",IF(Calcul!$BC$7=$Q$2,Calcul!BJ15,Calcul!BT15)))</f>
        <v/>
      </c>
      <c r="M30" s="18" t="str">
        <f ca="1">IF(NAMES!$B$10=FALSE,IF($B30="","",CIE_HT(M$28,$Q$2,OFFSET(Source!$A38,0,0,1,Config!$K$7))),IF($B30="","",IF(Calcul!$BC$7=$Q$2,Calcul!BK15,Calcul!BU15)))</f>
        <v/>
      </c>
      <c r="N30" s="18" t="str">
        <f ca="1">IF(NAMES!$B$10=FALSE,IF($B30="","",CIE_HT(N$28,$Q$2,OFFSET(Source!$A38,0,0,1,Config!$K$7))),IF($B30="","",IF(Calcul!$BC$7=$Q$2,Calcul!BL15,Calcul!BV15)))</f>
        <v/>
      </c>
      <c r="O30" s="18" t="str">
        <f ca="1">IF(NAMES!$B$10=FALSE,IF($B30="","",CIE_HT(O$28,$Q$2,OFFSET(Source!$A38,0,0,1,Config!$K$7))),IF($B30="","",IF(Calcul!$BC$7=$Q$2,Calcul!BM15,Calcul!BW15)))</f>
        <v/>
      </c>
      <c r="P30" s="18" t="str">
        <f ca="1">IF(NAMES!$B$10=FALSE,IF($B30="","",CIE_HT(P$28,$Q$2,OFFSET(Source!$A38,0,0,1,Config!$K$7))),IF($B30="","",IF(Calcul!$BC$7=$Q$2,Calcul!BN15,Calcul!BX15)))</f>
        <v/>
      </c>
      <c r="Q30" s="18" t="str">
        <f t="shared" ref="Q30:Q92" si="3">IF($B30="","",SUM($I30:$P30))</f>
        <v/>
      </c>
      <c r="R30" s="18" t="str">
        <f ca="1">IF(NAMES!$B$10=FALSE,IF($B30="","",TOT_CIE_TC(I$28:P$28,$Q$2,OFFSET(Source!$A38,0,0,1,Config!$K$7))),IF($B30="","",Q30*TAXE))</f>
        <v/>
      </c>
      <c r="S30" s="1855" t="str">
        <f ca="1">IF(NAMES!$B$10=FALSE,IF($B30="","",_xludf.FORMULA($B30,$Q$2,OFFSET(Source!$A38,0,0,1,Config!$K$7))),IF($Q$2="AIG Luxembourg",Calcul!ED15,Calcul!ID15))</f>
        <v/>
      </c>
      <c r="T30" s="1855"/>
      <c r="U30" s="1855"/>
    </row>
    <row r="31" spans="1:23" ht="12" hidden="1" customHeight="1">
      <c r="A31" s="11" t="str">
        <f>IF(NAMES!$B$10=TRUE,IF(Cotations!C16=FALSE,"",Cotations!E16),IF(Source!A39="","",YEAR(Source!$B$2)&amp;"-"&amp;YEAR(Source!$C$2)&amp;"!"))</f>
        <v/>
      </c>
      <c r="B31" s="11" t="str">
        <f>IF(NAMES!$B$10=FALSE,IF(Source!A39="","",Source!A39),Cotations!G16)</f>
        <v/>
      </c>
      <c r="C31" s="11" t="str">
        <f>IF(NAMES!$B$10=FALSE,IF($B31="","",Source!B39),IF($B31="","",Crewlist!J16))</f>
        <v/>
      </c>
      <c r="D31" s="11" t="str">
        <f>IF(NAMES!$B$10=FALSE,IF($B31="","",Source!C39),IF($B31="","",Cotations!I16))</f>
        <v/>
      </c>
      <c r="E31" s="11" t="str">
        <f>IF(NAMES!$B$10=FALSE,IF($B31="","",Source!D39),IF($B31="","",Crewlist!G16))</f>
        <v/>
      </c>
      <c r="F31" s="16" t="str">
        <f>IF(NAMES!$B$10=FALSE,IF($B31="","",Source!E39),IF($B31="","",Crewlist!K16))</f>
        <v/>
      </c>
      <c r="G31" s="17" t="str">
        <f>IF(NAMES!$B$10=FALSE,IF($B31="","",Source!F39),Cotations!P16)</f>
        <v/>
      </c>
      <c r="H31" s="17" t="str">
        <f>IF(NAMES!$B$10=FALSE,IF($B31="","",Source!G39),Cotations!N16)</f>
        <v/>
      </c>
      <c r="I31" s="18" t="str">
        <f ca="1">IF(NAMES!$B$10=FALSE,IF($B31="","",CIE_HT(I$28,$Q$2,OFFSET(Source!$A39,0,0,1,Config!$K$7))),IF($B31="","",IF(Calcul!$BC$7=$Q$2,Calcul!BE16,Calcul!BQ16)))</f>
        <v/>
      </c>
      <c r="J31" s="18" t="str">
        <f ca="1">IF(NAMES!$B$10=FALSE,IF($B31="","",CIE_HT(J$28,$Q$2,OFFSET(Source!$A39,0,0,1,Config!$K$7))),IF($B31="","",IF(Calcul!$BC$7=$Q$2,Calcul!BF16+Calcul!BG16+Calcul!BH16,Calcul!BR16)))</f>
        <v/>
      </c>
      <c r="K31" s="18" t="str">
        <f ca="1">IF(NAMES!$B$10=FALSE,IF($B31="","",CIE_HT(K$28,$Q$2,OFFSET(Source!$A39,0,0,1,Config!$K$7))),IF($B31="","",IF(Calcul!$BC$7=$Q$2,Calcul!BI16,Calcul!BS16)))</f>
        <v/>
      </c>
      <c r="L31" s="18" t="str">
        <f ca="1">IF(NAMES!$B$10=FALSE,IF($B31="","",CIE_HT(L$28,$Q$2,OFFSET(Source!$A39,0,0,1,Config!$K$7))),IF($B31="","",IF(Calcul!$BC$7=$Q$2,Calcul!BJ16,Calcul!BT16)))</f>
        <v/>
      </c>
      <c r="M31" s="18" t="str">
        <f ca="1">IF(NAMES!$B$10=FALSE,IF($B31="","",CIE_HT(M$28,$Q$2,OFFSET(Source!$A39,0,0,1,Config!$K$7))),IF($B31="","",IF(Calcul!$BC$7=$Q$2,Calcul!BK16,Calcul!BU16)))</f>
        <v/>
      </c>
      <c r="N31" s="18" t="str">
        <f ca="1">IF(NAMES!$B$10=FALSE,IF($B31="","",CIE_HT(N$28,$Q$2,OFFSET(Source!$A39,0,0,1,Config!$K$7))),IF($B31="","",IF(Calcul!$BC$7=$Q$2,Calcul!BL16,Calcul!BV16)))</f>
        <v/>
      </c>
      <c r="O31" s="18" t="str">
        <f ca="1">IF(NAMES!$B$10=FALSE,IF($B31="","",CIE_HT(O$28,$Q$2,OFFSET(Source!$A39,0,0,1,Config!$K$7))),IF($B31="","",IF(Calcul!$BC$7=$Q$2,Calcul!BM16,Calcul!BW16)))</f>
        <v/>
      </c>
      <c r="P31" s="18" t="str">
        <f ca="1">IF(NAMES!$B$10=FALSE,IF($B31="","",CIE_HT(P$28,$Q$2,OFFSET(Source!$A39,0,0,1,Config!$K$7))),IF($B31="","",IF(Calcul!$BC$7=$Q$2,Calcul!BN16,Calcul!BX16)))</f>
        <v/>
      </c>
      <c r="Q31" s="18" t="str">
        <f t="shared" si="3"/>
        <v/>
      </c>
      <c r="R31" s="18" t="str">
        <f ca="1">IF(NAMES!$B$10=FALSE,IF($B31="","",TOT_CIE_TC(I$28:P$28,$Q$2,OFFSET(Source!$A39,0,0,1,Config!$K$7))),IF($B31="","",Q31*TAXE))</f>
        <v/>
      </c>
      <c r="S31" s="1855" t="str">
        <f ca="1">IF(NAMES!$B$10=FALSE,IF($B31="","",_xludf.FORMULA($B31,$Q$2,OFFSET(Source!$A39,0,0,1,Config!$K$7))),IF($Q$2="AIG Luxembourg",Calcul!ED16,Calcul!ID16))</f>
        <v/>
      </c>
      <c r="T31" s="1855"/>
      <c r="U31" s="1855"/>
    </row>
    <row r="32" spans="1:23" hidden="1">
      <c r="A32" s="11" t="str">
        <f>IF(NAMES!$B$10=TRUE,IF(Cotations!C17=FALSE,"",Cotations!E17),IF(Source!A40="","",YEAR(Source!$B$2)&amp;"-"&amp;YEAR(Source!$C$2)&amp;"!"))</f>
        <v/>
      </c>
      <c r="B32" s="11" t="str">
        <f>IF(NAMES!$B$10=FALSE,IF(Source!A40="","",Source!A40),Cotations!G17)</f>
        <v/>
      </c>
      <c r="C32" s="11" t="str">
        <f>IF(NAMES!$B$10=FALSE,IF($B32="","",Source!B40),IF($B32="","",Crewlist!J17))</f>
        <v/>
      </c>
      <c r="D32" s="11" t="str">
        <f>IF(NAMES!$B$10=FALSE,IF($B32="","",Source!C40),IF($B32="","",Cotations!I17))</f>
        <v/>
      </c>
      <c r="E32" s="11" t="str">
        <f>IF(NAMES!$B$10=FALSE,IF($B32="","",Source!D40),IF($B32="","",Crewlist!G17))</f>
        <v/>
      </c>
      <c r="F32" s="16" t="str">
        <f>IF(NAMES!$B$10=FALSE,IF($B32="","",Source!E40),IF($B32="","",Crewlist!K17))</f>
        <v/>
      </c>
      <c r="G32" s="17" t="str">
        <f>IF(NAMES!$B$10=FALSE,IF($B32="","",Source!F40),Cotations!P17)</f>
        <v/>
      </c>
      <c r="H32" s="17" t="str">
        <f>IF(NAMES!$B$10=FALSE,IF($B32="","",Source!G40),Cotations!N17)</f>
        <v/>
      </c>
      <c r="I32" s="18" t="str">
        <f ca="1">IF(NAMES!$B$10=FALSE,IF($B32="","",CIE_HT(I$28,$Q$2,OFFSET(Source!$A40,0,0,1,Config!$K$7))),IF($B32="","",IF(Calcul!$BC$7=$Q$2,Calcul!BE17,Calcul!BQ17)))</f>
        <v/>
      </c>
      <c r="J32" s="18" t="str">
        <f ca="1">IF(NAMES!$B$10=FALSE,IF($B32="","",CIE_HT(J$28,$Q$2,OFFSET(Source!$A40,0,0,1,Config!$K$7))),IF($B32="","",IF(Calcul!$BC$7=$Q$2,Calcul!BF17+Calcul!BG17+Calcul!BH17,Calcul!BR17)))</f>
        <v/>
      </c>
      <c r="K32" s="18" t="str">
        <f ca="1">IF(NAMES!$B$10=FALSE,IF($B32="","",CIE_HT(K$28,$Q$2,OFFSET(Source!$A40,0,0,1,Config!$K$7))),IF($B32="","",IF(Calcul!$BC$7=$Q$2,Calcul!BI17,Calcul!BS17)))</f>
        <v/>
      </c>
      <c r="L32" s="18" t="str">
        <f ca="1">IF(NAMES!$B$10=FALSE,IF($B32="","",CIE_HT(L$28,$Q$2,OFFSET(Source!$A40,0,0,1,Config!$K$7))),IF($B32="","",IF(Calcul!$BC$7=$Q$2,Calcul!BJ17,Calcul!BT17)))</f>
        <v/>
      </c>
      <c r="M32" s="18" t="str">
        <f ca="1">IF(NAMES!$B$10=FALSE,IF($B32="","",CIE_HT(M$28,$Q$2,OFFSET(Source!$A40,0,0,1,Config!$K$7))),IF($B32="","",IF(Calcul!$BC$7=$Q$2,Calcul!BK17,Calcul!BU17)))</f>
        <v/>
      </c>
      <c r="N32" s="18" t="str">
        <f ca="1">IF(NAMES!$B$10=FALSE,IF($B32="","",CIE_HT(N$28,$Q$2,OFFSET(Source!$A40,0,0,1,Config!$K$7))),IF($B32="","",IF(Calcul!$BC$7=$Q$2,Calcul!BL17,Calcul!BV17)))</f>
        <v/>
      </c>
      <c r="O32" s="18" t="str">
        <f ca="1">IF(NAMES!$B$10=FALSE,IF($B32="","",CIE_HT(O$28,$Q$2,OFFSET(Source!$A40,0,0,1,Config!$K$7))),IF($B32="","",IF(Calcul!$BC$7=$Q$2,Calcul!BM17,Calcul!BW17)))</f>
        <v/>
      </c>
      <c r="P32" s="18" t="str">
        <f ca="1">IF(NAMES!$B$10=FALSE,IF($B32="","",CIE_HT(P$28,$Q$2,OFFSET(Source!$A40,0,0,1,Config!$K$7))),IF($B32="","",IF(Calcul!$BC$7=$Q$2,Calcul!BN17,Calcul!BX17)))</f>
        <v/>
      </c>
      <c r="Q32" s="18" t="str">
        <f t="shared" si="3"/>
        <v/>
      </c>
      <c r="R32" s="18" t="str">
        <f ca="1">IF(NAMES!$B$10=FALSE,IF($B32="","",TOT_CIE_TC(I$28:P$28,$Q$2,OFFSET(Source!$A40,0,0,1,Config!$K$7))),IF($B32="","",Q32*TAXE))</f>
        <v/>
      </c>
      <c r="S32" s="1855" t="str">
        <f ca="1">IF(NAMES!$B$10=FALSE,IF($B32="","",_xludf.FORMULA($B32,$Q$2,OFFSET(Source!$A40,0,0,1,Config!$K$7))),IF($Q$2="AIG Luxembourg",Calcul!ED17,Calcul!ID17))</f>
        <v/>
      </c>
      <c r="T32" s="1855"/>
      <c r="U32" s="1855"/>
    </row>
    <row r="33" spans="1:21" hidden="1">
      <c r="A33" s="11" t="str">
        <f>IF(NAMES!$B$10=TRUE,IF(Cotations!C18=FALSE,"",Cotations!E18),IF(Source!A41="","",YEAR(Source!$B$2)&amp;"-"&amp;YEAR(Source!$C$2)&amp;"!"))</f>
        <v/>
      </c>
      <c r="B33" s="11" t="str">
        <f>IF(NAMES!$B$10=FALSE,IF(Source!A41="","",Source!A41),Cotations!G18)</f>
        <v/>
      </c>
      <c r="C33" s="11" t="str">
        <f>IF(NAMES!$B$10=FALSE,IF($B33="","",Source!B41),IF($B33="","",Crewlist!J18))</f>
        <v/>
      </c>
      <c r="D33" s="11" t="str">
        <f>IF(NAMES!$B$10=FALSE,IF($B33="","",Source!C41),IF($B33="","",Cotations!I18))</f>
        <v/>
      </c>
      <c r="E33" s="11" t="str">
        <f>IF(NAMES!$B$10=FALSE,IF($B33="","",Source!D41),IF($B33="","",Crewlist!G18))</f>
        <v/>
      </c>
      <c r="F33" s="16" t="str">
        <f>IF(NAMES!$B$10=FALSE,IF($B33="","",Source!E41),IF($B33="","",Crewlist!K18))</f>
        <v/>
      </c>
      <c r="G33" s="17" t="str">
        <f>IF(NAMES!$B$10=FALSE,IF($B33="","",Source!F41),Cotations!P18)</f>
        <v/>
      </c>
      <c r="H33" s="17" t="str">
        <f>IF(NAMES!$B$10=FALSE,IF($B33="","",Source!G41),Cotations!N18)</f>
        <v/>
      </c>
      <c r="I33" s="18" t="str">
        <f ca="1">IF(NAMES!$B$10=FALSE,IF($B33="","",CIE_HT(I$28,$Q$2,OFFSET(Source!$A41,0,0,1,Config!$K$7))),IF($B33="","",IF(Calcul!$BC$7=$Q$2,Calcul!BE18,Calcul!BQ18)))</f>
        <v/>
      </c>
      <c r="J33" s="18" t="str">
        <f ca="1">IF(NAMES!$B$10=FALSE,IF($B33="","",CIE_HT(J$28,$Q$2,OFFSET(Source!$A41,0,0,1,Config!$K$7))),IF($B33="","",IF(Calcul!$BC$7=$Q$2,Calcul!BF18+Calcul!BG18+Calcul!BH18,Calcul!BR18)))</f>
        <v/>
      </c>
      <c r="K33" s="18" t="str">
        <f ca="1">IF(NAMES!$B$10=FALSE,IF($B33="","",CIE_HT(K$28,$Q$2,OFFSET(Source!$A41,0,0,1,Config!$K$7))),IF($B33="","",IF(Calcul!$BC$7=$Q$2,Calcul!BI18,Calcul!BS18)))</f>
        <v/>
      </c>
      <c r="L33" s="18" t="str">
        <f ca="1">IF(NAMES!$B$10=FALSE,IF($B33="","",CIE_HT(L$28,$Q$2,OFFSET(Source!$A41,0,0,1,Config!$K$7))),IF($B33="","",IF(Calcul!$BC$7=$Q$2,Calcul!BJ18,Calcul!BT18)))</f>
        <v/>
      </c>
      <c r="M33" s="18" t="str">
        <f ca="1">IF(NAMES!$B$10=FALSE,IF($B33="","",CIE_HT(M$28,$Q$2,OFFSET(Source!$A41,0,0,1,Config!$K$7))),IF($B33="","",IF(Calcul!$BC$7=$Q$2,Calcul!BK18,Calcul!BU18)))</f>
        <v/>
      </c>
      <c r="N33" s="18" t="str">
        <f ca="1">IF(NAMES!$B$10=FALSE,IF($B33="","",CIE_HT(N$28,$Q$2,OFFSET(Source!$A41,0,0,1,Config!$K$7))),IF($B33="","",IF(Calcul!$BC$7=$Q$2,Calcul!BL18,Calcul!BV18)))</f>
        <v/>
      </c>
      <c r="O33" s="18" t="str">
        <f ca="1">IF(NAMES!$B$10=FALSE,IF($B33="","",CIE_HT(O$28,$Q$2,OFFSET(Source!$A41,0,0,1,Config!$K$7))),IF($B33="","",IF(Calcul!$BC$7=$Q$2,Calcul!BM18,Calcul!BW18)))</f>
        <v/>
      </c>
      <c r="P33" s="18" t="str">
        <f ca="1">IF(NAMES!$B$10=FALSE,IF($B33="","",CIE_HT(P$28,$Q$2,OFFSET(Source!$A41,0,0,1,Config!$K$7))),IF($B33="","",IF(Calcul!$BC$7=$Q$2,Calcul!BN18,Calcul!BX18)))</f>
        <v/>
      </c>
      <c r="Q33" s="18" t="str">
        <f t="shared" si="3"/>
        <v/>
      </c>
      <c r="R33" s="18" t="str">
        <f ca="1">IF(NAMES!$B$10=FALSE,IF($B33="","",TOT_CIE_TC(I$28:P$28,$Q$2,OFFSET(Source!$A41,0,0,1,Config!$K$7))),IF($B33="","",Q33*TAXE))</f>
        <v/>
      </c>
      <c r="S33" s="1855" t="str">
        <f ca="1">IF(NAMES!$B$10=FALSE,IF($B33="","",_xludf.FORMULA($B33,$Q$2,OFFSET(Source!$A41,0,0,1,Config!$K$7))),IF($Q$2="AIG Luxembourg",Calcul!ED18,Calcul!ID18))</f>
        <v/>
      </c>
      <c r="T33" s="1855"/>
      <c r="U33" s="1855"/>
    </row>
    <row r="34" spans="1:21" ht="12" hidden="1" customHeight="1">
      <c r="A34" s="11" t="str">
        <f>IF(NAMES!$B$10=TRUE,IF(Cotations!C19=FALSE,"",Cotations!E19),IF(Source!A42="","",YEAR(Source!$B$2)&amp;"-"&amp;YEAR(Source!$C$2)&amp;"!"))</f>
        <v/>
      </c>
      <c r="B34" s="11" t="str">
        <f>IF(NAMES!$B$10=FALSE,IF(Source!A42="","",Source!A42),Cotations!G19)</f>
        <v/>
      </c>
      <c r="C34" s="11" t="str">
        <f>IF(NAMES!$B$10=FALSE,IF($B34="","",Source!B42),IF($B34="","",Crewlist!J19))</f>
        <v/>
      </c>
      <c r="D34" s="11" t="str">
        <f>IF(NAMES!$B$10=FALSE,IF($B34="","",Source!C42),IF($B34="","",Cotations!I19))</f>
        <v/>
      </c>
      <c r="E34" s="11" t="str">
        <f>IF(NAMES!$B$10=FALSE,IF($B34="","",Source!D42),IF($B34="","",Crewlist!G19))</f>
        <v/>
      </c>
      <c r="F34" s="16" t="str">
        <f>IF(NAMES!$B$10=FALSE,IF($B34="","",Source!E42),IF($B34="","",Crewlist!K19))</f>
        <v/>
      </c>
      <c r="G34" s="17" t="str">
        <f>IF(NAMES!$B$10=FALSE,IF($B34="","",Source!F42),Cotations!P19)</f>
        <v/>
      </c>
      <c r="H34" s="17" t="str">
        <f>IF(NAMES!$B$10=FALSE,IF($B34="","",Source!G42),Cotations!N19)</f>
        <v/>
      </c>
      <c r="I34" s="18" t="str">
        <f ca="1">IF(NAMES!$B$10=FALSE,IF($B34="","",CIE_HT(I$28,$Q$2,OFFSET(Source!$A42,0,0,1,Config!$K$7))),IF($B34="","",IF(Calcul!$BC$7=$Q$2,Calcul!BE19,Calcul!BQ19)))</f>
        <v/>
      </c>
      <c r="J34" s="18" t="str">
        <f ca="1">IF(NAMES!$B$10=FALSE,IF($B34="","",CIE_HT(J$28,$Q$2,OFFSET(Source!$A42,0,0,1,Config!$K$7))),IF($B34="","",IF(Calcul!$BC$7=$Q$2,Calcul!BF19+Calcul!BG19+Calcul!BH19,Calcul!BR19)))</f>
        <v/>
      </c>
      <c r="K34" s="18" t="str">
        <f ca="1">IF(NAMES!$B$10=FALSE,IF($B34="","",CIE_HT(K$28,$Q$2,OFFSET(Source!$A42,0,0,1,Config!$K$7))),IF($B34="","",IF(Calcul!$BC$7=$Q$2,Calcul!BI19,Calcul!BS19)))</f>
        <v/>
      </c>
      <c r="L34" s="18" t="str">
        <f ca="1">IF(NAMES!$B$10=FALSE,IF($B34="","",CIE_HT(L$28,$Q$2,OFFSET(Source!$A42,0,0,1,Config!$K$7))),IF($B34="","",IF(Calcul!$BC$7=$Q$2,Calcul!BJ19,Calcul!BT19)))</f>
        <v/>
      </c>
      <c r="M34" s="18" t="str">
        <f ca="1">IF(NAMES!$B$10=FALSE,IF($B34="","",CIE_HT(M$28,$Q$2,OFFSET(Source!$A42,0,0,1,Config!$K$7))),IF($B34="","",IF(Calcul!$BC$7=$Q$2,Calcul!BK19,Calcul!BU19)))</f>
        <v/>
      </c>
      <c r="N34" s="18" t="str">
        <f ca="1">IF(NAMES!$B$10=FALSE,IF($B34="","",CIE_HT(N$28,$Q$2,OFFSET(Source!$A42,0,0,1,Config!$K$7))),IF($B34="","",IF(Calcul!$BC$7=$Q$2,Calcul!BL19,Calcul!BV19)))</f>
        <v/>
      </c>
      <c r="O34" s="18" t="str">
        <f ca="1">IF(NAMES!$B$10=FALSE,IF($B34="","",CIE_HT(O$28,$Q$2,OFFSET(Source!$A42,0,0,1,Config!$K$7))),IF($B34="","",IF(Calcul!$BC$7=$Q$2,Calcul!BM19,Calcul!BW19)))</f>
        <v/>
      </c>
      <c r="P34" s="18" t="str">
        <f ca="1">IF(NAMES!$B$10=FALSE,IF($B34="","",CIE_HT(P$28,$Q$2,OFFSET(Source!$A42,0,0,1,Config!$K$7))),IF($B34="","",IF(Calcul!$BC$7=$Q$2,Calcul!BN19,Calcul!BX19)))</f>
        <v/>
      </c>
      <c r="Q34" s="18" t="str">
        <f t="shared" si="3"/>
        <v/>
      </c>
      <c r="R34" s="18" t="str">
        <f ca="1">IF(NAMES!$B$10=FALSE,IF($B34="","",TOT_CIE_TC(I$28:P$28,$Q$2,OFFSET(Source!$A42,0,0,1,Config!$K$7))),IF($B34="","",Q34*TAXE))</f>
        <v/>
      </c>
      <c r="S34" s="1855" t="str">
        <f ca="1">IF(NAMES!$B$10=FALSE,IF($B34="","",_xludf.FORMULA($B34,$Q$2,OFFSET(Source!$A42,0,0,1,Config!$K$7))),IF($Q$2="AIG Luxembourg",Calcul!ED19,Calcul!ID19))</f>
        <v/>
      </c>
      <c r="T34" s="1855"/>
      <c r="U34" s="1855"/>
    </row>
    <row r="35" spans="1:21" hidden="1">
      <c r="A35" s="11" t="str">
        <f>IF(NAMES!$B$10=TRUE,IF(Cotations!C20=FALSE,"",Cotations!E20),IF(Source!A43="","",YEAR(Source!$B$2)&amp;"-"&amp;YEAR(Source!$C$2)&amp;"!"))</f>
        <v/>
      </c>
      <c r="B35" s="11" t="str">
        <f>IF(NAMES!$B$10=FALSE,IF(Source!A43="","",Source!A43),Cotations!G20)</f>
        <v/>
      </c>
      <c r="C35" s="11" t="str">
        <f>IF(NAMES!$B$10=FALSE,IF($B35="","",Source!B43),IF($B35="","",Crewlist!J20))</f>
        <v/>
      </c>
      <c r="D35" s="11" t="str">
        <f>IF(NAMES!$B$10=FALSE,IF($B35="","",Source!C43),IF($B35="","",Cotations!I20))</f>
        <v/>
      </c>
      <c r="E35" s="11" t="str">
        <f>IF(NAMES!$B$10=FALSE,IF($B35="","",Source!D43),IF($B35="","",Crewlist!G20))</f>
        <v/>
      </c>
      <c r="F35" s="16" t="str">
        <f>IF(NAMES!$B$10=FALSE,IF($B35="","",Source!E43),IF($B35="","",Crewlist!K20))</f>
        <v/>
      </c>
      <c r="G35" s="17" t="str">
        <f>IF(NAMES!$B$10=FALSE,IF($B35="","",Source!F43),Cotations!P20)</f>
        <v/>
      </c>
      <c r="H35" s="17" t="str">
        <f>IF(NAMES!$B$10=FALSE,IF($B35="","",Source!G43),Cotations!N20)</f>
        <v/>
      </c>
      <c r="I35" s="18" t="str">
        <f ca="1">IF(NAMES!$B$10=FALSE,IF($B35="","",CIE_HT(I$28,$Q$2,OFFSET(Source!$A43,0,0,1,Config!$K$7))),IF($B35="","",IF(Calcul!$BC$7=$Q$2,Calcul!BE20,Calcul!BQ20)))</f>
        <v/>
      </c>
      <c r="J35" s="18" t="str">
        <f ca="1">IF(NAMES!$B$10=FALSE,IF($B35="","",CIE_HT(J$28,$Q$2,OFFSET(Source!$A43,0,0,1,Config!$K$7))),IF($B35="","",IF(Calcul!$BC$7=$Q$2,Calcul!BF20+Calcul!BG20+Calcul!BH20,Calcul!BR20)))</f>
        <v/>
      </c>
      <c r="K35" s="18" t="str">
        <f ca="1">IF(NAMES!$B$10=FALSE,IF($B35="","",CIE_HT(K$28,$Q$2,OFFSET(Source!$A43,0,0,1,Config!$K$7))),IF($B35="","",IF(Calcul!$BC$7=$Q$2,Calcul!BI20,Calcul!BS20)))</f>
        <v/>
      </c>
      <c r="L35" s="18" t="str">
        <f ca="1">IF(NAMES!$B$10=FALSE,IF($B35="","",CIE_HT(L$28,$Q$2,OFFSET(Source!$A43,0,0,1,Config!$K$7))),IF($B35="","",IF(Calcul!$BC$7=$Q$2,Calcul!BJ20,Calcul!BT20)))</f>
        <v/>
      </c>
      <c r="M35" s="18" t="str">
        <f ca="1">IF(NAMES!$B$10=FALSE,IF($B35="","",CIE_HT(M$28,$Q$2,OFFSET(Source!$A43,0,0,1,Config!$K$7))),IF($B35="","",IF(Calcul!$BC$7=$Q$2,Calcul!BK20,Calcul!BU20)))</f>
        <v/>
      </c>
      <c r="N35" s="18" t="str">
        <f ca="1">IF(NAMES!$B$10=FALSE,IF($B35="","",CIE_HT(N$28,$Q$2,OFFSET(Source!$A43,0,0,1,Config!$K$7))),IF($B35="","",IF(Calcul!$BC$7=$Q$2,Calcul!BL20,Calcul!BV20)))</f>
        <v/>
      </c>
      <c r="O35" s="18" t="str">
        <f ca="1">IF(NAMES!$B$10=FALSE,IF($B35="","",CIE_HT(O$28,$Q$2,OFFSET(Source!$A43,0,0,1,Config!$K$7))),IF($B35="","",IF(Calcul!$BC$7=$Q$2,Calcul!BM20,Calcul!BW20)))</f>
        <v/>
      </c>
      <c r="P35" s="18" t="str">
        <f ca="1">IF(NAMES!$B$10=FALSE,IF($B35="","",CIE_HT(P$28,$Q$2,OFFSET(Source!$A43,0,0,1,Config!$K$7))),IF($B35="","",IF(Calcul!$BC$7=$Q$2,Calcul!BN20,Calcul!BX20)))</f>
        <v/>
      </c>
      <c r="Q35" s="18" t="str">
        <f t="shared" si="3"/>
        <v/>
      </c>
      <c r="R35" s="18" t="str">
        <f ca="1">IF(NAMES!$B$10=FALSE,IF($B35="","",TOT_CIE_TC(I$28:P$28,$Q$2,OFFSET(Source!$A43,0,0,1,Config!$K$7))),IF($B35="","",Q35*TAXE))</f>
        <v/>
      </c>
      <c r="S35" s="1855" t="str">
        <f ca="1">IF(NAMES!$B$10=FALSE,IF($B35="","",_xludf.FORMULA($B35,$Q$2,OFFSET(Source!$A43,0,0,1,Config!$K$7))),IF($Q$2="AIG Luxembourg",Calcul!ED20,Calcul!ID20))</f>
        <v/>
      </c>
      <c r="T35" s="1855"/>
      <c r="U35" s="1855"/>
    </row>
    <row r="36" spans="1:21" hidden="1">
      <c r="A36" s="11" t="str">
        <f>IF(NAMES!$B$10=TRUE,IF(Cotations!C21=FALSE,"",Cotations!E21),IF(Source!A44="","",YEAR(Source!$B$2)&amp;"-"&amp;YEAR(Source!$C$2)&amp;"!"))</f>
        <v/>
      </c>
      <c r="B36" s="11" t="str">
        <f>IF(NAMES!$B$10=FALSE,IF(Source!A44="","",Source!A44),Cotations!G21)</f>
        <v/>
      </c>
      <c r="C36" s="11" t="str">
        <f>IF(NAMES!$B$10=FALSE,IF($B36="","",Source!B44),IF($B36="","",Crewlist!J21))</f>
        <v/>
      </c>
      <c r="D36" s="11" t="str">
        <f>IF(NAMES!$B$10=FALSE,IF($B36="","",Source!C44),IF($B36="","",Cotations!I21))</f>
        <v/>
      </c>
      <c r="E36" s="11" t="str">
        <f>IF(NAMES!$B$10=FALSE,IF($B36="","",Source!D44),IF($B36="","",Crewlist!G21))</f>
        <v/>
      </c>
      <c r="F36" s="16" t="str">
        <f>IF(NAMES!$B$10=FALSE,IF($B36="","",Source!E44),IF($B36="","",Crewlist!K21))</f>
        <v/>
      </c>
      <c r="G36" s="17" t="str">
        <f>IF(NAMES!$B$10=FALSE,IF($B36="","",Source!F44),Cotations!P21)</f>
        <v/>
      </c>
      <c r="H36" s="17" t="str">
        <f>IF(NAMES!$B$10=FALSE,IF($B36="","",Source!G44),Cotations!N21)</f>
        <v/>
      </c>
      <c r="I36" s="18" t="str">
        <f ca="1">IF(NAMES!$B$10=FALSE,IF($B36="","",CIE_HT(I$28,$Q$2,OFFSET(Source!$A44,0,0,1,Config!$K$7))),IF($B36="","",IF(Calcul!$BC$7=$Q$2,Calcul!BE21,Calcul!BQ21)))</f>
        <v/>
      </c>
      <c r="J36" s="18" t="str">
        <f ca="1">IF(NAMES!$B$10=FALSE,IF($B36="","",CIE_HT(J$28,$Q$2,OFFSET(Source!$A44,0,0,1,Config!$K$7))),IF($B36="","",IF(Calcul!$BC$7=$Q$2,Calcul!BF21+Calcul!BG21+Calcul!BH21,Calcul!BR21)))</f>
        <v/>
      </c>
      <c r="K36" s="18" t="str">
        <f ca="1">IF(NAMES!$B$10=FALSE,IF($B36="","",CIE_HT(K$28,$Q$2,OFFSET(Source!$A44,0,0,1,Config!$K$7))),IF($B36="","",IF(Calcul!$BC$7=$Q$2,Calcul!BI21,Calcul!BS21)))</f>
        <v/>
      </c>
      <c r="L36" s="18" t="str">
        <f ca="1">IF(NAMES!$B$10=FALSE,IF($B36="","",CIE_HT(L$28,$Q$2,OFFSET(Source!$A44,0,0,1,Config!$K$7))),IF($B36="","",IF(Calcul!$BC$7=$Q$2,Calcul!BJ21,Calcul!BT21)))</f>
        <v/>
      </c>
      <c r="M36" s="18" t="str">
        <f ca="1">IF(NAMES!$B$10=FALSE,IF($B36="","",CIE_HT(M$28,$Q$2,OFFSET(Source!$A44,0,0,1,Config!$K$7))),IF($B36="","",IF(Calcul!$BC$7=$Q$2,Calcul!BK21,Calcul!BU21)))</f>
        <v/>
      </c>
      <c r="N36" s="18" t="str">
        <f ca="1">IF(NAMES!$B$10=FALSE,IF($B36="","",CIE_HT(N$28,$Q$2,OFFSET(Source!$A44,0,0,1,Config!$K$7))),IF($B36="","",IF(Calcul!$BC$7=$Q$2,Calcul!BL21,Calcul!BV21)))</f>
        <v/>
      </c>
      <c r="O36" s="18" t="str">
        <f ca="1">IF(NAMES!$B$10=FALSE,IF($B36="","",CIE_HT(O$28,$Q$2,OFFSET(Source!$A44,0,0,1,Config!$K$7))),IF($B36="","",IF(Calcul!$BC$7=$Q$2,Calcul!BM21,Calcul!BW21)))</f>
        <v/>
      </c>
      <c r="P36" s="18" t="str">
        <f ca="1">IF(NAMES!$B$10=FALSE,IF($B36="","",CIE_HT(P$28,$Q$2,OFFSET(Source!$A44,0,0,1,Config!$K$7))),IF($B36="","",IF(Calcul!$BC$7=$Q$2,Calcul!BN21,Calcul!BX21)))</f>
        <v/>
      </c>
      <c r="Q36" s="18" t="str">
        <f t="shared" si="3"/>
        <v/>
      </c>
      <c r="R36" s="18" t="str">
        <f ca="1">IF(NAMES!$B$10=FALSE,IF($B36="","",TOT_CIE_TC(I$28:P$28,$Q$2,OFFSET(Source!$A44,0,0,1,Config!$K$7))),IF($B36="","",Q36*TAXE))</f>
        <v/>
      </c>
      <c r="S36" s="1855" t="str">
        <f ca="1">IF(NAMES!$B$10=FALSE,IF($B36="","",_xludf.FORMULA($B36,$Q$2,OFFSET(Source!$A44,0,0,1,Config!$K$7))),IF($Q$2="AIG Luxembourg",Calcul!ED21,Calcul!ID21))</f>
        <v/>
      </c>
      <c r="T36" s="1855"/>
      <c r="U36" s="1855"/>
    </row>
    <row r="37" spans="1:21" ht="12.75" hidden="1" customHeight="1">
      <c r="A37" s="11" t="str">
        <f>IF(NAMES!$B$10=TRUE,IF(Cotations!C22=FALSE,"",Cotations!E22),IF(Source!A45="","",YEAR(Source!$B$2)&amp;"-"&amp;YEAR(Source!$C$2)&amp;"!"))</f>
        <v/>
      </c>
      <c r="B37" s="11" t="str">
        <f>IF(NAMES!$B$10=FALSE,IF(Source!A45="","",Source!A45),Cotations!G22)</f>
        <v/>
      </c>
      <c r="C37" s="11" t="str">
        <f>IF(NAMES!$B$10=FALSE,IF($B37="","",Source!B45),IF($B37="","",Crewlist!J22))</f>
        <v/>
      </c>
      <c r="D37" s="11" t="str">
        <f>IF(NAMES!$B$10=FALSE,IF($B37="","",Source!C45),IF($B37="","",Cotations!I22))</f>
        <v/>
      </c>
      <c r="E37" s="11" t="str">
        <f>IF(NAMES!$B$10=FALSE,IF($B37="","",Source!D45),IF($B37="","",Crewlist!G22))</f>
        <v/>
      </c>
      <c r="F37" s="16" t="str">
        <f>IF(NAMES!$B$10=FALSE,IF($B37="","",Source!E45),IF($B37="","",Crewlist!K22))</f>
        <v/>
      </c>
      <c r="G37" s="17" t="str">
        <f>IF(NAMES!$B$10=FALSE,IF($B37="","",Source!F45),Cotations!P22)</f>
        <v/>
      </c>
      <c r="H37" s="17" t="str">
        <f>IF(NAMES!$B$10=FALSE,IF($B37="","",Source!G45),Cotations!N22)</f>
        <v/>
      </c>
      <c r="I37" s="18" t="str">
        <f ca="1">IF(NAMES!$B$10=FALSE,IF($B37="","",CIE_HT(I$28,$Q$2,OFFSET(Source!$A45,0,0,1,Config!$K$7))),IF($B37="","",IF(Calcul!$BC$7=$Q$2,Calcul!BE22,Calcul!BQ22)))</f>
        <v/>
      </c>
      <c r="J37" s="18" t="str">
        <f ca="1">IF(NAMES!$B$10=FALSE,IF($B37="","",CIE_HT(J$28,$Q$2,OFFSET(Source!$A45,0,0,1,Config!$K$7))),IF($B37="","",IF(Calcul!$BC$7=$Q$2,Calcul!BF22+Calcul!BG22+Calcul!BH22,Calcul!BR22)))</f>
        <v/>
      </c>
      <c r="K37" s="18" t="str">
        <f ca="1">IF(NAMES!$B$10=FALSE,IF($B37="","",CIE_HT(K$28,$Q$2,OFFSET(Source!$A45,0,0,1,Config!$K$7))),IF($B37="","",IF(Calcul!$BC$7=$Q$2,Calcul!BI22,Calcul!BS22)))</f>
        <v/>
      </c>
      <c r="L37" s="18" t="str">
        <f ca="1">IF(NAMES!$B$10=FALSE,IF($B37="","",CIE_HT(L$28,$Q$2,OFFSET(Source!$A45,0,0,1,Config!$K$7))),IF($B37="","",IF(Calcul!$BC$7=$Q$2,Calcul!BJ22,Calcul!BT22)))</f>
        <v/>
      </c>
      <c r="M37" s="18" t="str">
        <f ca="1">IF(NAMES!$B$10=FALSE,IF($B37="","",CIE_HT(M$28,$Q$2,OFFSET(Source!$A45,0,0,1,Config!$K$7))),IF($B37="","",IF(Calcul!$BC$7=$Q$2,Calcul!BK22,Calcul!BU22)))</f>
        <v/>
      </c>
      <c r="N37" s="18" t="str">
        <f ca="1">IF(NAMES!$B$10=FALSE,IF($B37="","",CIE_HT(N$28,$Q$2,OFFSET(Source!$A45,0,0,1,Config!$K$7))),IF($B37="","",IF(Calcul!$BC$7=$Q$2,Calcul!BL22,Calcul!BV22)))</f>
        <v/>
      </c>
      <c r="O37" s="18" t="str">
        <f ca="1">IF(NAMES!$B$10=FALSE,IF($B37="","",CIE_HT(O$28,$Q$2,OFFSET(Source!$A45,0,0,1,Config!$K$7))),IF($B37="","",IF(Calcul!$BC$7=$Q$2,Calcul!BM22,Calcul!BW22)))</f>
        <v/>
      </c>
      <c r="P37" s="18" t="str">
        <f ca="1">IF(NAMES!$B$10=FALSE,IF($B37="","",CIE_HT(P$28,$Q$2,OFFSET(Source!$A45,0,0,1,Config!$K$7))),IF($B37="","",IF(Calcul!$BC$7=$Q$2,Calcul!BN22,Calcul!BX22)))</f>
        <v/>
      </c>
      <c r="Q37" s="18" t="str">
        <f t="shared" si="3"/>
        <v/>
      </c>
      <c r="R37" s="18" t="str">
        <f ca="1">IF(NAMES!$B$10=FALSE,IF($B37="","",TOT_CIE_TC(I$28:P$28,$Q$2,OFFSET(Source!$A45,0,0,1,Config!$K$7))),IF($B37="","",Q37*TAXE))</f>
        <v/>
      </c>
      <c r="S37" s="1855" t="str">
        <f ca="1">IF(NAMES!$B$10=FALSE,IF($B37="","",_xludf.FORMULA($B37,$Q$2,OFFSET(Source!$A45,0,0,1,Config!$K$7))),IF($Q$2="AIG Luxembourg",Calcul!ED22,Calcul!ID22))</f>
        <v/>
      </c>
      <c r="T37" s="1855"/>
      <c r="U37" s="1855"/>
    </row>
    <row r="38" spans="1:21">
      <c r="A38" s="11" t="str">
        <f>IF(NAMES!$B$10=TRUE,IF(Cotations!C23=FALSE,"",Cotations!E23),IF(Source!A46="","",YEAR(Source!$B$2)&amp;"-"&amp;YEAR(Source!$C$2)&amp;"!"))</f>
        <v>2016-2017!</v>
      </c>
      <c r="B38" s="11">
        <f>IF(NAMES!$B$10=FALSE,IF(Source!A46="","",Source!A46),Cotations!G23)</f>
        <v>131262</v>
      </c>
      <c r="C38" s="11" t="str">
        <f>IF(NAMES!$B$10=FALSE,IF($B38="","",Source!B46),IF($B38="","",Crewlist!J23))</f>
        <v>female</v>
      </c>
      <c r="D38" s="11" t="str">
        <f>IF(NAMES!$B$10=FALSE,IF($B38="","",Source!C46),IF($B38="","",Cotations!I23))</f>
        <v>BERTHE</v>
      </c>
      <c r="E38" s="11" t="str">
        <f>IF(NAMES!$B$10=FALSE,IF($B38="","",Source!D46),IF($B38="","",Crewlist!G23))</f>
        <v>MURIEL</v>
      </c>
      <c r="F38" s="16">
        <f>IF(NAMES!$B$10=FALSE,IF($B38="","",Source!E46),IF($B38="","",Crewlist!K23))</f>
        <v>22440</v>
      </c>
      <c r="G38" s="17">
        <f>IF(NAMES!$B$10=FALSE,IF($B38="","",Source!F46),Cotations!P23)</f>
        <v>365</v>
      </c>
      <c r="H38" s="17">
        <f>IF(NAMES!$B$10=FALSE,IF($B38="","",Source!G46),Cotations!N23)</f>
        <v>12</v>
      </c>
      <c r="I38" s="18">
        <f ca="1">IF(NAMES!$B$10=FALSE,IF($B38="","",CIE_HT(I$28,$Q$2,OFFSET(Source!$A46,0,0,1,Config!$K$7))),IF($B38="","",IF(Calcul!$BC$7=$Q$2,Calcul!BE23,Calcul!BQ23)))</f>
        <v>1165.3846153846152</v>
      </c>
      <c r="J38" s="18">
        <f ca="1">IF(NAMES!$B$10=FALSE,IF($B38="","",CIE_HT(J$28,$Q$2,OFFSET(Source!$A46,0,0,1,Config!$K$7))),IF($B38="","",IF(Calcul!$BC$7=$Q$2,Calcul!BF23+Calcul!BG23+Calcul!BH23,Calcul!BR23)))</f>
        <v>190.38461538461539</v>
      </c>
      <c r="K38" s="18">
        <f ca="1">IF(NAMES!$B$10=FALSE,IF($B38="","",CIE_HT(K$28,$Q$2,OFFSET(Source!$A46,0,0,1,Config!$K$7))),IF($B38="","",IF(Calcul!$BC$7=$Q$2,Calcul!BI23,Calcul!BS23)))</f>
        <v>0</v>
      </c>
      <c r="L38" s="18">
        <f ca="1">IF(NAMES!$B$10=FALSE,IF($B38="","",CIE_HT(L$28,$Q$2,OFFSET(Source!$A46,0,0,1,Config!$K$7))),IF($B38="","",IF(Calcul!$BC$7=$Q$2,Calcul!BJ23,Calcul!BT23)))</f>
        <v>0</v>
      </c>
      <c r="M38" s="18">
        <f ca="1">IF(NAMES!$B$10=FALSE,IF($B38="","",CIE_HT(M$28,$Q$2,OFFSET(Source!$A46,0,0,1,Config!$K$7))),IF($B38="","",IF(Calcul!$BC$7=$Q$2,Calcul!BK23,Calcul!BU23)))</f>
        <v>0</v>
      </c>
      <c r="N38" s="18">
        <f ca="1">IF(NAMES!$B$10=FALSE,IF($B38="","",CIE_HT(N$28,$Q$2,OFFSET(Source!$A46,0,0,1,Config!$K$7))),IF($B38="","",IF(Calcul!$BC$7=$Q$2,Calcul!BL23,Calcul!BV23)))</f>
        <v>0</v>
      </c>
      <c r="O38" s="18">
        <f ca="1">IF(NAMES!$B$10=FALSE,IF($B38="","",CIE_HT(O$28,$Q$2,OFFSET(Source!$A46,0,0,1,Config!$K$7))),IF($B38="","",IF(Calcul!$BC$7=$Q$2,Calcul!BM23,Calcul!BW23)))</f>
        <v>0</v>
      </c>
      <c r="P38" s="18">
        <f ca="1">IF(NAMES!$B$10=FALSE,IF($B38="","",CIE_HT(P$28,$Q$2,OFFSET(Source!$A46,0,0,1,Config!$K$7))),IF($B38="","",IF(Calcul!$BC$7=$Q$2,Calcul!BN23,Calcul!BX23)))</f>
        <v>0</v>
      </c>
      <c r="Q38" s="18">
        <f t="shared" ca="1" si="3"/>
        <v>1355.7692307692307</v>
      </c>
      <c r="R38" s="18">
        <f ca="1">IF(NAMES!$B$10=FALSE,IF($B38="","",TOT_CIE_TC(I$28:P$28,$Q$2,OFFSET(Source!$A46,0,0,1,Config!$K$7))),IF($B38="","",Q38*TAXE))</f>
        <v>1410</v>
      </c>
      <c r="S38" s="1855" t="str">
        <f ca="1">IF(NAMES!$B$10=FALSE,IF($B38="","",_xludf.FORMULA($B38,$Q$2,OFFSET(Source!$A46,0,0,1,Config!$K$7))),IF($Q$2="AIG Luxembourg",Calcul!ED23,Calcul!ID23))</f>
        <v>Perfect</v>
      </c>
      <c r="T38" s="1855"/>
      <c r="U38" s="1855"/>
    </row>
    <row r="39" spans="1:21" ht="24" customHeight="1">
      <c r="A39" s="11" t="str">
        <f>IF(NAMES!$B$10=TRUE,IF(Cotations!C24=FALSE,"",Cotations!E24),IF(Source!A47="","",YEAR(Source!$B$2)&amp;"-"&amp;YEAR(Source!$C$2)&amp;"!"))</f>
        <v>2016-2017!</v>
      </c>
      <c r="B39" s="11">
        <f>IF(NAMES!$B$10=FALSE,IF(Source!A47="","",Source!A47),Cotations!G24)</f>
        <v>130534</v>
      </c>
      <c r="C39" s="11" t="str">
        <f>IF(NAMES!$B$10=FALSE,IF($B39="","",Source!B47),IF($B39="","",Crewlist!J24))</f>
        <v>male</v>
      </c>
      <c r="D39" s="11" t="str">
        <f>IF(NAMES!$B$10=FALSE,IF($B39="","",Source!C47),IF($B39="","",Cotations!I24))</f>
        <v>MATTER</v>
      </c>
      <c r="E39" s="11" t="str">
        <f>IF(NAMES!$B$10=FALSE,IF($B39="","",Source!D47),IF($B39="","",Crewlist!G24))</f>
        <v>Arnaud</v>
      </c>
      <c r="F39" s="16">
        <f>IF(NAMES!$B$10=FALSE,IF($B39="","",Source!E47),IF($B39="","",Crewlist!K24))</f>
        <v>30953</v>
      </c>
      <c r="G39" s="17">
        <f>IF(NAMES!$B$10=FALSE,IF($B39="","",Source!F47),Cotations!P24)</f>
        <v>365</v>
      </c>
      <c r="H39" s="17">
        <f>IF(NAMES!$B$10=FALSE,IF($B39="","",Source!G47),Cotations!N24)</f>
        <v>12</v>
      </c>
      <c r="I39" s="18">
        <f ca="1">IF(NAMES!$B$10=FALSE,IF($B39="","",CIE_HT(I$28,$Q$2,OFFSET(Source!$A47,0,0,1,Config!$K$7))),IF($B39="","",IF(Calcul!$BC$7=$Q$2,Calcul!BE24,Calcul!BQ24)))</f>
        <v>1165.3846153846152</v>
      </c>
      <c r="J39" s="18">
        <f ca="1">IF(NAMES!$B$10=FALSE,IF($B39="","",CIE_HT(J$28,$Q$2,OFFSET(Source!$A47,0,0,1,Config!$K$7))),IF($B39="","",IF(Calcul!$BC$7=$Q$2,Calcul!BF24+Calcul!BG24+Calcul!BH24,Calcul!BR24)))</f>
        <v>190.38461538461539</v>
      </c>
      <c r="K39" s="18">
        <f ca="1">IF(NAMES!$B$10=FALSE,IF($B39="","",CIE_HT(K$28,$Q$2,OFFSET(Source!$A47,0,0,1,Config!$K$7))),IF($B39="","",IF(Calcul!$BC$7=$Q$2,Calcul!BI24,Calcul!BS24)))</f>
        <v>0</v>
      </c>
      <c r="L39" s="18">
        <f ca="1">IF(NAMES!$B$10=FALSE,IF($B39="","",CIE_HT(L$28,$Q$2,OFFSET(Source!$A47,0,0,1,Config!$K$7))),IF($B39="","",IF(Calcul!$BC$7=$Q$2,Calcul!BJ24,Calcul!BT24)))</f>
        <v>0</v>
      </c>
      <c r="M39" s="18">
        <f ca="1">IF(NAMES!$B$10=FALSE,IF($B39="","",CIE_HT(M$28,$Q$2,OFFSET(Source!$A47,0,0,1,Config!$K$7))),IF($B39="","",IF(Calcul!$BC$7=$Q$2,Calcul!BK24,Calcul!BU24)))</f>
        <v>0</v>
      </c>
      <c r="N39" s="18">
        <f ca="1">IF(NAMES!$B$10=FALSE,IF($B39="","",CIE_HT(N$28,$Q$2,OFFSET(Source!$A47,0,0,1,Config!$K$7))),IF($B39="","",IF(Calcul!$BC$7=$Q$2,Calcul!BL24,Calcul!BV24)))</f>
        <v>0</v>
      </c>
      <c r="O39" s="18">
        <f ca="1">IF(NAMES!$B$10=FALSE,IF($B39="","",CIE_HT(O$28,$Q$2,OFFSET(Source!$A47,0,0,1,Config!$K$7))),IF($B39="","",IF(Calcul!$BC$7=$Q$2,Calcul!BM24,Calcul!BW24)))</f>
        <v>0</v>
      </c>
      <c r="P39" s="18">
        <f ca="1">IF(NAMES!$B$10=FALSE,IF($B39="","",CIE_HT(P$28,$Q$2,OFFSET(Source!$A47,0,0,1,Config!$K$7))),IF($B39="","",IF(Calcul!$BC$7=$Q$2,Calcul!BN24,Calcul!BX24)))</f>
        <v>0</v>
      </c>
      <c r="Q39" s="18">
        <f t="shared" ca="1" si="3"/>
        <v>1355.7692307692307</v>
      </c>
      <c r="R39" s="18">
        <f ca="1">IF(NAMES!$B$10=FALSE,IF($B39="","",TOT_CIE_TC(I$28:P$28,$Q$2,OFFSET(Source!$A47,0,0,1,Config!$K$7))),IF($B39="","",Q39*TAXE))</f>
        <v>1410</v>
      </c>
      <c r="S39" s="1855" t="str">
        <f ca="1">IF(NAMES!$B$10=FALSE,IF($B39="","",_xludf.FORMULA($B39,$Q$2,OFFSET(Source!$A47,0,0,1,Config!$K$7))),IF($Q$2="AIG Luxembourg",Calcul!ED24,Calcul!ID24))</f>
        <v>Perfect</v>
      </c>
      <c r="T39" s="1855"/>
      <c r="U39" s="1855"/>
    </row>
    <row r="40" spans="1:21" hidden="1">
      <c r="A40" s="11" t="str">
        <f>IF(NAMES!$B$10=TRUE,IF(Cotations!C25=FALSE,"",Cotations!E25),IF(Source!A48="","",YEAR(Source!$B$2)&amp;"-"&amp;YEAR(Source!$C$2)&amp;"!"))</f>
        <v/>
      </c>
      <c r="B40" s="11" t="str">
        <f>IF(NAMES!$B$10=FALSE,IF(Source!A48="","",Source!A48),Cotations!G25)</f>
        <v/>
      </c>
      <c r="C40" s="11" t="str">
        <f>IF(NAMES!$B$10=FALSE,IF($B40="","",Source!B48),IF($B40="","",Crewlist!J25))</f>
        <v/>
      </c>
      <c r="D40" s="11" t="str">
        <f>IF(NAMES!$B$10=FALSE,IF($B40="","",Source!C48),IF($B40="","",Cotations!I25))</f>
        <v/>
      </c>
      <c r="E40" s="11" t="str">
        <f>IF(NAMES!$B$10=FALSE,IF($B40="","",Source!D48),IF($B40="","",Crewlist!G25))</f>
        <v/>
      </c>
      <c r="F40" s="16" t="str">
        <f>IF(NAMES!$B$10=FALSE,IF($B40="","",Source!E48),IF($B40="","",Crewlist!K25))</f>
        <v/>
      </c>
      <c r="G40" s="17" t="str">
        <f>IF(NAMES!$B$10=FALSE,IF($B40="","",Source!F48),Cotations!P25)</f>
        <v/>
      </c>
      <c r="H40" s="17" t="str">
        <f>IF(NAMES!$B$10=FALSE,IF($B40="","",Source!G48),Cotations!N25)</f>
        <v/>
      </c>
      <c r="I40" s="18" t="str">
        <f ca="1">IF(NAMES!$B$10=FALSE,IF($B40="","",CIE_HT(I$28,$Q$2,OFFSET(Source!$A48,0,0,1,Config!$K$7))),IF($B40="","",IF(Calcul!$BC$7=$Q$2,Calcul!BE25,Calcul!BQ25)))</f>
        <v/>
      </c>
      <c r="J40" s="18" t="str">
        <f ca="1">IF(NAMES!$B$10=FALSE,IF($B40="","",CIE_HT(J$28,$Q$2,OFFSET(Source!$A48,0,0,1,Config!$K$7))),IF($B40="","",IF(Calcul!$BC$7=$Q$2,Calcul!BF25+Calcul!BG25+Calcul!BH25,Calcul!BR25)))</f>
        <v/>
      </c>
      <c r="K40" s="18" t="str">
        <f ca="1">IF(NAMES!$B$10=FALSE,IF($B40="","",CIE_HT(K$28,$Q$2,OFFSET(Source!$A48,0,0,1,Config!$K$7))),IF($B40="","",IF(Calcul!$BC$7=$Q$2,Calcul!BI25,Calcul!BS25)))</f>
        <v/>
      </c>
      <c r="L40" s="18" t="str">
        <f ca="1">IF(NAMES!$B$10=FALSE,IF($B40="","",CIE_HT(L$28,$Q$2,OFFSET(Source!$A48,0,0,1,Config!$K$7))),IF($B40="","",IF(Calcul!$BC$7=$Q$2,Calcul!BJ25,Calcul!BT25)))</f>
        <v/>
      </c>
      <c r="M40" s="18" t="str">
        <f ca="1">IF(NAMES!$B$10=FALSE,IF($B40="","",CIE_HT(M$28,$Q$2,OFFSET(Source!$A48,0,0,1,Config!$K$7))),IF($B40="","",IF(Calcul!$BC$7=$Q$2,Calcul!BK25,Calcul!BU25)))</f>
        <v/>
      </c>
      <c r="N40" s="18" t="str">
        <f ca="1">IF(NAMES!$B$10=FALSE,IF($B40="","",CIE_HT(N$28,$Q$2,OFFSET(Source!$A48,0,0,1,Config!$K$7))),IF($B40="","",IF(Calcul!$BC$7=$Q$2,Calcul!BL25,Calcul!BV25)))</f>
        <v/>
      </c>
      <c r="O40" s="18" t="str">
        <f ca="1">IF(NAMES!$B$10=FALSE,IF($B40="","",CIE_HT(O$28,$Q$2,OFFSET(Source!$A48,0,0,1,Config!$K$7))),IF($B40="","",IF(Calcul!$BC$7=$Q$2,Calcul!BM25,Calcul!BW25)))</f>
        <v/>
      </c>
      <c r="P40" s="18" t="str">
        <f ca="1">IF(NAMES!$B$10=FALSE,IF($B40="","",CIE_HT(P$28,$Q$2,OFFSET(Source!$A48,0,0,1,Config!$K$7))),IF($B40="","",IF(Calcul!$BC$7=$Q$2,Calcul!BN25,Calcul!BX25)))</f>
        <v/>
      </c>
      <c r="Q40" s="18" t="str">
        <f t="shared" si="3"/>
        <v/>
      </c>
      <c r="R40" s="18" t="str">
        <f ca="1">IF(NAMES!$B$10=FALSE,IF($B40="","",TOT_CIE_TC(I$28:P$28,$Q$2,OFFSET(Source!$A48,0,0,1,Config!$K$7))),IF($B40="","",Q40*TAXE))</f>
        <v/>
      </c>
      <c r="S40" s="1855" t="str">
        <f ca="1">IF(NAMES!$B$10=FALSE,IF($B40="","",_xludf.FORMULA($B40,$Q$2,OFFSET(Source!$A48,0,0,1,Config!$K$7))),IF($Q$2="AIG Luxembourg",Calcul!ED25,Calcul!ID25))</f>
        <v/>
      </c>
      <c r="T40" s="1855"/>
      <c r="U40" s="1855"/>
    </row>
    <row r="41" spans="1:21" hidden="1">
      <c r="A41" s="11" t="str">
        <f>IF(NAMES!$B$10=TRUE,IF(Cotations!C26=FALSE,"",Cotations!E26),IF(Source!A49="","",YEAR(Source!$B$2)&amp;"-"&amp;YEAR(Source!$C$2)&amp;"!"))</f>
        <v/>
      </c>
      <c r="B41" s="11" t="str">
        <f>IF(NAMES!$B$10=FALSE,IF(Source!A49="","",Source!A49),Cotations!G26)</f>
        <v/>
      </c>
      <c r="C41" s="11" t="str">
        <f>IF(NAMES!$B$10=FALSE,IF($B41="","",Source!B49),IF($B41="","",Crewlist!J26))</f>
        <v/>
      </c>
      <c r="D41" s="11" t="str">
        <f>IF(NAMES!$B$10=FALSE,IF($B41="","",Source!C49),IF($B41="","",Cotations!I26))</f>
        <v/>
      </c>
      <c r="E41" s="11" t="str">
        <f>IF(NAMES!$B$10=FALSE,IF($B41="","",Source!D49),IF($B41="","",Crewlist!G26))</f>
        <v/>
      </c>
      <c r="F41" s="16" t="str">
        <f>IF(NAMES!$B$10=FALSE,IF($B41="","",Source!E49),IF($B41="","",Crewlist!K26))</f>
        <v/>
      </c>
      <c r="G41" s="17" t="str">
        <f>IF(NAMES!$B$10=FALSE,IF($B41="","",Source!F49),Cotations!P26)</f>
        <v/>
      </c>
      <c r="H41" s="17" t="str">
        <f>IF(NAMES!$B$10=FALSE,IF($B41="","",Source!G49),Cotations!N26)</f>
        <v/>
      </c>
      <c r="I41" s="18" t="str">
        <f ca="1">IF(NAMES!$B$10=FALSE,IF($B41="","",CIE_HT(I$28,$Q$2,OFFSET(Source!$A49,0,0,1,Config!$K$7))),IF($B41="","",IF(Calcul!$BC$7=$Q$2,Calcul!BE26,Calcul!BQ26)))</f>
        <v/>
      </c>
      <c r="J41" s="18" t="str">
        <f ca="1">IF(NAMES!$B$10=FALSE,IF($B41="","",CIE_HT(J$28,$Q$2,OFFSET(Source!$A49,0,0,1,Config!$K$7))),IF($B41="","",IF(Calcul!$BC$7=$Q$2,Calcul!BF26+Calcul!BG26+Calcul!BH26,Calcul!BR26)))</f>
        <v/>
      </c>
      <c r="K41" s="18" t="str">
        <f ca="1">IF(NAMES!$B$10=FALSE,IF($B41="","",CIE_HT(K$28,$Q$2,OFFSET(Source!$A49,0,0,1,Config!$K$7))),IF($B41="","",IF(Calcul!$BC$7=$Q$2,Calcul!BI26,Calcul!BS26)))</f>
        <v/>
      </c>
      <c r="L41" s="18" t="str">
        <f ca="1">IF(NAMES!$B$10=FALSE,IF($B41="","",CIE_HT(L$28,$Q$2,OFFSET(Source!$A49,0,0,1,Config!$K$7))),IF($B41="","",IF(Calcul!$BC$7=$Q$2,Calcul!BJ26,Calcul!BT26)))</f>
        <v/>
      </c>
      <c r="M41" s="18" t="str">
        <f ca="1">IF(NAMES!$B$10=FALSE,IF($B41="","",CIE_HT(M$28,$Q$2,OFFSET(Source!$A49,0,0,1,Config!$K$7))),IF($B41="","",IF(Calcul!$BC$7=$Q$2,Calcul!BK26,Calcul!BU26)))</f>
        <v/>
      </c>
      <c r="N41" s="18" t="str">
        <f ca="1">IF(NAMES!$B$10=FALSE,IF($B41="","",CIE_HT(N$28,$Q$2,OFFSET(Source!$A49,0,0,1,Config!$K$7))),IF($B41="","",IF(Calcul!$BC$7=$Q$2,Calcul!BL26,Calcul!BV26)))</f>
        <v/>
      </c>
      <c r="O41" s="18" t="str">
        <f ca="1">IF(NAMES!$B$10=FALSE,IF($B41="","",CIE_HT(O$28,$Q$2,OFFSET(Source!$A49,0,0,1,Config!$K$7))),IF($B41="","",IF(Calcul!$BC$7=$Q$2,Calcul!BM26,Calcul!BW26)))</f>
        <v/>
      </c>
      <c r="P41" s="18" t="str">
        <f ca="1">IF(NAMES!$B$10=FALSE,IF($B41="","",CIE_HT(P$28,$Q$2,OFFSET(Source!$A49,0,0,1,Config!$K$7))),IF($B41="","",IF(Calcul!$BC$7=$Q$2,Calcul!BN26,Calcul!BX26)))</f>
        <v/>
      </c>
      <c r="Q41" s="18" t="str">
        <f t="shared" si="3"/>
        <v/>
      </c>
      <c r="R41" s="18" t="str">
        <f ca="1">IF(NAMES!$B$10=FALSE,IF($B41="","",TOT_CIE_TC(I$28:P$28,$Q$2,OFFSET(Source!$A49,0,0,1,Config!$K$7))),IF($B41="","",Q41*TAXE))</f>
        <v/>
      </c>
      <c r="S41" s="1855" t="str">
        <f ca="1">IF(NAMES!$B$10=FALSE,IF($B41="","",_xludf.FORMULA($B41,$Q$2,OFFSET(Source!$A49,0,0,1,Config!$K$7))),IF($Q$2="AIG Luxembourg",Calcul!ED26,Calcul!ID26))</f>
        <v/>
      </c>
      <c r="T41" s="1855"/>
      <c r="U41" s="1855"/>
    </row>
    <row r="42" spans="1:21" ht="24" hidden="1" customHeight="1">
      <c r="A42" s="11" t="str">
        <f>IF(NAMES!$B$10=TRUE,IF(Cotations!C27=FALSE,"",Cotations!E27),IF(Source!A50="","",YEAR(Source!$B$2)&amp;"-"&amp;YEAR(Source!$C$2)&amp;"!"))</f>
        <v/>
      </c>
      <c r="B42" s="11" t="str">
        <f>IF(NAMES!$B$10=FALSE,IF(Source!A50="","",Source!A50),Cotations!G27)</f>
        <v/>
      </c>
      <c r="C42" s="11" t="str">
        <f>IF(NAMES!$B$10=FALSE,IF($B42="","",Source!B50),IF($B42="","",Crewlist!J27))</f>
        <v/>
      </c>
      <c r="D42" s="11" t="str">
        <f>IF(NAMES!$B$10=FALSE,IF($B42="","",Source!C50),IF($B42="","",Cotations!I27))</f>
        <v/>
      </c>
      <c r="E42" s="11" t="str">
        <f>IF(NAMES!$B$10=FALSE,IF($B42="","",Source!D50),IF($B42="","",Crewlist!G27))</f>
        <v/>
      </c>
      <c r="F42" s="16" t="str">
        <f>IF(NAMES!$B$10=FALSE,IF($B42="","",Source!E50),IF($B42="","",Crewlist!K27))</f>
        <v/>
      </c>
      <c r="G42" s="17" t="str">
        <f>IF(NAMES!$B$10=FALSE,IF($B42="","",Source!F50),Cotations!P27)</f>
        <v/>
      </c>
      <c r="H42" s="17" t="str">
        <f>IF(NAMES!$B$10=FALSE,IF($B42="","",Source!G50),Cotations!N27)</f>
        <v/>
      </c>
      <c r="I42" s="18" t="str">
        <f ca="1">IF(NAMES!$B$10=FALSE,IF($B42="","",CIE_HT(I$28,$Q$2,OFFSET(Source!$A50,0,0,1,Config!$K$7))),IF($B42="","",IF(Calcul!$BC$7=$Q$2,Calcul!BE27,Calcul!BQ27)))</f>
        <v/>
      </c>
      <c r="J42" s="18" t="str">
        <f ca="1">IF(NAMES!$B$10=FALSE,IF($B42="","",CIE_HT(J$28,$Q$2,OFFSET(Source!$A50,0,0,1,Config!$K$7))),IF($B42="","",IF(Calcul!$BC$7=$Q$2,Calcul!BF27+Calcul!BG27+Calcul!BH27,Calcul!BR27)))</f>
        <v/>
      </c>
      <c r="K42" s="18" t="str">
        <f ca="1">IF(NAMES!$B$10=FALSE,IF($B42="","",CIE_HT(K$28,$Q$2,OFFSET(Source!$A50,0,0,1,Config!$K$7))),IF($B42="","",IF(Calcul!$BC$7=$Q$2,Calcul!BI27,Calcul!BS27)))</f>
        <v/>
      </c>
      <c r="L42" s="18" t="str">
        <f ca="1">IF(NAMES!$B$10=FALSE,IF($B42="","",CIE_HT(L$28,$Q$2,OFFSET(Source!$A50,0,0,1,Config!$K$7))),IF($B42="","",IF(Calcul!$BC$7=$Q$2,Calcul!BJ27,Calcul!BT27)))</f>
        <v/>
      </c>
      <c r="M42" s="18" t="str">
        <f ca="1">IF(NAMES!$B$10=FALSE,IF($B42="","",CIE_HT(M$28,$Q$2,OFFSET(Source!$A50,0,0,1,Config!$K$7))),IF($B42="","",IF(Calcul!$BC$7=$Q$2,Calcul!BK27,Calcul!BU27)))</f>
        <v/>
      </c>
      <c r="N42" s="18" t="str">
        <f ca="1">IF(NAMES!$B$10=FALSE,IF($B42="","",CIE_HT(N$28,$Q$2,OFFSET(Source!$A50,0,0,1,Config!$K$7))),IF($B42="","",IF(Calcul!$BC$7=$Q$2,Calcul!BL27,Calcul!BV27)))</f>
        <v/>
      </c>
      <c r="O42" s="18" t="str">
        <f ca="1">IF(NAMES!$B$10=FALSE,IF($B42="","",CIE_HT(O$28,$Q$2,OFFSET(Source!$A50,0,0,1,Config!$K$7))),IF($B42="","",IF(Calcul!$BC$7=$Q$2,Calcul!BM27,Calcul!BW27)))</f>
        <v/>
      </c>
      <c r="P42" s="18" t="str">
        <f ca="1">IF(NAMES!$B$10=FALSE,IF($B42="","",CIE_HT(P$28,$Q$2,OFFSET(Source!$A50,0,0,1,Config!$K$7))),IF($B42="","",IF(Calcul!$BC$7=$Q$2,Calcul!BN27,Calcul!BX27)))</f>
        <v/>
      </c>
      <c r="Q42" s="18" t="str">
        <f t="shared" si="3"/>
        <v/>
      </c>
      <c r="R42" s="18" t="str">
        <f ca="1">IF(NAMES!$B$10=FALSE,IF($B42="","",TOT_CIE_TC(I$28:P$28,$Q$2,OFFSET(Source!$A50,0,0,1,Config!$K$7))),IF($B42="","",Q42*TAXE))</f>
        <v/>
      </c>
      <c r="S42" s="1855" t="str">
        <f ca="1">IF(NAMES!$B$10=FALSE,IF($B42="","",_xludf.FORMULA($B42,$Q$2,OFFSET(Source!$A50,0,0,1,Config!$K$7))),IF($Q$2="AIG Luxembourg",Calcul!ED27,Calcul!ID27))</f>
        <v/>
      </c>
      <c r="T42" s="1855"/>
      <c r="U42" s="1855"/>
    </row>
    <row r="43" spans="1:21" ht="12.75" hidden="1" customHeight="1">
      <c r="A43" s="11" t="str">
        <f>IF(NAMES!$B$10=TRUE,IF(Cotations!C28=FALSE,"",Cotations!E28),IF(Source!A51="","",YEAR(Source!$B$2)&amp;"-"&amp;YEAR(Source!$C$2)&amp;"!"))</f>
        <v/>
      </c>
      <c r="B43" s="11" t="str">
        <f>IF(NAMES!$B$10=FALSE,IF(Source!A51="","",Source!A51),Cotations!G28)</f>
        <v/>
      </c>
      <c r="C43" s="11" t="str">
        <f>IF(NAMES!$B$10=FALSE,IF($B43="","",Source!B51),IF($B43="","",Crewlist!J28))</f>
        <v/>
      </c>
      <c r="D43" s="11" t="str">
        <f>IF(NAMES!$B$10=FALSE,IF($B43="","",Source!C51),IF($B43="","",Cotations!I28))</f>
        <v/>
      </c>
      <c r="E43" s="11" t="str">
        <f>IF(NAMES!$B$10=FALSE,IF($B43="","",Source!D51),IF($B43="","",Crewlist!G28))</f>
        <v/>
      </c>
      <c r="F43" s="16" t="str">
        <f>IF(NAMES!$B$10=FALSE,IF($B43="","",Source!E51),IF($B43="","",Crewlist!K28))</f>
        <v/>
      </c>
      <c r="G43" s="17" t="str">
        <f>IF(NAMES!$B$10=FALSE,IF($B43="","",Source!F51),Cotations!P28)</f>
        <v/>
      </c>
      <c r="H43" s="17" t="str">
        <f>IF(NAMES!$B$10=FALSE,IF($B43="","",Source!G51),Cotations!N28)</f>
        <v/>
      </c>
      <c r="I43" s="18" t="str">
        <f ca="1">IF(NAMES!$B$10=FALSE,IF($B43="","",CIE_HT(I$28,$Q$2,OFFSET(Source!$A51,0,0,1,Config!$K$7))),IF($B43="","",IF(Calcul!$BC$7=$Q$2,Calcul!BE28,Calcul!BQ28)))</f>
        <v/>
      </c>
      <c r="J43" s="18" t="str">
        <f ca="1">IF(NAMES!$B$10=FALSE,IF($B43="","",CIE_HT(J$28,$Q$2,OFFSET(Source!$A51,0,0,1,Config!$K$7))),IF($B43="","",IF(Calcul!$BC$7=$Q$2,Calcul!BF28+Calcul!BG28+Calcul!BH28,Calcul!BR28)))</f>
        <v/>
      </c>
      <c r="K43" s="18" t="str">
        <f ca="1">IF(NAMES!$B$10=FALSE,IF($B43="","",CIE_HT(K$28,$Q$2,OFFSET(Source!$A51,0,0,1,Config!$K$7))),IF($B43="","",IF(Calcul!$BC$7=$Q$2,Calcul!BI28,Calcul!BS28)))</f>
        <v/>
      </c>
      <c r="L43" s="18" t="str">
        <f ca="1">IF(NAMES!$B$10=FALSE,IF($B43="","",CIE_HT(L$28,$Q$2,OFFSET(Source!$A51,0,0,1,Config!$K$7))),IF($B43="","",IF(Calcul!$BC$7=$Q$2,Calcul!BJ28,Calcul!BT28)))</f>
        <v/>
      </c>
      <c r="M43" s="18" t="str">
        <f ca="1">IF(NAMES!$B$10=FALSE,IF($B43="","",CIE_HT(M$28,$Q$2,OFFSET(Source!$A51,0,0,1,Config!$K$7))),IF($B43="","",IF(Calcul!$BC$7=$Q$2,Calcul!BK28,Calcul!BU28)))</f>
        <v/>
      </c>
      <c r="N43" s="18" t="str">
        <f ca="1">IF(NAMES!$B$10=FALSE,IF($B43="","",CIE_HT(N$28,$Q$2,OFFSET(Source!$A51,0,0,1,Config!$K$7))),IF($B43="","",IF(Calcul!$BC$7=$Q$2,Calcul!BL28,Calcul!BV28)))</f>
        <v/>
      </c>
      <c r="O43" s="18" t="str">
        <f ca="1">IF(NAMES!$B$10=FALSE,IF($B43="","",CIE_HT(O$28,$Q$2,OFFSET(Source!$A51,0,0,1,Config!$K$7))),IF($B43="","",IF(Calcul!$BC$7=$Q$2,Calcul!BM28,Calcul!BW28)))</f>
        <v/>
      </c>
      <c r="P43" s="18" t="str">
        <f ca="1">IF(NAMES!$B$10=FALSE,IF($B43="","",CIE_HT(P$28,$Q$2,OFFSET(Source!$A51,0,0,1,Config!$K$7))),IF($B43="","",IF(Calcul!$BC$7=$Q$2,Calcul!BN28,Calcul!BX28)))</f>
        <v/>
      </c>
      <c r="Q43" s="18" t="str">
        <f t="shared" si="3"/>
        <v/>
      </c>
      <c r="R43" s="18" t="str">
        <f ca="1">IF(NAMES!$B$10=FALSE,IF($B43="","",TOT_CIE_TC(I$28:P$28,$Q$2,OFFSET(Source!$A51,0,0,1,Config!$K$7))),IF($B43="","",Q43*TAXE))</f>
        <v/>
      </c>
      <c r="S43" s="1855" t="str">
        <f ca="1">IF(NAMES!$B$10=FALSE,IF($B43="","",_xludf.FORMULA($B43,$Q$2,OFFSET(Source!$A51,0,0,1,Config!$K$7))),IF($Q$2="AIG Luxembourg",Calcul!ED28,Calcul!ID28))</f>
        <v/>
      </c>
      <c r="T43" s="1855"/>
      <c r="U43" s="1855"/>
    </row>
    <row r="44" spans="1:21" hidden="1">
      <c r="A44" s="11" t="str">
        <f>IF(NAMES!$B$10=TRUE,IF(Cotations!C29=FALSE,"",Cotations!E29),IF(Source!A52="","",YEAR(Source!$B$2)&amp;"-"&amp;YEAR(Source!$C$2)&amp;"!"))</f>
        <v/>
      </c>
      <c r="B44" s="11" t="str">
        <f>IF(NAMES!$B$10=FALSE,IF(Source!A52="","",Source!A52),Cotations!G29)</f>
        <v/>
      </c>
      <c r="C44" s="11" t="str">
        <f>IF(NAMES!$B$10=FALSE,IF($B44="","",Source!B52),IF($B44="","",Crewlist!J29))</f>
        <v/>
      </c>
      <c r="D44" s="11" t="str">
        <f>IF(NAMES!$B$10=FALSE,IF($B44="","",Source!C52),IF($B44="","",Cotations!I29))</f>
        <v/>
      </c>
      <c r="E44" s="11" t="str">
        <f>IF(NAMES!$B$10=FALSE,IF($B44="","",Source!D52),IF($B44="","",Crewlist!G29))</f>
        <v/>
      </c>
      <c r="F44" s="16" t="str">
        <f>IF(NAMES!$B$10=FALSE,IF($B44="","",Source!E52),IF($B44="","",Crewlist!K29))</f>
        <v/>
      </c>
      <c r="G44" s="17" t="str">
        <f>IF(NAMES!$B$10=FALSE,IF($B44="","",Source!F52),Cotations!P29)</f>
        <v/>
      </c>
      <c r="H44" s="17" t="str">
        <f>IF(NAMES!$B$10=FALSE,IF($B44="","",Source!G52),Cotations!N29)</f>
        <v/>
      </c>
      <c r="I44" s="18" t="str">
        <f ca="1">IF(NAMES!$B$10=FALSE,IF($B44="","",CIE_HT(I$28,$Q$2,OFFSET(Source!$A52,0,0,1,Config!$K$7))),IF($B44="","",IF(Calcul!$BC$7=$Q$2,Calcul!BE29,Calcul!BQ29)))</f>
        <v/>
      </c>
      <c r="J44" s="18" t="str">
        <f ca="1">IF(NAMES!$B$10=FALSE,IF($B44="","",CIE_HT(J$28,$Q$2,OFFSET(Source!$A52,0,0,1,Config!$K$7))),IF($B44="","",IF(Calcul!$BC$7=$Q$2,Calcul!BF29+Calcul!BG29+Calcul!BH29,Calcul!BR29)))</f>
        <v/>
      </c>
      <c r="K44" s="18" t="str">
        <f ca="1">IF(NAMES!$B$10=FALSE,IF($B44="","",CIE_HT(K$28,$Q$2,OFFSET(Source!$A52,0,0,1,Config!$K$7))),IF($B44="","",IF(Calcul!$BC$7=$Q$2,Calcul!BI29,Calcul!BS29)))</f>
        <v/>
      </c>
      <c r="L44" s="18" t="str">
        <f ca="1">IF(NAMES!$B$10=FALSE,IF($B44="","",CIE_HT(L$28,$Q$2,OFFSET(Source!$A52,0,0,1,Config!$K$7))),IF($B44="","",IF(Calcul!$BC$7=$Q$2,Calcul!BJ29,Calcul!BT29)))</f>
        <v/>
      </c>
      <c r="M44" s="18" t="str">
        <f ca="1">IF(NAMES!$B$10=FALSE,IF($B44="","",CIE_HT(M$28,$Q$2,OFFSET(Source!$A52,0,0,1,Config!$K$7))),IF($B44="","",IF(Calcul!$BC$7=$Q$2,Calcul!BK29,Calcul!BU29)))</f>
        <v/>
      </c>
      <c r="N44" s="18" t="str">
        <f ca="1">IF(NAMES!$B$10=FALSE,IF($B44="","",CIE_HT(N$28,$Q$2,OFFSET(Source!$A52,0,0,1,Config!$K$7))),IF($B44="","",IF(Calcul!$BC$7=$Q$2,Calcul!BL29,Calcul!BV29)))</f>
        <v/>
      </c>
      <c r="O44" s="18" t="str">
        <f ca="1">IF(NAMES!$B$10=FALSE,IF($B44="","",CIE_HT(O$28,$Q$2,OFFSET(Source!$A52,0,0,1,Config!$K$7))),IF($B44="","",IF(Calcul!$BC$7=$Q$2,Calcul!BM29,Calcul!BW29)))</f>
        <v/>
      </c>
      <c r="P44" s="18" t="str">
        <f ca="1">IF(NAMES!$B$10=FALSE,IF($B44="","",CIE_HT(P$28,$Q$2,OFFSET(Source!$A52,0,0,1,Config!$K$7))),IF($B44="","",IF(Calcul!$BC$7=$Q$2,Calcul!BN29,Calcul!BX29)))</f>
        <v/>
      </c>
      <c r="Q44" s="18" t="str">
        <f t="shared" si="3"/>
        <v/>
      </c>
      <c r="R44" s="18" t="str">
        <f ca="1">IF(NAMES!$B$10=FALSE,IF($B44="","",TOT_CIE_TC(I$28:P$28,$Q$2,OFFSET(Source!$A52,0,0,1,Config!$K$7))),IF($B44="","",Q44*TAXE))</f>
        <v/>
      </c>
      <c r="S44" s="1855" t="str">
        <f ca="1">IF(NAMES!$B$10=FALSE,IF($B44="","",_xludf.FORMULA($B44,$Q$2,OFFSET(Source!$A52,0,0,1,Config!$K$7))),IF($Q$2="AIG Luxembourg",Calcul!ED29,Calcul!ID29))</f>
        <v/>
      </c>
      <c r="T44" s="1855"/>
      <c r="U44" s="1855"/>
    </row>
    <row r="45" spans="1:21" hidden="1">
      <c r="A45" s="11" t="str">
        <f>IF(NAMES!$B$10=TRUE,IF(Cotations!C30=FALSE,"",Cotations!E30),IF(Source!A53="","",YEAR(Source!$B$2)&amp;"-"&amp;YEAR(Source!$C$2)&amp;"!"))</f>
        <v/>
      </c>
      <c r="B45" s="11" t="str">
        <f>IF(NAMES!$B$10=FALSE,IF(Source!A53="","",Source!A53),Cotations!G30)</f>
        <v/>
      </c>
      <c r="C45" s="11" t="str">
        <f>IF(NAMES!$B$10=FALSE,IF($B45="","",Source!B53),IF($B45="","",Crewlist!J30))</f>
        <v/>
      </c>
      <c r="D45" s="11" t="str">
        <f>IF(NAMES!$B$10=FALSE,IF($B45="","",Source!C53),IF($B45="","",Cotations!I30))</f>
        <v/>
      </c>
      <c r="E45" s="11" t="str">
        <f>IF(NAMES!$B$10=FALSE,IF($B45="","",Source!D53),IF($B45="","",Crewlist!G30))</f>
        <v/>
      </c>
      <c r="F45" s="16" t="str">
        <f>IF(NAMES!$B$10=FALSE,IF($B45="","",Source!E53),IF($B45="","",Crewlist!K30))</f>
        <v/>
      </c>
      <c r="G45" s="17" t="str">
        <f>IF(NAMES!$B$10=FALSE,IF($B45="","",Source!F53),Cotations!P30)</f>
        <v/>
      </c>
      <c r="H45" s="17" t="str">
        <f>IF(NAMES!$B$10=FALSE,IF($B45="","",Source!G53),Cotations!N30)</f>
        <v/>
      </c>
      <c r="I45" s="18" t="str">
        <f ca="1">IF(NAMES!$B$10=FALSE,IF($B45="","",CIE_HT(I$28,$Q$2,OFFSET(Source!$A53,0,0,1,Config!$K$7))),IF($B45="","",IF(Calcul!$BC$7=$Q$2,Calcul!BE30,Calcul!BQ30)))</f>
        <v/>
      </c>
      <c r="J45" s="18" t="str">
        <f ca="1">IF(NAMES!$B$10=FALSE,IF($B45="","",CIE_HT(J$28,$Q$2,OFFSET(Source!$A53,0,0,1,Config!$K$7))),IF($B45="","",IF(Calcul!$BC$7=$Q$2,Calcul!BF30+Calcul!BG30+Calcul!BH30,Calcul!BR30)))</f>
        <v/>
      </c>
      <c r="K45" s="18" t="str">
        <f ca="1">IF(NAMES!$B$10=FALSE,IF($B45="","",CIE_HT(K$28,$Q$2,OFFSET(Source!$A53,0,0,1,Config!$K$7))),IF($B45="","",IF(Calcul!$BC$7=$Q$2,Calcul!BI30,Calcul!BS30)))</f>
        <v/>
      </c>
      <c r="L45" s="18" t="str">
        <f ca="1">IF(NAMES!$B$10=FALSE,IF($B45="","",CIE_HT(L$28,$Q$2,OFFSET(Source!$A53,0,0,1,Config!$K$7))),IF($B45="","",IF(Calcul!$BC$7=$Q$2,Calcul!BJ30,Calcul!BT30)))</f>
        <v/>
      </c>
      <c r="M45" s="18" t="str">
        <f ca="1">IF(NAMES!$B$10=FALSE,IF($B45="","",CIE_HT(M$28,$Q$2,OFFSET(Source!$A53,0,0,1,Config!$K$7))),IF($B45="","",IF(Calcul!$BC$7=$Q$2,Calcul!BK30,Calcul!BU30)))</f>
        <v/>
      </c>
      <c r="N45" s="18" t="str">
        <f ca="1">IF(NAMES!$B$10=FALSE,IF($B45="","",CIE_HT(N$28,$Q$2,OFFSET(Source!$A53,0,0,1,Config!$K$7))),IF($B45="","",IF(Calcul!$BC$7=$Q$2,Calcul!BL30,Calcul!BV30)))</f>
        <v/>
      </c>
      <c r="O45" s="18" t="str">
        <f ca="1">IF(NAMES!$B$10=FALSE,IF($B45="","",CIE_HT(O$28,$Q$2,OFFSET(Source!$A53,0,0,1,Config!$K$7))),IF($B45="","",IF(Calcul!$BC$7=$Q$2,Calcul!BM30,Calcul!BW30)))</f>
        <v/>
      </c>
      <c r="P45" s="18" t="str">
        <f ca="1">IF(NAMES!$B$10=FALSE,IF($B45="","",CIE_HT(P$28,$Q$2,OFFSET(Source!$A53,0,0,1,Config!$K$7))),IF($B45="","",IF(Calcul!$BC$7=$Q$2,Calcul!BN30,Calcul!BX30)))</f>
        <v/>
      </c>
      <c r="Q45" s="18" t="str">
        <f t="shared" si="3"/>
        <v/>
      </c>
      <c r="R45" s="18" t="str">
        <f ca="1">IF(NAMES!$B$10=FALSE,IF($B45="","",TOT_CIE_TC(I$28:P$28,$Q$2,OFFSET(Source!$A53,0,0,1,Config!$K$7))),IF($B45="","",Q45*TAXE))</f>
        <v/>
      </c>
      <c r="S45" s="1855" t="str">
        <f ca="1">IF(NAMES!$B$10=FALSE,IF($B45="","",_xludf.FORMULA($B45,$Q$2,OFFSET(Source!$A53,0,0,1,Config!$K$7))),IF($Q$2="AIG Luxembourg",Calcul!ED30,Calcul!ID30))</f>
        <v/>
      </c>
      <c r="T45" s="1855"/>
      <c r="U45" s="1855"/>
    </row>
    <row r="46" spans="1:21" hidden="1">
      <c r="A46" s="11" t="str">
        <f>IF(NAMES!$B$10=TRUE,IF(Cotations!C31=FALSE,"",Cotations!E31),IF(Source!A54="","",YEAR(Source!$B$2)&amp;"-"&amp;YEAR(Source!$C$2)&amp;"!"))</f>
        <v/>
      </c>
      <c r="B46" s="11" t="str">
        <f>IF(NAMES!$B$10=FALSE,IF(Source!A54="","",Source!A54),Cotations!G31)</f>
        <v/>
      </c>
      <c r="C46" s="11" t="str">
        <f>IF(NAMES!$B$10=FALSE,IF($B46="","",Source!B54),IF($B46="","",Crewlist!J31))</f>
        <v/>
      </c>
      <c r="D46" s="11" t="str">
        <f>IF(NAMES!$B$10=FALSE,IF($B46="","",Source!C54),IF($B46="","",Cotations!I31))</f>
        <v/>
      </c>
      <c r="E46" s="11" t="str">
        <f>IF(NAMES!$B$10=FALSE,IF($B46="","",Source!D54),IF($B46="","",Crewlist!G31))</f>
        <v/>
      </c>
      <c r="F46" s="16" t="str">
        <f>IF(NAMES!$B$10=FALSE,IF($B46="","",Source!E54),IF($B46="","",Crewlist!K31))</f>
        <v/>
      </c>
      <c r="G46" s="17" t="str">
        <f>IF(NAMES!$B$10=FALSE,IF($B46="","",Source!F54),Cotations!P31)</f>
        <v/>
      </c>
      <c r="H46" s="17" t="str">
        <f>IF(NAMES!$B$10=FALSE,IF($B46="","",Source!G54),Cotations!N31)</f>
        <v/>
      </c>
      <c r="I46" s="18" t="str">
        <f ca="1">IF(NAMES!$B$10=FALSE,IF($B46="","",CIE_HT(I$28,$Q$2,OFFSET(Source!$A54,0,0,1,Config!$K$7))),IF($B46="","",IF(Calcul!$BC$7=$Q$2,Calcul!BE31,Calcul!BQ31)))</f>
        <v/>
      </c>
      <c r="J46" s="18" t="str">
        <f ca="1">IF(NAMES!$B$10=FALSE,IF($B46="","",CIE_HT(J$28,$Q$2,OFFSET(Source!$A54,0,0,1,Config!$K$7))),IF($B46="","",IF(Calcul!$BC$7=$Q$2,Calcul!BF31+Calcul!BG31+Calcul!BH31,Calcul!BR31)))</f>
        <v/>
      </c>
      <c r="K46" s="18" t="str">
        <f ca="1">IF(NAMES!$B$10=FALSE,IF($B46="","",CIE_HT(K$28,$Q$2,OFFSET(Source!$A54,0,0,1,Config!$K$7))),IF($B46="","",IF(Calcul!$BC$7=$Q$2,Calcul!BI31,Calcul!BS31)))</f>
        <v/>
      </c>
      <c r="L46" s="18" t="str">
        <f ca="1">IF(NAMES!$B$10=FALSE,IF($B46="","",CIE_HT(L$28,$Q$2,OFFSET(Source!$A54,0,0,1,Config!$K$7))),IF($B46="","",IF(Calcul!$BC$7=$Q$2,Calcul!BJ31,Calcul!BT31)))</f>
        <v/>
      </c>
      <c r="M46" s="18" t="str">
        <f ca="1">IF(NAMES!$B$10=FALSE,IF($B46="","",CIE_HT(M$28,$Q$2,OFFSET(Source!$A54,0,0,1,Config!$K$7))),IF($B46="","",IF(Calcul!$BC$7=$Q$2,Calcul!BK31,Calcul!BU31)))</f>
        <v/>
      </c>
      <c r="N46" s="18" t="str">
        <f ca="1">IF(NAMES!$B$10=FALSE,IF($B46="","",CIE_HT(N$28,$Q$2,OFFSET(Source!$A54,0,0,1,Config!$K$7))),IF($B46="","",IF(Calcul!$BC$7=$Q$2,Calcul!BL31,Calcul!BV31)))</f>
        <v/>
      </c>
      <c r="O46" s="18" t="str">
        <f ca="1">IF(NAMES!$B$10=FALSE,IF($B46="","",CIE_HT(O$28,$Q$2,OFFSET(Source!$A54,0,0,1,Config!$K$7))),IF($B46="","",IF(Calcul!$BC$7=$Q$2,Calcul!BM31,Calcul!BW31)))</f>
        <v/>
      </c>
      <c r="P46" s="18" t="str">
        <f ca="1">IF(NAMES!$B$10=FALSE,IF($B46="","",CIE_HT(P$28,$Q$2,OFFSET(Source!$A54,0,0,1,Config!$K$7))),IF($B46="","",IF(Calcul!$BC$7=$Q$2,Calcul!BN31,Calcul!BX31)))</f>
        <v/>
      </c>
      <c r="Q46" s="18" t="str">
        <f t="shared" si="3"/>
        <v/>
      </c>
      <c r="R46" s="18" t="str">
        <f ca="1">IF(NAMES!$B$10=FALSE,IF($B46="","",TOT_CIE_TC(I$28:P$28,$Q$2,OFFSET(Source!$A54,0,0,1,Config!$K$7))),IF($B46="","",Q46*TAXE))</f>
        <v/>
      </c>
      <c r="S46" s="1855" t="str">
        <f ca="1">IF(NAMES!$B$10=FALSE,IF($B46="","",_xludf.FORMULA($B46,$Q$2,OFFSET(Source!$A54,0,0,1,Config!$K$7))),IF($Q$2="AIG Luxembourg",Calcul!ED31,Calcul!ID31))</f>
        <v/>
      </c>
      <c r="T46" s="1855"/>
      <c r="U46" s="1855"/>
    </row>
    <row r="47" spans="1:21" hidden="1">
      <c r="A47" s="11" t="str">
        <f>IF(NAMES!$B$10=TRUE,IF(Cotations!C32=FALSE,"",Cotations!E32),IF(Source!A55="","",YEAR(Source!$B$2)&amp;"-"&amp;YEAR(Source!$C$2)&amp;"!"))</f>
        <v/>
      </c>
      <c r="B47" s="11" t="str">
        <f>IF(NAMES!$B$10=FALSE,IF(Source!A55="","",Source!A55),Cotations!G32)</f>
        <v/>
      </c>
      <c r="C47" s="11" t="str">
        <f>IF(NAMES!$B$10=FALSE,IF($B47="","",Source!B55),IF($B47="","",Crewlist!J32))</f>
        <v/>
      </c>
      <c r="D47" s="11" t="str">
        <f>IF(NAMES!$B$10=FALSE,IF($B47="","",Source!C55),IF($B47="","",Cotations!I32))</f>
        <v/>
      </c>
      <c r="E47" s="11" t="str">
        <f>IF(NAMES!$B$10=FALSE,IF($B47="","",Source!D55),IF($B47="","",Crewlist!G32))</f>
        <v/>
      </c>
      <c r="F47" s="16" t="str">
        <f>IF(NAMES!$B$10=FALSE,IF($B47="","",Source!E55),IF($B47="","",Crewlist!K32))</f>
        <v/>
      </c>
      <c r="G47" s="17" t="str">
        <f>IF(NAMES!$B$10=FALSE,IF($B47="","",Source!F55),Cotations!P32)</f>
        <v/>
      </c>
      <c r="H47" s="17" t="str">
        <f>IF(NAMES!$B$10=FALSE,IF($B47="","",Source!G55),Cotations!N32)</f>
        <v/>
      </c>
      <c r="I47" s="18" t="str">
        <f ca="1">IF(NAMES!$B$10=FALSE,IF($B47="","",CIE_HT(I$28,$Q$2,OFFSET(Source!$A55,0,0,1,Config!$K$7))),IF($B47="","",IF(Calcul!$BC$7=$Q$2,Calcul!BE32,Calcul!BQ32)))</f>
        <v/>
      </c>
      <c r="J47" s="18" t="str">
        <f ca="1">IF(NAMES!$B$10=FALSE,IF($B47="","",CIE_HT(J$28,$Q$2,OFFSET(Source!$A55,0,0,1,Config!$K$7))),IF($B47="","",IF(Calcul!$BC$7=$Q$2,Calcul!BF32+Calcul!BG32+Calcul!BH32,Calcul!BR32)))</f>
        <v/>
      </c>
      <c r="K47" s="18" t="str">
        <f ca="1">IF(NAMES!$B$10=FALSE,IF($B47="","",CIE_HT(K$28,$Q$2,OFFSET(Source!$A55,0,0,1,Config!$K$7))),IF($B47="","",IF(Calcul!$BC$7=$Q$2,Calcul!BI32,Calcul!BS32)))</f>
        <v/>
      </c>
      <c r="L47" s="18" t="str">
        <f ca="1">IF(NAMES!$B$10=FALSE,IF($B47="","",CIE_HT(L$28,$Q$2,OFFSET(Source!$A55,0,0,1,Config!$K$7))),IF($B47="","",IF(Calcul!$BC$7=$Q$2,Calcul!BJ32,Calcul!BT32)))</f>
        <v/>
      </c>
      <c r="M47" s="18" t="str">
        <f ca="1">IF(NAMES!$B$10=FALSE,IF($B47="","",CIE_HT(M$28,$Q$2,OFFSET(Source!$A55,0,0,1,Config!$K$7))),IF($B47="","",IF(Calcul!$BC$7=$Q$2,Calcul!BK32,Calcul!BU32)))</f>
        <v/>
      </c>
      <c r="N47" s="18" t="str">
        <f ca="1">IF(NAMES!$B$10=FALSE,IF($B47="","",CIE_HT(N$28,$Q$2,OFFSET(Source!$A55,0,0,1,Config!$K$7))),IF($B47="","",IF(Calcul!$BC$7=$Q$2,Calcul!BL32,Calcul!BV32)))</f>
        <v/>
      </c>
      <c r="O47" s="18" t="str">
        <f ca="1">IF(NAMES!$B$10=FALSE,IF($B47="","",CIE_HT(O$28,$Q$2,OFFSET(Source!$A55,0,0,1,Config!$K$7))),IF($B47="","",IF(Calcul!$BC$7=$Q$2,Calcul!BM32,Calcul!BW32)))</f>
        <v/>
      </c>
      <c r="P47" s="18" t="str">
        <f ca="1">IF(NAMES!$B$10=FALSE,IF($B47="","",CIE_HT(P$28,$Q$2,OFFSET(Source!$A55,0,0,1,Config!$K$7))),IF($B47="","",IF(Calcul!$BC$7=$Q$2,Calcul!BN32,Calcul!BX32)))</f>
        <v/>
      </c>
      <c r="Q47" s="18" t="str">
        <f t="shared" si="3"/>
        <v/>
      </c>
      <c r="R47" s="18" t="str">
        <f ca="1">IF(NAMES!$B$10=FALSE,IF($B47="","",TOT_CIE_TC(I$28:P$28,$Q$2,OFFSET(Source!$A55,0,0,1,Config!$K$7))),IF($B47="","",Q47*TAXE))</f>
        <v/>
      </c>
      <c r="S47" s="1855" t="str">
        <f ca="1">IF(NAMES!$B$10=FALSE,IF($B47="","",_xludf.FORMULA($B47,$Q$2,OFFSET(Source!$A55,0,0,1,Config!$K$7))),IF($Q$2="AIG Luxembourg",Calcul!ED32,Calcul!ID32))</f>
        <v/>
      </c>
      <c r="T47" s="1855"/>
      <c r="U47" s="1855"/>
    </row>
    <row r="48" spans="1:21" hidden="1">
      <c r="A48" s="11" t="str">
        <f>IF(NAMES!$B$10=TRUE,IF(Cotations!C33=FALSE,"",Cotations!E33),IF(Source!A56="","",YEAR(Source!$B$2)&amp;"-"&amp;YEAR(Source!$C$2)&amp;"!"))</f>
        <v/>
      </c>
      <c r="B48" s="11" t="str">
        <f>IF(NAMES!$B$10=FALSE,IF(Source!A56="","",Source!A56),Cotations!G33)</f>
        <v/>
      </c>
      <c r="C48" s="11" t="str">
        <f>IF(NAMES!$B$10=FALSE,IF($B48="","",Source!B56),IF($B48="","",Crewlist!J33))</f>
        <v/>
      </c>
      <c r="D48" s="11" t="str">
        <f>IF(NAMES!$B$10=FALSE,IF($B48="","",Source!C56),IF($B48="","",Cotations!I33))</f>
        <v/>
      </c>
      <c r="E48" s="11" t="str">
        <f>IF(NAMES!$B$10=FALSE,IF($B48="","",Source!D56),IF($B48="","",Crewlist!G33))</f>
        <v/>
      </c>
      <c r="F48" s="16" t="str">
        <f>IF(NAMES!$B$10=FALSE,IF($B48="","",Source!E56),IF($B48="","",Crewlist!K33))</f>
        <v/>
      </c>
      <c r="G48" s="17" t="str">
        <f>IF(NAMES!$B$10=FALSE,IF($B48="","",Source!F56),Cotations!P33)</f>
        <v/>
      </c>
      <c r="H48" s="17" t="str">
        <f>IF(NAMES!$B$10=FALSE,IF($B48="","",Source!G56),Cotations!N33)</f>
        <v/>
      </c>
      <c r="I48" s="18" t="str">
        <f ca="1">IF(NAMES!$B$10=FALSE,IF($B48="","",CIE_HT(I$28,$Q$2,OFFSET(Source!$A56,0,0,1,Config!$K$7))),IF($B48="","",IF(Calcul!$BC$7=$Q$2,Calcul!BE33,Calcul!BQ33)))</f>
        <v/>
      </c>
      <c r="J48" s="18" t="str">
        <f ca="1">IF(NAMES!$B$10=FALSE,IF($B48="","",CIE_HT(J$28,$Q$2,OFFSET(Source!$A56,0,0,1,Config!$K$7))),IF($B48="","",IF(Calcul!$BC$7=$Q$2,Calcul!BF33+Calcul!BG33+Calcul!BH33,Calcul!BR33)))</f>
        <v/>
      </c>
      <c r="K48" s="18" t="str">
        <f ca="1">IF(NAMES!$B$10=FALSE,IF($B48="","",CIE_HT(K$28,$Q$2,OFFSET(Source!$A56,0,0,1,Config!$K$7))),IF($B48="","",IF(Calcul!$BC$7=$Q$2,Calcul!BI33,Calcul!BS33)))</f>
        <v/>
      </c>
      <c r="L48" s="18" t="str">
        <f ca="1">IF(NAMES!$B$10=FALSE,IF($B48="","",CIE_HT(L$28,$Q$2,OFFSET(Source!$A56,0,0,1,Config!$K$7))),IF($B48="","",IF(Calcul!$BC$7=$Q$2,Calcul!BJ33,Calcul!BT33)))</f>
        <v/>
      </c>
      <c r="M48" s="18" t="str">
        <f ca="1">IF(NAMES!$B$10=FALSE,IF($B48="","",CIE_HT(M$28,$Q$2,OFFSET(Source!$A56,0,0,1,Config!$K$7))),IF($B48="","",IF(Calcul!$BC$7=$Q$2,Calcul!BK33,Calcul!BU33)))</f>
        <v/>
      </c>
      <c r="N48" s="18" t="str">
        <f ca="1">IF(NAMES!$B$10=FALSE,IF($B48="","",CIE_HT(N$28,$Q$2,OFFSET(Source!$A56,0,0,1,Config!$K$7))),IF($B48="","",IF(Calcul!$BC$7=$Q$2,Calcul!BL33,Calcul!BV33)))</f>
        <v/>
      </c>
      <c r="O48" s="18" t="str">
        <f ca="1">IF(NAMES!$B$10=FALSE,IF($B48="","",CIE_HT(O$28,$Q$2,OFFSET(Source!$A56,0,0,1,Config!$K$7))),IF($B48="","",IF(Calcul!$BC$7=$Q$2,Calcul!BM33,Calcul!BW33)))</f>
        <v/>
      </c>
      <c r="P48" s="18" t="str">
        <f ca="1">IF(NAMES!$B$10=FALSE,IF($B48="","",CIE_HT(P$28,$Q$2,OFFSET(Source!$A56,0,0,1,Config!$K$7))),IF($B48="","",IF(Calcul!$BC$7=$Q$2,Calcul!BN33,Calcul!BX33)))</f>
        <v/>
      </c>
      <c r="Q48" s="18" t="str">
        <f t="shared" si="3"/>
        <v/>
      </c>
      <c r="R48" s="18" t="str">
        <f ca="1">IF(NAMES!$B$10=FALSE,IF($B48="","",TOT_CIE_TC(I$28:P$28,$Q$2,OFFSET(Source!$A56,0,0,1,Config!$K$7))),IF($B48="","",Q48*TAXE))</f>
        <v/>
      </c>
      <c r="S48" s="1855" t="str">
        <f ca="1">IF(NAMES!$B$10=FALSE,IF($B48="","",_xludf.FORMULA($B48,$Q$2,OFFSET(Source!$A56,0,0,1,Config!$K$7))),IF($Q$2="AIG Luxembourg",Calcul!ED33,Calcul!ID33))</f>
        <v/>
      </c>
      <c r="T48" s="1855"/>
      <c r="U48" s="1855"/>
    </row>
    <row r="49" spans="1:21" hidden="1">
      <c r="A49" s="11" t="str">
        <f>IF(NAMES!$B$10=TRUE,IF(Cotations!C34=FALSE,"",Cotations!E34),IF(Source!A57="","",YEAR(Source!$B$2)&amp;"-"&amp;YEAR(Source!$C$2)&amp;"!"))</f>
        <v/>
      </c>
      <c r="B49" s="11" t="str">
        <f>IF(NAMES!$B$10=FALSE,IF(Source!A57="","",Source!A57),Cotations!G34)</f>
        <v/>
      </c>
      <c r="C49" s="11" t="str">
        <f>IF(NAMES!$B$10=FALSE,IF($B49="","",Source!B57),IF($B49="","",Crewlist!J34))</f>
        <v/>
      </c>
      <c r="D49" s="11" t="str">
        <f>IF(NAMES!$B$10=FALSE,IF($B49="","",Source!C57),IF($B49="","",Cotations!I34))</f>
        <v/>
      </c>
      <c r="E49" s="11" t="str">
        <f>IF(NAMES!$B$10=FALSE,IF($B49="","",Source!D57),IF($B49="","",Crewlist!G34))</f>
        <v/>
      </c>
      <c r="F49" s="16" t="str">
        <f>IF(NAMES!$B$10=FALSE,IF($B49="","",Source!E57),IF($B49="","",Crewlist!K34))</f>
        <v/>
      </c>
      <c r="G49" s="17" t="str">
        <f>IF(NAMES!$B$10=FALSE,IF($B49="","",Source!F57),Cotations!P34)</f>
        <v/>
      </c>
      <c r="H49" s="17" t="str">
        <f>IF(NAMES!$B$10=FALSE,IF($B49="","",Source!G57),Cotations!N34)</f>
        <v/>
      </c>
      <c r="I49" s="18" t="str">
        <f ca="1">IF(NAMES!$B$10=FALSE,IF($B49="","",CIE_HT(I$28,$Q$2,OFFSET(Source!$A57,0,0,1,Config!$K$7))),IF($B49="","",IF(Calcul!$BC$7=$Q$2,Calcul!BE34,Calcul!BQ34)))</f>
        <v/>
      </c>
      <c r="J49" s="18" t="str">
        <f ca="1">IF(NAMES!$B$10=FALSE,IF($B49="","",CIE_HT(J$28,$Q$2,OFFSET(Source!$A57,0,0,1,Config!$K$7))),IF($B49="","",IF(Calcul!$BC$7=$Q$2,Calcul!BF34+Calcul!BG34+Calcul!BH34,Calcul!BR34)))</f>
        <v/>
      </c>
      <c r="K49" s="18" t="str">
        <f ca="1">IF(NAMES!$B$10=FALSE,IF($B49="","",CIE_HT(K$28,$Q$2,OFFSET(Source!$A57,0,0,1,Config!$K$7))),IF($B49="","",IF(Calcul!$BC$7=$Q$2,Calcul!BI34,Calcul!BS34)))</f>
        <v/>
      </c>
      <c r="L49" s="18" t="str">
        <f ca="1">IF(NAMES!$B$10=FALSE,IF($B49="","",CIE_HT(L$28,$Q$2,OFFSET(Source!$A57,0,0,1,Config!$K$7))),IF($B49="","",IF(Calcul!$BC$7=$Q$2,Calcul!BJ34,Calcul!BT34)))</f>
        <v/>
      </c>
      <c r="M49" s="18" t="str">
        <f ca="1">IF(NAMES!$B$10=FALSE,IF($B49="","",CIE_HT(M$28,$Q$2,OFFSET(Source!$A57,0,0,1,Config!$K$7))),IF($B49="","",IF(Calcul!$BC$7=$Q$2,Calcul!BK34,Calcul!BU34)))</f>
        <v/>
      </c>
      <c r="N49" s="18" t="str">
        <f ca="1">IF(NAMES!$B$10=FALSE,IF($B49="","",CIE_HT(N$28,$Q$2,OFFSET(Source!$A57,0,0,1,Config!$K$7))),IF($B49="","",IF(Calcul!$BC$7=$Q$2,Calcul!BL34,Calcul!BV34)))</f>
        <v/>
      </c>
      <c r="O49" s="18" t="str">
        <f ca="1">IF(NAMES!$B$10=FALSE,IF($B49="","",CIE_HT(O$28,$Q$2,OFFSET(Source!$A57,0,0,1,Config!$K$7))),IF($B49="","",IF(Calcul!$BC$7=$Q$2,Calcul!BM34,Calcul!BW34)))</f>
        <v/>
      </c>
      <c r="P49" s="18" t="str">
        <f ca="1">IF(NAMES!$B$10=FALSE,IF($B49="","",CIE_HT(P$28,$Q$2,OFFSET(Source!$A57,0,0,1,Config!$K$7))),IF($B49="","",IF(Calcul!$BC$7=$Q$2,Calcul!BN34,Calcul!BX34)))</f>
        <v/>
      </c>
      <c r="Q49" s="18" t="str">
        <f t="shared" si="3"/>
        <v/>
      </c>
      <c r="R49" s="18" t="str">
        <f ca="1">IF(NAMES!$B$10=FALSE,IF($B49="","",TOT_CIE_TC(I$28:P$28,$Q$2,OFFSET(Source!$A57,0,0,1,Config!$K$7))),IF($B49="","",Q49*TAXE))</f>
        <v/>
      </c>
      <c r="S49" s="1855" t="str">
        <f ca="1">IF(NAMES!$B$10=FALSE,IF($B49="","",_xludf.FORMULA($B49,$Q$2,OFFSET(Source!$A57,0,0,1,Config!$K$7))),IF($Q$2="AIG Luxembourg",Calcul!ED34,Calcul!ID34))</f>
        <v/>
      </c>
      <c r="T49" s="1855"/>
      <c r="U49" s="1855"/>
    </row>
    <row r="50" spans="1:21" hidden="1">
      <c r="A50" s="11" t="str">
        <f>IF(NAMES!$B$10=TRUE,IF(Cotations!C35=FALSE,"",Cotations!E35),IF(Source!A58="","",YEAR(Source!$B$2)&amp;"-"&amp;YEAR(Source!$C$2)&amp;"!"))</f>
        <v/>
      </c>
      <c r="B50" s="11" t="str">
        <f>IF(NAMES!$B$10=FALSE,IF(Source!A58="","",Source!A58),Cotations!G35)</f>
        <v/>
      </c>
      <c r="C50" s="11" t="str">
        <f>IF(NAMES!$B$10=FALSE,IF($B50="","",Source!B58),IF($B50="","",Crewlist!J35))</f>
        <v/>
      </c>
      <c r="D50" s="11" t="str">
        <f>IF(NAMES!$B$10=FALSE,IF($B50="","",Source!C58),IF($B50="","",Cotations!I35))</f>
        <v/>
      </c>
      <c r="E50" s="11" t="str">
        <f>IF(NAMES!$B$10=FALSE,IF($B50="","",Source!D58),IF($B50="","",Crewlist!G35))</f>
        <v/>
      </c>
      <c r="F50" s="16" t="str">
        <f>IF(NAMES!$B$10=FALSE,IF($B50="","",Source!E58),IF($B50="","",Crewlist!K35))</f>
        <v/>
      </c>
      <c r="G50" s="17" t="str">
        <f>IF(NAMES!$B$10=FALSE,IF($B50="","",Source!F58),Cotations!P35)</f>
        <v/>
      </c>
      <c r="H50" s="17" t="str">
        <f>IF(NAMES!$B$10=FALSE,IF($B50="","",Source!G58),Cotations!N35)</f>
        <v/>
      </c>
      <c r="I50" s="18" t="str">
        <f ca="1">IF(NAMES!$B$10=FALSE,IF($B50="","",CIE_HT(I$28,$Q$2,OFFSET(Source!$A58,0,0,1,Config!$K$7))),IF($B50="","",IF(Calcul!$BC$7=$Q$2,Calcul!BE35,Calcul!BQ35)))</f>
        <v/>
      </c>
      <c r="J50" s="18" t="str">
        <f ca="1">IF(NAMES!$B$10=FALSE,IF($B50="","",CIE_HT(J$28,$Q$2,OFFSET(Source!$A58,0,0,1,Config!$K$7))),IF($B50="","",IF(Calcul!$BC$7=$Q$2,Calcul!BF35+Calcul!BG35+Calcul!BH35,Calcul!BR35)))</f>
        <v/>
      </c>
      <c r="K50" s="18" t="str">
        <f ca="1">IF(NAMES!$B$10=FALSE,IF($B50="","",CIE_HT(K$28,$Q$2,OFFSET(Source!$A58,0,0,1,Config!$K$7))),IF($B50="","",IF(Calcul!$BC$7=$Q$2,Calcul!BI35,Calcul!BS35)))</f>
        <v/>
      </c>
      <c r="L50" s="18" t="str">
        <f ca="1">IF(NAMES!$B$10=FALSE,IF($B50="","",CIE_HT(L$28,$Q$2,OFFSET(Source!$A58,0,0,1,Config!$K$7))),IF($B50="","",IF(Calcul!$BC$7=$Q$2,Calcul!BJ35,Calcul!BT35)))</f>
        <v/>
      </c>
      <c r="M50" s="18" t="str">
        <f ca="1">IF(NAMES!$B$10=FALSE,IF($B50="","",CIE_HT(M$28,$Q$2,OFFSET(Source!$A58,0,0,1,Config!$K$7))),IF($B50="","",IF(Calcul!$BC$7=$Q$2,Calcul!BK35,Calcul!BU35)))</f>
        <v/>
      </c>
      <c r="N50" s="18" t="str">
        <f ca="1">IF(NAMES!$B$10=FALSE,IF($B50="","",CIE_HT(N$28,$Q$2,OFFSET(Source!$A58,0,0,1,Config!$K$7))),IF($B50="","",IF(Calcul!$BC$7=$Q$2,Calcul!BL35,Calcul!BV35)))</f>
        <v/>
      </c>
      <c r="O50" s="18" t="str">
        <f ca="1">IF(NAMES!$B$10=FALSE,IF($B50="","",CIE_HT(O$28,$Q$2,OFFSET(Source!$A58,0,0,1,Config!$K$7))),IF($B50="","",IF(Calcul!$BC$7=$Q$2,Calcul!BM35,Calcul!BW35)))</f>
        <v/>
      </c>
      <c r="P50" s="18" t="str">
        <f ca="1">IF(NAMES!$B$10=FALSE,IF($B50="","",CIE_HT(P$28,$Q$2,OFFSET(Source!$A58,0,0,1,Config!$K$7))),IF($B50="","",IF(Calcul!$BC$7=$Q$2,Calcul!BN35,Calcul!BX35)))</f>
        <v/>
      </c>
      <c r="Q50" s="18" t="str">
        <f t="shared" si="3"/>
        <v/>
      </c>
      <c r="R50" s="18" t="str">
        <f ca="1">IF(NAMES!$B$10=FALSE,IF($B50="","",TOT_CIE_TC(I$28:P$28,$Q$2,OFFSET(Source!$A58,0,0,1,Config!$K$7))),IF($B50="","",Q50*TAXE))</f>
        <v/>
      </c>
      <c r="S50" s="1855" t="str">
        <f ca="1">IF(NAMES!$B$10=FALSE,IF($B50="","",_xludf.FORMULA($B50,$Q$2,OFFSET(Source!$A58,0,0,1,Config!$K$7))),IF($Q$2="AIG Luxembourg",Calcul!ED35,Calcul!ID35))</f>
        <v/>
      </c>
      <c r="T50" s="1855"/>
      <c r="U50" s="1855"/>
    </row>
    <row r="51" spans="1:21" ht="12.75" hidden="1" customHeight="1">
      <c r="A51" s="11" t="str">
        <f>IF(NAMES!$B$10=TRUE,IF(Cotations!C36=FALSE,"",Cotations!E36),IF(Source!A59="","",YEAR(Source!$B$2)&amp;"-"&amp;YEAR(Source!$C$2)&amp;"!"))</f>
        <v/>
      </c>
      <c r="B51" s="11" t="str">
        <f>IF(NAMES!$B$10=FALSE,IF(Source!A59="","",Source!A59),Cotations!G36)</f>
        <v/>
      </c>
      <c r="C51" s="11" t="str">
        <f>IF(NAMES!$B$10=FALSE,IF($B51="","",Source!B59),IF($B51="","",Crewlist!J36))</f>
        <v/>
      </c>
      <c r="D51" s="11" t="str">
        <f>IF(NAMES!$B$10=FALSE,IF($B51="","",Source!C59),IF($B51="","",Cotations!I36))</f>
        <v/>
      </c>
      <c r="E51" s="11" t="str">
        <f>IF(NAMES!$B$10=FALSE,IF($B51="","",Source!D59),IF($B51="","",Crewlist!G36))</f>
        <v/>
      </c>
      <c r="F51" s="16" t="str">
        <f>IF(NAMES!$B$10=FALSE,IF($B51="","",Source!E59),IF($B51="","",Crewlist!K36))</f>
        <v/>
      </c>
      <c r="G51" s="17" t="str">
        <f>IF(NAMES!$B$10=FALSE,IF($B51="","",Source!F59),Cotations!P36)</f>
        <v/>
      </c>
      <c r="H51" s="17" t="str">
        <f>IF(NAMES!$B$10=FALSE,IF($B51="","",Source!G59),Cotations!N36)</f>
        <v/>
      </c>
      <c r="I51" s="18" t="str">
        <f ca="1">IF(NAMES!$B$10=FALSE,IF($B51="","",CIE_HT(I$28,$Q$2,OFFSET(Source!$A59,0,0,1,Config!$K$7))),IF($B51="","",IF(Calcul!$BC$7=$Q$2,Calcul!BE36,Calcul!BQ36)))</f>
        <v/>
      </c>
      <c r="J51" s="18" t="str">
        <f ca="1">IF(NAMES!$B$10=FALSE,IF($B51="","",CIE_HT(J$28,$Q$2,OFFSET(Source!$A59,0,0,1,Config!$K$7))),IF($B51="","",IF(Calcul!$BC$7=$Q$2,Calcul!BF36+Calcul!BG36+Calcul!BH36,Calcul!BR36)))</f>
        <v/>
      </c>
      <c r="K51" s="18" t="str">
        <f ca="1">IF(NAMES!$B$10=FALSE,IF($B51="","",CIE_HT(K$28,$Q$2,OFFSET(Source!$A59,0,0,1,Config!$K$7))),IF($B51="","",IF(Calcul!$BC$7=$Q$2,Calcul!BI36,Calcul!BS36)))</f>
        <v/>
      </c>
      <c r="L51" s="18" t="str">
        <f ca="1">IF(NAMES!$B$10=FALSE,IF($B51="","",CIE_HT(L$28,$Q$2,OFFSET(Source!$A59,0,0,1,Config!$K$7))),IF($B51="","",IF(Calcul!$BC$7=$Q$2,Calcul!BJ36,Calcul!BT36)))</f>
        <v/>
      </c>
      <c r="M51" s="18" t="str">
        <f ca="1">IF(NAMES!$B$10=FALSE,IF($B51="","",CIE_HT(M$28,$Q$2,OFFSET(Source!$A59,0,0,1,Config!$K$7))),IF($B51="","",IF(Calcul!$BC$7=$Q$2,Calcul!BK36,Calcul!BU36)))</f>
        <v/>
      </c>
      <c r="N51" s="18" t="str">
        <f ca="1">IF(NAMES!$B$10=FALSE,IF($B51="","",CIE_HT(N$28,$Q$2,OFFSET(Source!$A59,0,0,1,Config!$K$7))),IF($B51="","",IF(Calcul!$BC$7=$Q$2,Calcul!BL36,Calcul!BV36)))</f>
        <v/>
      </c>
      <c r="O51" s="18" t="str">
        <f ca="1">IF(NAMES!$B$10=FALSE,IF($B51="","",CIE_HT(O$28,$Q$2,OFFSET(Source!$A59,0,0,1,Config!$K$7))),IF($B51="","",IF(Calcul!$BC$7=$Q$2,Calcul!BM36,Calcul!BW36)))</f>
        <v/>
      </c>
      <c r="P51" s="18" t="str">
        <f ca="1">IF(NAMES!$B$10=FALSE,IF($B51="","",CIE_HT(P$28,$Q$2,OFFSET(Source!$A59,0,0,1,Config!$K$7))),IF($B51="","",IF(Calcul!$BC$7=$Q$2,Calcul!BN36,Calcul!BX36)))</f>
        <v/>
      </c>
      <c r="Q51" s="18" t="str">
        <f t="shared" si="3"/>
        <v/>
      </c>
      <c r="R51" s="18" t="str">
        <f ca="1">IF(NAMES!$B$10=FALSE,IF($B51="","",TOT_CIE_TC(I$28:P$28,$Q$2,OFFSET(Source!$A59,0,0,1,Config!$K$7))),IF($B51="","",Q51*TAXE))</f>
        <v/>
      </c>
      <c r="S51" s="1855" t="str">
        <f ca="1">IF(NAMES!$B$10=FALSE,IF($B51="","",_xludf.FORMULA($B51,$Q$2,OFFSET(Source!$A59,0,0,1,Config!$K$7))),IF($Q$2="AIG Luxembourg",Calcul!ED36,Calcul!ID36))</f>
        <v/>
      </c>
      <c r="T51" s="1855"/>
      <c r="U51" s="1855"/>
    </row>
    <row r="52" spans="1:21" ht="12.75" hidden="1" customHeight="1">
      <c r="A52" s="11" t="str">
        <f>IF(NAMES!$B$10=TRUE,IF(Cotations!C37=FALSE,"",Cotations!E37),IF(Source!A60="","",YEAR(Source!$B$2)&amp;"-"&amp;YEAR(Source!$C$2)&amp;"!"))</f>
        <v/>
      </c>
      <c r="B52" s="11" t="str">
        <f>IF(NAMES!$B$10=FALSE,IF(Source!A60="","",Source!A60),Cotations!G37)</f>
        <v/>
      </c>
      <c r="C52" s="11" t="str">
        <f>IF(NAMES!$B$10=FALSE,IF($B52="","",Source!B60),IF($B52="","",Crewlist!J37))</f>
        <v/>
      </c>
      <c r="D52" s="11" t="str">
        <f>IF(NAMES!$B$10=FALSE,IF($B52="","",Source!C60),IF($B52="","",Cotations!I37))</f>
        <v/>
      </c>
      <c r="E52" s="11" t="str">
        <f>IF(NAMES!$B$10=FALSE,IF($B52="","",Source!D60),IF($B52="","",Crewlist!G37))</f>
        <v/>
      </c>
      <c r="F52" s="16" t="str">
        <f>IF(NAMES!$B$10=FALSE,IF($B52="","",Source!E60),IF($B52="","",Crewlist!K37))</f>
        <v/>
      </c>
      <c r="G52" s="17" t="str">
        <f>IF(NAMES!$B$10=FALSE,IF($B52="","",Source!F60),Cotations!P37)</f>
        <v/>
      </c>
      <c r="H52" s="17" t="str">
        <f>IF(NAMES!$B$10=FALSE,IF($B52="","",Source!G60),Cotations!N37)</f>
        <v/>
      </c>
      <c r="I52" s="18" t="str">
        <f ca="1">IF(NAMES!$B$10=FALSE,IF($B52="","",CIE_HT(I$28,$Q$2,OFFSET(Source!$A60,0,0,1,Config!$K$7))),IF($B52="","",IF(Calcul!$BC$7=$Q$2,Calcul!BE37,Calcul!BQ37)))</f>
        <v/>
      </c>
      <c r="J52" s="18" t="str">
        <f ca="1">IF(NAMES!$B$10=FALSE,IF($B52="","",CIE_HT(J$28,$Q$2,OFFSET(Source!$A60,0,0,1,Config!$K$7))),IF($B52="","",IF(Calcul!$BC$7=$Q$2,Calcul!BF37+Calcul!BG37+Calcul!BH37,Calcul!BR37)))</f>
        <v/>
      </c>
      <c r="K52" s="18" t="str">
        <f ca="1">IF(NAMES!$B$10=FALSE,IF($B52="","",CIE_HT(K$28,$Q$2,OFFSET(Source!$A60,0,0,1,Config!$K$7))),IF($B52="","",IF(Calcul!$BC$7=$Q$2,Calcul!BI37,Calcul!BS37)))</f>
        <v/>
      </c>
      <c r="L52" s="18" t="str">
        <f ca="1">IF(NAMES!$B$10=FALSE,IF($B52="","",CIE_HT(L$28,$Q$2,OFFSET(Source!$A60,0,0,1,Config!$K$7))),IF($B52="","",IF(Calcul!$BC$7=$Q$2,Calcul!BJ37,Calcul!BT37)))</f>
        <v/>
      </c>
      <c r="M52" s="18" t="str">
        <f ca="1">IF(NAMES!$B$10=FALSE,IF($B52="","",CIE_HT(M$28,$Q$2,OFFSET(Source!$A60,0,0,1,Config!$K$7))),IF($B52="","",IF(Calcul!$BC$7=$Q$2,Calcul!BK37,Calcul!BU37)))</f>
        <v/>
      </c>
      <c r="N52" s="18" t="str">
        <f ca="1">IF(NAMES!$B$10=FALSE,IF($B52="","",CIE_HT(N$28,$Q$2,OFFSET(Source!$A60,0,0,1,Config!$K$7))),IF($B52="","",IF(Calcul!$BC$7=$Q$2,Calcul!BL37,Calcul!BV37)))</f>
        <v/>
      </c>
      <c r="O52" s="18" t="str">
        <f ca="1">IF(NAMES!$B$10=FALSE,IF($B52="","",CIE_HT(O$28,$Q$2,OFFSET(Source!$A60,0,0,1,Config!$K$7))),IF($B52="","",IF(Calcul!$BC$7=$Q$2,Calcul!BM37,Calcul!BW37)))</f>
        <v/>
      </c>
      <c r="P52" s="18" t="str">
        <f ca="1">IF(NAMES!$B$10=FALSE,IF($B52="","",CIE_HT(P$28,$Q$2,OFFSET(Source!$A60,0,0,1,Config!$K$7))),IF($B52="","",IF(Calcul!$BC$7=$Q$2,Calcul!BN37,Calcul!BX37)))</f>
        <v/>
      </c>
      <c r="Q52" s="18" t="str">
        <f t="shared" si="3"/>
        <v/>
      </c>
      <c r="R52" s="18" t="str">
        <f ca="1">IF(NAMES!$B$10=FALSE,IF($B52="","",TOT_CIE_TC(I$28:P$28,$Q$2,OFFSET(Source!$A60,0,0,1,Config!$K$7))),IF($B52="","",Q52*TAXE))</f>
        <v/>
      </c>
      <c r="S52" s="1855" t="str">
        <f ca="1">IF(NAMES!$B$10=FALSE,IF($B52="","",_xludf.FORMULA($B52,$Q$2,OFFSET(Source!$A60,0,0,1,Config!$K$7))),IF($Q$2="AIG Luxembourg",Calcul!ED37,Calcul!ID37))</f>
        <v/>
      </c>
      <c r="T52" s="1855"/>
      <c r="U52" s="1855"/>
    </row>
    <row r="53" spans="1:21" hidden="1">
      <c r="A53" s="11" t="str">
        <f>IF(NAMES!$B$10=TRUE,IF(Cotations!C38=FALSE,"",Cotations!E38),IF(Source!A61="","",YEAR(Source!$B$2)&amp;"-"&amp;YEAR(Source!$C$2)&amp;"!"))</f>
        <v/>
      </c>
      <c r="B53" s="11" t="str">
        <f>IF(NAMES!$B$10=FALSE,IF(Source!A61="","",Source!A61),Cotations!G38)</f>
        <v/>
      </c>
      <c r="C53" s="11" t="str">
        <f>IF(NAMES!$B$10=FALSE,IF($B53="","",Source!B61),IF($B53="","",Crewlist!J38))</f>
        <v/>
      </c>
      <c r="D53" s="11" t="str">
        <f>IF(NAMES!$B$10=FALSE,IF($B53="","",Source!C61),IF($B53="","",Cotations!I38))</f>
        <v/>
      </c>
      <c r="E53" s="11" t="str">
        <f>IF(NAMES!$B$10=FALSE,IF($B53="","",Source!D61),IF($B53="","",Crewlist!G38))</f>
        <v/>
      </c>
      <c r="F53" s="16" t="str">
        <f>IF(NAMES!$B$10=FALSE,IF($B53="","",Source!E61),IF($B53="","",Crewlist!K38))</f>
        <v/>
      </c>
      <c r="G53" s="17" t="str">
        <f>IF(NAMES!$B$10=FALSE,IF($B53="","",Source!F61),Cotations!P38)</f>
        <v/>
      </c>
      <c r="H53" s="17" t="str">
        <f>IF(NAMES!$B$10=FALSE,IF($B53="","",Source!G61),Cotations!N38)</f>
        <v/>
      </c>
      <c r="I53" s="18" t="str">
        <f ca="1">IF(NAMES!$B$10=FALSE,IF($B53="","",CIE_HT(I$28,$Q$2,OFFSET(Source!$A61,0,0,1,Config!$K$7))),IF($B53="","",IF(Calcul!$BC$7=$Q$2,Calcul!BE38,Calcul!BQ38)))</f>
        <v/>
      </c>
      <c r="J53" s="18" t="str">
        <f ca="1">IF(NAMES!$B$10=FALSE,IF($B53="","",CIE_HT(J$28,$Q$2,OFFSET(Source!$A61,0,0,1,Config!$K$7))),IF($B53="","",IF(Calcul!$BC$7=$Q$2,Calcul!BF38+Calcul!BG38+Calcul!BH38,Calcul!BR38)))</f>
        <v/>
      </c>
      <c r="K53" s="18" t="str">
        <f ca="1">IF(NAMES!$B$10=FALSE,IF($B53="","",CIE_HT(K$28,$Q$2,OFFSET(Source!$A61,0,0,1,Config!$K$7))),IF($B53="","",IF(Calcul!$BC$7=$Q$2,Calcul!BI38,Calcul!BS38)))</f>
        <v/>
      </c>
      <c r="L53" s="18" t="str">
        <f ca="1">IF(NAMES!$B$10=FALSE,IF($B53="","",CIE_HT(L$28,$Q$2,OFFSET(Source!$A61,0,0,1,Config!$K$7))),IF($B53="","",IF(Calcul!$BC$7=$Q$2,Calcul!BJ38,Calcul!BT38)))</f>
        <v/>
      </c>
      <c r="M53" s="18" t="str">
        <f ca="1">IF(NAMES!$B$10=FALSE,IF($B53="","",CIE_HT(M$28,$Q$2,OFFSET(Source!$A61,0,0,1,Config!$K$7))),IF($B53="","",IF(Calcul!$BC$7=$Q$2,Calcul!BK38,Calcul!BU38)))</f>
        <v/>
      </c>
      <c r="N53" s="18" t="str">
        <f ca="1">IF(NAMES!$B$10=FALSE,IF($B53="","",CIE_HT(N$28,$Q$2,OFFSET(Source!$A61,0,0,1,Config!$K$7))),IF($B53="","",IF(Calcul!$BC$7=$Q$2,Calcul!BL38,Calcul!BV38)))</f>
        <v/>
      </c>
      <c r="O53" s="18" t="str">
        <f ca="1">IF(NAMES!$B$10=FALSE,IF($B53="","",CIE_HT(O$28,$Q$2,OFFSET(Source!$A61,0,0,1,Config!$K$7))),IF($B53="","",IF(Calcul!$BC$7=$Q$2,Calcul!BM38,Calcul!BW38)))</f>
        <v/>
      </c>
      <c r="P53" s="18" t="str">
        <f ca="1">IF(NAMES!$B$10=FALSE,IF($B53="","",CIE_HT(P$28,$Q$2,OFFSET(Source!$A61,0,0,1,Config!$K$7))),IF($B53="","",IF(Calcul!$BC$7=$Q$2,Calcul!BN38,Calcul!BX38)))</f>
        <v/>
      </c>
      <c r="Q53" s="18" t="str">
        <f t="shared" si="3"/>
        <v/>
      </c>
      <c r="R53" s="18" t="str">
        <f ca="1">IF(NAMES!$B$10=FALSE,IF($B53="","",TOT_CIE_TC(I$28:P$28,$Q$2,OFFSET(Source!$A61,0,0,1,Config!$K$7))),IF($B53="","",Q53*TAXE))</f>
        <v/>
      </c>
      <c r="S53" s="1855" t="str">
        <f ca="1">IF(NAMES!$B$10=FALSE,IF($B53="","",_xludf.FORMULA($B53,$Q$2,OFFSET(Source!$A61,0,0,1,Config!$K$7))),IF($Q$2="AIG Luxembourg",Calcul!ED38,Calcul!ID38))</f>
        <v/>
      </c>
      <c r="T53" s="1855"/>
      <c r="U53" s="1855"/>
    </row>
    <row r="54" spans="1:21" hidden="1">
      <c r="A54" s="11" t="str">
        <f>IF(NAMES!$B$10=TRUE,IF(Cotations!C39=FALSE,"",Cotations!E39),IF(Source!A62="","",YEAR(Source!$B$2)&amp;"-"&amp;YEAR(Source!$C$2)&amp;"!"))</f>
        <v/>
      </c>
      <c r="B54" s="11" t="str">
        <f>IF(NAMES!$B$10=FALSE,IF(Source!A62="","",Source!A62),Cotations!G39)</f>
        <v/>
      </c>
      <c r="C54" s="11" t="str">
        <f>IF(NAMES!$B$10=FALSE,IF($B54="","",Source!B62),IF($B54="","",Crewlist!J39))</f>
        <v/>
      </c>
      <c r="D54" s="11" t="str">
        <f>IF(NAMES!$B$10=FALSE,IF($B54="","",Source!C62),IF($B54="","",Cotations!I39))</f>
        <v/>
      </c>
      <c r="E54" s="11" t="str">
        <f>IF(NAMES!$B$10=FALSE,IF($B54="","",Source!D62),IF($B54="","",Crewlist!G39))</f>
        <v/>
      </c>
      <c r="F54" s="16" t="str">
        <f>IF(NAMES!$B$10=FALSE,IF($B54="","",Source!E62),IF($B54="","",Crewlist!K39))</f>
        <v/>
      </c>
      <c r="G54" s="17" t="str">
        <f>IF(NAMES!$B$10=FALSE,IF($B54="","",Source!F62),Cotations!P39)</f>
        <v/>
      </c>
      <c r="H54" s="17" t="str">
        <f>IF(NAMES!$B$10=FALSE,IF($B54="","",Source!G62),Cotations!N39)</f>
        <v/>
      </c>
      <c r="I54" s="18" t="str">
        <f ca="1">IF(NAMES!$B$10=FALSE,IF($B54="","",CIE_HT(I$28,$Q$2,OFFSET(Source!$A62,0,0,1,Config!$K$7))),IF($B54="","",IF(Calcul!$BC$7=$Q$2,Calcul!BE39,Calcul!BQ39)))</f>
        <v/>
      </c>
      <c r="J54" s="18" t="str">
        <f ca="1">IF(NAMES!$B$10=FALSE,IF($B54="","",CIE_HT(J$28,$Q$2,OFFSET(Source!$A62,0,0,1,Config!$K$7))),IF($B54="","",IF(Calcul!$BC$7=$Q$2,Calcul!BF39+Calcul!BG39+Calcul!BH39,Calcul!BR39)))</f>
        <v/>
      </c>
      <c r="K54" s="18" t="str">
        <f ca="1">IF(NAMES!$B$10=FALSE,IF($B54="","",CIE_HT(K$28,$Q$2,OFFSET(Source!$A62,0,0,1,Config!$K$7))),IF($B54="","",IF(Calcul!$BC$7=$Q$2,Calcul!BI39,Calcul!BS39)))</f>
        <v/>
      </c>
      <c r="L54" s="18" t="str">
        <f ca="1">IF(NAMES!$B$10=FALSE,IF($B54="","",CIE_HT(L$28,$Q$2,OFFSET(Source!$A62,0,0,1,Config!$K$7))),IF($B54="","",IF(Calcul!$BC$7=$Q$2,Calcul!BJ39,Calcul!BT39)))</f>
        <v/>
      </c>
      <c r="M54" s="18" t="str">
        <f ca="1">IF(NAMES!$B$10=FALSE,IF($B54="","",CIE_HT(M$28,$Q$2,OFFSET(Source!$A62,0,0,1,Config!$K$7))),IF($B54="","",IF(Calcul!$BC$7=$Q$2,Calcul!BK39,Calcul!BU39)))</f>
        <v/>
      </c>
      <c r="N54" s="18" t="str">
        <f ca="1">IF(NAMES!$B$10=FALSE,IF($B54="","",CIE_HT(N$28,$Q$2,OFFSET(Source!$A62,0,0,1,Config!$K$7))),IF($B54="","",IF(Calcul!$BC$7=$Q$2,Calcul!BL39,Calcul!BV39)))</f>
        <v/>
      </c>
      <c r="O54" s="18" t="str">
        <f ca="1">IF(NAMES!$B$10=FALSE,IF($B54="","",CIE_HT(O$28,$Q$2,OFFSET(Source!$A62,0,0,1,Config!$K$7))),IF($B54="","",IF(Calcul!$BC$7=$Q$2,Calcul!BM39,Calcul!BW39)))</f>
        <v/>
      </c>
      <c r="P54" s="18" t="str">
        <f ca="1">IF(NAMES!$B$10=FALSE,IF($B54="","",CIE_HT(P$28,$Q$2,OFFSET(Source!$A62,0,0,1,Config!$K$7))),IF($B54="","",IF(Calcul!$BC$7=$Q$2,Calcul!BN39,Calcul!BX39)))</f>
        <v/>
      </c>
      <c r="Q54" s="18" t="str">
        <f t="shared" si="3"/>
        <v/>
      </c>
      <c r="R54" s="18" t="str">
        <f ca="1">IF(NAMES!$B$10=FALSE,IF($B54="","",TOT_CIE_TC(I$28:P$28,$Q$2,OFFSET(Source!$A62,0,0,1,Config!$K$7))),IF($B54="","",Q54*TAXE))</f>
        <v/>
      </c>
      <c r="S54" s="1855" t="str">
        <f ca="1">IF(NAMES!$B$10=FALSE,IF($B54="","",_xludf.FORMULA($B54,$Q$2,OFFSET(Source!$A62,0,0,1,Config!$K$7))),IF($Q$2="AIG Luxembourg",Calcul!ED39,Calcul!ID39))</f>
        <v/>
      </c>
      <c r="T54" s="1855"/>
      <c r="U54" s="1855"/>
    </row>
    <row r="55" spans="1:21" hidden="1">
      <c r="A55" s="11" t="str">
        <f>IF(NAMES!$B$10=TRUE,IF(Cotations!C40=FALSE,"",Cotations!E40),IF(Source!A63="","",YEAR(Source!$B$2)&amp;"-"&amp;YEAR(Source!$C$2)&amp;"!"))</f>
        <v/>
      </c>
      <c r="B55" s="11" t="str">
        <f>IF(NAMES!$B$10=FALSE,IF(Source!A63="","",Source!A63),Cotations!G40)</f>
        <v/>
      </c>
      <c r="C55" s="11" t="str">
        <f>IF(NAMES!$B$10=FALSE,IF($B55="","",Source!B63),IF($B55="","",Crewlist!J40))</f>
        <v/>
      </c>
      <c r="D55" s="11" t="str">
        <f>IF(NAMES!$B$10=FALSE,IF($B55="","",Source!C63),IF($B55="","",Cotations!I40))</f>
        <v/>
      </c>
      <c r="E55" s="11" t="str">
        <f>IF(NAMES!$B$10=FALSE,IF($B55="","",Source!D63),IF($B55="","",Crewlist!G40))</f>
        <v/>
      </c>
      <c r="F55" s="16" t="str">
        <f>IF(NAMES!$B$10=FALSE,IF($B55="","",Source!E63),IF($B55="","",Crewlist!K40))</f>
        <v/>
      </c>
      <c r="G55" s="17" t="str">
        <f>IF(NAMES!$B$10=FALSE,IF($B55="","",Source!F63),Cotations!P40)</f>
        <v/>
      </c>
      <c r="H55" s="17" t="str">
        <f>IF(NAMES!$B$10=FALSE,IF($B55="","",Source!G63),Cotations!N40)</f>
        <v/>
      </c>
      <c r="I55" s="18" t="str">
        <f ca="1">IF(NAMES!$B$10=FALSE,IF($B55="","",CIE_HT(I$28,$Q$2,OFFSET(Source!$A63,0,0,1,Config!$K$7))),IF($B55="","",IF(Calcul!$BC$7=$Q$2,Calcul!BE40,Calcul!BQ40)))</f>
        <v/>
      </c>
      <c r="J55" s="18" t="str">
        <f ca="1">IF(NAMES!$B$10=FALSE,IF($B55="","",CIE_HT(J$28,$Q$2,OFFSET(Source!$A63,0,0,1,Config!$K$7))),IF($B55="","",IF(Calcul!$BC$7=$Q$2,Calcul!BF40+Calcul!BG40+Calcul!BH40,Calcul!BR40)))</f>
        <v/>
      </c>
      <c r="K55" s="18" t="str">
        <f ca="1">IF(NAMES!$B$10=FALSE,IF($B55="","",CIE_HT(K$28,$Q$2,OFFSET(Source!$A63,0,0,1,Config!$K$7))),IF($B55="","",IF(Calcul!$BC$7=$Q$2,Calcul!BI40,Calcul!BS40)))</f>
        <v/>
      </c>
      <c r="L55" s="18" t="str">
        <f ca="1">IF(NAMES!$B$10=FALSE,IF($B55="","",CIE_HT(L$28,$Q$2,OFFSET(Source!$A63,0,0,1,Config!$K$7))),IF($B55="","",IF(Calcul!$BC$7=$Q$2,Calcul!BJ40,Calcul!BT40)))</f>
        <v/>
      </c>
      <c r="M55" s="18" t="str">
        <f ca="1">IF(NAMES!$B$10=FALSE,IF($B55="","",CIE_HT(M$28,$Q$2,OFFSET(Source!$A63,0,0,1,Config!$K$7))),IF($B55="","",IF(Calcul!$BC$7=$Q$2,Calcul!BK40,Calcul!BU40)))</f>
        <v/>
      </c>
      <c r="N55" s="18" t="str">
        <f ca="1">IF(NAMES!$B$10=FALSE,IF($B55="","",CIE_HT(N$28,$Q$2,OFFSET(Source!$A63,0,0,1,Config!$K$7))),IF($B55="","",IF(Calcul!$BC$7=$Q$2,Calcul!BL40,Calcul!BV40)))</f>
        <v/>
      </c>
      <c r="O55" s="18" t="str">
        <f ca="1">IF(NAMES!$B$10=FALSE,IF($B55="","",CIE_HT(O$28,$Q$2,OFFSET(Source!$A63,0,0,1,Config!$K$7))),IF($B55="","",IF(Calcul!$BC$7=$Q$2,Calcul!BM40,Calcul!BW40)))</f>
        <v/>
      </c>
      <c r="P55" s="18" t="str">
        <f ca="1">IF(NAMES!$B$10=FALSE,IF($B55="","",CIE_HT(P$28,$Q$2,OFFSET(Source!$A63,0,0,1,Config!$K$7))),IF($B55="","",IF(Calcul!$BC$7=$Q$2,Calcul!BN40,Calcul!BX40)))</f>
        <v/>
      </c>
      <c r="Q55" s="18" t="str">
        <f t="shared" si="3"/>
        <v/>
      </c>
      <c r="R55" s="18" t="str">
        <f ca="1">IF(NAMES!$B$10=FALSE,IF($B55="","",TOT_CIE_TC(I$28:P$28,$Q$2,OFFSET(Source!$A63,0,0,1,Config!$K$7))),IF($B55="","",Q55*TAXE))</f>
        <v/>
      </c>
      <c r="S55" s="1855" t="str">
        <f ca="1">IF(NAMES!$B$10=FALSE,IF($B55="","",_xludf.FORMULA($B55,$Q$2,OFFSET(Source!$A63,0,0,1,Config!$K$7))),IF($Q$2="AIG Luxembourg",Calcul!ED40,Calcul!ID40))</f>
        <v/>
      </c>
      <c r="T55" s="1855"/>
      <c r="U55" s="1855"/>
    </row>
    <row r="56" spans="1:21" hidden="1">
      <c r="A56" s="11" t="str">
        <f>IF(NAMES!$B$10=TRUE,IF(Cotations!C41=FALSE,"",Cotations!E41),IF(Source!A64="","",YEAR(Source!$B$2)&amp;"-"&amp;YEAR(Source!$C$2)&amp;"!"))</f>
        <v/>
      </c>
      <c r="B56" s="11" t="str">
        <f>IF(NAMES!$B$10=FALSE,IF(Source!A64="","",Source!A64),Cotations!G41)</f>
        <v/>
      </c>
      <c r="C56" s="11" t="str">
        <f>IF(NAMES!$B$10=FALSE,IF($B56="","",Source!B64),IF($B56="","",Crewlist!J41))</f>
        <v/>
      </c>
      <c r="D56" s="11" t="str">
        <f>IF(NAMES!$B$10=FALSE,IF($B56="","",Source!C64),IF($B56="","",Cotations!I41))</f>
        <v/>
      </c>
      <c r="E56" s="11" t="str">
        <f>IF(NAMES!$B$10=FALSE,IF($B56="","",Source!D64),IF($B56="","",Crewlist!G41))</f>
        <v/>
      </c>
      <c r="F56" s="16" t="str">
        <f>IF(NAMES!$B$10=FALSE,IF($B56="","",Source!E64),IF($B56="","",Crewlist!K41))</f>
        <v/>
      </c>
      <c r="G56" s="17" t="str">
        <f>IF(NAMES!$B$10=FALSE,IF($B56="","",Source!F64),Cotations!P41)</f>
        <v/>
      </c>
      <c r="H56" s="17" t="str">
        <f>IF(NAMES!$B$10=FALSE,IF($B56="","",Source!G64),Cotations!N41)</f>
        <v/>
      </c>
      <c r="I56" s="18" t="str">
        <f ca="1">IF(NAMES!$B$10=FALSE,IF($B56="","",CIE_HT(I$28,$Q$2,OFFSET(Source!$A64,0,0,1,Config!$K$7))),IF($B56="","",IF(Calcul!$BC$7=$Q$2,Calcul!BE41,Calcul!BQ41)))</f>
        <v/>
      </c>
      <c r="J56" s="18" t="str">
        <f ca="1">IF(NAMES!$B$10=FALSE,IF($B56="","",CIE_HT(J$28,$Q$2,OFFSET(Source!$A64,0,0,1,Config!$K$7))),IF($B56="","",IF(Calcul!$BC$7=$Q$2,Calcul!BF41+Calcul!BG41+Calcul!BH41,Calcul!BR41)))</f>
        <v/>
      </c>
      <c r="K56" s="18" t="str">
        <f ca="1">IF(NAMES!$B$10=FALSE,IF($B56="","",CIE_HT(K$28,$Q$2,OFFSET(Source!$A64,0,0,1,Config!$K$7))),IF($B56="","",IF(Calcul!$BC$7=$Q$2,Calcul!BI41,Calcul!BS41)))</f>
        <v/>
      </c>
      <c r="L56" s="18" t="str">
        <f ca="1">IF(NAMES!$B$10=FALSE,IF($B56="","",CIE_HT(L$28,$Q$2,OFFSET(Source!$A64,0,0,1,Config!$K$7))),IF($B56="","",IF(Calcul!$BC$7=$Q$2,Calcul!BJ41,Calcul!BT41)))</f>
        <v/>
      </c>
      <c r="M56" s="18" t="str">
        <f ca="1">IF(NAMES!$B$10=FALSE,IF($B56="","",CIE_HT(M$28,$Q$2,OFFSET(Source!$A64,0,0,1,Config!$K$7))),IF($B56="","",IF(Calcul!$BC$7=$Q$2,Calcul!BK41,Calcul!BU41)))</f>
        <v/>
      </c>
      <c r="N56" s="18" t="str">
        <f ca="1">IF(NAMES!$B$10=FALSE,IF($B56="","",CIE_HT(N$28,$Q$2,OFFSET(Source!$A64,0,0,1,Config!$K$7))),IF($B56="","",IF(Calcul!$BC$7=$Q$2,Calcul!BL41,Calcul!BV41)))</f>
        <v/>
      </c>
      <c r="O56" s="18" t="str">
        <f ca="1">IF(NAMES!$B$10=FALSE,IF($B56="","",CIE_HT(O$28,$Q$2,OFFSET(Source!$A64,0,0,1,Config!$K$7))),IF($B56="","",IF(Calcul!$BC$7=$Q$2,Calcul!BM41,Calcul!BW41)))</f>
        <v/>
      </c>
      <c r="P56" s="18" t="str">
        <f ca="1">IF(NAMES!$B$10=FALSE,IF($B56="","",CIE_HT(P$28,$Q$2,OFFSET(Source!$A64,0,0,1,Config!$K$7))),IF($B56="","",IF(Calcul!$BC$7=$Q$2,Calcul!BN41,Calcul!BX41)))</f>
        <v/>
      </c>
      <c r="Q56" s="18" t="str">
        <f t="shared" si="3"/>
        <v/>
      </c>
      <c r="R56" s="18" t="str">
        <f ca="1">IF(NAMES!$B$10=FALSE,IF($B56="","",TOT_CIE_TC(I$28:P$28,$Q$2,OFFSET(Source!$A64,0,0,1,Config!$K$7))),IF($B56="","",Q56*TAXE))</f>
        <v/>
      </c>
      <c r="S56" s="1855" t="str">
        <f ca="1">IF(NAMES!$B$10=FALSE,IF($B56="","",_xludf.FORMULA($B56,$Q$2,OFFSET(Source!$A64,0,0,1,Config!$K$7))),IF($Q$2="AIG Luxembourg",Calcul!ED41,Calcul!ID41))</f>
        <v/>
      </c>
      <c r="T56" s="1855"/>
      <c r="U56" s="1855"/>
    </row>
    <row r="57" spans="1:21" ht="12.75" hidden="1" customHeight="1">
      <c r="A57" s="11" t="str">
        <f>IF(NAMES!$B$10=TRUE,IF(Cotations!C42=FALSE,"",Cotations!E42),IF(Source!A65="","",YEAR(Source!$B$2)&amp;"-"&amp;YEAR(Source!$C$2)&amp;"!"))</f>
        <v/>
      </c>
      <c r="B57" s="11" t="str">
        <f>IF(NAMES!$B$10=FALSE,IF(Source!A65="","",Source!A65),Cotations!G42)</f>
        <v/>
      </c>
      <c r="C57" s="11" t="str">
        <f>IF(NAMES!$B$10=FALSE,IF($B57="","",Source!B65),IF($B57="","",Crewlist!J42))</f>
        <v/>
      </c>
      <c r="D57" s="11" t="str">
        <f>IF(NAMES!$B$10=FALSE,IF($B57="","",Source!C65),IF($B57="","",Cotations!I42))</f>
        <v/>
      </c>
      <c r="E57" s="11" t="str">
        <f>IF(NAMES!$B$10=FALSE,IF($B57="","",Source!D65),IF($B57="","",Crewlist!G42))</f>
        <v/>
      </c>
      <c r="F57" s="16" t="str">
        <f>IF(NAMES!$B$10=FALSE,IF($B57="","",Source!E65),IF($B57="","",Crewlist!K42))</f>
        <v/>
      </c>
      <c r="G57" s="17" t="str">
        <f>IF(NAMES!$B$10=FALSE,IF($B57="","",Source!F65),Cotations!P42)</f>
        <v/>
      </c>
      <c r="H57" s="17" t="str">
        <f>IF(NAMES!$B$10=FALSE,IF($B57="","",Source!G65),Cotations!N42)</f>
        <v/>
      </c>
      <c r="I57" s="18" t="str">
        <f ca="1">IF(NAMES!$B$10=FALSE,IF($B57="","",CIE_HT(I$28,$Q$2,OFFSET(Source!$A65,0,0,1,Config!$K$7))),IF($B57="","",IF(Calcul!$BC$7=$Q$2,Calcul!BE42,Calcul!BQ42)))</f>
        <v/>
      </c>
      <c r="J57" s="18" t="str">
        <f ca="1">IF(NAMES!$B$10=FALSE,IF($B57="","",CIE_HT(J$28,$Q$2,OFFSET(Source!$A65,0,0,1,Config!$K$7))),IF($B57="","",IF(Calcul!$BC$7=$Q$2,Calcul!BF42+Calcul!BG42+Calcul!BH42,Calcul!BR42)))</f>
        <v/>
      </c>
      <c r="K57" s="18" t="str">
        <f ca="1">IF(NAMES!$B$10=FALSE,IF($B57="","",CIE_HT(K$28,$Q$2,OFFSET(Source!$A65,0,0,1,Config!$K$7))),IF($B57="","",IF(Calcul!$BC$7=$Q$2,Calcul!BI42,Calcul!BS42)))</f>
        <v/>
      </c>
      <c r="L57" s="18" t="str">
        <f ca="1">IF(NAMES!$B$10=FALSE,IF($B57="","",CIE_HT(L$28,$Q$2,OFFSET(Source!$A65,0,0,1,Config!$K$7))),IF($B57="","",IF(Calcul!$BC$7=$Q$2,Calcul!BJ42,Calcul!BT42)))</f>
        <v/>
      </c>
      <c r="M57" s="18" t="str">
        <f ca="1">IF(NAMES!$B$10=FALSE,IF($B57="","",CIE_HT(M$28,$Q$2,OFFSET(Source!$A65,0,0,1,Config!$K$7))),IF($B57="","",IF(Calcul!$BC$7=$Q$2,Calcul!BK42,Calcul!BU42)))</f>
        <v/>
      </c>
      <c r="N57" s="18" t="str">
        <f ca="1">IF(NAMES!$B$10=FALSE,IF($B57="","",CIE_HT(N$28,$Q$2,OFFSET(Source!$A65,0,0,1,Config!$K$7))),IF($B57="","",IF(Calcul!$BC$7=$Q$2,Calcul!BL42,Calcul!BV42)))</f>
        <v/>
      </c>
      <c r="O57" s="18" t="str">
        <f ca="1">IF(NAMES!$B$10=FALSE,IF($B57="","",CIE_HT(O$28,$Q$2,OFFSET(Source!$A65,0,0,1,Config!$K$7))),IF($B57="","",IF(Calcul!$BC$7=$Q$2,Calcul!BM42,Calcul!BW42)))</f>
        <v/>
      </c>
      <c r="P57" s="18" t="str">
        <f ca="1">IF(NAMES!$B$10=FALSE,IF($B57="","",CIE_HT(P$28,$Q$2,OFFSET(Source!$A65,0,0,1,Config!$K$7))),IF($B57="","",IF(Calcul!$BC$7=$Q$2,Calcul!BN42,Calcul!BX42)))</f>
        <v/>
      </c>
      <c r="Q57" s="18" t="str">
        <f t="shared" si="3"/>
        <v/>
      </c>
      <c r="R57" s="18" t="str">
        <f ca="1">IF(NAMES!$B$10=FALSE,IF($B57="","",TOT_CIE_TC(I$28:P$28,$Q$2,OFFSET(Source!$A65,0,0,1,Config!$K$7))),IF($B57="","",Q57*TAXE))</f>
        <v/>
      </c>
      <c r="S57" s="1855" t="str">
        <f ca="1">IF(NAMES!$B$10=FALSE,IF($B57="","",_xludf.FORMULA($B57,$Q$2,OFFSET(Source!$A65,0,0,1,Config!$K$7))),IF($Q$2="AIG Luxembourg",Calcul!ED42,Calcul!ID42))</f>
        <v/>
      </c>
      <c r="T57" s="1855"/>
      <c r="U57" s="1855"/>
    </row>
    <row r="58" spans="1:21" ht="12.75" hidden="1" customHeight="1">
      <c r="A58" s="11" t="str">
        <f>IF(NAMES!$B$10=TRUE,IF(Cotations!C43=FALSE,"",Cotations!E43),IF(Source!A66="","",YEAR(Source!$B$2)&amp;"-"&amp;YEAR(Source!$C$2)&amp;"!"))</f>
        <v/>
      </c>
      <c r="B58" s="11" t="str">
        <f>IF(NAMES!$B$10=FALSE,IF(Source!A66="","",Source!A66),Cotations!G43)</f>
        <v/>
      </c>
      <c r="C58" s="11" t="str">
        <f>IF(NAMES!$B$10=FALSE,IF($B58="","",Source!B66),IF($B58="","",Crewlist!J43))</f>
        <v/>
      </c>
      <c r="D58" s="11" t="str">
        <f>IF(NAMES!$B$10=FALSE,IF($B58="","",Source!C66),IF($B58="","",Cotations!I43))</f>
        <v/>
      </c>
      <c r="E58" s="11" t="str">
        <f>IF(NAMES!$B$10=FALSE,IF($B58="","",Source!D66),IF($B58="","",Crewlist!G43))</f>
        <v/>
      </c>
      <c r="F58" s="16" t="str">
        <f>IF(NAMES!$B$10=FALSE,IF($B58="","",Source!E66),IF($B58="","",Crewlist!K43))</f>
        <v/>
      </c>
      <c r="G58" s="17" t="str">
        <f>IF(NAMES!$B$10=FALSE,IF($B58="","",Source!F66),Cotations!P43)</f>
        <v/>
      </c>
      <c r="H58" s="17" t="str">
        <f>IF(NAMES!$B$10=FALSE,IF($B58="","",Source!G66),Cotations!N43)</f>
        <v/>
      </c>
      <c r="I58" s="18" t="str">
        <f ca="1">IF(NAMES!$B$10=FALSE,IF($B58="","",CIE_HT(I$28,$Q$2,OFFSET(Source!$A66,0,0,1,Config!$K$7))),IF($B58="","",IF(Calcul!$BC$7=$Q$2,Calcul!BE43,Calcul!BQ43)))</f>
        <v/>
      </c>
      <c r="J58" s="18" t="str">
        <f ca="1">IF(NAMES!$B$10=FALSE,IF($B58="","",CIE_HT(J$28,$Q$2,OFFSET(Source!$A66,0,0,1,Config!$K$7))),IF($B58="","",IF(Calcul!$BC$7=$Q$2,Calcul!BF43+Calcul!BG43+Calcul!BH43,Calcul!BR43)))</f>
        <v/>
      </c>
      <c r="K58" s="18" t="str">
        <f ca="1">IF(NAMES!$B$10=FALSE,IF($B58="","",CIE_HT(K$28,$Q$2,OFFSET(Source!$A66,0,0,1,Config!$K$7))),IF($B58="","",IF(Calcul!$BC$7=$Q$2,Calcul!BI43,Calcul!BS43)))</f>
        <v/>
      </c>
      <c r="L58" s="18" t="str">
        <f ca="1">IF(NAMES!$B$10=FALSE,IF($B58="","",CIE_HT(L$28,$Q$2,OFFSET(Source!$A66,0,0,1,Config!$K$7))),IF($B58="","",IF(Calcul!$BC$7=$Q$2,Calcul!BJ43,Calcul!BT43)))</f>
        <v/>
      </c>
      <c r="M58" s="18" t="str">
        <f ca="1">IF(NAMES!$B$10=FALSE,IF($B58="","",CIE_HT(M$28,$Q$2,OFFSET(Source!$A66,0,0,1,Config!$K$7))),IF($B58="","",IF(Calcul!$BC$7=$Q$2,Calcul!BK43,Calcul!BU43)))</f>
        <v/>
      </c>
      <c r="N58" s="18" t="str">
        <f ca="1">IF(NAMES!$B$10=FALSE,IF($B58="","",CIE_HT(N$28,$Q$2,OFFSET(Source!$A66,0,0,1,Config!$K$7))),IF($B58="","",IF(Calcul!$BC$7=$Q$2,Calcul!BL43,Calcul!BV43)))</f>
        <v/>
      </c>
      <c r="O58" s="18" t="str">
        <f ca="1">IF(NAMES!$B$10=FALSE,IF($B58="","",CIE_HT(O$28,$Q$2,OFFSET(Source!$A66,0,0,1,Config!$K$7))),IF($B58="","",IF(Calcul!$BC$7=$Q$2,Calcul!BM43,Calcul!BW43)))</f>
        <v/>
      </c>
      <c r="P58" s="18" t="str">
        <f ca="1">IF(NAMES!$B$10=FALSE,IF($B58="","",CIE_HT(P$28,$Q$2,OFFSET(Source!$A66,0,0,1,Config!$K$7))),IF($B58="","",IF(Calcul!$BC$7=$Q$2,Calcul!BN43,Calcul!BX43)))</f>
        <v/>
      </c>
      <c r="Q58" s="18" t="str">
        <f t="shared" si="3"/>
        <v/>
      </c>
      <c r="R58" s="18" t="str">
        <f ca="1">IF(NAMES!$B$10=FALSE,IF($B58="","",TOT_CIE_TC(I$28:P$28,$Q$2,OFFSET(Source!$A66,0,0,1,Config!$K$7))),IF($B58="","",Q58*TAXE))</f>
        <v/>
      </c>
      <c r="S58" s="1855" t="str">
        <f ca="1">IF(NAMES!$B$10=FALSE,IF($B58="","",_xludf.FORMULA($B58,$Q$2,OFFSET(Source!$A66,0,0,1,Config!$K$7))),IF($Q$2="AIG Luxembourg",Calcul!ED43,Calcul!ID43))</f>
        <v/>
      </c>
      <c r="T58" s="1855"/>
      <c r="U58" s="1855"/>
    </row>
    <row r="59" spans="1:21" hidden="1">
      <c r="A59" s="11" t="str">
        <f>IF(NAMES!$B$10=TRUE,IF(Cotations!C44=FALSE,"",Cotations!E44),IF(Source!A67="","",YEAR(Source!$B$2)&amp;"-"&amp;YEAR(Source!$C$2)&amp;"!"))</f>
        <v/>
      </c>
      <c r="B59" s="11" t="str">
        <f>IF(NAMES!$B$10=FALSE,IF(Source!A67="","",Source!A67),Cotations!G44)</f>
        <v/>
      </c>
      <c r="C59" s="11" t="str">
        <f>IF(NAMES!$B$10=FALSE,IF($B59="","",Source!B67),IF($B59="","",Crewlist!J44))</f>
        <v/>
      </c>
      <c r="D59" s="11" t="str">
        <f>IF(NAMES!$B$10=FALSE,IF($B59="","",Source!C67),IF($B59="","",Cotations!I44))</f>
        <v/>
      </c>
      <c r="E59" s="11" t="str">
        <f>IF(NAMES!$B$10=FALSE,IF($B59="","",Source!D67),IF($B59="","",Crewlist!G44))</f>
        <v/>
      </c>
      <c r="F59" s="16" t="str">
        <f>IF(NAMES!$B$10=FALSE,IF($B59="","",Source!E67),IF($B59="","",Crewlist!K44))</f>
        <v/>
      </c>
      <c r="G59" s="17" t="str">
        <f>IF(NAMES!$B$10=FALSE,IF($B59="","",Source!F67),Cotations!P44)</f>
        <v/>
      </c>
      <c r="H59" s="17" t="str">
        <f>IF(NAMES!$B$10=FALSE,IF($B59="","",Source!G67),Cotations!N44)</f>
        <v/>
      </c>
      <c r="I59" s="18" t="str">
        <f ca="1">IF(NAMES!$B$10=FALSE,IF($B59="","",CIE_HT(I$28,$Q$2,OFFSET(Source!$A67,0,0,1,Config!$K$7))),IF($B59="","",IF(Calcul!$BC$7=$Q$2,Calcul!BE44,Calcul!BQ44)))</f>
        <v/>
      </c>
      <c r="J59" s="18" t="str">
        <f ca="1">IF(NAMES!$B$10=FALSE,IF($B59="","",CIE_HT(J$28,$Q$2,OFFSET(Source!$A67,0,0,1,Config!$K$7))),IF($B59="","",IF(Calcul!$BC$7=$Q$2,Calcul!BF44+Calcul!BG44+Calcul!BH44,Calcul!BR44)))</f>
        <v/>
      </c>
      <c r="K59" s="18" t="str">
        <f ca="1">IF(NAMES!$B$10=FALSE,IF($B59="","",CIE_HT(K$28,$Q$2,OFFSET(Source!$A67,0,0,1,Config!$K$7))),IF($B59="","",IF(Calcul!$BC$7=$Q$2,Calcul!BI44,Calcul!BS44)))</f>
        <v/>
      </c>
      <c r="L59" s="18" t="str">
        <f ca="1">IF(NAMES!$B$10=FALSE,IF($B59="","",CIE_HT(L$28,$Q$2,OFFSET(Source!$A67,0,0,1,Config!$K$7))),IF($B59="","",IF(Calcul!$BC$7=$Q$2,Calcul!BJ44,Calcul!BT44)))</f>
        <v/>
      </c>
      <c r="M59" s="18" t="str">
        <f ca="1">IF(NAMES!$B$10=FALSE,IF($B59="","",CIE_HT(M$28,$Q$2,OFFSET(Source!$A67,0,0,1,Config!$K$7))),IF($B59="","",IF(Calcul!$BC$7=$Q$2,Calcul!BK44,Calcul!BU44)))</f>
        <v/>
      </c>
      <c r="N59" s="18" t="str">
        <f ca="1">IF(NAMES!$B$10=FALSE,IF($B59="","",CIE_HT(N$28,$Q$2,OFFSET(Source!$A67,0,0,1,Config!$K$7))),IF($B59="","",IF(Calcul!$BC$7=$Q$2,Calcul!BL44,Calcul!BV44)))</f>
        <v/>
      </c>
      <c r="O59" s="18" t="str">
        <f ca="1">IF(NAMES!$B$10=FALSE,IF($B59="","",CIE_HT(O$28,$Q$2,OFFSET(Source!$A67,0,0,1,Config!$K$7))),IF($B59="","",IF(Calcul!$BC$7=$Q$2,Calcul!BM44,Calcul!BW44)))</f>
        <v/>
      </c>
      <c r="P59" s="18" t="str">
        <f ca="1">IF(NAMES!$B$10=FALSE,IF($B59="","",CIE_HT(P$28,$Q$2,OFFSET(Source!$A67,0,0,1,Config!$K$7))),IF($B59="","",IF(Calcul!$BC$7=$Q$2,Calcul!BN44,Calcul!BX44)))</f>
        <v/>
      </c>
      <c r="Q59" s="18" t="str">
        <f t="shared" si="3"/>
        <v/>
      </c>
      <c r="R59" s="18" t="str">
        <f ca="1">IF(NAMES!$B$10=FALSE,IF($B59="","",TOT_CIE_TC(I$28:P$28,$Q$2,OFFSET(Source!$A67,0,0,1,Config!$K$7))),IF($B59="","",Q59*TAXE))</f>
        <v/>
      </c>
      <c r="S59" s="1855" t="str">
        <f ca="1">IF(NAMES!$B$10=FALSE,IF($B59="","",_xludf.FORMULA($B59,$Q$2,OFFSET(Source!$A67,0,0,1,Config!$K$7))),IF($Q$2="AIG Luxembourg",Calcul!ED44,Calcul!ID44))</f>
        <v/>
      </c>
      <c r="T59" s="1855"/>
      <c r="U59" s="1855"/>
    </row>
    <row r="60" spans="1:21" hidden="1">
      <c r="A60" s="11" t="str">
        <f>IF(NAMES!$B$10=TRUE,IF(Cotations!C45=FALSE,"",Cotations!E45),IF(Source!A68="","",YEAR(Source!$B$2)&amp;"-"&amp;YEAR(Source!$C$2)&amp;"!"))</f>
        <v/>
      </c>
      <c r="B60" s="11" t="str">
        <f>IF(NAMES!$B$10=FALSE,IF(Source!A68="","",Source!A68),Cotations!G45)</f>
        <v/>
      </c>
      <c r="C60" s="11" t="str">
        <f>IF(NAMES!$B$10=FALSE,IF($B60="","",Source!B68),IF($B60="","",Crewlist!J45))</f>
        <v/>
      </c>
      <c r="D60" s="11" t="str">
        <f>IF(NAMES!$B$10=FALSE,IF($B60="","",Source!C68),IF($B60="","",Cotations!I45))</f>
        <v/>
      </c>
      <c r="E60" s="11" t="str">
        <f>IF(NAMES!$B$10=FALSE,IF($B60="","",Source!D68),IF($B60="","",Crewlist!G45))</f>
        <v/>
      </c>
      <c r="F60" s="16" t="str">
        <f>IF(NAMES!$B$10=FALSE,IF($B60="","",Source!E68),IF($B60="","",Crewlist!K45))</f>
        <v/>
      </c>
      <c r="G60" s="17" t="str">
        <f>IF(NAMES!$B$10=FALSE,IF($B60="","",Source!F68),Cotations!P45)</f>
        <v/>
      </c>
      <c r="H60" s="17" t="str">
        <f>IF(NAMES!$B$10=FALSE,IF($B60="","",Source!G68),Cotations!N45)</f>
        <v/>
      </c>
      <c r="I60" s="18" t="str">
        <f ca="1">IF(NAMES!$B$10=FALSE,IF($B60="","",CIE_HT(I$28,$Q$2,OFFSET(Source!$A68,0,0,1,Config!$K$7))),IF($B60="","",IF(Calcul!$BC$7=$Q$2,Calcul!BE45,Calcul!BQ45)))</f>
        <v/>
      </c>
      <c r="J60" s="18" t="str">
        <f ca="1">IF(NAMES!$B$10=FALSE,IF($B60="","",CIE_HT(J$28,$Q$2,OFFSET(Source!$A68,0,0,1,Config!$K$7))),IF($B60="","",IF(Calcul!$BC$7=$Q$2,Calcul!BF45+Calcul!BG45+Calcul!BH45,Calcul!BR45)))</f>
        <v/>
      </c>
      <c r="K60" s="18" t="str">
        <f ca="1">IF(NAMES!$B$10=FALSE,IF($B60="","",CIE_HT(K$28,$Q$2,OFFSET(Source!$A68,0,0,1,Config!$K$7))),IF($B60="","",IF(Calcul!$BC$7=$Q$2,Calcul!BI45,Calcul!BS45)))</f>
        <v/>
      </c>
      <c r="L60" s="18" t="str">
        <f ca="1">IF(NAMES!$B$10=FALSE,IF($B60="","",CIE_HT(L$28,$Q$2,OFFSET(Source!$A68,0,0,1,Config!$K$7))),IF($B60="","",IF(Calcul!$BC$7=$Q$2,Calcul!BJ45,Calcul!BT45)))</f>
        <v/>
      </c>
      <c r="M60" s="18" t="str">
        <f ca="1">IF(NAMES!$B$10=FALSE,IF($B60="","",CIE_HT(M$28,$Q$2,OFFSET(Source!$A68,0,0,1,Config!$K$7))),IF($B60="","",IF(Calcul!$BC$7=$Q$2,Calcul!BK45,Calcul!BU45)))</f>
        <v/>
      </c>
      <c r="N60" s="18" t="str">
        <f ca="1">IF(NAMES!$B$10=FALSE,IF($B60="","",CIE_HT(N$28,$Q$2,OFFSET(Source!$A68,0,0,1,Config!$K$7))),IF($B60="","",IF(Calcul!$BC$7=$Q$2,Calcul!BL45,Calcul!BV45)))</f>
        <v/>
      </c>
      <c r="O60" s="18" t="str">
        <f ca="1">IF(NAMES!$B$10=FALSE,IF($B60="","",CIE_HT(O$28,$Q$2,OFFSET(Source!$A68,0,0,1,Config!$K$7))),IF($B60="","",IF(Calcul!$BC$7=$Q$2,Calcul!BM45,Calcul!BW45)))</f>
        <v/>
      </c>
      <c r="P60" s="18" t="str">
        <f ca="1">IF(NAMES!$B$10=FALSE,IF($B60="","",CIE_HT(P$28,$Q$2,OFFSET(Source!$A68,0,0,1,Config!$K$7))),IF($B60="","",IF(Calcul!$BC$7=$Q$2,Calcul!BN45,Calcul!BX45)))</f>
        <v/>
      </c>
      <c r="Q60" s="18" t="str">
        <f t="shared" si="3"/>
        <v/>
      </c>
      <c r="R60" s="18" t="str">
        <f ca="1">IF(NAMES!$B$10=FALSE,IF($B60="","",TOT_CIE_TC(I$28:P$28,$Q$2,OFFSET(Source!$A68,0,0,1,Config!$K$7))),IF($B60="","",Q60*TAXE))</f>
        <v/>
      </c>
      <c r="S60" s="1855" t="str">
        <f ca="1">IF(NAMES!$B$10=FALSE,IF($B60="","",_xludf.FORMULA($B60,$Q$2,OFFSET(Source!$A68,0,0,1,Config!$K$7))),IF($Q$2="AIG Luxembourg",Calcul!ED45,Calcul!ID45))</f>
        <v/>
      </c>
      <c r="T60" s="1855"/>
      <c r="U60" s="1855"/>
    </row>
    <row r="61" spans="1:21" ht="12.75" hidden="1" customHeight="1">
      <c r="A61" s="11" t="str">
        <f>IF(NAMES!$B$10=TRUE,IF(Cotations!C46=FALSE,"",Cotations!E46),IF(Source!A69="","",YEAR(Source!$B$2)&amp;"-"&amp;YEAR(Source!$C$2)&amp;"!"))</f>
        <v/>
      </c>
      <c r="B61" s="11" t="str">
        <f>IF(NAMES!$B$10=FALSE,IF(Source!A69="","",Source!A69),Cotations!G46)</f>
        <v/>
      </c>
      <c r="C61" s="11" t="str">
        <f>IF(NAMES!$B$10=FALSE,IF($B61="","",Source!B69),IF($B61="","",Crewlist!J46))</f>
        <v/>
      </c>
      <c r="D61" s="11" t="str">
        <f>IF(NAMES!$B$10=FALSE,IF($B61="","",Source!C69),IF($B61="","",Cotations!I46))</f>
        <v/>
      </c>
      <c r="E61" s="11" t="str">
        <f>IF(NAMES!$B$10=FALSE,IF($B61="","",Source!D69),IF($B61="","",Crewlist!G46))</f>
        <v/>
      </c>
      <c r="F61" s="16" t="str">
        <f>IF(NAMES!$B$10=FALSE,IF($B61="","",Source!E69),IF($B61="","",Crewlist!K46))</f>
        <v/>
      </c>
      <c r="G61" s="17" t="str">
        <f>IF(NAMES!$B$10=FALSE,IF($B61="","",Source!F69),Cotations!P46)</f>
        <v/>
      </c>
      <c r="H61" s="17" t="str">
        <f>IF(NAMES!$B$10=FALSE,IF($B61="","",Source!G69),Cotations!N46)</f>
        <v/>
      </c>
      <c r="I61" s="18" t="str">
        <f ca="1">IF(NAMES!$B$10=FALSE,IF($B61="","",CIE_HT(I$28,$Q$2,OFFSET(Source!$A69,0,0,1,Config!$K$7))),IF($B61="","",IF(Calcul!$BC$7=$Q$2,Calcul!BE46,Calcul!BQ46)))</f>
        <v/>
      </c>
      <c r="J61" s="18" t="str">
        <f ca="1">IF(NAMES!$B$10=FALSE,IF($B61="","",CIE_HT(J$28,$Q$2,OFFSET(Source!$A69,0,0,1,Config!$K$7))),IF($B61="","",IF(Calcul!$BC$7=$Q$2,Calcul!BF46+Calcul!BG46+Calcul!BH46,Calcul!BR46)))</f>
        <v/>
      </c>
      <c r="K61" s="18" t="str">
        <f ca="1">IF(NAMES!$B$10=FALSE,IF($B61="","",CIE_HT(K$28,$Q$2,OFFSET(Source!$A69,0,0,1,Config!$K$7))),IF($B61="","",IF(Calcul!$BC$7=$Q$2,Calcul!BI46,Calcul!BS46)))</f>
        <v/>
      </c>
      <c r="L61" s="18" t="str">
        <f ca="1">IF(NAMES!$B$10=FALSE,IF($B61="","",CIE_HT(L$28,$Q$2,OFFSET(Source!$A69,0,0,1,Config!$K$7))),IF($B61="","",IF(Calcul!$BC$7=$Q$2,Calcul!BJ46,Calcul!BT46)))</f>
        <v/>
      </c>
      <c r="M61" s="18" t="str">
        <f ca="1">IF(NAMES!$B$10=FALSE,IF($B61="","",CIE_HT(M$28,$Q$2,OFFSET(Source!$A69,0,0,1,Config!$K$7))),IF($B61="","",IF(Calcul!$BC$7=$Q$2,Calcul!BK46,Calcul!BU46)))</f>
        <v/>
      </c>
      <c r="N61" s="18" t="str">
        <f ca="1">IF(NAMES!$B$10=FALSE,IF($B61="","",CIE_HT(N$28,$Q$2,OFFSET(Source!$A69,0,0,1,Config!$K$7))),IF($B61="","",IF(Calcul!$BC$7=$Q$2,Calcul!BL46,Calcul!BV46)))</f>
        <v/>
      </c>
      <c r="O61" s="18" t="str">
        <f ca="1">IF(NAMES!$B$10=FALSE,IF($B61="","",CIE_HT(O$28,$Q$2,OFFSET(Source!$A69,0,0,1,Config!$K$7))),IF($B61="","",IF(Calcul!$BC$7=$Q$2,Calcul!BM46,Calcul!BW46)))</f>
        <v/>
      </c>
      <c r="P61" s="18" t="str">
        <f ca="1">IF(NAMES!$B$10=FALSE,IF($B61="","",CIE_HT(P$28,$Q$2,OFFSET(Source!$A69,0,0,1,Config!$K$7))),IF($B61="","",IF(Calcul!$BC$7=$Q$2,Calcul!BN46,Calcul!BX46)))</f>
        <v/>
      </c>
      <c r="Q61" s="18" t="str">
        <f t="shared" si="3"/>
        <v/>
      </c>
      <c r="R61" s="18" t="str">
        <f ca="1">IF(NAMES!$B$10=FALSE,IF($B61="","",TOT_CIE_TC(I$28:P$28,$Q$2,OFFSET(Source!$A69,0,0,1,Config!$K$7))),IF($B61="","",Q61*TAXE))</f>
        <v/>
      </c>
      <c r="S61" s="1855" t="str">
        <f ca="1">IF(NAMES!$B$10=FALSE,IF($B61="","",_xludf.FORMULA($B61,$Q$2,OFFSET(Source!$A69,0,0,1,Config!$K$7))),IF($Q$2="AIG Luxembourg",Calcul!ED46,Calcul!ID46))</f>
        <v/>
      </c>
      <c r="T61" s="1855"/>
      <c r="U61" s="1855"/>
    </row>
    <row r="62" spans="1:21" hidden="1">
      <c r="A62" s="11" t="str">
        <f>IF(NAMES!$B$10=TRUE,IF(Cotations!C47=FALSE,"",Cotations!E47),IF(Source!A70="","",YEAR(Source!$B$2)&amp;"-"&amp;YEAR(Source!$C$2)&amp;"!"))</f>
        <v/>
      </c>
      <c r="B62" s="11" t="str">
        <f>IF(NAMES!$B$10=FALSE,IF(Source!A70="","",Source!A70),Cotations!G47)</f>
        <v/>
      </c>
      <c r="C62" s="11" t="str">
        <f>IF(NAMES!$B$10=FALSE,IF($B62="","",Source!B70),IF($B62="","",Crewlist!J47))</f>
        <v/>
      </c>
      <c r="D62" s="11" t="str">
        <f>IF(NAMES!$B$10=FALSE,IF($B62="","",Source!C70),IF($B62="","",Cotations!I47))</f>
        <v/>
      </c>
      <c r="E62" s="11" t="str">
        <f>IF(NAMES!$B$10=FALSE,IF($B62="","",Source!D70),IF($B62="","",Crewlist!G47))</f>
        <v/>
      </c>
      <c r="F62" s="16" t="str">
        <f>IF(NAMES!$B$10=FALSE,IF($B62="","",Source!E70),IF($B62="","",Crewlist!K47))</f>
        <v/>
      </c>
      <c r="G62" s="17" t="str">
        <f>IF(NAMES!$B$10=FALSE,IF($B62="","",Source!F70),Cotations!P47)</f>
        <v/>
      </c>
      <c r="H62" s="17" t="str">
        <f>IF(NAMES!$B$10=FALSE,IF($B62="","",Source!G70),Cotations!N47)</f>
        <v/>
      </c>
      <c r="I62" s="18" t="str">
        <f ca="1">IF(NAMES!$B$10=FALSE,IF($B62="","",CIE_HT(I$28,$Q$2,OFFSET(Source!$A70,0,0,1,Config!$K$7))),IF($B62="","",IF(Calcul!$BC$7=$Q$2,Calcul!BE47,Calcul!BQ47)))</f>
        <v/>
      </c>
      <c r="J62" s="18" t="str">
        <f ca="1">IF(NAMES!$B$10=FALSE,IF($B62="","",CIE_HT(J$28,$Q$2,OFFSET(Source!$A70,0,0,1,Config!$K$7))),IF($B62="","",IF(Calcul!$BC$7=$Q$2,Calcul!BF47+Calcul!BG47+Calcul!BH47,Calcul!BR47)))</f>
        <v/>
      </c>
      <c r="K62" s="18" t="str">
        <f ca="1">IF(NAMES!$B$10=FALSE,IF($B62="","",CIE_HT(K$28,$Q$2,OFFSET(Source!$A70,0,0,1,Config!$K$7))),IF($B62="","",IF(Calcul!$BC$7=$Q$2,Calcul!BI47,Calcul!BS47)))</f>
        <v/>
      </c>
      <c r="L62" s="18" t="str">
        <f ca="1">IF(NAMES!$B$10=FALSE,IF($B62="","",CIE_HT(L$28,$Q$2,OFFSET(Source!$A70,0,0,1,Config!$K$7))),IF($B62="","",IF(Calcul!$BC$7=$Q$2,Calcul!BJ47,Calcul!BT47)))</f>
        <v/>
      </c>
      <c r="M62" s="18" t="str">
        <f ca="1">IF(NAMES!$B$10=FALSE,IF($B62="","",CIE_HT(M$28,$Q$2,OFFSET(Source!$A70,0,0,1,Config!$K$7))),IF($B62="","",IF(Calcul!$BC$7=$Q$2,Calcul!BK47,Calcul!BU47)))</f>
        <v/>
      </c>
      <c r="N62" s="18" t="str">
        <f ca="1">IF(NAMES!$B$10=FALSE,IF($B62="","",CIE_HT(N$28,$Q$2,OFFSET(Source!$A70,0,0,1,Config!$K$7))),IF($B62="","",IF(Calcul!$BC$7=$Q$2,Calcul!BL47,Calcul!BV47)))</f>
        <v/>
      </c>
      <c r="O62" s="18" t="str">
        <f ca="1">IF(NAMES!$B$10=FALSE,IF($B62="","",CIE_HT(O$28,$Q$2,OFFSET(Source!$A70,0,0,1,Config!$K$7))),IF($B62="","",IF(Calcul!$BC$7=$Q$2,Calcul!BM47,Calcul!BW47)))</f>
        <v/>
      </c>
      <c r="P62" s="18" t="str">
        <f ca="1">IF(NAMES!$B$10=FALSE,IF($B62="","",CIE_HT(P$28,$Q$2,OFFSET(Source!$A70,0,0,1,Config!$K$7))),IF($B62="","",IF(Calcul!$BC$7=$Q$2,Calcul!BN47,Calcul!BX47)))</f>
        <v/>
      </c>
      <c r="Q62" s="18" t="str">
        <f t="shared" si="3"/>
        <v/>
      </c>
      <c r="R62" s="18" t="str">
        <f ca="1">IF(NAMES!$B$10=FALSE,IF($B62="","",TOT_CIE_TC(I$28:P$28,$Q$2,OFFSET(Source!$A70,0,0,1,Config!$K$7))),IF($B62="","",Q62*TAXE))</f>
        <v/>
      </c>
      <c r="S62" s="1855" t="str">
        <f ca="1">IF(NAMES!$B$10=FALSE,IF($B62="","",_xludf.FORMULA($B62,$Q$2,OFFSET(Source!$A70,0,0,1,Config!$K$7))),IF($Q$2="AIG Luxembourg",Calcul!ED47,Calcul!ID47))</f>
        <v/>
      </c>
      <c r="T62" s="1855"/>
      <c r="U62" s="1855"/>
    </row>
    <row r="63" spans="1:21" ht="12.75" hidden="1" customHeight="1">
      <c r="A63" s="11" t="str">
        <f>IF(NAMES!$B$10=TRUE,IF(Cotations!C48=FALSE,"",Cotations!E48),IF(Source!A71="","",YEAR(Source!$B$2)&amp;"-"&amp;YEAR(Source!$C$2)&amp;"!"))</f>
        <v/>
      </c>
      <c r="B63" s="11" t="str">
        <f>IF(NAMES!$B$10=FALSE,IF(Source!A71="","",Source!A71),Cotations!G48)</f>
        <v/>
      </c>
      <c r="C63" s="11" t="str">
        <f>IF(NAMES!$B$10=FALSE,IF($B63="","",Source!B71),IF($B63="","",Crewlist!J48))</f>
        <v/>
      </c>
      <c r="D63" s="11" t="str">
        <f>IF(NAMES!$B$10=FALSE,IF($B63="","",Source!C71),IF($B63="","",Cotations!I48))</f>
        <v/>
      </c>
      <c r="E63" s="11" t="str">
        <f>IF(NAMES!$B$10=FALSE,IF($B63="","",Source!D71),IF($B63="","",Crewlist!G48))</f>
        <v/>
      </c>
      <c r="F63" s="16" t="str">
        <f>IF(NAMES!$B$10=FALSE,IF($B63="","",Source!E71),IF($B63="","",Crewlist!K48))</f>
        <v/>
      </c>
      <c r="G63" s="17" t="str">
        <f>IF(NAMES!$B$10=FALSE,IF($B63="","",Source!F71),Cotations!P48)</f>
        <v/>
      </c>
      <c r="H63" s="17" t="str">
        <f>IF(NAMES!$B$10=FALSE,IF($B63="","",Source!G71),Cotations!N48)</f>
        <v/>
      </c>
      <c r="I63" s="18" t="str">
        <f ca="1">IF(NAMES!$B$10=FALSE,IF($B63="","",CIE_HT(I$28,$Q$2,OFFSET(Source!$A71,0,0,1,Config!$K$7))),IF($B63="","",IF(Calcul!$BC$7=$Q$2,Calcul!BE48,Calcul!BQ48)))</f>
        <v/>
      </c>
      <c r="J63" s="18" t="str">
        <f ca="1">IF(NAMES!$B$10=FALSE,IF($B63="","",CIE_HT(J$28,$Q$2,OFFSET(Source!$A71,0,0,1,Config!$K$7))),IF($B63="","",IF(Calcul!$BC$7=$Q$2,Calcul!BF48+Calcul!BG48+Calcul!BH48,Calcul!BR48)))</f>
        <v/>
      </c>
      <c r="K63" s="18" t="str">
        <f ca="1">IF(NAMES!$B$10=FALSE,IF($B63="","",CIE_HT(K$28,$Q$2,OFFSET(Source!$A71,0,0,1,Config!$K$7))),IF($B63="","",IF(Calcul!$BC$7=$Q$2,Calcul!BI48,Calcul!BS48)))</f>
        <v/>
      </c>
      <c r="L63" s="18" t="str">
        <f ca="1">IF(NAMES!$B$10=FALSE,IF($B63="","",CIE_HT(L$28,$Q$2,OFFSET(Source!$A71,0,0,1,Config!$K$7))),IF($B63="","",IF(Calcul!$BC$7=$Q$2,Calcul!BJ48,Calcul!BT48)))</f>
        <v/>
      </c>
      <c r="M63" s="18" t="str">
        <f ca="1">IF(NAMES!$B$10=FALSE,IF($B63="","",CIE_HT(M$28,$Q$2,OFFSET(Source!$A71,0,0,1,Config!$K$7))),IF($B63="","",IF(Calcul!$BC$7=$Q$2,Calcul!BK48,Calcul!BU48)))</f>
        <v/>
      </c>
      <c r="N63" s="18" t="str">
        <f ca="1">IF(NAMES!$B$10=FALSE,IF($B63="","",CIE_HT(N$28,$Q$2,OFFSET(Source!$A71,0,0,1,Config!$K$7))),IF($B63="","",IF(Calcul!$BC$7=$Q$2,Calcul!BL48,Calcul!BV48)))</f>
        <v/>
      </c>
      <c r="O63" s="18" t="str">
        <f ca="1">IF(NAMES!$B$10=FALSE,IF($B63="","",CIE_HT(O$28,$Q$2,OFFSET(Source!$A71,0,0,1,Config!$K$7))),IF($B63="","",IF(Calcul!$BC$7=$Q$2,Calcul!BM48,Calcul!BW48)))</f>
        <v/>
      </c>
      <c r="P63" s="18" t="str">
        <f ca="1">IF(NAMES!$B$10=FALSE,IF($B63="","",CIE_HT(P$28,$Q$2,OFFSET(Source!$A71,0,0,1,Config!$K$7))),IF($B63="","",IF(Calcul!$BC$7=$Q$2,Calcul!BN48,Calcul!BX48)))</f>
        <v/>
      </c>
      <c r="Q63" s="18" t="str">
        <f t="shared" si="3"/>
        <v/>
      </c>
      <c r="R63" s="18" t="str">
        <f ca="1">IF(NAMES!$B$10=FALSE,IF($B63="","",TOT_CIE_TC(I$28:P$28,$Q$2,OFFSET(Source!$A71,0,0,1,Config!$K$7))),IF($B63="","",Q63*TAXE))</f>
        <v/>
      </c>
      <c r="S63" s="1855" t="str">
        <f ca="1">IF(NAMES!$B$10=FALSE,IF($B63="","",_xludf.FORMULA($B63,$Q$2,OFFSET(Source!$A71,0,0,1,Config!$K$7))),IF($Q$2="AIG Luxembourg",Calcul!ED48,Calcul!ID48))</f>
        <v/>
      </c>
      <c r="T63" s="1855"/>
      <c r="U63" s="1855"/>
    </row>
    <row r="64" spans="1:21" hidden="1">
      <c r="A64" s="11" t="str">
        <f>IF(NAMES!$B$10=TRUE,IF(Cotations!C49=FALSE,"",Cotations!E49),IF(Source!A72="","",YEAR(Source!$B$2)&amp;"-"&amp;YEAR(Source!$C$2)&amp;"!"))</f>
        <v/>
      </c>
      <c r="B64" s="11" t="str">
        <f>IF(NAMES!$B$10=FALSE,IF(Source!A72="","",Source!A72),Cotations!G49)</f>
        <v/>
      </c>
      <c r="C64" s="11" t="str">
        <f>IF(NAMES!$B$10=FALSE,IF($B64="","",Source!B72),IF($B64="","",Crewlist!J49))</f>
        <v/>
      </c>
      <c r="D64" s="11" t="str">
        <f>IF(NAMES!$B$10=FALSE,IF($B64="","",Source!C72),IF($B64="","",Cotations!I49))</f>
        <v/>
      </c>
      <c r="E64" s="11" t="str">
        <f>IF(NAMES!$B$10=FALSE,IF($B64="","",Source!D72),IF($B64="","",Crewlist!G49))</f>
        <v/>
      </c>
      <c r="F64" s="16" t="str">
        <f>IF(NAMES!$B$10=FALSE,IF($B64="","",Source!E72),IF($B64="","",Crewlist!K49))</f>
        <v/>
      </c>
      <c r="G64" s="17" t="str">
        <f>IF(NAMES!$B$10=FALSE,IF($B64="","",Source!F72),Cotations!P49)</f>
        <v/>
      </c>
      <c r="H64" s="17" t="str">
        <f>IF(NAMES!$B$10=FALSE,IF($B64="","",Source!G72),Cotations!N49)</f>
        <v/>
      </c>
      <c r="I64" s="18" t="str">
        <f ca="1">IF(NAMES!$B$10=FALSE,IF($B64="","",CIE_HT(I$28,$Q$2,OFFSET(Source!$A72,0,0,1,Config!$K$7))),IF($B64="","",IF(Calcul!$BC$7=$Q$2,Calcul!BE49,Calcul!BQ49)))</f>
        <v/>
      </c>
      <c r="J64" s="18" t="str">
        <f ca="1">IF(NAMES!$B$10=FALSE,IF($B64="","",CIE_HT(J$28,$Q$2,OFFSET(Source!$A72,0,0,1,Config!$K$7))),IF($B64="","",IF(Calcul!$BC$7=$Q$2,Calcul!BF49+Calcul!BG49+Calcul!BH49,Calcul!BR49)))</f>
        <v/>
      </c>
      <c r="K64" s="18" t="str">
        <f ca="1">IF(NAMES!$B$10=FALSE,IF($B64="","",CIE_HT(K$28,$Q$2,OFFSET(Source!$A72,0,0,1,Config!$K$7))),IF($B64="","",IF(Calcul!$BC$7=$Q$2,Calcul!BI49,Calcul!BS49)))</f>
        <v/>
      </c>
      <c r="L64" s="18" t="str">
        <f ca="1">IF(NAMES!$B$10=FALSE,IF($B64="","",CIE_HT(L$28,$Q$2,OFFSET(Source!$A72,0,0,1,Config!$K$7))),IF($B64="","",IF(Calcul!$BC$7=$Q$2,Calcul!BJ49,Calcul!BT49)))</f>
        <v/>
      </c>
      <c r="M64" s="18" t="str">
        <f ca="1">IF(NAMES!$B$10=FALSE,IF($B64="","",CIE_HT(M$28,$Q$2,OFFSET(Source!$A72,0,0,1,Config!$K$7))),IF($B64="","",IF(Calcul!$BC$7=$Q$2,Calcul!BK49,Calcul!BU49)))</f>
        <v/>
      </c>
      <c r="N64" s="18" t="str">
        <f ca="1">IF(NAMES!$B$10=FALSE,IF($B64="","",CIE_HT(N$28,$Q$2,OFFSET(Source!$A72,0,0,1,Config!$K$7))),IF($B64="","",IF(Calcul!$BC$7=$Q$2,Calcul!BL49,Calcul!BV49)))</f>
        <v/>
      </c>
      <c r="O64" s="18" t="str">
        <f ca="1">IF(NAMES!$B$10=FALSE,IF($B64="","",CIE_HT(O$28,$Q$2,OFFSET(Source!$A72,0,0,1,Config!$K$7))),IF($B64="","",IF(Calcul!$BC$7=$Q$2,Calcul!BM49,Calcul!BW49)))</f>
        <v/>
      </c>
      <c r="P64" s="18" t="str">
        <f ca="1">IF(NAMES!$B$10=FALSE,IF($B64="","",CIE_HT(P$28,$Q$2,OFFSET(Source!$A72,0,0,1,Config!$K$7))),IF($B64="","",IF(Calcul!$BC$7=$Q$2,Calcul!BN49,Calcul!BX49)))</f>
        <v/>
      </c>
      <c r="Q64" s="18" t="str">
        <f t="shared" si="3"/>
        <v/>
      </c>
      <c r="R64" s="18" t="str">
        <f ca="1">IF(NAMES!$B$10=FALSE,IF($B64="","",TOT_CIE_TC(I$28:P$28,$Q$2,OFFSET(Source!$A72,0,0,1,Config!$K$7))),IF($B64="","",Q64*TAXE))</f>
        <v/>
      </c>
      <c r="S64" s="1855" t="str">
        <f ca="1">IF(NAMES!$B$10=FALSE,IF($B64="","",_xludf.FORMULA($B64,$Q$2,OFFSET(Source!$A72,0,0,1,Config!$K$7))),IF($Q$2="AIG Luxembourg",Calcul!ED49,Calcul!ID49))</f>
        <v/>
      </c>
      <c r="T64" s="1855"/>
      <c r="U64" s="1855"/>
    </row>
    <row r="65" spans="1:21" hidden="1">
      <c r="A65" s="11" t="str">
        <f>IF(NAMES!$B$10=TRUE,IF(Cotations!C50=FALSE,"",Cotations!E50),IF(Source!A73="","",YEAR(Source!$B$2)&amp;"-"&amp;YEAR(Source!$C$2)&amp;"!"))</f>
        <v/>
      </c>
      <c r="B65" s="11" t="str">
        <f>IF(NAMES!$B$10=FALSE,IF(Source!A73="","",Source!A73),Cotations!G50)</f>
        <v/>
      </c>
      <c r="C65" s="11" t="str">
        <f>IF(NAMES!$B$10=FALSE,IF($B65="","",Source!B73),IF($B65="","",Crewlist!J50))</f>
        <v/>
      </c>
      <c r="D65" s="11" t="str">
        <f>IF(NAMES!$B$10=FALSE,IF($B65="","",Source!C73),IF($B65="","",Cotations!I50))</f>
        <v/>
      </c>
      <c r="E65" s="11" t="str">
        <f>IF(NAMES!$B$10=FALSE,IF($B65="","",Source!D73),IF($B65="","",Crewlist!G50))</f>
        <v/>
      </c>
      <c r="F65" s="16" t="str">
        <f>IF(NAMES!$B$10=FALSE,IF($B65="","",Source!E73),IF($B65="","",Crewlist!K50))</f>
        <v/>
      </c>
      <c r="G65" s="17" t="str">
        <f>IF(NAMES!$B$10=FALSE,IF($B65="","",Source!F73),Cotations!P50)</f>
        <v/>
      </c>
      <c r="H65" s="17" t="str">
        <f>IF(NAMES!$B$10=FALSE,IF($B65="","",Source!G73),Cotations!N50)</f>
        <v/>
      </c>
      <c r="I65" s="18" t="str">
        <f ca="1">IF(NAMES!$B$10=FALSE,IF($B65="","",CIE_HT(I$28,$Q$2,OFFSET(Source!$A73,0,0,1,Config!$K$7))),IF($B65="","",IF(Calcul!$BC$7=$Q$2,Calcul!BE50,Calcul!BQ50)))</f>
        <v/>
      </c>
      <c r="J65" s="18" t="str">
        <f ca="1">IF(NAMES!$B$10=FALSE,IF($B65="","",CIE_HT(J$28,$Q$2,OFFSET(Source!$A73,0,0,1,Config!$K$7))),IF($B65="","",IF(Calcul!$BC$7=$Q$2,Calcul!BF50+Calcul!BG50+Calcul!BH50,Calcul!BR50)))</f>
        <v/>
      </c>
      <c r="K65" s="18" t="str">
        <f ca="1">IF(NAMES!$B$10=FALSE,IF($B65="","",CIE_HT(K$28,$Q$2,OFFSET(Source!$A73,0,0,1,Config!$K$7))),IF($B65="","",IF(Calcul!$BC$7=$Q$2,Calcul!BI50,Calcul!BS50)))</f>
        <v/>
      </c>
      <c r="L65" s="18" t="str">
        <f ca="1">IF(NAMES!$B$10=FALSE,IF($B65="","",CIE_HT(L$28,$Q$2,OFFSET(Source!$A73,0,0,1,Config!$K$7))),IF($B65="","",IF(Calcul!$BC$7=$Q$2,Calcul!BJ50,Calcul!BT50)))</f>
        <v/>
      </c>
      <c r="M65" s="18" t="str">
        <f ca="1">IF(NAMES!$B$10=FALSE,IF($B65="","",CIE_HT(M$28,$Q$2,OFFSET(Source!$A73,0,0,1,Config!$K$7))),IF($B65="","",IF(Calcul!$BC$7=$Q$2,Calcul!BK50,Calcul!BU50)))</f>
        <v/>
      </c>
      <c r="N65" s="18" t="str">
        <f ca="1">IF(NAMES!$B$10=FALSE,IF($B65="","",CIE_HT(N$28,$Q$2,OFFSET(Source!$A73,0,0,1,Config!$K$7))),IF($B65="","",IF(Calcul!$BC$7=$Q$2,Calcul!BL50,Calcul!BV50)))</f>
        <v/>
      </c>
      <c r="O65" s="18" t="str">
        <f ca="1">IF(NAMES!$B$10=FALSE,IF($B65="","",CIE_HT(O$28,$Q$2,OFFSET(Source!$A73,0,0,1,Config!$K$7))),IF($B65="","",IF(Calcul!$BC$7=$Q$2,Calcul!BM50,Calcul!BW50)))</f>
        <v/>
      </c>
      <c r="P65" s="18" t="str">
        <f ca="1">IF(NAMES!$B$10=FALSE,IF($B65="","",CIE_HT(P$28,$Q$2,OFFSET(Source!$A73,0,0,1,Config!$K$7))),IF($B65="","",IF(Calcul!$BC$7=$Q$2,Calcul!BN50,Calcul!BX50)))</f>
        <v/>
      </c>
      <c r="Q65" s="18" t="str">
        <f t="shared" si="3"/>
        <v/>
      </c>
      <c r="R65" s="18" t="str">
        <f ca="1">IF(NAMES!$B$10=FALSE,IF($B65="","",TOT_CIE_TC(I$28:P$28,$Q$2,OFFSET(Source!$A73,0,0,1,Config!$K$7))),IF($B65="","",Q65*TAXE))</f>
        <v/>
      </c>
      <c r="S65" s="1855" t="str">
        <f ca="1">IF(NAMES!$B$10=FALSE,IF($B65="","",_xludf.FORMULA($B65,$Q$2,OFFSET(Source!$A73,0,0,1,Config!$K$7))),IF($Q$2="AIG Luxembourg",Calcul!ED50,Calcul!ID50))</f>
        <v/>
      </c>
      <c r="T65" s="1855"/>
      <c r="U65" s="1855"/>
    </row>
    <row r="66" spans="1:21" hidden="1">
      <c r="A66" s="11" t="str">
        <f>IF(NAMES!$B$10=TRUE,IF(Cotations!C51=FALSE,"",Cotations!E51),IF(Source!A74="","",YEAR(Source!$B$2)&amp;"-"&amp;YEAR(Source!$C$2)&amp;"!"))</f>
        <v/>
      </c>
      <c r="B66" s="11" t="str">
        <f>IF(NAMES!$B$10=FALSE,IF(Source!A74="","",Source!A74),Cotations!G51)</f>
        <v/>
      </c>
      <c r="C66" s="11" t="str">
        <f>IF(NAMES!$B$10=FALSE,IF($B66="","",Source!B74),IF($B66="","",Crewlist!J51))</f>
        <v/>
      </c>
      <c r="D66" s="11" t="str">
        <f>IF(NAMES!$B$10=FALSE,IF($B66="","",Source!C74),IF($B66="","",Cotations!I51))</f>
        <v/>
      </c>
      <c r="E66" s="11" t="str">
        <f>IF(NAMES!$B$10=FALSE,IF($B66="","",Source!D74),IF($B66="","",Crewlist!G51))</f>
        <v/>
      </c>
      <c r="F66" s="16" t="str">
        <f>IF(NAMES!$B$10=FALSE,IF($B66="","",Source!E74),IF($B66="","",Crewlist!K51))</f>
        <v/>
      </c>
      <c r="G66" s="17" t="str">
        <f>IF(NAMES!$B$10=FALSE,IF($B66="","",Source!F74),Cotations!P51)</f>
        <v/>
      </c>
      <c r="H66" s="17" t="str">
        <f>IF(NAMES!$B$10=FALSE,IF($B66="","",Source!G74),Cotations!N51)</f>
        <v/>
      </c>
      <c r="I66" s="18" t="str">
        <f ca="1">IF(NAMES!$B$10=FALSE,IF($B66="","",CIE_HT(I$28,$Q$2,OFFSET(Source!$A74,0,0,1,Config!$K$7))),IF($B66="","",IF(Calcul!$BC$7=$Q$2,Calcul!BE51,Calcul!BQ51)))</f>
        <v/>
      </c>
      <c r="J66" s="18" t="str">
        <f ca="1">IF(NAMES!$B$10=FALSE,IF($B66="","",CIE_HT(J$28,$Q$2,OFFSET(Source!$A74,0,0,1,Config!$K$7))),IF($B66="","",IF(Calcul!$BC$7=$Q$2,Calcul!BF51+Calcul!BG51+Calcul!BH51,Calcul!BR51)))</f>
        <v/>
      </c>
      <c r="K66" s="18" t="str">
        <f ca="1">IF(NAMES!$B$10=FALSE,IF($B66="","",CIE_HT(K$28,$Q$2,OFFSET(Source!$A74,0,0,1,Config!$K$7))),IF($B66="","",IF(Calcul!$BC$7=$Q$2,Calcul!BI51,Calcul!BS51)))</f>
        <v/>
      </c>
      <c r="L66" s="18" t="str">
        <f ca="1">IF(NAMES!$B$10=FALSE,IF($B66="","",CIE_HT(L$28,$Q$2,OFFSET(Source!$A74,0,0,1,Config!$K$7))),IF($B66="","",IF(Calcul!$BC$7=$Q$2,Calcul!BJ51,Calcul!BT51)))</f>
        <v/>
      </c>
      <c r="M66" s="18" t="str">
        <f ca="1">IF(NAMES!$B$10=FALSE,IF($B66="","",CIE_HT(M$28,$Q$2,OFFSET(Source!$A74,0,0,1,Config!$K$7))),IF($B66="","",IF(Calcul!$BC$7=$Q$2,Calcul!BK51,Calcul!BU51)))</f>
        <v/>
      </c>
      <c r="N66" s="18" t="str">
        <f ca="1">IF(NAMES!$B$10=FALSE,IF($B66="","",CIE_HT(N$28,$Q$2,OFFSET(Source!$A74,0,0,1,Config!$K$7))),IF($B66="","",IF(Calcul!$BC$7=$Q$2,Calcul!BL51,Calcul!BV51)))</f>
        <v/>
      </c>
      <c r="O66" s="18" t="str">
        <f ca="1">IF(NAMES!$B$10=FALSE,IF($B66="","",CIE_HT(O$28,$Q$2,OFFSET(Source!$A74,0,0,1,Config!$K$7))),IF($B66="","",IF(Calcul!$BC$7=$Q$2,Calcul!BM51,Calcul!BW51)))</f>
        <v/>
      </c>
      <c r="P66" s="18" t="str">
        <f ca="1">IF(NAMES!$B$10=FALSE,IF($B66="","",CIE_HT(P$28,$Q$2,OFFSET(Source!$A74,0,0,1,Config!$K$7))),IF($B66="","",IF(Calcul!$BC$7=$Q$2,Calcul!BN51,Calcul!BX51)))</f>
        <v/>
      </c>
      <c r="Q66" s="18" t="str">
        <f t="shared" si="3"/>
        <v/>
      </c>
      <c r="R66" s="18" t="str">
        <f ca="1">IF(NAMES!$B$10=FALSE,IF($B66="","",TOT_CIE_TC(I$28:P$28,$Q$2,OFFSET(Source!$A74,0,0,1,Config!$K$7))),IF($B66="","",Q66*TAXE))</f>
        <v/>
      </c>
      <c r="S66" s="1855" t="str">
        <f ca="1">IF(NAMES!$B$10=FALSE,IF($B66="","",_xludf.FORMULA($B66,$Q$2,OFFSET(Source!$A74,0,0,1,Config!$K$7))),IF($Q$2="AIG Luxembourg",Calcul!ED51,Calcul!ID51))</f>
        <v/>
      </c>
      <c r="T66" s="1855"/>
      <c r="U66" s="1855"/>
    </row>
    <row r="67" spans="1:21" hidden="1">
      <c r="A67" s="11" t="str">
        <f>IF(NAMES!$B$10=TRUE,IF(Cotations!C52=FALSE,"",Cotations!E52),IF(Source!A75="","",YEAR(Source!$B$2)&amp;"-"&amp;YEAR(Source!$C$2)&amp;"!"))</f>
        <v/>
      </c>
      <c r="B67" s="11" t="str">
        <f>IF(NAMES!$B$10=FALSE,IF(Source!A75="","",Source!A75),Cotations!G52)</f>
        <v/>
      </c>
      <c r="C67" s="11" t="str">
        <f>IF(NAMES!$B$10=FALSE,IF($B67="","",Source!B75),IF($B67="","",Crewlist!J52))</f>
        <v/>
      </c>
      <c r="D67" s="11" t="str">
        <f>IF(NAMES!$B$10=FALSE,IF($B67="","",Source!C75),IF($B67="","",Cotations!I52))</f>
        <v/>
      </c>
      <c r="E67" s="11" t="str">
        <f>IF(NAMES!$B$10=FALSE,IF($B67="","",Source!D75),IF($B67="","",Crewlist!G52))</f>
        <v/>
      </c>
      <c r="F67" s="16" t="str">
        <f>IF(NAMES!$B$10=FALSE,IF($B67="","",Source!E75),IF($B67="","",Crewlist!K52))</f>
        <v/>
      </c>
      <c r="G67" s="17" t="str">
        <f>IF(NAMES!$B$10=FALSE,IF($B67="","",Source!F75),Cotations!P52)</f>
        <v/>
      </c>
      <c r="H67" s="17" t="str">
        <f>IF(NAMES!$B$10=FALSE,IF($B67="","",Source!G75),Cotations!N52)</f>
        <v/>
      </c>
      <c r="I67" s="18" t="str">
        <f ca="1">IF(NAMES!$B$10=FALSE,IF($B67="","",CIE_HT(I$28,$Q$2,OFFSET(Source!$A75,0,0,1,Config!$K$7))),IF($B67="","",IF(Calcul!$BC$7=$Q$2,Calcul!BE52,Calcul!BQ52)))</f>
        <v/>
      </c>
      <c r="J67" s="18" t="str">
        <f ca="1">IF(NAMES!$B$10=FALSE,IF($B67="","",CIE_HT(J$28,$Q$2,OFFSET(Source!$A75,0,0,1,Config!$K$7))),IF($B67="","",IF(Calcul!$BC$7=$Q$2,Calcul!BF52+Calcul!BG52+Calcul!BH52,Calcul!BR52)))</f>
        <v/>
      </c>
      <c r="K67" s="18" t="str">
        <f ca="1">IF(NAMES!$B$10=FALSE,IF($B67="","",CIE_HT(K$28,$Q$2,OFFSET(Source!$A75,0,0,1,Config!$K$7))),IF($B67="","",IF(Calcul!$BC$7=$Q$2,Calcul!BI52,Calcul!BS52)))</f>
        <v/>
      </c>
      <c r="L67" s="18" t="str">
        <f ca="1">IF(NAMES!$B$10=FALSE,IF($B67="","",CIE_HT(L$28,$Q$2,OFFSET(Source!$A75,0,0,1,Config!$K$7))),IF($B67="","",IF(Calcul!$BC$7=$Q$2,Calcul!BJ52,Calcul!BT52)))</f>
        <v/>
      </c>
      <c r="M67" s="18" t="str">
        <f ca="1">IF(NAMES!$B$10=FALSE,IF($B67="","",CIE_HT(M$28,$Q$2,OFFSET(Source!$A75,0,0,1,Config!$K$7))),IF($B67="","",IF(Calcul!$BC$7=$Q$2,Calcul!BK52,Calcul!BU52)))</f>
        <v/>
      </c>
      <c r="N67" s="18" t="str">
        <f ca="1">IF(NAMES!$B$10=FALSE,IF($B67="","",CIE_HT(N$28,$Q$2,OFFSET(Source!$A75,0,0,1,Config!$K$7))),IF($B67="","",IF(Calcul!$BC$7=$Q$2,Calcul!BL52,Calcul!BV52)))</f>
        <v/>
      </c>
      <c r="O67" s="18" t="str">
        <f ca="1">IF(NAMES!$B$10=FALSE,IF($B67="","",CIE_HT(O$28,$Q$2,OFFSET(Source!$A75,0,0,1,Config!$K$7))),IF($B67="","",IF(Calcul!$BC$7=$Q$2,Calcul!BM52,Calcul!BW52)))</f>
        <v/>
      </c>
      <c r="P67" s="18" t="str">
        <f ca="1">IF(NAMES!$B$10=FALSE,IF($B67="","",CIE_HT(P$28,$Q$2,OFFSET(Source!$A75,0,0,1,Config!$K$7))),IF($B67="","",IF(Calcul!$BC$7=$Q$2,Calcul!BN52,Calcul!BX52)))</f>
        <v/>
      </c>
      <c r="Q67" s="18" t="str">
        <f t="shared" si="3"/>
        <v/>
      </c>
      <c r="R67" s="18" t="str">
        <f ca="1">IF(NAMES!$B$10=FALSE,IF($B67="","",TOT_CIE_TC(I$28:P$28,$Q$2,OFFSET(Source!$A75,0,0,1,Config!$K$7))),IF($B67="","",Q67*TAXE))</f>
        <v/>
      </c>
      <c r="S67" s="1855" t="str">
        <f ca="1">IF(NAMES!$B$10=FALSE,IF($B67="","",_xludf.FORMULA($B67,$Q$2,OFFSET(Source!$A75,0,0,1,Config!$K$7))),IF($Q$2="AIG Luxembourg",Calcul!ED52,Calcul!ID52))</f>
        <v/>
      </c>
      <c r="T67" s="1855"/>
      <c r="U67" s="1855"/>
    </row>
    <row r="68" spans="1:21" hidden="1">
      <c r="A68" s="11" t="str">
        <f>IF(NAMES!$B$10=TRUE,IF(Cotations!C53=FALSE,"",Cotations!E53),IF(Source!A76="","",YEAR(Source!$B$2)&amp;"-"&amp;YEAR(Source!$C$2)&amp;"!"))</f>
        <v/>
      </c>
      <c r="B68" s="11" t="str">
        <f>IF(NAMES!$B$10=FALSE,IF(Source!A76="","",Source!A76),Cotations!G53)</f>
        <v/>
      </c>
      <c r="C68" s="11" t="str">
        <f>IF(NAMES!$B$10=FALSE,IF($B68="","",Source!B76),IF($B68="","",Crewlist!J53))</f>
        <v/>
      </c>
      <c r="D68" s="11" t="str">
        <f>IF(NAMES!$B$10=FALSE,IF($B68="","",Source!C76),IF($B68="","",Cotations!I53))</f>
        <v/>
      </c>
      <c r="E68" s="11" t="str">
        <f>IF(NAMES!$B$10=FALSE,IF($B68="","",Source!D76),IF($B68="","",Crewlist!G53))</f>
        <v/>
      </c>
      <c r="F68" s="16" t="str">
        <f>IF(NAMES!$B$10=FALSE,IF($B68="","",Source!E76),IF($B68="","",Crewlist!K53))</f>
        <v/>
      </c>
      <c r="G68" s="17" t="str">
        <f>IF(NAMES!$B$10=FALSE,IF($B68="","",Source!F76),Cotations!P53)</f>
        <v/>
      </c>
      <c r="H68" s="17" t="str">
        <f>IF(NAMES!$B$10=FALSE,IF($B68="","",Source!G76),Cotations!N53)</f>
        <v/>
      </c>
      <c r="I68" s="18" t="str">
        <f ca="1">IF(NAMES!$B$10=FALSE,IF($B68="","",CIE_HT(I$28,$Q$2,OFFSET(Source!$A76,0,0,1,Config!$K$7))),IF($B68="","",IF(Calcul!$BC$7=$Q$2,Calcul!BE53,Calcul!BQ53)))</f>
        <v/>
      </c>
      <c r="J68" s="18" t="str">
        <f ca="1">IF(NAMES!$B$10=FALSE,IF($B68="","",CIE_HT(J$28,$Q$2,OFFSET(Source!$A76,0,0,1,Config!$K$7))),IF($B68="","",IF(Calcul!$BC$7=$Q$2,Calcul!BF53+Calcul!BG53+Calcul!BH53,Calcul!BR53)))</f>
        <v/>
      </c>
      <c r="K68" s="18" t="str">
        <f ca="1">IF(NAMES!$B$10=FALSE,IF($B68="","",CIE_HT(K$28,$Q$2,OFFSET(Source!$A76,0,0,1,Config!$K$7))),IF($B68="","",IF(Calcul!$BC$7=$Q$2,Calcul!BI53,Calcul!BS53)))</f>
        <v/>
      </c>
      <c r="L68" s="18" t="str">
        <f ca="1">IF(NAMES!$B$10=FALSE,IF($B68="","",CIE_HT(L$28,$Q$2,OFFSET(Source!$A76,0,0,1,Config!$K$7))),IF($B68="","",IF(Calcul!$BC$7=$Q$2,Calcul!BJ53,Calcul!BT53)))</f>
        <v/>
      </c>
      <c r="M68" s="18" t="str">
        <f ca="1">IF(NAMES!$B$10=FALSE,IF($B68="","",CIE_HT(M$28,$Q$2,OFFSET(Source!$A76,0,0,1,Config!$K$7))),IF($B68="","",IF(Calcul!$BC$7=$Q$2,Calcul!BK53,Calcul!BU53)))</f>
        <v/>
      </c>
      <c r="N68" s="18" t="str">
        <f ca="1">IF(NAMES!$B$10=FALSE,IF($B68="","",CIE_HT(N$28,$Q$2,OFFSET(Source!$A76,0,0,1,Config!$K$7))),IF($B68="","",IF(Calcul!$BC$7=$Q$2,Calcul!BL53,Calcul!BV53)))</f>
        <v/>
      </c>
      <c r="O68" s="18" t="str">
        <f ca="1">IF(NAMES!$B$10=FALSE,IF($B68="","",CIE_HT(O$28,$Q$2,OFFSET(Source!$A76,0,0,1,Config!$K$7))),IF($B68="","",IF(Calcul!$BC$7=$Q$2,Calcul!BM53,Calcul!BW53)))</f>
        <v/>
      </c>
      <c r="P68" s="18" t="str">
        <f ca="1">IF(NAMES!$B$10=FALSE,IF($B68="","",CIE_HT(P$28,$Q$2,OFFSET(Source!$A76,0,0,1,Config!$K$7))),IF($B68="","",IF(Calcul!$BC$7=$Q$2,Calcul!BN53,Calcul!BX53)))</f>
        <v/>
      </c>
      <c r="Q68" s="18" t="str">
        <f t="shared" si="3"/>
        <v/>
      </c>
      <c r="R68" s="18" t="str">
        <f ca="1">IF(NAMES!$B$10=FALSE,IF($B68="","",TOT_CIE_TC(I$28:P$28,$Q$2,OFFSET(Source!$A76,0,0,1,Config!$K$7))),IF($B68="","",Q68*TAXE))</f>
        <v/>
      </c>
      <c r="S68" s="1855" t="str">
        <f ca="1">IF(NAMES!$B$10=FALSE,IF($B68="","",_xludf.FORMULA($B68,$Q$2,OFFSET(Source!$A76,0,0,1,Config!$K$7))),IF($Q$2="AIG Luxembourg",Calcul!ED53,Calcul!ID53))</f>
        <v/>
      </c>
      <c r="T68" s="1855"/>
      <c r="U68" s="1855"/>
    </row>
    <row r="69" spans="1:21" hidden="1">
      <c r="A69" s="11" t="str">
        <f>IF(NAMES!$B$10=TRUE,IF(Cotations!C54=FALSE,"",Cotations!E54),IF(Source!A77="","",YEAR(Source!$B$2)&amp;"-"&amp;YEAR(Source!$C$2)&amp;"!"))</f>
        <v/>
      </c>
      <c r="B69" s="11" t="str">
        <f>IF(NAMES!$B$10=FALSE,IF(Source!A77="","",Source!A77),Cotations!G54)</f>
        <v/>
      </c>
      <c r="C69" s="11" t="str">
        <f>IF(NAMES!$B$10=FALSE,IF($B69="","",Source!B77),IF($B69="","",Crewlist!J54))</f>
        <v/>
      </c>
      <c r="D69" s="11" t="str">
        <f>IF(NAMES!$B$10=FALSE,IF($B69="","",Source!C77),IF($B69="","",Cotations!I54))</f>
        <v/>
      </c>
      <c r="E69" s="11" t="str">
        <f>IF(NAMES!$B$10=FALSE,IF($B69="","",Source!D77),IF($B69="","",Crewlist!G54))</f>
        <v/>
      </c>
      <c r="F69" s="16" t="str">
        <f>IF(NAMES!$B$10=FALSE,IF($B69="","",Source!E77),IF($B69="","",Crewlist!K54))</f>
        <v/>
      </c>
      <c r="G69" s="17" t="str">
        <f>IF(NAMES!$B$10=FALSE,IF($B69="","",Source!F77),Cotations!P54)</f>
        <v/>
      </c>
      <c r="H69" s="17" t="str">
        <f>IF(NAMES!$B$10=FALSE,IF($B69="","",Source!G77),Cotations!N54)</f>
        <v/>
      </c>
      <c r="I69" s="18" t="str">
        <f ca="1">IF(NAMES!$B$10=FALSE,IF($B69="","",CIE_HT(I$28,$Q$2,OFFSET(Source!$A77,0,0,1,Config!$K$7))),IF($B69="","",IF(Calcul!$BC$7=$Q$2,Calcul!BE54,Calcul!BQ54)))</f>
        <v/>
      </c>
      <c r="J69" s="18" t="str">
        <f ca="1">IF(NAMES!$B$10=FALSE,IF($B69="","",CIE_HT(J$28,$Q$2,OFFSET(Source!$A77,0,0,1,Config!$K$7))),IF($B69="","",IF(Calcul!$BC$7=$Q$2,Calcul!BF54+Calcul!BG54+Calcul!BH54,Calcul!BR54)))</f>
        <v/>
      </c>
      <c r="K69" s="18" t="str">
        <f ca="1">IF(NAMES!$B$10=FALSE,IF($B69="","",CIE_HT(K$28,$Q$2,OFFSET(Source!$A77,0,0,1,Config!$K$7))),IF($B69="","",IF(Calcul!$BC$7=$Q$2,Calcul!BI54,Calcul!BS54)))</f>
        <v/>
      </c>
      <c r="L69" s="18" t="str">
        <f ca="1">IF(NAMES!$B$10=FALSE,IF($B69="","",CIE_HT(L$28,$Q$2,OFFSET(Source!$A77,0,0,1,Config!$K$7))),IF($B69="","",IF(Calcul!$BC$7=$Q$2,Calcul!BJ54,Calcul!BT54)))</f>
        <v/>
      </c>
      <c r="M69" s="18" t="str">
        <f ca="1">IF(NAMES!$B$10=FALSE,IF($B69="","",CIE_HT(M$28,$Q$2,OFFSET(Source!$A77,0,0,1,Config!$K$7))),IF($B69="","",IF(Calcul!$BC$7=$Q$2,Calcul!BK54,Calcul!BU54)))</f>
        <v/>
      </c>
      <c r="N69" s="18" t="str">
        <f ca="1">IF(NAMES!$B$10=FALSE,IF($B69="","",CIE_HT(N$28,$Q$2,OFFSET(Source!$A77,0,0,1,Config!$K$7))),IF($B69="","",IF(Calcul!$BC$7=$Q$2,Calcul!BL54,Calcul!BV54)))</f>
        <v/>
      </c>
      <c r="O69" s="18" t="str">
        <f ca="1">IF(NAMES!$B$10=FALSE,IF($B69="","",CIE_HT(O$28,$Q$2,OFFSET(Source!$A77,0,0,1,Config!$K$7))),IF($B69="","",IF(Calcul!$BC$7=$Q$2,Calcul!BM54,Calcul!BW54)))</f>
        <v/>
      </c>
      <c r="P69" s="18" t="str">
        <f ca="1">IF(NAMES!$B$10=FALSE,IF($B69="","",CIE_HT(P$28,$Q$2,OFFSET(Source!$A77,0,0,1,Config!$K$7))),IF($B69="","",IF(Calcul!$BC$7=$Q$2,Calcul!BN54,Calcul!BX54)))</f>
        <v/>
      </c>
      <c r="Q69" s="18" t="str">
        <f t="shared" si="3"/>
        <v/>
      </c>
      <c r="R69" s="18" t="str">
        <f ca="1">IF(NAMES!$B$10=FALSE,IF($B69="","",TOT_CIE_TC(I$28:P$28,$Q$2,OFFSET(Source!$A77,0,0,1,Config!$K$7))),IF($B69="","",Q69*TAXE))</f>
        <v/>
      </c>
      <c r="S69" s="1855" t="str">
        <f ca="1">IF(NAMES!$B$10=FALSE,IF($B69="","",_xludf.FORMULA($B69,$Q$2,OFFSET(Source!$A77,0,0,1,Config!$K$7))),IF($Q$2="AIG Luxembourg",Calcul!ED54,Calcul!ID54))</f>
        <v/>
      </c>
      <c r="T69" s="1855"/>
      <c r="U69" s="1855"/>
    </row>
    <row r="70" spans="1:21" ht="12.75" hidden="1" customHeight="1">
      <c r="A70" s="11" t="str">
        <f>IF(NAMES!$B$10=TRUE,IF(Cotations!C55=FALSE,"",Cotations!E55),IF(Source!A78="","",YEAR(Source!$B$2)&amp;"-"&amp;YEAR(Source!$C$2)&amp;"!"))</f>
        <v/>
      </c>
      <c r="B70" s="11" t="str">
        <f>IF(NAMES!$B$10=FALSE,IF(Source!A78="","",Source!A78),Cotations!G55)</f>
        <v/>
      </c>
      <c r="C70" s="11" t="str">
        <f>IF(NAMES!$B$10=FALSE,IF($B70="","",Source!B78),IF($B70="","",Crewlist!J55))</f>
        <v/>
      </c>
      <c r="D70" s="11" t="str">
        <f>IF(NAMES!$B$10=FALSE,IF($B70="","",Source!C78),IF($B70="","",Cotations!I55))</f>
        <v/>
      </c>
      <c r="E70" s="11" t="str">
        <f>IF(NAMES!$B$10=FALSE,IF($B70="","",Source!D78),IF($B70="","",Crewlist!G55))</f>
        <v/>
      </c>
      <c r="F70" s="16" t="str">
        <f>IF(NAMES!$B$10=FALSE,IF($B70="","",Source!E78),IF($B70="","",Crewlist!K55))</f>
        <v/>
      </c>
      <c r="G70" s="17" t="str">
        <f>IF(NAMES!$B$10=FALSE,IF($B70="","",Source!F78),Cotations!P55)</f>
        <v/>
      </c>
      <c r="H70" s="17" t="str">
        <f>IF(NAMES!$B$10=FALSE,IF($B70="","",Source!G78),Cotations!N55)</f>
        <v/>
      </c>
      <c r="I70" s="18" t="str">
        <f ca="1">IF(NAMES!$B$10=FALSE,IF($B70="","",CIE_HT(I$28,$Q$2,OFFSET(Source!$A78,0,0,1,Config!$K$7))),IF($B70="","",IF(Calcul!$BC$7=$Q$2,Calcul!BE55,Calcul!BQ55)))</f>
        <v/>
      </c>
      <c r="J70" s="18" t="str">
        <f ca="1">IF(NAMES!$B$10=FALSE,IF($B70="","",CIE_HT(J$28,$Q$2,OFFSET(Source!$A78,0,0,1,Config!$K$7))),IF($B70="","",IF(Calcul!$BC$7=$Q$2,Calcul!BF55+Calcul!BG55+Calcul!BH55,Calcul!BR55)))</f>
        <v/>
      </c>
      <c r="K70" s="18" t="str">
        <f ca="1">IF(NAMES!$B$10=FALSE,IF($B70="","",CIE_HT(K$28,$Q$2,OFFSET(Source!$A78,0,0,1,Config!$K$7))),IF($B70="","",IF(Calcul!$BC$7=$Q$2,Calcul!BI55,Calcul!BS55)))</f>
        <v/>
      </c>
      <c r="L70" s="18" t="str">
        <f ca="1">IF(NAMES!$B$10=FALSE,IF($B70="","",CIE_HT(L$28,$Q$2,OFFSET(Source!$A78,0,0,1,Config!$K$7))),IF($B70="","",IF(Calcul!$BC$7=$Q$2,Calcul!BJ55,Calcul!BT55)))</f>
        <v/>
      </c>
      <c r="M70" s="18" t="str">
        <f ca="1">IF(NAMES!$B$10=FALSE,IF($B70="","",CIE_HT(M$28,$Q$2,OFFSET(Source!$A78,0,0,1,Config!$K$7))),IF($B70="","",IF(Calcul!$BC$7=$Q$2,Calcul!BK55,Calcul!BU55)))</f>
        <v/>
      </c>
      <c r="N70" s="18" t="str">
        <f ca="1">IF(NAMES!$B$10=FALSE,IF($B70="","",CIE_HT(N$28,$Q$2,OFFSET(Source!$A78,0,0,1,Config!$K$7))),IF($B70="","",IF(Calcul!$BC$7=$Q$2,Calcul!BL55,Calcul!BV55)))</f>
        <v/>
      </c>
      <c r="O70" s="18" t="str">
        <f ca="1">IF(NAMES!$B$10=FALSE,IF($B70="","",CIE_HT(O$28,$Q$2,OFFSET(Source!$A78,0,0,1,Config!$K$7))),IF($B70="","",IF(Calcul!$BC$7=$Q$2,Calcul!BM55,Calcul!BW55)))</f>
        <v/>
      </c>
      <c r="P70" s="18" t="str">
        <f ca="1">IF(NAMES!$B$10=FALSE,IF($B70="","",CIE_HT(P$28,$Q$2,OFFSET(Source!$A78,0,0,1,Config!$K$7))),IF($B70="","",IF(Calcul!$BC$7=$Q$2,Calcul!BN55,Calcul!BX55)))</f>
        <v/>
      </c>
      <c r="Q70" s="18" t="str">
        <f t="shared" si="3"/>
        <v/>
      </c>
      <c r="R70" s="18" t="str">
        <f ca="1">IF(NAMES!$B$10=FALSE,IF($B70="","",TOT_CIE_TC(I$28:P$28,$Q$2,OFFSET(Source!$A78,0,0,1,Config!$K$7))),IF($B70="","",Q70*TAXE))</f>
        <v/>
      </c>
      <c r="S70" s="1855" t="str">
        <f ca="1">IF(NAMES!$B$10=FALSE,IF($B70="","",_xludf.FORMULA($B70,$Q$2,OFFSET(Source!$A78,0,0,1,Config!$K$7))),IF($Q$2="AIG Luxembourg",Calcul!ED55,Calcul!ID55))</f>
        <v/>
      </c>
      <c r="T70" s="1855"/>
      <c r="U70" s="1855"/>
    </row>
    <row r="71" spans="1:21" hidden="1">
      <c r="A71" s="11" t="str">
        <f>IF(NAMES!$B$10=TRUE,IF(Cotations!C56=FALSE,"",Cotations!E56),IF(Source!A79="","",YEAR(Source!$B$2)&amp;"-"&amp;YEAR(Source!$C$2)&amp;"!"))</f>
        <v/>
      </c>
      <c r="B71" s="11" t="str">
        <f>IF(NAMES!$B$10=FALSE,IF(Source!A79="","",Source!A79),Cotations!G56)</f>
        <v/>
      </c>
      <c r="C71" s="11" t="str">
        <f>IF(NAMES!$B$10=FALSE,IF($B71="","",Source!B79),IF($B71="","",Crewlist!J56))</f>
        <v/>
      </c>
      <c r="D71" s="11" t="str">
        <f>IF(NAMES!$B$10=FALSE,IF($B71="","",Source!C79),IF($B71="","",Cotations!I56))</f>
        <v/>
      </c>
      <c r="E71" s="11" t="str">
        <f>IF(NAMES!$B$10=FALSE,IF($B71="","",Source!D79),IF($B71="","",Crewlist!G56))</f>
        <v/>
      </c>
      <c r="F71" s="16" t="str">
        <f>IF(NAMES!$B$10=FALSE,IF($B71="","",Source!E79),IF($B71="","",Crewlist!K56))</f>
        <v/>
      </c>
      <c r="G71" s="17" t="str">
        <f>IF(NAMES!$B$10=FALSE,IF($B71="","",Source!F79),Cotations!P56)</f>
        <v/>
      </c>
      <c r="H71" s="17" t="str">
        <f>IF(NAMES!$B$10=FALSE,IF($B71="","",Source!G79),Cotations!N56)</f>
        <v/>
      </c>
      <c r="I71" s="18" t="str">
        <f ca="1">IF(NAMES!$B$10=FALSE,IF($B71="","",CIE_HT(I$28,$Q$2,OFFSET(Source!$A79,0,0,1,Config!$K$7))),IF($B71="","",IF(Calcul!$BC$7=$Q$2,Calcul!BE56,Calcul!BQ56)))</f>
        <v/>
      </c>
      <c r="J71" s="18" t="str">
        <f ca="1">IF(NAMES!$B$10=FALSE,IF($B71="","",CIE_HT(J$28,$Q$2,OFFSET(Source!$A79,0,0,1,Config!$K$7))),IF($B71="","",IF(Calcul!$BC$7=$Q$2,Calcul!BF56+Calcul!BG56+Calcul!BH56,Calcul!BR56)))</f>
        <v/>
      </c>
      <c r="K71" s="18" t="str">
        <f ca="1">IF(NAMES!$B$10=FALSE,IF($B71="","",CIE_HT(K$28,$Q$2,OFFSET(Source!$A79,0,0,1,Config!$K$7))),IF($B71="","",IF(Calcul!$BC$7=$Q$2,Calcul!BI56,Calcul!BS56)))</f>
        <v/>
      </c>
      <c r="L71" s="18" t="str">
        <f ca="1">IF(NAMES!$B$10=FALSE,IF($B71="","",CIE_HT(L$28,$Q$2,OFFSET(Source!$A79,0,0,1,Config!$K$7))),IF($B71="","",IF(Calcul!$BC$7=$Q$2,Calcul!BJ56,Calcul!BT56)))</f>
        <v/>
      </c>
      <c r="M71" s="18" t="str">
        <f ca="1">IF(NAMES!$B$10=FALSE,IF($B71="","",CIE_HT(M$28,$Q$2,OFFSET(Source!$A79,0,0,1,Config!$K$7))),IF($B71="","",IF(Calcul!$BC$7=$Q$2,Calcul!BK56,Calcul!BU56)))</f>
        <v/>
      </c>
      <c r="N71" s="18" t="str">
        <f ca="1">IF(NAMES!$B$10=FALSE,IF($B71="","",CIE_HT(N$28,$Q$2,OFFSET(Source!$A79,0,0,1,Config!$K$7))),IF($B71="","",IF(Calcul!$BC$7=$Q$2,Calcul!BL56,Calcul!BV56)))</f>
        <v/>
      </c>
      <c r="O71" s="18" t="str">
        <f ca="1">IF(NAMES!$B$10=FALSE,IF($B71="","",CIE_HT(O$28,$Q$2,OFFSET(Source!$A79,0,0,1,Config!$K$7))),IF($B71="","",IF(Calcul!$BC$7=$Q$2,Calcul!BM56,Calcul!BW56)))</f>
        <v/>
      </c>
      <c r="P71" s="18" t="str">
        <f ca="1">IF(NAMES!$B$10=FALSE,IF($B71="","",CIE_HT(P$28,$Q$2,OFFSET(Source!$A79,0,0,1,Config!$K$7))),IF($B71="","",IF(Calcul!$BC$7=$Q$2,Calcul!BN56,Calcul!BX56)))</f>
        <v/>
      </c>
      <c r="Q71" s="18" t="str">
        <f t="shared" si="3"/>
        <v/>
      </c>
      <c r="R71" s="18" t="str">
        <f ca="1">IF(NAMES!$B$10=FALSE,IF($B71="","",TOT_CIE_TC(I$28:P$28,$Q$2,OFFSET(Source!$A79,0,0,1,Config!$K$7))),IF($B71="","",Q71*TAXE))</f>
        <v/>
      </c>
      <c r="S71" s="1855" t="str">
        <f ca="1">IF(NAMES!$B$10=FALSE,IF($B71="","",_xludf.FORMULA($B71,$Q$2,OFFSET(Source!$A79,0,0,1,Config!$K$7))),IF($Q$2="AIG Luxembourg",Calcul!ED56,Calcul!ID56))</f>
        <v/>
      </c>
      <c r="T71" s="1855"/>
      <c r="U71" s="1855"/>
    </row>
    <row r="72" spans="1:21" hidden="1">
      <c r="A72" s="11" t="str">
        <f>IF(NAMES!$B$10=TRUE,IF(Cotations!C57=FALSE,"",Cotations!E57),IF(Source!A80="","",YEAR(Source!$B$2)&amp;"-"&amp;YEAR(Source!$C$2)&amp;"!"))</f>
        <v/>
      </c>
      <c r="B72" s="11" t="str">
        <f>IF(NAMES!$B$10=FALSE,IF(Source!A80="","",Source!A80),Cotations!G57)</f>
        <v/>
      </c>
      <c r="C72" s="11" t="str">
        <f>IF(NAMES!$B$10=FALSE,IF($B72="","",Source!B80),IF($B72="","",Crewlist!J57))</f>
        <v/>
      </c>
      <c r="D72" s="11" t="str">
        <f>IF(NAMES!$B$10=FALSE,IF($B72="","",Source!C80),IF($B72="","",Cotations!I57))</f>
        <v/>
      </c>
      <c r="E72" s="11" t="str">
        <f>IF(NAMES!$B$10=FALSE,IF($B72="","",Source!D80),IF($B72="","",Crewlist!G57))</f>
        <v/>
      </c>
      <c r="F72" s="16" t="str">
        <f>IF(NAMES!$B$10=FALSE,IF($B72="","",Source!E80),IF($B72="","",Crewlist!K57))</f>
        <v/>
      </c>
      <c r="G72" s="17" t="str">
        <f>IF(NAMES!$B$10=FALSE,IF($B72="","",Source!F80),Cotations!P57)</f>
        <v/>
      </c>
      <c r="H72" s="17" t="str">
        <f>IF(NAMES!$B$10=FALSE,IF($B72="","",Source!G80),Cotations!N57)</f>
        <v/>
      </c>
      <c r="I72" s="18" t="str">
        <f ca="1">IF(NAMES!$B$10=FALSE,IF($B72="","",CIE_HT(I$28,$Q$2,OFFSET(Source!$A80,0,0,1,Config!$K$7))),IF($B72="","",IF(Calcul!$BC$7=$Q$2,Calcul!BE57,Calcul!BQ57)))</f>
        <v/>
      </c>
      <c r="J72" s="18" t="str">
        <f ca="1">IF(NAMES!$B$10=FALSE,IF($B72="","",CIE_HT(J$28,$Q$2,OFFSET(Source!$A80,0,0,1,Config!$K$7))),IF($B72="","",IF(Calcul!$BC$7=$Q$2,Calcul!BF57+Calcul!BG57+Calcul!BH57,Calcul!BR57)))</f>
        <v/>
      </c>
      <c r="K72" s="18" t="str">
        <f ca="1">IF(NAMES!$B$10=FALSE,IF($B72="","",CIE_HT(K$28,$Q$2,OFFSET(Source!$A80,0,0,1,Config!$K$7))),IF($B72="","",IF(Calcul!$BC$7=$Q$2,Calcul!BI57,Calcul!BS57)))</f>
        <v/>
      </c>
      <c r="L72" s="18" t="str">
        <f ca="1">IF(NAMES!$B$10=FALSE,IF($B72="","",CIE_HT(L$28,$Q$2,OFFSET(Source!$A80,0,0,1,Config!$K$7))),IF($B72="","",IF(Calcul!$BC$7=$Q$2,Calcul!BJ57,Calcul!BT57)))</f>
        <v/>
      </c>
      <c r="M72" s="18" t="str">
        <f ca="1">IF(NAMES!$B$10=FALSE,IF($B72="","",CIE_HT(M$28,$Q$2,OFFSET(Source!$A80,0,0,1,Config!$K$7))),IF($B72="","",IF(Calcul!$BC$7=$Q$2,Calcul!BK57,Calcul!BU57)))</f>
        <v/>
      </c>
      <c r="N72" s="18" t="str">
        <f ca="1">IF(NAMES!$B$10=FALSE,IF($B72="","",CIE_HT(N$28,$Q$2,OFFSET(Source!$A80,0,0,1,Config!$K$7))),IF($B72="","",IF(Calcul!$BC$7=$Q$2,Calcul!BL57,Calcul!BV57)))</f>
        <v/>
      </c>
      <c r="O72" s="18" t="str">
        <f ca="1">IF(NAMES!$B$10=FALSE,IF($B72="","",CIE_HT(O$28,$Q$2,OFFSET(Source!$A80,0,0,1,Config!$K$7))),IF($B72="","",IF(Calcul!$BC$7=$Q$2,Calcul!BM57,Calcul!BW57)))</f>
        <v/>
      </c>
      <c r="P72" s="18" t="str">
        <f ca="1">IF(NAMES!$B$10=FALSE,IF($B72="","",CIE_HT(P$28,$Q$2,OFFSET(Source!$A80,0,0,1,Config!$K$7))),IF($B72="","",IF(Calcul!$BC$7=$Q$2,Calcul!BN57,Calcul!BX57)))</f>
        <v/>
      </c>
      <c r="Q72" s="18" t="str">
        <f t="shared" si="3"/>
        <v/>
      </c>
      <c r="R72" s="18" t="str">
        <f ca="1">IF(NAMES!$B$10=FALSE,IF($B72="","",TOT_CIE_TC(I$28:P$28,$Q$2,OFFSET(Source!$A80,0,0,1,Config!$K$7))),IF($B72="","",Q72*TAXE))</f>
        <v/>
      </c>
      <c r="S72" s="1855" t="str">
        <f ca="1">IF(NAMES!$B$10=FALSE,IF($B72="","",_xludf.FORMULA($B72,$Q$2,OFFSET(Source!$A80,0,0,1,Config!$K$7))),IF($Q$2="AIG Luxembourg",Calcul!ED57,Calcul!ID57))</f>
        <v/>
      </c>
      <c r="T72" s="1855"/>
      <c r="U72" s="1855"/>
    </row>
    <row r="73" spans="1:21" hidden="1">
      <c r="A73" s="11" t="str">
        <f>IF(NAMES!$B$10=TRUE,IF(Cotations!C58=FALSE,"",Cotations!E58),IF(Source!A81="","",YEAR(Source!$B$2)&amp;"-"&amp;YEAR(Source!$C$2)&amp;"!"))</f>
        <v/>
      </c>
      <c r="B73" s="11" t="str">
        <f>IF(NAMES!$B$10=FALSE,IF(Source!A81="","",Source!A81),Cotations!G58)</f>
        <v/>
      </c>
      <c r="C73" s="11" t="str">
        <f>IF(NAMES!$B$10=FALSE,IF($B73="","",Source!B81),IF($B73="","",Crewlist!J58))</f>
        <v/>
      </c>
      <c r="D73" s="11" t="str">
        <f>IF(NAMES!$B$10=FALSE,IF($B73="","",Source!C81),IF($B73="","",Cotations!I58))</f>
        <v/>
      </c>
      <c r="E73" s="11" t="str">
        <f>IF(NAMES!$B$10=FALSE,IF($B73="","",Source!D81),IF($B73="","",Crewlist!G58))</f>
        <v/>
      </c>
      <c r="F73" s="16" t="str">
        <f>IF(NAMES!$B$10=FALSE,IF($B73="","",Source!E81),IF($B73="","",Crewlist!K58))</f>
        <v/>
      </c>
      <c r="G73" s="17" t="str">
        <f>IF(NAMES!$B$10=FALSE,IF($B73="","",Source!F81),Cotations!P58)</f>
        <v/>
      </c>
      <c r="H73" s="17" t="str">
        <f>IF(NAMES!$B$10=FALSE,IF($B73="","",Source!G81),Cotations!N58)</f>
        <v/>
      </c>
      <c r="I73" s="18" t="str">
        <f ca="1">IF(NAMES!$B$10=FALSE,IF($B73="","",CIE_HT(I$28,$Q$2,OFFSET(Source!$A81,0,0,1,Config!$K$7))),IF($B73="","",IF(Calcul!$BC$7=$Q$2,Calcul!BE58,Calcul!BQ58)))</f>
        <v/>
      </c>
      <c r="J73" s="18" t="str">
        <f ca="1">IF(NAMES!$B$10=FALSE,IF($B73="","",CIE_HT(J$28,$Q$2,OFFSET(Source!$A81,0,0,1,Config!$K$7))),IF($B73="","",IF(Calcul!$BC$7=$Q$2,Calcul!BF58+Calcul!BG58+Calcul!BH58,Calcul!BR58)))</f>
        <v/>
      </c>
      <c r="K73" s="18" t="str">
        <f ca="1">IF(NAMES!$B$10=FALSE,IF($B73="","",CIE_HT(K$28,$Q$2,OFFSET(Source!$A81,0,0,1,Config!$K$7))),IF($B73="","",IF(Calcul!$BC$7=$Q$2,Calcul!BI58,Calcul!BS58)))</f>
        <v/>
      </c>
      <c r="L73" s="18" t="str">
        <f ca="1">IF(NAMES!$B$10=FALSE,IF($B73="","",CIE_HT(L$28,$Q$2,OFFSET(Source!$A81,0,0,1,Config!$K$7))),IF($B73="","",IF(Calcul!$BC$7=$Q$2,Calcul!BJ58,Calcul!BT58)))</f>
        <v/>
      </c>
      <c r="M73" s="18" t="str">
        <f ca="1">IF(NAMES!$B$10=FALSE,IF($B73="","",CIE_HT(M$28,$Q$2,OFFSET(Source!$A81,0,0,1,Config!$K$7))),IF($B73="","",IF(Calcul!$BC$7=$Q$2,Calcul!BK58,Calcul!BU58)))</f>
        <v/>
      </c>
      <c r="N73" s="18" t="str">
        <f ca="1">IF(NAMES!$B$10=FALSE,IF($B73="","",CIE_HT(N$28,$Q$2,OFFSET(Source!$A81,0,0,1,Config!$K$7))),IF($B73="","",IF(Calcul!$BC$7=$Q$2,Calcul!BL58,Calcul!BV58)))</f>
        <v/>
      </c>
      <c r="O73" s="18" t="str">
        <f ca="1">IF(NAMES!$B$10=FALSE,IF($B73="","",CIE_HT(O$28,$Q$2,OFFSET(Source!$A81,0,0,1,Config!$K$7))),IF($B73="","",IF(Calcul!$BC$7=$Q$2,Calcul!BM58,Calcul!BW58)))</f>
        <v/>
      </c>
      <c r="P73" s="18" t="str">
        <f ca="1">IF(NAMES!$B$10=FALSE,IF($B73="","",CIE_HT(P$28,$Q$2,OFFSET(Source!$A81,0,0,1,Config!$K$7))),IF($B73="","",IF(Calcul!$BC$7=$Q$2,Calcul!BN58,Calcul!BX58)))</f>
        <v/>
      </c>
      <c r="Q73" s="18" t="str">
        <f t="shared" si="3"/>
        <v/>
      </c>
      <c r="R73" s="18" t="str">
        <f ca="1">IF(NAMES!$B$10=FALSE,IF($B73="","",TOT_CIE_TC(I$28:P$28,$Q$2,OFFSET(Source!$A81,0,0,1,Config!$K$7))),IF($B73="","",Q73*TAXE))</f>
        <v/>
      </c>
      <c r="S73" s="1855" t="str">
        <f ca="1">IF(NAMES!$B$10=FALSE,IF($B73="","",_xludf.FORMULA($B73,$Q$2,OFFSET(Source!$A81,0,0,1,Config!$K$7))),IF($Q$2="AIG Luxembourg",Calcul!ED58,Calcul!ID58))</f>
        <v/>
      </c>
      <c r="T73" s="1855"/>
      <c r="U73" s="1855"/>
    </row>
    <row r="74" spans="1:21" hidden="1">
      <c r="A74" s="11" t="str">
        <f>IF(NAMES!$B$10=TRUE,IF(Cotations!C59=FALSE,"",Cotations!E59),IF(Source!A82="","",YEAR(Source!$B$2)&amp;"-"&amp;YEAR(Source!$C$2)&amp;"!"))</f>
        <v/>
      </c>
      <c r="B74" s="11" t="str">
        <f>IF(NAMES!$B$10=FALSE,IF(Source!A82="","",Source!A82),Cotations!G59)</f>
        <v/>
      </c>
      <c r="C74" s="11" t="str">
        <f>IF(NAMES!$B$10=FALSE,IF($B74="","",Source!B82),IF($B74="","",Crewlist!J59))</f>
        <v/>
      </c>
      <c r="D74" s="11" t="str">
        <f>IF(NAMES!$B$10=FALSE,IF($B74="","",Source!C82),IF($B74="","",Cotations!I59))</f>
        <v/>
      </c>
      <c r="E74" s="11" t="str">
        <f>IF(NAMES!$B$10=FALSE,IF($B74="","",Source!D82),IF($B74="","",Crewlist!G59))</f>
        <v/>
      </c>
      <c r="F74" s="16" t="str">
        <f>IF(NAMES!$B$10=FALSE,IF($B74="","",Source!E82),IF($B74="","",Crewlist!K59))</f>
        <v/>
      </c>
      <c r="G74" s="17" t="str">
        <f>IF(NAMES!$B$10=FALSE,IF($B74="","",Source!F82),Cotations!P59)</f>
        <v/>
      </c>
      <c r="H74" s="17" t="str">
        <f>IF(NAMES!$B$10=FALSE,IF($B74="","",Source!G82),Cotations!N59)</f>
        <v/>
      </c>
      <c r="I74" s="18" t="str">
        <f ca="1">IF(NAMES!$B$10=FALSE,IF($B74="","",CIE_HT(I$28,$Q$2,OFFSET(Source!$A82,0,0,1,Config!$K$7))),IF($B74="","",IF(Calcul!$BC$7=$Q$2,Calcul!BE59,Calcul!BQ59)))</f>
        <v/>
      </c>
      <c r="J74" s="18" t="str">
        <f ca="1">IF(NAMES!$B$10=FALSE,IF($B74="","",CIE_HT(J$28,$Q$2,OFFSET(Source!$A82,0,0,1,Config!$K$7))),IF($B74="","",IF(Calcul!$BC$7=$Q$2,Calcul!BF59+Calcul!BG59+Calcul!BH59,Calcul!BR59)))</f>
        <v/>
      </c>
      <c r="K74" s="18" t="str">
        <f ca="1">IF(NAMES!$B$10=FALSE,IF($B74="","",CIE_HT(K$28,$Q$2,OFFSET(Source!$A82,0,0,1,Config!$K$7))),IF($B74="","",IF(Calcul!$BC$7=$Q$2,Calcul!BI59,Calcul!BS59)))</f>
        <v/>
      </c>
      <c r="L74" s="18" t="str">
        <f ca="1">IF(NAMES!$B$10=FALSE,IF($B74="","",CIE_HT(L$28,$Q$2,OFFSET(Source!$A82,0,0,1,Config!$K$7))),IF($B74="","",IF(Calcul!$BC$7=$Q$2,Calcul!BJ59,Calcul!BT59)))</f>
        <v/>
      </c>
      <c r="M74" s="18" t="str">
        <f ca="1">IF(NAMES!$B$10=FALSE,IF($B74="","",CIE_HT(M$28,$Q$2,OFFSET(Source!$A82,0,0,1,Config!$K$7))),IF($B74="","",IF(Calcul!$BC$7=$Q$2,Calcul!BK59,Calcul!BU59)))</f>
        <v/>
      </c>
      <c r="N74" s="18" t="str">
        <f ca="1">IF(NAMES!$B$10=FALSE,IF($B74="","",CIE_HT(N$28,$Q$2,OFFSET(Source!$A82,0,0,1,Config!$K$7))),IF($B74="","",IF(Calcul!$BC$7=$Q$2,Calcul!BL59,Calcul!BV59)))</f>
        <v/>
      </c>
      <c r="O74" s="18" t="str">
        <f ca="1">IF(NAMES!$B$10=FALSE,IF($B74="","",CIE_HT(O$28,$Q$2,OFFSET(Source!$A82,0,0,1,Config!$K$7))),IF($B74="","",IF(Calcul!$BC$7=$Q$2,Calcul!BM59,Calcul!BW59)))</f>
        <v/>
      </c>
      <c r="P74" s="18" t="str">
        <f ca="1">IF(NAMES!$B$10=FALSE,IF($B74="","",CIE_HT(P$28,$Q$2,OFFSET(Source!$A82,0,0,1,Config!$K$7))),IF($B74="","",IF(Calcul!$BC$7=$Q$2,Calcul!BN59,Calcul!BX59)))</f>
        <v/>
      </c>
      <c r="Q74" s="18" t="str">
        <f t="shared" si="3"/>
        <v/>
      </c>
      <c r="R74" s="18" t="str">
        <f ca="1">IF(NAMES!$B$10=FALSE,IF($B74="","",TOT_CIE_TC(I$28:P$28,$Q$2,OFFSET(Source!$A82,0,0,1,Config!$K$7))),IF($B74="","",Q74*TAXE))</f>
        <v/>
      </c>
      <c r="S74" s="1855" t="str">
        <f ca="1">IF(NAMES!$B$10=FALSE,IF($B74="","",_xludf.FORMULA($B74,$Q$2,OFFSET(Source!$A82,0,0,1,Config!$K$7))),IF($Q$2="AIG Luxembourg",Calcul!ED59,Calcul!ID59))</f>
        <v/>
      </c>
      <c r="T74" s="1855"/>
      <c r="U74" s="1855"/>
    </row>
    <row r="75" spans="1:21" hidden="1">
      <c r="A75" s="11" t="str">
        <f>IF(NAMES!$B$10=TRUE,IF(Cotations!C60=FALSE,"",Cotations!E60),IF(Source!A83="","",YEAR(Source!$B$2)&amp;"-"&amp;YEAR(Source!$C$2)&amp;"!"))</f>
        <v/>
      </c>
      <c r="B75" s="11" t="str">
        <f>IF(NAMES!$B$10=FALSE,IF(Source!A83="","",Source!A83),Cotations!G60)</f>
        <v/>
      </c>
      <c r="C75" s="11" t="str">
        <f>IF(NAMES!$B$10=FALSE,IF($B75="","",Source!B83),IF($B75="","",Crewlist!J60))</f>
        <v/>
      </c>
      <c r="D75" s="11" t="str">
        <f>IF(NAMES!$B$10=FALSE,IF($B75="","",Source!C83),IF($B75="","",Cotations!I60))</f>
        <v/>
      </c>
      <c r="E75" s="11" t="str">
        <f>IF(NAMES!$B$10=FALSE,IF($B75="","",Source!D83),IF($B75="","",Crewlist!G60))</f>
        <v/>
      </c>
      <c r="F75" s="16" t="str">
        <f>IF(NAMES!$B$10=FALSE,IF($B75="","",Source!E83),IF($B75="","",Crewlist!K60))</f>
        <v/>
      </c>
      <c r="G75" s="17" t="str">
        <f>IF(NAMES!$B$10=FALSE,IF($B75="","",Source!F83),Cotations!P60)</f>
        <v/>
      </c>
      <c r="H75" s="17" t="str">
        <f>IF(NAMES!$B$10=FALSE,IF($B75="","",Source!G83),Cotations!N60)</f>
        <v/>
      </c>
      <c r="I75" s="18" t="str">
        <f ca="1">IF(NAMES!$B$10=FALSE,IF($B75="","",CIE_HT(I$28,$Q$2,OFFSET(Source!$A83,0,0,1,Config!$K$7))),IF($B75="","",IF(Calcul!$BC$7=$Q$2,Calcul!BE60,Calcul!BQ60)))</f>
        <v/>
      </c>
      <c r="J75" s="18" t="str">
        <f ca="1">IF(NAMES!$B$10=FALSE,IF($B75="","",CIE_HT(J$28,$Q$2,OFFSET(Source!$A83,0,0,1,Config!$K$7))),IF($B75="","",IF(Calcul!$BC$7=$Q$2,Calcul!BF60+Calcul!BG60+Calcul!BH60,Calcul!BR60)))</f>
        <v/>
      </c>
      <c r="K75" s="18" t="str">
        <f ca="1">IF(NAMES!$B$10=FALSE,IF($B75="","",CIE_HT(K$28,$Q$2,OFFSET(Source!$A83,0,0,1,Config!$K$7))),IF($B75="","",IF(Calcul!$BC$7=$Q$2,Calcul!BI60,Calcul!BS60)))</f>
        <v/>
      </c>
      <c r="L75" s="18" t="str">
        <f ca="1">IF(NAMES!$B$10=FALSE,IF($B75="","",CIE_HT(L$28,$Q$2,OFFSET(Source!$A83,0,0,1,Config!$K$7))),IF($B75="","",IF(Calcul!$BC$7=$Q$2,Calcul!BJ60,Calcul!BT60)))</f>
        <v/>
      </c>
      <c r="M75" s="18" t="str">
        <f ca="1">IF(NAMES!$B$10=FALSE,IF($B75="","",CIE_HT(M$28,$Q$2,OFFSET(Source!$A83,0,0,1,Config!$K$7))),IF($B75="","",IF(Calcul!$BC$7=$Q$2,Calcul!BK60,Calcul!BU60)))</f>
        <v/>
      </c>
      <c r="N75" s="18" t="str">
        <f ca="1">IF(NAMES!$B$10=FALSE,IF($B75="","",CIE_HT(N$28,$Q$2,OFFSET(Source!$A83,0,0,1,Config!$K$7))),IF($B75="","",IF(Calcul!$BC$7=$Q$2,Calcul!BL60,Calcul!BV60)))</f>
        <v/>
      </c>
      <c r="O75" s="18" t="str">
        <f ca="1">IF(NAMES!$B$10=FALSE,IF($B75="","",CIE_HT(O$28,$Q$2,OFFSET(Source!$A83,0,0,1,Config!$K$7))),IF($B75="","",IF(Calcul!$BC$7=$Q$2,Calcul!BM60,Calcul!BW60)))</f>
        <v/>
      </c>
      <c r="P75" s="18" t="str">
        <f ca="1">IF(NAMES!$B$10=FALSE,IF($B75="","",CIE_HT(P$28,$Q$2,OFFSET(Source!$A83,0,0,1,Config!$K$7))),IF($B75="","",IF(Calcul!$BC$7=$Q$2,Calcul!BN60,Calcul!BX60)))</f>
        <v/>
      </c>
      <c r="Q75" s="18" t="str">
        <f t="shared" si="3"/>
        <v/>
      </c>
      <c r="R75" s="18" t="str">
        <f ca="1">IF(NAMES!$B$10=FALSE,IF($B75="","",TOT_CIE_TC(I$28:P$28,$Q$2,OFFSET(Source!$A83,0,0,1,Config!$K$7))),IF($B75="","",Q75*TAXE))</f>
        <v/>
      </c>
      <c r="S75" s="1855" t="str">
        <f ca="1">IF(NAMES!$B$10=FALSE,IF($B75="","",_xludf.FORMULA($B75,$Q$2,OFFSET(Source!$A83,0,0,1,Config!$K$7))),IF($Q$2="AIG Luxembourg",Calcul!ED60,Calcul!ID60))</f>
        <v/>
      </c>
      <c r="T75" s="1855"/>
      <c r="U75" s="1855"/>
    </row>
    <row r="76" spans="1:21" hidden="1">
      <c r="A76" s="11" t="str">
        <f>IF(NAMES!$B$10=TRUE,IF(Cotations!C61=FALSE,"",Cotations!E61),IF(Source!A84="","",YEAR(Source!$B$2)&amp;"-"&amp;YEAR(Source!$C$2)&amp;"!"))</f>
        <v/>
      </c>
      <c r="B76" s="11" t="str">
        <f>IF(NAMES!$B$10=FALSE,IF(Source!A84="","",Source!A84),Cotations!G61)</f>
        <v/>
      </c>
      <c r="C76" s="11" t="str">
        <f>IF(NAMES!$B$10=FALSE,IF($B76="","",Source!B84),IF($B76="","",Crewlist!J61))</f>
        <v/>
      </c>
      <c r="D76" s="11" t="str">
        <f>IF(NAMES!$B$10=FALSE,IF($B76="","",Source!C84),IF($B76="","",Cotations!I61))</f>
        <v/>
      </c>
      <c r="E76" s="11" t="str">
        <f>IF(NAMES!$B$10=FALSE,IF($B76="","",Source!D84),IF($B76="","",Crewlist!G61))</f>
        <v/>
      </c>
      <c r="F76" s="16" t="str">
        <f>IF(NAMES!$B$10=FALSE,IF($B76="","",Source!E84),IF($B76="","",Crewlist!K61))</f>
        <v/>
      </c>
      <c r="G76" s="17" t="str">
        <f>IF(NAMES!$B$10=FALSE,IF($B76="","",Source!F84),Cotations!P61)</f>
        <v/>
      </c>
      <c r="H76" s="17" t="str">
        <f>IF(NAMES!$B$10=FALSE,IF($B76="","",Source!G84),Cotations!N61)</f>
        <v/>
      </c>
      <c r="I76" s="18" t="str">
        <f ca="1">IF(NAMES!$B$10=FALSE,IF($B76="","",CIE_HT(I$28,$Q$2,OFFSET(Source!$A84,0,0,1,Config!$K$7))),IF($B76="","",IF(Calcul!$BC$7=$Q$2,Calcul!BE61,Calcul!BQ61)))</f>
        <v/>
      </c>
      <c r="J76" s="18" t="str">
        <f ca="1">IF(NAMES!$B$10=FALSE,IF($B76="","",CIE_HT(J$28,$Q$2,OFFSET(Source!$A84,0,0,1,Config!$K$7))),IF($B76="","",IF(Calcul!$BC$7=$Q$2,Calcul!BF61+Calcul!BG61+Calcul!BH61,Calcul!BR61)))</f>
        <v/>
      </c>
      <c r="K76" s="18" t="str">
        <f ca="1">IF(NAMES!$B$10=FALSE,IF($B76="","",CIE_HT(K$28,$Q$2,OFFSET(Source!$A84,0,0,1,Config!$K$7))),IF($B76="","",IF(Calcul!$BC$7=$Q$2,Calcul!BI61,Calcul!BS61)))</f>
        <v/>
      </c>
      <c r="L76" s="18" t="str">
        <f ca="1">IF(NAMES!$B$10=FALSE,IF($B76="","",CIE_HT(L$28,$Q$2,OFFSET(Source!$A84,0,0,1,Config!$K$7))),IF($B76="","",IF(Calcul!$BC$7=$Q$2,Calcul!BJ61,Calcul!BT61)))</f>
        <v/>
      </c>
      <c r="M76" s="18" t="str">
        <f ca="1">IF(NAMES!$B$10=FALSE,IF($B76="","",CIE_HT(M$28,$Q$2,OFFSET(Source!$A84,0,0,1,Config!$K$7))),IF($B76="","",IF(Calcul!$BC$7=$Q$2,Calcul!BK61,Calcul!BU61)))</f>
        <v/>
      </c>
      <c r="N76" s="18" t="str">
        <f ca="1">IF(NAMES!$B$10=FALSE,IF($B76="","",CIE_HT(N$28,$Q$2,OFFSET(Source!$A84,0,0,1,Config!$K$7))),IF($B76="","",IF(Calcul!$BC$7=$Q$2,Calcul!BL61,Calcul!BV61)))</f>
        <v/>
      </c>
      <c r="O76" s="18" t="str">
        <f ca="1">IF(NAMES!$B$10=FALSE,IF($B76="","",CIE_HT(O$28,$Q$2,OFFSET(Source!$A84,0,0,1,Config!$K$7))),IF($B76="","",IF(Calcul!$BC$7=$Q$2,Calcul!BM61,Calcul!BW61)))</f>
        <v/>
      </c>
      <c r="P76" s="18" t="str">
        <f ca="1">IF(NAMES!$B$10=FALSE,IF($B76="","",CIE_HT(P$28,$Q$2,OFFSET(Source!$A84,0,0,1,Config!$K$7))),IF($B76="","",IF(Calcul!$BC$7=$Q$2,Calcul!BN61,Calcul!BX61)))</f>
        <v/>
      </c>
      <c r="Q76" s="18" t="str">
        <f t="shared" si="3"/>
        <v/>
      </c>
      <c r="R76" s="18" t="str">
        <f ca="1">IF(NAMES!$B$10=FALSE,IF($B76="","",TOT_CIE_TC(I$28:P$28,$Q$2,OFFSET(Source!$A84,0,0,1,Config!$K$7))),IF($B76="","",Q76*TAXE))</f>
        <v/>
      </c>
      <c r="S76" s="1855" t="str">
        <f ca="1">IF(NAMES!$B$10=FALSE,IF($B76="","",_xludf.FORMULA($B76,$Q$2,OFFSET(Source!$A84,0,0,1,Config!$K$7))),IF($Q$2="AIG Luxembourg",Calcul!ED61,Calcul!ID61))</f>
        <v/>
      </c>
      <c r="T76" s="1855"/>
      <c r="U76" s="1855"/>
    </row>
    <row r="77" spans="1:21" ht="12.75" hidden="1" customHeight="1">
      <c r="A77" s="11" t="str">
        <f>IF(NAMES!$B$10=TRUE,IF(Cotations!C62=FALSE,"",Cotations!E62),IF(Source!A85="","",YEAR(Source!$B$2)&amp;"-"&amp;YEAR(Source!$C$2)&amp;"!"))</f>
        <v/>
      </c>
      <c r="B77" s="11" t="str">
        <f>IF(NAMES!$B$10=FALSE,IF(Source!A85="","",Source!A85),Cotations!G62)</f>
        <v/>
      </c>
      <c r="C77" s="11" t="str">
        <f>IF(NAMES!$B$10=FALSE,IF($B77="","",Source!B85),IF($B77="","",Crewlist!J62))</f>
        <v/>
      </c>
      <c r="D77" s="11" t="str">
        <f>IF(NAMES!$B$10=FALSE,IF($B77="","",Source!C85),IF($B77="","",Cotations!I62))</f>
        <v/>
      </c>
      <c r="E77" s="11" t="str">
        <f>IF(NAMES!$B$10=FALSE,IF($B77="","",Source!D85),IF($B77="","",Crewlist!G62))</f>
        <v/>
      </c>
      <c r="F77" s="16" t="str">
        <f>IF(NAMES!$B$10=FALSE,IF($B77="","",Source!E85),IF($B77="","",Crewlist!K62))</f>
        <v/>
      </c>
      <c r="G77" s="17" t="str">
        <f>IF(NAMES!$B$10=FALSE,IF($B77="","",Source!F85),Cotations!P62)</f>
        <v/>
      </c>
      <c r="H77" s="17" t="str">
        <f>IF(NAMES!$B$10=FALSE,IF($B77="","",Source!G85),Cotations!N62)</f>
        <v/>
      </c>
      <c r="I77" s="18" t="str">
        <f ca="1">IF(NAMES!$B$10=FALSE,IF($B77="","",CIE_HT(I$28,$Q$2,OFFSET(Source!$A85,0,0,1,Config!$K$7))),IF($B77="","",IF(Calcul!$BC$7=$Q$2,Calcul!BE62,Calcul!BQ62)))</f>
        <v/>
      </c>
      <c r="J77" s="18" t="str">
        <f ca="1">IF(NAMES!$B$10=FALSE,IF($B77="","",CIE_HT(J$28,$Q$2,OFFSET(Source!$A85,0,0,1,Config!$K$7))),IF($B77="","",IF(Calcul!$BC$7=$Q$2,Calcul!BF62+Calcul!BG62+Calcul!BH62,Calcul!BR62)))</f>
        <v/>
      </c>
      <c r="K77" s="18" t="str">
        <f ca="1">IF(NAMES!$B$10=FALSE,IF($B77="","",CIE_HT(K$28,$Q$2,OFFSET(Source!$A85,0,0,1,Config!$K$7))),IF($B77="","",IF(Calcul!$BC$7=$Q$2,Calcul!BI62,Calcul!BS62)))</f>
        <v/>
      </c>
      <c r="L77" s="18" t="str">
        <f ca="1">IF(NAMES!$B$10=FALSE,IF($B77="","",CIE_HT(L$28,$Q$2,OFFSET(Source!$A85,0,0,1,Config!$K$7))),IF($B77="","",IF(Calcul!$BC$7=$Q$2,Calcul!BJ62,Calcul!BT62)))</f>
        <v/>
      </c>
      <c r="M77" s="18" t="str">
        <f ca="1">IF(NAMES!$B$10=FALSE,IF($B77="","",CIE_HT(M$28,$Q$2,OFFSET(Source!$A85,0,0,1,Config!$K$7))),IF($B77="","",IF(Calcul!$BC$7=$Q$2,Calcul!BK62,Calcul!BU62)))</f>
        <v/>
      </c>
      <c r="N77" s="18" t="str">
        <f ca="1">IF(NAMES!$B$10=FALSE,IF($B77="","",CIE_HT(N$28,$Q$2,OFFSET(Source!$A85,0,0,1,Config!$K$7))),IF($B77="","",IF(Calcul!$BC$7=$Q$2,Calcul!BL62,Calcul!BV62)))</f>
        <v/>
      </c>
      <c r="O77" s="18" t="str">
        <f ca="1">IF(NAMES!$B$10=FALSE,IF($B77="","",CIE_HT(O$28,$Q$2,OFFSET(Source!$A85,0,0,1,Config!$K$7))),IF($B77="","",IF(Calcul!$BC$7=$Q$2,Calcul!BM62,Calcul!BW62)))</f>
        <v/>
      </c>
      <c r="P77" s="18" t="str">
        <f ca="1">IF(NAMES!$B$10=FALSE,IF($B77="","",CIE_HT(P$28,$Q$2,OFFSET(Source!$A85,0,0,1,Config!$K$7))),IF($B77="","",IF(Calcul!$BC$7=$Q$2,Calcul!BN62,Calcul!BX62)))</f>
        <v/>
      </c>
      <c r="Q77" s="18" t="str">
        <f t="shared" si="3"/>
        <v/>
      </c>
      <c r="R77" s="18" t="str">
        <f ca="1">IF(NAMES!$B$10=FALSE,IF($B77="","",TOT_CIE_TC(I$28:P$28,$Q$2,OFFSET(Source!$A85,0,0,1,Config!$K$7))),IF($B77="","",Q77*TAXE))</f>
        <v/>
      </c>
      <c r="S77" s="1855" t="str">
        <f ca="1">IF(NAMES!$B$10=FALSE,IF($B77="","",_xludf.FORMULA($B77,$Q$2,OFFSET(Source!$A85,0,0,1,Config!$K$7))),IF($Q$2="AIG Luxembourg",Calcul!ED62,Calcul!ID62))</f>
        <v/>
      </c>
      <c r="T77" s="1855"/>
      <c r="U77" s="1855"/>
    </row>
    <row r="78" spans="1:21" hidden="1">
      <c r="A78" s="11" t="str">
        <f>IF(NAMES!$B$10=TRUE,IF(Cotations!C63=FALSE,"",Cotations!E63),IF(Source!A86="","",YEAR(Source!$B$2)&amp;"-"&amp;YEAR(Source!$C$2)&amp;"!"))</f>
        <v/>
      </c>
      <c r="B78" s="11" t="str">
        <f>IF(NAMES!$B$10=FALSE,IF(Source!A86="","",Source!A86),Cotations!G63)</f>
        <v/>
      </c>
      <c r="C78" s="11" t="str">
        <f>IF(NAMES!$B$10=FALSE,IF($B78="","",Source!B86),IF($B78="","",Crewlist!J63))</f>
        <v/>
      </c>
      <c r="D78" s="11" t="str">
        <f>IF(NAMES!$B$10=FALSE,IF($B78="","",Source!C86),IF($B78="","",Cotations!I63))</f>
        <v/>
      </c>
      <c r="E78" s="11" t="str">
        <f>IF(NAMES!$B$10=FALSE,IF($B78="","",Source!D86),IF($B78="","",Crewlist!G63))</f>
        <v/>
      </c>
      <c r="F78" s="16" t="str">
        <f>IF(NAMES!$B$10=FALSE,IF($B78="","",Source!E86),IF($B78="","",Crewlist!K63))</f>
        <v/>
      </c>
      <c r="G78" s="17" t="str">
        <f>IF(NAMES!$B$10=FALSE,IF($B78="","",Source!F86),Cotations!P63)</f>
        <v/>
      </c>
      <c r="H78" s="17" t="str">
        <f>IF(NAMES!$B$10=FALSE,IF($B78="","",Source!G86),Cotations!N63)</f>
        <v/>
      </c>
      <c r="I78" s="18" t="str">
        <f ca="1">IF(NAMES!$B$10=FALSE,IF($B78="","",CIE_HT(I$28,$Q$2,OFFSET(Source!$A86,0,0,1,Config!$K$7))),IF($B78="","",IF(Calcul!$BC$7=$Q$2,Calcul!BE63,Calcul!BQ63)))</f>
        <v/>
      </c>
      <c r="J78" s="18" t="str">
        <f ca="1">IF(NAMES!$B$10=FALSE,IF($B78="","",CIE_HT(J$28,$Q$2,OFFSET(Source!$A86,0,0,1,Config!$K$7))),IF($B78="","",IF(Calcul!$BC$7=$Q$2,Calcul!BF63+Calcul!BG63+Calcul!BH63,Calcul!BR63)))</f>
        <v/>
      </c>
      <c r="K78" s="18" t="str">
        <f ca="1">IF(NAMES!$B$10=FALSE,IF($B78="","",CIE_HT(K$28,$Q$2,OFFSET(Source!$A86,0,0,1,Config!$K$7))),IF($B78="","",IF(Calcul!$BC$7=$Q$2,Calcul!BI63,Calcul!BS63)))</f>
        <v/>
      </c>
      <c r="L78" s="18" t="str">
        <f ca="1">IF(NAMES!$B$10=FALSE,IF($B78="","",CIE_HT(L$28,$Q$2,OFFSET(Source!$A86,0,0,1,Config!$K$7))),IF($B78="","",IF(Calcul!$BC$7=$Q$2,Calcul!BJ63,Calcul!BT63)))</f>
        <v/>
      </c>
      <c r="M78" s="18" t="str">
        <f ca="1">IF(NAMES!$B$10=FALSE,IF($B78="","",CIE_HT(M$28,$Q$2,OFFSET(Source!$A86,0,0,1,Config!$K$7))),IF($B78="","",IF(Calcul!$BC$7=$Q$2,Calcul!BK63,Calcul!BU63)))</f>
        <v/>
      </c>
      <c r="N78" s="18" t="str">
        <f ca="1">IF(NAMES!$B$10=FALSE,IF($B78="","",CIE_HT(N$28,$Q$2,OFFSET(Source!$A86,0,0,1,Config!$K$7))),IF($B78="","",IF(Calcul!$BC$7=$Q$2,Calcul!BL63,Calcul!BV63)))</f>
        <v/>
      </c>
      <c r="O78" s="18" t="str">
        <f ca="1">IF(NAMES!$B$10=FALSE,IF($B78="","",CIE_HT(O$28,$Q$2,OFFSET(Source!$A86,0,0,1,Config!$K$7))),IF($B78="","",IF(Calcul!$BC$7=$Q$2,Calcul!BM63,Calcul!BW63)))</f>
        <v/>
      </c>
      <c r="P78" s="18" t="str">
        <f ca="1">IF(NAMES!$B$10=FALSE,IF($B78="","",CIE_HT(P$28,$Q$2,OFFSET(Source!$A86,0,0,1,Config!$K$7))),IF($B78="","",IF(Calcul!$BC$7=$Q$2,Calcul!BN63,Calcul!BX63)))</f>
        <v/>
      </c>
      <c r="Q78" s="18" t="str">
        <f t="shared" si="3"/>
        <v/>
      </c>
      <c r="R78" s="18" t="str">
        <f ca="1">IF(NAMES!$B$10=FALSE,IF($B78="","",TOT_CIE_TC(I$28:P$28,$Q$2,OFFSET(Source!$A86,0,0,1,Config!$K$7))),IF($B78="","",Q78*TAXE))</f>
        <v/>
      </c>
      <c r="S78" s="1855" t="str">
        <f ca="1">IF(NAMES!$B$10=FALSE,IF($B78="","",_xludf.FORMULA($B78,$Q$2,OFFSET(Source!$A86,0,0,1,Config!$K$7))),IF($Q$2="AIG Luxembourg",Calcul!ED63,Calcul!ID63))</f>
        <v/>
      </c>
      <c r="T78" s="1855"/>
      <c r="U78" s="1855"/>
    </row>
    <row r="79" spans="1:21" hidden="1">
      <c r="A79" s="11" t="str">
        <f>IF(NAMES!$B$10=TRUE,IF(Cotations!C64=FALSE,"",Cotations!E64),IF(Source!A87="","",YEAR(Source!$B$2)&amp;"-"&amp;YEAR(Source!$C$2)&amp;"!"))</f>
        <v/>
      </c>
      <c r="B79" s="11" t="str">
        <f>IF(NAMES!$B$10=FALSE,IF(Source!A87="","",Source!A87),Cotations!G64)</f>
        <v/>
      </c>
      <c r="C79" s="11" t="str">
        <f>IF(NAMES!$B$10=FALSE,IF($B79="","",Source!B87),IF($B79="","",Crewlist!J64))</f>
        <v/>
      </c>
      <c r="D79" s="11" t="str">
        <f>IF(NAMES!$B$10=FALSE,IF($B79="","",Source!C87),IF($B79="","",Cotations!I64))</f>
        <v/>
      </c>
      <c r="E79" s="11" t="str">
        <f>IF(NAMES!$B$10=FALSE,IF($B79="","",Source!D87),IF($B79="","",Crewlist!G64))</f>
        <v/>
      </c>
      <c r="F79" s="16" t="str">
        <f>IF(NAMES!$B$10=FALSE,IF($B79="","",Source!E87),IF($B79="","",Crewlist!K64))</f>
        <v/>
      </c>
      <c r="G79" s="17" t="str">
        <f>IF(NAMES!$B$10=FALSE,IF($B79="","",Source!F87),Cotations!P64)</f>
        <v/>
      </c>
      <c r="H79" s="17" t="str">
        <f>IF(NAMES!$B$10=FALSE,IF($B79="","",Source!G87),Cotations!N64)</f>
        <v/>
      </c>
      <c r="I79" s="18" t="str">
        <f ca="1">IF(NAMES!$B$10=FALSE,IF($B79="","",CIE_HT(I$28,$Q$2,OFFSET(Source!$A87,0,0,1,Config!$K$7))),IF($B79="","",IF(Calcul!$BC$7=$Q$2,Calcul!BE64,Calcul!BQ64)))</f>
        <v/>
      </c>
      <c r="J79" s="18" t="str">
        <f ca="1">IF(NAMES!$B$10=FALSE,IF($B79="","",CIE_HT(J$28,$Q$2,OFFSET(Source!$A87,0,0,1,Config!$K$7))),IF($B79="","",IF(Calcul!$BC$7=$Q$2,Calcul!BF64+Calcul!BG64+Calcul!BH64,Calcul!BR64)))</f>
        <v/>
      </c>
      <c r="K79" s="18" t="str">
        <f ca="1">IF(NAMES!$B$10=FALSE,IF($B79="","",CIE_HT(K$28,$Q$2,OFFSET(Source!$A87,0,0,1,Config!$K$7))),IF($B79="","",IF(Calcul!$BC$7=$Q$2,Calcul!BI64,Calcul!BS64)))</f>
        <v/>
      </c>
      <c r="L79" s="18" t="str">
        <f ca="1">IF(NAMES!$B$10=FALSE,IF($B79="","",CIE_HT(L$28,$Q$2,OFFSET(Source!$A87,0,0,1,Config!$K$7))),IF($B79="","",IF(Calcul!$BC$7=$Q$2,Calcul!BJ64,Calcul!BT64)))</f>
        <v/>
      </c>
      <c r="M79" s="18" t="str">
        <f ca="1">IF(NAMES!$B$10=FALSE,IF($B79="","",CIE_HT(M$28,$Q$2,OFFSET(Source!$A87,0,0,1,Config!$K$7))),IF($B79="","",IF(Calcul!$BC$7=$Q$2,Calcul!BK64,Calcul!BU64)))</f>
        <v/>
      </c>
      <c r="N79" s="18" t="str">
        <f ca="1">IF(NAMES!$B$10=FALSE,IF($B79="","",CIE_HT(N$28,$Q$2,OFFSET(Source!$A87,0,0,1,Config!$K$7))),IF($B79="","",IF(Calcul!$BC$7=$Q$2,Calcul!BL64,Calcul!BV64)))</f>
        <v/>
      </c>
      <c r="O79" s="18" t="str">
        <f ca="1">IF(NAMES!$B$10=FALSE,IF($B79="","",CIE_HT(O$28,$Q$2,OFFSET(Source!$A87,0,0,1,Config!$K$7))),IF($B79="","",IF(Calcul!$BC$7=$Q$2,Calcul!BM64,Calcul!BW64)))</f>
        <v/>
      </c>
      <c r="P79" s="18" t="str">
        <f ca="1">IF(NAMES!$B$10=FALSE,IF($B79="","",CIE_HT(P$28,$Q$2,OFFSET(Source!$A87,0,0,1,Config!$K$7))),IF($B79="","",IF(Calcul!$BC$7=$Q$2,Calcul!BN64,Calcul!BX64)))</f>
        <v/>
      </c>
      <c r="Q79" s="18" t="str">
        <f t="shared" si="3"/>
        <v/>
      </c>
      <c r="R79" s="18" t="str">
        <f ca="1">IF(NAMES!$B$10=FALSE,IF($B79="","",TOT_CIE_TC(I$28:P$28,$Q$2,OFFSET(Source!$A87,0,0,1,Config!$K$7))),IF($B79="","",Q79*1.04))</f>
        <v/>
      </c>
      <c r="S79" s="1855" t="str">
        <f ca="1">IF(NAMES!$B$10=FALSE,IF($B79="","",_xludf.FORMULA($B79,$Q$2,OFFSET(Source!$A87,0,0,1,Config!$K$7))),IF($Q$2="AIG Luxembourg",Calcul!ED64,Calcul!ID64))</f>
        <v/>
      </c>
      <c r="T79" s="1855"/>
      <c r="U79" s="1855"/>
    </row>
    <row r="80" spans="1:21" hidden="1">
      <c r="A80" s="11" t="str">
        <f>IF(NAMES!$B$10=TRUE,IF(Cotations!C65=FALSE,"",Cotations!E65),IF(Source!A88="","",YEAR(Source!$B$2)&amp;"-"&amp;YEAR(Source!$C$2)&amp;"!"))</f>
        <v/>
      </c>
      <c r="B80" s="11" t="str">
        <f>IF(NAMES!$B$10=FALSE,IF(Source!A88="","",Source!A88),Cotations!G65)</f>
        <v/>
      </c>
      <c r="C80" s="11" t="str">
        <f>IF(NAMES!$B$10=FALSE,IF($B80="","",Source!B88),IF($B80="","",Crewlist!J65))</f>
        <v/>
      </c>
      <c r="D80" s="11" t="str">
        <f>IF(NAMES!$B$10=FALSE,IF($B80="","",Source!C88),IF($B80="","",Cotations!I65))</f>
        <v/>
      </c>
      <c r="E80" s="11" t="str">
        <f>IF(NAMES!$B$10=FALSE,IF($B80="","",Source!D88),IF($B80="","",Crewlist!G65))</f>
        <v/>
      </c>
      <c r="F80" s="16" t="str">
        <f>IF(NAMES!$B$10=FALSE,IF($B80="","",Source!E88),IF($B80="","",Crewlist!K65))</f>
        <v/>
      </c>
      <c r="G80" s="17" t="str">
        <f>IF(NAMES!$B$10=FALSE,IF($B80="","",Source!F88),Cotations!P65)</f>
        <v/>
      </c>
      <c r="H80" s="17" t="str">
        <f>IF(NAMES!$B$10=FALSE,IF($B80="","",Source!G88),Cotations!N65)</f>
        <v/>
      </c>
      <c r="I80" s="18" t="str">
        <f ca="1">IF(NAMES!$B$10=FALSE,IF($B80="","",CIE_HT(I$28,$Q$2,OFFSET(Source!$A88,0,0,1,Config!$K$7))),IF($B80="","",IF(Calcul!$BC$7=$Q$2,Calcul!BE65,Calcul!BQ65)))</f>
        <v/>
      </c>
      <c r="J80" s="18" t="str">
        <f ca="1">IF(NAMES!$B$10=FALSE,IF($B80="","",CIE_HT(J$28,$Q$2,OFFSET(Source!$A88,0,0,1,Config!$K$7))),IF($B80="","",IF(Calcul!$BC$7=$Q$2,Calcul!BF65+Calcul!BG65+Calcul!BH65,Calcul!BR65)))</f>
        <v/>
      </c>
      <c r="K80" s="18" t="str">
        <f ca="1">IF(NAMES!$B$10=FALSE,IF($B80="","",CIE_HT(K$28,$Q$2,OFFSET(Source!$A88,0,0,1,Config!$K$7))),IF($B80="","",IF(Calcul!$BC$7=$Q$2,Calcul!BI65,Calcul!BS65)))</f>
        <v/>
      </c>
      <c r="L80" s="18" t="str">
        <f ca="1">IF(NAMES!$B$10=FALSE,IF($B80="","",CIE_HT(L$28,$Q$2,OFFSET(Source!$A88,0,0,1,Config!$K$7))),IF($B80="","",IF(Calcul!$BC$7=$Q$2,Calcul!BJ65,Calcul!BT65)))</f>
        <v/>
      </c>
      <c r="M80" s="18" t="str">
        <f ca="1">IF(NAMES!$B$10=FALSE,IF($B80="","",CIE_HT(M$28,$Q$2,OFFSET(Source!$A88,0,0,1,Config!$K$7))),IF($B80="","",IF(Calcul!$BC$7=$Q$2,Calcul!BK65,Calcul!BU65)))</f>
        <v/>
      </c>
      <c r="N80" s="18" t="str">
        <f ca="1">IF(NAMES!$B$10=FALSE,IF($B80="","",CIE_HT(N$28,$Q$2,OFFSET(Source!$A88,0,0,1,Config!$K$7))),IF($B80="","",IF(Calcul!$BC$7=$Q$2,Calcul!BL65,Calcul!BV65)))</f>
        <v/>
      </c>
      <c r="O80" s="18" t="str">
        <f ca="1">IF(NAMES!$B$10=FALSE,IF($B80="","",CIE_HT(O$28,$Q$2,OFFSET(Source!$A88,0,0,1,Config!$K$7))),IF($B80="","",IF(Calcul!$BC$7=$Q$2,Calcul!BM65,Calcul!BW65)))</f>
        <v/>
      </c>
      <c r="P80" s="18" t="str">
        <f ca="1">IF(NAMES!$B$10=FALSE,IF($B80="","",CIE_HT(P$28,$Q$2,OFFSET(Source!$A88,0,0,1,Config!$K$7))),IF($B80="","",IF(Calcul!$BC$7=$Q$2,Calcul!BN65,Calcul!BX65)))</f>
        <v/>
      </c>
      <c r="Q80" s="18" t="str">
        <f t="shared" si="3"/>
        <v/>
      </c>
      <c r="R80" s="18" t="str">
        <f ca="1">IF(NAMES!$B$10=FALSE,IF($B80="","",TOT_CIE_TC(I$28:P$28,$Q$2,OFFSET(Source!$A88,0,0,1,Config!$K$7))),IF($B80="","",Q80*1.04))</f>
        <v/>
      </c>
      <c r="S80" s="1855" t="str">
        <f ca="1">IF(NAMES!$B$10=FALSE,IF($B80="","",_xludf.FORMULA($B80,$Q$2,OFFSET(Source!$A88,0,0,1,Config!$K$7))),IF($Q$2="AIG Luxembourg",Calcul!ED65,Calcul!ID65))</f>
        <v/>
      </c>
      <c r="T80" s="1855"/>
      <c r="U80" s="1855"/>
    </row>
    <row r="81" spans="1:21" hidden="1">
      <c r="A81" s="11" t="str">
        <f>IF(NAMES!$B$10=TRUE,IF(Cotations!C66=FALSE,"",Cotations!E66),IF(Source!A89="","",YEAR(Source!$B$2)&amp;"-"&amp;YEAR(Source!$C$2)&amp;"!"))</f>
        <v/>
      </c>
      <c r="B81" s="11" t="str">
        <f>IF(NAMES!$B$10=FALSE,IF(Source!A89="","",Source!A89),Cotations!G66)</f>
        <v/>
      </c>
      <c r="C81" s="11" t="str">
        <f>IF(NAMES!$B$10=FALSE,IF($B81="","",Source!B89),IF($B81="","",Crewlist!J66))</f>
        <v/>
      </c>
      <c r="D81" s="11" t="str">
        <f>IF(NAMES!$B$10=FALSE,IF($B81="","",Source!C89),IF($B81="","",Cotations!I66))</f>
        <v/>
      </c>
      <c r="E81" s="11" t="str">
        <f>IF(NAMES!$B$10=FALSE,IF($B81="","",Source!D89),IF($B81="","",Crewlist!G66))</f>
        <v/>
      </c>
      <c r="F81" s="16" t="str">
        <f>IF(NAMES!$B$10=FALSE,IF($B81="","",Source!E89),IF($B81="","",Crewlist!K66))</f>
        <v/>
      </c>
      <c r="G81" s="17" t="str">
        <f>IF(NAMES!$B$10=FALSE,IF($B81="","",Source!F89),Cotations!P66)</f>
        <v/>
      </c>
      <c r="H81" s="17" t="str">
        <f>IF(NAMES!$B$10=FALSE,IF($B81="","",Source!G89),Cotations!N66)</f>
        <v/>
      </c>
      <c r="I81" s="18" t="str">
        <f ca="1">IF(NAMES!$B$10=FALSE,IF($B81="","",CIE_HT(I$28,$Q$2,OFFSET(Source!$A89,0,0,1,Config!$K$7))),IF($B81="","",IF(Calcul!$BC$7=$Q$2,Calcul!BE66,Calcul!BQ66)))</f>
        <v/>
      </c>
      <c r="J81" s="18" t="str">
        <f ca="1">IF(NAMES!$B$10=FALSE,IF($B81="","",CIE_HT(J$28,$Q$2,OFFSET(Source!$A89,0,0,1,Config!$K$7))),IF($B81="","",IF(Calcul!$BC$7=$Q$2,Calcul!BF66+Calcul!BG66+Calcul!BH66,Calcul!BR66)))</f>
        <v/>
      </c>
      <c r="K81" s="18" t="str">
        <f ca="1">IF(NAMES!$B$10=FALSE,IF($B81="","",CIE_HT(K$28,$Q$2,OFFSET(Source!$A89,0,0,1,Config!$K$7))),IF($B81="","",IF(Calcul!$BC$7=$Q$2,Calcul!BI66,Calcul!BS66)))</f>
        <v/>
      </c>
      <c r="L81" s="18" t="str">
        <f ca="1">IF(NAMES!$B$10=FALSE,IF($B81="","",CIE_HT(L$28,$Q$2,OFFSET(Source!$A89,0,0,1,Config!$K$7))),IF($B81="","",IF(Calcul!$BC$7=$Q$2,Calcul!BJ66,Calcul!BT66)))</f>
        <v/>
      </c>
      <c r="M81" s="18" t="str">
        <f ca="1">IF(NAMES!$B$10=FALSE,IF($B81="","",CIE_HT(M$28,$Q$2,OFFSET(Source!$A89,0,0,1,Config!$K$7))),IF($B81="","",IF(Calcul!$BC$7=$Q$2,Calcul!BK66,Calcul!BU66)))</f>
        <v/>
      </c>
      <c r="N81" s="18" t="str">
        <f ca="1">IF(NAMES!$B$10=FALSE,IF($B81="","",CIE_HT(N$28,$Q$2,OFFSET(Source!$A89,0,0,1,Config!$K$7))),IF($B81="","",IF(Calcul!$BC$7=$Q$2,Calcul!BL66,Calcul!BV66)))</f>
        <v/>
      </c>
      <c r="O81" s="18" t="str">
        <f ca="1">IF(NAMES!$B$10=FALSE,IF($B81="","",CIE_HT(O$28,$Q$2,OFFSET(Source!$A89,0,0,1,Config!$K$7))),IF($B81="","",IF(Calcul!$BC$7=$Q$2,Calcul!BM66,Calcul!BW66)))</f>
        <v/>
      </c>
      <c r="P81" s="18" t="str">
        <f ca="1">IF(NAMES!$B$10=FALSE,IF($B81="","",CIE_HT(P$28,$Q$2,OFFSET(Source!$A89,0,0,1,Config!$K$7))),IF($B81="","",IF(Calcul!$BC$7=$Q$2,Calcul!BN66,Calcul!BX66)))</f>
        <v/>
      </c>
      <c r="Q81" s="18" t="str">
        <f t="shared" si="3"/>
        <v/>
      </c>
      <c r="R81" s="18" t="str">
        <f ca="1">IF(NAMES!$B$10=FALSE,IF($B81="","",TOT_CIE_TC(I$28:P$28,$Q$2,OFFSET(Source!$A89,0,0,1,Config!$K$7))),IF($B81="","",Q81*1.04))</f>
        <v/>
      </c>
      <c r="S81" s="1855" t="str">
        <f ca="1">IF(NAMES!$B$10=FALSE,IF($B81="","",_xludf.FORMULA($B81,$Q$2,OFFSET(Source!$A89,0,0,1,Config!$K$7))),IF($Q$2="AIG Luxembourg",Calcul!ED66,Calcul!ID66))</f>
        <v/>
      </c>
      <c r="T81" s="1855"/>
      <c r="U81" s="1855"/>
    </row>
    <row r="82" spans="1:21" hidden="1">
      <c r="A82" s="11" t="str">
        <f>IF(NAMES!$B$10=TRUE,IF(Cotations!C67=FALSE,"",Cotations!E67),IF(Source!A90="","",YEAR(Source!$B$2)&amp;"-"&amp;YEAR(Source!$C$2)&amp;"!"))</f>
        <v/>
      </c>
      <c r="B82" s="11" t="str">
        <f>IF(NAMES!$B$10=FALSE,IF(Source!A90="","",Source!A90),Cotations!G67)</f>
        <v/>
      </c>
      <c r="C82" s="11" t="str">
        <f>IF(NAMES!$B$10=FALSE,IF($B82="","",Source!B90),IF($B82="","",Crewlist!J67))</f>
        <v/>
      </c>
      <c r="D82" s="11" t="str">
        <f>IF(NAMES!$B$10=FALSE,IF($B82="","",Source!C90),IF($B82="","",Cotations!I67))</f>
        <v/>
      </c>
      <c r="E82" s="11" t="str">
        <f>IF(NAMES!$B$10=FALSE,IF($B82="","",Source!D90),IF($B82="","",Crewlist!G67))</f>
        <v/>
      </c>
      <c r="F82" s="16" t="str">
        <f>IF(NAMES!$B$10=FALSE,IF($B82="","",Source!E90),IF($B82="","",Crewlist!K67))</f>
        <v/>
      </c>
      <c r="G82" s="17" t="str">
        <f>IF(NAMES!$B$10=FALSE,IF($B82="","",Source!F90),Cotations!P67)</f>
        <v/>
      </c>
      <c r="H82" s="17" t="str">
        <f>IF(NAMES!$B$10=FALSE,IF($B82="","",Source!G90),Cotations!N67)</f>
        <v/>
      </c>
      <c r="I82" s="18" t="str">
        <f ca="1">IF(NAMES!$B$10=FALSE,IF($B82="","",CIE_HT(I$28,$Q$2,OFFSET(Source!$A90,0,0,1,Config!$K$7))),IF($B82="","",IF(Calcul!$BC$7=$Q$2,Calcul!BE67,Calcul!BQ67)))</f>
        <v/>
      </c>
      <c r="J82" s="18" t="str">
        <f ca="1">IF(NAMES!$B$10=FALSE,IF($B82="","",CIE_HT(J$28,$Q$2,OFFSET(Source!$A90,0,0,1,Config!$K$7))),IF($B82="","",IF(Calcul!$BC$7=$Q$2,Calcul!BF67+Calcul!BG67+Calcul!BH67,Calcul!BR67)))</f>
        <v/>
      </c>
      <c r="K82" s="18" t="str">
        <f ca="1">IF(NAMES!$B$10=FALSE,IF($B82="","",CIE_HT(K$28,$Q$2,OFFSET(Source!$A90,0,0,1,Config!$K$7))),IF($B82="","",IF(Calcul!$BC$7=$Q$2,Calcul!BI67,Calcul!BS67)))</f>
        <v/>
      </c>
      <c r="L82" s="18" t="str">
        <f ca="1">IF(NAMES!$B$10=FALSE,IF($B82="","",CIE_HT(L$28,$Q$2,OFFSET(Source!$A90,0,0,1,Config!$K$7))),IF($B82="","",IF(Calcul!$BC$7=$Q$2,Calcul!BJ67,Calcul!BT67)))</f>
        <v/>
      </c>
      <c r="M82" s="18" t="str">
        <f ca="1">IF(NAMES!$B$10=FALSE,IF($B82="","",CIE_HT(M$28,$Q$2,OFFSET(Source!$A90,0,0,1,Config!$K$7))),IF($B82="","",IF(Calcul!$BC$7=$Q$2,Calcul!BK67,Calcul!BU67)))</f>
        <v/>
      </c>
      <c r="N82" s="18" t="str">
        <f ca="1">IF(NAMES!$B$10=FALSE,IF($B82="","",CIE_HT(N$28,$Q$2,OFFSET(Source!$A90,0,0,1,Config!$K$7))),IF($B82="","",IF(Calcul!$BC$7=$Q$2,Calcul!BL67,Calcul!BV67)))</f>
        <v/>
      </c>
      <c r="O82" s="18" t="str">
        <f ca="1">IF(NAMES!$B$10=FALSE,IF($B82="","",CIE_HT(O$28,$Q$2,OFFSET(Source!$A90,0,0,1,Config!$K$7))),IF($B82="","",IF(Calcul!$BC$7=$Q$2,Calcul!BM67,Calcul!BW67)))</f>
        <v/>
      </c>
      <c r="P82" s="18" t="str">
        <f ca="1">IF(NAMES!$B$10=FALSE,IF($B82="","",CIE_HT(P$28,$Q$2,OFFSET(Source!$A90,0,0,1,Config!$K$7))),IF($B82="","",IF(Calcul!$BC$7=$Q$2,Calcul!BN67,Calcul!BX67)))</f>
        <v/>
      </c>
      <c r="Q82" s="18" t="str">
        <f t="shared" si="3"/>
        <v/>
      </c>
      <c r="R82" s="18" t="str">
        <f ca="1">IF(NAMES!$B$10=FALSE,IF($B82="","",TOT_CIE_TC(I$28:P$28,$Q$2,OFFSET(Source!$A90,0,0,1,Config!$K$7))),IF($B82="","",Q82*1.04))</f>
        <v/>
      </c>
      <c r="S82" s="1855" t="str">
        <f ca="1">IF(NAMES!$B$10=FALSE,IF($B82="","",_xludf.FORMULA($B82,$Q$2,OFFSET(Source!$A90,0,0,1,Config!$K$7))),IF($Q$2="AIG Luxembourg",Calcul!ED67,Calcul!ID67))</f>
        <v/>
      </c>
      <c r="T82" s="1855"/>
      <c r="U82" s="1855"/>
    </row>
    <row r="83" spans="1:21" hidden="1">
      <c r="A83" s="11" t="str">
        <f>IF(Cotations!C68=FALSE,"",Cotations!E68)</f>
        <v/>
      </c>
      <c r="B83" s="11" t="str">
        <f>IF(NAMES!$B$10=FALSE,IF(Source!A91="","",Source!A91),Cotations!G68)</f>
        <v/>
      </c>
      <c r="C83" s="11" t="str">
        <f>IF(NAMES!$B$10=FALSE,IF($B83="","",Source!B91),IF($B83="","",Crewlist!J68))</f>
        <v/>
      </c>
      <c r="D83" s="11" t="str">
        <f>IF(NAMES!$B$10=FALSE,IF($B83="","",Source!C91),IF($B83="","",Cotations!I68))</f>
        <v/>
      </c>
      <c r="E83" s="11" t="str">
        <f>IF(NAMES!$B$10=FALSE,IF($B83="","",Source!D91),IF($B83="","",Crewlist!G68))</f>
        <v/>
      </c>
      <c r="F83" s="16" t="str">
        <f>IF(NAMES!$B$10=FALSE,IF($B83="","",Source!E91),IF($B83="","",Crewlist!K68))</f>
        <v/>
      </c>
      <c r="G83" s="17" t="str">
        <f>IF(NAMES!$B$10=FALSE,IF($B83="","",Source!F91),Cotations!P68)</f>
        <v/>
      </c>
      <c r="H83" s="17" t="str">
        <f>IF(NAMES!$B$10=FALSE,IF($B83="","",Source!G91),Cotations!N68)</f>
        <v/>
      </c>
      <c r="I83" s="18" t="str">
        <f ca="1">IF(NAMES!$B$10=FALSE,IF($B83="","",CIE_HT(I$28,$Q$2,OFFSET(Source!$A91,0,0,1,Config!$K$7))),IF($B83="","",IF(Calcul!$BC$7=$Q$2,Calcul!BE68,Calcul!BQ68)))</f>
        <v/>
      </c>
      <c r="J83" s="18" t="str">
        <f ca="1">IF(NAMES!$B$10=FALSE,IF($B83="","",CIE_HT(J$28,$Q$2,OFFSET(Source!$A91,0,0,1,Config!$K$7))),IF($B83="","",IF(Calcul!$BC$7=$Q$2,Calcul!BF68+Calcul!BG68+Calcul!BH68,Calcul!BR68)))</f>
        <v/>
      </c>
      <c r="K83" s="18" t="str">
        <f ca="1">IF(NAMES!$B$10=FALSE,IF($B83="","",CIE_HT(K$28,$Q$2,OFFSET(Source!$A91,0,0,1,Config!$K$7))),IF($B83="","",IF(Calcul!$BC$7=$Q$2,Calcul!BI68,Calcul!BS68)))</f>
        <v/>
      </c>
      <c r="L83" s="18" t="str">
        <f ca="1">IF(NAMES!$B$10=FALSE,IF($B83="","",CIE_HT(L$28,$Q$2,OFFSET(Source!$A91,0,0,1,Config!$K$7))),IF($B83="","",IF(Calcul!$BC$7=$Q$2,Calcul!BJ68,Calcul!BT68)))</f>
        <v/>
      </c>
      <c r="M83" s="18" t="str">
        <f ca="1">IF(NAMES!$B$10=FALSE,IF($B83="","",CIE_HT(M$28,$Q$2,OFFSET(Source!$A91,0,0,1,Config!$K$7))),IF($B83="","",IF(Calcul!$BC$7=$Q$2,Calcul!BK68,Calcul!BU68)))</f>
        <v/>
      </c>
      <c r="N83" s="18" t="str">
        <f ca="1">IF(NAMES!$B$10=FALSE,IF($B83="","",CIE_HT(N$28,$Q$2,OFFSET(Source!$A91,0,0,1,Config!$K$7))),IF($B83="","",IF(Calcul!$BC$7=$Q$2,Calcul!BL68,Calcul!BV68)))</f>
        <v/>
      </c>
      <c r="O83" s="18" t="str">
        <f ca="1">IF(NAMES!$B$10=FALSE,IF($B83="","",CIE_HT(O$28,$Q$2,OFFSET(Source!$A91,0,0,1,Config!$K$7))),IF($B83="","",IF(Calcul!$BC$7=$Q$2,Calcul!BM68,Calcul!BW68)))</f>
        <v/>
      </c>
      <c r="P83" s="18" t="str">
        <f ca="1">IF(NAMES!$B$10=FALSE,IF($B83="","",CIE_HT(P$28,$Q$2,OFFSET(Source!$A91,0,0,1,Config!$K$7))),IF($B83="","",IF(Calcul!$BC$7=$Q$2,Calcul!BN68,Calcul!BX68)))</f>
        <v/>
      </c>
      <c r="Q83" s="18" t="str">
        <f t="shared" si="3"/>
        <v/>
      </c>
      <c r="R83" s="18" t="str">
        <f ca="1">IF(NAMES!$B$10=FALSE,IF($B83="","",TOT_CIE_TC(I$28:P$28,$Q$2,OFFSET(Source!$A91,0,0,1,Config!$K$7))),IF($B83="","",Q83*1.04))</f>
        <v/>
      </c>
      <c r="S83" s="1855" t="str">
        <f ca="1">IF(NAMES!$B$10=FALSE,IF($B83="","",_xludf.FORMULA($B83,$Q$2,OFFSET(Source!$A91,0,0,1,Config!$K$7))),IF($Q$2="AIG Luxembourg",Calcul!ED68,Calcul!ID68))</f>
        <v/>
      </c>
      <c r="T83" s="1855"/>
      <c r="U83" s="1855"/>
    </row>
    <row r="84" spans="1:21" hidden="1">
      <c r="A84" s="11" t="str">
        <f>IF(Cotations!C69=FALSE,"",Cotations!E69)</f>
        <v/>
      </c>
      <c r="B84" s="11" t="str">
        <f>IF(NAMES!$B$10=FALSE,IF(Source!A92="","",Source!A92),Cotations!G69)</f>
        <v/>
      </c>
      <c r="C84" s="11" t="str">
        <f>IF(NAMES!$B$10=FALSE,IF($B84="","",Source!B92),IF($B84="","",Crewlist!J69))</f>
        <v/>
      </c>
      <c r="D84" s="11" t="str">
        <f>IF(NAMES!$B$10=FALSE,IF($B84="","",Source!C92),IF($B84="","",Cotations!I69))</f>
        <v/>
      </c>
      <c r="E84" s="11" t="str">
        <f>IF(NAMES!$B$10=FALSE,IF($B84="","",Source!D92),IF($B84="","",Crewlist!G69))</f>
        <v/>
      </c>
      <c r="F84" s="16" t="str">
        <f>IF(NAMES!$B$10=FALSE,IF($B84="","",Source!E92),IF($B84="","",Crewlist!K69))</f>
        <v/>
      </c>
      <c r="G84" s="17" t="str">
        <f>IF(NAMES!$B$10=FALSE,IF($B84="","",Source!F92),Cotations!P69)</f>
        <v/>
      </c>
      <c r="H84" s="17" t="str">
        <f>IF(NAMES!$B$10=FALSE,IF($B84="","",Source!G92),Cotations!N69)</f>
        <v/>
      </c>
      <c r="I84" s="18" t="str">
        <f ca="1">IF(NAMES!$B$10=FALSE,IF($B84="","",CIE_HT(I$28,$Q$2,OFFSET(Source!$A92,0,0,1,Config!$K$7))),IF($B84="","",IF(Calcul!$BC$7=$Q$2,Calcul!BE69,Calcul!BQ69)))</f>
        <v/>
      </c>
      <c r="J84" s="18" t="str">
        <f ca="1">IF(NAMES!$B$10=FALSE,IF($B84="","",CIE_HT(J$28,$Q$2,OFFSET(Source!$A92,0,0,1,Config!$K$7))),IF($B84="","",IF(Calcul!$BC$7=$Q$2,Calcul!BF69+Calcul!BG69+Calcul!BH69,Calcul!BR69)))</f>
        <v/>
      </c>
      <c r="K84" s="18" t="str">
        <f ca="1">IF(NAMES!$B$10=FALSE,IF($B84="","",CIE_HT(K$28,$Q$2,OFFSET(Source!$A92,0,0,1,Config!$K$7))),IF($B84="","",IF(Calcul!$BC$7=$Q$2,Calcul!BI69,Calcul!BS69)))</f>
        <v/>
      </c>
      <c r="L84" s="18" t="str">
        <f ca="1">IF(NAMES!$B$10=FALSE,IF($B84="","",CIE_HT(L$28,$Q$2,OFFSET(Source!$A92,0,0,1,Config!$K$7))),IF($B84="","",IF(Calcul!$BC$7=$Q$2,Calcul!BJ69,Calcul!BT69)))</f>
        <v/>
      </c>
      <c r="M84" s="18" t="str">
        <f ca="1">IF(NAMES!$B$10=FALSE,IF($B84="","",CIE_HT(M$28,$Q$2,OFFSET(Source!$A92,0,0,1,Config!$K$7))),IF($B84="","",IF(Calcul!$BC$7=$Q$2,Calcul!BK69,Calcul!BU69)))</f>
        <v/>
      </c>
      <c r="N84" s="18" t="str">
        <f ca="1">IF(NAMES!$B$10=FALSE,IF($B84="","",CIE_HT(N$28,$Q$2,OFFSET(Source!$A92,0,0,1,Config!$K$7))),IF($B84="","",IF(Calcul!$BC$7=$Q$2,Calcul!BL69,Calcul!BV69)))</f>
        <v/>
      </c>
      <c r="O84" s="18" t="str">
        <f ca="1">IF(NAMES!$B$10=FALSE,IF($B84="","",CIE_HT(O$28,$Q$2,OFFSET(Source!$A92,0,0,1,Config!$K$7))),IF($B84="","",IF(Calcul!$BC$7=$Q$2,Calcul!BM69,Calcul!BW69)))</f>
        <v/>
      </c>
      <c r="P84" s="18" t="str">
        <f ca="1">IF(NAMES!$B$10=FALSE,IF($B84="","",CIE_HT(P$28,$Q$2,OFFSET(Source!$A92,0,0,1,Config!$K$7))),IF($B84="","",IF(Calcul!$BC$7=$Q$2,Calcul!BN69,Calcul!BX69)))</f>
        <v/>
      </c>
      <c r="Q84" s="18" t="str">
        <f t="shared" si="3"/>
        <v/>
      </c>
      <c r="R84" s="18" t="str">
        <f ca="1">IF(NAMES!$B$10=FALSE,IF($B84="","",TOT_CIE_TC(I$28:P$28,$Q$2,OFFSET(Source!$A92,0,0,1,Config!$K$7))),IF($B84="","",Q84*1.04))</f>
        <v/>
      </c>
      <c r="S84" s="1855" t="str">
        <f ca="1">IF(NAMES!$B$10=FALSE,IF($B84="","",_xludf.FORMULA($B84,$Q$2,OFFSET(Source!$A92,0,0,1,Config!$K$7))),IF($Q$2="AIG Luxembourg",Calcul!ED69,Calcul!ID69))</f>
        <v/>
      </c>
      <c r="T84" s="1855"/>
      <c r="U84" s="1855"/>
    </row>
    <row r="85" spans="1:21" hidden="1">
      <c r="A85" s="11" t="str">
        <f>IF(Cotations!C70=FALSE,"",Cotations!E70)</f>
        <v/>
      </c>
      <c r="B85" s="11" t="str">
        <f>IF(NAMES!$B$10=FALSE,IF(Source!A93="","",Source!A93),Cotations!G70)</f>
        <v/>
      </c>
      <c r="C85" s="11" t="str">
        <f>IF(NAMES!$B$10=FALSE,IF($B85="","",Source!B93),IF($B85="","",Crewlist!J70))</f>
        <v/>
      </c>
      <c r="D85" s="11" t="str">
        <f>IF(NAMES!$B$10=FALSE,IF($B85="","",Source!C93),IF($B85="","",Cotations!I70))</f>
        <v/>
      </c>
      <c r="E85" s="11" t="str">
        <f>IF(NAMES!$B$10=FALSE,IF($B85="","",Source!D93),IF($B85="","",Crewlist!G70))</f>
        <v/>
      </c>
      <c r="F85" s="16" t="str">
        <f>IF(NAMES!$B$10=FALSE,IF($B85="","",Source!E93),IF($B85="","",Crewlist!K70))</f>
        <v/>
      </c>
      <c r="G85" s="17" t="str">
        <f>IF(NAMES!$B$10=FALSE,IF($B85="","",Source!F93),Cotations!P70)</f>
        <v/>
      </c>
      <c r="H85" s="17" t="str">
        <f>IF(NAMES!$B$10=FALSE,IF($B85="","",Source!G93),Cotations!N70)</f>
        <v/>
      </c>
      <c r="I85" s="18" t="str">
        <f ca="1">IF(NAMES!$B$10=FALSE,IF($B85="","",CIE_HT(I$28,$Q$2,OFFSET(Source!$A93,0,0,1,Config!$K$7))),IF($B85="","",IF(Calcul!$BC$7=$Q$2,Calcul!BE70,Calcul!BQ70)))</f>
        <v/>
      </c>
      <c r="J85" s="18" t="str">
        <f ca="1">IF(NAMES!$B$10=FALSE,IF($B85="","",CIE_HT(J$28,$Q$2,OFFSET(Source!$A93,0,0,1,Config!$K$7))),IF($B85="","",IF(Calcul!$BC$7=$Q$2,Calcul!BF70+Calcul!BG70+Calcul!BH70,Calcul!BR70)))</f>
        <v/>
      </c>
      <c r="K85" s="18" t="str">
        <f ca="1">IF(NAMES!$B$10=FALSE,IF($B85="","",CIE_HT(K$28,$Q$2,OFFSET(Source!$A93,0,0,1,Config!$K$7))),IF($B85="","",IF(Calcul!$BC$7=$Q$2,Calcul!BI70,Calcul!BS70)))</f>
        <v/>
      </c>
      <c r="L85" s="18" t="str">
        <f ca="1">IF(NAMES!$B$10=FALSE,IF($B85="","",CIE_HT(L$28,$Q$2,OFFSET(Source!$A93,0,0,1,Config!$K$7))),IF($B85="","",IF(Calcul!$BC$7=$Q$2,Calcul!BJ70,Calcul!BT70)))</f>
        <v/>
      </c>
      <c r="M85" s="18" t="str">
        <f ca="1">IF(NAMES!$B$10=FALSE,IF($B85="","",CIE_HT(M$28,$Q$2,OFFSET(Source!$A93,0,0,1,Config!$K$7))),IF($B85="","",IF(Calcul!$BC$7=$Q$2,Calcul!BK70,Calcul!BU70)))</f>
        <v/>
      </c>
      <c r="N85" s="18" t="str">
        <f ca="1">IF(NAMES!$B$10=FALSE,IF($B85="","",CIE_HT(N$28,$Q$2,OFFSET(Source!$A93,0,0,1,Config!$K$7))),IF($B85="","",IF(Calcul!$BC$7=$Q$2,Calcul!BL70,Calcul!BV70)))</f>
        <v/>
      </c>
      <c r="O85" s="18" t="str">
        <f ca="1">IF(NAMES!$B$10=FALSE,IF($B85="","",CIE_HT(O$28,$Q$2,OFFSET(Source!$A93,0,0,1,Config!$K$7))),IF($B85="","",IF(Calcul!$BC$7=$Q$2,Calcul!BM70,Calcul!BW70)))</f>
        <v/>
      </c>
      <c r="P85" s="18" t="str">
        <f ca="1">IF(NAMES!$B$10=FALSE,IF($B85="","",CIE_HT(P$28,$Q$2,OFFSET(Source!$A93,0,0,1,Config!$K$7))),IF($B85="","",IF(Calcul!$BC$7=$Q$2,Calcul!BN70,Calcul!BX70)))</f>
        <v/>
      </c>
      <c r="Q85" s="18" t="str">
        <f t="shared" si="3"/>
        <v/>
      </c>
      <c r="R85" s="18" t="str">
        <f ca="1">IF(NAMES!$B$10=FALSE,IF($B85="","",TOT_CIE_TC(I$28:P$28,$Q$2,OFFSET(Source!$A93,0,0,1,Config!$K$7))),IF($B85="","",Q85*1.04))</f>
        <v/>
      </c>
      <c r="S85" s="1855" t="str">
        <f ca="1">IF(NAMES!$B$10=FALSE,IF($B85="","",_xludf.FORMULA($B85,$Q$2,OFFSET(Source!$A93,0,0,1,Config!$K$7))),IF($Q$2="AIG Luxembourg",Calcul!ED70,Calcul!ID70))</f>
        <v/>
      </c>
      <c r="T85" s="1855"/>
      <c r="U85" s="1855"/>
    </row>
    <row r="86" spans="1:21" hidden="1">
      <c r="A86" s="11" t="str">
        <f>IF(Cotations!C71=FALSE,"",Cotations!E71)</f>
        <v/>
      </c>
      <c r="B86" s="11" t="str">
        <f>IF(NAMES!$B$10=FALSE,IF(Source!A94="","",Source!A94),Cotations!G71)</f>
        <v/>
      </c>
      <c r="C86" s="11" t="str">
        <f>IF(NAMES!$B$10=FALSE,IF($B86="","",Source!B94),IF($B86="","",Crewlist!J71))</f>
        <v/>
      </c>
      <c r="D86" s="11" t="str">
        <f>IF(NAMES!$B$10=FALSE,IF($B86="","",Source!C94),IF($B86="","",Cotations!I71))</f>
        <v/>
      </c>
      <c r="E86" s="11" t="str">
        <f>IF(NAMES!$B$10=FALSE,IF($B86="","",Source!D94),IF($B86="","",Crewlist!G71))</f>
        <v/>
      </c>
      <c r="F86" s="16" t="str">
        <f>IF(NAMES!$B$10=FALSE,IF($B86="","",Source!E94),IF($B86="","",Crewlist!K71))</f>
        <v/>
      </c>
      <c r="G86" s="17" t="str">
        <f>IF(NAMES!$B$10=FALSE,IF($B86="","",Source!F94),Cotations!P71)</f>
        <v/>
      </c>
      <c r="H86" s="17" t="str">
        <f>IF(NAMES!$B$10=FALSE,IF($B86="","",Source!G94),Cotations!N71)</f>
        <v/>
      </c>
      <c r="I86" s="18" t="str">
        <f ca="1">IF(NAMES!$B$10=FALSE,IF($B86="","",CIE_HT(I$28,$Q$2,OFFSET(Source!$A94,0,0,1,Config!$K$7))),IF($B86="","",IF(Calcul!$BC$7=$Q$2,Calcul!BE71,Calcul!BQ71)))</f>
        <v/>
      </c>
      <c r="J86" s="18" t="str">
        <f ca="1">IF(NAMES!$B$10=FALSE,IF($B86="","",CIE_HT(J$28,$Q$2,OFFSET(Source!$A94,0,0,1,Config!$K$7))),IF($B86="","",IF(Calcul!$BC$7=$Q$2,Calcul!BF71+Calcul!BG71+Calcul!BH71,Calcul!BR71)))</f>
        <v/>
      </c>
      <c r="K86" s="18" t="str">
        <f ca="1">IF(NAMES!$B$10=FALSE,IF($B86="","",CIE_HT(K$28,$Q$2,OFFSET(Source!$A94,0,0,1,Config!$K$7))),IF($B86="","",IF(Calcul!$BC$7=$Q$2,Calcul!BI71,Calcul!BS71)))</f>
        <v/>
      </c>
      <c r="L86" s="18" t="str">
        <f ca="1">IF(NAMES!$B$10=FALSE,IF($B86="","",CIE_HT(L$28,$Q$2,OFFSET(Source!$A94,0,0,1,Config!$K$7))),IF($B86="","",IF(Calcul!$BC$7=$Q$2,Calcul!BJ71,Calcul!BT71)))</f>
        <v/>
      </c>
      <c r="M86" s="18" t="str">
        <f ca="1">IF(NAMES!$B$10=FALSE,IF($B86="","",CIE_HT(M$28,$Q$2,OFFSET(Source!$A94,0,0,1,Config!$K$7))),IF($B86="","",IF(Calcul!$BC$7=$Q$2,Calcul!BK71,Calcul!BU71)))</f>
        <v/>
      </c>
      <c r="N86" s="18" t="str">
        <f ca="1">IF(NAMES!$B$10=FALSE,IF($B86="","",CIE_HT(N$28,$Q$2,OFFSET(Source!$A94,0,0,1,Config!$K$7))),IF($B86="","",IF(Calcul!$BC$7=$Q$2,Calcul!BL71,Calcul!BV71)))</f>
        <v/>
      </c>
      <c r="O86" s="18" t="str">
        <f ca="1">IF(NAMES!$B$10=FALSE,IF($B86="","",CIE_HT(O$28,$Q$2,OFFSET(Source!$A94,0,0,1,Config!$K$7))),IF($B86="","",IF(Calcul!$BC$7=$Q$2,Calcul!BM71,Calcul!BW71)))</f>
        <v/>
      </c>
      <c r="P86" s="18" t="str">
        <f ca="1">IF(NAMES!$B$10=FALSE,IF($B86="","",CIE_HT(P$28,$Q$2,OFFSET(Source!$A94,0,0,1,Config!$K$7))),IF($B86="","",IF(Calcul!$BC$7=$Q$2,Calcul!BN71,Calcul!BX71)))</f>
        <v/>
      </c>
      <c r="Q86" s="18" t="str">
        <f t="shared" si="3"/>
        <v/>
      </c>
      <c r="R86" s="18" t="str">
        <f ca="1">IF(NAMES!$B$10=FALSE,IF($B86="","",TOT_CIE_TC(I$28:P$28,$Q$2,OFFSET(Source!$A94,0,0,1,Config!$K$7))),IF($B86="","",Q86*1.04))</f>
        <v/>
      </c>
      <c r="S86" s="1855" t="str">
        <f ca="1">IF(NAMES!$B$10=FALSE,IF($B86="","",_xludf.FORMULA($B86,$Q$2,OFFSET(Source!$A94,0,0,1,Config!$K$7))),IF($Q$2="AIG Luxembourg",Calcul!ED71,Calcul!ID71))</f>
        <v/>
      </c>
      <c r="T86" s="1855"/>
      <c r="U86" s="1855"/>
    </row>
    <row r="87" spans="1:21" hidden="1">
      <c r="A87" s="11" t="str">
        <f>IF(Cotations!C72=FALSE,"",Cotations!E72)</f>
        <v/>
      </c>
      <c r="B87" s="11" t="str">
        <f>IF(NAMES!$B$10=FALSE,IF(Source!A95="","",Source!A95),Cotations!G72)</f>
        <v/>
      </c>
      <c r="C87" s="11" t="str">
        <f>IF(NAMES!$B$10=FALSE,IF($B87="","",Source!B95),IF($B87="","",Crewlist!J72))</f>
        <v/>
      </c>
      <c r="D87" s="11" t="str">
        <f>IF(NAMES!$B$10=FALSE,IF($B87="","",Source!C95),IF($B87="","",Cotations!I72))</f>
        <v/>
      </c>
      <c r="E87" s="11" t="str">
        <f>IF(NAMES!$B$10=FALSE,IF($B87="","",Source!D95),IF($B87="","",Crewlist!G72))</f>
        <v/>
      </c>
      <c r="F87" s="16" t="str">
        <f>IF(NAMES!$B$10=FALSE,IF($B87="","",Source!E95),IF($B87="","",Crewlist!K72))</f>
        <v/>
      </c>
      <c r="G87" s="17" t="str">
        <f>IF(NAMES!$B$10=FALSE,IF($B87="","",Source!F95),Cotations!P72)</f>
        <v/>
      </c>
      <c r="H87" s="17" t="str">
        <f>IF(NAMES!$B$10=FALSE,IF($B87="","",Source!G95),Cotations!N72)</f>
        <v/>
      </c>
      <c r="I87" s="18" t="str">
        <f ca="1">IF(NAMES!$B$10=FALSE,IF($B87="","",CIE_HT(I$28,$Q$2,OFFSET(Source!$A95,0,0,1,Config!$K$7))),IF($B87="","",IF(Calcul!$BC$7=$Q$2,Calcul!BE72,Calcul!BQ72)))</f>
        <v/>
      </c>
      <c r="J87" s="18" t="str">
        <f ca="1">IF(NAMES!$B$10=FALSE,IF($B87="","",CIE_HT(J$28,$Q$2,OFFSET(Source!$A95,0,0,1,Config!$K$7))),IF($B87="","",IF(Calcul!$BC$7=$Q$2,Calcul!BF72+Calcul!BG72+Calcul!BH72,Calcul!BR72)))</f>
        <v/>
      </c>
      <c r="K87" s="18" t="str">
        <f ca="1">IF(NAMES!$B$10=FALSE,IF($B87="","",CIE_HT(K$28,$Q$2,OFFSET(Source!$A95,0,0,1,Config!$K$7))),IF($B87="","",IF(Calcul!$BC$7=$Q$2,Calcul!BI72,Calcul!BS72)))</f>
        <v/>
      </c>
      <c r="L87" s="18" t="str">
        <f ca="1">IF(NAMES!$B$10=FALSE,IF($B87="","",CIE_HT(L$28,$Q$2,OFFSET(Source!$A95,0,0,1,Config!$K$7))),IF($B87="","",IF(Calcul!$BC$7=$Q$2,Calcul!BJ72,Calcul!BT72)))</f>
        <v/>
      </c>
      <c r="M87" s="18" t="str">
        <f ca="1">IF(NAMES!$B$10=FALSE,IF($B87="","",CIE_HT(M$28,$Q$2,OFFSET(Source!$A95,0,0,1,Config!$K$7))),IF($B87="","",IF(Calcul!$BC$7=$Q$2,Calcul!BK72,Calcul!BU72)))</f>
        <v/>
      </c>
      <c r="N87" s="18" t="str">
        <f ca="1">IF(NAMES!$B$10=FALSE,IF($B87="","",CIE_HT(N$28,$Q$2,OFFSET(Source!$A95,0,0,1,Config!$K$7))),IF($B87="","",IF(Calcul!$BC$7=$Q$2,Calcul!BL72,Calcul!BV72)))</f>
        <v/>
      </c>
      <c r="O87" s="18" t="str">
        <f ca="1">IF(NAMES!$B$10=FALSE,IF($B87="","",CIE_HT(O$28,$Q$2,OFFSET(Source!$A95,0,0,1,Config!$K$7))),IF($B87="","",IF(Calcul!$BC$7=$Q$2,Calcul!BM72,Calcul!BW72)))</f>
        <v/>
      </c>
      <c r="P87" s="18" t="str">
        <f ca="1">IF(NAMES!$B$10=FALSE,IF($B87="","",CIE_HT(P$28,$Q$2,OFFSET(Source!$A95,0,0,1,Config!$K$7))),IF($B87="","",IF(Calcul!$BC$7=$Q$2,Calcul!BN72,Calcul!BX72)))</f>
        <v/>
      </c>
      <c r="Q87" s="18" t="str">
        <f t="shared" si="3"/>
        <v/>
      </c>
      <c r="R87" s="18" t="str">
        <f ca="1">IF(NAMES!$B$10=FALSE,IF($B87="","",TOT_CIE_TC(I$28:P$28,$Q$2,OFFSET(Source!$A95,0,0,1,Config!$K$7))),IF($B87="","",Q87*1.04))</f>
        <v/>
      </c>
      <c r="S87" s="3" t="str">
        <f ca="1">IF(NAMES!$B$10=FALSE,IF($B87="","",_xludf.FORMULA($B87,$Q$2,OFFSET(Source!$A95,0,0,1,Config!$K$7))),Calcul!ID72)</f>
        <v/>
      </c>
    </row>
    <row r="88" spans="1:21" hidden="1">
      <c r="A88" s="11" t="str">
        <f>IF(Cotations!C73=FALSE,"",Cotations!E73)</f>
        <v/>
      </c>
      <c r="B88" s="11" t="str">
        <f>IF(NAMES!$B$10=FALSE,IF(Source!A96="","",Source!A96),Cotations!G73)</f>
        <v/>
      </c>
      <c r="C88" s="11" t="str">
        <f>IF(NAMES!$B$10=FALSE,IF($B88="","",Source!B96),IF($B88="","",Crewlist!J73))</f>
        <v/>
      </c>
      <c r="D88" s="11" t="str">
        <f>IF(NAMES!$B$10=FALSE,IF($B88="","",Source!C96),IF($B88="","",Cotations!I73))</f>
        <v/>
      </c>
      <c r="E88" s="11" t="str">
        <f>IF(NAMES!$B$10=FALSE,IF($B88="","",Source!D96),IF($B88="","",Crewlist!G73))</f>
        <v/>
      </c>
      <c r="F88" s="16" t="str">
        <f>IF(NAMES!$B$10=FALSE,IF($B88="","",Source!E96),IF($B88="","",Crewlist!K73))</f>
        <v/>
      </c>
      <c r="G88" s="17" t="str">
        <f>IF(NAMES!$B$10=FALSE,IF($B88="","",Source!F96),Cotations!P73)</f>
        <v/>
      </c>
      <c r="H88" s="17" t="str">
        <f>IF(NAMES!$B$10=FALSE,IF($B88="","",Source!G96),Cotations!N73)</f>
        <v/>
      </c>
      <c r="I88" s="18" t="str">
        <f ca="1">IF(NAMES!$B$10=FALSE,IF($B88="","",CIE_HT(I$28,$Q$2,OFFSET(Source!$A96,0,0,1,Config!$K$7))),IF($B88="","",IF(Calcul!$BC$7=$Q$2,Calcul!BE73,Calcul!BQ73)))</f>
        <v/>
      </c>
      <c r="J88" s="18" t="str">
        <f ca="1">IF(NAMES!$B$10=FALSE,IF($B88="","",CIE_HT(J$28,$Q$2,OFFSET(Source!$A96,0,0,1,Config!$K$7))),IF($B88="","",IF(Calcul!$BC$7=$Q$2,Calcul!BF73,Calcul!BR73)))</f>
        <v/>
      </c>
      <c r="K88" s="18" t="str">
        <f ca="1">IF(NAMES!$B$10=FALSE,IF($B88="","",CIE_HT(K$28,$Q$2,OFFSET(Source!$A96,0,0,1,Config!$K$7))),IF($B88="","",IF(Calcul!$BC$7=$Q$2,Calcul!BI73,Calcul!BS73)))</f>
        <v/>
      </c>
      <c r="L88" s="18" t="str">
        <f ca="1">IF(NAMES!$B$10=FALSE,IF($B88="","",CIE_HT(L$28,$Q$2,OFFSET(Source!$A96,0,0,1,Config!$K$7))),IF($B88="","",IF(Calcul!$BC$7=$Q$2,Calcul!BJ73,Calcul!BT73)))</f>
        <v/>
      </c>
      <c r="M88" s="18" t="str">
        <f ca="1">IF(NAMES!$B$10=FALSE,IF($B88="","",CIE_HT(M$28,$Q$2,OFFSET(Source!$A96,0,0,1,Config!$K$7))),IF($B88="","",IF(Calcul!$BC$7=$Q$2,Calcul!BK73,Calcul!BU73)))</f>
        <v/>
      </c>
      <c r="N88" s="18" t="str">
        <f ca="1">IF(NAMES!$B$10=FALSE,IF($B88="","",CIE_HT(N$28,$Q$2,OFFSET(Source!$A96,0,0,1,Config!$K$7))),IF($B88="","",IF(Calcul!$BC$7=$Q$2,Calcul!BL73,Calcul!BV73)))</f>
        <v/>
      </c>
      <c r="O88" s="18" t="str">
        <f ca="1">IF(NAMES!$B$10=FALSE,IF($B88="","",CIE_HT(O$28,$Q$2,OFFSET(Source!$A96,0,0,1,Config!$K$7))),IF($B88="","",IF(Calcul!$BC$7=$Q$2,Calcul!BM73,Calcul!BW73)))</f>
        <v/>
      </c>
      <c r="P88" s="18" t="str">
        <f ca="1">IF(NAMES!$B$10=FALSE,IF($B88="","",CIE_HT(P$28,$Q$2,OFFSET(Source!$A96,0,0,1,Config!$K$7))),IF($B88="","",IF(Calcul!$BC$7=$Q$2,Calcul!BN73,Calcul!BX73)))</f>
        <v/>
      </c>
      <c r="Q88" s="18" t="str">
        <f t="shared" si="3"/>
        <v/>
      </c>
      <c r="R88" s="18" t="str">
        <f ca="1">IF(NAMES!$B$10=FALSE,IF($B88="","",TOT_CIE_TC(I$28:P$28,$Q$2,OFFSET(Source!$A96,0,0,1,Config!$K$7))),IF($B88="","",Q88*1.04))</f>
        <v/>
      </c>
      <c r="S88" s="1855" t="str">
        <f ca="1">IF(NAMES!$B$10=FALSE,IF($B88="","",_xludf.FORMULA($B88,$Q$2,OFFSET(Source!$A96,0,0,1,Config!$K$7))),Calcul!ID73)</f>
        <v/>
      </c>
      <c r="T88" s="1855"/>
      <c r="U88" s="1855"/>
    </row>
    <row r="89" spans="1:21" hidden="1">
      <c r="A89" s="11" t="str">
        <f>IF(Cotations!C74=FALSE,"",Cotations!E74)</f>
        <v/>
      </c>
      <c r="B89" s="11" t="str">
        <f>IF(NAMES!$B$10=FALSE,IF(Source!A97="","",Source!A97),Cotations!G74)</f>
        <v/>
      </c>
      <c r="C89" s="11" t="str">
        <f>IF(NAMES!$B$10=FALSE,IF($B89="","",Source!B97),IF($B89="","",Crewlist!J74))</f>
        <v/>
      </c>
      <c r="D89" s="11" t="str">
        <f>IF(NAMES!$B$10=FALSE,IF($B89="","",Source!C97),IF($B89="","",Cotations!I74))</f>
        <v/>
      </c>
      <c r="E89" s="11" t="str">
        <f>IF(NAMES!$B$10=FALSE,IF($B89="","",Source!D97),IF($B89="","",Crewlist!G74))</f>
        <v/>
      </c>
      <c r="F89" s="16" t="str">
        <f>IF(NAMES!$B$10=FALSE,IF($B89="","",Source!E97),IF($B89="","",Crewlist!K74))</f>
        <v/>
      </c>
      <c r="G89" s="17" t="str">
        <f>IF(NAMES!$B$10=FALSE,IF($B89="","",Source!F97),Cotations!P74)</f>
        <v/>
      </c>
      <c r="H89" s="17" t="str">
        <f>IF(NAMES!$B$10=FALSE,IF($B89="","",Source!G97),Cotations!N74)</f>
        <v/>
      </c>
      <c r="I89" s="18" t="str">
        <f ca="1">IF(NAMES!$B$10=FALSE,IF($B89="","",CIE_HT(I$28,$Q$2,OFFSET(Source!$A97,0,0,1,Config!$K$7))),IF($B89="","",IF(Calcul!$BC$7=$Q$2,Calcul!BE74,Calcul!BQ74)))</f>
        <v/>
      </c>
      <c r="J89" s="18" t="str">
        <f ca="1">IF(NAMES!$B$10=FALSE,IF($B89="","",CIE_HT(J$28,$Q$2,OFFSET(Source!$A97,0,0,1,Config!$K$7))),IF($B89="","",IF(Calcul!$BC$7=$Q$2,Calcul!BF74,Calcul!BR74)))</f>
        <v/>
      </c>
      <c r="K89" s="18" t="str">
        <f ca="1">IF(NAMES!$B$10=FALSE,IF($B89="","",CIE_HT(K$28,$Q$2,OFFSET(Source!$A97,0,0,1,Config!$K$7))),IF($B89="","",IF(Calcul!$BC$7=$Q$2,Calcul!BI74,Calcul!BS74)))</f>
        <v/>
      </c>
      <c r="L89" s="18" t="str">
        <f ca="1">IF(NAMES!$B$10=FALSE,IF($B89="","",CIE_HT(L$28,$Q$2,OFFSET(Source!$A97,0,0,1,Config!$K$7))),IF($B89="","",IF(Calcul!$BC$7=$Q$2,Calcul!BJ74,Calcul!BT74)))</f>
        <v/>
      </c>
      <c r="M89" s="18" t="str">
        <f ca="1">IF(NAMES!$B$10=FALSE,IF($B89="","",CIE_HT(M$28,$Q$2,OFFSET(Source!$A97,0,0,1,Config!$K$7))),IF($B89="","",IF(Calcul!$BC$7=$Q$2,Calcul!BK74,Calcul!BU74)))</f>
        <v/>
      </c>
      <c r="N89" s="18" t="str">
        <f ca="1">IF(NAMES!$B$10=FALSE,IF($B89="","",CIE_HT(N$28,$Q$2,OFFSET(Source!$A97,0,0,1,Config!$K$7))),IF($B89="","",IF(Calcul!$BC$7=$Q$2,Calcul!BL74,Calcul!BV74)))</f>
        <v/>
      </c>
      <c r="O89" s="18" t="str">
        <f ca="1">IF(NAMES!$B$10=FALSE,IF($B89="","",CIE_HT(O$28,$Q$2,OFFSET(Source!$A97,0,0,1,Config!$K$7))),IF($B89="","",IF(Calcul!$BC$7=$Q$2,Calcul!BM74,Calcul!BW74)))</f>
        <v/>
      </c>
      <c r="P89" s="18" t="str">
        <f ca="1">IF(NAMES!$B$10=FALSE,IF($B89="","",CIE_HT(P$28,$Q$2,OFFSET(Source!$A97,0,0,1,Config!$K$7))),IF($B89="","",IF(Calcul!$BC$7=$Q$2,Calcul!BN74,Calcul!BX74)))</f>
        <v/>
      </c>
      <c r="Q89" s="18" t="str">
        <f t="shared" si="3"/>
        <v/>
      </c>
      <c r="R89" s="18" t="str">
        <f ca="1">IF(NAMES!$B$10=FALSE,IF($B89="","",TOT_CIE_TC(I$28:P$28,$Q$2,OFFSET(Source!$A97,0,0,1,Config!$K$7))),IF($B89="","",Q89*1.04))</f>
        <v/>
      </c>
      <c r="S89" s="1855" t="str">
        <f ca="1">IF(NAMES!$B$10=FALSE,IF($B89="","",_xludf.FORMULA($B89,$Q$2,OFFSET(Source!$A97,0,0,1,Config!$K$7))),Calcul!ID74)</f>
        <v/>
      </c>
      <c r="T89" s="1855"/>
      <c r="U89" s="1855"/>
    </row>
    <row r="90" spans="1:21" hidden="1">
      <c r="A90" s="11" t="str">
        <f>IF(Cotations!C75=FALSE,"",Cotations!E75)</f>
        <v/>
      </c>
      <c r="B90" s="11" t="str">
        <f>IF(NAMES!$B$10=FALSE,IF(Source!A98="","",Source!A98),Cotations!G75)</f>
        <v/>
      </c>
      <c r="C90" s="11" t="str">
        <f>IF(NAMES!$B$10=FALSE,IF($B90="","",Source!B98),IF($B90="","",Crewlist!J75))</f>
        <v/>
      </c>
      <c r="D90" s="11" t="str">
        <f>IF(NAMES!$B$10=FALSE,IF($B90="","",Source!C98),IF($B90="","",Cotations!I75))</f>
        <v/>
      </c>
      <c r="E90" s="11" t="str">
        <f>IF(NAMES!$B$10=FALSE,IF($B90="","",Source!D98),IF($B90="","",Crewlist!G75))</f>
        <v/>
      </c>
      <c r="F90" s="16" t="str">
        <f>IF(NAMES!$B$10=FALSE,IF($B90="","",Source!E98),IF($B90="","",Crewlist!K75))</f>
        <v/>
      </c>
      <c r="G90" s="17" t="str">
        <f>IF(NAMES!$B$10=FALSE,IF($B90="","",Source!F98),Cotations!P75)</f>
        <v/>
      </c>
      <c r="H90" s="17" t="str">
        <f>IF(NAMES!$B$10=FALSE,IF($B90="","",Source!G98),Cotations!N75)</f>
        <v/>
      </c>
      <c r="I90" s="18" t="str">
        <f ca="1">IF(NAMES!$B$10=FALSE,IF($B90="","",CIE_HT(I$28,$Q$2,OFFSET(Source!$A98,0,0,1,Config!$K$7))),IF($B90="","",IF(Calcul!$BC$7=$Q$2,Calcul!BE75,Calcul!BQ75)))</f>
        <v/>
      </c>
      <c r="J90" s="18" t="str">
        <f ca="1">IF(NAMES!$B$10=FALSE,IF($B90="","",CIE_HT(J$28,$Q$2,OFFSET(Source!$A98,0,0,1,Config!$K$7))),IF($B90="","",IF(Calcul!$BC$7=$Q$2,Calcul!BF75,Calcul!BR75)))</f>
        <v/>
      </c>
      <c r="K90" s="18" t="str">
        <f ca="1">IF(NAMES!$B$10=FALSE,IF($B90="","",CIE_HT(K$28,$Q$2,OFFSET(Source!$A98,0,0,1,Config!$K$7))),IF($B90="","",IF(Calcul!$BC$7=$Q$2,Calcul!BI75,Calcul!BS75)))</f>
        <v/>
      </c>
      <c r="L90" s="18" t="str">
        <f ca="1">IF(NAMES!$B$10=FALSE,IF($B90="","",CIE_HT(L$28,$Q$2,OFFSET(Source!$A98,0,0,1,Config!$K$7))),IF($B90="","",IF(Calcul!$BC$7=$Q$2,Calcul!BJ75,Calcul!BT75)))</f>
        <v/>
      </c>
      <c r="M90" s="18" t="str">
        <f ca="1">IF(NAMES!$B$10=FALSE,IF($B90="","",CIE_HT(M$28,$Q$2,OFFSET(Source!$A98,0,0,1,Config!$K$7))),IF($B90="","",IF(Calcul!$BC$7=$Q$2,Calcul!BK75,Calcul!BU75)))</f>
        <v/>
      </c>
      <c r="N90" s="18" t="str">
        <f ca="1">IF(NAMES!$B$10=FALSE,IF($B90="","",CIE_HT(N$28,$Q$2,OFFSET(Source!$A98,0,0,1,Config!$K$7))),IF($B90="","",IF(Calcul!$BC$7=$Q$2,Calcul!BL75,Calcul!BV75)))</f>
        <v/>
      </c>
      <c r="O90" s="18" t="str">
        <f ca="1">IF(NAMES!$B$10=FALSE,IF($B90="","",CIE_HT(O$28,$Q$2,OFFSET(Source!$A98,0,0,1,Config!$K$7))),IF($B90="","",IF(Calcul!$BC$7=$Q$2,Calcul!BM75,Calcul!BW75)))</f>
        <v/>
      </c>
      <c r="P90" s="18" t="str">
        <f ca="1">IF(NAMES!$B$10=FALSE,IF($B90="","",CIE_HT(P$28,$Q$2,OFFSET(Source!$A98,0,0,1,Config!$K$7))),IF($B90="","",IF(Calcul!$BC$7=$Q$2,Calcul!BN75,Calcul!BX75)))</f>
        <v/>
      </c>
      <c r="Q90" s="18" t="str">
        <f t="shared" si="3"/>
        <v/>
      </c>
      <c r="R90" s="18" t="str">
        <f ca="1">IF(NAMES!$B$10=FALSE,IF($B90="","",TOT_CIE_TC(I$28:P$28,$Q$2,OFFSET(Source!$A98,0,0,1,Config!$K$7))),IF($B90="","",Q90*1.04))</f>
        <v/>
      </c>
      <c r="S90" s="1855" t="str">
        <f ca="1">IF(NAMES!$B$10=FALSE,IF($B90="","",_xludf.FORMULA($B90,$Q$2,OFFSET(Source!$A98,0,0,1,Config!$K$7))),Calcul!ID75)</f>
        <v/>
      </c>
      <c r="T90" s="1855"/>
      <c r="U90" s="1855"/>
    </row>
    <row r="91" spans="1:21" hidden="1">
      <c r="A91" s="11" t="str">
        <f>IF(Cotations!C76=FALSE,"",Cotations!E76)</f>
        <v/>
      </c>
      <c r="B91" s="11" t="str">
        <f>IF(NAMES!$B$10=FALSE,IF(Source!A99="","",Source!A99),Cotations!G76)</f>
        <v/>
      </c>
      <c r="C91" s="11" t="str">
        <f>IF(NAMES!$B$10=FALSE,IF($B91="","",Source!B99),IF($B91="","",Crewlist!J76))</f>
        <v/>
      </c>
      <c r="D91" s="11" t="str">
        <f>IF(NAMES!$B$10=FALSE,IF($B91="","",Source!C99),IF($B91="","",Cotations!I76))</f>
        <v/>
      </c>
      <c r="E91" s="11" t="str">
        <f>IF(NAMES!$B$10=FALSE,IF($B91="","",Source!D99),IF($B91="","",Crewlist!G76))</f>
        <v/>
      </c>
      <c r="F91" s="16" t="str">
        <f>IF(NAMES!$B$10=FALSE,IF($B91="","",Source!E99),IF($B91="","",Crewlist!K76))</f>
        <v/>
      </c>
      <c r="G91" s="17" t="str">
        <f>IF(NAMES!$B$10=FALSE,IF($B91="","",Source!F99),Cotations!P76)</f>
        <v/>
      </c>
      <c r="H91" s="17" t="str">
        <f>IF(NAMES!$B$10=FALSE,IF($B91="","",Source!G99),Cotations!N76)</f>
        <v/>
      </c>
      <c r="I91" s="18" t="str">
        <f ca="1">IF(NAMES!$B$10=FALSE,IF($B91="","",CIE_HT(I$28,$Q$2,OFFSET(Source!$A99,0,0,1,Config!$K$7))),IF($B91="","",IF(Calcul!$BC$7=$Q$2,Calcul!BE76,Calcul!BQ76)))</f>
        <v/>
      </c>
      <c r="J91" s="18" t="str">
        <f ca="1">IF(NAMES!$B$10=FALSE,IF($B91="","",CIE_HT(J$28,$Q$2,OFFSET(Source!$A99,0,0,1,Config!$K$7))),IF($B91="","",IF(Calcul!$BC$7=$Q$2,Calcul!BF76,Calcul!BR76)))</f>
        <v/>
      </c>
      <c r="K91" s="18" t="str">
        <f ca="1">IF(NAMES!$B$10=FALSE,IF($B91="","",CIE_HT(K$28,$Q$2,OFFSET(Source!$A99,0,0,1,Config!$K$7))),IF($B91="","",IF(Calcul!$BC$7=$Q$2,Calcul!BI76,Calcul!BS76)))</f>
        <v/>
      </c>
      <c r="L91" s="18" t="str">
        <f ca="1">IF(NAMES!$B$10=FALSE,IF($B91="","",CIE_HT(L$28,$Q$2,OFFSET(Source!$A99,0,0,1,Config!$K$7))),IF($B91="","",IF(Calcul!$BC$7=$Q$2,Calcul!BJ76,Calcul!BT76)))</f>
        <v/>
      </c>
      <c r="M91" s="18" t="str">
        <f ca="1">IF(NAMES!$B$10=FALSE,IF($B91="","",CIE_HT(M$28,$Q$2,OFFSET(Source!$A99,0,0,1,Config!$K$7))),IF($B91="","",IF(Calcul!$BC$7=$Q$2,Calcul!BK76,Calcul!BU76)))</f>
        <v/>
      </c>
      <c r="N91" s="18" t="str">
        <f ca="1">IF(NAMES!$B$10=FALSE,IF($B91="","",CIE_HT(N$28,$Q$2,OFFSET(Source!$A99,0,0,1,Config!$K$7))),IF($B91="","",IF(Calcul!$BC$7=$Q$2,Calcul!BL76,Calcul!BV76)))</f>
        <v/>
      </c>
      <c r="O91" s="18" t="str">
        <f ca="1">IF(NAMES!$B$10=FALSE,IF($B91="","",CIE_HT(O$28,$Q$2,OFFSET(Source!$A99,0,0,1,Config!$K$7))),IF($B91="","",IF(Calcul!$BC$7=$Q$2,Calcul!BM76,Calcul!BW76)))</f>
        <v/>
      </c>
      <c r="P91" s="18" t="str">
        <f ca="1">IF(NAMES!$B$10=FALSE,IF($B91="","",CIE_HT(P$28,$Q$2,OFFSET(Source!$A99,0,0,1,Config!$K$7))),IF($B91="","",IF(Calcul!$BC$7=$Q$2,Calcul!BN76,Calcul!BX76)))</f>
        <v/>
      </c>
      <c r="Q91" s="18" t="str">
        <f t="shared" si="3"/>
        <v/>
      </c>
      <c r="R91" s="18" t="str">
        <f ca="1">IF(NAMES!$B$10=FALSE,IF($B91="","",TOT_CIE_TC(I$28:P$28,$Q$2,OFFSET(Source!$A99,0,0,1,Config!$K$7))),IF($B91="","",Q91*1.04))</f>
        <v/>
      </c>
      <c r="S91" s="1855" t="str">
        <f ca="1">IF(NAMES!$B$10=FALSE,IF($B91="","",_xludf.FORMULA($B91,$Q$2,OFFSET(Source!$A99,0,0,1,Config!$K$7))),Calcul!ID76)</f>
        <v/>
      </c>
      <c r="T91" s="1855"/>
      <c r="U91" s="1855"/>
    </row>
    <row r="92" spans="1:21" hidden="1">
      <c r="A92" s="11" t="str">
        <f>IF(Cotations!C77=FALSE,"",Cotations!E77)</f>
        <v/>
      </c>
      <c r="B92" s="11" t="str">
        <f>IF(NAMES!$B$10=FALSE,IF(Source!A100="","",Source!A100),Cotations!G77)</f>
        <v/>
      </c>
      <c r="C92" s="11" t="str">
        <f>IF(NAMES!$B$10=FALSE,IF($B92="","",Source!B100),IF($B92="","",Crewlist!J77))</f>
        <v/>
      </c>
      <c r="D92" s="11" t="str">
        <f>IF(NAMES!$B$10=FALSE,IF($B92="","",Source!C100),IF($B92="","",Cotations!I77))</f>
        <v/>
      </c>
      <c r="E92" s="11" t="str">
        <f>IF(NAMES!$B$10=FALSE,IF($B92="","",Source!D100),IF($B92="","",Crewlist!G77))</f>
        <v/>
      </c>
      <c r="F92" s="16" t="str">
        <f>IF(NAMES!$B$10=FALSE,IF($B92="","",Source!E100),IF($B92="","",Crewlist!K77))</f>
        <v/>
      </c>
      <c r="G92" s="17" t="str">
        <f>IF(NAMES!$B$10=FALSE,IF($B92="","",Source!F100),Cotations!P77)</f>
        <v/>
      </c>
      <c r="H92" s="17" t="str">
        <f>IF(NAMES!$B$10=FALSE,IF($B92="","",Source!G100),Cotations!N77)</f>
        <v/>
      </c>
      <c r="I92" s="18" t="str">
        <f ca="1">IF(NAMES!$B$10=FALSE,IF($B92="","",CIE_HT(I$28,$Q$2,OFFSET(Source!$A100,0,0,1,Config!$K$7))),IF($B92="","",IF(Calcul!$BC$7=$Q$2,Calcul!BE77,Calcul!BQ77)))</f>
        <v/>
      </c>
      <c r="J92" s="18" t="str">
        <f ca="1">IF(NAMES!$B$10=FALSE,IF($B92="","",CIE_HT(J$28,$Q$2,OFFSET(Source!$A100,0,0,1,Config!$K$7))),IF($B92="","",IF(Calcul!$BC$7=$Q$2,Calcul!BF77,Calcul!BR77)))</f>
        <v/>
      </c>
      <c r="K92" s="18" t="str">
        <f ca="1">IF(NAMES!$B$10=FALSE,IF($B92="","",CIE_HT(K$28,$Q$2,OFFSET(Source!$A100,0,0,1,Config!$K$7))),IF($B92="","",IF(Calcul!$BC$7=$Q$2,Calcul!BI77,Calcul!BS77)))</f>
        <v/>
      </c>
      <c r="L92" s="18" t="str">
        <f ca="1">IF(NAMES!$B$10=FALSE,IF($B92="","",CIE_HT(L$28,$Q$2,OFFSET(Source!$A100,0,0,1,Config!$K$7))),IF($B92="","",IF(Calcul!$BC$7=$Q$2,Calcul!BJ77,Calcul!BT77)))</f>
        <v/>
      </c>
      <c r="M92" s="18" t="str">
        <f ca="1">IF(NAMES!$B$10=FALSE,IF($B92="","",CIE_HT(M$28,$Q$2,OFFSET(Source!$A100,0,0,1,Config!$K$7))),IF($B92="","",IF(Calcul!$BC$7=$Q$2,Calcul!BK77,Calcul!BU77)))</f>
        <v/>
      </c>
      <c r="N92" s="18" t="str">
        <f ca="1">IF(NAMES!$B$10=FALSE,IF($B92="","",CIE_HT(N$28,$Q$2,OFFSET(Source!$A100,0,0,1,Config!$K$7))),IF($B92="","",IF(Calcul!$BC$7=$Q$2,Calcul!BL77,Calcul!BV77)))</f>
        <v/>
      </c>
      <c r="O92" s="18" t="str">
        <f ca="1">IF(NAMES!$B$10=FALSE,IF($B92="","",CIE_HT(O$28,$Q$2,OFFSET(Source!$A100,0,0,1,Config!$K$7))),IF($B92="","",IF(Calcul!$BC$7=$Q$2,Calcul!BM77,Calcul!BW77)))</f>
        <v/>
      </c>
      <c r="P92" s="18" t="str">
        <f ca="1">IF(NAMES!$B$10=FALSE,IF($B92="","",CIE_HT(P$28,$Q$2,OFFSET(Source!$A100,0,0,1,Config!$K$7))),IF($B92="","",IF(Calcul!$BC$7=$Q$2,Calcul!BN77,Calcul!BX77)))</f>
        <v/>
      </c>
      <c r="Q92" s="18" t="str">
        <f t="shared" si="3"/>
        <v/>
      </c>
      <c r="R92" s="18" t="str">
        <f ca="1">IF(NAMES!$B$10=FALSE,IF($B92="","",TOT_CIE_TC(I$28:P$28,$Q$2,OFFSET(Source!$A100,0,0,1,Config!$K$7))),IF($B92="","",Q92*1.04))</f>
        <v/>
      </c>
      <c r="S92" s="1855" t="str">
        <f ca="1">IF(NAMES!$B$10=FALSE,IF($B92="","",_xludf.FORMULA($B92,$Q$2,OFFSET(Source!$A100,0,0,1,Config!$K$7))),Calcul!ID77)</f>
        <v/>
      </c>
      <c r="T92" s="1855"/>
      <c r="U92" s="1855"/>
    </row>
  </sheetData>
  <autoFilter ref="A29:V92">
    <filterColumn colId="0">
      <customFilters>
        <customFilter operator="notEqual" val=" "/>
      </customFilters>
    </filterColumn>
    <filterColumn colId="18" showButton="0"/>
    <filterColumn colId="19" showButton="0"/>
  </autoFilter>
  <mergeCells count="134">
    <mergeCell ref="S84:U84"/>
    <mergeCell ref="S85:U85"/>
    <mergeCell ref="S86:U86"/>
    <mergeCell ref="S88:U88"/>
    <mergeCell ref="S89:U89"/>
    <mergeCell ref="S90:U90"/>
    <mergeCell ref="S91:U91"/>
    <mergeCell ref="S92:U92"/>
    <mergeCell ref="S79:U79"/>
    <mergeCell ref="S80:U80"/>
    <mergeCell ref="S81:U81"/>
    <mergeCell ref="S82:U82"/>
    <mergeCell ref="S83:U83"/>
    <mergeCell ref="O28:O29"/>
    <mergeCell ref="P28:P29"/>
    <mergeCell ref="Q28:Q29"/>
    <mergeCell ref="R28:R29"/>
    <mergeCell ref="S28:U29"/>
    <mergeCell ref="S39:U39"/>
    <mergeCell ref="S40:U40"/>
    <mergeCell ref="S41:U41"/>
    <mergeCell ref="S37:U37"/>
    <mergeCell ref="A28:A29"/>
    <mergeCell ref="S76:U76"/>
    <mergeCell ref="S77:U77"/>
    <mergeCell ref="S78:U78"/>
    <mergeCell ref="I28:I29"/>
    <mergeCell ref="J28:J29"/>
    <mergeCell ref="K28:K29"/>
    <mergeCell ref="L28:L29"/>
    <mergeCell ref="M28:M29"/>
    <mergeCell ref="G28:H28"/>
    <mergeCell ref="B28:B29"/>
    <mergeCell ref="C28:C29"/>
    <mergeCell ref="D28:D29"/>
    <mergeCell ref="E28:E29"/>
    <mergeCell ref="F28:F29"/>
    <mergeCell ref="S30:U30"/>
    <mergeCell ref="S31:U31"/>
    <mergeCell ref="S32:U32"/>
    <mergeCell ref="S38:U38"/>
    <mergeCell ref="S33:U33"/>
    <mergeCell ref="S34:U34"/>
    <mergeCell ref="S35:U35"/>
    <mergeCell ref="S36:U36"/>
    <mergeCell ref="S42:U42"/>
    <mergeCell ref="D1:E1"/>
    <mergeCell ref="C11:E11"/>
    <mergeCell ref="B12:E12"/>
    <mergeCell ref="F14:G14"/>
    <mergeCell ref="F15:G15"/>
    <mergeCell ref="G6:P6"/>
    <mergeCell ref="F16:G16"/>
    <mergeCell ref="J14:K14"/>
    <mergeCell ref="N14:P14"/>
    <mergeCell ref="V15:X15"/>
    <mergeCell ref="N15:P15"/>
    <mergeCell ref="N16:P16"/>
    <mergeCell ref="Q2:S2"/>
    <mergeCell ref="I3:N3"/>
    <mergeCell ref="B9:E9"/>
    <mergeCell ref="B10:E10"/>
    <mergeCell ref="B8:E8"/>
    <mergeCell ref="R8:U8"/>
    <mergeCell ref="I4:N4"/>
    <mergeCell ref="R9:U9"/>
    <mergeCell ref="R10:U10"/>
    <mergeCell ref="L8:O8"/>
    <mergeCell ref="L9:O9"/>
    <mergeCell ref="L10:O10"/>
    <mergeCell ref="G8:J8"/>
    <mergeCell ref="V9:Y9"/>
    <mergeCell ref="V10:Y10"/>
    <mergeCell ref="V12:Y12"/>
    <mergeCell ref="W11:Y11"/>
    <mergeCell ref="V16:X16"/>
    <mergeCell ref="F20:G20"/>
    <mergeCell ref="F21:G21"/>
    <mergeCell ref="F22:G22"/>
    <mergeCell ref="B23:G23"/>
    <mergeCell ref="Q20:R20"/>
    <mergeCell ref="Q17:R17"/>
    <mergeCell ref="B27:C27"/>
    <mergeCell ref="F17:G17"/>
    <mergeCell ref="F18:G18"/>
    <mergeCell ref="F19:G19"/>
    <mergeCell ref="S56:U56"/>
    <mergeCell ref="S57:U57"/>
    <mergeCell ref="S58:U58"/>
    <mergeCell ref="S59:U59"/>
    <mergeCell ref="S60:U60"/>
    <mergeCell ref="S11:U11"/>
    <mergeCell ref="R12:U12"/>
    <mergeCell ref="M11:O11"/>
    <mergeCell ref="L12:O12"/>
    <mergeCell ref="N21:P21"/>
    <mergeCell ref="N22:P22"/>
    <mergeCell ref="N19:P19"/>
    <mergeCell ref="N20:P20"/>
    <mergeCell ref="Q14:R14"/>
    <mergeCell ref="S51:U51"/>
    <mergeCell ref="S43:U43"/>
    <mergeCell ref="S44:U44"/>
    <mergeCell ref="S45:U45"/>
    <mergeCell ref="S46:U46"/>
    <mergeCell ref="S47:U47"/>
    <mergeCell ref="S48:U48"/>
    <mergeCell ref="S49:U49"/>
    <mergeCell ref="S50:U50"/>
    <mergeCell ref="N28:N29"/>
    <mergeCell ref="S75:U75"/>
    <mergeCell ref="S70:U70"/>
    <mergeCell ref="S71:U71"/>
    <mergeCell ref="S72:U72"/>
    <mergeCell ref="S73:U73"/>
    <mergeCell ref="S74:U74"/>
    <mergeCell ref="S4:T4"/>
    <mergeCell ref="N23:P23"/>
    <mergeCell ref="N24:P24"/>
    <mergeCell ref="N17:P17"/>
    <mergeCell ref="N18:P18"/>
    <mergeCell ref="S61:U61"/>
    <mergeCell ref="S62:U62"/>
    <mergeCell ref="S63:U63"/>
    <mergeCell ref="S64:U64"/>
    <mergeCell ref="S65:U65"/>
    <mergeCell ref="S66:U66"/>
    <mergeCell ref="S67:U67"/>
    <mergeCell ref="S68:U68"/>
    <mergeCell ref="S69:U69"/>
    <mergeCell ref="S52:U52"/>
    <mergeCell ref="S53:U53"/>
    <mergeCell ref="S54:U54"/>
    <mergeCell ref="S55:U55"/>
  </mergeCells>
  <dataValidations count="1">
    <dataValidation type="list" showInputMessage="1" showErrorMessage="1" sqref="Q2:S2">
      <formula1>COMPANY_LIST</formula1>
    </dataValidation>
  </dataValidations>
  <pageMargins left="0.70866141732283472" right="0.70866141732283472" top="0.74803149606299213" bottom="0.74803149606299213" header="0.31496062992125984" footer="0.31496062992125984"/>
  <pageSetup paperSize="9" scale="50" fitToHeight="0" orientation="landscape" r:id="rId1"/>
  <headerFooter>
    <oddFooter>&amp;C&amp;P/&amp;N</oddFooter>
  </headerFooter>
  <rowBreaks count="1" manualBreakCount="1">
    <brk id="57" max="20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LISTES!$C$28:$C$37</xm:f>
          </x14:formula1>
          <xm:sqref>I3:N3</xm:sqref>
        </x14:dataValidation>
        <x14:dataValidation type="list" allowBlank="1" showInputMessage="1" showErrorMessage="1">
          <x14:formula1>
            <xm:f>LIST!$D$1:$D$3</xm:f>
          </x14:formula1>
          <xm:sqref>H15:H24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FFFF00"/>
  </sheetPr>
  <dimension ref="A1:R60"/>
  <sheetViews>
    <sheetView view="pageBreakPreview" topLeftCell="A16" zoomScaleSheetLayoutView="100" workbookViewId="0">
      <selection activeCell="G32" sqref="G32"/>
    </sheetView>
  </sheetViews>
  <sheetFormatPr baseColWidth="10" defaultColWidth="11.42578125" defaultRowHeight="12.75"/>
  <cols>
    <col min="1" max="1" width="11.42578125" style="3"/>
    <col min="2" max="2" width="20" style="3" customWidth="1"/>
    <col min="3" max="4" width="11.42578125" style="3"/>
    <col min="5" max="5" width="10" style="3" customWidth="1"/>
    <col min="6" max="6" width="11.42578125" style="3"/>
    <col min="7" max="7" width="11.85546875" style="3" bestFit="1" customWidth="1"/>
    <col min="8" max="8" width="11.42578125" style="3"/>
    <col min="9" max="9" width="0" style="3" hidden="1" customWidth="1"/>
    <col min="10" max="16384" width="11.42578125" style="3"/>
  </cols>
  <sheetData>
    <row r="1" spans="1:10">
      <c r="G1" s="8">
        <f ca="1">TODAY()</f>
        <v>42723</v>
      </c>
    </row>
    <row r="7" spans="1:10">
      <c r="D7" s="560" t="s">
        <v>2402</v>
      </c>
      <c r="E7" s="1902" t="str">
        <f>YACHTNAME</f>
        <v xml:space="preserve">HUTIANE            </v>
      </c>
      <c r="F7" s="1902"/>
      <c r="G7" s="1902"/>
    </row>
    <row r="8" spans="1:10" ht="15" customHeight="1">
      <c r="D8" s="561" t="s">
        <v>2351</v>
      </c>
      <c r="E8" s="1903" t="str">
        <f>CHOOSE(LISTES!A95,PHname,EMname,MAname,BRname)</f>
        <v>HUTIANE-TRANSPORTES MARITIMOS, UNIPESSOAL LDA</v>
      </c>
      <c r="F8" s="1903"/>
      <c r="G8" s="1903"/>
      <c r="J8" s="3" t="s">
        <v>2354</v>
      </c>
    </row>
    <row r="9" spans="1:10" ht="15" customHeight="1">
      <c r="D9" s="25"/>
      <c r="E9" s="1903" t="str">
        <f>CHOOSE(LISTES!A95,PHaddress,EMaddress,MAaddress,BRaddress)</f>
        <v>Rua Nova do Pina, N°4B</v>
      </c>
      <c r="F9" s="1903"/>
      <c r="G9" s="1903"/>
    </row>
    <row r="10" spans="1:10" ht="15" customHeight="1">
      <c r="D10" s="25"/>
      <c r="E10" s="27" t="str">
        <f>CHOOSE(LISTES!A95,PHpostalcode,EMpostalcode,MApostalcode,BRpostalcode)</f>
        <v>P-9000-067</v>
      </c>
      <c r="F10" s="1903" t="str">
        <f>CHOOSE(LISTES!A95,PHcity,EMcity,MAcity,BRcity)</f>
        <v>Santa Luzia, Funchal</v>
      </c>
      <c r="G10" s="1903"/>
      <c r="J10" s="1895" t="s">
        <v>2355</v>
      </c>
    </row>
    <row r="11" spans="1:10">
      <c r="D11" s="26"/>
      <c r="E11" s="1896" t="str">
        <f>CHOOSE(LISTES!A95,PHcountry,EMcountry,MAcountry,BRcountry)</f>
        <v>Portugal</v>
      </c>
      <c r="F11" s="1896"/>
      <c r="G11" s="1896"/>
      <c r="J11" s="1895"/>
    </row>
    <row r="12" spans="1:10">
      <c r="A12" s="1907" t="str">
        <f>CHOOSE(LISTES!A96,"Subscriber","employer","Manager","Broker")</f>
        <v>Broker</v>
      </c>
      <c r="B12" s="1907"/>
      <c r="C12" s="1907"/>
      <c r="D12" s="21"/>
      <c r="J12" s="1895"/>
    </row>
    <row r="13" spans="1:10">
      <c r="A13" s="1903" t="str">
        <f>CHOOSE(LISTES!A96,PHname,EMname,MAname,BRname)</f>
        <v>ICS</v>
      </c>
      <c r="B13" s="1903"/>
      <c r="C13" s="1903"/>
      <c r="D13" s="25"/>
    </row>
    <row r="14" spans="1:10" ht="15" customHeight="1">
      <c r="A14" s="1903" t="str">
        <f>CHOOSE(LISTES!A96,PHaddress,EMaddress,MAaddress,BRaddress)</f>
        <v>Centre Mercure -Avenue de la Gare, 41</v>
      </c>
      <c r="B14" s="1903"/>
      <c r="C14" s="1903"/>
      <c r="D14" s="25"/>
    </row>
    <row r="15" spans="1:10">
      <c r="A15" s="562" t="str">
        <f>CHOOSE(LISTES!A96,PHpostalcode,EMpostalcode,MApostalcode,BRpostalcode)</f>
        <v>L-1611</v>
      </c>
      <c r="B15" s="1903" t="str">
        <f>CHOOSE(LISTES!A96,PHcity,EMcity,MAcity,BRcity)</f>
        <v>Luxembourg</v>
      </c>
      <c r="C15" s="1903"/>
      <c r="D15" s="25"/>
    </row>
    <row r="16" spans="1:10">
      <c r="A16" s="1896" t="str">
        <f>CHOOSE(LISTES!A96,PHcountry,EMcountry,MAcountry,BRcountry)</f>
        <v>LUXEMBOURG</v>
      </c>
      <c r="B16" s="1896"/>
      <c r="C16" s="1896"/>
      <c r="D16" s="26"/>
    </row>
    <row r="17" spans="1:18">
      <c r="A17" s="511" t="str">
        <f>IF(LISTES!A96=4,"Contact: "&amp;USER!I1&amp;" "&amp;USER!H1&amp;" direct: "&amp;USER!M1,"Contact: "&amp;USER!I2&amp;" "&amp;USER!H2&amp;" direct: "&amp;USER!M2)</f>
        <v>Contact: Martine HENRY direct: (00352) 27 44 54-13</v>
      </c>
      <c r="B17" s="511"/>
      <c r="C17" s="511"/>
      <c r="D17" s="511"/>
    </row>
    <row r="18" spans="1:18">
      <c r="A18" s="26"/>
      <c r="B18" s="26"/>
      <c r="C18" s="26"/>
      <c r="D18" s="26"/>
    </row>
    <row r="19" spans="1:18" ht="18.75" customHeight="1">
      <c r="A19" s="1895" t="s">
        <v>2403</v>
      </c>
      <c r="B19" s="1897" t="str">
        <f>Admin!E2</f>
        <v>12600.1</v>
      </c>
      <c r="C19" s="1897" t="str">
        <f>IF(G38&gt;0,"DEBIT NOTE","CREDIT NOTE")</f>
        <v>DEBIT NOTE</v>
      </c>
      <c r="D19" s="1897"/>
      <c r="E19" s="1897"/>
      <c r="F19" s="1897"/>
      <c r="J19" s="3" t="s">
        <v>2393</v>
      </c>
      <c r="K19" s="557"/>
    </row>
    <row r="20" spans="1:18" ht="15" customHeight="1">
      <c r="A20" s="1895"/>
      <c r="B20" s="1897"/>
      <c r="C20" s="1897"/>
      <c r="D20" s="1897"/>
      <c r="E20" s="1897"/>
      <c r="F20" s="1897"/>
    </row>
    <row r="21" spans="1:18" ht="15" customHeight="1">
      <c r="A21" s="33" t="s">
        <v>61</v>
      </c>
      <c r="B21" s="514">
        <f>Source!A2</f>
        <v>42723.378287037034</v>
      </c>
      <c r="D21" s="33" t="s">
        <v>34</v>
      </c>
      <c r="E21" s="3" t="s">
        <v>33</v>
      </c>
    </row>
    <row r="22" spans="1:18">
      <c r="A22" s="3" t="s">
        <v>2339</v>
      </c>
      <c r="B22" s="1895" t="str">
        <f>LISTES!G45</f>
        <v>AIG EUROPE &amp; ANKER</v>
      </c>
      <c r="C22" s="1895"/>
      <c r="D22" s="1895"/>
      <c r="J22" s="3" t="s">
        <v>2394</v>
      </c>
      <c r="K22" s="557"/>
    </row>
    <row r="23" spans="1:18">
      <c r="A23" s="23" t="s">
        <v>79</v>
      </c>
      <c r="B23" s="1898" t="str">
        <f>LISTES!E45</f>
        <v>Regularization invoice</v>
      </c>
      <c r="C23" s="1898"/>
      <c r="D23" s="1898"/>
      <c r="E23" s="1898"/>
      <c r="F23" s="1898"/>
      <c r="G23" s="1898"/>
    </row>
    <row r="24" spans="1:18" ht="10.5" customHeight="1">
      <c r="A24" s="23"/>
      <c r="B24" s="1894"/>
      <c r="C24" s="1894"/>
      <c r="D24" s="1894"/>
      <c r="E24" s="1894"/>
      <c r="F24" s="1894"/>
      <c r="G24" s="1894"/>
      <c r="N24" s="765"/>
    </row>
    <row r="25" spans="1:18" ht="10.5" customHeight="1">
      <c r="A25" s="23"/>
      <c r="B25" s="1894"/>
      <c r="C25" s="1894"/>
      <c r="D25" s="1894"/>
      <c r="E25" s="1894"/>
      <c r="F25" s="1894"/>
      <c r="G25" s="1894"/>
    </row>
    <row r="26" spans="1:18" ht="8.25" customHeight="1" thickBot="1"/>
    <row r="27" spans="1:18" ht="15" customHeight="1">
      <c r="A27" s="1922" t="s">
        <v>13</v>
      </c>
      <c r="B27" s="1910" t="s">
        <v>59</v>
      </c>
      <c r="C27" s="1910"/>
      <c r="D27" s="1910"/>
      <c r="E27" s="1910"/>
      <c r="F27" s="1910"/>
      <c r="G27" s="1911"/>
      <c r="K27" s="1904" t="s">
        <v>2581</v>
      </c>
      <c r="N27" s="1899" t="s">
        <v>2582</v>
      </c>
      <c r="O27" s="1906" t="s">
        <v>2411</v>
      </c>
      <c r="P27" s="1899" t="s">
        <v>2578</v>
      </c>
    </row>
    <row r="28" spans="1:18" ht="13.5" thickBot="1">
      <c r="A28" s="1923"/>
      <c r="B28" s="31" t="s">
        <v>77</v>
      </c>
      <c r="C28" s="1924" t="s">
        <v>20</v>
      </c>
      <c r="D28" s="1924"/>
      <c r="E28" s="1924"/>
      <c r="F28" s="31" t="s">
        <v>34</v>
      </c>
      <c r="G28" s="32" t="s">
        <v>75</v>
      </c>
      <c r="K28" s="1905"/>
      <c r="N28" s="1899"/>
      <c r="O28" s="1906"/>
      <c r="P28" s="1899"/>
    </row>
    <row r="29" spans="1:18" ht="12" customHeight="1">
      <c r="A29" s="1912" t="str">
        <f>IF(I48=TRUE,CONCATENATE("From : ",TEXT(Source!B2,"jj/mm/aaaa")),CONCATENATE("From : ",TEXT(K19,"jj/mm/aaaa")))</f>
        <v>From : 12/11/2016</v>
      </c>
      <c r="B29" s="1341" t="str">
        <f>IF(LISTES!$A$17=3,lig1_POL_MED,IF(Source!E17="","",Source!E17))</f>
        <v>L2022479</v>
      </c>
      <c r="C29" s="1901" t="str">
        <f>IF(LISTES!$A$17=3,Modules!E35,IF(Source!D17="","",Source!D17))</f>
        <v>Perfect</v>
      </c>
      <c r="D29" s="1901"/>
      <c r="E29" s="1901"/>
      <c r="F29" s="1340" t="str">
        <f>IF(B29="","",$E$21)</f>
        <v>EUR</v>
      </c>
      <c r="G29" s="1339">
        <v>819.23</v>
      </c>
      <c r="H29" s="10"/>
      <c r="I29" s="10"/>
      <c r="J29" s="10" t="str">
        <f>Source!D17</f>
        <v>Perfect</v>
      </c>
      <c r="K29" s="734">
        <f>IF(Source!R17="","",Source!R17)</f>
        <v>2711.53856</v>
      </c>
      <c r="L29" s="553"/>
      <c r="M29" s="3" t="s">
        <v>201</v>
      </c>
      <c r="N29" s="1378">
        <f>Cotations!AC11</f>
        <v>2711.5384615384614</v>
      </c>
      <c r="O29" s="1378">
        <f>Cotations!AC13</f>
        <v>0</v>
      </c>
      <c r="P29" s="1378">
        <f>RECAPITULATIF!G8</f>
        <v>0</v>
      </c>
      <c r="R29" s="764">
        <f>SUM(G29:G34)</f>
        <v>1464.23</v>
      </c>
    </row>
    <row r="30" spans="1:18">
      <c r="A30" s="1913"/>
      <c r="B30" s="1337" t="str">
        <f>IF(LISTES!$A$17=3,lig2_POL_MED,IF(Source!E18="","",Source!E18))</f>
        <v/>
      </c>
      <c r="C30" s="1851" t="str">
        <f>IF(LISTES!$A$17=3,Modules!E64,IF(Source!D18="","",Source!D18))</f>
        <v/>
      </c>
      <c r="D30" s="1851"/>
      <c r="E30" s="1851"/>
      <c r="F30" s="10" t="str">
        <f t="shared" ref="F30:F34" si="0">IF(B30="","",$E$21)</f>
        <v/>
      </c>
      <c r="G30" s="37">
        <v>645</v>
      </c>
      <c r="J30" s="10" t="str">
        <f>Source!D18</f>
        <v>Formula 3</v>
      </c>
      <c r="K30" s="735">
        <f>IF(Source!R18="","",Source!R18)</f>
        <v>4837.4068965516999</v>
      </c>
      <c r="L30" s="550"/>
      <c r="M30" s="3" t="s">
        <v>2135</v>
      </c>
      <c r="N30" s="1378">
        <f>Cotations!AE11</f>
        <v>4837.4068965517245</v>
      </c>
      <c r="O30" s="1378">
        <f ca="1">Cotations!AE13</f>
        <v>4837.4068965517245</v>
      </c>
      <c r="P30" s="1378">
        <f>RECAPITULATIF!H8</f>
        <v>0</v>
      </c>
      <c r="R30" s="3">
        <f>R29*0.04</f>
        <v>58.569200000000002</v>
      </c>
    </row>
    <row r="31" spans="1:18">
      <c r="A31" s="1913"/>
      <c r="B31" s="1337">
        <f>IF(LISTES!$A$17=3,lig3_POL_MED,IF(Source!E19="","",Source!E19))</f>
        <v>140494</v>
      </c>
      <c r="C31" s="1900" t="str">
        <f>Modules!E86</f>
        <v>Medical Excellent and Homeland</v>
      </c>
      <c r="D31" s="1851"/>
      <c r="E31" s="1851"/>
      <c r="F31" s="10" t="str">
        <f t="shared" si="0"/>
        <v>EUR</v>
      </c>
      <c r="G31" s="37"/>
      <c r="J31" s="10">
        <f>Source!D19</f>
        <v>0</v>
      </c>
      <c r="K31" s="735" t="str">
        <f>IF(Source!R19="","",Source!R19)</f>
        <v/>
      </c>
      <c r="L31" s="550" t="s">
        <v>2384</v>
      </c>
      <c r="N31" s="1378"/>
      <c r="O31" s="1378"/>
      <c r="P31" s="1378">
        <f>RECAPITULATIF!I8</f>
        <v>0</v>
      </c>
    </row>
    <row r="32" spans="1:18">
      <c r="A32" s="1913"/>
      <c r="B32" s="1337">
        <f>IF(LISTES!$A$17=3,lig1_POL_PREVOY,IF(Source!E20="","",Source!E20))</f>
        <v>240322</v>
      </c>
      <c r="C32" s="1851" t="str">
        <f>IF(LISTES!$A$17=3,Modules!F35,IF(Source!D20="","",Source!D20))</f>
        <v>Formula 3</v>
      </c>
      <c r="D32" s="1851"/>
      <c r="E32" s="1851"/>
      <c r="F32" s="10" t="str">
        <f>IF(B32="","",$E$21)</f>
        <v>EUR</v>
      </c>
      <c r="G32" s="37">
        <v>0</v>
      </c>
      <c r="J32" s="10">
        <f>Source!D20</f>
        <v>0</v>
      </c>
      <c r="K32" s="735" t="str">
        <f>IF(Source!R20="","",Source!R20)</f>
        <v/>
      </c>
      <c r="L32" s="550"/>
      <c r="N32" s="1378"/>
      <c r="O32" s="1378"/>
      <c r="P32" s="1378">
        <f>RECAPITULATIF!J8</f>
        <v>0</v>
      </c>
    </row>
    <row r="33" spans="1:16" ht="12" customHeight="1">
      <c r="A33" s="1913" t="str">
        <f>IF(I48=TRUE,CONCATENATE("To : ",TEXT(Source!C2,"jj/mm/aaaa")),CONCATENATE("From : ",TEXT(K22,"jj/mm/aaaa")))</f>
        <v>To : 11/11/2017</v>
      </c>
      <c r="B33" s="1337" t="str">
        <f>IF(LISTES!$A$17=3,lig2_POL_PREVO,IF(Source!E21="","",Source!E21))</f>
        <v/>
      </c>
      <c r="C33" s="1851" t="str">
        <f>IF(LISTES!$A$17=3,Modules!F64,IF(Source!D21="","",Source!D21))</f>
        <v/>
      </c>
      <c r="D33" s="1851"/>
      <c r="E33" s="1851"/>
      <c r="F33" s="10" t="str">
        <f t="shared" si="0"/>
        <v/>
      </c>
      <c r="G33" s="37"/>
      <c r="J33" s="10">
        <f>Source!D21</f>
        <v>0</v>
      </c>
      <c r="K33" s="735" t="str">
        <f>IF(Source!R21="","",Source!R21)</f>
        <v/>
      </c>
      <c r="L33" s="550"/>
      <c r="N33" s="1378"/>
      <c r="O33" s="1378"/>
      <c r="P33" s="1378">
        <f>RECAPITULATIF!K8</f>
        <v>0</v>
      </c>
    </row>
    <row r="34" spans="1:16" ht="12" customHeight="1">
      <c r="A34" s="1913"/>
      <c r="B34" s="1027">
        <f>IF(LISTES!$A$17=3,lig3_POL_PREVOY,IF(Source!E22="","",Source!E22))</f>
        <v>140494</v>
      </c>
      <c r="C34" s="1916" t="str">
        <f>IF(LISTES!$A$17=3,Modules!F86,IF(Source!D22="","",Source!D22))</f>
        <v>Formula Day Worker</v>
      </c>
      <c r="D34" s="1916"/>
      <c r="E34" s="1916"/>
      <c r="F34" s="555" t="str">
        <f t="shared" si="0"/>
        <v>EUR</v>
      </c>
      <c r="G34" s="556"/>
      <c r="J34" s="10"/>
      <c r="K34" s="735"/>
      <c r="L34" s="822"/>
      <c r="N34" s="1378"/>
      <c r="O34" s="1378"/>
      <c r="P34" s="1378">
        <f>RECAPITULATIF!L8</f>
        <v>0</v>
      </c>
    </row>
    <row r="35" spans="1:16">
      <c r="A35" s="1914"/>
      <c r="B35" s="36"/>
      <c r="C35" s="1851" t="s">
        <v>78</v>
      </c>
      <c r="D35" s="1851"/>
      <c r="E35" s="1851"/>
      <c r="F35" s="10" t="str">
        <f>$E$21</f>
        <v>EUR</v>
      </c>
      <c r="G35" s="37">
        <v>8</v>
      </c>
      <c r="J35" s="3" t="str">
        <f>Source!A26</f>
        <v>WCA</v>
      </c>
      <c r="K35" s="735">
        <f>Source!G26</f>
        <v>24</v>
      </c>
      <c r="L35" s="550"/>
      <c r="M35" s="3" t="s">
        <v>1</v>
      </c>
      <c r="N35" s="1378">
        <f>Cotations!AB11</f>
        <v>24</v>
      </c>
      <c r="O35" s="1378">
        <f>Cotations!AB13</f>
        <v>0</v>
      </c>
      <c r="P35" s="1378">
        <f>RECAPITULATIF!M7</f>
        <v>0</v>
      </c>
    </row>
    <row r="36" spans="1:16">
      <c r="A36" s="1914"/>
      <c r="B36" s="36"/>
      <c r="C36" s="1851" t="s">
        <v>2</v>
      </c>
      <c r="D36" s="1851"/>
      <c r="E36" s="1851"/>
      <c r="F36" s="10" t="str">
        <f>$E$21</f>
        <v>EUR</v>
      </c>
      <c r="G36" s="37">
        <v>94.76</v>
      </c>
      <c r="J36" s="3" t="str">
        <f>Source!A31</f>
        <v>Tax</v>
      </c>
      <c r="K36" s="735">
        <f>Source!B31</f>
        <v>301.95781826207002</v>
      </c>
      <c r="M36" s="3" t="s">
        <v>24</v>
      </c>
      <c r="N36" s="1378">
        <f>Cotations!X11</f>
        <v>301.95781432360775</v>
      </c>
      <c r="O36" s="1378">
        <f ca="1">Cotations!X13</f>
        <v>193.49627586206898</v>
      </c>
      <c r="P36" s="1378"/>
    </row>
    <row r="37" spans="1:16">
      <c r="A37" s="1915"/>
      <c r="B37" s="38"/>
      <c r="C37" s="1916" t="str">
        <f>IF(I50=FALSE,"","Exceptional Discount")</f>
        <v/>
      </c>
      <c r="D37" s="1851"/>
      <c r="E37" s="1851"/>
      <c r="F37" s="10" t="str">
        <f>IF(I50=FALSE,"",$E$21)</f>
        <v/>
      </c>
      <c r="G37" s="37"/>
      <c r="J37" s="3" t="s">
        <v>2371</v>
      </c>
      <c r="K37" s="735">
        <f>Source!B32</f>
        <v>64</v>
      </c>
      <c r="M37" s="3" t="s">
        <v>2371</v>
      </c>
      <c r="N37" s="1378">
        <f>Cotations!W11</f>
        <v>64</v>
      </c>
      <c r="O37" s="1378">
        <f>Cotations!W13</f>
        <v>0</v>
      </c>
      <c r="P37" s="1378">
        <f>RECAPITULATIF!R8</f>
        <v>414.21280000000002</v>
      </c>
    </row>
    <row r="38" spans="1:16" ht="15" customHeight="1">
      <c r="A38" s="10"/>
      <c r="B38" s="10"/>
      <c r="C38" s="10"/>
      <c r="D38" s="1917" t="s">
        <v>60</v>
      </c>
      <c r="E38" s="1917"/>
      <c r="F38" s="574" t="str">
        <f>$E$21</f>
        <v>EUR</v>
      </c>
      <c r="G38" s="575">
        <f>SUM(G29:G37)</f>
        <v>1566.99</v>
      </c>
      <c r="J38" s="3" t="s">
        <v>2841</v>
      </c>
      <c r="M38" s="3" t="s">
        <v>2841</v>
      </c>
      <c r="N38" s="1379">
        <f>Cotations!Y11</f>
        <v>0</v>
      </c>
      <c r="O38" s="1380"/>
      <c r="P38" s="1380"/>
    </row>
    <row r="39" spans="1:16" ht="14.25" customHeight="1">
      <c r="D39" s="40"/>
      <c r="E39" s="40"/>
      <c r="F39" s="41"/>
      <c r="G39" s="39"/>
      <c r="J39" s="3" t="s">
        <v>2579</v>
      </c>
      <c r="K39" s="735">
        <f>Source!B31+Source!B32</f>
        <v>365.95781826207002</v>
      </c>
      <c r="L39" s="550"/>
      <c r="M39" s="3" t="s">
        <v>2579</v>
      </c>
      <c r="N39" s="1378">
        <f>Cotations!Z11</f>
        <v>365.95781432360775</v>
      </c>
      <c r="O39" s="1378">
        <f ca="1">Cotations!Z13</f>
        <v>193.49627586206898</v>
      </c>
      <c r="P39" s="1378">
        <f>RECAPITULATIF!N8</f>
        <v>0</v>
      </c>
    </row>
    <row r="40" spans="1:16" ht="21.75" customHeight="1">
      <c r="A40" s="1894" t="s">
        <v>62</v>
      </c>
      <c r="B40" s="1894"/>
      <c r="C40" s="1894"/>
      <c r="D40" s="1894"/>
      <c r="E40" s="1894"/>
      <c r="F40" s="1894"/>
      <c r="G40" s="1894"/>
      <c r="J40" s="3" t="s">
        <v>2580</v>
      </c>
      <c r="K40" s="735">
        <v>0</v>
      </c>
      <c r="L40" s="550"/>
      <c r="M40" s="3" t="s">
        <v>2580</v>
      </c>
      <c r="N40" s="1378"/>
      <c r="O40" s="1378"/>
      <c r="P40" s="1378"/>
    </row>
    <row r="41" spans="1:16" ht="12" customHeight="1">
      <c r="B41" s="3" t="s">
        <v>63</v>
      </c>
      <c r="J41" s="3" t="s">
        <v>2143</v>
      </c>
      <c r="K41" s="736">
        <f>SUM(K29:K37)</f>
        <v>7938.9032748137697</v>
      </c>
      <c r="L41" s="550"/>
      <c r="M41" s="3" t="s">
        <v>2143</v>
      </c>
      <c r="N41" s="1378">
        <f>Cotations!V11</f>
        <v>7938.903172413794</v>
      </c>
      <c r="O41" s="1378">
        <f ca="1">Cotations!V13</f>
        <v>5030.9031724137931</v>
      </c>
      <c r="P41" s="1378">
        <f>RECAPITULATIF!P8</f>
        <v>0</v>
      </c>
    </row>
    <row r="46" spans="1:16" ht="7.5" customHeight="1">
      <c r="B46" s="30"/>
      <c r="C46" s="30"/>
      <c r="D46" s="30"/>
      <c r="E46" s="30"/>
      <c r="F46" s="30"/>
    </row>
    <row r="47" spans="1:16">
      <c r="A47" s="1925" t="s">
        <v>67</v>
      </c>
      <c r="B47" s="1925"/>
      <c r="C47" s="1925"/>
      <c r="D47" s="1925"/>
      <c r="E47" s="1855" t="s">
        <v>64</v>
      </c>
      <c r="F47" s="1855"/>
      <c r="G47" s="1855"/>
    </row>
    <row r="48" spans="1:16">
      <c r="E48" s="1855" t="s">
        <v>65</v>
      </c>
      <c r="F48" s="1855"/>
      <c r="G48" s="1855"/>
      <c r="I48" s="3" t="b">
        <v>1</v>
      </c>
    </row>
    <row r="49" spans="1:15">
      <c r="E49" s="1855" t="s">
        <v>66</v>
      </c>
      <c r="F49" s="1855"/>
      <c r="G49" s="1855"/>
    </row>
    <row r="50" spans="1:15">
      <c r="I50" s="3" t="b">
        <v>0</v>
      </c>
    </row>
    <row r="51" spans="1:15">
      <c r="A51" s="28" t="s">
        <v>68</v>
      </c>
      <c r="B51" s="1895" t="s">
        <v>71</v>
      </c>
      <c r="C51" s="1895"/>
      <c r="N51" s="28" t="s">
        <v>2631</v>
      </c>
      <c r="O51" s="3" t="s">
        <v>2632</v>
      </c>
    </row>
    <row r="52" spans="1:15">
      <c r="B52" s="1895" t="s">
        <v>69</v>
      </c>
      <c r="C52" s="1895"/>
      <c r="E52" s="28" t="s">
        <v>72</v>
      </c>
      <c r="F52" s="793" t="str">
        <f>IF($E$21="EUR","LU69 0024 1225 9885 6900","LU08 0024 1225 9889 3500")</f>
        <v>LU69 0024 1225 9885 6900</v>
      </c>
      <c r="G52" s="793"/>
      <c r="I52" s="3" t="b">
        <v>1</v>
      </c>
    </row>
    <row r="53" spans="1:15">
      <c r="B53" s="1895" t="s">
        <v>70</v>
      </c>
      <c r="C53" s="1895"/>
      <c r="E53" s="28" t="s">
        <v>73</v>
      </c>
      <c r="F53" s="793" t="s">
        <v>74</v>
      </c>
      <c r="G53" s="793"/>
    </row>
    <row r="54" spans="1:15" ht="8.25" customHeight="1"/>
    <row r="55" spans="1:15" ht="13.5" customHeight="1">
      <c r="A55" s="28" t="s">
        <v>2338</v>
      </c>
      <c r="B55" s="1926" t="str">
        <f>Admin!E2&amp;"-"&amp;Admin!B9</f>
        <v>12600.1-HUTIANE-TRANSPORTES MARITIMOS, UNIPESSOAL LDA</v>
      </c>
      <c r="C55" s="1926"/>
      <c r="D55" s="1926"/>
      <c r="E55" s="1926"/>
      <c r="F55" s="1926"/>
    </row>
    <row r="56" spans="1:15" ht="8.25" customHeight="1"/>
    <row r="57" spans="1:15" ht="15.75" customHeight="1">
      <c r="D57" s="1920" t="s">
        <v>60</v>
      </c>
      <c r="E57" s="1921"/>
      <c r="F57" s="1338" t="str">
        <f>$E$21</f>
        <v>EUR</v>
      </c>
      <c r="G57" s="1347">
        <f>SUM(G29:G37)</f>
        <v>1566.99</v>
      </c>
    </row>
    <row r="58" spans="1:15" ht="12.75" customHeight="1">
      <c r="D58" s="1908" t="s">
        <v>83</v>
      </c>
      <c r="E58" s="1909"/>
      <c r="F58" s="576" t="str">
        <f>$E$21</f>
        <v>EUR</v>
      </c>
      <c r="G58" s="577">
        <f>SUM(G29:G33)*K58</f>
        <v>175.70759999999999</v>
      </c>
      <c r="K58" s="643">
        <v>0.12</v>
      </c>
      <c r="L58" s="3" t="s">
        <v>2423</v>
      </c>
    </row>
    <row r="59" spans="1:15" ht="12.75" customHeight="1">
      <c r="A59" s="28"/>
      <c r="D59" s="1918" t="s">
        <v>76</v>
      </c>
      <c r="E59" s="1919"/>
      <c r="F59" s="578" t="str">
        <f>$E$21</f>
        <v>EUR</v>
      </c>
      <c r="G59" s="579">
        <f>G38-G58</f>
        <v>1391.2824000000001</v>
      </c>
    </row>
    <row r="60" spans="1:15" ht="7.5" customHeight="1">
      <c r="G60" s="29"/>
    </row>
  </sheetData>
  <mergeCells count="48">
    <mergeCell ref="D59:E59"/>
    <mergeCell ref="D57:E57"/>
    <mergeCell ref="A27:A28"/>
    <mergeCell ref="C28:E28"/>
    <mergeCell ref="C30:E30"/>
    <mergeCell ref="E49:G49"/>
    <mergeCell ref="A47:D47"/>
    <mergeCell ref="B51:C51"/>
    <mergeCell ref="B52:C52"/>
    <mergeCell ref="B53:C53"/>
    <mergeCell ref="C32:E32"/>
    <mergeCell ref="C33:E33"/>
    <mergeCell ref="C35:E35"/>
    <mergeCell ref="C36:E36"/>
    <mergeCell ref="E48:G48"/>
    <mergeCell ref="B55:F55"/>
    <mergeCell ref="D58:E58"/>
    <mergeCell ref="B27:G27"/>
    <mergeCell ref="E47:G47"/>
    <mergeCell ref="A29:A32"/>
    <mergeCell ref="A40:G40"/>
    <mergeCell ref="A33:A37"/>
    <mergeCell ref="C37:E37"/>
    <mergeCell ref="D38:E38"/>
    <mergeCell ref="C34:E34"/>
    <mergeCell ref="P27:P28"/>
    <mergeCell ref="C31:E31"/>
    <mergeCell ref="C29:E29"/>
    <mergeCell ref="E7:G7"/>
    <mergeCell ref="E8:G8"/>
    <mergeCell ref="F10:G10"/>
    <mergeCell ref="E9:G9"/>
    <mergeCell ref="E11:G11"/>
    <mergeCell ref="J10:J12"/>
    <mergeCell ref="K27:K28"/>
    <mergeCell ref="N27:N28"/>
    <mergeCell ref="O27:O28"/>
    <mergeCell ref="A12:C12"/>
    <mergeCell ref="A13:C13"/>
    <mergeCell ref="B15:C15"/>
    <mergeCell ref="A14:C14"/>
    <mergeCell ref="B24:G25"/>
    <mergeCell ref="B22:D22"/>
    <mergeCell ref="A16:C16"/>
    <mergeCell ref="C19:F20"/>
    <mergeCell ref="B19:B20"/>
    <mergeCell ref="A19:A20"/>
    <mergeCell ref="B23:G23"/>
  </mergeCells>
  <pageMargins left="0.7" right="0.7" top="0.75" bottom="0.75" header="0.3" footer="0.3"/>
  <pageSetup paperSize="9" scale="97" orientation="portrait" r:id="rId1"/>
  <headerFooter>
    <oddFooter xml:space="preserve">&amp;C
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 sizeWithCells="1">
                  <from>
                    <xdr:col>10</xdr:col>
                    <xdr:colOff>66675</xdr:colOff>
                    <xdr:row>12</xdr:row>
                    <xdr:rowOff>47625</xdr:rowOff>
                  </from>
                  <to>
                    <xdr:col>14</xdr:col>
                    <xdr:colOff>485775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5" name="Drop Down 7">
              <controlPr defaultSize="0" autoLine="0" autoPict="0">
                <anchor moveWithCells="1">
                  <from>
                    <xdr:col>10</xdr:col>
                    <xdr:colOff>66675</xdr:colOff>
                    <xdr:row>6</xdr:row>
                    <xdr:rowOff>9525</xdr:rowOff>
                  </from>
                  <to>
                    <xdr:col>14</xdr:col>
                    <xdr:colOff>466725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6" name="Drop Down 8">
              <controlPr defaultSize="0" autoLine="0" autoPict="0">
                <anchor moveWithCells="1">
                  <from>
                    <xdr:col>10</xdr:col>
                    <xdr:colOff>66675</xdr:colOff>
                    <xdr:row>9</xdr:row>
                    <xdr:rowOff>9525</xdr:rowOff>
                  </from>
                  <to>
                    <xdr:col>14</xdr:col>
                    <xdr:colOff>466725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7" name="Check Box 9">
              <controlPr defaultSize="0" autoFill="0" autoLine="0" autoPict="0">
                <anchor moveWithCells="1">
                  <from>
                    <xdr:col>9</xdr:col>
                    <xdr:colOff>685800</xdr:colOff>
                    <xdr:row>46</xdr:row>
                    <xdr:rowOff>28575</xdr:rowOff>
                  </from>
                  <to>
                    <xdr:col>12</xdr:col>
                    <xdr:colOff>657225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8" name="Check Box 11">
              <controlPr defaultSize="0" autoFill="0" autoLine="0" autoPict="0">
                <anchor moveWithCells="1" sizeWithCells="1">
                  <from>
                    <xdr:col>9</xdr:col>
                    <xdr:colOff>676275</xdr:colOff>
                    <xdr:row>48</xdr:row>
                    <xdr:rowOff>95250</xdr:rowOff>
                  </from>
                  <to>
                    <xdr:col>12</xdr:col>
                    <xdr:colOff>542925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9" name="Check Box 12">
              <controlPr defaultSize="0" autoFill="0" autoLine="0" autoPict="0">
                <anchor moveWithCells="1" sizeWithCells="1">
                  <from>
                    <xdr:col>9</xdr:col>
                    <xdr:colOff>647700</xdr:colOff>
                    <xdr:row>51</xdr:row>
                    <xdr:rowOff>0</xdr:rowOff>
                  </from>
                  <to>
                    <xdr:col>12</xdr:col>
                    <xdr:colOff>295275</xdr:colOff>
                    <xdr:row>52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LISTES!$C$72:$C$75</xm:f>
          </x14:formula1>
          <xm:sqref>E21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00"/>
  </sheetPr>
  <dimension ref="A1:AD19"/>
  <sheetViews>
    <sheetView workbookViewId="0">
      <selection activeCell="K27" sqref="K27"/>
    </sheetView>
  </sheetViews>
  <sheetFormatPr baseColWidth="10" defaultColWidth="11.42578125" defaultRowHeight="15"/>
  <cols>
    <col min="1" max="1" width="12.5703125" bestFit="1" customWidth="1"/>
    <col min="3" max="3" width="10.7109375" bestFit="1" customWidth="1"/>
    <col min="4" max="4" width="15.7109375" bestFit="1" customWidth="1"/>
    <col min="5" max="6" width="12" bestFit="1" customWidth="1"/>
    <col min="7" max="7" width="12.5703125" bestFit="1" customWidth="1"/>
  </cols>
  <sheetData>
    <row r="1" spans="1:30">
      <c r="A1" s="654" t="s">
        <v>55</v>
      </c>
      <c r="B1" s="654" t="s">
        <v>56</v>
      </c>
      <c r="C1" s="654" t="s">
        <v>57</v>
      </c>
      <c r="D1" s="654" t="s">
        <v>2541</v>
      </c>
      <c r="E1" s="654" t="s">
        <v>2542</v>
      </c>
      <c r="F1" s="654" t="s">
        <v>27</v>
      </c>
      <c r="G1" s="654" t="s">
        <v>58</v>
      </c>
      <c r="H1" s="654" t="s">
        <v>24</v>
      </c>
      <c r="I1" s="654" t="s">
        <v>2371</v>
      </c>
      <c r="J1" s="654" t="s">
        <v>2543</v>
      </c>
      <c r="K1" s="654" t="s">
        <v>2544</v>
      </c>
      <c r="L1" s="654" t="s">
        <v>2545</v>
      </c>
      <c r="M1" s="654" t="s">
        <v>34</v>
      </c>
      <c r="N1" s="654" t="s">
        <v>31</v>
      </c>
      <c r="O1" s="654" t="s">
        <v>29</v>
      </c>
      <c r="P1" s="654" t="s">
        <v>32</v>
      </c>
      <c r="Q1" s="654" t="s">
        <v>38</v>
      </c>
      <c r="R1" s="654" t="s">
        <v>39</v>
      </c>
      <c r="S1" s="654" t="s">
        <v>2546</v>
      </c>
      <c r="T1" s="654" t="s">
        <v>2547</v>
      </c>
      <c r="U1" s="654" t="s">
        <v>2548</v>
      </c>
      <c r="V1" s="654" t="s">
        <v>81</v>
      </c>
      <c r="W1" s="654" t="s">
        <v>82</v>
      </c>
      <c r="X1" s="654" t="s">
        <v>84</v>
      </c>
      <c r="Y1" s="654" t="s">
        <v>85</v>
      </c>
      <c r="Z1" s="654" t="s">
        <v>2549</v>
      </c>
      <c r="AA1" s="654" t="s">
        <v>80</v>
      </c>
      <c r="AB1" s="654" t="s">
        <v>86</v>
      </c>
      <c r="AC1" s="654" t="s">
        <v>25</v>
      </c>
      <c r="AD1" s="654" t="s">
        <v>75</v>
      </c>
    </row>
    <row r="2" spans="1:30">
      <c r="A2" s="654">
        <f>Source!$D$2</f>
        <v>480</v>
      </c>
      <c r="B2" s="655">
        <f>Source!$B$2</f>
        <v>42686</v>
      </c>
      <c r="C2" s="655">
        <f>Source!$C$2</f>
        <v>43050</v>
      </c>
      <c r="D2" s="656">
        <f>Source!$A$2</f>
        <v>42723.378287037034</v>
      </c>
      <c r="E2" s="692">
        <v>42005</v>
      </c>
      <c r="F2" s="691">
        <f>Source!$B$33</f>
        <v>7548.9454565516999</v>
      </c>
      <c r="G2" s="691">
        <f>Source!$B$34</f>
        <v>7938.9032748137997</v>
      </c>
      <c r="H2" s="691">
        <f>Source!$B$31</f>
        <v>301.95781826207002</v>
      </c>
      <c r="I2" s="691">
        <f>Source!$B$32</f>
        <v>64</v>
      </c>
      <c r="J2" s="691" t="str">
        <f>Source!$K$2</f>
        <v>Regularisation</v>
      </c>
      <c r="K2" s="693" t="s">
        <v>27</v>
      </c>
      <c r="L2" s="691">
        <f>Source!$L$2</f>
        <v>2016</v>
      </c>
      <c r="M2" s="693" t="s">
        <v>33</v>
      </c>
      <c r="N2" s="691">
        <f>Source!$O$2</f>
        <v>1093</v>
      </c>
      <c r="O2" s="691">
        <f>Source!$P$2</f>
        <v>55</v>
      </c>
      <c r="P2" s="691">
        <f>Source!$Q$2</f>
        <v>0</v>
      </c>
      <c r="Q2" s="654">
        <f>Source!F35</f>
        <v>730</v>
      </c>
      <c r="R2" s="654">
        <f>Source!G35</f>
        <v>24</v>
      </c>
      <c r="S2" s="654">
        <f>Source!H35</f>
        <v>0</v>
      </c>
      <c r="T2" s="654">
        <f>Source!A35</f>
        <v>2</v>
      </c>
      <c r="U2" s="654">
        <f>Source!A10</f>
        <v>0</v>
      </c>
      <c r="V2" s="654">
        <f>Source!A17</f>
        <v>1000</v>
      </c>
      <c r="W2" s="654">
        <f>Source!C17</f>
        <v>45</v>
      </c>
      <c r="X2" s="654" t="str">
        <f>Source!E17</f>
        <v>L2022479</v>
      </c>
      <c r="Y2" s="654">
        <f>Source!F17</f>
        <v>0</v>
      </c>
      <c r="Z2" s="654">
        <f>Source!G17</f>
        <v>25</v>
      </c>
      <c r="AA2" s="654">
        <f>Source!R17</f>
        <v>2711.53856</v>
      </c>
      <c r="AB2" s="654">
        <f>Source!S17</f>
        <v>2820.0001023999998</v>
      </c>
      <c r="AC2" s="654">
        <f>Source!B26</f>
        <v>1</v>
      </c>
      <c r="AD2" s="654">
        <f>Source!G26</f>
        <v>24</v>
      </c>
    </row>
    <row r="3" spans="1:30">
      <c r="A3" s="654"/>
      <c r="B3" s="654"/>
      <c r="C3" s="654"/>
      <c r="D3" s="654"/>
      <c r="E3" s="654"/>
      <c r="F3" s="654"/>
      <c r="G3" s="654"/>
      <c r="H3" s="654"/>
      <c r="I3" s="654"/>
      <c r="J3" s="654"/>
      <c r="K3" s="654"/>
      <c r="L3" s="654"/>
      <c r="M3" s="654"/>
      <c r="N3" s="654"/>
      <c r="O3" s="654"/>
      <c r="P3" s="654"/>
      <c r="Q3" s="654"/>
      <c r="R3" s="654"/>
      <c r="S3" s="654"/>
      <c r="T3" s="654"/>
      <c r="U3" s="654">
        <f>Source!A11</f>
        <v>0</v>
      </c>
      <c r="V3" s="654">
        <f>Source!A18</f>
        <v>1003</v>
      </c>
      <c r="W3" s="654">
        <f>Source!C18</f>
        <v>11</v>
      </c>
      <c r="X3" s="654">
        <f>Source!E18</f>
        <v>240322</v>
      </c>
      <c r="Y3" s="654">
        <f>Source!F18</f>
        <v>0</v>
      </c>
      <c r="Z3" s="654">
        <f>Source!G18</f>
        <v>27.5</v>
      </c>
      <c r="AA3" s="654">
        <f>Source!R18</f>
        <v>4837.4068965516999</v>
      </c>
      <c r="AB3" s="654">
        <f>Source!S18</f>
        <v>5030.9031724138003</v>
      </c>
      <c r="AC3" s="654">
        <f>Source!B27</f>
        <v>0</v>
      </c>
      <c r="AD3" s="654">
        <f>Source!G27</f>
        <v>0</v>
      </c>
    </row>
    <row r="4" spans="1:30">
      <c r="A4" s="654"/>
      <c r="B4" s="654"/>
      <c r="C4" s="654"/>
      <c r="D4" s="654"/>
      <c r="E4" s="654"/>
      <c r="F4" s="654"/>
      <c r="G4" s="654"/>
      <c r="H4" s="654"/>
      <c r="I4" s="654"/>
      <c r="J4" s="654"/>
      <c r="K4" s="654"/>
      <c r="L4" s="654"/>
      <c r="M4" s="654"/>
      <c r="N4" s="654"/>
      <c r="O4" s="654"/>
      <c r="P4" s="654"/>
      <c r="Q4" s="654"/>
      <c r="R4" s="654"/>
      <c r="S4" s="654"/>
      <c r="T4" s="654"/>
      <c r="U4" s="654">
        <f>Source!A12</f>
        <v>0</v>
      </c>
      <c r="V4" s="654">
        <f>Source!A19</f>
        <v>0</v>
      </c>
      <c r="W4" s="654">
        <f>Source!C19</f>
        <v>0</v>
      </c>
      <c r="X4" s="654">
        <f>Source!E19</f>
        <v>0</v>
      </c>
      <c r="Y4" s="654">
        <f>Source!F19</f>
        <v>0</v>
      </c>
      <c r="Z4" s="654">
        <f>Source!G19</f>
        <v>0</v>
      </c>
      <c r="AA4" s="654">
        <f>Source!R19</f>
        <v>0</v>
      </c>
      <c r="AB4" s="654">
        <f>Source!S19</f>
        <v>0</v>
      </c>
      <c r="AC4" s="654">
        <f>Source!B28</f>
        <v>0</v>
      </c>
      <c r="AD4" s="654">
        <f>Source!G28</f>
        <v>0</v>
      </c>
    </row>
    <row r="5" spans="1:30">
      <c r="A5" s="654"/>
      <c r="B5" s="654"/>
      <c r="C5" s="654"/>
      <c r="D5" s="654"/>
      <c r="E5" s="654"/>
      <c r="F5" s="654"/>
      <c r="G5" s="654"/>
      <c r="H5" s="654"/>
      <c r="I5" s="654"/>
      <c r="J5" s="654"/>
      <c r="K5" s="654"/>
      <c r="L5" s="654"/>
      <c r="M5" s="654"/>
      <c r="N5" s="654"/>
      <c r="O5" s="654"/>
      <c r="P5" s="654"/>
      <c r="Q5" s="654"/>
      <c r="R5" s="654"/>
      <c r="S5" s="654"/>
      <c r="T5" s="654"/>
      <c r="U5" s="654">
        <f>Source!A13</f>
        <v>0</v>
      </c>
      <c r="V5" s="654">
        <f>Source!A20</f>
        <v>0</v>
      </c>
      <c r="W5" s="654">
        <f>Source!C20</f>
        <v>0</v>
      </c>
      <c r="X5" s="654">
        <f>Source!E20</f>
        <v>0</v>
      </c>
      <c r="Y5" s="654">
        <f>Source!F20</f>
        <v>0</v>
      </c>
      <c r="Z5" s="654">
        <f>Source!G20</f>
        <v>0</v>
      </c>
      <c r="AA5" s="654">
        <f>Source!R20</f>
        <v>0</v>
      </c>
      <c r="AB5" s="654">
        <f>Source!S20</f>
        <v>0</v>
      </c>
      <c r="AC5" s="654">
        <f>Source!B29</f>
        <v>0</v>
      </c>
      <c r="AD5" s="654">
        <f>Source!G29</f>
        <v>0</v>
      </c>
    </row>
    <row r="6" spans="1:30">
      <c r="A6" s="654"/>
      <c r="B6" s="654"/>
      <c r="C6" s="654"/>
      <c r="D6" s="654"/>
      <c r="E6" s="654"/>
      <c r="F6" s="654"/>
      <c r="G6" s="654"/>
      <c r="H6" s="654"/>
      <c r="I6" s="654"/>
      <c r="J6" s="654"/>
      <c r="K6" s="654"/>
      <c r="L6" s="654"/>
      <c r="M6" s="654"/>
      <c r="N6" s="654"/>
      <c r="O6" s="654"/>
      <c r="P6" s="654"/>
      <c r="Q6" s="654"/>
      <c r="R6" s="654"/>
      <c r="S6" s="654"/>
      <c r="T6" s="654"/>
      <c r="U6" s="654">
        <f>Source!A14</f>
        <v>0</v>
      </c>
      <c r="V6" s="654">
        <f>Source!A21</f>
        <v>0</v>
      </c>
      <c r="W6" s="654">
        <f>Source!C21</f>
        <v>0</v>
      </c>
      <c r="X6" s="654">
        <f>Source!E21</f>
        <v>0</v>
      </c>
      <c r="Y6" s="654">
        <f>Source!F21</f>
        <v>0</v>
      </c>
      <c r="Z6" s="654">
        <f>Source!G21</f>
        <v>0</v>
      </c>
      <c r="AA6" s="654">
        <f>Source!R21</f>
        <v>0</v>
      </c>
      <c r="AB6" s="654">
        <f>Source!S21</f>
        <v>0</v>
      </c>
      <c r="AC6" s="654">
        <f>Source!B30</f>
        <v>0</v>
      </c>
      <c r="AD6" s="654">
        <f>Source!G30</f>
        <v>0</v>
      </c>
    </row>
    <row r="7" spans="1:30">
      <c r="A7" s="654"/>
      <c r="B7" s="654"/>
      <c r="C7" s="654"/>
      <c r="D7" s="654"/>
      <c r="E7" s="654"/>
      <c r="F7" s="654"/>
      <c r="G7" s="654"/>
      <c r="H7" s="654"/>
      <c r="I7" s="654"/>
      <c r="J7" s="654"/>
      <c r="K7" s="654"/>
      <c r="L7" s="654"/>
      <c r="M7" s="654"/>
      <c r="N7" s="654"/>
      <c r="O7" s="654"/>
      <c r="P7" s="654"/>
      <c r="Q7" s="654"/>
      <c r="R7" s="654"/>
      <c r="S7" s="654"/>
      <c r="T7" s="654"/>
      <c r="U7" s="654">
        <f>Source!A15</f>
        <v>0</v>
      </c>
      <c r="V7" s="654">
        <f>Source!A22</f>
        <v>0</v>
      </c>
      <c r="W7" s="654">
        <f>Source!C22</f>
        <v>0</v>
      </c>
      <c r="X7" s="654">
        <f>Source!E22</f>
        <v>0</v>
      </c>
      <c r="Y7" s="654">
        <f>Source!F22</f>
        <v>0</v>
      </c>
      <c r="Z7" s="654">
        <f>Source!G22</f>
        <v>0</v>
      </c>
      <c r="AA7" s="654">
        <f>Source!R22</f>
        <v>0</v>
      </c>
      <c r="AB7" s="654">
        <f>Source!S22</f>
        <v>0</v>
      </c>
      <c r="AC7" s="654"/>
      <c r="AD7" s="654"/>
    </row>
    <row r="8" spans="1:30">
      <c r="A8" s="654"/>
      <c r="B8" s="654"/>
      <c r="C8" s="654"/>
      <c r="D8" s="654"/>
      <c r="E8" s="654"/>
      <c r="F8" s="654"/>
      <c r="G8" s="654"/>
      <c r="H8" s="654"/>
      <c r="I8" s="654"/>
      <c r="J8" s="654"/>
      <c r="K8" s="654"/>
      <c r="L8" s="654"/>
      <c r="M8" s="654"/>
      <c r="N8" s="654"/>
      <c r="O8" s="654"/>
      <c r="P8" s="654"/>
      <c r="Q8" s="654"/>
      <c r="R8" s="654"/>
      <c r="S8" s="654"/>
      <c r="T8" s="654"/>
      <c r="U8" s="654"/>
      <c r="V8" s="654">
        <f>Source!A23</f>
        <v>0</v>
      </c>
      <c r="W8" s="654">
        <f>Source!C23</f>
        <v>0</v>
      </c>
      <c r="X8" s="654">
        <f>Source!E23</f>
        <v>0</v>
      </c>
      <c r="Y8" s="654">
        <f>Source!F23</f>
        <v>0</v>
      </c>
      <c r="Z8" s="654">
        <f>Source!G23</f>
        <v>0</v>
      </c>
      <c r="AA8" s="654">
        <f>Source!R23</f>
        <v>0</v>
      </c>
      <c r="AB8" s="654">
        <f>Source!S23</f>
        <v>0</v>
      </c>
      <c r="AC8" s="654"/>
      <c r="AD8" s="654"/>
    </row>
    <row r="9" spans="1:30">
      <c r="A9" s="654"/>
      <c r="B9" s="654"/>
      <c r="C9" s="654"/>
      <c r="D9" s="654"/>
      <c r="E9" s="654"/>
      <c r="F9" s="654"/>
      <c r="G9" s="654"/>
      <c r="H9" s="654"/>
      <c r="I9" s="654"/>
      <c r="J9" s="654"/>
      <c r="K9" s="654"/>
      <c r="L9" s="654"/>
      <c r="M9" s="654"/>
      <c r="N9" s="654"/>
      <c r="O9" s="654"/>
      <c r="P9" s="654"/>
      <c r="Q9" s="654"/>
      <c r="R9" s="654"/>
      <c r="S9" s="654"/>
      <c r="T9" s="654"/>
      <c r="U9" s="654"/>
      <c r="V9" s="654">
        <f>Source!A24</f>
        <v>0</v>
      </c>
      <c r="W9" s="654">
        <f>Source!C24</f>
        <v>0</v>
      </c>
      <c r="X9" s="654">
        <f>Source!E24</f>
        <v>0</v>
      </c>
      <c r="Y9" s="654">
        <f>Source!F24</f>
        <v>0</v>
      </c>
      <c r="Z9" s="654">
        <f>Source!G24</f>
        <v>0</v>
      </c>
      <c r="AA9" s="654">
        <f>Source!R24</f>
        <v>0</v>
      </c>
      <c r="AB9" s="654">
        <f>Source!S24</f>
        <v>0</v>
      </c>
      <c r="AC9" s="654"/>
      <c r="AD9" s="654"/>
    </row>
    <row r="10" spans="1:30">
      <c r="A10" s="654"/>
      <c r="B10" s="654"/>
      <c r="C10" s="654"/>
      <c r="D10" s="654"/>
      <c r="E10" s="654"/>
      <c r="F10" s="654"/>
      <c r="G10" s="654"/>
      <c r="H10" s="654"/>
      <c r="I10" s="654"/>
      <c r="J10" s="654"/>
      <c r="K10" s="654"/>
      <c r="L10" s="654"/>
      <c r="M10" s="654"/>
      <c r="N10" s="654"/>
      <c r="O10" s="654"/>
      <c r="P10" s="654"/>
      <c r="Q10" s="654"/>
      <c r="R10" s="654"/>
      <c r="S10" s="654"/>
      <c r="T10" s="654"/>
      <c r="U10" s="654"/>
      <c r="V10" s="654"/>
      <c r="W10" s="654"/>
      <c r="X10" s="654"/>
      <c r="Y10" s="654"/>
      <c r="Z10" s="654"/>
      <c r="AA10" s="654"/>
      <c r="AB10" s="654"/>
      <c r="AC10" s="654"/>
      <c r="AD10" s="654"/>
    </row>
    <row r="11" spans="1:30">
      <c r="A11" s="409"/>
      <c r="B11" s="409"/>
      <c r="C11" s="409"/>
      <c r="D11" s="409"/>
      <c r="E11" s="409"/>
      <c r="F11" s="409"/>
      <c r="G11" s="409"/>
      <c r="H11" s="409"/>
      <c r="I11" s="409"/>
      <c r="J11" s="409"/>
      <c r="K11" s="409"/>
      <c r="L11" s="409"/>
      <c r="M11" s="409"/>
      <c r="N11" s="409"/>
      <c r="O11" s="409"/>
      <c r="P11" s="409"/>
      <c r="Q11" s="409"/>
      <c r="R11" s="409"/>
      <c r="S11" s="409"/>
      <c r="T11" s="409"/>
      <c r="U11" s="409"/>
    </row>
    <row r="12" spans="1:30">
      <c r="A12" s="409"/>
      <c r="B12" s="409"/>
      <c r="C12" s="409"/>
      <c r="D12" s="409"/>
      <c r="E12" s="409"/>
      <c r="F12" s="409"/>
      <c r="G12" s="409"/>
      <c r="H12" s="409"/>
      <c r="I12" s="409"/>
      <c r="J12" s="409"/>
      <c r="K12" s="409"/>
      <c r="L12" s="409"/>
      <c r="M12" s="409"/>
      <c r="N12" s="409"/>
      <c r="O12" s="409"/>
      <c r="P12" s="409"/>
      <c r="Q12" s="409"/>
      <c r="R12" s="409"/>
      <c r="S12" s="409"/>
      <c r="T12" s="409"/>
      <c r="U12" s="409"/>
    </row>
    <row r="13" spans="1:30">
      <c r="A13" s="409"/>
      <c r="B13" s="409"/>
      <c r="C13" s="409"/>
      <c r="D13" s="409"/>
      <c r="E13" s="409"/>
      <c r="F13" s="409"/>
      <c r="G13" s="409"/>
      <c r="H13" s="409"/>
      <c r="I13" s="409"/>
      <c r="J13" s="409"/>
      <c r="K13" s="409"/>
      <c r="L13" s="409"/>
      <c r="M13" s="409"/>
      <c r="N13" s="409"/>
      <c r="O13" s="409"/>
      <c r="P13" s="409"/>
      <c r="Q13" s="409"/>
      <c r="R13" s="409"/>
      <c r="S13" s="409"/>
      <c r="T13" s="409"/>
      <c r="U13" s="409"/>
    </row>
    <row r="14" spans="1:30">
      <c r="A14" s="409"/>
      <c r="B14" s="409"/>
      <c r="C14" s="409"/>
      <c r="D14" s="409"/>
      <c r="E14" s="409"/>
      <c r="F14" s="409"/>
      <c r="G14" s="409"/>
      <c r="H14" s="409"/>
      <c r="I14" s="409"/>
      <c r="J14" s="409"/>
      <c r="K14" s="409"/>
      <c r="L14" s="409"/>
      <c r="M14" s="409"/>
      <c r="N14" s="409"/>
      <c r="O14" s="409"/>
      <c r="P14" s="409"/>
      <c r="Q14" s="409"/>
      <c r="R14" s="409"/>
      <c r="S14" s="409"/>
      <c r="T14" s="409"/>
      <c r="U14" s="409"/>
    </row>
    <row r="15" spans="1:30">
      <c r="A15" s="409"/>
      <c r="B15" s="409"/>
      <c r="C15" s="409"/>
      <c r="D15" s="409"/>
      <c r="E15" s="409"/>
      <c r="F15" s="409"/>
      <c r="G15" s="409"/>
      <c r="H15" s="409"/>
      <c r="I15" s="409"/>
      <c r="J15" s="409"/>
      <c r="K15" s="409"/>
      <c r="L15" s="409"/>
      <c r="M15" s="409"/>
      <c r="N15" s="409"/>
      <c r="O15" s="409"/>
      <c r="P15" s="409"/>
      <c r="Q15" s="409"/>
      <c r="R15" s="409"/>
      <c r="S15" s="409"/>
      <c r="T15" s="409"/>
      <c r="U15" s="409"/>
    </row>
    <row r="16" spans="1:30">
      <c r="A16" s="409"/>
      <c r="B16" s="409"/>
      <c r="C16" s="409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409"/>
      <c r="P16" s="409"/>
      <c r="Q16" s="409"/>
      <c r="R16" s="409"/>
      <c r="S16" s="409"/>
      <c r="T16" s="409"/>
      <c r="U16" s="409"/>
    </row>
    <row r="17" spans="1:21">
      <c r="A17" s="409"/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409"/>
      <c r="P17" s="409"/>
      <c r="Q17" s="409"/>
      <c r="R17" s="409"/>
      <c r="S17" s="409"/>
      <c r="T17" s="409"/>
      <c r="U17" s="409"/>
    </row>
    <row r="18" spans="1:21">
      <c r="A18" s="409"/>
      <c r="B18" s="409"/>
      <c r="C18" s="409"/>
      <c r="D18" s="409"/>
      <c r="E18" s="409"/>
      <c r="F18" s="409"/>
      <c r="G18" s="409"/>
      <c r="H18" s="409"/>
      <c r="I18" s="409"/>
      <c r="J18" s="409"/>
      <c r="K18" s="409"/>
      <c r="L18" s="409"/>
      <c r="M18" s="409"/>
      <c r="N18" s="409"/>
      <c r="O18" s="409"/>
      <c r="P18" s="409"/>
      <c r="Q18" s="409"/>
      <c r="R18" s="409"/>
      <c r="S18" s="409"/>
      <c r="T18" s="409"/>
      <c r="U18" s="409"/>
    </row>
    <row r="19" spans="1:21">
      <c r="A19" s="409"/>
      <c r="B19" s="409"/>
      <c r="C19" s="409"/>
      <c r="D19" s="409"/>
      <c r="E19" s="409"/>
      <c r="F19" s="409"/>
      <c r="G19" s="409"/>
      <c r="H19" s="409"/>
      <c r="I19" s="409"/>
      <c r="J19" s="409"/>
      <c r="K19" s="409"/>
      <c r="L19" s="409"/>
      <c r="M19" s="409"/>
      <c r="N19" s="409"/>
      <c r="O19" s="409"/>
      <c r="P19" s="409"/>
      <c r="Q19" s="409"/>
      <c r="R19" s="409"/>
      <c r="S19" s="409"/>
      <c r="T19" s="409"/>
      <c r="U19" s="409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FFFF00"/>
  </sheetPr>
  <dimension ref="A1:G80"/>
  <sheetViews>
    <sheetView topLeftCell="B1" workbookViewId="0">
      <selection activeCell="E88" sqref="E88"/>
    </sheetView>
  </sheetViews>
  <sheetFormatPr baseColWidth="10" defaultColWidth="11.42578125" defaultRowHeight="15"/>
  <cols>
    <col min="1" max="1" width="18.28515625" style="409" hidden="1" customWidth="1"/>
    <col min="2" max="2" width="46.5703125" customWidth="1"/>
    <col min="3" max="3" width="59.42578125" customWidth="1"/>
    <col min="6" max="6" width="49.5703125" customWidth="1"/>
    <col min="7" max="7" width="38.7109375" customWidth="1"/>
  </cols>
  <sheetData>
    <row r="1" spans="1:6" ht="15" customHeight="1">
      <c r="A1" s="42"/>
      <c r="B1" s="1153" t="s">
        <v>101</v>
      </c>
      <c r="C1" s="43" t="str">
        <f>certificateNB</f>
        <v>12600.1</v>
      </c>
      <c r="F1" t="s">
        <v>102</v>
      </c>
    </row>
    <row r="2" spans="1:6" ht="15" customHeight="1">
      <c r="A2" s="42"/>
      <c r="B2" s="1153" t="s">
        <v>103</v>
      </c>
      <c r="C2" s="44">
        <f ca="1">TODAY()</f>
        <v>42723</v>
      </c>
      <c r="F2" t="s">
        <v>104</v>
      </c>
    </row>
    <row r="3" spans="1:6" ht="15" customHeight="1">
      <c r="A3" s="42" t="s">
        <v>2340</v>
      </c>
      <c r="B3" s="1153" t="s">
        <v>105</v>
      </c>
      <c r="C3" s="43" t="str">
        <f>IF(Admin!B9="","",Admin!B9)</f>
        <v>HUTIANE-TRANSPORTES MARITIMOS, UNIPESSOAL LDA</v>
      </c>
      <c r="F3" t="s">
        <v>106</v>
      </c>
    </row>
    <row r="4" spans="1:6" ht="15" customHeight="1">
      <c r="A4" s="42" t="s">
        <v>2341</v>
      </c>
      <c r="B4" s="1153" t="s">
        <v>107</v>
      </c>
      <c r="C4" s="43" t="str">
        <f>IF(Admin!C9="","",Admin!C9)</f>
        <v>Rua Nova do Pina, N°4B</v>
      </c>
    </row>
    <row r="5" spans="1:6" ht="15" customHeight="1">
      <c r="A5" s="42" t="s">
        <v>2342</v>
      </c>
      <c r="B5" s="1153" t="s">
        <v>108</v>
      </c>
      <c r="C5" s="43" t="str">
        <f>IF(Admin!H9="","",Admin!H9)</f>
        <v>P-9000-067</v>
      </c>
    </row>
    <row r="6" spans="1:6" ht="15" customHeight="1">
      <c r="A6" s="42" t="s">
        <v>2343</v>
      </c>
      <c r="B6" s="1153" t="s">
        <v>109</v>
      </c>
      <c r="C6" s="43" t="str">
        <f>IF(Admin!I9="","",Admin!I9)</f>
        <v>Santa Luzia, Funchal</v>
      </c>
    </row>
    <row r="7" spans="1:6" ht="15" customHeight="1">
      <c r="A7" s="42" t="s">
        <v>2344</v>
      </c>
      <c r="B7" s="1153" t="s">
        <v>110</v>
      </c>
      <c r="C7" s="43" t="str">
        <f>IF(Admin!L9="","",Admin!L9)</f>
        <v>Portugal</v>
      </c>
    </row>
    <row r="8" spans="1:6" ht="15" customHeight="1">
      <c r="A8" s="42" t="s">
        <v>2345</v>
      </c>
      <c r="B8" s="1153" t="s">
        <v>111</v>
      </c>
      <c r="C8" s="513" t="str">
        <f>IF(Admin!B10="","",Admin!B10)</f>
        <v/>
      </c>
    </row>
    <row r="9" spans="1:6" ht="15" customHeight="1">
      <c r="A9" s="42" t="s">
        <v>2346</v>
      </c>
      <c r="B9" s="1153" t="s">
        <v>112</v>
      </c>
      <c r="C9" s="513" t="str">
        <f>IF(Admin!D10="","",Admin!D10)</f>
        <v/>
      </c>
    </row>
    <row r="10" spans="1:6" ht="15" customHeight="1">
      <c r="A10" s="42" t="s">
        <v>2347</v>
      </c>
      <c r="B10" s="1153" t="s">
        <v>113</v>
      </c>
      <c r="C10" s="513" t="str">
        <f>IF(Admin!H10="","",Admin!H10)</f>
        <v/>
      </c>
    </row>
    <row r="11" spans="1:6" ht="15" customHeight="1">
      <c r="A11" s="42" t="s">
        <v>2348</v>
      </c>
      <c r="B11" s="1153" t="s">
        <v>114</v>
      </c>
      <c r="C11" s="513" t="str">
        <f>IF(Admin!J10="","",Admin!J10)</f>
        <v/>
      </c>
    </row>
    <row r="12" spans="1:6" ht="15" customHeight="1">
      <c r="A12" s="42" t="s">
        <v>2349</v>
      </c>
      <c r="B12" s="1153" t="s">
        <v>115</v>
      </c>
      <c r="C12" s="513" t="str">
        <f>IF(Admin!L10="","",Admin!L10)</f>
        <v/>
      </c>
    </row>
    <row r="13" spans="1:6" ht="15" customHeight="1">
      <c r="A13" s="42" t="s">
        <v>2352</v>
      </c>
      <c r="B13" s="1153" t="s">
        <v>116</v>
      </c>
      <c r="C13" s="513" t="str">
        <f>IF(APPORTEURS!D2=0,"",APPORTEURS!D2)</f>
        <v xml:space="preserve">BOATTRUST </v>
      </c>
    </row>
    <row r="14" spans="1:6" ht="15" customHeight="1">
      <c r="A14" s="554" t="s">
        <v>2385</v>
      </c>
      <c r="B14" s="1153" t="s">
        <v>117</v>
      </c>
      <c r="C14" s="513" t="str">
        <f>IF(APPORTEURS!H2=0,"",APPORTEURS!H2)</f>
        <v>Rua Nova do Pina, n.º 4-B</v>
      </c>
    </row>
    <row r="15" spans="1:6" ht="15" customHeight="1">
      <c r="A15" s="554" t="s">
        <v>2386</v>
      </c>
      <c r="B15" s="1153" t="s">
        <v>118</v>
      </c>
      <c r="C15" s="513" t="str">
        <f>IF(APPORTEURS!I2=0,"",APPORTEURS!I2)</f>
        <v xml:space="preserve">P-9000 - 068 </v>
      </c>
    </row>
    <row r="16" spans="1:6" ht="15" customHeight="1">
      <c r="A16" s="554" t="s">
        <v>2387</v>
      </c>
      <c r="B16" s="1153" t="s">
        <v>119</v>
      </c>
      <c r="C16" s="513" t="str">
        <f>IF(APPORTEURS!J2=0,"",APPORTEURS!J2)</f>
        <v>FUNCHAL, MADEIRA</v>
      </c>
    </row>
    <row r="17" spans="1:3" ht="15" customHeight="1">
      <c r="A17" s="554" t="s">
        <v>2388</v>
      </c>
      <c r="B17" s="1153" t="s">
        <v>120</v>
      </c>
      <c r="C17" s="513" t="str">
        <f>IF(APPORTEURS!K2=0,"",APPORTEURS!K2)</f>
        <v>Portugal</v>
      </c>
    </row>
    <row r="18" spans="1:3" ht="15" customHeight="1">
      <c r="A18" s="42" t="s">
        <v>2353</v>
      </c>
      <c r="B18" s="1153" t="s">
        <v>2748</v>
      </c>
      <c r="C18" s="513" t="str">
        <f>IF(APPORTEURS!C1=0,"",APPORTEURS!C1)</f>
        <v>ICS</v>
      </c>
    </row>
    <row r="19" spans="1:3" ht="15" customHeight="1">
      <c r="A19" s="554" t="s">
        <v>2389</v>
      </c>
      <c r="B19" s="1153" t="s">
        <v>121</v>
      </c>
      <c r="C19" s="513" t="str">
        <f>IF(APPORTEURS!H1=0,"",APPORTEURS!H1)</f>
        <v>Centre Mercure -Avenue de la Gare, 41</v>
      </c>
    </row>
    <row r="20" spans="1:3" ht="15" customHeight="1">
      <c r="A20" s="554" t="s">
        <v>2390</v>
      </c>
      <c r="B20" s="1153" t="s">
        <v>122</v>
      </c>
      <c r="C20" s="513" t="str">
        <f>IF(APPORTEURS!I1=0,"",APPORTEURS!I1)</f>
        <v>L-1611</v>
      </c>
    </row>
    <row r="21" spans="1:3" ht="15" customHeight="1">
      <c r="A21" s="554" t="s">
        <v>2391</v>
      </c>
      <c r="B21" s="1153" t="s">
        <v>123</v>
      </c>
      <c r="C21" s="513" t="str">
        <f>IF(APPORTEURS!J1=0,"",APPORTEURS!J1)</f>
        <v>Luxembourg</v>
      </c>
    </row>
    <row r="22" spans="1:3" ht="15" customHeight="1">
      <c r="A22" s="554" t="s">
        <v>2392</v>
      </c>
      <c r="B22" s="1153" t="s">
        <v>124</v>
      </c>
      <c r="C22" s="513" t="str">
        <f>IF(APPORTEURS!K1=0,"",APPORTEURS!K1)</f>
        <v>LUXEMBOURG</v>
      </c>
    </row>
    <row r="23" spans="1:3" ht="15" customHeight="1">
      <c r="A23" s="42"/>
      <c r="B23" s="1153" t="s">
        <v>125</v>
      </c>
      <c r="C23" s="513" t="str">
        <f>Admin!B2</f>
        <v>HUTIANE</v>
      </c>
    </row>
    <row r="24" spans="1:3" ht="15" customHeight="1">
      <c r="A24" s="42"/>
      <c r="B24" s="1153" t="s">
        <v>126</v>
      </c>
      <c r="C24" s="43" t="str">
        <f>IF(Admin!E5="",Admin!D4,"Policy amandment date")</f>
        <v>Policy amandment date</v>
      </c>
    </row>
    <row r="25" spans="1:3" ht="15" customHeight="1">
      <c r="A25" s="42"/>
      <c r="B25" s="1153" t="s">
        <v>127</v>
      </c>
      <c r="C25" s="44">
        <f>IF(Admin!E4="",Admin!E4,MAX(Admin!H17:H24))</f>
        <v>42686</v>
      </c>
    </row>
    <row r="26" spans="1:3" ht="15" customHeight="1">
      <c r="A26" s="42"/>
      <c r="B26" s="1153" t="s">
        <v>128</v>
      </c>
      <c r="C26" s="44" t="str">
        <f>ANRENOUVSHORT&amp;"/"</f>
        <v>11/11/</v>
      </c>
    </row>
    <row r="27" spans="1:3" ht="15" customHeight="1">
      <c r="A27" s="42"/>
      <c r="B27" s="1153" t="s">
        <v>129</v>
      </c>
      <c r="C27" s="43" t="str">
        <f>Admin!D63</f>
        <v>EUR</v>
      </c>
    </row>
    <row r="28" spans="1:3" ht="15" customHeight="1">
      <c r="A28" s="42"/>
      <c r="B28" s="1153" t="s">
        <v>130</v>
      </c>
      <c r="C28" s="1008" t="s">
        <v>2760</v>
      </c>
    </row>
    <row r="29" spans="1:3" ht="15" customHeight="1">
      <c r="A29" s="42"/>
      <c r="B29" s="1153" t="s">
        <v>20</v>
      </c>
      <c r="C29" s="43" t="str">
        <f>Modules!E35&amp;" "&amp;Modules!E64&amp;" "&amp;Modules!E86</f>
        <v>Perfect  Medical Excellent and Homeland</v>
      </c>
    </row>
    <row r="30" spans="1:3" ht="15" customHeight="1">
      <c r="A30" s="42"/>
      <c r="B30" s="1153" t="s">
        <v>131</v>
      </c>
      <c r="C30" s="43" t="str">
        <f>Modules!E41&amp;" "&amp;Modules!E70</f>
        <v xml:space="preserve">L2022479 (All Crew members, except day workers) </v>
      </c>
    </row>
    <row r="31" spans="1:3" ht="15" customHeight="1">
      <c r="A31" s="42"/>
      <c r="B31" s="1153" t="s">
        <v>132</v>
      </c>
      <c r="C31" s="43"/>
    </row>
    <row r="32" spans="1:3" ht="15" customHeight="1">
      <c r="A32" s="42"/>
      <c r="B32" s="1153" t="s">
        <v>133</v>
      </c>
      <c r="C32" s="45" t="s">
        <v>2329</v>
      </c>
    </row>
    <row r="33" spans="1:7" ht="15" customHeight="1">
      <c r="A33" s="42"/>
      <c r="B33" s="1153" t="s">
        <v>134</v>
      </c>
      <c r="C33" s="43" t="str">
        <f>Modules!F41&amp;", "&amp;Modules!F70&amp;", "&amp;Modules!F95</f>
        <v>240322 (All Crew members, except day workers), , 140494 (Day Workers)</v>
      </c>
      <c r="F33" s="45" t="s">
        <v>137</v>
      </c>
      <c r="G33" s="45" t="s">
        <v>2395</v>
      </c>
    </row>
    <row r="34" spans="1:7" ht="15" customHeight="1">
      <c r="A34" s="42"/>
      <c r="B34" s="1153" t="s">
        <v>135</v>
      </c>
      <c r="C34" s="43"/>
      <c r="F34" s="45" t="s">
        <v>140</v>
      </c>
      <c r="G34" s="45" t="s">
        <v>140</v>
      </c>
    </row>
    <row r="35" spans="1:7" ht="15" customHeight="1">
      <c r="A35" s="42"/>
      <c r="B35" s="1153" t="s">
        <v>136</v>
      </c>
      <c r="C35" s="45" t="s">
        <v>2424</v>
      </c>
      <c r="D35" s="1927" t="s">
        <v>138</v>
      </c>
      <c r="F35" s="45" t="s">
        <v>142</v>
      </c>
      <c r="G35" s="45" t="s">
        <v>142</v>
      </c>
    </row>
    <row r="36" spans="1:7" ht="15" customHeight="1">
      <c r="A36" s="42"/>
      <c r="B36" s="1153" t="s">
        <v>139</v>
      </c>
      <c r="C36" s="45" t="s">
        <v>2425</v>
      </c>
      <c r="D36" s="1927"/>
    </row>
    <row r="37" spans="1:7" ht="15" customHeight="1">
      <c r="A37" s="42"/>
      <c r="B37" s="1153" t="s">
        <v>141</v>
      </c>
      <c r="C37" s="45" t="s">
        <v>142</v>
      </c>
      <c r="D37" s="1927"/>
      <c r="F37" s="714"/>
    </row>
    <row r="38" spans="1:7" ht="15" customHeight="1">
      <c r="A38" s="42"/>
      <c r="B38" s="1153" t="s">
        <v>143</v>
      </c>
      <c r="C38" s="1318" t="s">
        <v>151</v>
      </c>
      <c r="D38" s="1927"/>
      <c r="F38" s="46" t="s">
        <v>145</v>
      </c>
      <c r="G38" s="702" t="s">
        <v>144</v>
      </c>
    </row>
    <row r="39" spans="1:7" ht="15" customHeight="1">
      <c r="A39" s="42"/>
      <c r="B39" s="1153" t="s">
        <v>146</v>
      </c>
      <c r="C39" s="1318" t="s">
        <v>151</v>
      </c>
      <c r="D39" s="1927"/>
      <c r="F39" s="46" t="s">
        <v>145</v>
      </c>
      <c r="G39" s="702" t="s">
        <v>144</v>
      </c>
    </row>
    <row r="40" spans="1:7" ht="15" customHeight="1">
      <c r="A40" s="42"/>
      <c r="B40" s="1153" t="s">
        <v>147</v>
      </c>
      <c r="C40" s="702">
        <v>50000</v>
      </c>
      <c r="D40" s="1927"/>
      <c r="F40" s="702">
        <v>50000</v>
      </c>
      <c r="G40" s="702">
        <v>50000</v>
      </c>
    </row>
    <row r="41" spans="1:7" ht="15" customHeight="1">
      <c r="A41" s="42"/>
      <c r="B41" s="1153" t="s">
        <v>148</v>
      </c>
      <c r="C41" s="1318" t="s">
        <v>151</v>
      </c>
      <c r="D41" s="1927"/>
      <c r="F41" s="702" t="s">
        <v>145</v>
      </c>
      <c r="G41" s="702" t="s">
        <v>144</v>
      </c>
    </row>
    <row r="42" spans="1:7" ht="15" customHeight="1">
      <c r="A42" s="42"/>
      <c r="B42" s="1153" t="s">
        <v>149</v>
      </c>
      <c r="C42" s="1318" t="s">
        <v>151</v>
      </c>
      <c r="D42" s="1927"/>
      <c r="F42" s="702" t="s">
        <v>145</v>
      </c>
      <c r="G42" s="702" t="s">
        <v>144</v>
      </c>
    </row>
    <row r="43" spans="1:7" ht="15" customHeight="1">
      <c r="A43" s="42"/>
      <c r="B43" s="1153" t="s">
        <v>150</v>
      </c>
      <c r="C43" s="732" t="s">
        <v>151</v>
      </c>
      <c r="D43" s="1927"/>
      <c r="F43" s="732" t="s">
        <v>151</v>
      </c>
      <c r="G43" s="732" t="s">
        <v>151</v>
      </c>
    </row>
    <row r="44" spans="1:7" ht="15" customHeight="1">
      <c r="A44" s="42"/>
      <c r="B44" s="1153" t="s">
        <v>152</v>
      </c>
      <c r="C44" s="1008" t="s">
        <v>153</v>
      </c>
      <c r="D44" s="1927"/>
    </row>
    <row r="45" spans="1:7" ht="15" customHeight="1">
      <c r="A45" s="42"/>
      <c r="B45" s="1153" t="s">
        <v>154</v>
      </c>
      <c r="C45" s="45" t="s">
        <v>2329</v>
      </c>
      <c r="D45" s="1927"/>
    </row>
    <row r="46" spans="1:7" ht="15" customHeight="1">
      <c r="A46" s="42"/>
      <c r="B46" s="1153" t="s">
        <v>155</v>
      </c>
      <c r="C46" s="43" t="str">
        <f>Modules!F41&amp;", "&amp;Modules!F70&amp;", "&amp;Modules!F95</f>
        <v>240322 (All Crew members, except day workers), , 140494 (Day Workers)</v>
      </c>
    </row>
    <row r="47" spans="1:7" ht="15" customHeight="1">
      <c r="A47" s="42"/>
      <c r="B47" s="1153" t="s">
        <v>156</v>
      </c>
      <c r="C47" s="43"/>
    </row>
    <row r="48" spans="1:7" ht="15" customHeight="1">
      <c r="A48" s="42"/>
      <c r="B48" s="1153" t="s">
        <v>157</v>
      </c>
      <c r="C48" s="45" t="s">
        <v>2424</v>
      </c>
      <c r="D48" s="1927" t="s">
        <v>138</v>
      </c>
    </row>
    <row r="49" spans="1:6" ht="15" customHeight="1">
      <c r="A49" s="42"/>
      <c r="B49" s="1153" t="s">
        <v>158</v>
      </c>
      <c r="C49" s="45" t="s">
        <v>2425</v>
      </c>
      <c r="D49" s="1927"/>
    </row>
    <row r="50" spans="1:6" ht="15" customHeight="1">
      <c r="A50" s="42"/>
      <c r="B50" s="1153" t="s">
        <v>159</v>
      </c>
      <c r="C50" s="45" t="s">
        <v>142</v>
      </c>
      <c r="D50" s="1927"/>
      <c r="F50" s="1079"/>
    </row>
    <row r="51" spans="1:6" ht="15" customHeight="1">
      <c r="A51" s="42"/>
      <c r="B51" s="1153" t="s">
        <v>160</v>
      </c>
      <c r="C51" s="1318" t="s">
        <v>151</v>
      </c>
      <c r="D51" s="1927"/>
      <c r="F51" s="1079"/>
    </row>
    <row r="52" spans="1:6" ht="15" customHeight="1">
      <c r="A52" s="42"/>
      <c r="B52" s="1153" t="s">
        <v>161</v>
      </c>
      <c r="C52" s="1318" t="s">
        <v>151</v>
      </c>
      <c r="D52" s="1927"/>
      <c r="F52" s="1079"/>
    </row>
    <row r="53" spans="1:6" ht="15" customHeight="1">
      <c r="A53" s="42"/>
      <c r="B53" s="1153" t="s">
        <v>162</v>
      </c>
      <c r="C53" s="1318">
        <v>50000</v>
      </c>
      <c r="D53" s="1927"/>
    </row>
    <row r="54" spans="1:6" ht="15" customHeight="1">
      <c r="A54" s="42"/>
      <c r="B54" s="1153" t="s">
        <v>163</v>
      </c>
      <c r="C54" s="1318" t="s">
        <v>151</v>
      </c>
      <c r="D54" s="1927"/>
    </row>
    <row r="55" spans="1:6" ht="15" customHeight="1">
      <c r="A55" s="42"/>
      <c r="B55" s="1153" t="s">
        <v>164</v>
      </c>
      <c r="C55" s="1318" t="s">
        <v>151</v>
      </c>
      <c r="D55" s="1927"/>
    </row>
    <row r="56" spans="1:6" ht="15" customHeight="1">
      <c r="A56" s="42"/>
      <c r="B56" s="1153" t="s">
        <v>165</v>
      </c>
      <c r="C56" s="732" t="s">
        <v>151</v>
      </c>
      <c r="D56" s="1927"/>
    </row>
    <row r="57" spans="1:6" ht="15" customHeight="1">
      <c r="A57" s="42"/>
      <c r="B57" s="1153" t="s">
        <v>166</v>
      </c>
      <c r="C57" s="45" t="s">
        <v>153</v>
      </c>
      <c r="D57" s="1927"/>
      <c r="F57" s="47" t="s">
        <v>167</v>
      </c>
    </row>
    <row r="58" spans="1:6" ht="15" customHeight="1">
      <c r="A58" s="42"/>
      <c r="B58" s="1153" t="s">
        <v>168</v>
      </c>
      <c r="C58" s="45" t="s">
        <v>2329</v>
      </c>
      <c r="D58" s="1927"/>
      <c r="F58" s="48" t="str">
        <f>IF(NAMES!$E$32="TTD",Admin!$A$69&amp;" ("&amp;NAMES!$M$32&amp;")","NOT COVERED")</f>
        <v>NOT COVERED</v>
      </c>
    </row>
    <row r="59" spans="1:6" ht="15" customHeight="1">
      <c r="A59" s="42"/>
      <c r="B59" s="1153" t="s">
        <v>169</v>
      </c>
      <c r="C59" s="43" t="str">
        <f>Modules!F41&amp;" "&amp;Modules!F70</f>
        <v xml:space="preserve">240322 (All Crew members, except day workers) </v>
      </c>
      <c r="F59" s="48" t="str">
        <f>IF(NAMES!$E$33="TTD",Admin!$A$95&amp;" ("&amp;NAMES!$M$33&amp;")","")</f>
        <v/>
      </c>
    </row>
    <row r="60" spans="1:6" ht="15" customHeight="1">
      <c r="A60" s="42"/>
      <c r="B60" s="1153" t="s">
        <v>170</v>
      </c>
      <c r="C60" s="43"/>
      <c r="F60" s="48" t="e">
        <f>IF(NAMES!#REF!="TTD",Admin!#REF!&amp;" ("&amp;NAMES!#REF!&amp;")","NOT COVERED")</f>
        <v>#REF!</v>
      </c>
    </row>
    <row r="61" spans="1:6" ht="15" customHeight="1">
      <c r="A61" s="42"/>
      <c r="B61" s="1153" t="s">
        <v>171</v>
      </c>
      <c r="C61" s="45" t="s">
        <v>2424</v>
      </c>
      <c r="F61" s="48" t="e">
        <f>IF(F60="NOT COVERED",F58&amp;" "&amp;F59,F58&amp;" "&amp;F59)</f>
        <v>#REF!</v>
      </c>
    </row>
    <row r="62" spans="1:6" ht="15" customHeight="1">
      <c r="A62" s="42"/>
      <c r="B62" s="1153" t="s">
        <v>172</v>
      </c>
      <c r="C62" s="45" t="s">
        <v>2425</v>
      </c>
    </row>
    <row r="63" spans="1:6" ht="15" customHeight="1">
      <c r="A63" s="42"/>
      <c r="B63" s="1153" t="s">
        <v>173</v>
      </c>
      <c r="C63" s="45" t="s">
        <v>142</v>
      </c>
      <c r="F63" s="46" t="s">
        <v>174</v>
      </c>
    </row>
    <row r="64" spans="1:6" ht="15" customHeight="1">
      <c r="A64" s="42"/>
      <c r="B64" s="1153" t="s">
        <v>175</v>
      </c>
      <c r="C64" s="1318" t="s">
        <v>151</v>
      </c>
      <c r="F64" s="46" t="s">
        <v>174</v>
      </c>
    </row>
    <row r="65" spans="1:3" ht="15" customHeight="1">
      <c r="A65" s="42"/>
      <c r="B65" s="1153" t="s">
        <v>176</v>
      </c>
      <c r="C65" s="1318" t="s">
        <v>151</v>
      </c>
    </row>
    <row r="66" spans="1:3" ht="15" customHeight="1">
      <c r="A66" s="42"/>
      <c r="B66" s="1153" t="s">
        <v>177</v>
      </c>
      <c r="C66" s="1008" t="s">
        <v>151</v>
      </c>
    </row>
    <row r="67" spans="1:3" ht="15" customHeight="1">
      <c r="A67" s="42"/>
      <c r="B67" s="1153" t="s">
        <v>178</v>
      </c>
      <c r="C67" s="1317" t="s">
        <v>2832</v>
      </c>
    </row>
    <row r="68" spans="1:3" ht="15" customHeight="1">
      <c r="A68" s="42"/>
      <c r="B68" s="1153" t="s">
        <v>179</v>
      </c>
      <c r="C68" s="44">
        <f>Admin!E4</f>
        <v>41955</v>
      </c>
    </row>
    <row r="69" spans="1:3" s="1079" customFormat="1" ht="15" customHeight="1">
      <c r="A69" s="1156"/>
      <c r="B69" s="1153" t="s">
        <v>2761</v>
      </c>
      <c r="C69" s="44" t="str">
        <f>IF(Admin!E3="","",Admin!E3&amp;"-"&amp;Admin!B2&amp;"-"&amp;YEAR(C2))</f>
        <v/>
      </c>
    </row>
    <row r="70" spans="1:3" ht="15" customHeight="1">
      <c r="B70" s="1154" t="s">
        <v>2749</v>
      </c>
      <c r="C70" s="1155">
        <f>IF(Admin!N64=0,"",Admin!N64)</f>
        <v>2884</v>
      </c>
    </row>
    <row r="71" spans="1:3" ht="15" customHeight="1">
      <c r="B71" s="1154" t="s">
        <v>2750</v>
      </c>
      <c r="C71" s="1155" t="str">
        <f>IF(Admin!N89=0,"",Admin!N89)</f>
        <v/>
      </c>
    </row>
    <row r="72" spans="1:3" ht="15" customHeight="1">
      <c r="B72" s="1154" t="s">
        <v>2751</v>
      </c>
      <c r="C72" s="1155" t="str">
        <f>IF(Admin!N115=0,"",Admin!N115)</f>
        <v/>
      </c>
    </row>
    <row r="73" spans="1:3" ht="15" customHeight="1">
      <c r="B73" s="1154" t="s">
        <v>2752</v>
      </c>
      <c r="C73" s="1155" t="str">
        <f>IF(Admin!N46=0,"",Admin!N46)</f>
        <v/>
      </c>
    </row>
    <row r="74" spans="1:3" ht="15" customHeight="1">
      <c r="B74" s="1154" t="s">
        <v>2753</v>
      </c>
      <c r="C74" s="1155" t="str">
        <f>IF(Admin!N50=0,"",Admin!N50)</f>
        <v/>
      </c>
    </row>
    <row r="75" spans="1:3" ht="15" customHeight="1">
      <c r="B75" s="1154" t="s">
        <v>2754</v>
      </c>
      <c r="C75" s="1155">
        <f>IF(Admin!N73=0,"",Admin!N73)</f>
        <v>3988.780137931034</v>
      </c>
    </row>
    <row r="76" spans="1:3" ht="16.5">
      <c r="B76" s="1154" t="s">
        <v>2755</v>
      </c>
      <c r="C76" s="1155" t="str">
        <f>IF(Admin!N99=0,"",Admin!N99)</f>
        <v/>
      </c>
    </row>
    <row r="77" spans="1:3" ht="16.5">
      <c r="B77" s="1154" t="s">
        <v>2756</v>
      </c>
      <c r="C77" s="1155" t="str">
        <f>IF(Admin!N125=0,"",Admin!N125)</f>
        <v/>
      </c>
    </row>
    <row r="78" spans="1:3" ht="16.5">
      <c r="B78" s="1154" t="s">
        <v>2757</v>
      </c>
      <c r="C78" s="1155">
        <f>IF(Admin!N77=0,"",Admin!N77)</f>
        <v>3036.5131034482765</v>
      </c>
    </row>
    <row r="79" spans="1:3" ht="16.5">
      <c r="B79" s="1154" t="s">
        <v>2758</v>
      </c>
      <c r="C79" s="1155" t="str">
        <f>IF(Admin!N103=0,"",Admin!N103)</f>
        <v/>
      </c>
    </row>
    <row r="80" spans="1:3" ht="16.5">
      <c r="B80" s="1154" t="s">
        <v>2759</v>
      </c>
      <c r="C80" s="1155" t="str">
        <f>IF(Admin!N129=0,"",Admin!N129)</f>
        <v/>
      </c>
    </row>
  </sheetData>
  <mergeCells count="2">
    <mergeCell ref="D35:D45"/>
    <mergeCell ref="D48:D58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7" tint="0.59999389629810485"/>
  </sheetPr>
  <dimension ref="A1:Z112"/>
  <sheetViews>
    <sheetView topLeftCell="B43" workbookViewId="0">
      <selection activeCell="J56" sqref="J56"/>
    </sheetView>
  </sheetViews>
  <sheetFormatPr baseColWidth="10" defaultColWidth="11.42578125" defaultRowHeight="15"/>
  <cols>
    <col min="4" max="4" width="23.5703125" customWidth="1"/>
    <col min="5" max="5" width="23.5703125" style="1159" customWidth="1"/>
    <col min="6" max="6" width="31" customWidth="1"/>
    <col min="7" max="7" width="28.140625" customWidth="1"/>
    <col min="8" max="8" width="25.140625" customWidth="1"/>
    <col min="9" max="9" width="27.140625" customWidth="1"/>
    <col min="10" max="10" width="38" customWidth="1"/>
    <col min="11" max="11" width="38.28515625" style="1079" customWidth="1"/>
    <col min="12" max="12" width="20.85546875" style="1079" customWidth="1"/>
    <col min="13" max="13" width="28.7109375" customWidth="1"/>
    <col min="14" max="14" width="23.28515625" customWidth="1"/>
    <col min="15" max="15" width="12.28515625" customWidth="1"/>
    <col min="21" max="21" width="18.140625" customWidth="1"/>
    <col min="22" max="22" width="26.28515625" customWidth="1"/>
    <col min="23" max="23" width="33.28515625" customWidth="1"/>
    <col min="24" max="24" width="43.140625" customWidth="1"/>
    <col min="25" max="25" width="10.85546875" customWidth="1"/>
    <col min="26" max="26" width="18.28515625" style="714" customWidth="1"/>
    <col min="28" max="28" width="16" customWidth="1"/>
    <col min="29" max="29" width="26.140625" customWidth="1"/>
    <col min="30" max="30" width="29" customWidth="1"/>
    <col min="31" max="31" width="33.5703125" customWidth="1"/>
    <col min="32" max="32" width="41.140625" customWidth="1"/>
  </cols>
  <sheetData>
    <row r="1" spans="1:14">
      <c r="B1" s="214"/>
      <c r="C1" s="214"/>
      <c r="D1" s="214"/>
      <c r="E1" s="214"/>
      <c r="F1" s="214"/>
      <c r="G1" s="214"/>
      <c r="H1" s="214"/>
      <c r="I1" s="207" t="s">
        <v>2109</v>
      </c>
      <c r="J1" s="218"/>
      <c r="K1" s="218"/>
      <c r="L1" s="218"/>
      <c r="M1" s="218"/>
      <c r="N1" s="176"/>
    </row>
    <row r="2" spans="1:14">
      <c r="A2" t="s">
        <v>2114</v>
      </c>
      <c r="B2" s="201" t="s">
        <v>2702</v>
      </c>
      <c r="C2" s="201" t="s">
        <v>2701</v>
      </c>
      <c r="D2" s="215" t="s">
        <v>2112</v>
      </c>
      <c r="E2" s="215"/>
      <c r="F2" s="212"/>
      <c r="G2" s="201"/>
      <c r="H2" s="201"/>
      <c r="I2" s="208" t="s">
        <v>2110</v>
      </c>
      <c r="J2" s="219"/>
      <c r="K2" s="1066"/>
      <c r="L2" s="1134"/>
      <c r="M2" s="1927" t="s">
        <v>2111</v>
      </c>
      <c r="N2" s="1937"/>
    </row>
    <row r="3" spans="1:14" s="1159" customFormat="1">
      <c r="D3" s="1233" t="s">
        <v>2823</v>
      </c>
      <c r="E3" s="1233" t="s">
        <v>2830</v>
      </c>
      <c r="F3" s="1233" t="s">
        <v>2697</v>
      </c>
      <c r="G3" s="1233" t="s">
        <v>2781</v>
      </c>
      <c r="H3" s="1233" t="s">
        <v>2785</v>
      </c>
      <c r="I3" s="1233" t="s">
        <v>2786</v>
      </c>
      <c r="J3" s="1233" t="s">
        <v>2787</v>
      </c>
      <c r="K3" s="1233" t="s">
        <v>2788</v>
      </c>
    </row>
    <row r="4" spans="1:14" s="1159" customFormat="1">
      <c r="D4" s="1297" t="s">
        <v>2712</v>
      </c>
      <c r="E4" s="1159" t="str">
        <f>lig0_POL_Legal</f>
        <v/>
      </c>
      <c r="F4" s="1159" t="str">
        <f>lig0_POL_RC</f>
        <v/>
      </c>
    </row>
    <row r="5" spans="1:14" s="1159" customFormat="1">
      <c r="D5" s="1297" t="s">
        <v>34</v>
      </c>
    </row>
    <row r="6" spans="1:14" s="1159" customFormat="1">
      <c r="D6" s="1297" t="s">
        <v>20</v>
      </c>
    </row>
    <row r="7" spans="1:14" s="1159" customFormat="1">
      <c r="D7" s="1298" t="s">
        <v>2824</v>
      </c>
      <c r="E7" s="1159" t="str">
        <f>lig0_Persons</f>
        <v>All Crew members, except day workers</v>
      </c>
      <c r="F7" s="1159" t="str">
        <f>lig0_Persons</f>
        <v>All Crew members, except day workers</v>
      </c>
    </row>
    <row r="8" spans="1:14" s="1159" customFormat="1">
      <c r="D8" s="1297" t="s">
        <v>2777</v>
      </c>
      <c r="E8" s="1159" t="str">
        <f>IF(E4="","","Legal assistance for "&amp;E7)</f>
        <v/>
      </c>
      <c r="F8" s="1159" t="str">
        <f>IF(F4="","","Third Party liability for "&amp;F7)</f>
        <v/>
      </c>
    </row>
    <row r="9" spans="1:14" s="1159" customFormat="1">
      <c r="D9" s="1297" t="s">
        <v>2817</v>
      </c>
      <c r="E9" s="1159" t="str">
        <f>IF(E4="","",E4&amp;" ("&amp;E7&amp;")")</f>
        <v/>
      </c>
      <c r="F9" s="1159" t="str">
        <f>IF(F4="","",F4&amp;" ("&amp;F7&amp;")")</f>
        <v/>
      </c>
    </row>
    <row r="10" spans="1:14" s="1159" customFormat="1"/>
    <row r="11" spans="1:14" s="1428" customFormat="1"/>
    <row r="12" spans="1:14" s="1428" customFormat="1"/>
    <row r="13" spans="1:14" s="1428" customFormat="1"/>
    <row r="14" spans="1:14" s="1428" customFormat="1"/>
    <row r="15" spans="1:14" s="1428" customFormat="1"/>
    <row r="16" spans="1:14" s="1428" customFormat="1"/>
    <row r="17" spans="1:12" s="1428" customFormat="1"/>
    <row r="19" spans="1:12" s="1159" customFormat="1">
      <c r="A19" s="1233" t="s">
        <v>2114</v>
      </c>
    </row>
    <row r="20" spans="1:12">
      <c r="A20" s="1233"/>
      <c r="D20" s="1233" t="s">
        <v>2818</v>
      </c>
      <c r="E20" s="1233" t="s">
        <v>2006</v>
      </c>
      <c r="F20" s="1233" t="s">
        <v>2780</v>
      </c>
      <c r="G20" s="1233" t="s">
        <v>2781</v>
      </c>
      <c r="H20" s="1233" t="s">
        <v>2785</v>
      </c>
      <c r="I20" s="1233" t="s">
        <v>2786</v>
      </c>
      <c r="J20" s="1233" t="s">
        <v>2787</v>
      </c>
      <c r="K20" s="1233" t="s">
        <v>2788</v>
      </c>
      <c r="L20" s="1233" t="s">
        <v>2169</v>
      </c>
    </row>
    <row r="21" spans="1:12" s="1159" customFormat="1">
      <c r="A21" s="1233"/>
      <c r="D21" s="1297" t="s">
        <v>2712</v>
      </c>
      <c r="E21" s="1294" t="str">
        <f>lig1_POL_MED</f>
        <v>L2022479</v>
      </c>
      <c r="F21" s="698">
        <f>lig1_POL_PREVOY</f>
        <v>240322</v>
      </c>
      <c r="G21" s="1241">
        <f t="shared" ref="G21:I24" si="0">F21</f>
        <v>240322</v>
      </c>
      <c r="H21" s="1241">
        <f t="shared" si="0"/>
        <v>240322</v>
      </c>
      <c r="I21" s="1241">
        <f t="shared" si="0"/>
        <v>240322</v>
      </c>
      <c r="J21" s="1241">
        <f t="shared" ref="J21:J23" si="1">I21</f>
        <v>240322</v>
      </c>
      <c r="K21" s="1242">
        <f t="shared" ref="K21:K23" si="2">J21</f>
        <v>240322</v>
      </c>
    </row>
    <row r="22" spans="1:12" s="1428" customFormat="1">
      <c r="A22" s="1233"/>
      <c r="D22" s="1430" t="s">
        <v>2831</v>
      </c>
      <c r="E22" s="1231"/>
      <c r="F22" s="1429" t="str">
        <f>IF(Admin!B69="N/A","",Admin!B69)</f>
        <v>2016EURAnker Verzekeringen n.v.-Death Accident</v>
      </c>
      <c r="G22" s="1243" t="str">
        <f>IF(Admin!B70="N/A","",Admin!B70)</f>
        <v>2016EURAnker Verzekeringen n.v.-Death illness</v>
      </c>
      <c r="H22" s="1243" t="str">
        <f>IF(Admin!B71="N/A","",Admin!B71)</f>
        <v>2016EURAnker Verzekeringen n.v.-Permanent Disability Accident</v>
      </c>
      <c r="I22" s="1243" t="str">
        <f>IF(Admin!B72="N/A","",Admin!B72)</f>
        <v>2016EURAnker Verzekeringen n.v.-Permanent Disability illness</v>
      </c>
      <c r="J22" s="1243" t="str">
        <f>IF(Admin!B75="N/A","",Admin!B75)</f>
        <v>2016EURAnker Verzekeringen n.v.-Temporary Disability Accident (100%/7/365D)</v>
      </c>
      <c r="K22" s="1244" t="str">
        <f>IF(Admin!B76="N/A","",Admin!B76)</f>
        <v>2016EURAnker Verzekeringen n.v.-Temporary Disability illness (100%/7/365D)</v>
      </c>
    </row>
    <row r="23" spans="1:12" s="1159" customFormat="1">
      <c r="A23" s="1233"/>
      <c r="D23" s="1297" t="s">
        <v>34</v>
      </c>
      <c r="E23" s="1295" t="str">
        <f>Admin!D63</f>
        <v>EUR</v>
      </c>
      <c r="F23" s="431" t="str">
        <f>Admin!D69</f>
        <v>EUR</v>
      </c>
      <c r="G23" s="1243" t="str">
        <f t="shared" si="0"/>
        <v>EUR</v>
      </c>
      <c r="H23" s="1243" t="str">
        <f t="shared" si="0"/>
        <v>EUR</v>
      </c>
      <c r="I23" s="1243" t="str">
        <f t="shared" si="0"/>
        <v>EUR</v>
      </c>
      <c r="J23" s="1243" t="str">
        <f t="shared" si="1"/>
        <v>EUR</v>
      </c>
      <c r="K23" s="1244" t="str">
        <f t="shared" si="2"/>
        <v>EUR</v>
      </c>
    </row>
    <row r="24" spans="1:12">
      <c r="D24" s="1297" t="s">
        <v>2416</v>
      </c>
      <c r="E24" s="1294"/>
      <c r="F24" s="193" t="str">
        <f>IF(lig1_POL_PREVOY="","",Admin!D72)</f>
        <v>PROP</v>
      </c>
      <c r="G24" s="1243" t="str">
        <f t="shared" si="0"/>
        <v>PROP</v>
      </c>
      <c r="H24" s="1243" t="str">
        <f t="shared" si="0"/>
        <v>PROP</v>
      </c>
      <c r="I24" s="1243" t="str">
        <f t="shared" si="0"/>
        <v>PROP</v>
      </c>
      <c r="J24" s="1245" t="str">
        <f>IF(Admin!$D$76=0,"","PROP")</f>
        <v>PROP</v>
      </c>
      <c r="K24" s="1246" t="str">
        <f>IF(Admin!$D$76=0,"","PROP")</f>
        <v>PROP</v>
      </c>
    </row>
    <row r="25" spans="1:12" s="1159" customFormat="1">
      <c r="D25" s="1297" t="s">
        <v>2783</v>
      </c>
      <c r="E25" s="1294"/>
      <c r="F25" s="193" t="str">
        <f>IF(Admin!E69=0,"",Admin!E69)</f>
        <v/>
      </c>
      <c r="G25" s="193" t="str">
        <f>IF(Admin!E70=0,"",Admin!E70)</f>
        <v/>
      </c>
      <c r="H25" s="193" t="str">
        <f>IF(Admin!E71=0,"",Admin!E71)</f>
        <v/>
      </c>
      <c r="I25" s="193" t="str">
        <f>IF(Admin!E72=0,"",Admin!E72)</f>
        <v/>
      </c>
      <c r="J25" s="193">
        <f>IF(Admin!B75="N/A","",IF(Admin!E75=0,"",Admin!E75))</f>
        <v>120000</v>
      </c>
      <c r="K25" s="1247">
        <f>IF(Admin!B76="N/A","",IF(Admin!E76=0,"",Admin!E76))</f>
        <v>120000</v>
      </c>
    </row>
    <row r="26" spans="1:12" s="1159" customFormat="1">
      <c r="D26" s="1297" t="s">
        <v>2784</v>
      </c>
      <c r="E26" s="1294"/>
      <c r="F26" s="193">
        <f>IF(F22="","",IF(Admin!F69=0,"",Admin!F69*100))</f>
        <v>300</v>
      </c>
      <c r="G26" s="193">
        <f>IF(G22="","",IF(Admin!F70=0,"",Admin!F70*100))</f>
        <v>300</v>
      </c>
      <c r="H26" s="193">
        <f>IF(H22="","",IF(Admin!F71=0,"",Admin!F71*100))</f>
        <v>300</v>
      </c>
      <c r="I26" s="193">
        <f>IF(I22="","",IF(Admin!F72=0,"",Admin!F72*100))</f>
        <v>300</v>
      </c>
      <c r="J26" s="193">
        <f>IF(J22="","",IF(Admin!F75=0,"",Admin!F75*100))</f>
        <v>100</v>
      </c>
      <c r="K26" s="1247">
        <f>IF(K22="","",IF(Admin!F76=0,"",Admin!F76*100))</f>
        <v>100</v>
      </c>
    </row>
    <row r="27" spans="1:12" s="1159" customFormat="1">
      <c r="D27" s="1297" t="s">
        <v>2782</v>
      </c>
      <c r="E27" s="1294"/>
      <c r="F27" s="193" t="str">
        <f t="shared" ref="F27:K27" si="3">IF(F22="","",IF(F24="PROP",F26&amp;"%",F25))</f>
        <v>300%</v>
      </c>
      <c r="G27" s="193" t="str">
        <f t="shared" si="3"/>
        <v>300%</v>
      </c>
      <c r="H27" s="193" t="str">
        <f t="shared" si="3"/>
        <v>300%</v>
      </c>
      <c r="I27" s="193" t="str">
        <f t="shared" si="3"/>
        <v>300%</v>
      </c>
      <c r="J27" s="193" t="str">
        <f t="shared" si="3"/>
        <v>100%</v>
      </c>
      <c r="K27" s="1432" t="str">
        <f t="shared" si="3"/>
        <v>100%</v>
      </c>
    </row>
    <row r="28" spans="1:12">
      <c r="D28" s="1297" t="s">
        <v>2782</v>
      </c>
      <c r="E28" s="1294"/>
      <c r="F28" s="1245" t="str">
        <f t="shared" ref="F28:K28" si="4">IF(F22="","",IF(F24="PROP",F26&amp;"% annual salary ",F25))</f>
        <v xml:space="preserve">300% annual salary </v>
      </c>
      <c r="G28" s="1245" t="str">
        <f t="shared" si="4"/>
        <v xml:space="preserve">300% annual salary </v>
      </c>
      <c r="H28" s="1245" t="str">
        <f t="shared" si="4"/>
        <v xml:space="preserve">300% annual salary </v>
      </c>
      <c r="I28" s="1245" t="str">
        <f t="shared" si="4"/>
        <v xml:space="preserve">300% annual salary </v>
      </c>
      <c r="J28" s="1245" t="str">
        <f t="shared" si="4"/>
        <v xml:space="preserve">100% annual salary </v>
      </c>
      <c r="K28" s="1245" t="str">
        <f t="shared" si="4"/>
        <v xml:space="preserve">100% annual salary </v>
      </c>
    </row>
    <row r="29" spans="1:12" s="1428" customFormat="1">
      <c r="D29" s="1231" t="s">
        <v>2869</v>
      </c>
      <c r="E29" s="1231"/>
      <c r="F29" s="1938" t="str">
        <f>IF(G28="",F28,IF(F28=G28,F28,FALSE))</f>
        <v xml:space="preserve">300% annual salary </v>
      </c>
      <c r="G29" s="1938"/>
      <c r="H29" s="1938" t="str">
        <f>IF(I28="",H28,IF(H28=I28,H28,FALSE))</f>
        <v xml:space="preserve">300% annual salary </v>
      </c>
      <c r="I29" s="1938"/>
      <c r="J29" s="1938" t="str">
        <f>IF(K28="",J28,IF(J28=K28,J28,FALSE))</f>
        <v xml:space="preserve">100% annual salary </v>
      </c>
      <c r="K29" s="1938"/>
    </row>
    <row r="30" spans="1:12">
      <c r="D30" s="1297" t="s">
        <v>2557</v>
      </c>
      <c r="E30" s="1294"/>
      <c r="F30" s="193" t="str">
        <f>IF(Admin!G69=0,"",Admin!G69)</f>
        <v/>
      </c>
      <c r="G30" s="193" t="str">
        <f>IF(Admin!G70=0,"",Admin!G70)</f>
        <v/>
      </c>
      <c r="H30" s="193" t="str">
        <f>IF(Admin!G71=0,"",Admin!G71)</f>
        <v/>
      </c>
      <c r="I30" s="193" t="str">
        <f>IF(Admin!G72=0,"",Admin!G72)</f>
        <v/>
      </c>
      <c r="J30" s="193" t="str">
        <f>IF(Admin!B75="N/A","",IF(Admin!G75=0,"",Admin!G75))</f>
        <v/>
      </c>
      <c r="K30" s="1247" t="str">
        <f>IF(Admin!B75="N/A","",IF(Admin!G76=0,"",Admin!G76))</f>
        <v/>
      </c>
    </row>
    <row r="31" spans="1:12">
      <c r="D31" s="1297" t="s">
        <v>2871</v>
      </c>
      <c r="E31" s="1294"/>
      <c r="F31" s="1080" t="str">
        <f>IF(F30="","",F30&amp;" "&amp;F23&amp;" limit per year")</f>
        <v/>
      </c>
      <c r="G31" s="1243" t="str">
        <f t="shared" ref="G31:K31" si="5">IF(G30="","",G30&amp;" "&amp;G23&amp;" limit per year")</f>
        <v/>
      </c>
      <c r="H31" s="1243" t="str">
        <f t="shared" si="5"/>
        <v/>
      </c>
      <c r="I31" s="1243" t="str">
        <f t="shared" si="5"/>
        <v/>
      </c>
      <c r="J31" s="1243" t="str">
        <f t="shared" si="5"/>
        <v/>
      </c>
      <c r="K31" s="1244" t="str">
        <f t="shared" si="5"/>
        <v/>
      </c>
    </row>
    <row r="32" spans="1:12" s="1428" customFormat="1">
      <c r="D32" s="1297" t="s">
        <v>2872</v>
      </c>
      <c r="E32" s="1430"/>
      <c r="F32" s="1939" t="str">
        <f>IF(F31=G31="","",F31)</f>
        <v/>
      </c>
      <c r="G32" s="1938"/>
      <c r="H32" s="1939" t="str">
        <f>IF(H31=I31="","",H31)</f>
        <v/>
      </c>
      <c r="I32" s="1938"/>
      <c r="J32" s="1939" t="str">
        <f>IF(J31=K31="","",J31)</f>
        <v/>
      </c>
      <c r="K32" s="1938"/>
    </row>
    <row r="33" spans="4:11">
      <c r="D33" s="1297" t="s">
        <v>2558</v>
      </c>
      <c r="E33" s="1294"/>
      <c r="F33" s="1936" t="str">
        <f>IF(G28=0,"after accident","after any causes")</f>
        <v>after any causes</v>
      </c>
      <c r="G33" s="1682"/>
      <c r="H33" s="1682" t="str">
        <f>IF(I28=0,"after accident","after any causes")</f>
        <v>after any causes</v>
      </c>
      <c r="I33" s="1682"/>
      <c r="J33" s="1682" t="str">
        <f>IF(K28=0,"after accident","after any causes")</f>
        <v>after any causes</v>
      </c>
      <c r="K33" s="1682"/>
    </row>
    <row r="34" spans="4:11">
      <c r="D34" s="1297" t="s">
        <v>2113</v>
      </c>
      <c r="E34" s="1294"/>
      <c r="F34" s="1124"/>
      <c r="G34" s="1124"/>
      <c r="H34" s="1124"/>
      <c r="I34" s="1124"/>
      <c r="J34" s="1248" t="str">
        <f>IF(J24="","","Duration: "&amp;Cotations!$CX$15&amp;" days Waiting period "&amp;Cotations!$CW$15&amp;" days")</f>
        <v>Duration: 365 days Waiting period 7 days</v>
      </c>
      <c r="K34" s="1249" t="str">
        <f>IF(K24="","","Duration: "&amp;Cotations!$CX$15&amp;" days Waiting period "&amp;Cotations!$CW$15&amp;" days")</f>
        <v>Duration: 365 days Waiting period 7 days</v>
      </c>
    </row>
    <row r="35" spans="4:11" s="1159" customFormat="1">
      <c r="D35" s="1297" t="s">
        <v>20</v>
      </c>
      <c r="E35" s="1295" t="str">
        <f>Admin!D62</f>
        <v>Perfect</v>
      </c>
      <c r="F35" s="1124" t="str">
        <f>lig1_Formula_PREVOY</f>
        <v>Formula 3</v>
      </c>
      <c r="G35" s="1124"/>
      <c r="H35" s="1124"/>
      <c r="I35" s="1124"/>
      <c r="J35" s="1248"/>
      <c r="K35" s="1249"/>
    </row>
    <row r="36" spans="4:11" s="1159" customFormat="1" ht="24.95" customHeight="1">
      <c r="D36" s="1298"/>
      <c r="E36" s="1294"/>
      <c r="F36" s="1928" t="str">
        <f>IF(F29=FALSE,F20&amp;" "&amp;F28&amp;" "&amp;F31&amp;", "&amp;G20&amp;" "&amp;G28&amp;" "&amp;G31,F28&amp;" "&amp;F31)</f>
        <v xml:space="preserve">300% annual salary  </v>
      </c>
      <c r="G36" s="1929"/>
      <c r="H36" s="1928" t="str">
        <f>IF(H29=FALSE,H20&amp;" "&amp;H28&amp;" "&amp;H31&amp;", "&amp;I20&amp;" "&amp;I28&amp;" "&amp;I31,H28&amp;" "&amp;H31)</f>
        <v xml:space="preserve">300% annual salary  </v>
      </c>
      <c r="I36" s="1929"/>
      <c r="J36" s="1928" t="str">
        <f>IF(J29=FALSE,J20&amp;" "&amp;J28&amp;" "&amp;J31&amp;", "&amp;K20&amp;" "&amp;K28&amp;" "&amp;K31,J28&amp;" "&amp;J31)</f>
        <v xml:space="preserve">100% annual salary  </v>
      </c>
      <c r="K36" s="1929"/>
    </row>
    <row r="37" spans="4:11" s="1159" customFormat="1" ht="24.95" customHeight="1">
      <c r="D37" s="1298"/>
      <c r="E37" s="1294"/>
      <c r="F37" s="1933" t="str">
        <f>IF(F36=H36,"LOL&amp;PTD "&amp;F36,"LOL: "&amp;F25&amp;","&amp;"PTD: "&amp;H36)</f>
        <v xml:space="preserve">LOL&amp;PTD 300% annual salary  </v>
      </c>
      <c r="G37" s="1934"/>
      <c r="H37" s="1934"/>
      <c r="I37" s="1934"/>
      <c r="J37" s="1929" t="str">
        <f>J36</f>
        <v xml:space="preserve">100% annual salary  </v>
      </c>
      <c r="K37" s="1929"/>
    </row>
    <row r="38" spans="4:11" ht="24.95" customHeight="1">
      <c r="D38" s="1298"/>
      <c r="E38" s="1294"/>
      <c r="F38" s="1928" t="str">
        <f>F37&amp;", "&amp;J37</f>
        <v xml:space="preserve">LOL&amp;PTD 300% annual salary  , 100% annual salary  </v>
      </c>
      <c r="G38" s="1929"/>
      <c r="H38" s="1929"/>
      <c r="I38" s="1929"/>
      <c r="J38" s="1929"/>
      <c r="K38" s="1929"/>
    </row>
    <row r="39" spans="4:11" ht="24.95" customHeight="1">
      <c r="D39" s="1298" t="s">
        <v>2824</v>
      </c>
      <c r="E39" s="1294" t="str">
        <f>lig1_Persons</f>
        <v>All Crew members, except day workers</v>
      </c>
      <c r="F39" s="1935" t="str">
        <f>lig1_Persons</f>
        <v>All Crew members, except day workers</v>
      </c>
      <c r="G39" s="1931"/>
      <c r="H39" s="1931"/>
      <c r="I39" s="1931"/>
      <c r="J39" s="1931"/>
      <c r="K39" s="1932"/>
    </row>
    <row r="40" spans="4:11" ht="24.95" customHeight="1">
      <c r="D40" s="1297" t="s">
        <v>2777</v>
      </c>
      <c r="E40" s="1296" t="str">
        <f>IF(E21="","",E35&amp;" for "&amp;E39)</f>
        <v>Perfect for All Crew members, except day workers</v>
      </c>
      <c r="F40" s="1935" t="str">
        <f>F35&amp;": "&amp;F38&amp;" for "&amp;F39</f>
        <v>Formula 3: LOL&amp;PTD 300% annual salary  , 100% annual salary   for All Crew members, except day workers</v>
      </c>
      <c r="G40" s="1931"/>
      <c r="H40" s="1931"/>
      <c r="I40" s="1931"/>
      <c r="J40" s="1931"/>
      <c r="K40" s="1932"/>
    </row>
    <row r="41" spans="4:11" s="1159" customFormat="1" ht="24.95" customHeight="1">
      <c r="D41" s="1438" t="s">
        <v>2817</v>
      </c>
      <c r="E41" s="1439" t="str">
        <f>IF(E21="","",E21&amp;" ("&amp;E39&amp;")")</f>
        <v>L2022479 (All Crew members, except day workers)</v>
      </c>
      <c r="F41" s="1942" t="str">
        <f>F21&amp;" ("&amp;F39&amp;")"</f>
        <v>240322 (All Crew members, except day workers)</v>
      </c>
      <c r="G41" s="1943"/>
      <c r="H41" s="193"/>
      <c r="I41" s="193"/>
      <c r="J41" s="193"/>
      <c r="K41" s="193"/>
    </row>
    <row r="42" spans="4:11" s="1371" customFormat="1" ht="15" customHeight="1">
      <c r="F42" s="1437"/>
      <c r="G42" s="1437"/>
      <c r="H42" s="1245"/>
      <c r="I42" s="1245"/>
      <c r="J42" s="1245"/>
      <c r="K42" s="1245"/>
    </row>
    <row r="43" spans="4:11" s="1371" customFormat="1" ht="15" customHeight="1">
      <c r="F43" s="1437"/>
      <c r="G43" s="1437"/>
      <c r="H43" s="1245"/>
      <c r="I43" s="1245"/>
      <c r="J43" s="1245"/>
      <c r="K43" s="1245"/>
    </row>
    <row r="44" spans="4:11" s="1371" customFormat="1" ht="15" customHeight="1">
      <c r="F44" s="1437"/>
      <c r="G44" s="1437"/>
      <c r="H44" s="1245"/>
      <c r="I44" s="1245"/>
      <c r="J44" s="1245"/>
      <c r="K44" s="1245"/>
    </row>
    <row r="45" spans="4:11" s="1371" customFormat="1" ht="15" customHeight="1">
      <c r="F45" s="1437"/>
      <c r="G45" s="1437"/>
      <c r="H45" s="1245"/>
      <c r="I45" s="1245"/>
      <c r="J45" s="1245"/>
      <c r="K45" s="1245"/>
    </row>
    <row r="46" spans="4:11" s="1371" customFormat="1" ht="15" customHeight="1">
      <c r="F46" s="1437"/>
      <c r="G46" s="1437"/>
      <c r="H46" s="1245"/>
      <c r="I46" s="1245"/>
      <c r="J46" s="1245"/>
      <c r="K46" s="1245"/>
    </row>
    <row r="47" spans="4:11" s="1371" customFormat="1" ht="15" customHeight="1">
      <c r="F47" s="1437"/>
      <c r="G47" s="1437"/>
      <c r="H47" s="1245"/>
      <c r="I47" s="1245"/>
      <c r="J47" s="1245"/>
      <c r="K47" s="1245"/>
    </row>
    <row r="48" spans="4:11" ht="15" customHeight="1"/>
    <row r="49" spans="4:14" ht="24.95" customHeight="1">
      <c r="D49" s="1233" t="s">
        <v>2794</v>
      </c>
      <c r="E49" s="1233" t="s">
        <v>2006</v>
      </c>
      <c r="F49" s="1233" t="s">
        <v>2780</v>
      </c>
      <c r="G49" s="1233" t="s">
        <v>2781</v>
      </c>
      <c r="H49" s="1233" t="s">
        <v>2785</v>
      </c>
      <c r="I49" s="1233" t="s">
        <v>2786</v>
      </c>
      <c r="J49" s="1233" t="s">
        <v>2787</v>
      </c>
      <c r="K49" s="1233" t="s">
        <v>2788</v>
      </c>
    </row>
    <row r="50" spans="4:14">
      <c r="D50" s="1231" t="s">
        <v>2712</v>
      </c>
      <c r="E50" s="1294" t="str">
        <f>lig2_POL_MED</f>
        <v/>
      </c>
      <c r="F50" s="1294" t="str">
        <f>lig2_POL_PREVO</f>
        <v/>
      </c>
      <c r="G50" s="1301" t="str">
        <f t="shared" ref="G50:G53" si="6">F50</f>
        <v/>
      </c>
      <c r="H50" s="1301" t="str">
        <f t="shared" ref="H50:H53" si="7">G50</f>
        <v/>
      </c>
      <c r="I50" s="1301" t="str">
        <f t="shared" ref="I50:I53" si="8">H50</f>
        <v/>
      </c>
      <c r="J50" s="1301" t="str">
        <f t="shared" ref="J50:J52" si="9">I50</f>
        <v/>
      </c>
      <c r="K50" s="1301" t="str">
        <f t="shared" ref="K50:K52" si="10">J50</f>
        <v/>
      </c>
      <c r="L50" s="1159"/>
      <c r="M50" s="1159"/>
      <c r="N50" s="1159"/>
    </row>
    <row r="51" spans="4:14" s="1159" customFormat="1">
      <c r="D51" s="1294" t="s">
        <v>2831</v>
      </c>
      <c r="E51" s="1294"/>
      <c r="F51" s="1294" t="str">
        <f>IF(Admin!B95="N/A","",Admin!B95)</f>
        <v/>
      </c>
      <c r="G51" s="1301" t="str">
        <f>IF(Admin!B96="N/A","",Admin!B96)</f>
        <v/>
      </c>
      <c r="H51" s="1301" t="str">
        <f>IF(Admin!B97="N/A","",Admin!B97)</f>
        <v/>
      </c>
      <c r="I51" s="1301" t="str">
        <f>IF(Admin!B98="N/A","",Admin!B98)</f>
        <v/>
      </c>
      <c r="J51" s="1301" t="str">
        <f>IF(Admin!B101="N/A","",Admin!B101)</f>
        <v/>
      </c>
      <c r="K51" s="1301" t="str">
        <f>IF(Admin!B102="N/A","",Admin!B102)</f>
        <v/>
      </c>
    </row>
    <row r="52" spans="4:14">
      <c r="D52" s="1231" t="s">
        <v>34</v>
      </c>
      <c r="E52" s="1295" t="str">
        <f>Admin!D88</f>
        <v/>
      </c>
      <c r="F52" s="1295" t="str">
        <f>Admin!D95</f>
        <v/>
      </c>
      <c r="G52" s="1301" t="str">
        <f t="shared" si="6"/>
        <v/>
      </c>
      <c r="H52" s="1301" t="str">
        <f t="shared" si="7"/>
        <v/>
      </c>
      <c r="I52" s="1301" t="str">
        <f t="shared" si="8"/>
        <v/>
      </c>
      <c r="J52" s="1301" t="str">
        <f t="shared" si="9"/>
        <v/>
      </c>
      <c r="K52" s="1301" t="str">
        <f t="shared" si="10"/>
        <v/>
      </c>
      <c r="L52" s="1159"/>
      <c r="M52" s="1159"/>
      <c r="N52" s="1159"/>
    </row>
    <row r="53" spans="4:14">
      <c r="D53" s="1231" t="s">
        <v>2416</v>
      </c>
      <c r="E53" s="1294"/>
      <c r="F53" s="1302" t="str">
        <f>IF(F51="","",Admin!D98)</f>
        <v/>
      </c>
      <c r="G53" s="1301" t="str">
        <f t="shared" si="6"/>
        <v/>
      </c>
      <c r="H53" s="1301" t="str">
        <f t="shared" si="7"/>
        <v/>
      </c>
      <c r="I53" s="1301" t="str">
        <f t="shared" si="8"/>
        <v/>
      </c>
      <c r="J53" s="1303" t="str">
        <f>IF(Admin!$D$76=0,"","PROP")</f>
        <v>PROP</v>
      </c>
      <c r="K53" s="1303" t="str">
        <f>IF(Admin!$D$76=0,"","PROP")</f>
        <v>PROP</v>
      </c>
      <c r="L53" s="1159"/>
      <c r="M53" s="1159"/>
      <c r="N53" s="1159"/>
    </row>
    <row r="54" spans="4:14">
      <c r="D54" s="1231" t="s">
        <v>2783</v>
      </c>
      <c r="E54" s="1294"/>
      <c r="F54" s="1302" t="str">
        <f>IF(F51="","",IF(Admin!E95=0,"",Admin!E95))</f>
        <v/>
      </c>
      <c r="G54" s="1302" t="str">
        <f>IF(Admin!B96="N/A","",IF(Admin!E96=0,"",Admin!E96))</f>
        <v/>
      </c>
      <c r="H54" s="1302" t="str">
        <f>IF(Admin!B97="N/A","",IF(Admin!E97=0,"",Admin!E97))</f>
        <v/>
      </c>
      <c r="I54" s="1302" t="str">
        <f>IF(Admin!B98="N/A","",IF(Admin!E98=0,"",Admin!E98))</f>
        <v/>
      </c>
      <c r="J54" s="1302" t="str">
        <f>IF(Admin!B101="N/A","",IF(Admin!E101=0,"",Admin!E101))</f>
        <v/>
      </c>
      <c r="K54" s="1302" t="str">
        <f>IF(Admin!B102="N/A","",IF(Admin!E102=0,"",Admin!E102))</f>
        <v/>
      </c>
      <c r="L54" s="1159"/>
      <c r="M54" s="1159"/>
      <c r="N54" s="1159"/>
    </row>
    <row r="55" spans="4:14">
      <c r="D55" s="1231" t="s">
        <v>2784</v>
      </c>
      <c r="E55" s="1294"/>
      <c r="F55" s="1302" t="str">
        <f>IF(F51="","",IF(Admin!F95=0,"",Admin!F95*100))</f>
        <v/>
      </c>
      <c r="G55" s="1302" t="str">
        <f>IF(Admin!B96="N/A","",IF(Admin!F96=0,"",Admin!F96*100))</f>
        <v/>
      </c>
      <c r="H55" s="1302" t="str">
        <f>IF(Admin!B97="N/A","",IF(Admin!F97=0,"",Admin!F97*100))</f>
        <v/>
      </c>
      <c r="I55" s="1302" t="str">
        <f>IF(Admin!B98="N/A","",IF(Admin!F98=0,"",Admin!F98*100))</f>
        <v/>
      </c>
      <c r="J55" s="1302" t="str">
        <f>IF(Admin!B101="N/A","",IF(Admin!F101=0,"",Admin!F101*100))</f>
        <v/>
      </c>
      <c r="K55" s="1302" t="str">
        <f>IF(Admin!B102="N/A","",IF(Admin!F102=0,"",Admin!F102*100))</f>
        <v/>
      </c>
      <c r="L55" s="1159"/>
      <c r="M55" s="1159"/>
      <c r="N55" s="1159"/>
    </row>
    <row r="56" spans="4:14" s="1159" customFormat="1">
      <c r="D56" s="1231" t="s">
        <v>2782</v>
      </c>
      <c r="E56" s="1294"/>
      <c r="F56" s="1302" t="str">
        <f>IF(F51="","",IF(F53="PROP",F55&amp;"%",F54))</f>
        <v/>
      </c>
      <c r="G56" s="1302" t="str">
        <f>IF(G51="","",IF(G53="PROP",G55&amp;"%",G54))</f>
        <v/>
      </c>
      <c r="H56" s="1302" t="str">
        <f t="shared" ref="H56:I56" si="11">IF(H51="","",IF(H53="PROP",H55&amp;"%",H54))</f>
        <v/>
      </c>
      <c r="I56" s="1302" t="str">
        <f t="shared" si="11"/>
        <v/>
      </c>
      <c r="J56" s="1302"/>
      <c r="K56" s="1302"/>
    </row>
    <row r="57" spans="4:14">
      <c r="D57" s="1231" t="s">
        <v>2782</v>
      </c>
      <c r="E57" s="1294"/>
      <c r="F57" s="1303" t="str">
        <f>IF(F51="","",IF(F53="PROP",F55&amp;"% annual salary ",F54))</f>
        <v/>
      </c>
      <c r="G57" s="1303" t="str">
        <f>IF(G51="","",IF(G53="PROP",G55&amp;"% annual salary ",G54))</f>
        <v/>
      </c>
      <c r="H57" s="1303" t="str">
        <f>IF(H53="PROP",H55&amp;"% annual salary ",H54)</f>
        <v/>
      </c>
      <c r="I57" s="1303" t="str">
        <f>IF(I51="","",IF(I53="PROP",I55&amp;"% annual salary ",I54))</f>
        <v/>
      </c>
      <c r="J57" s="1303" t="str">
        <f>IF(J55="","",IF(J53="PROP",J55&amp;"% annual salary ",J54))</f>
        <v/>
      </c>
      <c r="K57" s="1303" t="str">
        <f>IF(K55="","",IF(K53="PROP",K55&amp;"% annual salary ",K54))</f>
        <v/>
      </c>
      <c r="L57" s="1159"/>
      <c r="M57" s="1159"/>
      <c r="N57" s="1159"/>
    </row>
    <row r="58" spans="4:14" s="1428" customFormat="1">
      <c r="D58" s="1231" t="s">
        <v>2869</v>
      </c>
      <c r="E58" s="1231"/>
      <c r="F58" s="1938" t="str">
        <f>IF(G57="",F57,IF(F57=G57,F57,FALSE))</f>
        <v/>
      </c>
      <c r="G58" s="1938"/>
      <c r="H58" s="1938" t="str">
        <f>IF(I57="",H57,IF(H57=I57,H57,FALSE))</f>
        <v/>
      </c>
      <c r="I58" s="1938"/>
      <c r="J58" s="1938" t="str">
        <f>IF(K57="",J57,IF(J57=K57,J57,FALSE))</f>
        <v/>
      </c>
      <c r="K58" s="1938"/>
    </row>
    <row r="59" spans="4:14">
      <c r="D59" s="1231" t="s">
        <v>2557</v>
      </c>
      <c r="E59" s="1294"/>
      <c r="F59" s="1302" t="str">
        <f>IF(Admin!B95="N/A","",IF(Admin!G95=0,"",Admin!G95))</f>
        <v/>
      </c>
      <c r="G59" s="1302" t="str">
        <f>IF(Admin!B96="N/A","",IF(Admin!G96=0,"",Admin!G96))</f>
        <v/>
      </c>
      <c r="H59" s="1302" t="str">
        <f>IF(Admin!B97="N/A","",IF(Admin!G97=0,"",Admin!G97))</f>
        <v/>
      </c>
      <c r="I59" s="1302" t="str">
        <f>IF(Admin!B98="N/A","",IF(Admin!G98=0,"",Admin!G98))</f>
        <v/>
      </c>
      <c r="J59" s="1302" t="str">
        <f>IF(Admin!B101="N/A","",IF(Admin!G101=0,"",Admin!G101))</f>
        <v/>
      </c>
      <c r="K59" s="1302" t="str">
        <f>IF(Admin!B102="N/A","",IF(Admin!G102=0,"",Admin!G102))</f>
        <v/>
      </c>
      <c r="L59" s="1159"/>
      <c r="M59" s="1159"/>
      <c r="N59" s="1159"/>
    </row>
    <row r="60" spans="4:14">
      <c r="D60" s="1231" t="s">
        <v>2791</v>
      </c>
      <c r="E60" s="1294"/>
      <c r="F60" s="1294" t="str">
        <f t="shared" ref="F60:K60" si="12">IF(F59="","",F59&amp;" "&amp;F52&amp;" limit per year")</f>
        <v/>
      </c>
      <c r="G60" s="1301" t="str">
        <f t="shared" si="12"/>
        <v/>
      </c>
      <c r="H60" s="1301" t="str">
        <f t="shared" si="12"/>
        <v/>
      </c>
      <c r="I60" s="1301" t="str">
        <f t="shared" si="12"/>
        <v/>
      </c>
      <c r="J60" s="1301" t="str">
        <f t="shared" si="12"/>
        <v/>
      </c>
      <c r="K60" s="1301" t="str">
        <f t="shared" si="12"/>
        <v/>
      </c>
      <c r="L60" s="1159"/>
      <c r="M60" s="1159"/>
      <c r="N60" s="1159"/>
    </row>
    <row r="61" spans="4:14">
      <c r="D61" s="1231" t="s">
        <v>2792</v>
      </c>
      <c r="E61" s="1294"/>
      <c r="F61" s="1939" t="str">
        <f>IF(F60=G60="","",F60)</f>
        <v/>
      </c>
      <c r="G61" s="1938"/>
      <c r="H61" s="1939" t="str">
        <f>IF(H60=I60="","",H60)</f>
        <v/>
      </c>
      <c r="I61" s="1938"/>
      <c r="J61" s="1939" t="str">
        <f>IF(J60=K60="","",J60)</f>
        <v/>
      </c>
      <c r="K61" s="1938"/>
      <c r="L61" s="1159"/>
      <c r="M61" s="1159"/>
      <c r="N61" s="1159"/>
    </row>
    <row r="62" spans="4:14">
      <c r="D62" s="1231" t="s">
        <v>2558</v>
      </c>
      <c r="E62" s="1294"/>
      <c r="F62" s="1682" t="str">
        <f>IF(G57=0,"after accident","after any causes")</f>
        <v>after any causes</v>
      </c>
      <c r="G62" s="1682"/>
      <c r="H62" s="1682" t="str">
        <f>IF(I57=0,"after accident","after any causes")</f>
        <v>after any causes</v>
      </c>
      <c r="I62" s="1682"/>
      <c r="J62" s="1682" t="str">
        <f>IF(K57=0,"after accident","after any causes")</f>
        <v>after any causes</v>
      </c>
      <c r="K62" s="1682"/>
      <c r="L62" s="1159"/>
      <c r="M62" s="1159"/>
      <c r="N62" s="1159"/>
    </row>
    <row r="63" spans="4:14">
      <c r="D63" s="1231" t="s">
        <v>2113</v>
      </c>
      <c r="E63" s="1294"/>
      <c r="F63" s="1124"/>
      <c r="G63" s="1124"/>
      <c r="H63" s="1124"/>
      <c r="I63" s="1124"/>
      <c r="J63" s="1248" t="str">
        <f>IF(J53="","","Duration: "&amp;Cotations!$CX$15&amp;" days Waiting period "&amp;Cotations!$CW$15&amp;" days")</f>
        <v>Duration: 365 days Waiting period 7 days</v>
      </c>
      <c r="K63" s="1249" t="str">
        <f>IF(K53="","","Duration: "&amp;Cotations!$CX$15&amp;" days Waiting period "&amp;Cotations!$CW$15&amp;" days")</f>
        <v>Duration: 365 days Waiting period 7 days</v>
      </c>
      <c r="L63" s="1159"/>
      <c r="M63" s="1159"/>
      <c r="N63" s="1159"/>
    </row>
    <row r="64" spans="4:14">
      <c r="D64" s="1231" t="s">
        <v>20</v>
      </c>
      <c r="E64" s="1295" t="str">
        <f>lig2_Formula_MED</f>
        <v/>
      </c>
      <c r="F64" s="1124" t="str">
        <f>lig2_Formula_PREVOY</f>
        <v/>
      </c>
      <c r="G64" s="1124"/>
      <c r="H64" s="1124"/>
      <c r="I64" s="1124"/>
      <c r="J64" s="1248"/>
      <c r="K64" s="1249"/>
      <c r="L64" s="1159"/>
      <c r="M64" s="1159"/>
      <c r="N64" s="1159"/>
    </row>
    <row r="65" spans="4:14">
      <c r="D65" s="1231" t="s">
        <v>2870</v>
      </c>
      <c r="E65" s="1294"/>
      <c r="F65" s="1928" t="str">
        <f>IF(F58=FALSE,F49&amp;" "&amp;F57&amp;" "&amp;F60&amp;", "&amp;G49&amp;" "&amp;G57&amp;" "&amp;G60,F57&amp;" "&amp;F60)</f>
        <v xml:space="preserve"> </v>
      </c>
      <c r="G65" s="1929"/>
      <c r="H65" s="1928" t="str">
        <f>IF(H58=FALSE,H49&amp;" "&amp;H57&amp;" "&amp;H60&amp;", "&amp;I49&amp;" "&amp;I57&amp;" "&amp;I60,H57&amp;" "&amp;H60)</f>
        <v xml:space="preserve"> </v>
      </c>
      <c r="I65" s="1929"/>
      <c r="J65" s="1928" t="str">
        <f>IF(J58=FALSE,J49&amp;" "&amp;J57&amp;" "&amp;J60&amp;", "&amp;K49&amp;" "&amp;K57&amp;" "&amp;K60,J57&amp;" "&amp;J60)</f>
        <v xml:space="preserve"> </v>
      </c>
      <c r="K65" s="1929"/>
      <c r="L65" s="1159"/>
      <c r="M65" s="1159"/>
      <c r="N65" s="1159"/>
    </row>
    <row r="66" spans="4:14" ht="21" customHeight="1">
      <c r="D66" s="1231"/>
      <c r="E66" s="1294"/>
      <c r="F66" s="1933" t="str">
        <f>IF(F65=H65,"LOL&amp;PTD "&amp;F65,"LOL: "&amp;F54&amp;","&amp;"PTD: "&amp;H65)</f>
        <v xml:space="preserve">LOL&amp;PTD  </v>
      </c>
      <c r="G66" s="1934"/>
      <c r="H66" s="1934"/>
      <c r="I66" s="1934"/>
      <c r="J66" s="1929" t="str">
        <f>IF(J65="","",J65)</f>
        <v xml:space="preserve"> </v>
      </c>
      <c r="K66" s="1929"/>
      <c r="L66" s="1159"/>
      <c r="M66" s="1159"/>
      <c r="N66" s="1159"/>
    </row>
    <row r="67" spans="4:14">
      <c r="D67" s="1159"/>
      <c r="E67" s="1294"/>
      <c r="F67" s="1928" t="str">
        <f>IF(J66="",F66,F66&amp;", "&amp;J66)</f>
        <v xml:space="preserve">LOL&amp;PTD  ,  </v>
      </c>
      <c r="G67" s="1929"/>
      <c r="H67" s="1929"/>
      <c r="I67" s="1929"/>
      <c r="J67" s="1929"/>
      <c r="K67" s="1929"/>
      <c r="L67" s="1159"/>
      <c r="M67" s="1159"/>
      <c r="N67" s="1159"/>
    </row>
    <row r="68" spans="4:14">
      <c r="D68" s="1159"/>
      <c r="E68" s="1294" t="str">
        <f>IF(E50="","",lig2_Persons)</f>
        <v/>
      </c>
      <c r="F68" s="1930" t="str">
        <f>lig2_Persons</f>
        <v/>
      </c>
      <c r="G68" s="1931"/>
      <c r="H68" s="1931"/>
      <c r="I68" s="1931"/>
      <c r="J68" s="1931"/>
      <c r="K68" s="1932"/>
      <c r="L68" s="1159"/>
      <c r="M68" s="1159"/>
      <c r="N68" s="1159"/>
    </row>
    <row r="69" spans="4:14">
      <c r="D69" s="1232" t="s">
        <v>2777</v>
      </c>
      <c r="E69" s="1296" t="str">
        <f>IF(E50="","",E64&amp;" for "&amp;E68)</f>
        <v/>
      </c>
      <c r="F69" s="1930" t="str">
        <f>IF(F50="","",F64&amp;": "&amp;F67&amp;" for "&amp;F68)</f>
        <v/>
      </c>
      <c r="G69" s="1931"/>
      <c r="H69" s="1931"/>
      <c r="I69" s="1931"/>
      <c r="J69" s="1931"/>
      <c r="K69" s="1932"/>
      <c r="L69" s="1159"/>
      <c r="M69" s="1159"/>
      <c r="N69" s="1159"/>
    </row>
    <row r="70" spans="4:14">
      <c r="D70" s="1232" t="s">
        <v>2817</v>
      </c>
      <c r="E70" s="1296" t="str">
        <f>IF(E50="","",E50&amp;" ("&amp;E68&amp;")")</f>
        <v/>
      </c>
      <c r="F70" s="1940" t="str">
        <f>IF(F50="","",F50&amp;" ("&amp;F68&amp;")")</f>
        <v/>
      </c>
      <c r="G70" s="1941"/>
      <c r="H70" s="1232"/>
      <c r="I70" s="1232"/>
      <c r="J70" s="1232"/>
      <c r="K70" s="1232"/>
      <c r="L70" s="1159"/>
      <c r="M70" s="1159"/>
      <c r="N70" s="1159"/>
    </row>
    <row r="71" spans="4:14">
      <c r="L71" s="1159"/>
      <c r="M71" s="1159"/>
      <c r="N71" s="1159"/>
    </row>
    <row r="72" spans="4:14">
      <c r="L72" s="1159"/>
      <c r="M72" s="1159"/>
      <c r="N72" s="1159"/>
    </row>
    <row r="73" spans="4:14">
      <c r="L73" s="1159"/>
      <c r="M73" s="1159"/>
      <c r="N73" s="1159"/>
    </row>
    <row r="74" spans="4:14">
      <c r="L74" s="1159"/>
      <c r="M74" s="1159"/>
      <c r="N74" s="1159"/>
    </row>
    <row r="75" spans="4:14" s="1159" customFormat="1" ht="24.95" customHeight="1">
      <c r="D75" s="1233" t="s">
        <v>2819</v>
      </c>
      <c r="E75" s="1233" t="s">
        <v>2006</v>
      </c>
      <c r="F75" s="1233" t="s">
        <v>2780</v>
      </c>
      <c r="G75" s="1233" t="s">
        <v>2781</v>
      </c>
      <c r="H75" s="1233" t="s">
        <v>2785</v>
      </c>
      <c r="I75" s="1233" t="s">
        <v>2786</v>
      </c>
      <c r="J75" s="1233" t="s">
        <v>2787</v>
      </c>
      <c r="K75" s="1233" t="s">
        <v>2788</v>
      </c>
    </row>
    <row r="76" spans="4:14" s="1159" customFormat="1">
      <c r="D76" s="1231" t="s">
        <v>2712</v>
      </c>
      <c r="E76" s="1294">
        <f>lig3_POL_MED</f>
        <v>140494</v>
      </c>
      <c r="F76" s="1302">
        <f>lig3_POL_PREVOY</f>
        <v>140494</v>
      </c>
      <c r="G76" s="1301">
        <f t="shared" ref="G76:G78" si="13">F76</f>
        <v>140494</v>
      </c>
      <c r="H76" s="1301">
        <f t="shared" ref="H76:H78" si="14">G76</f>
        <v>140494</v>
      </c>
      <c r="I76" s="1301">
        <f t="shared" ref="I76:I78" si="15">H76</f>
        <v>140494</v>
      </c>
      <c r="J76" s="1301">
        <f t="shared" ref="J76:J77" si="16">I76</f>
        <v>140494</v>
      </c>
      <c r="K76" s="1301">
        <f t="shared" ref="K76:K77" si="17">J76</f>
        <v>140494</v>
      </c>
    </row>
    <row r="77" spans="4:14" s="1159" customFormat="1">
      <c r="D77" s="1231" t="s">
        <v>34</v>
      </c>
      <c r="E77" s="1295" t="str">
        <f>Admin!D114</f>
        <v>EUR</v>
      </c>
      <c r="F77" s="1295" t="str">
        <f>Admin!D121</f>
        <v>EUR</v>
      </c>
      <c r="G77" s="1301" t="str">
        <f t="shared" si="13"/>
        <v>EUR</v>
      </c>
      <c r="H77" s="1301" t="str">
        <f t="shared" si="14"/>
        <v>EUR</v>
      </c>
      <c r="I77" s="1301" t="str">
        <f t="shared" si="15"/>
        <v>EUR</v>
      </c>
      <c r="J77" s="1301" t="str">
        <f t="shared" si="16"/>
        <v>EUR</v>
      </c>
      <c r="K77" s="1301" t="str">
        <f t="shared" si="17"/>
        <v>EUR</v>
      </c>
    </row>
    <row r="78" spans="4:14" s="1159" customFormat="1">
      <c r="D78" s="1231" t="s">
        <v>2416</v>
      </c>
      <c r="E78" s="1294"/>
      <c r="F78" s="1302" t="str">
        <f>IF(lig3_POL_PREVOY="","",Admin!D124)</f>
        <v>FIXE</v>
      </c>
      <c r="G78" s="1301" t="str">
        <f t="shared" si="13"/>
        <v>FIXE</v>
      </c>
      <c r="H78" s="1301" t="str">
        <f t="shared" si="14"/>
        <v>FIXE</v>
      </c>
      <c r="I78" s="1301" t="str">
        <f t="shared" si="15"/>
        <v>FIXE</v>
      </c>
      <c r="J78" s="1303" t="str">
        <f>IF(Admin!$D$76=0,"","PROP")</f>
        <v>PROP</v>
      </c>
      <c r="K78" s="1303" t="str">
        <f>IF(Admin!$D$76=0,"","PROP")</f>
        <v>PROP</v>
      </c>
    </row>
    <row r="79" spans="4:14" s="1159" customFormat="1">
      <c r="D79" s="1231" t="s">
        <v>2783</v>
      </c>
      <c r="E79" s="1294"/>
      <c r="F79" s="1302">
        <f>IF(Admin!E121=0,"",Admin!E121)</f>
        <v>50000</v>
      </c>
      <c r="G79" s="1302">
        <f>IF(Admin!E122=0,"",Admin!E122)</f>
        <v>50000</v>
      </c>
      <c r="H79" s="1302">
        <f>IF(Admin!E123=0,"",Admin!E123)</f>
        <v>50000</v>
      </c>
      <c r="I79" s="1302">
        <f>IF(Admin!E124=0,"",Admin!E124)</f>
        <v>50000</v>
      </c>
      <c r="J79" s="1302" t="str">
        <f>IF(Admin!B127="N/A","",IF(Admin!E127=0,"",Admin!E127))</f>
        <v/>
      </c>
      <c r="K79" s="1302" t="str">
        <f>IF(Admin!B128="N/A","",IF(Admin!E128=0,"",Admin!E128))</f>
        <v/>
      </c>
    </row>
    <row r="80" spans="4:14" s="1159" customFormat="1">
      <c r="D80" s="1231" t="s">
        <v>2784</v>
      </c>
      <c r="E80" s="1294"/>
      <c r="F80" s="1302">
        <f>IF(Admin!F121=0,"",Admin!F121*100)</f>
        <v>300</v>
      </c>
      <c r="G80" s="1302">
        <f>IF(Admin!F122=0,"",Admin!F122*100)</f>
        <v>300</v>
      </c>
      <c r="H80" s="1302">
        <f>IF(Admin!F123=0,"",Admin!F123*100)</f>
        <v>300</v>
      </c>
      <c r="I80" s="1302">
        <f>IF(Admin!F124=0,"",Admin!F124*100)</f>
        <v>300</v>
      </c>
      <c r="J80" s="1302" t="str">
        <f>IF(Admin!B127="N/A","",IF(Admin!F127=0,"",Admin!F127*100))</f>
        <v/>
      </c>
      <c r="K80" s="1302" t="str">
        <f>IF(Admin!B128="N/A","",IF(Admin!F128=0,"",Admin!F128*100))</f>
        <v/>
      </c>
    </row>
    <row r="81" spans="4:14" s="1159" customFormat="1">
      <c r="D81" s="1231" t="s">
        <v>2782</v>
      </c>
      <c r="E81" s="1294"/>
      <c r="F81" s="1303">
        <f>IF(F78="PROP",L77&amp;"% annual salary ",F79)</f>
        <v>50000</v>
      </c>
      <c r="G81" s="1303">
        <f>IF(G78="PROP",M77&amp;"% annual salary ",G79)</f>
        <v>50000</v>
      </c>
      <c r="H81" s="1303">
        <f>IF(H78="PROP",N77&amp;"% annual salary ",H79)</f>
        <v>50000</v>
      </c>
      <c r="I81" s="1303">
        <f>IF(I78="PROP",I80&amp;"% annual salary ",I79)</f>
        <v>50000</v>
      </c>
      <c r="J81" s="1303" t="str">
        <f>IF(J80="","",IF(J78="PROP",J80&amp;"% annual salary ",J79))</f>
        <v/>
      </c>
      <c r="K81" s="1303" t="str">
        <f>IF(K80="","",IF(K78="PROP",K80&amp;"% annual salary ",K79))</f>
        <v/>
      </c>
    </row>
    <row r="82" spans="4:14" s="1159" customFormat="1">
      <c r="D82" s="1231" t="s">
        <v>2557</v>
      </c>
      <c r="E82" s="1294"/>
      <c r="F82" s="1302" t="str">
        <f>IF(Admin!G121=0,"",Admin!G121)</f>
        <v/>
      </c>
      <c r="G82" s="1302" t="str">
        <f>IF(Admin!G122=0,"",Admin!G122)</f>
        <v/>
      </c>
      <c r="H82" s="1302" t="str">
        <f>IF(Admin!G123=0,"",Admin!G123)</f>
        <v/>
      </c>
      <c r="I82" s="1302" t="str">
        <f>IF(Admin!G124=0,"",Admin!G124)</f>
        <v/>
      </c>
      <c r="J82" s="1302" t="str">
        <f>IF(Admin!B127="N/A","",IF(Admin!G127=0,"",Admin!G127))</f>
        <v/>
      </c>
      <c r="K82" s="1302" t="str">
        <f>IF(Admin!B128="N/A","",IF(Admin!G128=0,"",Admin!G128))</f>
        <v/>
      </c>
    </row>
    <row r="83" spans="4:14" s="1159" customFormat="1">
      <c r="D83" s="1231" t="s">
        <v>2791</v>
      </c>
      <c r="E83" s="1294"/>
      <c r="F83" s="1294" t="str">
        <f t="shared" ref="F83:K83" si="18">IF(F82="","",F82&amp;" "&amp;F77&amp;" limit per year")</f>
        <v/>
      </c>
      <c r="G83" s="1301" t="str">
        <f t="shared" si="18"/>
        <v/>
      </c>
      <c r="H83" s="1301" t="str">
        <f t="shared" si="18"/>
        <v/>
      </c>
      <c r="I83" s="1301" t="str">
        <f t="shared" si="18"/>
        <v/>
      </c>
      <c r="J83" s="1301" t="str">
        <f t="shared" si="18"/>
        <v/>
      </c>
      <c r="K83" s="1301" t="str">
        <f t="shared" si="18"/>
        <v/>
      </c>
    </row>
    <row r="84" spans="4:14" s="1159" customFormat="1">
      <c r="D84" s="1231" t="s">
        <v>2558</v>
      </c>
      <c r="E84" s="1294"/>
      <c r="F84" s="1682" t="str">
        <f>IF(G81=0,"after accident","after any causes")</f>
        <v>after any causes</v>
      </c>
      <c r="G84" s="1682"/>
      <c r="H84" s="1682" t="str">
        <f>IF(I81=0,"after accident","after any causes")</f>
        <v>after any causes</v>
      </c>
      <c r="I84" s="1682"/>
      <c r="J84" s="1682" t="str">
        <f>IF(K81=0,"after accident","after any causes")</f>
        <v>after any causes</v>
      </c>
      <c r="K84" s="1682"/>
    </row>
    <row r="85" spans="4:14" s="1159" customFormat="1">
      <c r="D85" s="1231" t="s">
        <v>2113</v>
      </c>
      <c r="E85" s="1294"/>
      <c r="F85" s="1124"/>
      <c r="G85" s="1124"/>
      <c r="H85" s="1124"/>
      <c r="I85" s="1124"/>
      <c r="J85" s="1248" t="str">
        <f>IF(J78="","","Duration: "&amp;Cotations!$CX$15&amp;" days Waiting period "&amp;Cotations!$CW$15&amp;" days")</f>
        <v>Duration: 365 days Waiting period 7 days</v>
      </c>
      <c r="K85" s="1249" t="str">
        <f>IF(K78="","","Duration: "&amp;Cotations!$CX$15&amp;" days Waiting period "&amp;Cotations!$CW$15&amp;" days")</f>
        <v>Duration: 365 days Waiting period 7 days</v>
      </c>
    </row>
    <row r="86" spans="4:14" s="1159" customFormat="1">
      <c r="D86" s="1231" t="s">
        <v>20</v>
      </c>
      <c r="E86" s="1295" t="str">
        <f>lig3_Formula_MED</f>
        <v>Medical Excellent and Homeland</v>
      </c>
      <c r="F86" s="1124" t="str">
        <f>lig3_Formula_PREVOY</f>
        <v>Formula Day Worker</v>
      </c>
      <c r="G86" s="1124"/>
      <c r="H86" s="1124"/>
      <c r="I86" s="1124"/>
      <c r="J86" s="1248"/>
      <c r="K86" s="1249"/>
    </row>
    <row r="87" spans="4:14" s="1159" customFormat="1">
      <c r="D87" s="1231" t="s">
        <v>2792</v>
      </c>
      <c r="E87" s="1294"/>
      <c r="F87" s="1944" t="b">
        <f>IF(F81=G81,TRUE,FALSE)</f>
        <v>1</v>
      </c>
      <c r="G87" s="1944"/>
      <c r="H87" s="1944" t="b">
        <f>IF(H81=I81,TRUE,FALSE)</f>
        <v>1</v>
      </c>
      <c r="I87" s="1944"/>
      <c r="J87" s="1944" t="str">
        <f>IF(J81="","",IF(J81=K81,TRUE,FALSE))</f>
        <v/>
      </c>
      <c r="K87" s="1944"/>
    </row>
    <row r="88" spans="4:14" s="1159" customFormat="1">
      <c r="D88" s="1231" t="s">
        <v>2792</v>
      </c>
      <c r="E88" s="1294"/>
      <c r="F88" s="1944" t="b">
        <f>IF(F83=G83,TRUE,FALSE)</f>
        <v>1</v>
      </c>
      <c r="G88" s="1944"/>
      <c r="H88" s="1944" t="b">
        <f>IF(H83=I83,TRUE,FALSE)</f>
        <v>1</v>
      </c>
      <c r="I88" s="1944"/>
      <c r="J88" s="1944" t="str">
        <f>IF(J81="","",IF(J83=K83,TRUE,FALSE))</f>
        <v/>
      </c>
      <c r="K88" s="1944"/>
    </row>
    <row r="89" spans="4:14" s="1159" customFormat="1">
      <c r="D89" s="1231" t="s">
        <v>2792</v>
      </c>
      <c r="E89" s="1294"/>
      <c r="F89" s="1945" t="str">
        <f>IF(F88=TRUE,F83,FALSE)</f>
        <v/>
      </c>
      <c r="G89" s="1945"/>
      <c r="H89" s="1945" t="str">
        <f>IF(H88=TRUE,H83,FALSE)</f>
        <v/>
      </c>
      <c r="I89" s="1945"/>
      <c r="J89" s="1945" t="str">
        <f>IF(J81="","",IF(J88=TRUE,J83,FALSE))</f>
        <v/>
      </c>
      <c r="K89" s="1945"/>
    </row>
    <row r="90" spans="4:14" s="1159" customFormat="1">
      <c r="D90" s="1231"/>
      <c r="E90" s="1294"/>
      <c r="F90" s="1929" t="str">
        <f>IF(F87=FALSE,F75&amp;" "&amp;F81&amp;" "&amp;F83&amp;" "&amp;F77&amp;", "&amp;G75&amp;" "&amp;G81&amp;" "&amp;G83,F81&amp;" "&amp;F77&amp;" "&amp;F89)</f>
        <v xml:space="preserve">50000 EUR </v>
      </c>
      <c r="G90" s="1929"/>
      <c r="H90" s="1929" t="str">
        <f>IF(H87=FALSE,H75&amp;" "&amp;H81&amp;" "&amp;H83&amp;" "&amp;H77&amp;", "&amp;I75&amp;" "&amp;I81&amp;" "&amp;I83,H81&amp;" "&amp;H77&amp;" "&amp;H89)</f>
        <v xml:space="preserve">50000 EUR </v>
      </c>
      <c r="I90" s="1929"/>
      <c r="J90" s="1929" t="str">
        <f>IF(J81="","",IF(J87=FALSE,J75&amp;" "&amp;J81&amp;" "&amp;J83&amp;", "&amp;K75&amp;" "&amp;K81&amp;" "&amp;K83,"TTD "&amp;J81&amp;" "&amp;J89))</f>
        <v/>
      </c>
      <c r="K90" s="1929"/>
    </row>
    <row r="91" spans="4:14" s="1159" customFormat="1">
      <c r="D91" s="1231"/>
      <c r="E91" s="1294"/>
      <c r="F91" s="1929" t="str">
        <f>IF(F90=H90,"LOL&amp;PTD "&amp;F90)</f>
        <v xml:space="preserve">LOL&amp;PTD 50000 EUR </v>
      </c>
      <c r="G91" s="1929"/>
      <c r="H91" s="1929"/>
      <c r="I91" s="1929"/>
      <c r="J91" s="1929" t="str">
        <f>J90</f>
        <v/>
      </c>
      <c r="K91" s="1929"/>
    </row>
    <row r="92" spans="4:14" s="1159" customFormat="1">
      <c r="E92" s="1294"/>
      <c r="F92" s="1929" t="str">
        <f>F91&amp;", "&amp;J91</f>
        <v xml:space="preserve">LOL&amp;PTD 50000 EUR , </v>
      </c>
      <c r="G92" s="1929"/>
      <c r="H92" s="1929"/>
      <c r="I92" s="1929"/>
      <c r="J92" s="1929"/>
      <c r="K92" s="1929"/>
    </row>
    <row r="93" spans="4:14" s="1159" customFormat="1">
      <c r="E93" s="1294" t="str">
        <f>IF(E76="","",lig3_Persons)</f>
        <v>Day Workers</v>
      </c>
      <c r="F93" s="1930" t="str">
        <f>lig3_Persons</f>
        <v>Day Workers</v>
      </c>
      <c r="G93" s="1931"/>
      <c r="H93" s="1931"/>
      <c r="I93" s="1931"/>
      <c r="J93" s="1931"/>
      <c r="K93" s="1932"/>
    </row>
    <row r="94" spans="4:14" s="1159" customFormat="1">
      <c r="D94" s="1232" t="s">
        <v>2777</v>
      </c>
      <c r="E94" s="1296" t="str">
        <f>IF(E76="","",E86&amp;" for "&amp;E93)</f>
        <v>Medical Excellent and Homeland for Day Workers</v>
      </c>
      <c r="F94" s="1930" t="str">
        <f>F86&amp;": "&amp;F92&amp;" for "&amp;F93</f>
        <v>Formula Day Worker: LOL&amp;PTD 50000 EUR ,  for Day Workers</v>
      </c>
      <c r="G94" s="1931"/>
      <c r="H94" s="1931"/>
      <c r="I94" s="1931"/>
      <c r="J94" s="1931"/>
      <c r="K94" s="1932"/>
    </row>
    <row r="95" spans="4:14" s="1159" customFormat="1">
      <c r="D95" s="1232" t="s">
        <v>2817</v>
      </c>
      <c r="E95" s="1296" t="str">
        <f>IF(E76="","",E76&amp;" ("&amp;E93&amp;")")</f>
        <v>140494 (Day Workers)</v>
      </c>
      <c r="F95" s="1940" t="str">
        <f>F76&amp;" ("&amp;F93&amp;")"</f>
        <v>140494 (Day Workers)</v>
      </c>
      <c r="G95" s="1941"/>
      <c r="H95" s="1232"/>
      <c r="I95" s="1232"/>
      <c r="J95" s="1232"/>
      <c r="K95" s="1232"/>
    </row>
    <row r="96" spans="4:14">
      <c r="L96" s="1159"/>
      <c r="M96" s="1159"/>
      <c r="N96" s="1159"/>
    </row>
    <row r="97" spans="12:14">
      <c r="L97" s="1159"/>
      <c r="M97" s="1159"/>
      <c r="N97" s="1159"/>
    </row>
    <row r="98" spans="12:14">
      <c r="L98" s="1159"/>
      <c r="M98" s="1159"/>
      <c r="N98" s="1159"/>
    </row>
    <row r="99" spans="12:14">
      <c r="L99" s="1159"/>
      <c r="M99" s="1159"/>
      <c r="N99" s="1159"/>
    </row>
    <row r="100" spans="12:14">
      <c r="L100" s="1159"/>
      <c r="M100" s="1159"/>
      <c r="N100" s="1159"/>
    </row>
    <row r="101" spans="12:14">
      <c r="L101" s="1159"/>
      <c r="M101" s="1159"/>
      <c r="N101" s="1159"/>
    </row>
    <row r="102" spans="12:14">
      <c r="L102" s="1159"/>
      <c r="M102" s="1159"/>
      <c r="N102" s="1159"/>
    </row>
    <row r="103" spans="12:14">
      <c r="L103" s="1159"/>
      <c r="M103" s="1159"/>
      <c r="N103" s="1159"/>
    </row>
    <row r="104" spans="12:14">
      <c r="L104" s="1159"/>
      <c r="M104" s="1159"/>
      <c r="N104" s="1159"/>
    </row>
    <row r="105" spans="12:14">
      <c r="L105" s="1159"/>
      <c r="M105" s="1159"/>
      <c r="N105" s="1159"/>
    </row>
    <row r="106" spans="12:14">
      <c r="L106" s="1159"/>
      <c r="M106" s="1159"/>
      <c r="N106" s="1159"/>
    </row>
    <row r="107" spans="12:14">
      <c r="L107" s="1159"/>
      <c r="M107" s="1159"/>
      <c r="N107" s="1159"/>
    </row>
    <row r="108" spans="12:14">
      <c r="L108" s="1159"/>
      <c r="M108" s="1159"/>
      <c r="N108" s="1159"/>
    </row>
    <row r="109" spans="12:14">
      <c r="L109" s="1159"/>
      <c r="M109" s="1159"/>
      <c r="N109" s="1159"/>
    </row>
    <row r="110" spans="12:14">
      <c r="L110" s="1159"/>
      <c r="M110" s="1159"/>
      <c r="N110" s="1159"/>
    </row>
    <row r="111" spans="12:14">
      <c r="L111" s="1159"/>
      <c r="M111" s="1159"/>
      <c r="N111" s="1159"/>
    </row>
    <row r="112" spans="12:14">
      <c r="L112" s="1159"/>
      <c r="M112" s="1159"/>
      <c r="N112" s="1159"/>
    </row>
  </sheetData>
  <mergeCells count="58">
    <mergeCell ref="F95:G95"/>
    <mergeCell ref="F91:I91"/>
    <mergeCell ref="J91:K91"/>
    <mergeCell ref="F92:K92"/>
    <mergeCell ref="F93:K93"/>
    <mergeCell ref="F94:K94"/>
    <mergeCell ref="F89:G89"/>
    <mergeCell ref="H89:I89"/>
    <mergeCell ref="J89:K89"/>
    <mergeCell ref="F90:G90"/>
    <mergeCell ref="H90:I90"/>
    <mergeCell ref="J90:K90"/>
    <mergeCell ref="F87:G87"/>
    <mergeCell ref="H87:I87"/>
    <mergeCell ref="J87:K87"/>
    <mergeCell ref="F88:G88"/>
    <mergeCell ref="H88:I88"/>
    <mergeCell ref="J88:K88"/>
    <mergeCell ref="F70:G70"/>
    <mergeCell ref="F41:G41"/>
    <mergeCell ref="F84:G84"/>
    <mergeCell ref="H84:I84"/>
    <mergeCell ref="J84:K84"/>
    <mergeCell ref="F62:G62"/>
    <mergeCell ref="H62:I62"/>
    <mergeCell ref="J62:K62"/>
    <mergeCell ref="F58:G58"/>
    <mergeCell ref="H58:I58"/>
    <mergeCell ref="J58:K58"/>
    <mergeCell ref="F61:G61"/>
    <mergeCell ref="H61:I61"/>
    <mergeCell ref="J61:K61"/>
    <mergeCell ref="F65:G65"/>
    <mergeCell ref="H65:I65"/>
    <mergeCell ref="F33:G33"/>
    <mergeCell ref="H33:I33"/>
    <mergeCell ref="J33:K33"/>
    <mergeCell ref="M2:N2"/>
    <mergeCell ref="F29:G29"/>
    <mergeCell ref="H29:I29"/>
    <mergeCell ref="J29:K29"/>
    <mergeCell ref="F32:G32"/>
    <mergeCell ref="H32:I32"/>
    <mergeCell ref="J32:K32"/>
    <mergeCell ref="F39:K39"/>
    <mergeCell ref="F40:K40"/>
    <mergeCell ref="H36:I36"/>
    <mergeCell ref="J36:K36"/>
    <mergeCell ref="F36:G36"/>
    <mergeCell ref="F38:K38"/>
    <mergeCell ref="F37:I37"/>
    <mergeCell ref="J37:K37"/>
    <mergeCell ref="J65:K65"/>
    <mergeCell ref="F67:K67"/>
    <mergeCell ref="F68:K68"/>
    <mergeCell ref="F69:K69"/>
    <mergeCell ref="F66:I66"/>
    <mergeCell ref="J66:K66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7030A0"/>
  </sheetPr>
  <dimension ref="A1:T154"/>
  <sheetViews>
    <sheetView workbookViewId="0">
      <selection activeCell="D21" sqref="D21"/>
    </sheetView>
  </sheetViews>
  <sheetFormatPr baseColWidth="10" defaultColWidth="11.42578125" defaultRowHeight="15"/>
  <cols>
    <col min="1" max="1" width="7.140625" customWidth="1"/>
    <col min="2" max="2" width="9.5703125" customWidth="1"/>
    <col min="3" max="3" width="21.5703125" customWidth="1"/>
    <col min="4" max="4" width="30.7109375" customWidth="1"/>
    <col min="5" max="5" width="42.28515625" customWidth="1"/>
    <col min="6" max="6" width="14.85546875" customWidth="1"/>
    <col min="7" max="7" width="23" customWidth="1"/>
    <col min="9" max="9" width="19.42578125" customWidth="1"/>
    <col min="10" max="10" width="18.7109375" customWidth="1"/>
    <col min="18" max="18" width="30" customWidth="1"/>
    <col min="20" max="20" width="26.42578125" customWidth="1"/>
  </cols>
  <sheetData>
    <row r="1" spans="1:20" s="654" customFormat="1">
      <c r="A1" s="65">
        <v>73</v>
      </c>
      <c r="B1" s="65">
        <f>INDEX(B4:B300,$A$1,1)</f>
        <v>0</v>
      </c>
      <c r="C1" s="65" t="str">
        <f>INDEX(C4:C300,$A$1,1)</f>
        <v>ICS</v>
      </c>
      <c r="D1" s="65" t="str">
        <f t="shared" ref="D1:T1" si="0">INDEX(D4:D300,$A$1,1)</f>
        <v/>
      </c>
      <c r="E1" s="65" t="str">
        <f t="shared" si="0"/>
        <v>ICS</v>
      </c>
      <c r="F1" s="65" t="str">
        <f t="shared" si="0"/>
        <v>MASTER</v>
      </c>
      <c r="G1" s="65" t="str">
        <f t="shared" si="0"/>
        <v>Insurance Broker</v>
      </c>
      <c r="H1" s="65" t="str">
        <f t="shared" si="0"/>
        <v>Centre Mercure -Avenue de la Gare, 41</v>
      </c>
      <c r="I1" s="65" t="str">
        <f t="shared" si="0"/>
        <v>L-1611</v>
      </c>
      <c r="J1" s="65" t="str">
        <f t="shared" si="0"/>
        <v>Luxembourg</v>
      </c>
      <c r="K1" s="65" t="str">
        <f t="shared" si="0"/>
        <v>LUXEMBOURG</v>
      </c>
      <c r="L1" s="65">
        <f t="shared" si="0"/>
        <v>0</v>
      </c>
      <c r="M1" s="65" t="str">
        <f t="shared" si="0"/>
        <v>(00352) 27 44 54</v>
      </c>
      <c r="N1" s="65" t="str">
        <f t="shared" si="0"/>
        <v>(00352) 45 75 54</v>
      </c>
      <c r="O1" s="65" t="str">
        <f t="shared" si="0"/>
        <v>Affiché</v>
      </c>
      <c r="P1" s="65">
        <f t="shared" si="0"/>
        <v>0</v>
      </c>
      <c r="Q1" s="65">
        <f t="shared" si="0"/>
        <v>0</v>
      </c>
      <c r="R1" s="65">
        <f t="shared" si="0"/>
        <v>0</v>
      </c>
      <c r="S1" s="65">
        <f t="shared" si="0"/>
        <v>0</v>
      </c>
      <c r="T1" s="65">
        <f t="shared" si="0"/>
        <v>0</v>
      </c>
    </row>
    <row r="2" spans="1:20">
      <c r="A2" s="64">
        <v>32</v>
      </c>
      <c r="B2" s="65" t="str">
        <f>INDEX(B4:B300,$A$2,1)</f>
        <v>M3057</v>
      </c>
      <c r="C2" s="65" t="str">
        <f>INDEX(C4:C300,$A$2,1)</f>
        <v/>
      </c>
      <c r="D2" s="65" t="str">
        <f t="shared" ref="D2:T2" si="1">INDEX(D4:D300,$A$2,1)</f>
        <v xml:space="preserve">BOATTRUST </v>
      </c>
      <c r="E2" s="65" t="str">
        <f t="shared" si="1"/>
        <v xml:space="preserve">BOATTRUST </v>
      </c>
      <c r="F2" s="65" t="str">
        <f t="shared" si="1"/>
        <v>CREW</v>
      </c>
      <c r="G2" s="65" t="str">
        <f t="shared" si="1"/>
        <v>Manager</v>
      </c>
      <c r="H2" s="65" t="str">
        <f t="shared" si="1"/>
        <v>Rua Nova do Pina, n.º 4-B</v>
      </c>
      <c r="I2" s="65" t="str">
        <f t="shared" si="1"/>
        <v xml:space="preserve">P-9000 - 068 </v>
      </c>
      <c r="J2" s="65" t="str">
        <f t="shared" si="1"/>
        <v>FUNCHAL, MADEIRA</v>
      </c>
      <c r="K2" s="65" t="str">
        <f t="shared" si="1"/>
        <v>Portugal</v>
      </c>
      <c r="L2" s="65">
        <f t="shared" si="1"/>
        <v>0</v>
      </c>
      <c r="M2" s="65" t="str">
        <f t="shared" si="1"/>
        <v>(00377) 97 77 81 77</v>
      </c>
      <c r="N2" s="65">
        <f t="shared" si="1"/>
        <v>0</v>
      </c>
      <c r="O2" s="65" t="str">
        <f t="shared" si="1"/>
        <v>Caché</v>
      </c>
      <c r="P2" s="65">
        <f t="shared" si="1"/>
        <v>0.08</v>
      </c>
      <c r="Q2" s="65">
        <f t="shared" si="1"/>
        <v>0</v>
      </c>
      <c r="R2" s="65">
        <f t="shared" si="1"/>
        <v>0</v>
      </c>
      <c r="S2" s="65">
        <f t="shared" si="1"/>
        <v>0</v>
      </c>
      <c r="T2" s="65">
        <f t="shared" si="1"/>
        <v>0</v>
      </c>
    </row>
    <row r="3" spans="1:20" s="660" customFormat="1" ht="39.950000000000003" customHeight="1">
      <c r="A3" s="657" t="s">
        <v>2151</v>
      </c>
      <c r="B3" s="657" t="s">
        <v>2436</v>
      </c>
      <c r="C3" s="66" t="s">
        <v>2437</v>
      </c>
      <c r="D3" s="66" t="s">
        <v>2438</v>
      </c>
      <c r="E3" s="657" t="s">
        <v>213</v>
      </c>
      <c r="F3" s="657" t="s">
        <v>2439</v>
      </c>
      <c r="G3" s="657" t="s">
        <v>2440</v>
      </c>
      <c r="H3" s="657" t="s">
        <v>214</v>
      </c>
      <c r="I3" s="657" t="s">
        <v>215</v>
      </c>
      <c r="J3" s="657" t="s">
        <v>216</v>
      </c>
      <c r="K3" s="657" t="s">
        <v>217</v>
      </c>
      <c r="L3" s="657" t="s">
        <v>1151</v>
      </c>
      <c r="M3" s="658" t="s">
        <v>218</v>
      </c>
      <c r="N3" s="658" t="s">
        <v>219</v>
      </c>
      <c r="O3" s="658" t="s">
        <v>2441</v>
      </c>
      <c r="P3" s="658" t="s">
        <v>220</v>
      </c>
      <c r="Q3" s="659" t="s">
        <v>221</v>
      </c>
      <c r="R3" s="659" t="s">
        <v>222</v>
      </c>
      <c r="S3" s="659" t="s">
        <v>223</v>
      </c>
      <c r="T3" s="658" t="s">
        <v>224</v>
      </c>
    </row>
    <row r="4" spans="1:20" s="422" customFormat="1" ht="15" customHeight="1">
      <c r="A4" s="76">
        <v>1</v>
      </c>
      <c r="B4" s="76" t="s">
        <v>225</v>
      </c>
      <c r="C4" s="1413" t="str">
        <f>IF(G4="Insurance Broker",E4,"")</f>
        <v>A2C</v>
      </c>
      <c r="D4" s="1413" t="str">
        <f>IF(G4="Insurance Broker","",E4)</f>
        <v/>
      </c>
      <c r="E4" s="69" t="s">
        <v>2442</v>
      </c>
      <c r="F4" s="69" t="s">
        <v>592</v>
      </c>
      <c r="G4" s="76" t="s">
        <v>226</v>
      </c>
      <c r="H4" s="76" t="s">
        <v>227</v>
      </c>
      <c r="I4" s="76" t="s">
        <v>228</v>
      </c>
      <c r="J4" s="76" t="s">
        <v>229</v>
      </c>
      <c r="K4" s="76" t="s">
        <v>230</v>
      </c>
      <c r="L4" s="76"/>
      <c r="M4" s="76" t="s">
        <v>231</v>
      </c>
      <c r="N4" s="76" t="s">
        <v>232</v>
      </c>
      <c r="O4" s="76" t="s">
        <v>2443</v>
      </c>
      <c r="P4" s="661">
        <v>0</v>
      </c>
      <c r="Q4" s="662"/>
      <c r="R4" s="661"/>
      <c r="S4" s="661"/>
      <c r="T4" s="76" t="s">
        <v>233</v>
      </c>
    </row>
    <row r="5" spans="1:20" s="422" customFormat="1" ht="15" customHeight="1">
      <c r="A5" s="580">
        <v>2</v>
      </c>
      <c r="B5" s="721"/>
      <c r="C5" s="1413" t="str">
        <f t="shared" ref="C5:C68" si="2">IF(G5="Insurance Broker",E5,"")</f>
        <v/>
      </c>
      <c r="D5" s="1413" t="str">
        <f t="shared" ref="D5:D68" si="3">IF(G5="Insurance Broker","",E5)</f>
        <v>A7rent</v>
      </c>
      <c r="E5" s="69" t="s">
        <v>1631</v>
      </c>
      <c r="F5" s="69" t="s">
        <v>1159</v>
      </c>
      <c r="G5" s="721" t="s">
        <v>99</v>
      </c>
      <c r="H5" s="69"/>
      <c r="I5" s="69"/>
      <c r="J5" s="69"/>
      <c r="K5" s="69"/>
      <c r="L5" s="69"/>
      <c r="M5" s="721"/>
      <c r="N5" s="580"/>
      <c r="O5" s="721" t="s">
        <v>2475</v>
      </c>
      <c r="P5" s="721"/>
      <c r="Q5" s="721"/>
      <c r="R5" s="665"/>
      <c r="S5" s="665"/>
      <c r="T5" s="721"/>
    </row>
    <row r="6" spans="1:20" s="422" customFormat="1" ht="15" customHeight="1">
      <c r="A6" s="580">
        <v>3</v>
      </c>
      <c r="B6" s="721"/>
      <c r="C6" s="1413" t="str">
        <f t="shared" si="2"/>
        <v/>
      </c>
      <c r="D6" s="1413" t="str">
        <f t="shared" si="3"/>
        <v>ABC Maritime</v>
      </c>
      <c r="E6" s="580" t="s">
        <v>1028</v>
      </c>
      <c r="F6" s="69" t="s">
        <v>1159</v>
      </c>
      <c r="G6" s="721" t="s">
        <v>99</v>
      </c>
      <c r="H6" s="666" t="s">
        <v>1029</v>
      </c>
      <c r="I6" s="580" t="s">
        <v>910</v>
      </c>
      <c r="J6" s="580" t="s">
        <v>610</v>
      </c>
      <c r="K6" s="721" t="s">
        <v>611</v>
      </c>
      <c r="L6" s="721"/>
      <c r="M6" s="721"/>
      <c r="N6" s="721"/>
      <c r="O6" s="721" t="s">
        <v>2475</v>
      </c>
      <c r="P6" s="721"/>
      <c r="Q6" s="721"/>
      <c r="R6" s="665"/>
      <c r="S6" s="665"/>
      <c r="T6" s="580"/>
    </row>
    <row r="7" spans="1:20" s="422" customFormat="1" ht="15" customHeight="1">
      <c r="A7" s="1401">
        <v>4</v>
      </c>
      <c r="B7" s="721"/>
      <c r="C7" s="1413" t="str">
        <f t="shared" si="2"/>
        <v/>
      </c>
      <c r="D7" s="1413" t="str">
        <f t="shared" si="3"/>
        <v>Adros Shipping Limited</v>
      </c>
      <c r="E7" s="721" t="s">
        <v>1725</v>
      </c>
      <c r="F7" s="69" t="s">
        <v>1159</v>
      </c>
      <c r="G7" s="721" t="s">
        <v>99</v>
      </c>
      <c r="H7" s="666"/>
      <c r="I7" s="580"/>
      <c r="J7" s="580"/>
      <c r="K7" s="721"/>
      <c r="L7" s="721"/>
      <c r="M7" s="721"/>
      <c r="N7" s="721"/>
      <c r="O7" s="721" t="s">
        <v>2475</v>
      </c>
      <c r="P7" s="721"/>
      <c r="Q7" s="721"/>
      <c r="R7" s="665"/>
      <c r="S7" s="665"/>
      <c r="T7" s="580"/>
    </row>
    <row r="8" spans="1:20" s="422" customFormat="1" ht="15" customHeight="1">
      <c r="A8" s="1400">
        <v>5</v>
      </c>
      <c r="B8" s="77" t="s">
        <v>234</v>
      </c>
      <c r="C8" s="1413" t="str">
        <f t="shared" si="2"/>
        <v>AFMA</v>
      </c>
      <c r="D8" s="1413" t="str">
        <f t="shared" si="3"/>
        <v/>
      </c>
      <c r="E8" s="69" t="s">
        <v>235</v>
      </c>
      <c r="F8" s="69" t="s">
        <v>592</v>
      </c>
      <c r="G8" s="76" t="s">
        <v>226</v>
      </c>
      <c r="H8" s="663" t="s">
        <v>236</v>
      </c>
      <c r="I8" s="664"/>
      <c r="J8" s="76" t="s">
        <v>237</v>
      </c>
      <c r="K8" s="76" t="s">
        <v>238</v>
      </c>
      <c r="L8" s="76"/>
      <c r="M8" s="76" t="s">
        <v>239</v>
      </c>
      <c r="N8" s="721" t="s">
        <v>240</v>
      </c>
      <c r="O8" s="76" t="s">
        <v>2443</v>
      </c>
      <c r="P8" s="661">
        <v>0.12</v>
      </c>
      <c r="Q8" s="662"/>
      <c r="R8" s="665"/>
      <c r="S8" s="665"/>
      <c r="T8" s="76"/>
    </row>
    <row r="9" spans="1:20" s="422" customFormat="1" ht="15" customHeight="1">
      <c r="A9" s="1400">
        <v>6</v>
      </c>
      <c r="B9" s="721"/>
      <c r="C9" s="1413" t="str">
        <f t="shared" si="2"/>
        <v/>
      </c>
      <c r="D9" s="1413" t="str">
        <f t="shared" si="3"/>
        <v>Alliance Yacht Management Ltd</v>
      </c>
      <c r="E9" s="721" t="s">
        <v>1522</v>
      </c>
      <c r="F9" s="69" t="s">
        <v>1159</v>
      </c>
      <c r="G9" s="721" t="s">
        <v>99</v>
      </c>
      <c r="H9" s="721" t="s">
        <v>1523</v>
      </c>
      <c r="I9" s="721" t="s">
        <v>1524</v>
      </c>
      <c r="J9" s="721" t="s">
        <v>1525</v>
      </c>
      <c r="K9" s="721" t="s">
        <v>1526</v>
      </c>
      <c r="L9" s="721"/>
      <c r="M9" s="721"/>
      <c r="N9" s="721"/>
      <c r="O9" s="721" t="s">
        <v>2475</v>
      </c>
      <c r="P9" s="721"/>
      <c r="Q9" s="721"/>
      <c r="R9" s="665"/>
      <c r="S9" s="665"/>
      <c r="T9" s="580"/>
    </row>
    <row r="10" spans="1:20" s="422" customFormat="1" ht="15" customHeight="1">
      <c r="A10" s="1401">
        <v>7</v>
      </c>
      <c r="B10" s="755"/>
      <c r="C10" s="1413" t="str">
        <f t="shared" si="2"/>
        <v>Allianz Franck LEBLANC</v>
      </c>
      <c r="D10" s="1413" t="str">
        <f t="shared" si="3"/>
        <v/>
      </c>
      <c r="E10" s="756" t="s">
        <v>2586</v>
      </c>
      <c r="F10" s="69" t="s">
        <v>592</v>
      </c>
      <c r="G10" s="773" t="s">
        <v>226</v>
      </c>
      <c r="H10" s="756" t="s">
        <v>2587</v>
      </c>
      <c r="I10" s="756" t="s">
        <v>334</v>
      </c>
      <c r="J10" s="756" t="s">
        <v>584</v>
      </c>
      <c r="K10" s="756" t="s">
        <v>230</v>
      </c>
      <c r="L10" s="755"/>
      <c r="M10" s="756" t="s">
        <v>2588</v>
      </c>
      <c r="N10" s="756" t="s">
        <v>2589</v>
      </c>
      <c r="O10" s="721" t="s">
        <v>2590</v>
      </c>
      <c r="P10" s="661">
        <v>0.12</v>
      </c>
      <c r="Q10" s="661">
        <v>0.12</v>
      </c>
      <c r="R10" s="755"/>
      <c r="S10" s="755"/>
      <c r="T10" s="755"/>
    </row>
    <row r="11" spans="1:20" s="422" customFormat="1" ht="15" customHeight="1">
      <c r="A11" s="1400">
        <v>8</v>
      </c>
      <c r="B11" s="771"/>
      <c r="C11" s="1413" t="str">
        <f t="shared" si="2"/>
        <v/>
      </c>
      <c r="D11" s="1413" t="str">
        <f t="shared" si="3"/>
        <v>Amiri fleet</v>
      </c>
      <c r="E11" s="580" t="s">
        <v>1574</v>
      </c>
      <c r="F11" s="69" t="s">
        <v>1159</v>
      </c>
      <c r="G11" s="771" t="s">
        <v>99</v>
      </c>
      <c r="H11" s="666"/>
      <c r="I11" s="580"/>
      <c r="J11" s="580"/>
      <c r="K11" s="771"/>
      <c r="L11" s="771"/>
      <c r="M11" s="771"/>
      <c r="N11" s="771"/>
      <c r="O11" s="771" t="s">
        <v>2475</v>
      </c>
      <c r="P11" s="771"/>
      <c r="Q11" s="771"/>
      <c r="R11" s="665"/>
      <c r="S11" s="665"/>
      <c r="T11" s="580"/>
    </row>
    <row r="12" spans="1:20" s="422" customFormat="1" ht="15" customHeight="1">
      <c r="A12" s="1400">
        <v>9</v>
      </c>
      <c r="B12" s="76" t="s">
        <v>241</v>
      </c>
      <c r="C12" s="1413" t="str">
        <f t="shared" si="2"/>
        <v>ANP</v>
      </c>
      <c r="D12" s="1413" t="str">
        <f t="shared" si="3"/>
        <v/>
      </c>
      <c r="E12" s="771" t="s">
        <v>1305</v>
      </c>
      <c r="F12" s="69" t="s">
        <v>592</v>
      </c>
      <c r="G12" s="76" t="s">
        <v>226</v>
      </c>
      <c r="H12" s="771" t="s">
        <v>1396</v>
      </c>
      <c r="I12" s="580" t="s">
        <v>242</v>
      </c>
      <c r="J12" s="580" t="s">
        <v>243</v>
      </c>
      <c r="K12" s="69" t="s">
        <v>54</v>
      </c>
      <c r="L12" s="69"/>
      <c r="M12" s="76" t="s">
        <v>244</v>
      </c>
      <c r="N12" s="773" t="s">
        <v>245</v>
      </c>
      <c r="O12" s="76" t="s">
        <v>2443</v>
      </c>
      <c r="P12" s="661">
        <v>0.15</v>
      </c>
      <c r="Q12" s="662"/>
      <c r="R12" s="661"/>
      <c r="S12" s="661"/>
      <c r="T12" s="580"/>
    </row>
    <row r="13" spans="1:20" s="422" customFormat="1" ht="15" customHeight="1">
      <c r="A13" s="1401">
        <v>10</v>
      </c>
      <c r="B13" s="76" t="s">
        <v>249</v>
      </c>
      <c r="C13" s="1413" t="str">
        <f t="shared" si="2"/>
        <v>April Marine</v>
      </c>
      <c r="D13" s="1413" t="str">
        <f t="shared" si="3"/>
        <v/>
      </c>
      <c r="E13" s="757" t="s">
        <v>628</v>
      </c>
      <c r="F13" s="69" t="s">
        <v>592</v>
      </c>
      <c r="G13" s="76" t="s">
        <v>226</v>
      </c>
      <c r="H13" s="666" t="s">
        <v>246</v>
      </c>
      <c r="I13" s="721" t="s">
        <v>247</v>
      </c>
      <c r="J13" s="721" t="s">
        <v>53</v>
      </c>
      <c r="K13" s="757" t="s">
        <v>54</v>
      </c>
      <c r="L13" s="757"/>
      <c r="M13" s="76" t="s">
        <v>2444</v>
      </c>
      <c r="N13" s="77" t="s">
        <v>248</v>
      </c>
      <c r="O13" s="76" t="s">
        <v>2443</v>
      </c>
      <c r="P13" s="661">
        <v>0.15</v>
      </c>
      <c r="Q13" s="665"/>
      <c r="R13" s="661"/>
      <c r="S13" s="661"/>
      <c r="T13" s="721"/>
    </row>
    <row r="14" spans="1:20" s="422" customFormat="1" ht="15" customHeight="1">
      <c r="A14" s="1400">
        <v>11</v>
      </c>
      <c r="B14" s="76" t="s">
        <v>250</v>
      </c>
      <c r="C14" s="1413" t="str">
        <f t="shared" si="2"/>
        <v>April Yacht</v>
      </c>
      <c r="D14" s="1413" t="str">
        <f t="shared" si="3"/>
        <v/>
      </c>
      <c r="E14" s="771" t="s">
        <v>251</v>
      </c>
      <c r="F14" s="69" t="s">
        <v>592</v>
      </c>
      <c r="G14" s="76" t="s">
        <v>226</v>
      </c>
      <c r="H14" s="667" t="s">
        <v>2445</v>
      </c>
      <c r="I14" s="771" t="s">
        <v>252</v>
      </c>
      <c r="J14" s="771" t="s">
        <v>1128</v>
      </c>
      <c r="K14" s="771" t="s">
        <v>1129</v>
      </c>
      <c r="L14" s="771"/>
      <c r="M14" s="76" t="s">
        <v>253</v>
      </c>
      <c r="N14" s="76" t="s">
        <v>254</v>
      </c>
      <c r="O14" s="773" t="s">
        <v>2443</v>
      </c>
      <c r="P14" s="661">
        <v>0.15</v>
      </c>
      <c r="Q14" s="662"/>
      <c r="R14" s="661"/>
      <c r="S14" s="661"/>
      <c r="T14" s="771"/>
    </row>
    <row r="15" spans="1:20" s="422" customFormat="1" ht="15" customHeight="1">
      <c r="A15" s="1400">
        <v>12</v>
      </c>
      <c r="B15" s="773" t="s">
        <v>255</v>
      </c>
      <c r="C15" s="1413" t="str">
        <f t="shared" si="2"/>
        <v/>
      </c>
      <c r="D15" s="1413" t="str">
        <f t="shared" si="3"/>
        <v>AquaMarine</v>
      </c>
      <c r="E15" s="773" t="s">
        <v>256</v>
      </c>
      <c r="F15" s="69" t="s">
        <v>1159</v>
      </c>
      <c r="G15" s="76" t="s">
        <v>99</v>
      </c>
      <c r="H15" s="773" t="s">
        <v>257</v>
      </c>
      <c r="I15" s="773" t="s">
        <v>258</v>
      </c>
      <c r="J15" s="773" t="s">
        <v>259</v>
      </c>
      <c r="K15" s="773" t="s">
        <v>230</v>
      </c>
      <c r="L15" s="773"/>
      <c r="M15" s="773" t="s">
        <v>260</v>
      </c>
      <c r="N15" s="773" t="s">
        <v>261</v>
      </c>
      <c r="O15" s="721" t="s">
        <v>2475</v>
      </c>
      <c r="P15" s="661">
        <v>0.08</v>
      </c>
      <c r="Q15" s="662"/>
      <c r="R15" s="665"/>
      <c r="S15" s="665"/>
      <c r="T15" s="773" t="s">
        <v>262</v>
      </c>
    </row>
    <row r="16" spans="1:20" s="422" customFormat="1" ht="15" customHeight="1">
      <c r="A16" s="1401">
        <v>13</v>
      </c>
      <c r="B16" s="771"/>
      <c r="C16" s="1413" t="str">
        <f t="shared" si="2"/>
        <v/>
      </c>
      <c r="D16" s="1413" t="str">
        <f t="shared" si="3"/>
        <v>Aquila Yachting</v>
      </c>
      <c r="E16" s="771" t="s">
        <v>1671</v>
      </c>
      <c r="F16" s="69" t="s">
        <v>1159</v>
      </c>
      <c r="G16" s="76" t="s">
        <v>99</v>
      </c>
      <c r="H16" s="771" t="s">
        <v>1672</v>
      </c>
      <c r="I16" s="771" t="s">
        <v>1673</v>
      </c>
      <c r="J16" s="771" t="s">
        <v>1674</v>
      </c>
      <c r="K16" s="771" t="s">
        <v>54</v>
      </c>
      <c r="L16" s="771"/>
      <c r="M16" s="771"/>
      <c r="N16" s="771"/>
      <c r="O16" s="771" t="s">
        <v>2475</v>
      </c>
      <c r="P16" s="771"/>
      <c r="Q16" s="771"/>
      <c r="R16" s="665"/>
      <c r="S16" s="665"/>
      <c r="T16" s="721"/>
    </row>
    <row r="17" spans="1:20" s="422" customFormat="1" ht="15" customHeight="1">
      <c r="A17" s="1400">
        <v>14</v>
      </c>
      <c r="B17" s="76" t="s">
        <v>263</v>
      </c>
      <c r="C17" s="1413" t="str">
        <f t="shared" si="2"/>
        <v>ASCOMA MARITIME FRANCE</v>
      </c>
      <c r="D17" s="1413" t="str">
        <f t="shared" si="3"/>
        <v/>
      </c>
      <c r="E17" s="76" t="s">
        <v>264</v>
      </c>
      <c r="F17" s="69" t="s">
        <v>592</v>
      </c>
      <c r="G17" s="76" t="s">
        <v>226</v>
      </c>
      <c r="H17" s="76" t="s">
        <v>265</v>
      </c>
      <c r="I17" s="76" t="s">
        <v>266</v>
      </c>
      <c r="J17" s="76" t="s">
        <v>267</v>
      </c>
      <c r="K17" s="76" t="s">
        <v>230</v>
      </c>
      <c r="L17" s="76"/>
      <c r="M17" s="76" t="s">
        <v>268</v>
      </c>
      <c r="N17" s="76" t="s">
        <v>269</v>
      </c>
      <c r="O17" s="76" t="s">
        <v>2443</v>
      </c>
      <c r="P17" s="661">
        <v>0.15</v>
      </c>
      <c r="Q17" s="662"/>
      <c r="R17" s="661"/>
      <c r="S17" s="661"/>
      <c r="T17" s="771"/>
    </row>
    <row r="18" spans="1:20" s="422" customFormat="1" ht="15" customHeight="1">
      <c r="A18" s="1400">
        <v>15</v>
      </c>
      <c r="B18" s="76" t="s">
        <v>270</v>
      </c>
      <c r="C18" s="1413" t="str">
        <f t="shared" si="2"/>
        <v>ASCOMA MARITIME MONACO</v>
      </c>
      <c r="D18" s="1413" t="str">
        <f t="shared" si="3"/>
        <v/>
      </c>
      <c r="E18" s="773" t="s">
        <v>271</v>
      </c>
      <c r="F18" s="69" t="s">
        <v>592</v>
      </c>
      <c r="G18" s="76" t="s">
        <v>226</v>
      </c>
      <c r="H18" s="773" t="s">
        <v>272</v>
      </c>
      <c r="I18" s="773" t="s">
        <v>273</v>
      </c>
      <c r="J18" s="773" t="s">
        <v>274</v>
      </c>
      <c r="K18" s="773" t="s">
        <v>274</v>
      </c>
      <c r="L18" s="773"/>
      <c r="M18" s="76" t="s">
        <v>275</v>
      </c>
      <c r="N18" s="76" t="s">
        <v>276</v>
      </c>
      <c r="O18" s="76" t="s">
        <v>2443</v>
      </c>
      <c r="P18" s="661">
        <v>0.15</v>
      </c>
      <c r="Q18" s="662"/>
      <c r="R18" s="661"/>
      <c r="S18" s="661"/>
      <c r="T18" s="773" t="s">
        <v>277</v>
      </c>
    </row>
    <row r="19" spans="1:20" s="422" customFormat="1" ht="15" customHeight="1">
      <c r="A19" s="1401">
        <v>16</v>
      </c>
      <c r="B19" s="1400"/>
      <c r="C19" s="1413" t="str">
        <f t="shared" si="2"/>
        <v>ASN One SA</v>
      </c>
      <c r="D19" s="1413" t="str">
        <f t="shared" si="3"/>
        <v/>
      </c>
      <c r="E19" s="1401" t="s">
        <v>2852</v>
      </c>
      <c r="F19" s="69" t="s">
        <v>592</v>
      </c>
      <c r="G19" s="1400" t="s">
        <v>226</v>
      </c>
      <c r="H19" s="666" t="s">
        <v>2853</v>
      </c>
      <c r="I19" s="580">
        <v>1204</v>
      </c>
      <c r="J19" s="580" t="s">
        <v>2854</v>
      </c>
      <c r="K19" s="771" t="s">
        <v>1060</v>
      </c>
      <c r="L19" s="771"/>
      <c r="M19" s="1400"/>
      <c r="N19" s="1400"/>
      <c r="O19" s="1400"/>
      <c r="P19" s="1400"/>
      <c r="Q19" s="1400"/>
      <c r="R19" s="665"/>
      <c r="S19" s="665"/>
      <c r="T19" s="580"/>
    </row>
    <row r="20" spans="1:20" s="422" customFormat="1" ht="15" customHeight="1">
      <c r="A20" s="1400">
        <v>17</v>
      </c>
      <c r="B20" s="773" t="s">
        <v>278</v>
      </c>
      <c r="C20" s="1413" t="str">
        <f t="shared" si="2"/>
        <v xml:space="preserve">Assicurazioni Pagnamenta Insurance Broker SA </v>
      </c>
      <c r="D20" s="1413" t="str">
        <f t="shared" si="3"/>
        <v/>
      </c>
      <c r="E20" s="1400" t="s">
        <v>1009</v>
      </c>
      <c r="F20" s="69" t="s">
        <v>592</v>
      </c>
      <c r="G20" s="76" t="s">
        <v>226</v>
      </c>
      <c r="H20" s="667" t="s">
        <v>1010</v>
      </c>
      <c r="I20" s="771" t="s">
        <v>2446</v>
      </c>
      <c r="J20" s="771" t="s">
        <v>279</v>
      </c>
      <c r="K20" s="1400" t="s">
        <v>1060</v>
      </c>
      <c r="L20" s="1400"/>
      <c r="M20" s="76" t="s">
        <v>281</v>
      </c>
      <c r="N20" s="76" t="s">
        <v>282</v>
      </c>
      <c r="O20" s="76" t="s">
        <v>2443</v>
      </c>
      <c r="P20" s="662">
        <v>0.12</v>
      </c>
      <c r="Q20" s="662"/>
      <c r="R20" s="661"/>
      <c r="S20" s="661"/>
      <c r="T20" s="771"/>
    </row>
    <row r="21" spans="1:20" s="422" customFormat="1" ht="15" customHeight="1">
      <c r="A21" s="1400">
        <v>18</v>
      </c>
      <c r="B21" s="1401"/>
      <c r="C21" s="1413" t="str">
        <f t="shared" si="2"/>
        <v>Aviation Insurance Brokers</v>
      </c>
      <c r="D21" s="1413" t="str">
        <f t="shared" si="3"/>
        <v/>
      </c>
      <c r="E21" s="1397" t="s">
        <v>850</v>
      </c>
      <c r="F21" s="69" t="s">
        <v>592</v>
      </c>
      <c r="G21" s="76" t="s">
        <v>226</v>
      </c>
      <c r="H21" s="666"/>
      <c r="I21" s="1400" t="s">
        <v>851</v>
      </c>
      <c r="J21" s="1400" t="s">
        <v>401</v>
      </c>
      <c r="K21" s="1397" t="s">
        <v>611</v>
      </c>
      <c r="L21" s="1397"/>
      <c r="M21" s="76"/>
      <c r="N21" s="773"/>
      <c r="O21" s="76" t="s">
        <v>2443</v>
      </c>
      <c r="P21" s="662">
        <v>0</v>
      </c>
      <c r="Q21" s="662"/>
      <c r="R21" s="661"/>
      <c r="S21" s="661"/>
      <c r="T21" s="1400"/>
    </row>
    <row r="22" spans="1:20" s="422" customFormat="1" ht="15" customHeight="1">
      <c r="A22" s="1401">
        <v>19</v>
      </c>
      <c r="B22" s="802" t="s">
        <v>283</v>
      </c>
      <c r="C22" s="1413" t="str">
        <f t="shared" si="2"/>
        <v xml:space="preserve">AXA Agences Dumesnil </v>
      </c>
      <c r="D22" s="1413" t="str">
        <f t="shared" si="3"/>
        <v/>
      </c>
      <c r="E22" s="76" t="s">
        <v>284</v>
      </c>
      <c r="F22" s="69" t="s">
        <v>592</v>
      </c>
      <c r="G22" s="76" t="s">
        <v>226</v>
      </c>
      <c r="H22" s="1401" t="s">
        <v>285</v>
      </c>
      <c r="I22" s="76" t="s">
        <v>334</v>
      </c>
      <c r="J22" s="76" t="s">
        <v>286</v>
      </c>
      <c r="K22" s="76" t="s">
        <v>230</v>
      </c>
      <c r="L22" s="76"/>
      <c r="M22" s="773" t="s">
        <v>287</v>
      </c>
      <c r="N22" s="1401"/>
      <c r="O22" s="76" t="s">
        <v>2443</v>
      </c>
      <c r="P22" s="661">
        <v>0.15</v>
      </c>
      <c r="Q22" s="662"/>
      <c r="R22" s="665"/>
      <c r="S22" s="665"/>
      <c r="T22" s="1401"/>
    </row>
    <row r="23" spans="1:20" s="422" customFormat="1" ht="15" customHeight="1">
      <c r="A23" s="1400">
        <v>20</v>
      </c>
      <c r="B23" s="1400"/>
      <c r="C23" s="1413" t="str">
        <f t="shared" si="2"/>
        <v>AXA Agences Mm Maestracci Et Tauleigne</v>
      </c>
      <c r="D23" s="1413" t="str">
        <f t="shared" si="3"/>
        <v/>
      </c>
      <c r="E23" s="773" t="s">
        <v>2447</v>
      </c>
      <c r="F23" s="69" t="s">
        <v>592</v>
      </c>
      <c r="G23" s="76" t="s">
        <v>226</v>
      </c>
      <c r="H23" s="668" t="s">
        <v>2448</v>
      </c>
      <c r="I23" s="773" t="s">
        <v>2449</v>
      </c>
      <c r="J23" s="773" t="s">
        <v>2450</v>
      </c>
      <c r="K23" s="773" t="s">
        <v>54</v>
      </c>
      <c r="L23" s="773"/>
      <c r="M23" s="1401" t="s">
        <v>2451</v>
      </c>
      <c r="N23" s="1400"/>
      <c r="O23" s="76" t="s">
        <v>2443</v>
      </c>
      <c r="P23" s="661">
        <v>0.12</v>
      </c>
      <c r="Q23" s="661">
        <v>0.12</v>
      </c>
      <c r="R23" s="665"/>
      <c r="S23" s="665"/>
      <c r="T23" s="1400"/>
    </row>
    <row r="24" spans="1:20" s="422" customFormat="1" ht="15" customHeight="1">
      <c r="A24" s="1400">
        <v>21</v>
      </c>
      <c r="B24" s="669" t="s">
        <v>288</v>
      </c>
      <c r="C24" s="1413" t="str">
        <f t="shared" si="2"/>
        <v>AXA Insurance Gulf BSC</v>
      </c>
      <c r="D24" s="1413" t="str">
        <f t="shared" si="3"/>
        <v/>
      </c>
      <c r="E24" s="1401" t="s">
        <v>289</v>
      </c>
      <c r="F24" s="69" t="s">
        <v>592</v>
      </c>
      <c r="G24" s="76" t="s">
        <v>226</v>
      </c>
      <c r="H24" s="1401" t="s">
        <v>290</v>
      </c>
      <c r="I24" s="1401" t="s">
        <v>291</v>
      </c>
      <c r="J24" s="1401" t="s">
        <v>292</v>
      </c>
      <c r="K24" s="1401" t="s">
        <v>293</v>
      </c>
      <c r="L24" s="1401"/>
      <c r="M24" s="77"/>
      <c r="N24" s="77"/>
      <c r="O24" s="76" t="s">
        <v>2443</v>
      </c>
      <c r="P24" s="661">
        <v>0.1</v>
      </c>
      <c r="Q24" s="665"/>
      <c r="R24" s="665"/>
      <c r="S24" s="665"/>
      <c r="T24" s="77"/>
    </row>
    <row r="25" spans="1:20" s="422" customFormat="1" ht="15" customHeight="1">
      <c r="A25" s="1401">
        <v>22</v>
      </c>
      <c r="B25" s="669"/>
      <c r="C25" s="1413" t="str">
        <f t="shared" si="2"/>
        <v>AXA LE VACON Michel et  KERMALI Dalida</v>
      </c>
      <c r="D25" s="1413" t="str">
        <f t="shared" si="3"/>
        <v/>
      </c>
      <c r="E25" s="771" t="s">
        <v>919</v>
      </c>
      <c r="F25" s="69" t="s">
        <v>592</v>
      </c>
      <c r="G25" s="76" t="s">
        <v>226</v>
      </c>
      <c r="H25" s="666" t="s">
        <v>571</v>
      </c>
      <c r="I25" s="1400" t="s">
        <v>920</v>
      </c>
      <c r="J25" s="1400" t="s">
        <v>382</v>
      </c>
      <c r="K25" s="1400" t="s">
        <v>54</v>
      </c>
      <c r="L25" s="1400"/>
      <c r="M25" s="802"/>
      <c r="N25" s="802"/>
      <c r="O25" s="773" t="s">
        <v>2443</v>
      </c>
      <c r="P25" s="661">
        <v>0.12</v>
      </c>
      <c r="Q25" s="665"/>
      <c r="R25" s="665"/>
      <c r="S25" s="665"/>
      <c r="T25" s="802"/>
    </row>
    <row r="26" spans="1:20" s="422" customFormat="1" ht="15" customHeight="1">
      <c r="A26" s="1400">
        <v>23</v>
      </c>
      <c r="B26" s="721"/>
      <c r="C26" s="1413" t="str">
        <f t="shared" si="2"/>
        <v>AXA Yachting Solutions</v>
      </c>
      <c r="D26" s="1413" t="str">
        <f t="shared" si="3"/>
        <v/>
      </c>
      <c r="E26" s="1400" t="s">
        <v>294</v>
      </c>
      <c r="F26" s="69" t="s">
        <v>592</v>
      </c>
      <c r="G26" s="76" t="s">
        <v>226</v>
      </c>
      <c r="H26" s="668" t="s">
        <v>295</v>
      </c>
      <c r="I26" s="1401" t="s">
        <v>296</v>
      </c>
      <c r="J26" s="1401" t="s">
        <v>297</v>
      </c>
      <c r="K26" s="1401" t="s">
        <v>54</v>
      </c>
      <c r="L26" s="1401"/>
      <c r="M26" s="76" t="s">
        <v>298</v>
      </c>
      <c r="N26" s="721" t="s">
        <v>299</v>
      </c>
      <c r="O26" s="1401" t="s">
        <v>2443</v>
      </c>
      <c r="P26" s="661">
        <v>0.15</v>
      </c>
      <c r="Q26" s="661"/>
      <c r="R26" s="661"/>
      <c r="S26" s="661"/>
      <c r="T26" s="580"/>
    </row>
    <row r="27" spans="1:20" s="422" customFormat="1" ht="15" customHeight="1">
      <c r="A27" s="1400">
        <v>24</v>
      </c>
      <c r="B27" s="580"/>
      <c r="C27" s="1413" t="str">
        <f t="shared" si="2"/>
        <v/>
      </c>
      <c r="D27" s="1413" t="str">
        <f t="shared" si="3"/>
        <v>Bachmann Marine</v>
      </c>
      <c r="E27" s="1397" t="s">
        <v>1560</v>
      </c>
      <c r="F27" s="69" t="s">
        <v>1159</v>
      </c>
      <c r="G27" s="76" t="s">
        <v>99</v>
      </c>
      <c r="H27" s="1397" t="s">
        <v>1561</v>
      </c>
      <c r="I27" s="1397" t="s">
        <v>1096</v>
      </c>
      <c r="J27" s="1397" t="s">
        <v>1562</v>
      </c>
      <c r="K27" s="1397" t="s">
        <v>54</v>
      </c>
      <c r="L27" s="1397"/>
      <c r="M27" s="76"/>
      <c r="N27" s="721"/>
      <c r="O27" s="1400" t="s">
        <v>2475</v>
      </c>
      <c r="P27" s="661"/>
      <c r="Q27" s="661"/>
      <c r="R27" s="661"/>
      <c r="S27" s="661"/>
      <c r="T27" s="721"/>
    </row>
    <row r="28" spans="1:20" s="422" customFormat="1" ht="15" customHeight="1">
      <c r="A28" s="1401">
        <v>25</v>
      </c>
      <c r="B28" s="721"/>
      <c r="C28" s="1413" t="str">
        <f t="shared" si="2"/>
        <v>BDJ</v>
      </c>
      <c r="D28" s="1413" t="str">
        <f t="shared" si="3"/>
        <v/>
      </c>
      <c r="E28" s="1401" t="s">
        <v>2452</v>
      </c>
      <c r="F28" s="69" t="s">
        <v>592</v>
      </c>
      <c r="G28" s="773" t="s">
        <v>226</v>
      </c>
      <c r="H28" s="1401" t="s">
        <v>2453</v>
      </c>
      <c r="I28" s="1401" t="s">
        <v>2454</v>
      </c>
      <c r="J28" s="1401" t="s">
        <v>2455</v>
      </c>
      <c r="K28" s="1401" t="s">
        <v>230</v>
      </c>
      <c r="L28" s="1401"/>
      <c r="M28" s="773" t="s">
        <v>2456</v>
      </c>
      <c r="N28" s="721"/>
      <c r="O28" s="773" t="s">
        <v>2443</v>
      </c>
      <c r="P28" s="661">
        <v>0.12</v>
      </c>
      <c r="Q28" s="661"/>
      <c r="R28" s="661"/>
      <c r="S28" s="661"/>
      <c r="T28" s="721"/>
    </row>
    <row r="29" spans="1:20" s="422" customFormat="1" ht="15" customHeight="1">
      <c r="A29" s="1400">
        <v>26</v>
      </c>
      <c r="B29" s="580"/>
      <c r="C29" s="1413" t="str">
        <f t="shared" si="2"/>
        <v>BELGIBO NV</v>
      </c>
      <c r="D29" s="1413" t="str">
        <f t="shared" si="3"/>
        <v/>
      </c>
      <c r="E29" s="1397" t="s">
        <v>891</v>
      </c>
      <c r="F29" s="69" t="s">
        <v>592</v>
      </c>
      <c r="G29" s="1401" t="s">
        <v>226</v>
      </c>
      <c r="H29" s="667" t="s">
        <v>892</v>
      </c>
      <c r="I29" s="721" t="s">
        <v>893</v>
      </c>
      <c r="J29" s="721" t="s">
        <v>894</v>
      </c>
      <c r="K29" s="1397" t="s">
        <v>895</v>
      </c>
      <c r="L29" s="1397"/>
      <c r="M29" s="1401"/>
      <c r="N29" s="721"/>
      <c r="O29" s="1401" t="s">
        <v>2443</v>
      </c>
      <c r="P29" s="661">
        <v>0.12</v>
      </c>
      <c r="Q29" s="661">
        <v>0.12</v>
      </c>
      <c r="R29" s="661"/>
      <c r="S29" s="661"/>
      <c r="T29" s="721"/>
    </row>
    <row r="30" spans="1:20" s="422" customFormat="1" ht="15" customHeight="1">
      <c r="A30" s="1400">
        <v>27</v>
      </c>
      <c r="B30" s="721"/>
      <c r="C30" s="1413" t="str">
        <f t="shared" si="2"/>
        <v/>
      </c>
      <c r="D30" s="1413" t="str">
        <f t="shared" si="3"/>
        <v>BLACK DIAMOND LTD</v>
      </c>
      <c r="E30" s="721" t="s">
        <v>1634</v>
      </c>
      <c r="F30" s="69" t="s">
        <v>1159</v>
      </c>
      <c r="G30" s="721" t="s">
        <v>99</v>
      </c>
      <c r="H30" s="1400"/>
      <c r="I30" s="721"/>
      <c r="J30" s="721"/>
      <c r="K30" s="721"/>
      <c r="L30" s="721"/>
      <c r="M30" s="721"/>
      <c r="N30" s="721"/>
      <c r="O30" s="721" t="s">
        <v>2475</v>
      </c>
      <c r="P30" s="721"/>
      <c r="Q30" s="721"/>
      <c r="R30" s="665"/>
      <c r="S30" s="665"/>
      <c r="T30" s="721"/>
    </row>
    <row r="31" spans="1:20" s="422" customFormat="1" ht="15" customHeight="1">
      <c r="A31" s="1401">
        <v>28</v>
      </c>
      <c r="B31" s="721"/>
      <c r="C31" s="1413" t="str">
        <f t="shared" si="2"/>
        <v/>
      </c>
      <c r="D31" s="1413" t="str">
        <f t="shared" si="3"/>
        <v>Bluepin Ltd-A and A</v>
      </c>
      <c r="E31" s="721" t="s">
        <v>1346</v>
      </c>
      <c r="F31" s="69" t="s">
        <v>1159</v>
      </c>
      <c r="G31" s="721" t="s">
        <v>99</v>
      </c>
      <c r="H31" s="666" t="s">
        <v>2476</v>
      </c>
      <c r="I31" s="721"/>
      <c r="J31" s="721" t="s">
        <v>2477</v>
      </c>
      <c r="K31" s="721" t="s">
        <v>1727</v>
      </c>
      <c r="L31" s="721"/>
      <c r="M31" s="721"/>
      <c r="N31" s="721"/>
      <c r="O31" s="721" t="s">
        <v>2475</v>
      </c>
      <c r="P31" s="721"/>
      <c r="Q31" s="721"/>
      <c r="R31" s="665"/>
      <c r="S31" s="665"/>
      <c r="T31" s="580"/>
    </row>
    <row r="32" spans="1:20" s="422" customFormat="1" ht="15" customHeight="1">
      <c r="A32" s="1400">
        <v>29</v>
      </c>
      <c r="B32" s="771"/>
      <c r="C32" s="1413" t="str">
        <f t="shared" si="2"/>
        <v/>
      </c>
      <c r="D32" s="1413" t="str">
        <f t="shared" si="3"/>
        <v>BLUEWIN</v>
      </c>
      <c r="E32" s="771" t="s">
        <v>1216</v>
      </c>
      <c r="F32" s="69" t="s">
        <v>1159</v>
      </c>
      <c r="G32" s="771" t="s">
        <v>99</v>
      </c>
      <c r="H32" s="771"/>
      <c r="I32" s="721"/>
      <c r="J32" s="771"/>
      <c r="K32" s="721"/>
      <c r="L32" s="721"/>
      <c r="M32" s="771"/>
      <c r="N32" s="771"/>
      <c r="O32" s="721" t="s">
        <v>2475</v>
      </c>
      <c r="P32" s="771"/>
      <c r="Q32" s="771"/>
      <c r="R32" s="665"/>
      <c r="S32" s="665"/>
      <c r="T32" s="580"/>
    </row>
    <row r="33" spans="1:20" s="422" customFormat="1" ht="15" customHeight="1">
      <c r="A33" s="1400">
        <v>30</v>
      </c>
      <c r="B33" s="1400"/>
      <c r="C33" s="1413" t="str">
        <f t="shared" si="2"/>
        <v/>
      </c>
      <c r="D33" s="1413" t="str">
        <f t="shared" si="3"/>
        <v>Blush Yachting Ltd</v>
      </c>
      <c r="E33" s="1400" t="s">
        <v>1606</v>
      </c>
      <c r="F33" s="69" t="s">
        <v>1159</v>
      </c>
      <c r="G33" s="1400" t="s">
        <v>99</v>
      </c>
      <c r="H33" s="1400"/>
      <c r="I33" s="721"/>
      <c r="J33" s="1400"/>
      <c r="K33" s="721"/>
      <c r="L33" s="721"/>
      <c r="M33" s="1400"/>
      <c r="N33" s="1400"/>
      <c r="O33" s="721" t="s">
        <v>2475</v>
      </c>
      <c r="P33" s="1400"/>
      <c r="Q33" s="1400"/>
      <c r="R33" s="665"/>
      <c r="S33" s="665"/>
      <c r="T33" s="580"/>
    </row>
    <row r="34" spans="1:20" s="422" customFormat="1" ht="15" customHeight="1">
      <c r="A34" s="1401">
        <v>31</v>
      </c>
      <c r="B34" s="1021"/>
      <c r="C34" s="1413" t="str">
        <f t="shared" si="2"/>
        <v/>
      </c>
      <c r="D34" s="1413" t="str">
        <f t="shared" si="3"/>
        <v>BOAT'in France</v>
      </c>
      <c r="E34" s="721" t="s">
        <v>2685</v>
      </c>
      <c r="F34" s="69" t="s">
        <v>1159</v>
      </c>
      <c r="G34" s="1400" t="s">
        <v>99</v>
      </c>
      <c r="H34" s="666" t="s">
        <v>2686</v>
      </c>
      <c r="I34" s="721" t="s">
        <v>2687</v>
      </c>
      <c r="J34" s="721" t="s">
        <v>2688</v>
      </c>
      <c r="K34" s="771" t="s">
        <v>54</v>
      </c>
      <c r="L34" s="1319"/>
      <c r="M34" s="1400" t="s">
        <v>2689</v>
      </c>
      <c r="N34" s="1319"/>
      <c r="O34" s="721" t="s">
        <v>2475</v>
      </c>
      <c r="P34" s="1319"/>
      <c r="Q34" s="1319"/>
      <c r="R34" s="1319"/>
      <c r="S34" s="1319"/>
      <c r="T34" s="1319"/>
    </row>
    <row r="35" spans="1:20" s="422" customFormat="1" ht="15" customHeight="1">
      <c r="A35" s="1400">
        <v>32</v>
      </c>
      <c r="B35" s="669" t="s">
        <v>300</v>
      </c>
      <c r="C35" s="1413" t="str">
        <f t="shared" si="2"/>
        <v/>
      </c>
      <c r="D35" s="1413" t="str">
        <f t="shared" si="3"/>
        <v xml:space="preserve">BOATTRUST </v>
      </c>
      <c r="E35" s="1401" t="s">
        <v>301</v>
      </c>
      <c r="F35" s="69" t="s">
        <v>1159</v>
      </c>
      <c r="G35" s="773" t="s">
        <v>99</v>
      </c>
      <c r="H35" s="666" t="s">
        <v>1512</v>
      </c>
      <c r="I35" s="721" t="s">
        <v>1728</v>
      </c>
      <c r="J35" s="673" t="s">
        <v>1447</v>
      </c>
      <c r="K35" s="1400" t="s">
        <v>1543</v>
      </c>
      <c r="L35" s="1400"/>
      <c r="M35" s="77" t="s">
        <v>303</v>
      </c>
      <c r="N35" s="77"/>
      <c r="O35" s="721" t="s">
        <v>2475</v>
      </c>
      <c r="P35" s="661">
        <v>0.08</v>
      </c>
      <c r="Q35" s="665"/>
      <c r="R35" s="665"/>
      <c r="S35" s="665"/>
      <c r="T35" s="580"/>
    </row>
    <row r="36" spans="1:20" s="422" customFormat="1" ht="15" customHeight="1">
      <c r="A36" s="1400">
        <v>33</v>
      </c>
      <c r="B36" s="669"/>
      <c r="C36" s="1413" t="str">
        <f t="shared" si="2"/>
        <v/>
      </c>
      <c r="D36" s="1413" t="str">
        <f t="shared" si="3"/>
        <v>BOURBON GROUP</v>
      </c>
      <c r="E36" s="771" t="s">
        <v>634</v>
      </c>
      <c r="F36" s="69" t="s">
        <v>1159</v>
      </c>
      <c r="G36" s="1401" t="s">
        <v>99</v>
      </c>
      <c r="H36" s="666" t="s">
        <v>760</v>
      </c>
      <c r="I36" s="771" t="s">
        <v>910</v>
      </c>
      <c r="J36" s="771" t="s">
        <v>761</v>
      </c>
      <c r="K36" s="771" t="s">
        <v>1060</v>
      </c>
      <c r="L36" s="771"/>
      <c r="M36" s="802"/>
      <c r="N36" s="802"/>
      <c r="O36" s="721" t="s">
        <v>2475</v>
      </c>
      <c r="P36" s="661"/>
      <c r="Q36" s="665"/>
      <c r="R36" s="665"/>
      <c r="S36" s="665"/>
      <c r="T36" s="580"/>
    </row>
    <row r="37" spans="1:20" s="422" customFormat="1" ht="15" customHeight="1">
      <c r="A37" s="1401">
        <v>34</v>
      </c>
      <c r="B37" s="669"/>
      <c r="C37" s="1413" t="str">
        <f t="shared" si="2"/>
        <v/>
      </c>
      <c r="D37" s="1413" t="str">
        <f t="shared" si="3"/>
        <v>BOURBON GROUP</v>
      </c>
      <c r="E37" s="1400" t="s">
        <v>634</v>
      </c>
      <c r="F37" s="69" t="s">
        <v>1159</v>
      </c>
      <c r="G37" s="773" t="s">
        <v>99</v>
      </c>
      <c r="H37" s="666" t="s">
        <v>685</v>
      </c>
      <c r="I37" s="1400" t="s">
        <v>686</v>
      </c>
      <c r="J37" s="1400" t="s">
        <v>243</v>
      </c>
      <c r="K37" s="1397" t="s">
        <v>54</v>
      </c>
      <c r="L37" s="1397"/>
      <c r="M37" s="802"/>
      <c r="N37" s="802"/>
      <c r="O37" s="721" t="s">
        <v>2475</v>
      </c>
      <c r="P37" s="661"/>
      <c r="Q37" s="665"/>
      <c r="R37" s="665"/>
      <c r="S37" s="665"/>
      <c r="T37" s="771"/>
    </row>
    <row r="38" spans="1:20" s="422" customFormat="1" ht="15" customHeight="1">
      <c r="A38" s="1400">
        <v>35</v>
      </c>
      <c r="B38" s="580"/>
      <c r="C38" s="1413" t="str">
        <f t="shared" si="2"/>
        <v/>
      </c>
      <c r="D38" s="1413" t="str">
        <f t="shared" si="3"/>
        <v>Bourbon Offshore Greenmar</v>
      </c>
      <c r="E38" s="721" t="s">
        <v>759</v>
      </c>
      <c r="F38" s="69" t="s">
        <v>1159</v>
      </c>
      <c r="G38" s="721" t="s">
        <v>99</v>
      </c>
      <c r="H38" s="666" t="s">
        <v>760</v>
      </c>
      <c r="I38" s="721" t="s">
        <v>910</v>
      </c>
      <c r="J38" s="721" t="s">
        <v>761</v>
      </c>
      <c r="K38" s="721" t="s">
        <v>1060</v>
      </c>
      <c r="L38" s="721"/>
      <c r="M38" s="1400"/>
      <c r="N38" s="1400"/>
      <c r="O38" s="721" t="s">
        <v>2475</v>
      </c>
      <c r="P38" s="1400"/>
      <c r="Q38" s="1400"/>
      <c r="R38" s="665"/>
      <c r="S38" s="665"/>
      <c r="T38" s="1400"/>
    </row>
    <row r="39" spans="1:20" s="422" customFormat="1" ht="15" customHeight="1">
      <c r="A39" s="1400">
        <v>36</v>
      </c>
      <c r="B39" s="1401" t="s">
        <v>304</v>
      </c>
      <c r="C39" s="1413" t="str">
        <f t="shared" si="2"/>
        <v/>
      </c>
      <c r="D39" s="1413" t="str">
        <f t="shared" si="3"/>
        <v>Burgess</v>
      </c>
      <c r="E39" s="1401" t="s">
        <v>305</v>
      </c>
      <c r="F39" s="69" t="s">
        <v>1159</v>
      </c>
      <c r="G39" s="1401" t="s">
        <v>99</v>
      </c>
      <c r="H39" s="1401" t="s">
        <v>306</v>
      </c>
      <c r="I39" s="1401" t="s">
        <v>273</v>
      </c>
      <c r="J39" s="1401" t="s">
        <v>274</v>
      </c>
      <c r="K39" s="1401" t="s">
        <v>274</v>
      </c>
      <c r="L39" s="1401"/>
      <c r="M39" s="1401" t="s">
        <v>307</v>
      </c>
      <c r="N39" s="1401"/>
      <c r="O39" s="721" t="s">
        <v>2475</v>
      </c>
      <c r="P39" s="670">
        <v>0</v>
      </c>
      <c r="Q39" s="662"/>
      <c r="R39" s="661"/>
      <c r="S39" s="661"/>
      <c r="T39" s="721"/>
    </row>
    <row r="40" spans="1:20" s="422" customFormat="1" ht="15" customHeight="1">
      <c r="A40" s="1401">
        <v>37</v>
      </c>
      <c r="B40" s="580"/>
      <c r="C40" s="1413" t="str">
        <f t="shared" si="2"/>
        <v/>
      </c>
      <c r="D40" s="1413" t="str">
        <f t="shared" si="3"/>
        <v>C314 Management</v>
      </c>
      <c r="E40" s="721" t="s">
        <v>1355</v>
      </c>
      <c r="F40" s="69" t="s">
        <v>1159</v>
      </c>
      <c r="G40" s="721" t="s">
        <v>99</v>
      </c>
      <c r="H40" s="75" t="s">
        <v>1356</v>
      </c>
      <c r="I40" s="721" t="s">
        <v>242</v>
      </c>
      <c r="J40" s="721" t="s">
        <v>243</v>
      </c>
      <c r="K40" s="721"/>
      <c r="L40" s="721"/>
      <c r="M40" s="1020"/>
      <c r="N40" s="1020"/>
      <c r="O40" s="721" t="s">
        <v>2475</v>
      </c>
      <c r="P40" s="1020"/>
      <c r="Q40" s="1020"/>
      <c r="R40" s="1020"/>
      <c r="S40" s="1020"/>
      <c r="T40" s="1020"/>
    </row>
    <row r="41" spans="1:20" s="422" customFormat="1" ht="15" customHeight="1">
      <c r="A41" s="1400">
        <v>38</v>
      </c>
      <c r="B41" s="721"/>
      <c r="C41" s="1413" t="str">
        <f t="shared" si="2"/>
        <v/>
      </c>
      <c r="D41" s="1413" t="str">
        <f t="shared" si="3"/>
        <v>Camper &amp; Nicholson</v>
      </c>
      <c r="E41" s="721" t="s">
        <v>1185</v>
      </c>
      <c r="F41" s="69" t="s">
        <v>1159</v>
      </c>
      <c r="G41" s="721" t="s">
        <v>99</v>
      </c>
      <c r="H41" s="666" t="s">
        <v>1186</v>
      </c>
      <c r="I41" s="721" t="s">
        <v>334</v>
      </c>
      <c r="J41" s="721" t="s">
        <v>335</v>
      </c>
      <c r="K41" s="721" t="s">
        <v>54</v>
      </c>
      <c r="L41" s="721"/>
      <c r="M41" s="1400"/>
      <c r="N41" s="1400"/>
      <c r="O41" s="721" t="s">
        <v>2475</v>
      </c>
      <c r="P41" s="1400"/>
      <c r="Q41" s="1400"/>
      <c r="R41" s="665"/>
      <c r="S41" s="665"/>
      <c r="T41" s="1400"/>
    </row>
    <row r="42" spans="1:20" s="422" customFormat="1" ht="15" customHeight="1">
      <c r="A42" s="1400">
        <v>39</v>
      </c>
      <c r="B42" s="580"/>
      <c r="C42" s="1413" t="str">
        <f t="shared" si="2"/>
        <v/>
      </c>
      <c r="D42" s="1413" t="str">
        <f t="shared" si="3"/>
        <v>Capitaine Luisa May</v>
      </c>
      <c r="E42" s="721" t="s">
        <v>1682</v>
      </c>
      <c r="F42" s="69" t="s">
        <v>1159</v>
      </c>
      <c r="G42" s="721" t="s">
        <v>99</v>
      </c>
      <c r="H42" s="666"/>
      <c r="I42" s="771"/>
      <c r="J42" s="721"/>
      <c r="K42" s="721"/>
      <c r="L42" s="721"/>
      <c r="M42" s="1400"/>
      <c r="N42" s="1400"/>
      <c r="O42" s="721" t="s">
        <v>2475</v>
      </c>
      <c r="P42" s="1400"/>
      <c r="Q42" s="1400"/>
      <c r="R42" s="665"/>
      <c r="S42" s="665"/>
      <c r="T42" s="1400"/>
    </row>
    <row r="43" spans="1:20" s="422" customFormat="1" ht="15" customHeight="1">
      <c r="A43" s="1401">
        <v>40</v>
      </c>
      <c r="B43" s="771"/>
      <c r="C43" s="1413" t="str">
        <f t="shared" si="2"/>
        <v/>
      </c>
      <c r="D43" s="1413" t="str">
        <f t="shared" si="3"/>
        <v>Captain-007</v>
      </c>
      <c r="E43" s="771" t="s">
        <v>1474</v>
      </c>
      <c r="F43" s="69" t="s">
        <v>1159</v>
      </c>
      <c r="G43" s="771" t="s">
        <v>99</v>
      </c>
      <c r="H43" s="1400"/>
      <c r="I43" s="1400"/>
      <c r="J43" s="771"/>
      <c r="K43" s="771"/>
      <c r="L43" s="771"/>
      <c r="M43" s="1020"/>
      <c r="N43" s="1020"/>
      <c r="O43" s="771" t="s">
        <v>2475</v>
      </c>
      <c r="P43" s="1020"/>
      <c r="Q43" s="1020"/>
      <c r="R43" s="1020"/>
      <c r="S43" s="1020"/>
      <c r="T43" s="1020"/>
    </row>
    <row r="44" spans="1:20" s="422" customFormat="1" ht="15" customHeight="1">
      <c r="A44" s="1400">
        <v>41</v>
      </c>
      <c r="B44" s="1400"/>
      <c r="C44" s="1413" t="str">
        <f t="shared" si="2"/>
        <v/>
      </c>
      <c r="D44" s="1413" t="str">
        <f t="shared" si="3"/>
        <v>Captain-OVER THE RAINBOW OF LONDON</v>
      </c>
      <c r="E44" s="1400" t="s">
        <v>1419</v>
      </c>
      <c r="F44" s="69" t="s">
        <v>1159</v>
      </c>
      <c r="G44" s="1400" t="s">
        <v>99</v>
      </c>
      <c r="H44" s="1400"/>
      <c r="I44" s="1400"/>
      <c r="J44" s="1400"/>
      <c r="K44" s="1400"/>
      <c r="L44" s="1400"/>
      <c r="M44" s="1020"/>
      <c r="N44" s="1020"/>
      <c r="O44" s="1400" t="s">
        <v>2475</v>
      </c>
      <c r="P44" s="1020"/>
      <c r="Q44" s="1020"/>
      <c r="R44" s="1020"/>
      <c r="S44" s="1020"/>
      <c r="T44" s="1020"/>
    </row>
    <row r="45" spans="1:20" s="422" customFormat="1" ht="15" customHeight="1">
      <c r="A45" s="1400">
        <v>42</v>
      </c>
      <c r="B45" s="1400"/>
      <c r="C45" s="1413" t="str">
        <f t="shared" si="2"/>
        <v/>
      </c>
      <c r="D45" s="1413" t="str">
        <f t="shared" si="3"/>
        <v>Centralease SAS</v>
      </c>
      <c r="E45" s="1400" t="s">
        <v>1729</v>
      </c>
      <c r="F45" s="69" t="s">
        <v>1159</v>
      </c>
      <c r="G45" s="1400" t="s">
        <v>99</v>
      </c>
      <c r="H45" s="666" t="s">
        <v>1730</v>
      </c>
      <c r="I45" s="673" t="s">
        <v>1731</v>
      </c>
      <c r="J45" s="1400" t="s">
        <v>297</v>
      </c>
      <c r="K45" s="1400" t="s">
        <v>54</v>
      </c>
      <c r="L45" s="1400"/>
      <c r="M45" s="1400"/>
      <c r="N45" s="1400"/>
      <c r="O45" s="1400" t="s">
        <v>2475</v>
      </c>
      <c r="P45" s="1400"/>
      <c r="Q45" s="1400"/>
      <c r="R45" s="665"/>
      <c r="S45" s="665"/>
      <c r="T45" s="1400"/>
    </row>
    <row r="46" spans="1:20" s="422" customFormat="1" ht="15" customHeight="1">
      <c r="A46" s="1401">
        <v>43</v>
      </c>
      <c r="B46" s="802" t="s">
        <v>308</v>
      </c>
      <c r="C46" s="1413" t="str">
        <f t="shared" si="2"/>
        <v xml:space="preserve">CLOVER BROKERS </v>
      </c>
      <c r="D46" s="1413" t="str">
        <f t="shared" si="3"/>
        <v/>
      </c>
      <c r="E46" s="1401" t="s">
        <v>309</v>
      </c>
      <c r="F46" s="69" t="s">
        <v>592</v>
      </c>
      <c r="G46" s="1401" t="s">
        <v>226</v>
      </c>
      <c r="H46" s="1401" t="s">
        <v>310</v>
      </c>
      <c r="I46" s="1401" t="s">
        <v>311</v>
      </c>
      <c r="J46" s="1401" t="s">
        <v>312</v>
      </c>
      <c r="K46" s="1401" t="s">
        <v>313</v>
      </c>
      <c r="L46" s="1401"/>
      <c r="M46" s="1401" t="s">
        <v>314</v>
      </c>
      <c r="N46" s="1401" t="s">
        <v>315</v>
      </c>
      <c r="O46" s="1401" t="s">
        <v>2443</v>
      </c>
      <c r="P46" s="661">
        <v>0.15</v>
      </c>
      <c r="Q46" s="661">
        <v>0.15</v>
      </c>
      <c r="R46" s="665"/>
      <c r="S46" s="665"/>
      <c r="T46" s="1401"/>
    </row>
    <row r="47" spans="1:20" s="422" customFormat="1" ht="15" customHeight="1">
      <c r="A47" s="1400">
        <v>44</v>
      </c>
      <c r="B47" s="76" t="s">
        <v>316</v>
      </c>
      <c r="C47" s="1413" t="str">
        <f t="shared" si="2"/>
        <v>CMC Assurance</v>
      </c>
      <c r="D47" s="1413" t="str">
        <f t="shared" si="3"/>
        <v/>
      </c>
      <c r="E47" s="76" t="s">
        <v>317</v>
      </c>
      <c r="F47" s="69" t="s">
        <v>592</v>
      </c>
      <c r="G47" s="76" t="s">
        <v>226</v>
      </c>
      <c r="H47" s="76" t="s">
        <v>318</v>
      </c>
      <c r="I47" s="76" t="s">
        <v>319</v>
      </c>
      <c r="J47" s="76" t="s">
        <v>267</v>
      </c>
      <c r="K47" s="76" t="s">
        <v>230</v>
      </c>
      <c r="L47" s="76"/>
      <c r="M47" s="1401" t="s">
        <v>320</v>
      </c>
      <c r="N47" s="1401" t="s">
        <v>321</v>
      </c>
      <c r="O47" s="1401" t="s">
        <v>2443</v>
      </c>
      <c r="P47" s="670">
        <v>0.12</v>
      </c>
      <c r="Q47" s="662"/>
      <c r="R47" s="661"/>
      <c r="S47" s="661"/>
      <c r="T47" s="1401" t="s">
        <v>322</v>
      </c>
    </row>
    <row r="48" spans="1:20" s="422" customFormat="1" ht="15" customHeight="1">
      <c r="A48" s="1400">
        <v>45</v>
      </c>
      <c r="B48" s="1400"/>
      <c r="C48" s="1413" t="str">
        <f t="shared" si="2"/>
        <v/>
      </c>
      <c r="D48" s="1413" t="str">
        <f t="shared" si="3"/>
        <v>Compagnie du Ponant</v>
      </c>
      <c r="E48" s="1400" t="s">
        <v>1043</v>
      </c>
      <c r="F48" s="69" t="s">
        <v>1159</v>
      </c>
      <c r="G48" s="1400" t="s">
        <v>99</v>
      </c>
      <c r="H48" s="666" t="s">
        <v>2478</v>
      </c>
      <c r="I48" s="1400" t="s">
        <v>2479</v>
      </c>
      <c r="J48" s="1400" t="s">
        <v>243</v>
      </c>
      <c r="K48" s="1397" t="s">
        <v>54</v>
      </c>
      <c r="L48" s="1397"/>
      <c r="M48" s="1400"/>
      <c r="N48" s="1400"/>
      <c r="O48" s="721" t="s">
        <v>2475</v>
      </c>
      <c r="P48" s="1400"/>
      <c r="Q48" s="1400"/>
      <c r="R48" s="665"/>
      <c r="S48" s="665"/>
      <c r="T48" s="1400"/>
    </row>
    <row r="49" spans="1:20" s="422" customFormat="1" ht="15" customHeight="1">
      <c r="A49" s="1401">
        <v>46</v>
      </c>
      <c r="B49" s="76" t="s">
        <v>323</v>
      </c>
      <c r="C49" s="1413" t="str">
        <f t="shared" si="2"/>
        <v/>
      </c>
      <c r="D49" s="1413" t="str">
        <f t="shared" si="3"/>
        <v>D&amp;B SERVICES -Cayman Islands</v>
      </c>
      <c r="E49" s="773" t="s">
        <v>324</v>
      </c>
      <c r="F49" s="69" t="s">
        <v>1159</v>
      </c>
      <c r="G49" s="76" t="s">
        <v>99</v>
      </c>
      <c r="H49" s="76" t="s">
        <v>325</v>
      </c>
      <c r="I49" s="1401" t="s">
        <v>326</v>
      </c>
      <c r="J49" s="1401" t="s">
        <v>327</v>
      </c>
      <c r="K49" s="76" t="s">
        <v>328</v>
      </c>
      <c r="L49" s="76"/>
      <c r="M49" s="674" t="s">
        <v>329</v>
      </c>
      <c r="N49" s="669" t="s">
        <v>330</v>
      </c>
      <c r="O49" s="771" t="s">
        <v>2475</v>
      </c>
      <c r="P49" s="661">
        <v>0.1</v>
      </c>
      <c r="Q49" s="662"/>
      <c r="R49" s="661"/>
      <c r="S49" s="661"/>
      <c r="T49" s="721"/>
    </row>
    <row r="50" spans="1:20" s="422" customFormat="1" ht="15" customHeight="1">
      <c r="A50" s="1400">
        <v>47</v>
      </c>
      <c r="B50" s="76" t="s">
        <v>331</v>
      </c>
      <c r="C50" s="1413" t="str">
        <f t="shared" si="2"/>
        <v/>
      </c>
      <c r="D50" s="1413" t="str">
        <f t="shared" si="3"/>
        <v>D&amp;B SERVICES -France</v>
      </c>
      <c r="E50" s="1401" t="s">
        <v>332</v>
      </c>
      <c r="F50" s="69" t="s">
        <v>1159</v>
      </c>
      <c r="G50" s="76" t="s">
        <v>99</v>
      </c>
      <c r="H50" s="76" t="s">
        <v>333</v>
      </c>
      <c r="I50" s="76" t="s">
        <v>334</v>
      </c>
      <c r="J50" s="76" t="s">
        <v>335</v>
      </c>
      <c r="K50" s="76" t="s">
        <v>230</v>
      </c>
      <c r="L50" s="76"/>
      <c r="M50" s="671" t="s">
        <v>329</v>
      </c>
      <c r="N50" s="671" t="s">
        <v>330</v>
      </c>
      <c r="O50" s="1400" t="s">
        <v>2475</v>
      </c>
      <c r="P50" s="661">
        <v>0.1</v>
      </c>
      <c r="Q50" s="662"/>
      <c r="R50" s="661"/>
      <c r="S50" s="661"/>
      <c r="T50" s="671" t="s">
        <v>336</v>
      </c>
    </row>
    <row r="51" spans="1:20" s="422" customFormat="1" ht="15" customHeight="1">
      <c r="A51" s="1400">
        <v>48</v>
      </c>
      <c r="B51" s="76"/>
      <c r="C51" s="1413" t="str">
        <f t="shared" si="2"/>
        <v/>
      </c>
      <c r="D51" s="1413" t="str">
        <f t="shared" si="3"/>
        <v>Darkpelican</v>
      </c>
      <c r="E51" s="773" t="s">
        <v>337</v>
      </c>
      <c r="F51" s="69" t="s">
        <v>1159</v>
      </c>
      <c r="G51" s="76" t="s">
        <v>99</v>
      </c>
      <c r="H51" s="773" t="s">
        <v>338</v>
      </c>
      <c r="I51" s="1400" t="s">
        <v>1726</v>
      </c>
      <c r="J51" s="1400" t="s">
        <v>1154</v>
      </c>
      <c r="K51" s="773" t="s">
        <v>230</v>
      </c>
      <c r="L51" s="773"/>
      <c r="M51" s="674" t="s">
        <v>339</v>
      </c>
      <c r="N51" s="669"/>
      <c r="O51" s="771" t="s">
        <v>2475</v>
      </c>
      <c r="P51" s="661">
        <v>0.08</v>
      </c>
      <c r="Q51" s="662"/>
      <c r="R51" s="661"/>
      <c r="S51" s="661"/>
      <c r="T51" s="771"/>
    </row>
    <row r="52" spans="1:20" s="422" customFormat="1" ht="15" customHeight="1">
      <c r="A52" s="1401">
        <v>49</v>
      </c>
      <c r="B52" s="773" t="s">
        <v>340</v>
      </c>
      <c r="C52" s="1413" t="str">
        <f t="shared" si="2"/>
        <v>DIOT MONTAGNE</v>
      </c>
      <c r="D52" s="1413" t="str">
        <f t="shared" si="3"/>
        <v/>
      </c>
      <c r="E52" s="661" t="s">
        <v>341</v>
      </c>
      <c r="F52" s="69" t="s">
        <v>592</v>
      </c>
      <c r="G52" s="773" t="s">
        <v>226</v>
      </c>
      <c r="H52" s="1401" t="s">
        <v>342</v>
      </c>
      <c r="I52" s="1401" t="s">
        <v>343</v>
      </c>
      <c r="J52" s="1401" t="s">
        <v>344</v>
      </c>
      <c r="K52" s="1401" t="s">
        <v>230</v>
      </c>
      <c r="L52" s="1401"/>
      <c r="M52" s="671" t="s">
        <v>345</v>
      </c>
      <c r="N52" s="804"/>
      <c r="O52" s="773" t="s">
        <v>2443</v>
      </c>
      <c r="P52" s="661">
        <v>0.12</v>
      </c>
      <c r="Q52" s="662"/>
      <c r="R52" s="661"/>
      <c r="S52" s="661"/>
      <c r="T52" s="1400"/>
    </row>
    <row r="53" spans="1:20" s="422" customFormat="1" ht="15" customHeight="1">
      <c r="A53" s="1400">
        <v>50</v>
      </c>
      <c r="B53" s="1401"/>
      <c r="C53" s="1413" t="str">
        <f t="shared" si="2"/>
        <v/>
      </c>
      <c r="D53" s="1413" t="str">
        <f t="shared" si="3"/>
        <v>EQUISEA Monaco</v>
      </c>
      <c r="E53" s="1401" t="s">
        <v>346</v>
      </c>
      <c r="F53" s="69" t="s">
        <v>1159</v>
      </c>
      <c r="G53" s="1401" t="s">
        <v>99</v>
      </c>
      <c r="H53" s="1401" t="s">
        <v>347</v>
      </c>
      <c r="I53" s="1401" t="s">
        <v>273</v>
      </c>
      <c r="J53" s="1401" t="s">
        <v>274</v>
      </c>
      <c r="K53" s="1401" t="s">
        <v>274</v>
      </c>
      <c r="L53" s="1401"/>
      <c r="M53" s="1401" t="s">
        <v>348</v>
      </c>
      <c r="N53" s="1401" t="s">
        <v>349</v>
      </c>
      <c r="O53" s="771" t="s">
        <v>2475</v>
      </c>
      <c r="P53" s="661">
        <v>0.1</v>
      </c>
      <c r="Q53" s="662"/>
      <c r="R53" s="661"/>
      <c r="S53" s="661"/>
      <c r="T53" s="771"/>
    </row>
    <row r="54" spans="1:20" s="422" customFormat="1" ht="15" customHeight="1">
      <c r="A54" s="1400">
        <v>51</v>
      </c>
      <c r="B54" s="773" t="s">
        <v>350</v>
      </c>
      <c r="C54" s="1413" t="str">
        <f t="shared" si="2"/>
        <v>EYSSAUTIER</v>
      </c>
      <c r="D54" s="1413" t="str">
        <f t="shared" si="3"/>
        <v/>
      </c>
      <c r="E54" s="1397" t="s">
        <v>616</v>
      </c>
      <c r="F54" s="69" t="s">
        <v>592</v>
      </c>
      <c r="G54" s="76" t="s">
        <v>226</v>
      </c>
      <c r="H54" s="667" t="s">
        <v>784</v>
      </c>
      <c r="I54" s="1397" t="s">
        <v>785</v>
      </c>
      <c r="J54" s="1397" t="s">
        <v>786</v>
      </c>
      <c r="K54" s="1400" t="s">
        <v>54</v>
      </c>
      <c r="L54" s="1400"/>
      <c r="M54" s="773" t="s">
        <v>351</v>
      </c>
      <c r="N54" s="773" t="s">
        <v>352</v>
      </c>
      <c r="O54" s="76" t="s">
        <v>2443</v>
      </c>
      <c r="P54" s="661">
        <v>0.15</v>
      </c>
      <c r="Q54" s="662"/>
      <c r="R54" s="661"/>
      <c r="S54" s="661"/>
      <c r="T54" s="773" t="s">
        <v>353</v>
      </c>
    </row>
    <row r="55" spans="1:20" s="422" customFormat="1" ht="15" customHeight="1">
      <c r="A55" s="1401">
        <v>52</v>
      </c>
      <c r="B55" s="1400"/>
      <c r="C55" s="1413" t="str">
        <f t="shared" si="2"/>
        <v/>
      </c>
      <c r="D55" s="1413" t="str">
        <f t="shared" si="3"/>
        <v>Fastnet LTD - The Snapper</v>
      </c>
      <c r="E55" s="1400" t="s">
        <v>1465</v>
      </c>
      <c r="F55" s="69" t="s">
        <v>1159</v>
      </c>
      <c r="G55" s="1400" t="s">
        <v>99</v>
      </c>
      <c r="H55" s="666"/>
      <c r="I55" s="1400"/>
      <c r="J55" s="1400"/>
      <c r="K55" s="1400"/>
      <c r="L55" s="1400"/>
      <c r="M55" s="1400"/>
      <c r="N55" s="1400"/>
      <c r="O55" s="1400" t="s">
        <v>2475</v>
      </c>
      <c r="P55" s="1400"/>
      <c r="Q55" s="1400"/>
      <c r="R55" s="665"/>
      <c r="S55" s="665"/>
      <c r="T55" s="580"/>
    </row>
    <row r="56" spans="1:20" s="422" customFormat="1" ht="15" customHeight="1">
      <c r="A56" s="1400">
        <v>53</v>
      </c>
      <c r="B56" s="773" t="s">
        <v>354</v>
      </c>
      <c r="C56" s="1413" t="str">
        <f t="shared" si="2"/>
        <v>Favier Casanova et Associés Toulon</v>
      </c>
      <c r="D56" s="1413" t="str">
        <f t="shared" si="3"/>
        <v/>
      </c>
      <c r="E56" s="773" t="s">
        <v>355</v>
      </c>
      <c r="F56" s="69" t="s">
        <v>592</v>
      </c>
      <c r="G56" s="773" t="s">
        <v>226</v>
      </c>
      <c r="H56" s="773" t="s">
        <v>356</v>
      </c>
      <c r="I56" s="773" t="s">
        <v>357</v>
      </c>
      <c r="J56" s="773" t="s">
        <v>358</v>
      </c>
      <c r="K56" s="773" t="s">
        <v>230</v>
      </c>
      <c r="L56" s="773"/>
      <c r="M56" s="773" t="s">
        <v>359</v>
      </c>
      <c r="N56" s="773" t="s">
        <v>360</v>
      </c>
      <c r="O56" s="773" t="s">
        <v>2443</v>
      </c>
      <c r="P56" s="661">
        <v>0.12</v>
      </c>
      <c r="Q56" s="662"/>
      <c r="R56" s="661"/>
      <c r="S56" s="661"/>
      <c r="T56" s="1401" t="s">
        <v>361</v>
      </c>
    </row>
    <row r="57" spans="1:20" s="422" customFormat="1" ht="15" customHeight="1">
      <c r="A57" s="1400">
        <v>54</v>
      </c>
      <c r="B57" s="802"/>
      <c r="C57" s="1413" t="str">
        <f t="shared" si="2"/>
        <v>Fenchurch Faris Ltd</v>
      </c>
      <c r="D57" s="1413" t="str">
        <f t="shared" si="3"/>
        <v/>
      </c>
      <c r="E57" s="1401" t="s">
        <v>362</v>
      </c>
      <c r="F57" s="69" t="s">
        <v>592</v>
      </c>
      <c r="G57" s="1401" t="s">
        <v>226</v>
      </c>
      <c r="H57" s="802" t="s">
        <v>363</v>
      </c>
      <c r="I57" s="802" t="s">
        <v>364</v>
      </c>
      <c r="J57" s="802" t="s">
        <v>365</v>
      </c>
      <c r="K57" s="802" t="s">
        <v>366</v>
      </c>
      <c r="L57" s="802"/>
      <c r="M57" s="802" t="s">
        <v>367</v>
      </c>
      <c r="N57" s="802" t="s">
        <v>368</v>
      </c>
      <c r="O57" s="1401" t="s">
        <v>2443</v>
      </c>
      <c r="P57" s="661">
        <v>0.15</v>
      </c>
      <c r="Q57" s="662"/>
      <c r="R57" s="661"/>
      <c r="S57" s="661"/>
      <c r="T57" s="721"/>
    </row>
    <row r="58" spans="1:20" s="422" customFormat="1" ht="15" customHeight="1">
      <c r="A58" s="1401">
        <v>55</v>
      </c>
      <c r="B58" s="1401" t="s">
        <v>369</v>
      </c>
      <c r="C58" s="1413" t="str">
        <f t="shared" si="2"/>
        <v>FILHET ALLARD Maritime</v>
      </c>
      <c r="D58" s="1413" t="str">
        <f t="shared" si="3"/>
        <v/>
      </c>
      <c r="E58" s="1401" t="s">
        <v>370</v>
      </c>
      <c r="F58" s="69" t="s">
        <v>592</v>
      </c>
      <c r="G58" s="1401" t="s">
        <v>226</v>
      </c>
      <c r="H58" s="1401" t="s">
        <v>371</v>
      </c>
      <c r="I58" s="1401" t="s">
        <v>372</v>
      </c>
      <c r="J58" s="1401" t="s">
        <v>373</v>
      </c>
      <c r="K58" s="1401" t="s">
        <v>230</v>
      </c>
      <c r="L58" s="1401"/>
      <c r="M58" s="1401" t="s">
        <v>374</v>
      </c>
      <c r="N58" s="1401"/>
      <c r="O58" s="1401" t="s">
        <v>2443</v>
      </c>
      <c r="P58" s="661">
        <v>0.12</v>
      </c>
      <c r="Q58" s="662"/>
      <c r="R58" s="661"/>
      <c r="S58" s="661"/>
      <c r="T58" s="771"/>
    </row>
    <row r="59" spans="1:20" s="422" customFormat="1" ht="15" customHeight="1">
      <c r="A59" s="1400">
        <v>56</v>
      </c>
      <c r="B59" s="580"/>
      <c r="C59" s="1413" t="str">
        <f t="shared" si="2"/>
        <v/>
      </c>
      <c r="D59" s="1413" t="str">
        <f t="shared" si="3"/>
        <v>Franctema</v>
      </c>
      <c r="E59" s="771" t="s">
        <v>1207</v>
      </c>
      <c r="F59" s="69" t="s">
        <v>1159</v>
      </c>
      <c r="G59" s="721" t="s">
        <v>99</v>
      </c>
      <c r="H59" s="666"/>
      <c r="I59" s="771"/>
      <c r="J59" s="771"/>
      <c r="K59" s="771"/>
      <c r="L59" s="771"/>
      <c r="M59" s="1400"/>
      <c r="N59" s="1400"/>
      <c r="O59" s="771" t="s">
        <v>2475</v>
      </c>
      <c r="P59" s="1400"/>
      <c r="Q59" s="1400"/>
      <c r="R59" s="665"/>
      <c r="S59" s="665"/>
      <c r="T59" s="1400"/>
    </row>
    <row r="60" spans="1:20" s="422" customFormat="1" ht="15" customHeight="1">
      <c r="A60" s="1400">
        <v>57</v>
      </c>
      <c r="B60" s="580"/>
      <c r="C60" s="1413" t="str">
        <f t="shared" si="2"/>
        <v/>
      </c>
      <c r="D60" s="1413" t="str">
        <f t="shared" si="3"/>
        <v>Fraser Yachts Florida Inc</v>
      </c>
      <c r="E60" s="1400" t="s">
        <v>1732</v>
      </c>
      <c r="F60" s="69" t="s">
        <v>1159</v>
      </c>
      <c r="G60" s="1400" t="s">
        <v>99</v>
      </c>
      <c r="H60" s="666" t="s">
        <v>1733</v>
      </c>
      <c r="I60" s="1400" t="s">
        <v>1734</v>
      </c>
      <c r="J60" s="1400" t="s">
        <v>1735</v>
      </c>
      <c r="K60" s="1400" t="s">
        <v>578</v>
      </c>
      <c r="L60" s="1400"/>
      <c r="M60" s="1400"/>
      <c r="N60" s="1400"/>
      <c r="O60" s="1400" t="s">
        <v>2475</v>
      </c>
      <c r="P60" s="1400"/>
      <c r="Q60" s="1400"/>
      <c r="R60" s="665"/>
      <c r="S60" s="665"/>
      <c r="T60" s="721"/>
    </row>
    <row r="61" spans="1:20" s="422" customFormat="1" ht="15" customHeight="1">
      <c r="A61" s="1401">
        <v>58</v>
      </c>
      <c r="B61" s="771"/>
      <c r="C61" s="1413" t="str">
        <f t="shared" si="2"/>
        <v/>
      </c>
      <c r="D61" s="1413" t="str">
        <f t="shared" si="3"/>
        <v>Fraseryachts</v>
      </c>
      <c r="E61" s="1400" t="s">
        <v>1162</v>
      </c>
      <c r="F61" s="69" t="s">
        <v>1159</v>
      </c>
      <c r="G61" s="771" t="s">
        <v>99</v>
      </c>
      <c r="H61" s="1400"/>
      <c r="I61" s="1400"/>
      <c r="J61" s="1400"/>
      <c r="K61" s="1400"/>
      <c r="L61" s="1400"/>
      <c r="M61" s="277"/>
      <c r="N61" s="277"/>
      <c r="O61" s="1400" t="s">
        <v>2475</v>
      </c>
      <c r="P61" s="277"/>
      <c r="Q61" s="277"/>
      <c r="R61" s="277"/>
      <c r="S61" s="277"/>
      <c r="T61" s="277"/>
    </row>
    <row r="62" spans="1:20" s="422" customFormat="1" ht="15" customHeight="1">
      <c r="A62" s="1400">
        <v>59</v>
      </c>
      <c r="B62" s="771" t="s">
        <v>410</v>
      </c>
      <c r="C62" s="1413" t="str">
        <f t="shared" si="2"/>
        <v>FROLSON</v>
      </c>
      <c r="D62" s="1413" t="str">
        <f t="shared" si="3"/>
        <v/>
      </c>
      <c r="E62" s="1401" t="s">
        <v>2604</v>
      </c>
      <c r="F62" s="69" t="s">
        <v>592</v>
      </c>
      <c r="G62" s="1401" t="s">
        <v>226</v>
      </c>
      <c r="H62" s="1401" t="s">
        <v>2668</v>
      </c>
      <c r="I62" s="1401" t="s">
        <v>2666</v>
      </c>
      <c r="J62" s="1401" t="s">
        <v>2667</v>
      </c>
      <c r="K62" s="1401" t="s">
        <v>230</v>
      </c>
      <c r="L62" s="1401"/>
      <c r="M62" s="1401"/>
      <c r="N62" s="1401"/>
      <c r="O62" s="1401" t="s">
        <v>2443</v>
      </c>
      <c r="P62" s="661">
        <v>0.12</v>
      </c>
      <c r="Q62" s="661">
        <v>0.12</v>
      </c>
      <c r="R62" s="665"/>
      <c r="S62" s="665"/>
      <c r="T62" s="771"/>
    </row>
    <row r="63" spans="1:20" s="422" customFormat="1" ht="15" customHeight="1">
      <c r="A63" s="1400">
        <v>60</v>
      </c>
      <c r="B63" s="1400"/>
      <c r="C63" s="1413" t="str">
        <f t="shared" si="2"/>
        <v>GAN EUROCOURTAGE</v>
      </c>
      <c r="D63" s="1413" t="str">
        <f t="shared" si="3"/>
        <v/>
      </c>
      <c r="E63" s="1397" t="s">
        <v>802</v>
      </c>
      <c r="F63" s="69" t="s">
        <v>592</v>
      </c>
      <c r="G63" s="1400" t="s">
        <v>226</v>
      </c>
      <c r="H63" s="667" t="s">
        <v>803</v>
      </c>
      <c r="I63" s="1397" t="s">
        <v>785</v>
      </c>
      <c r="J63" s="1397" t="s">
        <v>786</v>
      </c>
      <c r="K63" s="1397" t="s">
        <v>54</v>
      </c>
      <c r="L63" s="1397"/>
      <c r="M63" s="1020"/>
      <c r="N63" s="1020"/>
      <c r="O63" s="1401" t="s">
        <v>2443</v>
      </c>
      <c r="P63" s="1020"/>
      <c r="Q63" s="1020"/>
      <c r="R63" s="1020"/>
      <c r="S63" s="1020"/>
      <c r="T63" s="1020"/>
    </row>
    <row r="64" spans="1:20" s="422" customFormat="1" ht="15" customHeight="1">
      <c r="A64" s="1401">
        <v>61</v>
      </c>
      <c r="B64" s="1400"/>
      <c r="C64" s="1413" t="str">
        <f t="shared" si="2"/>
        <v/>
      </c>
      <c r="D64" s="1413" t="str">
        <f t="shared" si="3"/>
        <v>Garuda Yachts Charter Unipessoal LDA</v>
      </c>
      <c r="E64" s="1400" t="s">
        <v>1444</v>
      </c>
      <c r="F64" s="69" t="s">
        <v>1159</v>
      </c>
      <c r="G64" s="1400" t="s">
        <v>99</v>
      </c>
      <c r="H64" s="666" t="s">
        <v>1445</v>
      </c>
      <c r="I64" s="1400" t="s">
        <v>1446</v>
      </c>
      <c r="J64" s="1400" t="s">
        <v>1447</v>
      </c>
      <c r="K64" s="1400" t="s">
        <v>1543</v>
      </c>
      <c r="L64" s="1400"/>
      <c r="M64" s="1400"/>
      <c r="N64" s="1400"/>
      <c r="O64" s="1400" t="s">
        <v>2475</v>
      </c>
      <c r="P64" s="1400"/>
      <c r="Q64" s="1400"/>
      <c r="R64" s="665"/>
      <c r="S64" s="665"/>
      <c r="T64" s="1400"/>
    </row>
    <row r="65" spans="1:20" s="422" customFormat="1" ht="15" customHeight="1">
      <c r="A65" s="1400">
        <v>62</v>
      </c>
      <c r="B65" s="1401" t="s">
        <v>375</v>
      </c>
      <c r="C65" s="1413" t="str">
        <f t="shared" si="2"/>
        <v/>
      </c>
      <c r="D65" s="1413" t="str">
        <f t="shared" si="3"/>
        <v>GASPARD Yachts</v>
      </c>
      <c r="E65" s="773" t="s">
        <v>376</v>
      </c>
      <c r="F65" s="69" t="s">
        <v>1159</v>
      </c>
      <c r="G65" s="773" t="s">
        <v>99</v>
      </c>
      <c r="H65" s="666" t="s">
        <v>1736</v>
      </c>
      <c r="I65" s="1400" t="s">
        <v>247</v>
      </c>
      <c r="J65" s="1400" t="s">
        <v>382</v>
      </c>
      <c r="K65" s="1400" t="s">
        <v>54</v>
      </c>
      <c r="L65" s="1400"/>
      <c r="M65" s="773" t="s">
        <v>377</v>
      </c>
      <c r="N65" s="1401"/>
      <c r="O65" s="771" t="s">
        <v>2475</v>
      </c>
      <c r="P65" s="661">
        <v>0.08</v>
      </c>
      <c r="Q65" s="662"/>
      <c r="R65" s="661"/>
      <c r="S65" s="661"/>
      <c r="T65" s="1401" t="s">
        <v>378</v>
      </c>
    </row>
    <row r="66" spans="1:20" s="422" customFormat="1" ht="15" customHeight="1">
      <c r="A66" s="1400">
        <v>63</v>
      </c>
      <c r="B66" s="1401" t="s">
        <v>379</v>
      </c>
      <c r="C66" s="1413" t="str">
        <f t="shared" si="2"/>
        <v>Gecar</v>
      </c>
      <c r="D66" s="1413" t="str">
        <f t="shared" si="3"/>
        <v/>
      </c>
      <c r="E66" s="1401" t="s">
        <v>380</v>
      </c>
      <c r="F66" s="69" t="s">
        <v>592</v>
      </c>
      <c r="G66" s="1401" t="s">
        <v>226</v>
      </c>
      <c r="H66" s="1401" t="s">
        <v>381</v>
      </c>
      <c r="I66" s="1401" t="s">
        <v>247</v>
      </c>
      <c r="J66" s="1401" t="s">
        <v>382</v>
      </c>
      <c r="K66" s="1401" t="s">
        <v>230</v>
      </c>
      <c r="L66" s="1401"/>
      <c r="M66" s="1401" t="s">
        <v>383</v>
      </c>
      <c r="N66" s="1401"/>
      <c r="O66" s="1401" t="s">
        <v>2443</v>
      </c>
      <c r="P66" s="670">
        <v>0.12</v>
      </c>
      <c r="Q66" s="662"/>
      <c r="R66" s="661"/>
      <c r="S66" s="661"/>
      <c r="T66" s="1401" t="s">
        <v>384</v>
      </c>
    </row>
    <row r="67" spans="1:20" s="422" customFormat="1" ht="15" customHeight="1">
      <c r="A67" s="1401">
        <v>64</v>
      </c>
      <c r="B67" s="580"/>
      <c r="C67" s="1413" t="str">
        <f t="shared" si="2"/>
        <v/>
      </c>
      <c r="D67" s="1413" t="str">
        <f t="shared" si="3"/>
        <v>GES MARITIME</v>
      </c>
      <c r="E67" s="1401" t="s">
        <v>580</v>
      </c>
      <c r="F67" s="69" t="s">
        <v>1159</v>
      </c>
      <c r="G67" s="1401" t="s">
        <v>99</v>
      </c>
      <c r="H67" s="1401" t="s">
        <v>581</v>
      </c>
      <c r="I67" s="1401" t="s">
        <v>582</v>
      </c>
      <c r="J67" s="1401" t="s">
        <v>191</v>
      </c>
      <c r="K67" s="1401" t="s">
        <v>191</v>
      </c>
      <c r="L67" s="1401"/>
      <c r="M67" s="1401" t="s">
        <v>583</v>
      </c>
      <c r="N67" s="1400"/>
      <c r="O67" s="1400" t="s">
        <v>2475</v>
      </c>
      <c r="P67" s="665">
        <v>0</v>
      </c>
      <c r="Q67" s="665"/>
      <c r="R67" s="665"/>
      <c r="S67" s="665"/>
      <c r="T67" s="1400"/>
    </row>
    <row r="68" spans="1:20" s="422" customFormat="1" ht="15" customHeight="1">
      <c r="A68" s="1400">
        <v>65</v>
      </c>
      <c r="B68" s="1400"/>
      <c r="C68" s="1413" t="str">
        <f t="shared" si="2"/>
        <v/>
      </c>
      <c r="D68" s="1413" t="str">
        <f t="shared" si="3"/>
        <v>Globe Skipper</v>
      </c>
      <c r="E68" s="1400" t="s">
        <v>1657</v>
      </c>
      <c r="F68" s="69" t="s">
        <v>1159</v>
      </c>
      <c r="G68" s="1400" t="s">
        <v>99</v>
      </c>
      <c r="H68" s="666"/>
      <c r="I68" s="1400"/>
      <c r="J68" s="1400"/>
      <c r="K68" s="1400"/>
      <c r="L68" s="1400"/>
      <c r="M68" s="1400"/>
      <c r="N68" s="1400"/>
      <c r="O68" s="1400" t="s">
        <v>2475</v>
      </c>
      <c r="P68" s="1400"/>
      <c r="Q68" s="1400"/>
      <c r="R68" s="665"/>
      <c r="S68" s="665"/>
      <c r="T68" s="1400"/>
    </row>
    <row r="69" spans="1:20" s="422" customFormat="1" ht="15" customHeight="1">
      <c r="A69" s="1400">
        <v>66</v>
      </c>
      <c r="B69" s="771"/>
      <c r="C69" s="1413" t="str">
        <f t="shared" ref="C69:C132" si="4">IF(G69="Insurance Broker",E69,"")</f>
        <v>GRAS SAVOYE ASC</v>
      </c>
      <c r="D69" s="1413" t="str">
        <f t="shared" ref="D69:D132" si="5">IF(G69="Insurance Broker","",E69)</f>
        <v/>
      </c>
      <c r="E69" s="1397" t="s">
        <v>822</v>
      </c>
      <c r="F69" s="69" t="s">
        <v>592</v>
      </c>
      <c r="G69" s="771" t="s">
        <v>226</v>
      </c>
      <c r="H69" s="667" t="s">
        <v>823</v>
      </c>
      <c r="I69" s="1397" t="s">
        <v>824</v>
      </c>
      <c r="J69" s="1397" t="s">
        <v>825</v>
      </c>
      <c r="K69" s="1397" t="s">
        <v>54</v>
      </c>
      <c r="L69" s="1397"/>
      <c r="M69" s="1020"/>
      <c r="N69" s="1020"/>
      <c r="O69" s="1401" t="s">
        <v>2443</v>
      </c>
      <c r="P69" s="1020"/>
      <c r="Q69" s="1020"/>
      <c r="R69" s="1020"/>
      <c r="S69" s="1020"/>
      <c r="T69" s="1020"/>
    </row>
    <row r="70" spans="1:20" s="422" customFormat="1" ht="15" customHeight="1">
      <c r="A70" s="1401">
        <v>67</v>
      </c>
      <c r="B70" s="802" t="s">
        <v>385</v>
      </c>
      <c r="C70" s="1413" t="str">
        <f t="shared" si="4"/>
        <v xml:space="preserve">Gras Savoye Turkey </v>
      </c>
      <c r="D70" s="1413" t="str">
        <f t="shared" si="5"/>
        <v/>
      </c>
      <c r="E70" s="1401" t="s">
        <v>386</v>
      </c>
      <c r="F70" s="69" t="s">
        <v>592</v>
      </c>
      <c r="G70" s="1401" t="s">
        <v>226</v>
      </c>
      <c r="H70" s="1401" t="s">
        <v>387</v>
      </c>
      <c r="I70" s="1401" t="s">
        <v>388</v>
      </c>
      <c r="J70" s="1401" t="s">
        <v>389</v>
      </c>
      <c r="K70" s="773" t="s">
        <v>390</v>
      </c>
      <c r="L70" s="773"/>
      <c r="M70" s="773" t="s">
        <v>391</v>
      </c>
      <c r="N70" s="802" t="s">
        <v>392</v>
      </c>
      <c r="O70" s="1401" t="s">
        <v>2443</v>
      </c>
      <c r="P70" s="661">
        <v>0.12</v>
      </c>
      <c r="Q70" s="662">
        <v>0.12</v>
      </c>
      <c r="R70" s="665"/>
      <c r="S70" s="665"/>
      <c r="T70" s="1401"/>
    </row>
    <row r="71" spans="1:20" s="422" customFormat="1" ht="15" customHeight="1">
      <c r="A71" s="1400">
        <v>68</v>
      </c>
      <c r="B71" s="1400"/>
      <c r="C71" s="1413" t="str">
        <f t="shared" si="4"/>
        <v/>
      </c>
      <c r="D71" s="1413" t="str">
        <f t="shared" si="5"/>
        <v>Grenadines Transportes Maritimos Lda</v>
      </c>
      <c r="E71" s="1400" t="s">
        <v>1737</v>
      </c>
      <c r="F71" s="69" t="s">
        <v>1159</v>
      </c>
      <c r="G71" s="1400" t="s">
        <v>99</v>
      </c>
      <c r="H71" s="666"/>
      <c r="I71" s="1400"/>
      <c r="J71" s="1400"/>
      <c r="K71" s="1400"/>
      <c r="L71" s="1400"/>
      <c r="M71" s="1400"/>
      <c r="N71" s="1400"/>
      <c r="O71" s="1400" t="s">
        <v>2475</v>
      </c>
      <c r="P71" s="1400"/>
      <c r="Q71" s="1400"/>
      <c r="R71" s="665"/>
      <c r="S71" s="665"/>
      <c r="T71" s="580"/>
    </row>
    <row r="72" spans="1:20" s="422" customFormat="1" ht="15" customHeight="1">
      <c r="A72" s="1400">
        <v>69</v>
      </c>
      <c r="B72" s="771"/>
      <c r="C72" s="1413" t="str">
        <f t="shared" si="4"/>
        <v/>
      </c>
      <c r="D72" s="1413" t="str">
        <f t="shared" si="5"/>
        <v>Groupe ADDOHA</v>
      </c>
      <c r="E72" s="1397" t="s">
        <v>1706</v>
      </c>
      <c r="F72" s="69" t="s">
        <v>1159</v>
      </c>
      <c r="G72" s="771" t="s">
        <v>99</v>
      </c>
      <c r="H72" s="666" t="s">
        <v>1707</v>
      </c>
      <c r="I72" s="771"/>
      <c r="J72" s="771" t="s">
        <v>1708</v>
      </c>
      <c r="K72" s="1401" t="s">
        <v>238</v>
      </c>
      <c r="L72" s="1401"/>
      <c r="M72" s="1401"/>
      <c r="N72" s="1401"/>
      <c r="O72" s="771" t="s">
        <v>2475</v>
      </c>
      <c r="P72" s="1401"/>
      <c r="Q72" s="1400"/>
      <c r="R72" s="665"/>
      <c r="S72" s="665"/>
      <c r="T72" s="1400"/>
    </row>
    <row r="73" spans="1:20" s="422" customFormat="1" ht="15" customHeight="1">
      <c r="A73" s="1401">
        <v>70</v>
      </c>
      <c r="B73" s="773"/>
      <c r="C73" s="1413" t="str">
        <f t="shared" si="4"/>
        <v>Groupe OTHELA</v>
      </c>
      <c r="D73" s="1413" t="str">
        <f t="shared" si="5"/>
        <v/>
      </c>
      <c r="E73" s="773" t="s">
        <v>393</v>
      </c>
      <c r="F73" s="69" t="s">
        <v>592</v>
      </c>
      <c r="G73" s="773" t="s">
        <v>226</v>
      </c>
      <c r="H73" s="773" t="s">
        <v>394</v>
      </c>
      <c r="I73" s="773" t="s">
        <v>247</v>
      </c>
      <c r="J73" s="773" t="s">
        <v>382</v>
      </c>
      <c r="K73" s="773" t="s">
        <v>230</v>
      </c>
      <c r="L73" s="773"/>
      <c r="M73" s="773" t="s">
        <v>395</v>
      </c>
      <c r="N73" s="773" t="s">
        <v>396</v>
      </c>
      <c r="O73" s="773" t="s">
        <v>2443</v>
      </c>
      <c r="P73" s="661">
        <v>0.12</v>
      </c>
      <c r="Q73" s="662"/>
      <c r="R73" s="661"/>
      <c r="S73" s="661"/>
      <c r="T73" s="771"/>
    </row>
    <row r="74" spans="1:20" s="422" customFormat="1" ht="15" customHeight="1">
      <c r="A74" s="1400">
        <v>71</v>
      </c>
      <c r="B74" s="1400"/>
      <c r="C74" s="1413" t="str">
        <f t="shared" si="4"/>
        <v/>
      </c>
      <c r="D74" s="1413" t="str">
        <f t="shared" si="5"/>
        <v>HELIAD II</v>
      </c>
      <c r="E74" s="1400" t="s">
        <v>1435</v>
      </c>
      <c r="F74" s="69" t="s">
        <v>1159</v>
      </c>
      <c r="G74" s="1400" t="s">
        <v>99</v>
      </c>
      <c r="H74" s="1400"/>
      <c r="I74" s="1400"/>
      <c r="J74" s="1400"/>
      <c r="K74" s="1400"/>
      <c r="L74" s="1400"/>
      <c r="M74" s="1020"/>
      <c r="N74" s="1020"/>
      <c r="O74" s="1400" t="s">
        <v>2475</v>
      </c>
      <c r="P74" s="1020"/>
      <c r="Q74" s="1020"/>
      <c r="R74" s="1020"/>
      <c r="S74" s="1020"/>
      <c r="T74" s="1020"/>
    </row>
    <row r="75" spans="1:20" s="422" customFormat="1" ht="15" customHeight="1">
      <c r="A75" s="1400">
        <v>72</v>
      </c>
      <c r="B75" s="1401" t="s">
        <v>397</v>
      </c>
      <c r="C75" s="1413" t="str">
        <f t="shared" si="4"/>
        <v>Hudson Sky Company SA</v>
      </c>
      <c r="D75" s="1413" t="str">
        <f t="shared" si="5"/>
        <v/>
      </c>
      <c r="E75" s="1401" t="s">
        <v>398</v>
      </c>
      <c r="F75" s="69" t="s">
        <v>592</v>
      </c>
      <c r="G75" s="1401" t="s">
        <v>226</v>
      </c>
      <c r="H75" s="1401" t="s">
        <v>399</v>
      </c>
      <c r="I75" s="1401" t="s">
        <v>400</v>
      </c>
      <c r="J75" s="1401" t="s">
        <v>401</v>
      </c>
      <c r="K75" s="1401" t="s">
        <v>280</v>
      </c>
      <c r="L75" s="1401"/>
      <c r="M75" s="1401" t="s">
        <v>402</v>
      </c>
      <c r="N75" s="1401" t="s">
        <v>403</v>
      </c>
      <c r="O75" s="1401" t="s">
        <v>2443</v>
      </c>
      <c r="P75" s="661">
        <v>0.15</v>
      </c>
      <c r="Q75" s="662"/>
      <c r="R75" s="661"/>
      <c r="S75" s="661"/>
      <c r="T75" s="1400"/>
    </row>
    <row r="76" spans="1:20" s="422" customFormat="1" ht="15" customHeight="1">
      <c r="A76" s="1401">
        <v>73</v>
      </c>
      <c r="B76" s="773"/>
      <c r="C76" s="1413" t="str">
        <f t="shared" si="4"/>
        <v>ICS</v>
      </c>
      <c r="D76" s="1413" t="str">
        <f t="shared" si="5"/>
        <v/>
      </c>
      <c r="E76" s="773" t="s">
        <v>404</v>
      </c>
      <c r="F76" s="69" t="s">
        <v>592</v>
      </c>
      <c r="G76" s="773" t="s">
        <v>226</v>
      </c>
      <c r="H76" s="773" t="s">
        <v>405</v>
      </c>
      <c r="I76" s="773" t="s">
        <v>406</v>
      </c>
      <c r="J76" s="773" t="s">
        <v>191</v>
      </c>
      <c r="K76" s="773" t="s">
        <v>407</v>
      </c>
      <c r="L76" s="773"/>
      <c r="M76" s="773" t="s">
        <v>408</v>
      </c>
      <c r="N76" s="1401" t="s">
        <v>409</v>
      </c>
      <c r="O76" s="773" t="s">
        <v>2443</v>
      </c>
      <c r="P76" s="661">
        <v>0</v>
      </c>
      <c r="Q76" s="662"/>
      <c r="R76" s="661"/>
      <c r="S76" s="661"/>
      <c r="T76" s="580"/>
    </row>
    <row r="77" spans="1:20" s="422" customFormat="1" ht="15" customHeight="1">
      <c r="A77" s="1400">
        <v>74</v>
      </c>
      <c r="B77" s="1400"/>
      <c r="C77" s="1413" t="str">
        <f t="shared" si="4"/>
        <v/>
      </c>
      <c r="D77" s="1413" t="str">
        <f t="shared" si="5"/>
        <v>IDOL YACHTING LIMITED</v>
      </c>
      <c r="E77" s="1397" t="s">
        <v>1533</v>
      </c>
      <c r="F77" s="69" t="s">
        <v>1159</v>
      </c>
      <c r="G77" s="1400" t="s">
        <v>99</v>
      </c>
      <c r="H77" s="1400" t="s">
        <v>1534</v>
      </c>
      <c r="I77" s="1400" t="s">
        <v>1535</v>
      </c>
      <c r="J77" s="1400" t="s">
        <v>1536</v>
      </c>
      <c r="K77" s="1397" t="s">
        <v>52</v>
      </c>
      <c r="L77" s="1397"/>
      <c r="M77" s="1020"/>
      <c r="N77" s="1020"/>
      <c r="O77" s="1400" t="s">
        <v>2475</v>
      </c>
      <c r="P77" s="1020"/>
      <c r="Q77" s="1020"/>
      <c r="R77" s="1020"/>
      <c r="S77" s="1020"/>
      <c r="T77" s="1020"/>
    </row>
    <row r="78" spans="1:20" s="422" customFormat="1" ht="15" customHeight="1">
      <c r="A78" s="1400">
        <v>75</v>
      </c>
      <c r="B78" s="1401" t="s">
        <v>411</v>
      </c>
      <c r="C78" s="1413" t="str">
        <f t="shared" si="4"/>
        <v>INP Marine</v>
      </c>
      <c r="D78" s="1413" t="str">
        <f t="shared" si="5"/>
        <v/>
      </c>
      <c r="E78" s="1401" t="s">
        <v>412</v>
      </c>
      <c r="F78" s="69" t="s">
        <v>592</v>
      </c>
      <c r="G78" s="1401" t="s">
        <v>226</v>
      </c>
      <c r="H78" s="1401" t="s">
        <v>413</v>
      </c>
      <c r="I78" s="1401" t="s">
        <v>414</v>
      </c>
      <c r="J78" s="1401" t="s">
        <v>415</v>
      </c>
      <c r="K78" s="1401" t="s">
        <v>280</v>
      </c>
      <c r="L78" s="1401"/>
      <c r="M78" s="1401" t="s">
        <v>416</v>
      </c>
      <c r="N78" s="804"/>
      <c r="O78" s="1401" t="s">
        <v>2443</v>
      </c>
      <c r="P78" s="661">
        <v>0.12</v>
      </c>
      <c r="Q78" s="662"/>
      <c r="R78" s="661"/>
      <c r="S78" s="661"/>
      <c r="T78" s="580"/>
    </row>
    <row r="79" spans="1:20" s="422" customFormat="1" ht="15" customHeight="1">
      <c r="A79" s="1401">
        <v>76</v>
      </c>
      <c r="B79" s="773" t="s">
        <v>417</v>
      </c>
      <c r="C79" s="1413" t="str">
        <f t="shared" si="4"/>
        <v>Inter Caraïbes Assurances</v>
      </c>
      <c r="D79" s="1413" t="str">
        <f t="shared" si="5"/>
        <v/>
      </c>
      <c r="E79" s="76" t="s">
        <v>418</v>
      </c>
      <c r="F79" s="69" t="s">
        <v>592</v>
      </c>
      <c r="G79" s="76" t="s">
        <v>226</v>
      </c>
      <c r="H79" s="76" t="s">
        <v>419</v>
      </c>
      <c r="I79" s="76" t="s">
        <v>420</v>
      </c>
      <c r="J79" s="76" t="s">
        <v>421</v>
      </c>
      <c r="K79" s="76" t="s">
        <v>422</v>
      </c>
      <c r="L79" s="76"/>
      <c r="M79" s="1401" t="s">
        <v>423</v>
      </c>
      <c r="N79" s="1401" t="s">
        <v>424</v>
      </c>
      <c r="O79" s="76" t="s">
        <v>2443</v>
      </c>
      <c r="P79" s="661">
        <v>0.12</v>
      </c>
      <c r="Q79" s="662"/>
      <c r="R79" s="661"/>
      <c r="S79" s="661"/>
      <c r="T79" s="580"/>
    </row>
    <row r="80" spans="1:20" s="422" customFormat="1" ht="15" customHeight="1">
      <c r="A80" s="1400">
        <v>77</v>
      </c>
      <c r="B80" s="1021"/>
      <c r="C80" s="1413" t="str">
        <f t="shared" si="4"/>
        <v>INTRAMAR® insurances</v>
      </c>
      <c r="D80" s="1413" t="str">
        <f t="shared" si="5"/>
        <v/>
      </c>
      <c r="E80" s="810" t="s">
        <v>2624</v>
      </c>
      <c r="F80" s="69" t="s">
        <v>592</v>
      </c>
      <c r="G80" s="810" t="s">
        <v>226</v>
      </c>
      <c r="H80" s="810" t="s">
        <v>2625</v>
      </c>
      <c r="I80" s="810" t="s">
        <v>2626</v>
      </c>
      <c r="J80" s="810" t="s">
        <v>2627</v>
      </c>
      <c r="K80" s="810" t="s">
        <v>2628</v>
      </c>
      <c r="L80" s="1021"/>
      <c r="M80" s="810" t="s">
        <v>2629</v>
      </c>
      <c r="N80" s="810" t="s">
        <v>2630</v>
      </c>
      <c r="O80" s="1400" t="s">
        <v>2443</v>
      </c>
      <c r="P80" s="661">
        <v>0.15</v>
      </c>
      <c r="Q80" s="661">
        <v>0.15</v>
      </c>
      <c r="R80" s="1021"/>
      <c r="S80" s="1021"/>
      <c r="T80" s="1021"/>
    </row>
    <row r="81" spans="1:20" s="422" customFormat="1" ht="15" customHeight="1">
      <c r="A81" s="1400">
        <v>78</v>
      </c>
      <c r="B81" s="721"/>
      <c r="C81" s="1413" t="str">
        <f t="shared" si="4"/>
        <v/>
      </c>
      <c r="D81" s="1413" t="str">
        <f t="shared" si="5"/>
        <v>IPHARRA</v>
      </c>
      <c r="E81" s="1400" t="s">
        <v>1430</v>
      </c>
      <c r="F81" s="69" t="s">
        <v>1159</v>
      </c>
      <c r="G81" s="1400" t="s">
        <v>99</v>
      </c>
      <c r="H81" s="666"/>
      <c r="I81" s="1400"/>
      <c r="J81" s="1400"/>
      <c r="K81" s="1400"/>
      <c r="L81" s="1400"/>
      <c r="M81" s="1400"/>
      <c r="N81" s="771"/>
      <c r="O81" s="1400" t="s">
        <v>2475</v>
      </c>
      <c r="P81" s="1400"/>
      <c r="Q81" s="1400"/>
      <c r="R81" s="665"/>
      <c r="S81" s="665"/>
      <c r="T81" s="580"/>
    </row>
    <row r="82" spans="1:20" s="422" customFormat="1" ht="15" customHeight="1">
      <c r="A82" s="1401">
        <v>79</v>
      </c>
      <c r="B82" s="76" t="s">
        <v>425</v>
      </c>
      <c r="C82" s="1413" t="str">
        <f t="shared" si="4"/>
        <v>ISAIA, AXA Assurances Antibes</v>
      </c>
      <c r="D82" s="1413" t="str">
        <f t="shared" si="5"/>
        <v/>
      </c>
      <c r="E82" s="76" t="s">
        <v>426</v>
      </c>
      <c r="F82" s="69" t="s">
        <v>592</v>
      </c>
      <c r="G82" s="76" t="s">
        <v>226</v>
      </c>
      <c r="H82" s="76" t="s">
        <v>427</v>
      </c>
      <c r="I82" s="76" t="s">
        <v>334</v>
      </c>
      <c r="J82" s="76" t="s">
        <v>335</v>
      </c>
      <c r="K82" s="76" t="s">
        <v>230</v>
      </c>
      <c r="L82" s="76"/>
      <c r="M82" s="671" t="s">
        <v>428</v>
      </c>
      <c r="N82" s="671" t="s">
        <v>429</v>
      </c>
      <c r="O82" s="76" t="s">
        <v>2443</v>
      </c>
      <c r="P82" s="661">
        <v>0.12</v>
      </c>
      <c r="Q82" s="662"/>
      <c r="R82" s="661"/>
      <c r="S82" s="661"/>
      <c r="T82" s="1400"/>
    </row>
    <row r="83" spans="1:20" s="422" customFormat="1" ht="15" customHeight="1">
      <c r="A83" s="1400">
        <v>80</v>
      </c>
      <c r="B83" s="802" t="s">
        <v>430</v>
      </c>
      <c r="C83" s="1413" t="str">
        <f t="shared" si="4"/>
        <v xml:space="preserve">ISIS GLOBAL SOLUTIONS </v>
      </c>
      <c r="D83" s="1413" t="str">
        <f t="shared" si="5"/>
        <v/>
      </c>
      <c r="E83" s="773" t="s">
        <v>431</v>
      </c>
      <c r="F83" s="69" t="s">
        <v>592</v>
      </c>
      <c r="G83" s="773" t="s">
        <v>226</v>
      </c>
      <c r="H83" s="802" t="s">
        <v>432</v>
      </c>
      <c r="I83" s="802" t="s">
        <v>433</v>
      </c>
      <c r="J83" s="802" t="s">
        <v>434</v>
      </c>
      <c r="K83" s="802" t="s">
        <v>230</v>
      </c>
      <c r="L83" s="802"/>
      <c r="M83" s="802" t="s">
        <v>435</v>
      </c>
      <c r="N83" s="802" t="s">
        <v>436</v>
      </c>
      <c r="O83" s="773" t="s">
        <v>2443</v>
      </c>
      <c r="P83" s="661">
        <v>0.12</v>
      </c>
      <c r="Q83" s="662"/>
      <c r="R83" s="661"/>
      <c r="S83" s="661"/>
      <c r="T83" s="580"/>
    </row>
    <row r="84" spans="1:20" s="422" customFormat="1" ht="15" customHeight="1">
      <c r="A84" s="1400">
        <v>81</v>
      </c>
      <c r="B84" s="1400"/>
      <c r="C84" s="1413" t="str">
        <f t="shared" si="4"/>
        <v>John L. Wortham &amp; Son, L.P.</v>
      </c>
      <c r="D84" s="1413" t="str">
        <f t="shared" si="5"/>
        <v/>
      </c>
      <c r="E84" s="76" t="s">
        <v>574</v>
      </c>
      <c r="F84" s="69" t="s">
        <v>592</v>
      </c>
      <c r="G84" s="76" t="s">
        <v>226</v>
      </c>
      <c r="H84" s="76" t="s">
        <v>575</v>
      </c>
      <c r="I84" s="76" t="s">
        <v>576</v>
      </c>
      <c r="J84" s="76" t="s">
        <v>577</v>
      </c>
      <c r="K84" s="76" t="s">
        <v>578</v>
      </c>
      <c r="L84" s="76"/>
      <c r="M84" s="76" t="s">
        <v>579</v>
      </c>
      <c r="N84" s="1400"/>
      <c r="O84" s="76" t="s">
        <v>2443</v>
      </c>
      <c r="P84" s="661">
        <v>0.12</v>
      </c>
      <c r="Q84" s="661">
        <v>0.12</v>
      </c>
      <c r="R84" s="665"/>
      <c r="S84" s="665"/>
      <c r="T84" s="580"/>
    </row>
    <row r="85" spans="1:20" s="422" customFormat="1" ht="15" customHeight="1">
      <c r="A85" s="1401">
        <v>82</v>
      </c>
      <c r="B85" s="1401" t="s">
        <v>437</v>
      </c>
      <c r="C85" s="1413" t="str">
        <f t="shared" si="4"/>
        <v>JOURDAN GASSIN Nice</v>
      </c>
      <c r="D85" s="1413" t="str">
        <f t="shared" si="5"/>
        <v/>
      </c>
      <c r="E85" s="1401" t="s">
        <v>438</v>
      </c>
      <c r="F85" s="69" t="s">
        <v>592</v>
      </c>
      <c r="G85" s="1401" t="s">
        <v>226</v>
      </c>
      <c r="H85" s="1401" t="s">
        <v>439</v>
      </c>
      <c r="I85" s="1401" t="s">
        <v>266</v>
      </c>
      <c r="J85" s="1401" t="s">
        <v>267</v>
      </c>
      <c r="K85" s="1401" t="s">
        <v>230</v>
      </c>
      <c r="L85" s="1401"/>
      <c r="M85" s="1401" t="s">
        <v>440</v>
      </c>
      <c r="N85" s="1401"/>
      <c r="O85" s="1401" t="s">
        <v>2443</v>
      </c>
      <c r="P85" s="661">
        <v>0.12</v>
      </c>
      <c r="Q85" s="662"/>
      <c r="R85" s="661"/>
      <c r="S85" s="661"/>
      <c r="T85" s="1401" t="s">
        <v>441</v>
      </c>
    </row>
    <row r="86" spans="1:20" s="422" customFormat="1" ht="15" customHeight="1">
      <c r="A86" s="1400">
        <v>83</v>
      </c>
      <c r="B86" s="580"/>
      <c r="C86" s="1413" t="str">
        <f t="shared" si="4"/>
        <v>Junge Verzekeringsmakelaars NV</v>
      </c>
      <c r="D86" s="1413" t="str">
        <f t="shared" si="5"/>
        <v/>
      </c>
      <c r="E86" s="76" t="s">
        <v>2457</v>
      </c>
      <c r="F86" s="69" t="s">
        <v>592</v>
      </c>
      <c r="G86" s="76" t="s">
        <v>226</v>
      </c>
      <c r="H86" s="773" t="s">
        <v>2458</v>
      </c>
      <c r="I86" s="773" t="s">
        <v>893</v>
      </c>
      <c r="J86" s="773" t="s">
        <v>2459</v>
      </c>
      <c r="K86" s="773" t="s">
        <v>895</v>
      </c>
      <c r="L86" s="773"/>
      <c r="M86" s="773" t="s">
        <v>2460</v>
      </c>
      <c r="N86" s="1401" t="s">
        <v>2461</v>
      </c>
      <c r="O86" s="773" t="s">
        <v>2443</v>
      </c>
      <c r="P86" s="665">
        <v>0.15</v>
      </c>
      <c r="Q86" s="665">
        <v>0.15</v>
      </c>
      <c r="R86" s="665"/>
      <c r="S86" s="665"/>
      <c r="T86" s="721"/>
    </row>
    <row r="87" spans="1:20" s="422" customFormat="1" ht="15" customHeight="1">
      <c r="A87" s="1400">
        <v>84</v>
      </c>
      <c r="B87" s="1401" t="s">
        <v>442</v>
      </c>
      <c r="C87" s="1413" t="str">
        <f t="shared" si="4"/>
        <v>LALANDRE ASSURANCES</v>
      </c>
      <c r="D87" s="1413" t="str">
        <f t="shared" si="5"/>
        <v/>
      </c>
      <c r="E87" s="1401" t="s">
        <v>443</v>
      </c>
      <c r="F87" s="69" t="s">
        <v>592</v>
      </c>
      <c r="G87" s="1401" t="s">
        <v>226</v>
      </c>
      <c r="H87" s="1401" t="s">
        <v>444</v>
      </c>
      <c r="I87" s="1401" t="s">
        <v>247</v>
      </c>
      <c r="J87" s="1401" t="s">
        <v>382</v>
      </c>
      <c r="K87" s="1401" t="s">
        <v>230</v>
      </c>
      <c r="L87" s="1401"/>
      <c r="M87" s="1401" t="s">
        <v>445</v>
      </c>
      <c r="N87" s="1401" t="s">
        <v>446</v>
      </c>
      <c r="O87" s="1401" t="s">
        <v>2443</v>
      </c>
      <c r="P87" s="661">
        <v>0.12</v>
      </c>
      <c r="Q87" s="662"/>
      <c r="R87" s="661"/>
      <c r="S87" s="661"/>
      <c r="T87" s="580"/>
    </row>
    <row r="88" spans="1:20" s="422" customFormat="1" ht="15" customHeight="1">
      <c r="A88" s="1401">
        <v>85</v>
      </c>
      <c r="B88" s="771"/>
      <c r="C88" s="1413" t="str">
        <f t="shared" si="4"/>
        <v/>
      </c>
      <c r="D88" s="1413" t="str">
        <f t="shared" si="5"/>
        <v>LENGERS YACHTS</v>
      </c>
      <c r="E88" s="1400" t="s">
        <v>1549</v>
      </c>
      <c r="F88" s="69" t="s">
        <v>1159</v>
      </c>
      <c r="G88" s="1400" t="s">
        <v>99</v>
      </c>
      <c r="H88" s="666" t="s">
        <v>1550</v>
      </c>
      <c r="I88" s="580" t="s">
        <v>1551</v>
      </c>
      <c r="J88" s="580" t="s">
        <v>1552</v>
      </c>
      <c r="K88" s="771" t="s">
        <v>54</v>
      </c>
      <c r="L88" s="771"/>
      <c r="M88" s="1400"/>
      <c r="N88" s="1400"/>
      <c r="O88" s="580" t="s">
        <v>2475</v>
      </c>
      <c r="P88" s="1400"/>
      <c r="Q88" s="1400"/>
      <c r="R88" s="665"/>
      <c r="S88" s="665"/>
      <c r="T88" s="771"/>
    </row>
    <row r="89" spans="1:20" s="422" customFormat="1" ht="15" customHeight="1">
      <c r="A89" s="1400">
        <v>86</v>
      </c>
      <c r="B89" s="771"/>
      <c r="C89" s="1413" t="str">
        <f t="shared" si="4"/>
        <v>LK Courtage</v>
      </c>
      <c r="D89" s="1413" t="str">
        <f t="shared" si="5"/>
        <v/>
      </c>
      <c r="E89" s="1401" t="s">
        <v>570</v>
      </c>
      <c r="F89" s="69" t="s">
        <v>592</v>
      </c>
      <c r="G89" s="1401" t="s">
        <v>226</v>
      </c>
      <c r="H89" s="1401" t="s">
        <v>571</v>
      </c>
      <c r="I89" s="1401" t="s">
        <v>247</v>
      </c>
      <c r="J89" s="1401" t="s">
        <v>382</v>
      </c>
      <c r="K89" s="1401" t="s">
        <v>230</v>
      </c>
      <c r="L89" s="1401"/>
      <c r="M89" s="1401" t="s">
        <v>572</v>
      </c>
      <c r="N89" s="802" t="s">
        <v>573</v>
      </c>
      <c r="O89" s="1401" t="s">
        <v>2443</v>
      </c>
      <c r="P89" s="661">
        <v>0.12</v>
      </c>
      <c r="Q89" s="661">
        <v>0.12</v>
      </c>
      <c r="R89" s="665"/>
      <c r="S89" s="665"/>
      <c r="T89" s="771"/>
    </row>
    <row r="90" spans="1:20" s="422" customFormat="1" ht="15" customHeight="1">
      <c r="A90" s="1400">
        <v>87</v>
      </c>
      <c r="B90" s="1400"/>
      <c r="C90" s="1413" t="str">
        <f t="shared" si="4"/>
        <v/>
      </c>
      <c r="D90" s="1413" t="str">
        <f t="shared" si="5"/>
        <v>Long River Corporate</v>
      </c>
      <c r="E90" s="771" t="s">
        <v>1314</v>
      </c>
      <c r="F90" s="69" t="s">
        <v>1159</v>
      </c>
      <c r="G90" s="1400" t="s">
        <v>99</v>
      </c>
      <c r="H90" s="666"/>
      <c r="I90" s="771"/>
      <c r="J90" s="771"/>
      <c r="K90" s="1400"/>
      <c r="L90" s="1400"/>
      <c r="M90" s="1400"/>
      <c r="N90" s="1400"/>
      <c r="O90" s="580" t="s">
        <v>2475</v>
      </c>
      <c r="P90" s="1400"/>
      <c r="Q90" s="1400"/>
      <c r="R90" s="665"/>
      <c r="S90" s="665"/>
      <c r="T90" s="1400"/>
    </row>
    <row r="91" spans="1:20" s="422" customFormat="1" ht="15" customHeight="1">
      <c r="A91" s="1401">
        <v>88</v>
      </c>
      <c r="B91" s="1400"/>
      <c r="C91" s="1413" t="str">
        <f t="shared" si="4"/>
        <v/>
      </c>
      <c r="D91" s="1413" t="str">
        <f t="shared" si="5"/>
        <v>Luxembourg Marine Services S.A.</v>
      </c>
      <c r="E91" s="773" t="s">
        <v>449</v>
      </c>
      <c r="F91" s="69" t="s">
        <v>1159</v>
      </c>
      <c r="G91" s="773" t="s">
        <v>99</v>
      </c>
      <c r="H91" s="1400" t="s">
        <v>2480</v>
      </c>
      <c r="I91" s="1400" t="s">
        <v>2481</v>
      </c>
      <c r="J91" s="1400" t="s">
        <v>191</v>
      </c>
      <c r="K91" s="1400" t="s">
        <v>191</v>
      </c>
      <c r="L91" s="1400"/>
      <c r="M91" s="802" t="s">
        <v>450</v>
      </c>
      <c r="N91" s="802" t="s">
        <v>451</v>
      </c>
      <c r="O91" s="580" t="s">
        <v>2475</v>
      </c>
      <c r="P91" s="661">
        <v>0.08</v>
      </c>
      <c r="Q91" s="665"/>
      <c r="R91" s="661"/>
      <c r="S91" s="661"/>
      <c r="T91" s="1400"/>
    </row>
    <row r="92" spans="1:20" s="422" customFormat="1" ht="15" customHeight="1">
      <c r="A92" s="1400">
        <v>89</v>
      </c>
      <c r="B92" s="721"/>
      <c r="C92" s="1413" t="str">
        <f t="shared" si="4"/>
        <v/>
      </c>
      <c r="D92" s="1413" t="str">
        <f t="shared" si="5"/>
        <v>M1 Management</v>
      </c>
      <c r="E92" s="1400" t="s">
        <v>751</v>
      </c>
      <c r="F92" s="69" t="s">
        <v>1159</v>
      </c>
      <c r="G92" s="721" t="s">
        <v>99</v>
      </c>
      <c r="H92" s="1400" t="s">
        <v>2482</v>
      </c>
      <c r="I92" s="1400" t="s">
        <v>273</v>
      </c>
      <c r="J92" s="1400" t="s">
        <v>485</v>
      </c>
      <c r="K92" s="1400" t="s">
        <v>485</v>
      </c>
      <c r="L92" s="1400"/>
      <c r="M92" s="1400"/>
      <c r="N92" s="1400"/>
      <c r="O92" s="580" t="s">
        <v>2475</v>
      </c>
      <c r="P92" s="1400"/>
      <c r="Q92" s="721"/>
      <c r="R92" s="665"/>
      <c r="S92" s="665"/>
      <c r="T92" s="580"/>
    </row>
    <row r="93" spans="1:20" s="391" customFormat="1" ht="15" customHeight="1">
      <c r="A93" s="1400">
        <v>90</v>
      </c>
      <c r="B93" s="1401" t="s">
        <v>447</v>
      </c>
      <c r="C93" s="1413" t="str">
        <f t="shared" si="4"/>
        <v/>
      </c>
      <c r="D93" s="1413" t="str">
        <f t="shared" si="5"/>
        <v>MAGELLAN</v>
      </c>
      <c r="E93" s="771" t="s">
        <v>1196</v>
      </c>
      <c r="F93" s="69" t="s">
        <v>1159</v>
      </c>
      <c r="G93" s="1401" t="s">
        <v>99</v>
      </c>
      <c r="H93" s="1400" t="s">
        <v>2483</v>
      </c>
      <c r="I93" s="771" t="s">
        <v>1197</v>
      </c>
      <c r="J93" s="771" t="s">
        <v>452</v>
      </c>
      <c r="K93" s="1397" t="s">
        <v>191</v>
      </c>
      <c r="L93" s="1397"/>
      <c r="M93" s="1401" t="s">
        <v>453</v>
      </c>
      <c r="N93" s="1401" t="s">
        <v>454</v>
      </c>
      <c r="O93" s="580" t="s">
        <v>2475</v>
      </c>
      <c r="P93" s="661">
        <v>0.1</v>
      </c>
      <c r="Q93" s="1020"/>
      <c r="R93" s="1020"/>
      <c r="S93" s="1020"/>
      <c r="T93" s="1401" t="s">
        <v>455</v>
      </c>
    </row>
    <row r="94" spans="1:20" s="391" customFormat="1" ht="15" customHeight="1">
      <c r="A94" s="1401">
        <v>91</v>
      </c>
      <c r="B94" s="1401" t="s">
        <v>456</v>
      </c>
      <c r="C94" s="1413" t="str">
        <f t="shared" si="4"/>
        <v/>
      </c>
      <c r="D94" s="1413" t="str">
        <f t="shared" si="5"/>
        <v>MAILLOT Florent</v>
      </c>
      <c r="E94" s="1401" t="s">
        <v>457</v>
      </c>
      <c r="F94" s="69" t="s">
        <v>1159</v>
      </c>
      <c r="G94" s="1401" t="s">
        <v>99</v>
      </c>
      <c r="H94" s="804" t="s">
        <v>458</v>
      </c>
      <c r="I94" s="804" t="s">
        <v>459</v>
      </c>
      <c r="J94" s="804" t="s">
        <v>460</v>
      </c>
      <c r="K94" s="804" t="s">
        <v>230</v>
      </c>
      <c r="L94" s="804"/>
      <c r="M94" s="1401"/>
      <c r="N94" s="1401"/>
      <c r="O94" s="580" t="s">
        <v>2475</v>
      </c>
      <c r="P94" s="661">
        <v>0.08</v>
      </c>
      <c r="Q94" s="662"/>
      <c r="R94" s="665"/>
      <c r="S94" s="665"/>
      <c r="T94" s="671"/>
    </row>
    <row r="95" spans="1:20" s="422" customFormat="1" ht="15" customHeight="1">
      <c r="A95" s="1400">
        <v>92</v>
      </c>
      <c r="B95" s="1400"/>
      <c r="C95" s="1413" t="str">
        <f t="shared" si="4"/>
        <v/>
      </c>
      <c r="D95" s="1413" t="str">
        <f t="shared" si="5"/>
        <v>Malta Nautic Management</v>
      </c>
      <c r="E95" s="773" t="s">
        <v>2484</v>
      </c>
      <c r="F95" s="69" t="s">
        <v>1159</v>
      </c>
      <c r="G95" s="1400" t="s">
        <v>99</v>
      </c>
      <c r="H95" s="668" t="s">
        <v>2485</v>
      </c>
      <c r="I95" s="1401" t="s">
        <v>2486</v>
      </c>
      <c r="J95" s="1401" t="s">
        <v>2487</v>
      </c>
      <c r="K95" s="1401" t="s">
        <v>52</v>
      </c>
      <c r="L95" s="1401"/>
      <c r="M95" s="1401"/>
      <c r="N95" s="1401"/>
      <c r="O95" s="580" t="s">
        <v>2475</v>
      </c>
      <c r="P95" s="1401"/>
      <c r="Q95" s="1400"/>
      <c r="R95" s="665"/>
      <c r="S95" s="665"/>
      <c r="T95" s="1400"/>
    </row>
    <row r="96" spans="1:20" s="422" customFormat="1" ht="15" customHeight="1">
      <c r="A96" s="1400">
        <v>93</v>
      </c>
      <c r="B96" s="580"/>
      <c r="C96" s="1413" t="str">
        <f t="shared" si="4"/>
        <v/>
      </c>
      <c r="D96" s="1413" t="str">
        <f t="shared" si="5"/>
        <v>Mann Made Corporate Services Limited</v>
      </c>
      <c r="E96" s="580" t="s">
        <v>1502</v>
      </c>
      <c r="F96" s="69" t="s">
        <v>1159</v>
      </c>
      <c r="G96" s="580" t="s">
        <v>99</v>
      </c>
      <c r="H96" s="667" t="s">
        <v>1503</v>
      </c>
      <c r="I96" s="580" t="s">
        <v>1505</v>
      </c>
      <c r="J96" s="580" t="s">
        <v>1504</v>
      </c>
      <c r="K96" s="580" t="s">
        <v>1506</v>
      </c>
      <c r="L96" s="580"/>
      <c r="M96" s="1400"/>
      <c r="N96" s="1400"/>
      <c r="O96" s="580" t="s">
        <v>2475</v>
      </c>
      <c r="P96" s="1400"/>
      <c r="Q96" s="1400"/>
      <c r="R96" s="665"/>
      <c r="S96" s="665"/>
      <c r="T96" s="1400"/>
    </row>
    <row r="97" spans="1:20" s="422" customFormat="1" ht="15" customHeight="1">
      <c r="A97" s="1401">
        <v>94</v>
      </c>
      <c r="B97" s="580"/>
      <c r="C97" s="1413" t="str">
        <f t="shared" si="4"/>
        <v/>
      </c>
      <c r="D97" s="1413" t="str">
        <f t="shared" si="5"/>
        <v>Marine Construction Management LLC</v>
      </c>
      <c r="E97" s="580" t="s">
        <v>1714</v>
      </c>
      <c r="F97" s="69" t="s">
        <v>1159</v>
      </c>
      <c r="G97" s="580" t="s">
        <v>99</v>
      </c>
      <c r="H97" s="666" t="s">
        <v>1715</v>
      </c>
      <c r="I97" s="580" t="s">
        <v>1716</v>
      </c>
      <c r="J97" s="580" t="s">
        <v>1717</v>
      </c>
      <c r="K97" s="580" t="s">
        <v>578</v>
      </c>
      <c r="L97" s="580"/>
      <c r="M97" s="580"/>
      <c r="N97" s="580"/>
      <c r="O97" s="580" t="s">
        <v>2475</v>
      </c>
      <c r="P97" s="580"/>
      <c r="Q97" s="580"/>
      <c r="R97" s="665"/>
      <c r="S97" s="665"/>
      <c r="T97" s="580"/>
    </row>
    <row r="98" spans="1:20" s="422" customFormat="1" ht="15" customHeight="1">
      <c r="A98" s="1400">
        <v>95</v>
      </c>
      <c r="B98" s="669" t="s">
        <v>461</v>
      </c>
      <c r="C98" s="1413" t="str">
        <f t="shared" si="4"/>
        <v/>
      </c>
      <c r="D98" s="1413" t="str">
        <f t="shared" si="5"/>
        <v xml:space="preserve">MARINESSANCE </v>
      </c>
      <c r="E98" s="1401" t="s">
        <v>462</v>
      </c>
      <c r="F98" s="69" t="s">
        <v>1159</v>
      </c>
      <c r="G98" s="1401" t="s">
        <v>99</v>
      </c>
      <c r="H98" s="802"/>
      <c r="I98" s="802"/>
      <c r="J98" s="73"/>
      <c r="K98" s="73"/>
      <c r="L98" s="73"/>
      <c r="M98" s="802"/>
      <c r="N98" s="802"/>
      <c r="O98" s="771" t="s">
        <v>2475</v>
      </c>
      <c r="P98" s="661">
        <v>0.08</v>
      </c>
      <c r="Q98" s="665"/>
      <c r="R98" s="665"/>
      <c r="S98" s="665"/>
      <c r="T98" s="802"/>
    </row>
    <row r="99" spans="1:20" s="391" customFormat="1" ht="15" customHeight="1">
      <c r="A99" s="1400">
        <v>96</v>
      </c>
      <c r="B99" s="771"/>
      <c r="C99" s="1413" t="str">
        <f t="shared" si="4"/>
        <v/>
      </c>
      <c r="D99" s="1413" t="str">
        <f t="shared" si="5"/>
        <v>Maritime Albatros</v>
      </c>
      <c r="E99" s="771" t="s">
        <v>671</v>
      </c>
      <c r="F99" s="69" t="s">
        <v>1159</v>
      </c>
      <c r="G99" s="771" t="s">
        <v>99</v>
      </c>
      <c r="H99" s="666"/>
      <c r="I99" s="771"/>
      <c r="J99" s="771"/>
      <c r="K99" s="771"/>
      <c r="L99" s="771"/>
      <c r="M99" s="1020"/>
      <c r="N99" s="1020"/>
      <c r="O99" s="771" t="s">
        <v>2475</v>
      </c>
      <c r="P99" s="1020"/>
      <c r="Q99" s="1020"/>
      <c r="R99" s="1020"/>
      <c r="S99" s="1020"/>
      <c r="T99" s="1020"/>
    </row>
    <row r="100" spans="1:20" s="391" customFormat="1" ht="15" customHeight="1">
      <c r="A100" s="1401">
        <v>97</v>
      </c>
      <c r="B100" s="1400"/>
      <c r="C100" s="1413" t="str">
        <f t="shared" si="4"/>
        <v/>
      </c>
      <c r="D100" s="1413" t="str">
        <f t="shared" si="5"/>
        <v>MAX RÄZ</v>
      </c>
      <c r="E100" s="1400" t="s">
        <v>1598</v>
      </c>
      <c r="F100" s="69" t="s">
        <v>1159</v>
      </c>
      <c r="G100" s="1400" t="s">
        <v>99</v>
      </c>
      <c r="H100" s="666"/>
      <c r="I100" s="1400" t="s">
        <v>1599</v>
      </c>
      <c r="J100" s="1400" t="s">
        <v>1600</v>
      </c>
      <c r="K100" s="1400" t="s">
        <v>1601</v>
      </c>
      <c r="L100" s="1400"/>
      <c r="M100" s="1400"/>
      <c r="N100" s="1400"/>
      <c r="O100" s="1400" t="s">
        <v>2475</v>
      </c>
      <c r="P100" s="1400"/>
      <c r="Q100" s="1400"/>
      <c r="R100" s="665"/>
      <c r="S100" s="665"/>
      <c r="T100" s="580"/>
    </row>
    <row r="101" spans="1:20" s="391" customFormat="1" ht="15" customHeight="1">
      <c r="A101" s="1400">
        <v>98</v>
      </c>
      <c r="B101" s="1400"/>
      <c r="C101" s="1413" t="str">
        <f t="shared" si="4"/>
        <v/>
      </c>
      <c r="D101" s="1413" t="str">
        <f t="shared" si="5"/>
        <v>MD Management Corp.</v>
      </c>
      <c r="E101" s="1400" t="s">
        <v>1461</v>
      </c>
      <c r="F101" s="69" t="s">
        <v>1159</v>
      </c>
      <c r="G101" s="1400" t="s">
        <v>99</v>
      </c>
      <c r="H101" s="666"/>
      <c r="I101" s="1400"/>
      <c r="J101" s="1400"/>
      <c r="K101" s="1400"/>
      <c r="L101" s="1400"/>
      <c r="M101" s="1400"/>
      <c r="N101" s="1400"/>
      <c r="O101" s="1400" t="s">
        <v>2475</v>
      </c>
      <c r="P101" s="1400"/>
      <c r="Q101" s="1400"/>
      <c r="R101" s="665"/>
      <c r="S101" s="665"/>
      <c r="T101" s="580"/>
    </row>
    <row r="102" spans="1:20" s="391" customFormat="1" ht="15" customHeight="1">
      <c r="A102" s="1400">
        <v>99</v>
      </c>
      <c r="B102" s="1400"/>
      <c r="C102" s="1413" t="str">
        <f t="shared" si="4"/>
        <v/>
      </c>
      <c r="D102" s="1413" t="str">
        <f t="shared" si="5"/>
        <v>Mediterranean Yacht Services</v>
      </c>
      <c r="E102" s="1400" t="s">
        <v>1282</v>
      </c>
      <c r="F102" s="69" t="s">
        <v>1159</v>
      </c>
      <c r="G102" s="1400" t="s">
        <v>99</v>
      </c>
      <c r="H102" s="667" t="s">
        <v>1283</v>
      </c>
      <c r="I102" s="1400" t="s">
        <v>273</v>
      </c>
      <c r="J102" s="1400" t="s">
        <v>274</v>
      </c>
      <c r="K102" s="1400" t="s">
        <v>485</v>
      </c>
      <c r="L102" s="1400"/>
      <c r="M102" s="1400"/>
      <c r="N102" s="1400"/>
      <c r="O102" s="580" t="s">
        <v>2475</v>
      </c>
      <c r="P102" s="1400"/>
      <c r="Q102" s="1400"/>
      <c r="R102" s="665"/>
      <c r="S102" s="665"/>
      <c r="T102" s="580"/>
    </row>
    <row r="103" spans="1:20" s="391" customFormat="1" ht="15" customHeight="1">
      <c r="A103" s="1401">
        <v>100</v>
      </c>
      <c r="B103" s="802" t="s">
        <v>463</v>
      </c>
      <c r="C103" s="1413" t="str">
        <f t="shared" si="4"/>
        <v>MER &amp; YACHT ASSURANCE</v>
      </c>
      <c r="D103" s="1413" t="str">
        <f t="shared" si="5"/>
        <v/>
      </c>
      <c r="E103" s="773" t="s">
        <v>464</v>
      </c>
      <c r="F103" s="69" t="s">
        <v>592</v>
      </c>
      <c r="G103" s="773" t="s">
        <v>226</v>
      </c>
      <c r="H103" s="77" t="s">
        <v>465</v>
      </c>
      <c r="I103" s="77" t="s">
        <v>247</v>
      </c>
      <c r="J103" s="802" t="s">
        <v>53</v>
      </c>
      <c r="K103" s="77" t="s">
        <v>230</v>
      </c>
      <c r="L103" s="77"/>
      <c r="M103" s="77" t="s">
        <v>466</v>
      </c>
      <c r="N103" s="802"/>
      <c r="O103" s="1401" t="s">
        <v>2443</v>
      </c>
      <c r="P103" s="662">
        <v>0.15</v>
      </c>
      <c r="Q103" s="662"/>
      <c r="R103" s="661"/>
      <c r="S103" s="661"/>
      <c r="T103" s="721"/>
    </row>
    <row r="104" spans="1:20" s="422" customFormat="1" ht="15" customHeight="1">
      <c r="A104" s="1400">
        <v>101</v>
      </c>
      <c r="B104" s="1401" t="s">
        <v>467</v>
      </c>
      <c r="C104" s="1413" t="str">
        <f t="shared" si="4"/>
        <v xml:space="preserve">MERS &amp; RIVIERES </v>
      </c>
      <c r="D104" s="1413" t="str">
        <f t="shared" si="5"/>
        <v/>
      </c>
      <c r="E104" s="1401" t="s">
        <v>468</v>
      </c>
      <c r="F104" s="69" t="s">
        <v>592</v>
      </c>
      <c r="G104" s="1401" t="s">
        <v>226</v>
      </c>
      <c r="H104" s="1401" t="s">
        <v>469</v>
      </c>
      <c r="I104" s="1401" t="s">
        <v>180</v>
      </c>
      <c r="J104" s="1401" t="s">
        <v>96</v>
      </c>
      <c r="K104" s="1401" t="s">
        <v>230</v>
      </c>
      <c r="L104" s="1401"/>
      <c r="M104" s="669" t="s">
        <v>470</v>
      </c>
      <c r="N104" s="804"/>
      <c r="O104" s="1401" t="s">
        <v>2443</v>
      </c>
      <c r="P104" s="661">
        <v>0.15</v>
      </c>
      <c r="Q104" s="662"/>
      <c r="R104" s="661"/>
      <c r="S104" s="661"/>
      <c r="T104" s="771"/>
    </row>
    <row r="105" spans="1:20" s="422" customFormat="1" ht="15" customHeight="1">
      <c r="A105" s="1400">
        <v>102</v>
      </c>
      <c r="B105" s="1401" t="s">
        <v>471</v>
      </c>
      <c r="C105" s="1413" t="str">
        <f t="shared" si="4"/>
        <v/>
      </c>
      <c r="D105" s="1413" t="str">
        <f t="shared" si="5"/>
        <v>Miremont Patrick</v>
      </c>
      <c r="E105" s="1401" t="s">
        <v>472</v>
      </c>
      <c r="F105" s="69" t="s">
        <v>1159</v>
      </c>
      <c r="G105" s="1401" t="s">
        <v>99</v>
      </c>
      <c r="H105" s="1401"/>
      <c r="I105" s="1401" t="s">
        <v>473</v>
      </c>
      <c r="J105" s="1401" t="s">
        <v>474</v>
      </c>
      <c r="K105" s="1401" t="s">
        <v>230</v>
      </c>
      <c r="L105" s="1401"/>
      <c r="M105" s="1401" t="s">
        <v>475</v>
      </c>
      <c r="N105" s="1401"/>
      <c r="O105" s="580" t="s">
        <v>2475</v>
      </c>
      <c r="P105" s="661">
        <v>0.08</v>
      </c>
      <c r="Q105" s="662"/>
      <c r="R105" s="661"/>
      <c r="S105" s="661"/>
      <c r="T105" s="580"/>
    </row>
    <row r="106" spans="1:20" s="422" customFormat="1" ht="15" customHeight="1">
      <c r="A106" s="1401">
        <v>103</v>
      </c>
      <c r="B106" s="1400"/>
      <c r="C106" s="1413" t="str">
        <f t="shared" si="4"/>
        <v/>
      </c>
      <c r="D106" s="1413" t="str">
        <f t="shared" si="5"/>
        <v>Monaco Equipage</v>
      </c>
      <c r="E106" s="773" t="s">
        <v>476</v>
      </c>
      <c r="F106" s="69" t="s">
        <v>1159</v>
      </c>
      <c r="G106" s="76" t="s">
        <v>99</v>
      </c>
      <c r="H106" s="802" t="s">
        <v>477</v>
      </c>
      <c r="I106" s="802" t="s">
        <v>302</v>
      </c>
      <c r="J106" s="675" t="s">
        <v>274</v>
      </c>
      <c r="K106" s="802" t="s">
        <v>274</v>
      </c>
      <c r="L106" s="802"/>
      <c r="M106" s="802" t="s">
        <v>303</v>
      </c>
      <c r="N106" s="1400"/>
      <c r="O106" s="771" t="s">
        <v>2475</v>
      </c>
      <c r="P106" s="665">
        <v>0.08</v>
      </c>
      <c r="Q106" s="665"/>
      <c r="R106" s="661"/>
      <c r="S106" s="661"/>
      <c r="T106" s="1400"/>
    </row>
    <row r="107" spans="1:20" s="422" customFormat="1" ht="15" customHeight="1">
      <c r="A107" s="1400">
        <v>104</v>
      </c>
      <c r="B107" s="771"/>
      <c r="C107" s="1413" t="str">
        <f t="shared" si="4"/>
        <v/>
      </c>
      <c r="D107" s="1413" t="str">
        <f t="shared" si="5"/>
        <v>MONACO EQUIPAGE</v>
      </c>
      <c r="E107" s="771" t="s">
        <v>1738</v>
      </c>
      <c r="F107" s="69" t="s">
        <v>1159</v>
      </c>
      <c r="G107" s="771" t="s">
        <v>99</v>
      </c>
      <c r="H107" s="667" t="s">
        <v>1298</v>
      </c>
      <c r="I107" s="1400" t="s">
        <v>302</v>
      </c>
      <c r="J107" s="771" t="s">
        <v>274</v>
      </c>
      <c r="K107" s="771" t="s">
        <v>485</v>
      </c>
      <c r="L107" s="771"/>
      <c r="M107" s="771"/>
      <c r="N107" s="771"/>
      <c r="O107" s="771" t="s">
        <v>2475</v>
      </c>
      <c r="P107" s="771"/>
      <c r="Q107" s="771"/>
      <c r="R107" s="665"/>
      <c r="S107" s="665"/>
      <c r="T107" s="580"/>
    </row>
    <row r="108" spans="1:20" s="422" customFormat="1" ht="15" customHeight="1">
      <c r="A108" s="1400">
        <v>105</v>
      </c>
      <c r="B108" s="1400"/>
      <c r="C108" s="1413" t="str">
        <f t="shared" si="4"/>
        <v/>
      </c>
      <c r="D108" s="1413" t="str">
        <f t="shared" si="5"/>
        <v>Moonlight Shipping Ltd</v>
      </c>
      <c r="E108" s="721" t="s">
        <v>1739</v>
      </c>
      <c r="F108" s="69" t="s">
        <v>1159</v>
      </c>
      <c r="G108" s="1400" t="s">
        <v>99</v>
      </c>
      <c r="H108" s="666"/>
      <c r="I108" s="580"/>
      <c r="J108" s="580"/>
      <c r="K108" s="580"/>
      <c r="L108" s="580"/>
      <c r="M108" s="1400"/>
      <c r="N108" s="1400"/>
      <c r="O108" s="1400" t="s">
        <v>2475</v>
      </c>
      <c r="P108" s="1400"/>
      <c r="Q108" s="1400"/>
      <c r="R108" s="665"/>
      <c r="S108" s="665"/>
      <c r="T108" s="1400"/>
    </row>
    <row r="109" spans="1:20" s="422" customFormat="1" ht="15" customHeight="1">
      <c r="A109" s="1401">
        <v>106</v>
      </c>
      <c r="B109" s="773" t="s">
        <v>478</v>
      </c>
      <c r="C109" s="1413" t="str">
        <f t="shared" si="4"/>
        <v>MTAIC Cannes</v>
      </c>
      <c r="D109" s="1413" t="str">
        <f t="shared" si="5"/>
        <v/>
      </c>
      <c r="E109" s="773" t="s">
        <v>479</v>
      </c>
      <c r="F109" s="69" t="s">
        <v>592</v>
      </c>
      <c r="G109" s="773" t="s">
        <v>226</v>
      </c>
      <c r="H109" s="773" t="s">
        <v>480</v>
      </c>
      <c r="I109" s="773" t="s">
        <v>247</v>
      </c>
      <c r="J109" s="773" t="s">
        <v>382</v>
      </c>
      <c r="K109" s="773" t="s">
        <v>230</v>
      </c>
      <c r="L109" s="773"/>
      <c r="M109" s="773" t="s">
        <v>481</v>
      </c>
      <c r="N109" s="773" t="s">
        <v>482</v>
      </c>
      <c r="O109" s="1400" t="s">
        <v>2475</v>
      </c>
      <c r="P109" s="661">
        <v>0.15</v>
      </c>
      <c r="Q109" s="662"/>
      <c r="R109" s="661"/>
      <c r="S109" s="661"/>
      <c r="T109" s="1401" t="s">
        <v>483</v>
      </c>
    </row>
    <row r="110" spans="1:20" s="422" customFormat="1" ht="15" customHeight="1">
      <c r="A110" s="1400">
        <v>107</v>
      </c>
      <c r="B110" s="721"/>
      <c r="C110" s="1413" t="str">
        <f t="shared" si="4"/>
        <v/>
      </c>
      <c r="D110" s="1413" t="str">
        <f t="shared" si="5"/>
        <v>MW AFRITEC</v>
      </c>
      <c r="E110" s="580" t="s">
        <v>1664</v>
      </c>
      <c r="F110" s="69" t="s">
        <v>1159</v>
      </c>
      <c r="G110" s="721" t="s">
        <v>99</v>
      </c>
      <c r="H110" s="1400" t="s">
        <v>1567</v>
      </c>
      <c r="I110" s="673" t="s">
        <v>1568</v>
      </c>
      <c r="J110" s="580" t="s">
        <v>1569</v>
      </c>
      <c r="K110" s="721" t="s">
        <v>1740</v>
      </c>
      <c r="L110" s="721"/>
      <c r="M110" s="721"/>
      <c r="N110" s="721"/>
      <c r="O110" s="580" t="s">
        <v>2475</v>
      </c>
      <c r="P110" s="721"/>
      <c r="Q110" s="721"/>
      <c r="R110" s="665"/>
      <c r="S110" s="665"/>
      <c r="T110" s="721"/>
    </row>
    <row r="111" spans="1:20" s="422" customFormat="1" ht="15" customHeight="1">
      <c r="A111" s="1400">
        <v>108</v>
      </c>
      <c r="B111" s="1401" t="s">
        <v>484</v>
      </c>
      <c r="C111" s="1413" t="str">
        <f t="shared" si="4"/>
        <v>MY INSURANCE BROKERS</v>
      </c>
      <c r="D111" s="1413" t="str">
        <f t="shared" si="5"/>
        <v/>
      </c>
      <c r="E111" s="721" t="s">
        <v>872</v>
      </c>
      <c r="F111" s="69" t="s">
        <v>592</v>
      </c>
      <c r="G111" s="1401" t="s">
        <v>226</v>
      </c>
      <c r="H111" s="666" t="s">
        <v>873</v>
      </c>
      <c r="I111" s="721" t="s">
        <v>273</v>
      </c>
      <c r="J111" s="721" t="s">
        <v>274</v>
      </c>
      <c r="K111" s="721" t="s">
        <v>485</v>
      </c>
      <c r="L111" s="721"/>
      <c r="M111" s="671" t="s">
        <v>486</v>
      </c>
      <c r="N111" s="1401" t="s">
        <v>487</v>
      </c>
      <c r="O111" s="1401" t="s">
        <v>2443</v>
      </c>
      <c r="P111" s="661">
        <v>0.15</v>
      </c>
      <c r="Q111" s="662">
        <v>0.15</v>
      </c>
      <c r="R111" s="661"/>
      <c r="S111" s="661"/>
      <c r="T111" s="1401" t="s">
        <v>488</v>
      </c>
    </row>
    <row r="112" spans="1:20" s="422" customFormat="1" ht="15" customHeight="1">
      <c r="A112" s="1401">
        <v>109</v>
      </c>
      <c r="B112" s="1401" t="s">
        <v>489</v>
      </c>
      <c r="C112" s="1413" t="str">
        <f t="shared" si="4"/>
        <v>Nasco France</v>
      </c>
      <c r="D112" s="1413" t="str">
        <f t="shared" si="5"/>
        <v/>
      </c>
      <c r="E112" s="1401" t="s">
        <v>2462</v>
      </c>
      <c r="F112" s="69" t="s">
        <v>592</v>
      </c>
      <c r="G112" s="1401" t="s">
        <v>226</v>
      </c>
      <c r="H112" s="1401" t="s">
        <v>490</v>
      </c>
      <c r="I112" s="1401" t="s">
        <v>491</v>
      </c>
      <c r="J112" s="1401" t="s">
        <v>492</v>
      </c>
      <c r="K112" s="1401" t="s">
        <v>230</v>
      </c>
      <c r="L112" s="1401"/>
      <c r="M112" s="1401" t="s">
        <v>493</v>
      </c>
      <c r="N112" s="1401"/>
      <c r="O112" s="1401" t="s">
        <v>2443</v>
      </c>
      <c r="P112" s="661">
        <v>0.15</v>
      </c>
      <c r="Q112" s="662">
        <v>0.12</v>
      </c>
      <c r="R112" s="661"/>
      <c r="S112" s="661"/>
      <c r="T112" s="580"/>
    </row>
    <row r="113" spans="1:20" s="422" customFormat="1" ht="15" customHeight="1">
      <c r="A113" s="1400">
        <v>110</v>
      </c>
      <c r="B113" s="771"/>
      <c r="C113" s="1413" t="str">
        <f t="shared" si="4"/>
        <v/>
      </c>
      <c r="D113" s="1413" t="str">
        <f t="shared" si="5"/>
        <v>NATUR’ALLY YACHTING</v>
      </c>
      <c r="E113" s="771" t="s">
        <v>2488</v>
      </c>
      <c r="F113" s="69" t="s">
        <v>1159</v>
      </c>
      <c r="G113" s="771" t="s">
        <v>99</v>
      </c>
      <c r="H113" s="666" t="s">
        <v>2489</v>
      </c>
      <c r="I113" s="771" t="s">
        <v>1551</v>
      </c>
      <c r="J113" s="771" t="s">
        <v>1552</v>
      </c>
      <c r="K113" s="771" t="s">
        <v>54</v>
      </c>
      <c r="L113" s="771"/>
      <c r="M113" s="771"/>
      <c r="N113" s="771"/>
      <c r="O113" s="771" t="s">
        <v>2475</v>
      </c>
      <c r="P113" s="771"/>
      <c r="Q113" s="771"/>
      <c r="R113" s="665"/>
      <c r="S113" s="665"/>
      <c r="T113" s="771"/>
    </row>
    <row r="114" spans="1:20" s="422" customFormat="1" ht="15" customHeight="1">
      <c r="A114" s="1400">
        <v>111</v>
      </c>
      <c r="B114" s="669" t="s">
        <v>494</v>
      </c>
      <c r="C114" s="1413" t="str">
        <f t="shared" si="4"/>
        <v/>
      </c>
      <c r="D114" s="1413" t="str">
        <f t="shared" si="5"/>
        <v>Navilux SA</v>
      </c>
      <c r="E114" s="1400" t="s">
        <v>1440</v>
      </c>
      <c r="F114" s="69" t="s">
        <v>1159</v>
      </c>
      <c r="G114" s="1400" t="s">
        <v>99</v>
      </c>
      <c r="H114" s="1400" t="s">
        <v>2480</v>
      </c>
      <c r="I114" s="1400" t="s">
        <v>2481</v>
      </c>
      <c r="J114" s="1400" t="s">
        <v>191</v>
      </c>
      <c r="K114" s="1400" t="s">
        <v>191</v>
      </c>
      <c r="L114" s="1400"/>
      <c r="M114" s="669" t="s">
        <v>495</v>
      </c>
      <c r="N114" s="1400"/>
      <c r="O114" s="1400" t="s">
        <v>2475</v>
      </c>
      <c r="P114" s="1400"/>
      <c r="Q114" s="1400"/>
      <c r="R114" s="665"/>
      <c r="S114" s="665"/>
      <c r="T114" s="771"/>
    </row>
    <row r="115" spans="1:20" s="422" customFormat="1" ht="15" customHeight="1">
      <c r="A115" s="1401">
        <v>112</v>
      </c>
      <c r="B115" s="1400"/>
      <c r="C115" s="1413" t="str">
        <f t="shared" si="4"/>
        <v/>
      </c>
      <c r="D115" s="1413" t="str">
        <f t="shared" si="5"/>
        <v>Neymar investments LTD</v>
      </c>
      <c r="E115" s="1400" t="s">
        <v>1741</v>
      </c>
      <c r="F115" s="69" t="s">
        <v>1159</v>
      </c>
      <c r="G115" s="1400" t="s">
        <v>99</v>
      </c>
      <c r="H115" s="666"/>
      <c r="I115" s="1400"/>
      <c r="J115" s="1400"/>
      <c r="K115" s="1400"/>
      <c r="L115" s="1400"/>
      <c r="M115" s="1400"/>
      <c r="N115" s="1400"/>
      <c r="O115" s="1400" t="s">
        <v>2475</v>
      </c>
      <c r="P115" s="1400"/>
      <c r="Q115" s="1400"/>
      <c r="R115" s="665"/>
      <c r="S115" s="665"/>
      <c r="T115" s="1400"/>
    </row>
    <row r="116" spans="1:20" s="422" customFormat="1" ht="15" customHeight="1">
      <c r="A116" s="1400">
        <v>113</v>
      </c>
      <c r="B116" s="771"/>
      <c r="C116" s="1413" t="str">
        <f t="shared" si="4"/>
        <v/>
      </c>
      <c r="D116" s="1413" t="str">
        <f t="shared" si="5"/>
        <v>ODM YACHTS SA</v>
      </c>
      <c r="E116" s="1400" t="s">
        <v>1454</v>
      </c>
      <c r="F116" s="69" t="s">
        <v>1159</v>
      </c>
      <c r="G116" s="771" t="s">
        <v>99</v>
      </c>
      <c r="H116" s="666" t="s">
        <v>1455</v>
      </c>
      <c r="I116" s="1400" t="s">
        <v>1456</v>
      </c>
      <c r="J116" s="1400" t="s">
        <v>1457</v>
      </c>
      <c r="K116" s="1400" t="s">
        <v>1060</v>
      </c>
      <c r="L116" s="1400"/>
      <c r="M116" s="1400"/>
      <c r="N116" s="1400"/>
      <c r="O116" s="771" t="s">
        <v>2475</v>
      </c>
      <c r="P116" s="1400"/>
      <c r="Q116" s="1400"/>
      <c r="R116" s="665"/>
      <c r="S116" s="665"/>
      <c r="T116" s="1400"/>
    </row>
    <row r="117" spans="1:20" s="422" customFormat="1" ht="15" customHeight="1">
      <c r="A117" s="1400">
        <v>114</v>
      </c>
      <c r="B117" s="773" t="s">
        <v>496</v>
      </c>
      <c r="C117" s="1413" t="str">
        <f t="shared" si="4"/>
        <v>ONLYYACHT Antibes</v>
      </c>
      <c r="D117" s="1413" t="str">
        <f t="shared" si="5"/>
        <v/>
      </c>
      <c r="E117" s="76" t="s">
        <v>497</v>
      </c>
      <c r="F117" s="69" t="s">
        <v>592</v>
      </c>
      <c r="G117" s="76" t="s">
        <v>226</v>
      </c>
      <c r="H117" s="1401" t="s">
        <v>498</v>
      </c>
      <c r="I117" s="1401" t="s">
        <v>334</v>
      </c>
      <c r="J117" s="1401" t="s">
        <v>335</v>
      </c>
      <c r="K117" s="1401" t="s">
        <v>230</v>
      </c>
      <c r="L117" s="1401"/>
      <c r="M117" s="76" t="s">
        <v>499</v>
      </c>
      <c r="N117" s="1401" t="s">
        <v>500</v>
      </c>
      <c r="O117" s="1401" t="s">
        <v>2443</v>
      </c>
      <c r="P117" s="661">
        <v>0.15</v>
      </c>
      <c r="Q117" s="662"/>
      <c r="R117" s="661"/>
      <c r="S117" s="661"/>
      <c r="T117" s="580"/>
    </row>
    <row r="118" spans="1:20" s="422" customFormat="1" ht="15" customHeight="1">
      <c r="A118" s="1401">
        <v>115</v>
      </c>
      <c r="B118" s="76" t="s">
        <v>501</v>
      </c>
      <c r="C118" s="1413" t="str">
        <f t="shared" si="4"/>
        <v>ONLYYACHT MONACO</v>
      </c>
      <c r="D118" s="1413" t="str">
        <f t="shared" si="5"/>
        <v/>
      </c>
      <c r="E118" s="1401" t="s">
        <v>502</v>
      </c>
      <c r="F118" s="69" t="s">
        <v>592</v>
      </c>
      <c r="G118" s="76" t="s">
        <v>226</v>
      </c>
      <c r="H118" s="1401" t="s">
        <v>503</v>
      </c>
      <c r="I118" s="1401" t="s">
        <v>273</v>
      </c>
      <c r="J118" s="1401" t="s">
        <v>274</v>
      </c>
      <c r="K118" s="1401" t="s">
        <v>274</v>
      </c>
      <c r="L118" s="1401"/>
      <c r="M118" s="76" t="s">
        <v>504</v>
      </c>
      <c r="N118" s="1401" t="s">
        <v>505</v>
      </c>
      <c r="O118" s="76" t="s">
        <v>2443</v>
      </c>
      <c r="P118" s="661">
        <v>0.15</v>
      </c>
      <c r="Q118" s="662"/>
      <c r="R118" s="661"/>
      <c r="S118" s="661"/>
      <c r="T118" s="1401" t="s">
        <v>506</v>
      </c>
    </row>
    <row r="119" spans="1:20" s="422" customFormat="1" ht="15" customHeight="1">
      <c r="A119" s="1400">
        <v>116</v>
      </c>
      <c r="B119" s="580"/>
      <c r="C119" s="1413" t="str">
        <f t="shared" si="4"/>
        <v/>
      </c>
      <c r="D119" s="1413" t="str">
        <f t="shared" si="5"/>
        <v>Paul Gauguin Cruises</v>
      </c>
      <c r="E119" s="1397" t="s">
        <v>1266</v>
      </c>
      <c r="F119" s="69" t="s">
        <v>1159</v>
      </c>
      <c r="G119" s="1400" t="s">
        <v>99</v>
      </c>
      <c r="H119" s="1397" t="s">
        <v>1267</v>
      </c>
      <c r="I119" s="1397" t="s">
        <v>1268</v>
      </c>
      <c r="J119" s="1397"/>
      <c r="K119" s="1397"/>
      <c r="L119" s="1397"/>
      <c r="M119" s="1020"/>
      <c r="N119" s="1020"/>
      <c r="O119" s="1400" t="s">
        <v>2475</v>
      </c>
      <c r="P119" s="1020"/>
      <c r="Q119" s="1020"/>
      <c r="R119" s="1020"/>
      <c r="S119" s="1020"/>
      <c r="T119" s="1020"/>
    </row>
    <row r="120" spans="1:20" s="422" customFormat="1" ht="15" customHeight="1">
      <c r="A120" s="1400">
        <v>117</v>
      </c>
      <c r="B120" s="773" t="s">
        <v>507</v>
      </c>
      <c r="C120" s="1413" t="str">
        <f t="shared" si="4"/>
        <v/>
      </c>
      <c r="D120" s="1413" t="str">
        <f t="shared" si="5"/>
        <v>PERNOT Jean-Pierre</v>
      </c>
      <c r="E120" s="773" t="s">
        <v>508</v>
      </c>
      <c r="F120" s="69" t="s">
        <v>1159</v>
      </c>
      <c r="G120" s="773" t="s">
        <v>99</v>
      </c>
      <c r="H120" s="804"/>
      <c r="I120" s="804"/>
      <c r="J120" s="804"/>
      <c r="K120" s="804" t="s">
        <v>230</v>
      </c>
      <c r="L120" s="804"/>
      <c r="M120" s="773" t="s">
        <v>509</v>
      </c>
      <c r="N120" s="671" t="s">
        <v>510</v>
      </c>
      <c r="O120" s="1400" t="s">
        <v>2475</v>
      </c>
      <c r="P120" s="661">
        <v>0.08</v>
      </c>
      <c r="Q120" s="662"/>
      <c r="R120" s="661"/>
      <c r="S120" s="661"/>
      <c r="T120" s="1400"/>
    </row>
    <row r="121" spans="1:20" s="422" customFormat="1" ht="15" customHeight="1">
      <c r="A121" s="1401">
        <v>118</v>
      </c>
      <c r="B121" s="1401" t="s">
        <v>511</v>
      </c>
      <c r="C121" s="1413" t="str">
        <f t="shared" si="4"/>
        <v>PISANO Agence AXA</v>
      </c>
      <c r="D121" s="1413" t="str">
        <f t="shared" si="5"/>
        <v/>
      </c>
      <c r="E121" s="1400" t="s">
        <v>926</v>
      </c>
      <c r="F121" s="69" t="s">
        <v>592</v>
      </c>
      <c r="G121" s="76" t="s">
        <v>226</v>
      </c>
      <c r="H121" s="666" t="s">
        <v>512</v>
      </c>
      <c r="I121" s="721" t="s">
        <v>513</v>
      </c>
      <c r="J121" s="721" t="s">
        <v>514</v>
      </c>
      <c r="K121" s="721" t="s">
        <v>54</v>
      </c>
      <c r="L121" s="721"/>
      <c r="M121" s="1401" t="s">
        <v>515</v>
      </c>
      <c r="N121" s="671"/>
      <c r="O121" s="76" t="s">
        <v>2443</v>
      </c>
      <c r="P121" s="661">
        <v>0.12</v>
      </c>
      <c r="Q121" s="662"/>
      <c r="R121" s="661"/>
      <c r="S121" s="661"/>
      <c r="T121" s="671" t="s">
        <v>516</v>
      </c>
    </row>
    <row r="122" spans="1:20" s="422" customFormat="1" ht="15" customHeight="1">
      <c r="A122" s="1400">
        <v>119</v>
      </c>
      <c r="B122" s="580"/>
      <c r="C122" s="1413" t="str">
        <f t="shared" si="4"/>
        <v>Poe-ma Thai Insurance Brokers Co., Ltd</v>
      </c>
      <c r="D122" s="1413" t="str">
        <f t="shared" si="5"/>
        <v/>
      </c>
      <c r="E122" s="1401" t="s">
        <v>2570</v>
      </c>
      <c r="F122" s="69" t="s">
        <v>592</v>
      </c>
      <c r="G122" s="1401" t="s">
        <v>226</v>
      </c>
      <c r="H122" s="1401" t="s">
        <v>2571</v>
      </c>
      <c r="I122" s="1401" t="s">
        <v>2574</v>
      </c>
      <c r="J122" s="1401" t="s">
        <v>2572</v>
      </c>
      <c r="K122" s="1401" t="s">
        <v>2573</v>
      </c>
      <c r="L122" s="1401"/>
      <c r="M122" s="1401"/>
      <c r="N122" s="1401"/>
      <c r="O122" s="1401" t="s">
        <v>2443</v>
      </c>
      <c r="P122" s="661">
        <v>0.12</v>
      </c>
      <c r="Q122" s="661">
        <v>0.12</v>
      </c>
      <c r="R122" s="665"/>
      <c r="S122" s="665"/>
      <c r="T122" s="580"/>
    </row>
    <row r="123" spans="1:20" s="391" customFormat="1" ht="15" customHeight="1">
      <c r="A123" s="1400">
        <v>120</v>
      </c>
      <c r="B123" s="773" t="s">
        <v>517</v>
      </c>
      <c r="C123" s="1413" t="str">
        <f t="shared" si="4"/>
        <v>POGGIO Monaco</v>
      </c>
      <c r="D123" s="1413" t="str">
        <f t="shared" si="5"/>
        <v/>
      </c>
      <c r="E123" s="1401" t="s">
        <v>518</v>
      </c>
      <c r="F123" s="69" t="s">
        <v>592</v>
      </c>
      <c r="G123" s="76" t="s">
        <v>226</v>
      </c>
      <c r="H123" s="76" t="s">
        <v>519</v>
      </c>
      <c r="I123" s="1401" t="s">
        <v>520</v>
      </c>
      <c r="J123" s="1401" t="s">
        <v>274</v>
      </c>
      <c r="K123" s="1401" t="s">
        <v>274</v>
      </c>
      <c r="L123" s="1401"/>
      <c r="M123" s="76" t="s">
        <v>521</v>
      </c>
      <c r="N123" s="76" t="s">
        <v>522</v>
      </c>
      <c r="O123" s="76" t="s">
        <v>2443</v>
      </c>
      <c r="P123" s="661">
        <v>0.12</v>
      </c>
      <c r="Q123" s="662"/>
      <c r="R123" s="661"/>
      <c r="S123" s="661"/>
      <c r="T123" s="773" t="s">
        <v>523</v>
      </c>
    </row>
    <row r="124" spans="1:20" s="391" customFormat="1" ht="15" customHeight="1">
      <c r="A124" s="1401">
        <v>121</v>
      </c>
      <c r="B124" s="580"/>
      <c r="C124" s="1413" t="str">
        <f t="shared" si="4"/>
        <v>PREMIUM BROKING HOUSE</v>
      </c>
      <c r="D124" s="1413" t="str">
        <f t="shared" si="5"/>
        <v/>
      </c>
      <c r="E124" s="1401" t="s">
        <v>524</v>
      </c>
      <c r="F124" s="69" t="s">
        <v>592</v>
      </c>
      <c r="G124" s="1401" t="s">
        <v>226</v>
      </c>
      <c r="H124" s="1400" t="s">
        <v>525</v>
      </c>
      <c r="I124" s="771" t="s">
        <v>526</v>
      </c>
      <c r="J124" s="771" t="s">
        <v>527</v>
      </c>
      <c r="K124" s="771" t="s">
        <v>313</v>
      </c>
      <c r="L124" s="771"/>
      <c r="M124" s="771" t="s">
        <v>528</v>
      </c>
      <c r="N124" s="771"/>
      <c r="O124" s="1401" t="s">
        <v>2443</v>
      </c>
      <c r="P124" s="661">
        <v>0.15</v>
      </c>
      <c r="Q124" s="665">
        <v>0.15</v>
      </c>
      <c r="R124" s="665"/>
      <c r="S124" s="665"/>
      <c r="T124" s="771"/>
    </row>
    <row r="125" spans="1:20" s="422" customFormat="1" ht="15" customHeight="1">
      <c r="A125" s="1400">
        <v>122</v>
      </c>
      <c r="B125" s="1400"/>
      <c r="C125" s="1413" t="str">
        <f t="shared" si="4"/>
        <v/>
      </c>
      <c r="D125" s="1413" t="str">
        <f t="shared" si="5"/>
        <v>Remo Marine Services SA</v>
      </c>
      <c r="E125" s="1400" t="s">
        <v>1059</v>
      </c>
      <c r="F125" s="69" t="s">
        <v>1159</v>
      </c>
      <c r="G125" s="1400" t="s">
        <v>99</v>
      </c>
      <c r="H125" s="1400" t="s">
        <v>760</v>
      </c>
      <c r="I125" s="1400" t="s">
        <v>910</v>
      </c>
      <c r="J125" s="1400" t="s">
        <v>761</v>
      </c>
      <c r="K125" s="1400" t="s">
        <v>1060</v>
      </c>
      <c r="L125" s="1400"/>
      <c r="M125" s="1400"/>
      <c r="N125" s="1400"/>
      <c r="O125" s="1400" t="s">
        <v>2475</v>
      </c>
      <c r="P125" s="1400"/>
      <c r="Q125" s="1400"/>
      <c r="R125" s="665"/>
      <c r="S125" s="665"/>
      <c r="T125" s="580"/>
    </row>
    <row r="126" spans="1:20" s="422" customFormat="1" ht="15" customHeight="1">
      <c r="A126" s="1400">
        <v>123</v>
      </c>
      <c r="B126" s="1401" t="s">
        <v>529</v>
      </c>
      <c r="C126" s="1413" t="str">
        <f t="shared" si="4"/>
        <v>RY Assurances, Reynier Yachting</v>
      </c>
      <c r="D126" s="1413" t="str">
        <f t="shared" si="5"/>
        <v/>
      </c>
      <c r="E126" s="1400" t="s">
        <v>1063</v>
      </c>
      <c r="F126" s="69" t="s">
        <v>592</v>
      </c>
      <c r="G126" s="1401" t="s">
        <v>226</v>
      </c>
      <c r="H126" s="1401" t="s">
        <v>530</v>
      </c>
      <c r="I126" s="1400" t="s">
        <v>1064</v>
      </c>
      <c r="J126" s="1400" t="s">
        <v>531</v>
      </c>
      <c r="K126" s="1400" t="s">
        <v>54</v>
      </c>
      <c r="L126" s="1400"/>
      <c r="M126" s="1401" t="s">
        <v>532</v>
      </c>
      <c r="N126" s="1401" t="s">
        <v>533</v>
      </c>
      <c r="O126" s="1401" t="s">
        <v>2443</v>
      </c>
      <c r="P126" s="661">
        <v>0.12</v>
      </c>
      <c r="Q126" s="662"/>
      <c r="R126" s="661"/>
      <c r="S126" s="661"/>
      <c r="T126" s="1401" t="s">
        <v>534</v>
      </c>
    </row>
    <row r="127" spans="1:20" s="422" customFormat="1" ht="15" customHeight="1">
      <c r="A127" s="1401">
        <v>124</v>
      </c>
      <c r="B127" s="580"/>
      <c r="C127" s="1413" t="str">
        <f t="shared" si="4"/>
        <v/>
      </c>
      <c r="D127" s="1413" t="str">
        <f t="shared" si="5"/>
        <v>Ryo Charter Limitada</v>
      </c>
      <c r="E127" s="580" t="s">
        <v>1539</v>
      </c>
      <c r="F127" s="69" t="s">
        <v>1159</v>
      </c>
      <c r="G127" s="580" t="s">
        <v>99</v>
      </c>
      <c r="H127" s="666" t="s">
        <v>1540</v>
      </c>
      <c r="I127" s="580" t="s">
        <v>1541</v>
      </c>
      <c r="J127" s="580" t="s">
        <v>1542</v>
      </c>
      <c r="K127" s="580" t="s">
        <v>1543</v>
      </c>
      <c r="L127" s="580"/>
      <c r="M127" s="771"/>
      <c r="N127" s="771"/>
      <c r="O127" s="580" t="s">
        <v>2475</v>
      </c>
      <c r="P127" s="771"/>
      <c r="Q127" s="771"/>
      <c r="R127" s="665"/>
      <c r="S127" s="665"/>
      <c r="T127" s="771"/>
    </row>
    <row r="128" spans="1:20" s="422" customFormat="1" ht="15" customHeight="1">
      <c r="A128" s="1400">
        <v>125</v>
      </c>
      <c r="B128" s="802" t="s">
        <v>535</v>
      </c>
      <c r="C128" s="1413" t="str">
        <f t="shared" si="4"/>
        <v>SALVO ASSURANCES</v>
      </c>
      <c r="D128" s="1413" t="str">
        <f t="shared" si="5"/>
        <v/>
      </c>
      <c r="E128" s="1401" t="s">
        <v>536</v>
      </c>
      <c r="F128" s="69" t="s">
        <v>592</v>
      </c>
      <c r="G128" s="1401" t="s">
        <v>226</v>
      </c>
      <c r="H128" s="1401" t="s">
        <v>537</v>
      </c>
      <c r="I128" s="802" t="s">
        <v>538</v>
      </c>
      <c r="J128" s="1401" t="s">
        <v>539</v>
      </c>
      <c r="K128" s="1401" t="s">
        <v>230</v>
      </c>
      <c r="L128" s="1401"/>
      <c r="M128" s="1401" t="s">
        <v>540</v>
      </c>
      <c r="N128" s="1401" t="s">
        <v>541</v>
      </c>
      <c r="O128" s="1401" t="s">
        <v>2443</v>
      </c>
      <c r="P128" s="662">
        <v>0.12</v>
      </c>
      <c r="Q128" s="662"/>
      <c r="R128" s="661"/>
      <c r="S128" s="661"/>
      <c r="T128" s="580"/>
    </row>
    <row r="129" spans="1:20" s="422" customFormat="1" ht="15" customHeight="1">
      <c r="A129" s="1400">
        <v>126</v>
      </c>
      <c r="B129" s="580"/>
      <c r="C129" s="1413" t="str">
        <f t="shared" si="4"/>
        <v/>
      </c>
      <c r="D129" s="1413" t="str">
        <f t="shared" si="5"/>
        <v>Sarnia Yachts Limited</v>
      </c>
      <c r="E129" s="1397" t="s">
        <v>1384</v>
      </c>
      <c r="F129" s="69" t="s">
        <v>1159</v>
      </c>
      <c r="G129" s="771" t="s">
        <v>99</v>
      </c>
      <c r="H129" s="1397" t="s">
        <v>1385</v>
      </c>
      <c r="I129" s="1397" t="s">
        <v>1386</v>
      </c>
      <c r="J129" s="1397" t="s">
        <v>1387</v>
      </c>
      <c r="K129" s="1397" t="s">
        <v>1388</v>
      </c>
      <c r="L129" s="1397"/>
      <c r="M129" s="277"/>
      <c r="N129" s="277"/>
      <c r="O129" s="771" t="s">
        <v>2475</v>
      </c>
      <c r="P129" s="277"/>
      <c r="Q129" s="277"/>
      <c r="R129" s="277"/>
      <c r="S129" s="277"/>
      <c r="T129" s="277"/>
    </row>
    <row r="130" spans="1:20" s="391" customFormat="1" ht="15" customHeight="1">
      <c r="A130" s="1401">
        <v>127</v>
      </c>
      <c r="B130" s="771"/>
      <c r="C130" s="1413" t="str">
        <f t="shared" si="4"/>
        <v/>
      </c>
      <c r="D130" s="1413" t="str">
        <f t="shared" si="5"/>
        <v>SEASIDE</v>
      </c>
      <c r="E130" s="1400" t="s">
        <v>1294</v>
      </c>
      <c r="F130" s="69" t="s">
        <v>1159</v>
      </c>
      <c r="G130" s="1400" t="s">
        <v>99</v>
      </c>
      <c r="H130" s="75" t="s">
        <v>2490</v>
      </c>
      <c r="I130" s="1400" t="s">
        <v>1654</v>
      </c>
      <c r="J130" s="1400" t="s">
        <v>1655</v>
      </c>
      <c r="K130" s="1400" t="s">
        <v>54</v>
      </c>
      <c r="L130" s="1400"/>
      <c r="M130" s="1400"/>
      <c r="N130" s="771"/>
      <c r="O130" s="1400" t="s">
        <v>2475</v>
      </c>
      <c r="P130" s="1400"/>
      <c r="Q130" s="1400"/>
      <c r="R130" s="665"/>
      <c r="S130" s="665"/>
      <c r="T130" s="771"/>
    </row>
    <row r="131" spans="1:20" s="654" customFormat="1" ht="15" customHeight="1">
      <c r="A131" s="1400">
        <v>128</v>
      </c>
      <c r="B131" s="580"/>
      <c r="C131" s="1413" t="str">
        <f t="shared" si="4"/>
        <v/>
      </c>
      <c r="D131" s="1413" t="str">
        <f t="shared" si="5"/>
        <v>Seazen II Loisirs</v>
      </c>
      <c r="E131" s="1400" t="s">
        <v>1341</v>
      </c>
      <c r="F131" s="69" t="s">
        <v>1159</v>
      </c>
      <c r="G131" s="1400" t="s">
        <v>99</v>
      </c>
      <c r="H131" s="666"/>
      <c r="I131" s="1400"/>
      <c r="J131" s="1400"/>
      <c r="K131" s="1400"/>
      <c r="L131" s="1400"/>
      <c r="M131" s="580"/>
      <c r="N131" s="580"/>
      <c r="O131" s="1400" t="s">
        <v>2475</v>
      </c>
      <c r="P131" s="1400"/>
      <c r="Q131" s="1400"/>
      <c r="R131" s="665"/>
      <c r="S131" s="665"/>
      <c r="T131" s="580"/>
    </row>
    <row r="132" spans="1:20" s="654" customFormat="1" ht="15" customHeight="1">
      <c r="A132" s="1400">
        <v>129</v>
      </c>
      <c r="B132" s="1400"/>
      <c r="C132" s="1413" t="str">
        <f t="shared" si="4"/>
        <v/>
      </c>
      <c r="D132" s="1413" t="str">
        <f t="shared" si="5"/>
        <v>SETAF SAGET</v>
      </c>
      <c r="E132" s="1400" t="s">
        <v>1048</v>
      </c>
      <c r="F132" s="69" t="s">
        <v>1159</v>
      </c>
      <c r="G132" s="1400" t="s">
        <v>99</v>
      </c>
      <c r="H132" s="667" t="s">
        <v>1049</v>
      </c>
      <c r="I132" s="771" t="s">
        <v>1050</v>
      </c>
      <c r="J132" s="771" t="s">
        <v>1051</v>
      </c>
      <c r="K132" s="771" t="s">
        <v>54</v>
      </c>
      <c r="L132" s="771"/>
      <c r="M132" s="1020"/>
      <c r="N132" s="1020"/>
      <c r="O132" s="1400" t="s">
        <v>2475</v>
      </c>
      <c r="P132" s="1020"/>
      <c r="Q132" s="1020"/>
      <c r="R132" s="1020"/>
      <c r="S132" s="1020"/>
      <c r="T132" s="1020"/>
    </row>
    <row r="133" spans="1:20" s="654" customFormat="1" ht="15" customHeight="1">
      <c r="A133" s="1401">
        <v>130</v>
      </c>
      <c r="B133" s="580"/>
      <c r="C133" s="1413" t="str">
        <f t="shared" ref="C133:C154" si="6">IF(G133="Insurance Broker",E133,"")</f>
        <v>SLCA SA</v>
      </c>
      <c r="D133" s="1413" t="str">
        <f t="shared" ref="D133:D154" si="7">IF(G133="Insurance Broker","",E133)</f>
        <v/>
      </c>
      <c r="E133" s="1401" t="s">
        <v>2463</v>
      </c>
      <c r="F133" s="69" t="s">
        <v>592</v>
      </c>
      <c r="G133" s="1401" t="s">
        <v>226</v>
      </c>
      <c r="H133" s="1401" t="s">
        <v>2464</v>
      </c>
      <c r="I133" s="1401" t="s">
        <v>2465</v>
      </c>
      <c r="J133" s="1401" t="s">
        <v>191</v>
      </c>
      <c r="K133" s="1401" t="s">
        <v>191</v>
      </c>
      <c r="L133" s="1401"/>
      <c r="M133" s="1397" t="s">
        <v>2466</v>
      </c>
      <c r="N133" s="771"/>
      <c r="O133" s="1401" t="s">
        <v>2443</v>
      </c>
      <c r="P133" s="661">
        <v>0.1</v>
      </c>
      <c r="Q133" s="661">
        <v>0.1</v>
      </c>
      <c r="R133" s="665"/>
      <c r="S133" s="665"/>
      <c r="T133" s="771"/>
    </row>
    <row r="134" spans="1:20" s="654" customFormat="1" ht="15" customHeight="1">
      <c r="A134" s="1400">
        <v>131</v>
      </c>
      <c r="B134" s="1400"/>
      <c r="C134" s="1413" t="str">
        <f t="shared" si="6"/>
        <v>Smith Enterprises</v>
      </c>
      <c r="D134" s="1413" t="str">
        <f t="shared" si="7"/>
        <v/>
      </c>
      <c r="E134" s="1401" t="s">
        <v>2467</v>
      </c>
      <c r="F134" s="69" t="s">
        <v>592</v>
      </c>
      <c r="G134" s="76" t="s">
        <v>226</v>
      </c>
      <c r="H134" s="1401" t="s">
        <v>2468</v>
      </c>
      <c r="I134" s="1401" t="s">
        <v>273</v>
      </c>
      <c r="J134" s="1401" t="s">
        <v>485</v>
      </c>
      <c r="K134" s="773" t="s">
        <v>485</v>
      </c>
      <c r="L134" s="773"/>
      <c r="M134" s="1400"/>
      <c r="N134" s="1400"/>
      <c r="O134" s="76" t="s">
        <v>2443</v>
      </c>
      <c r="P134" s="665">
        <v>0.15</v>
      </c>
      <c r="Q134" s="665"/>
      <c r="R134" s="665"/>
      <c r="S134" s="665"/>
      <c r="T134" s="771"/>
    </row>
    <row r="135" spans="1:20" s="654" customFormat="1" ht="15" customHeight="1">
      <c r="A135" s="1400">
        <v>132</v>
      </c>
      <c r="B135" s="1401" t="s">
        <v>542</v>
      </c>
      <c r="C135" s="1413" t="str">
        <f t="shared" si="6"/>
        <v>SOMECASSUR</v>
      </c>
      <c r="D135" s="1413" t="str">
        <f t="shared" si="7"/>
        <v/>
      </c>
      <c r="E135" s="1397" t="s">
        <v>860</v>
      </c>
      <c r="F135" s="69" t="s">
        <v>592</v>
      </c>
      <c r="G135" s="76" t="s">
        <v>226</v>
      </c>
      <c r="H135" s="666" t="s">
        <v>2469</v>
      </c>
      <c r="I135" s="1400" t="s">
        <v>247</v>
      </c>
      <c r="J135" s="1400" t="s">
        <v>53</v>
      </c>
      <c r="K135" s="1400" t="s">
        <v>54</v>
      </c>
      <c r="L135" s="1400"/>
      <c r="M135" s="671" t="s">
        <v>543</v>
      </c>
      <c r="N135" s="671" t="s">
        <v>544</v>
      </c>
      <c r="O135" s="76" t="s">
        <v>2443</v>
      </c>
      <c r="P135" s="661">
        <v>0.15</v>
      </c>
      <c r="Q135" s="662">
        <v>0.12</v>
      </c>
      <c r="R135" s="661"/>
      <c r="S135" s="661"/>
      <c r="T135" s="671" t="s">
        <v>545</v>
      </c>
    </row>
    <row r="136" spans="1:20" s="654" customFormat="1" ht="15" customHeight="1">
      <c r="A136" s="1401">
        <v>133</v>
      </c>
      <c r="B136" s="771"/>
      <c r="C136" s="1413" t="str">
        <f t="shared" si="6"/>
        <v/>
      </c>
      <c r="D136" s="1413" t="str">
        <f t="shared" si="7"/>
        <v>South East Asia Exotic Cruise</v>
      </c>
      <c r="E136" s="1400" t="s">
        <v>1645</v>
      </c>
      <c r="F136" s="69" t="s">
        <v>1159</v>
      </c>
      <c r="G136" s="1400" t="s">
        <v>99</v>
      </c>
      <c r="H136" s="666" t="s">
        <v>1646</v>
      </c>
      <c r="I136" s="771" t="s">
        <v>1647</v>
      </c>
      <c r="J136" s="771" t="s">
        <v>1648</v>
      </c>
      <c r="K136" s="1400" t="s">
        <v>1742</v>
      </c>
      <c r="L136" s="1400"/>
      <c r="M136" s="1400"/>
      <c r="N136" s="1400"/>
      <c r="O136" s="1400" t="s">
        <v>2475</v>
      </c>
      <c r="P136" s="1400"/>
      <c r="Q136" s="1400"/>
      <c r="R136" s="665"/>
      <c r="S136" s="665"/>
      <c r="T136" s="1400"/>
    </row>
    <row r="137" spans="1:20" s="654" customFormat="1" ht="15" customHeight="1">
      <c r="A137" s="1400">
        <v>134</v>
      </c>
      <c r="B137" s="802" t="s">
        <v>354</v>
      </c>
      <c r="C137" s="1413" t="str">
        <f t="shared" si="6"/>
        <v>SUD EUROCOURTAGE</v>
      </c>
      <c r="D137" s="1413" t="str">
        <f t="shared" si="7"/>
        <v/>
      </c>
      <c r="E137" s="802" t="s">
        <v>546</v>
      </c>
      <c r="F137" s="69" t="s">
        <v>592</v>
      </c>
      <c r="G137" s="773" t="s">
        <v>226</v>
      </c>
      <c r="H137" s="802" t="s">
        <v>547</v>
      </c>
      <c r="I137" s="802" t="s">
        <v>548</v>
      </c>
      <c r="J137" s="802" t="s">
        <v>549</v>
      </c>
      <c r="K137" s="773" t="s">
        <v>230</v>
      </c>
      <c r="L137" s="773"/>
      <c r="M137" s="802" t="s">
        <v>550</v>
      </c>
      <c r="N137" s="773" t="s">
        <v>551</v>
      </c>
      <c r="O137" s="773" t="s">
        <v>2443</v>
      </c>
      <c r="P137" s="661">
        <v>0.12</v>
      </c>
      <c r="Q137" s="662"/>
      <c r="R137" s="661"/>
      <c r="S137" s="661"/>
      <c r="T137" s="580"/>
    </row>
    <row r="138" spans="1:20" s="654" customFormat="1" ht="15" customHeight="1">
      <c r="A138" s="1400">
        <v>135</v>
      </c>
      <c r="B138" s="1400"/>
      <c r="C138" s="1413" t="str">
        <f t="shared" si="6"/>
        <v>SUD EUROCOURTAGE</v>
      </c>
      <c r="D138" s="1413" t="str">
        <f t="shared" si="7"/>
        <v/>
      </c>
      <c r="E138" s="1400" t="s">
        <v>546</v>
      </c>
      <c r="F138" s="69" t="s">
        <v>592</v>
      </c>
      <c r="G138" s="76" t="s">
        <v>226</v>
      </c>
      <c r="H138" s="672" t="s">
        <v>664</v>
      </c>
      <c r="I138" s="1397" t="s">
        <v>665</v>
      </c>
      <c r="J138" s="1397" t="s">
        <v>666</v>
      </c>
      <c r="K138" s="1397" t="s">
        <v>54</v>
      </c>
      <c r="L138" s="1397"/>
      <c r="M138" s="1020"/>
      <c r="N138" s="1020"/>
      <c r="O138" s="773" t="s">
        <v>2443</v>
      </c>
      <c r="P138" s="1020"/>
      <c r="Q138" s="1020"/>
      <c r="R138" s="1020"/>
      <c r="S138" s="1020"/>
      <c r="T138" s="1020"/>
    </row>
    <row r="139" spans="1:20" s="654" customFormat="1" ht="15" customHeight="1">
      <c r="A139" s="1401">
        <v>136</v>
      </c>
      <c r="B139" s="721"/>
      <c r="C139" s="1413" t="str">
        <f t="shared" si="6"/>
        <v>Suisscourtage Antibes</v>
      </c>
      <c r="D139" s="1413" t="str">
        <f t="shared" si="7"/>
        <v/>
      </c>
      <c r="E139" s="1397" t="s">
        <v>975</v>
      </c>
      <c r="F139" s="69" t="s">
        <v>592</v>
      </c>
      <c r="G139" s="1401" t="s">
        <v>226</v>
      </c>
      <c r="H139" s="666" t="s">
        <v>976</v>
      </c>
      <c r="I139" s="771" t="s">
        <v>334</v>
      </c>
      <c r="J139" s="771" t="s">
        <v>584</v>
      </c>
      <c r="K139" s="1397" t="s">
        <v>54</v>
      </c>
      <c r="L139" s="1397"/>
      <c r="M139" s="1020"/>
      <c r="N139" s="1020"/>
      <c r="O139" s="1401" t="s">
        <v>2443</v>
      </c>
      <c r="P139" s="1020"/>
      <c r="Q139" s="1020"/>
      <c r="R139" s="1020"/>
      <c r="S139" s="1020"/>
      <c r="T139" s="1020"/>
    </row>
    <row r="140" spans="1:20" s="654" customFormat="1" ht="15" customHeight="1">
      <c r="A140" s="1400">
        <v>137</v>
      </c>
      <c r="B140" s="1401" t="s">
        <v>552</v>
      </c>
      <c r="C140" s="1413" t="str">
        <f t="shared" si="6"/>
        <v>SUISSCOURTAGE Cannes</v>
      </c>
      <c r="D140" s="1413" t="str">
        <f t="shared" si="7"/>
        <v/>
      </c>
      <c r="E140" s="1401" t="s">
        <v>553</v>
      </c>
      <c r="F140" s="800" t="s">
        <v>592</v>
      </c>
      <c r="G140" s="803" t="s">
        <v>226</v>
      </c>
      <c r="H140" s="1401" t="s">
        <v>554</v>
      </c>
      <c r="I140" s="1401" t="s">
        <v>247</v>
      </c>
      <c r="J140" s="1401" t="s">
        <v>382</v>
      </c>
      <c r="K140" s="1401" t="s">
        <v>230</v>
      </c>
      <c r="L140" s="1401"/>
      <c r="M140" s="1401" t="s">
        <v>555</v>
      </c>
      <c r="N140" s="1401" t="s">
        <v>556</v>
      </c>
      <c r="O140" s="1401" t="s">
        <v>2443</v>
      </c>
      <c r="P140" s="661">
        <v>0.15</v>
      </c>
      <c r="Q140" s="661"/>
      <c r="R140" s="661"/>
      <c r="S140" s="661"/>
      <c r="T140" s="801"/>
    </row>
    <row r="141" spans="1:20" s="654" customFormat="1" ht="15" customHeight="1">
      <c r="A141" s="1400">
        <v>138</v>
      </c>
      <c r="B141" s="802" t="s">
        <v>557</v>
      </c>
      <c r="C141" s="1413" t="str">
        <f t="shared" si="6"/>
        <v>SUISSCOURTAGE Monaco</v>
      </c>
      <c r="D141" s="1413" t="str">
        <f t="shared" si="7"/>
        <v/>
      </c>
      <c r="E141" s="803" t="s">
        <v>558</v>
      </c>
      <c r="F141" s="800" t="s">
        <v>592</v>
      </c>
      <c r="G141" s="803" t="s">
        <v>226</v>
      </c>
      <c r="H141" s="803" t="s">
        <v>559</v>
      </c>
      <c r="I141" s="803" t="s">
        <v>273</v>
      </c>
      <c r="J141" s="803" t="s">
        <v>274</v>
      </c>
      <c r="K141" s="803" t="s">
        <v>274</v>
      </c>
      <c r="L141" s="803"/>
      <c r="M141" s="803" t="s">
        <v>560</v>
      </c>
      <c r="N141" s="803" t="s">
        <v>561</v>
      </c>
      <c r="O141" s="1401" t="s">
        <v>2443</v>
      </c>
      <c r="P141" s="661">
        <v>0.15</v>
      </c>
      <c r="Q141" s="661"/>
      <c r="R141" s="661"/>
      <c r="S141" s="661"/>
      <c r="T141" s="1401" t="s">
        <v>562</v>
      </c>
    </row>
    <row r="142" spans="1:20" s="654" customFormat="1" ht="15" customHeight="1">
      <c r="A142" s="1401">
        <v>139</v>
      </c>
      <c r="B142" s="801"/>
      <c r="C142" s="1413" t="str">
        <f t="shared" si="6"/>
        <v/>
      </c>
      <c r="D142" s="1413" t="str">
        <f t="shared" si="7"/>
        <v>SUNREEF YACHTS CHARTER</v>
      </c>
      <c r="E142" s="1400" t="s">
        <v>1412</v>
      </c>
      <c r="F142" s="800" t="s">
        <v>1159</v>
      </c>
      <c r="G142" s="801" t="s">
        <v>99</v>
      </c>
      <c r="H142" s="667" t="s">
        <v>1413</v>
      </c>
      <c r="I142" s="1400"/>
      <c r="J142" s="801"/>
      <c r="K142" s="801"/>
      <c r="L142" s="801"/>
      <c r="M142" s="801"/>
      <c r="N142" s="801"/>
      <c r="O142" s="801" t="s">
        <v>2475</v>
      </c>
      <c r="P142" s="801"/>
      <c r="Q142" s="801"/>
      <c r="R142" s="665"/>
      <c r="S142" s="665"/>
      <c r="T142" s="801"/>
    </row>
    <row r="143" spans="1:20" s="654" customFormat="1" ht="15" customHeight="1">
      <c r="A143" s="1400">
        <v>140</v>
      </c>
      <c r="B143" s="669" t="s">
        <v>563</v>
      </c>
      <c r="C143" s="1413" t="str">
        <f t="shared" si="6"/>
        <v/>
      </c>
      <c r="D143" s="1413" t="str">
        <f t="shared" si="7"/>
        <v>THIERRY VOISIN</v>
      </c>
      <c r="E143" s="801" t="s">
        <v>1361</v>
      </c>
      <c r="F143" s="800" t="s">
        <v>1159</v>
      </c>
      <c r="G143" s="1401" t="s">
        <v>99</v>
      </c>
      <c r="H143" s="804" t="s">
        <v>564</v>
      </c>
      <c r="I143" s="804" t="s">
        <v>266</v>
      </c>
      <c r="J143" s="804" t="s">
        <v>267</v>
      </c>
      <c r="K143" s="804" t="s">
        <v>230</v>
      </c>
      <c r="L143" s="804"/>
      <c r="M143" s="804" t="s">
        <v>565</v>
      </c>
      <c r="N143" s="804" t="s">
        <v>566</v>
      </c>
      <c r="O143" s="801" t="s">
        <v>2475</v>
      </c>
      <c r="P143" s="661">
        <v>0.08</v>
      </c>
      <c r="Q143" s="661"/>
      <c r="R143" s="661"/>
      <c r="S143" s="661"/>
      <c r="T143" s="801"/>
    </row>
    <row r="144" spans="1:20" s="654" customFormat="1" ht="15" customHeight="1">
      <c r="A144" s="1400">
        <v>141</v>
      </c>
      <c r="B144" s="1019"/>
      <c r="C144" s="1413" t="str">
        <f t="shared" si="6"/>
        <v/>
      </c>
      <c r="D144" s="1413" t="str">
        <f t="shared" si="7"/>
        <v>TOP CHARTER</v>
      </c>
      <c r="E144" s="1401" t="s">
        <v>2491</v>
      </c>
      <c r="F144" s="808" t="s">
        <v>1159</v>
      </c>
      <c r="G144" s="1401" t="s">
        <v>99</v>
      </c>
      <c r="H144" s="1401" t="s">
        <v>2492</v>
      </c>
      <c r="I144" s="1401" t="s">
        <v>2493</v>
      </c>
      <c r="J144" s="1401" t="s">
        <v>2494</v>
      </c>
      <c r="K144" s="1401" t="s">
        <v>54</v>
      </c>
      <c r="L144" s="1401"/>
      <c r="M144" s="1401" t="s">
        <v>2495</v>
      </c>
      <c r="N144" s="1401" t="s">
        <v>2496</v>
      </c>
      <c r="O144" s="1019" t="s">
        <v>2475</v>
      </c>
      <c r="P144" s="661">
        <v>0</v>
      </c>
      <c r="Q144" s="661">
        <v>0</v>
      </c>
      <c r="R144" s="665"/>
      <c r="S144" s="665"/>
      <c r="T144" s="1019"/>
    </row>
    <row r="145" spans="1:20" s="654" customFormat="1" ht="15" customHeight="1">
      <c r="A145" s="1401">
        <v>142</v>
      </c>
      <c r="B145" s="1400"/>
      <c r="C145" s="1413" t="str">
        <f t="shared" si="6"/>
        <v/>
      </c>
      <c r="D145" s="1413" t="str">
        <f t="shared" si="7"/>
        <v xml:space="preserve">UNIQUE YACHTING MONACO  </v>
      </c>
      <c r="E145" s="803" t="s">
        <v>1378</v>
      </c>
      <c r="F145" s="808" t="s">
        <v>1159</v>
      </c>
      <c r="G145" s="1400" t="s">
        <v>99</v>
      </c>
      <c r="H145" s="666" t="s">
        <v>1379</v>
      </c>
      <c r="I145" s="803" t="s">
        <v>273</v>
      </c>
      <c r="J145" s="1400" t="s">
        <v>274</v>
      </c>
      <c r="K145" s="1400" t="s">
        <v>485</v>
      </c>
      <c r="L145" s="1400"/>
      <c r="M145" s="1400"/>
      <c r="N145" s="1400"/>
      <c r="O145" s="1019" t="s">
        <v>2475</v>
      </c>
      <c r="P145" s="1400"/>
      <c r="Q145" s="1400"/>
      <c r="R145" s="665"/>
      <c r="S145" s="665"/>
      <c r="T145" s="1019"/>
    </row>
    <row r="146" spans="1:20" s="654" customFormat="1" ht="15" customHeight="1">
      <c r="A146" s="1400">
        <v>143</v>
      </c>
      <c r="B146" s="1019"/>
      <c r="C146" s="1413" t="str">
        <f t="shared" si="6"/>
        <v/>
      </c>
      <c r="D146" s="1413" t="str">
        <f t="shared" si="7"/>
        <v>UVEA MARINE SERVICE</v>
      </c>
      <c r="E146" s="1019" t="s">
        <v>645</v>
      </c>
      <c r="F146" s="808" t="s">
        <v>1159</v>
      </c>
      <c r="G146" s="1019" t="s">
        <v>99</v>
      </c>
      <c r="H146" s="666"/>
      <c r="I146" s="1019"/>
      <c r="J146" s="1019"/>
      <c r="K146" s="1019"/>
      <c r="L146" s="1019"/>
      <c r="M146" s="1019"/>
      <c r="N146" s="1019"/>
      <c r="O146" s="1019" t="s">
        <v>2475</v>
      </c>
      <c r="P146" s="1019"/>
      <c r="Q146" s="1019"/>
      <c r="R146" s="1019"/>
      <c r="S146" s="1019"/>
      <c r="T146" s="1019"/>
    </row>
    <row r="147" spans="1:20" s="654" customFormat="1" ht="15" customHeight="1">
      <c r="A147" s="1400">
        <v>144</v>
      </c>
      <c r="B147" s="1019"/>
      <c r="C147" s="1413" t="str">
        <f t="shared" si="6"/>
        <v/>
      </c>
      <c r="D147" s="1413" t="str">
        <f t="shared" si="7"/>
        <v>Vendome Luxury Boats</v>
      </c>
      <c r="E147" s="1400" t="s">
        <v>1403</v>
      </c>
      <c r="F147" s="808" t="s">
        <v>1159</v>
      </c>
      <c r="G147" s="1400" t="s">
        <v>99</v>
      </c>
      <c r="H147" s="667" t="s">
        <v>1404</v>
      </c>
      <c r="I147" s="1400" t="s">
        <v>334</v>
      </c>
      <c r="J147" s="1400" t="s">
        <v>584</v>
      </c>
      <c r="K147" s="1400" t="s">
        <v>54</v>
      </c>
      <c r="L147" s="1400"/>
      <c r="M147" s="1400"/>
      <c r="N147" s="1019"/>
      <c r="O147" s="1400" t="s">
        <v>2475</v>
      </c>
      <c r="P147" s="1400"/>
      <c r="Q147" s="1400"/>
      <c r="R147" s="665"/>
      <c r="S147" s="665"/>
      <c r="T147" s="1019"/>
    </row>
    <row r="148" spans="1:20" s="654" customFormat="1" ht="15" customHeight="1">
      <c r="A148" s="1401">
        <v>145</v>
      </c>
      <c r="B148" s="802"/>
      <c r="C148" s="1413" t="str">
        <f t="shared" si="6"/>
        <v/>
      </c>
      <c r="D148" s="1413" t="str">
        <f t="shared" si="7"/>
        <v>VERPEKA Yacht Brokerage</v>
      </c>
      <c r="E148" s="1401" t="s">
        <v>567</v>
      </c>
      <c r="F148" s="808" t="s">
        <v>1159</v>
      </c>
      <c r="G148" s="1401" t="s">
        <v>99</v>
      </c>
      <c r="H148" s="1401" t="s">
        <v>568</v>
      </c>
      <c r="I148" s="1401" t="s">
        <v>273</v>
      </c>
      <c r="J148" s="1401" t="s">
        <v>274</v>
      </c>
      <c r="K148" s="1401" t="s">
        <v>274</v>
      </c>
      <c r="L148" s="1401"/>
      <c r="M148" s="1401" t="s">
        <v>569</v>
      </c>
      <c r="N148" s="802"/>
      <c r="O148" s="1019" t="s">
        <v>2475</v>
      </c>
      <c r="P148" s="661">
        <v>0</v>
      </c>
      <c r="Q148" s="661"/>
      <c r="R148" s="661"/>
      <c r="S148" s="661"/>
      <c r="T148" s="1019"/>
    </row>
    <row r="149" spans="1:20" s="654" customFormat="1" ht="15" customHeight="1">
      <c r="A149" s="1400">
        <v>146</v>
      </c>
      <c r="B149" s="1019"/>
      <c r="C149" s="1413" t="str">
        <f t="shared" si="6"/>
        <v/>
      </c>
      <c r="D149" s="1413" t="str">
        <f t="shared" si="7"/>
        <v>WAAZII</v>
      </c>
      <c r="E149" s="1019" t="s">
        <v>1303</v>
      </c>
      <c r="F149" s="808" t="s">
        <v>1159</v>
      </c>
      <c r="G149" s="1019" t="s">
        <v>99</v>
      </c>
      <c r="H149" s="1400"/>
      <c r="I149" s="1019"/>
      <c r="J149" s="1019"/>
      <c r="K149" s="1019"/>
      <c r="L149" s="1019"/>
      <c r="M149" s="1019"/>
      <c r="N149" s="1019"/>
      <c r="O149" s="1019" t="s">
        <v>2475</v>
      </c>
      <c r="P149" s="1019"/>
      <c r="Q149" s="1019"/>
      <c r="R149" s="1400"/>
      <c r="S149" s="1400"/>
      <c r="T149" s="1019"/>
    </row>
    <row r="150" spans="1:20" s="716" customFormat="1" ht="15" customHeight="1">
      <c r="A150" s="1400">
        <v>147</v>
      </c>
      <c r="B150" s="1019"/>
      <c r="C150" s="1413" t="str">
        <f t="shared" si="6"/>
        <v>WILSON EUROPE</v>
      </c>
      <c r="D150" s="1413" t="str">
        <f t="shared" si="7"/>
        <v/>
      </c>
      <c r="E150" s="1401" t="s">
        <v>2470</v>
      </c>
      <c r="F150" s="808" t="s">
        <v>592</v>
      </c>
      <c r="G150" s="1401" t="s">
        <v>226</v>
      </c>
      <c r="H150" s="1401" t="s">
        <v>2471</v>
      </c>
      <c r="I150" s="1401" t="s">
        <v>2472</v>
      </c>
      <c r="J150" s="1401" t="s">
        <v>2473</v>
      </c>
      <c r="K150" s="1401" t="s">
        <v>1526</v>
      </c>
      <c r="L150" s="1401"/>
      <c r="M150" s="1401" t="s">
        <v>2474</v>
      </c>
      <c r="N150" s="1019"/>
      <c r="O150" s="1401" t="s">
        <v>2443</v>
      </c>
      <c r="P150" s="661">
        <v>0.15</v>
      </c>
      <c r="Q150" s="661">
        <v>0.15</v>
      </c>
      <c r="R150" s="665"/>
      <c r="S150" s="665"/>
      <c r="T150" s="1019"/>
    </row>
    <row r="151" spans="1:20">
      <c r="A151" s="1401">
        <v>148</v>
      </c>
      <c r="B151" s="1019"/>
      <c r="C151" s="1413" t="str">
        <f t="shared" si="6"/>
        <v/>
      </c>
      <c r="D151" s="1413" t="str">
        <f t="shared" si="7"/>
        <v>Y.CO</v>
      </c>
      <c r="E151" s="1019" t="s">
        <v>1221</v>
      </c>
      <c r="F151" s="808" t="s">
        <v>1159</v>
      </c>
      <c r="G151" s="1019" t="s">
        <v>99</v>
      </c>
      <c r="H151" s="1400" t="s">
        <v>1222</v>
      </c>
      <c r="I151" s="1019" t="s">
        <v>334</v>
      </c>
      <c r="J151" s="1019" t="s">
        <v>584</v>
      </c>
      <c r="K151" s="1019" t="s">
        <v>54</v>
      </c>
      <c r="L151" s="1019"/>
      <c r="M151" s="1019"/>
      <c r="N151" s="1019"/>
      <c r="O151" s="1019" t="s">
        <v>2475</v>
      </c>
      <c r="P151" s="1019"/>
      <c r="Q151" s="1019"/>
      <c r="R151" s="665"/>
      <c r="S151" s="665"/>
      <c r="T151" s="1019"/>
    </row>
    <row r="152" spans="1:20">
      <c r="A152" s="1400">
        <v>149</v>
      </c>
      <c r="B152" s="1400"/>
      <c r="C152" s="1413" t="str">
        <f t="shared" si="6"/>
        <v/>
      </c>
      <c r="D152" s="1413" t="str">
        <f t="shared" si="7"/>
        <v>Yachting Concept</v>
      </c>
      <c r="E152" s="1400" t="s">
        <v>1479</v>
      </c>
      <c r="F152" s="808" t="s">
        <v>1159</v>
      </c>
      <c r="G152" s="1400" t="s">
        <v>99</v>
      </c>
      <c r="H152" s="666" t="s">
        <v>1743</v>
      </c>
      <c r="I152" s="1400" t="s">
        <v>247</v>
      </c>
      <c r="J152" s="1400" t="s">
        <v>53</v>
      </c>
      <c r="K152" s="1400" t="s">
        <v>54</v>
      </c>
      <c r="L152" s="1400"/>
      <c r="M152" s="1400"/>
      <c r="N152" s="1400"/>
      <c r="O152" s="1019" t="s">
        <v>2475</v>
      </c>
      <c r="P152" s="1400"/>
      <c r="Q152" s="1400"/>
      <c r="R152" s="665"/>
      <c r="S152" s="665"/>
      <c r="T152" s="1400"/>
    </row>
    <row r="153" spans="1:20">
      <c r="A153" s="1400">
        <v>150</v>
      </c>
      <c r="B153" s="1400"/>
      <c r="C153" s="1413" t="str">
        <f t="shared" si="6"/>
        <v/>
      </c>
      <c r="D153" s="1413" t="str">
        <f t="shared" si="7"/>
        <v>Yachting Partner International</v>
      </c>
      <c r="E153" s="1019" t="s">
        <v>1616</v>
      </c>
      <c r="F153" s="808" t="s">
        <v>1159</v>
      </c>
      <c r="G153" s="1019" t="s">
        <v>99</v>
      </c>
      <c r="H153" s="666"/>
      <c r="I153" s="1019"/>
      <c r="J153" s="1019"/>
      <c r="K153" s="1019"/>
      <c r="L153" s="1400"/>
      <c r="M153" s="1019"/>
      <c r="N153" s="1400"/>
      <c r="O153" s="1019" t="s">
        <v>2475</v>
      </c>
      <c r="P153" s="1400"/>
      <c r="Q153" s="1400"/>
      <c r="R153" s="665"/>
      <c r="S153" s="665"/>
      <c r="T153" s="1400"/>
    </row>
    <row r="154" spans="1:20">
      <c r="A154" s="1401">
        <v>151</v>
      </c>
      <c r="B154" s="1392"/>
      <c r="C154" s="1413" t="str">
        <f t="shared" si="6"/>
        <v/>
      </c>
      <c r="D154" s="1413" t="str">
        <f t="shared" si="7"/>
        <v>YXT LIMITED</v>
      </c>
      <c r="E154" s="1392" t="s">
        <v>1202</v>
      </c>
      <c r="F154" s="1393" t="s">
        <v>1159</v>
      </c>
      <c r="G154" s="1392" t="s">
        <v>99</v>
      </c>
      <c r="H154" s="1395"/>
      <c r="I154" s="1392"/>
      <c r="J154" s="1392"/>
      <c r="K154" s="1392"/>
      <c r="L154" s="1392"/>
      <c r="M154" s="1392"/>
      <c r="N154" s="1392"/>
      <c r="O154" s="1392" t="s">
        <v>2475</v>
      </c>
      <c r="P154" s="1392"/>
      <c r="Q154" s="1392"/>
      <c r="R154" s="1394"/>
      <c r="S154" s="1394"/>
      <c r="T154" s="1392"/>
    </row>
  </sheetData>
  <sortState ref="A4:T154">
    <sortCondition ref="E4:E154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7030A0"/>
  </sheetPr>
  <dimension ref="A1:R252"/>
  <sheetViews>
    <sheetView workbookViewId="0">
      <selection activeCell="B8" sqref="B8"/>
    </sheetView>
  </sheetViews>
  <sheetFormatPr baseColWidth="10" defaultColWidth="11.42578125" defaultRowHeight="15"/>
  <cols>
    <col min="1" max="1" width="6.7109375" customWidth="1"/>
    <col min="2" max="2" width="7.7109375" customWidth="1"/>
    <col min="3" max="3" width="29.28515625" customWidth="1"/>
    <col min="4" max="4" width="33.42578125" customWidth="1"/>
    <col min="5" max="5" width="23.42578125" customWidth="1"/>
    <col min="8" max="8" width="24.85546875" customWidth="1"/>
    <col min="10" max="10" width="29.42578125" customWidth="1"/>
    <col min="12" max="12" width="27.5703125" customWidth="1"/>
    <col min="15" max="15" width="21.85546875" customWidth="1"/>
  </cols>
  <sheetData>
    <row r="1" spans="1:18" s="654" customFormat="1">
      <c r="A1" s="67">
        <v>105</v>
      </c>
      <c r="B1" s="67">
        <f>INDEX(B4:B300,$A$1,1)</f>
        <v>0</v>
      </c>
      <c r="C1" s="67" t="str">
        <f t="shared" ref="C1:O1" si="0">INDEX(C4:C300,$A$1,1)</f>
        <v>HENRY Martine (ICS)</v>
      </c>
      <c r="D1" s="67" t="str">
        <f t="shared" si="0"/>
        <v/>
      </c>
      <c r="E1" s="67" t="str">
        <f t="shared" si="0"/>
        <v>ICS</v>
      </c>
      <c r="F1" s="67" t="str">
        <f t="shared" si="0"/>
        <v>MASTER</v>
      </c>
      <c r="G1" s="67">
        <f t="shared" si="0"/>
        <v>0</v>
      </c>
      <c r="H1" s="67" t="str">
        <f t="shared" si="0"/>
        <v>HENRY</v>
      </c>
      <c r="I1" s="67" t="str">
        <f t="shared" si="0"/>
        <v>Martine</v>
      </c>
      <c r="J1" s="67" t="str">
        <f t="shared" si="0"/>
        <v>martine.henry@wycc-insurance.com</v>
      </c>
      <c r="K1" s="67" t="str">
        <f t="shared" si="0"/>
        <v>mamathjade</v>
      </c>
      <c r="L1" s="67" t="str">
        <f t="shared" si="0"/>
        <v>Plateforme</v>
      </c>
      <c r="M1" s="67" t="str">
        <f t="shared" si="0"/>
        <v>(00352) 27 44 54-13</v>
      </c>
      <c r="N1" s="67" t="str">
        <f t="shared" si="0"/>
        <v>(00352) 27 44 54-13</v>
      </c>
      <c r="O1" s="67" t="str">
        <f t="shared" si="0"/>
        <v>(00352) 27 44 54-13</v>
      </c>
    </row>
    <row r="2" spans="1:18">
      <c r="A2" s="67">
        <v>253</v>
      </c>
      <c r="B2" s="67">
        <f>INDEX(B4:B300,$A$2,1)</f>
        <v>0</v>
      </c>
      <c r="C2" s="67">
        <f t="shared" ref="C2:O2" si="1">INDEX(C4:C300,$A$2,1)</f>
        <v>0</v>
      </c>
      <c r="D2" s="67">
        <f t="shared" si="1"/>
        <v>0</v>
      </c>
      <c r="E2" s="67">
        <f t="shared" si="1"/>
        <v>0</v>
      </c>
      <c r="F2" s="67">
        <f t="shared" si="1"/>
        <v>0</v>
      </c>
      <c r="G2" s="67">
        <f t="shared" si="1"/>
        <v>0</v>
      </c>
      <c r="H2" s="67">
        <f t="shared" si="1"/>
        <v>0</v>
      </c>
      <c r="I2" s="67">
        <f t="shared" si="1"/>
        <v>0</v>
      </c>
      <c r="J2" s="67">
        <f t="shared" si="1"/>
        <v>0</v>
      </c>
      <c r="K2" s="67">
        <f t="shared" si="1"/>
        <v>0</v>
      </c>
      <c r="L2" s="67">
        <f t="shared" si="1"/>
        <v>0</v>
      </c>
      <c r="M2" s="67">
        <f t="shared" si="1"/>
        <v>0</v>
      </c>
      <c r="N2" s="67">
        <f t="shared" si="1"/>
        <v>0</v>
      </c>
      <c r="O2" s="67">
        <f t="shared" si="1"/>
        <v>0</v>
      </c>
    </row>
    <row r="3" spans="1:18" s="279" customFormat="1" ht="39.950000000000003" customHeight="1">
      <c r="A3" s="66" t="s">
        <v>2497</v>
      </c>
      <c r="B3" s="66" t="s">
        <v>1148</v>
      </c>
      <c r="C3" s="66" t="s">
        <v>2437</v>
      </c>
      <c r="D3" s="66" t="s">
        <v>2438</v>
      </c>
      <c r="E3" s="66" t="s">
        <v>2498</v>
      </c>
      <c r="F3" s="66" t="s">
        <v>184</v>
      </c>
      <c r="G3" s="66" t="s">
        <v>587</v>
      </c>
      <c r="H3" s="66" t="s">
        <v>17</v>
      </c>
      <c r="I3" s="66" t="s">
        <v>18</v>
      </c>
      <c r="J3" s="66" t="s">
        <v>1149</v>
      </c>
      <c r="K3" s="66" t="s">
        <v>1150</v>
      </c>
      <c r="L3" s="66" t="s">
        <v>586</v>
      </c>
      <c r="M3" s="66" t="s">
        <v>218</v>
      </c>
      <c r="N3" s="66" t="s">
        <v>219</v>
      </c>
      <c r="O3" s="66" t="s">
        <v>1152</v>
      </c>
    </row>
    <row r="4" spans="1:18" s="422" customFormat="1" ht="15" customHeight="1">
      <c r="A4" s="69">
        <v>61</v>
      </c>
      <c r="B4" s="69"/>
      <c r="C4" s="528" t="str">
        <f>IF(F4="MASTER",H4&amp;" "&amp;I4&amp;" ("&amp;E4&amp;")","")</f>
        <v>ABDO Charbel (CLOVER BROKERS )</v>
      </c>
      <c r="D4" s="528" t="str">
        <f>IF(F4="MASTER","",H4&amp;" "&amp;I4&amp;" ("&amp;E4&amp;")")</f>
        <v/>
      </c>
      <c r="E4" s="677" t="s">
        <v>309</v>
      </c>
      <c r="F4" s="580" t="s">
        <v>592</v>
      </c>
      <c r="G4" s="580"/>
      <c r="H4" s="580" t="s">
        <v>588</v>
      </c>
      <c r="I4" s="580" t="s">
        <v>589</v>
      </c>
      <c r="J4" s="580" t="s">
        <v>590</v>
      </c>
      <c r="K4" s="580" t="s">
        <v>591</v>
      </c>
      <c r="L4" s="69"/>
      <c r="M4" s="580" t="s">
        <v>593</v>
      </c>
      <c r="N4" s="580"/>
      <c r="O4" s="580"/>
      <c r="P4" s="83"/>
      <c r="Q4" s="83"/>
      <c r="R4" s="83"/>
    </row>
    <row r="5" spans="1:18" s="422" customFormat="1" ht="15" customHeight="1">
      <c r="A5" s="580">
        <v>174</v>
      </c>
      <c r="B5" s="580"/>
      <c r="C5" s="528" t="str">
        <f t="shared" ref="C5:C68" si="2">IF(F5="MASTER",H5&amp;" "&amp;I5&amp;" ("&amp;E5&amp;")","")</f>
        <v>ABI MRAD Jihad (PREMIUM BROKING HOUSE)</v>
      </c>
      <c r="D5" s="528" t="str">
        <f t="shared" ref="D5:D68" si="3">IF(F5="MASTER","",H5&amp;" "&amp;I5&amp;" ("&amp;E5&amp;")")</f>
        <v/>
      </c>
      <c r="E5" s="580" t="s">
        <v>524</v>
      </c>
      <c r="F5" s="580" t="s">
        <v>592</v>
      </c>
      <c r="G5" s="580"/>
      <c r="H5" s="580" t="s">
        <v>594</v>
      </c>
      <c r="I5" s="580" t="s">
        <v>595</v>
      </c>
      <c r="J5" s="676" t="s">
        <v>596</v>
      </c>
      <c r="K5" s="580"/>
      <c r="L5" s="69" t="s">
        <v>597</v>
      </c>
      <c r="M5" s="580" t="s">
        <v>528</v>
      </c>
      <c r="N5" s="580"/>
      <c r="O5" s="580" t="s">
        <v>598</v>
      </c>
      <c r="P5" s="683"/>
      <c r="Q5" s="683"/>
      <c r="R5" s="683"/>
    </row>
    <row r="6" spans="1:18" s="422" customFormat="1" ht="15" customHeight="1">
      <c r="A6" s="69">
        <v>151</v>
      </c>
      <c r="B6" s="69"/>
      <c r="C6" s="528" t="str">
        <f t="shared" si="2"/>
        <v>ABOUMRAD  Jihad (Nasco France)</v>
      </c>
      <c r="D6" s="528" t="str">
        <f t="shared" si="3"/>
        <v/>
      </c>
      <c r="E6" s="69" t="s">
        <v>2462</v>
      </c>
      <c r="F6" s="580" t="s">
        <v>592</v>
      </c>
      <c r="G6" s="69"/>
      <c r="H6" s="69" t="s">
        <v>599</v>
      </c>
      <c r="I6" s="69" t="s">
        <v>595</v>
      </c>
      <c r="J6" s="71" t="s">
        <v>600</v>
      </c>
      <c r="K6" s="580" t="s">
        <v>601</v>
      </c>
      <c r="L6" s="69" t="s">
        <v>597</v>
      </c>
      <c r="M6" s="69"/>
      <c r="N6" s="69"/>
      <c r="O6" s="69"/>
      <c r="P6" s="683"/>
      <c r="Q6" s="683"/>
      <c r="R6" s="683"/>
    </row>
    <row r="7" spans="1:18" s="422" customFormat="1" ht="15" customHeight="1">
      <c r="A7" s="69">
        <v>197</v>
      </c>
      <c r="B7" s="69"/>
      <c r="C7" s="528" t="str">
        <f t="shared" si="2"/>
        <v>ALBIN  Elodie (SUISSCOURTAGE Monaco)</v>
      </c>
      <c r="D7" s="528" t="str">
        <f t="shared" si="3"/>
        <v/>
      </c>
      <c r="E7" s="677" t="s">
        <v>558</v>
      </c>
      <c r="F7" s="580" t="s">
        <v>592</v>
      </c>
      <c r="G7" s="69"/>
      <c r="H7" s="69" t="s">
        <v>602</v>
      </c>
      <c r="I7" s="69" t="s">
        <v>603</v>
      </c>
      <c r="J7" s="71" t="s">
        <v>604</v>
      </c>
      <c r="K7" s="580" t="s">
        <v>605</v>
      </c>
      <c r="L7" s="69" t="s">
        <v>597</v>
      </c>
      <c r="M7" s="69"/>
      <c r="N7" s="69"/>
      <c r="O7" s="69"/>
      <c r="P7" s="683"/>
      <c r="Q7" s="683"/>
      <c r="R7" s="683"/>
    </row>
    <row r="8" spans="1:18" s="422" customFormat="1" ht="15" customHeight="1">
      <c r="A8" s="69">
        <v>73</v>
      </c>
      <c r="B8" s="580">
        <v>68</v>
      </c>
      <c r="C8" s="528" t="str">
        <f t="shared" si="2"/>
        <v/>
      </c>
      <c r="D8" s="528" t="str">
        <f t="shared" si="3"/>
        <v>ALLAS Salla (Darkpelican)</v>
      </c>
      <c r="E8" s="76" t="s">
        <v>337</v>
      </c>
      <c r="F8" s="580" t="s">
        <v>1159</v>
      </c>
      <c r="G8" s="580"/>
      <c r="H8" s="580" t="s">
        <v>1155</v>
      </c>
      <c r="I8" s="580" t="s">
        <v>1156</v>
      </c>
      <c r="J8" s="580" t="s">
        <v>1157</v>
      </c>
      <c r="K8" s="580" t="s">
        <v>1158</v>
      </c>
      <c r="L8" s="69" t="s">
        <v>597</v>
      </c>
      <c r="M8" s="580" t="s">
        <v>1160</v>
      </c>
      <c r="N8" s="580"/>
      <c r="O8" s="580" t="s">
        <v>1161</v>
      </c>
    </row>
    <row r="9" spans="1:18" s="422" customFormat="1" ht="15" customHeight="1">
      <c r="A9" s="69">
        <v>85</v>
      </c>
      <c r="B9" s="580">
        <v>77</v>
      </c>
      <c r="C9" s="528" t="str">
        <f t="shared" si="2"/>
        <v/>
      </c>
      <c r="D9" s="528" t="str">
        <f t="shared" si="3"/>
        <v>ANGUSTI Francesca (Fraseryachts)</v>
      </c>
      <c r="E9" s="580" t="s">
        <v>1162</v>
      </c>
      <c r="F9" s="580" t="s">
        <v>1159</v>
      </c>
      <c r="G9" s="580"/>
      <c r="H9" s="580" t="s">
        <v>1163</v>
      </c>
      <c r="I9" s="580" t="s">
        <v>1164</v>
      </c>
      <c r="J9" s="580" t="s">
        <v>1165</v>
      </c>
      <c r="K9" s="580" t="s">
        <v>1166</v>
      </c>
      <c r="L9" s="69" t="s">
        <v>597</v>
      </c>
      <c r="M9" s="580"/>
      <c r="N9" s="580"/>
      <c r="O9" s="580"/>
    </row>
    <row r="10" spans="1:18" s="422" customFormat="1" ht="15" customHeight="1">
      <c r="A10" s="69">
        <v>40</v>
      </c>
      <c r="B10" s="580">
        <v>23</v>
      </c>
      <c r="C10" s="528" t="str">
        <f t="shared" si="2"/>
        <v/>
      </c>
      <c r="D10" s="528" t="str">
        <f t="shared" si="3"/>
        <v>ARBEZ Elise (Bourbon Offshore Greenmar)</v>
      </c>
      <c r="E10" s="580" t="s">
        <v>759</v>
      </c>
      <c r="F10" s="580" t="s">
        <v>1171</v>
      </c>
      <c r="G10" s="580"/>
      <c r="H10" s="580" t="s">
        <v>1167</v>
      </c>
      <c r="I10" s="580" t="s">
        <v>1168</v>
      </c>
      <c r="J10" s="580" t="s">
        <v>1169</v>
      </c>
      <c r="K10" s="580" t="s">
        <v>1170</v>
      </c>
      <c r="L10" s="69" t="s">
        <v>597</v>
      </c>
      <c r="M10" s="580"/>
      <c r="N10" s="580" t="s">
        <v>1172</v>
      </c>
      <c r="O10" s="580" t="s">
        <v>1173</v>
      </c>
    </row>
    <row r="11" spans="1:18" s="422" customFormat="1" ht="15" customHeight="1">
      <c r="A11" s="69">
        <v>17</v>
      </c>
      <c r="B11" s="69"/>
      <c r="C11" s="528" t="str">
        <f t="shared" si="2"/>
        <v>Ascoma  maritime (ASCOMA MARITIME MONACO)</v>
      </c>
      <c r="D11" s="528" t="str">
        <f t="shared" si="3"/>
        <v/>
      </c>
      <c r="E11" s="677" t="s">
        <v>271</v>
      </c>
      <c r="F11" s="580" t="s">
        <v>592</v>
      </c>
      <c r="G11" s="69"/>
      <c r="H11" s="69" t="s">
        <v>606</v>
      </c>
      <c r="I11" s="69" t="s">
        <v>607</v>
      </c>
      <c r="J11" s="71" t="s">
        <v>608</v>
      </c>
      <c r="K11" s="580" t="s">
        <v>609</v>
      </c>
      <c r="L11" s="69" t="s">
        <v>597</v>
      </c>
      <c r="M11" s="69"/>
      <c r="N11" s="69"/>
      <c r="O11" s="69"/>
      <c r="P11" s="83"/>
      <c r="Q11" s="83"/>
      <c r="R11" s="83"/>
    </row>
    <row r="12" spans="1:18" s="422" customFormat="1" ht="15" customHeight="1">
      <c r="A12" s="69">
        <v>88</v>
      </c>
      <c r="B12" s="580">
        <v>67</v>
      </c>
      <c r="C12" s="528" t="str">
        <f t="shared" si="2"/>
        <v/>
      </c>
      <c r="D12" s="528" t="str">
        <f t="shared" si="3"/>
        <v>ASTOLFI Christine (GASPARD Yachts)</v>
      </c>
      <c r="E12" s="76" t="s">
        <v>376</v>
      </c>
      <c r="F12" s="580" t="s">
        <v>1159</v>
      </c>
      <c r="G12" s="69"/>
      <c r="H12" s="580" t="s">
        <v>1174</v>
      </c>
      <c r="I12" s="580" t="s">
        <v>862</v>
      </c>
      <c r="J12" s="580" t="s">
        <v>1175</v>
      </c>
      <c r="K12" s="580" t="s">
        <v>1176</v>
      </c>
      <c r="L12" s="69" t="s">
        <v>597</v>
      </c>
      <c r="M12" s="681" t="s">
        <v>2503</v>
      </c>
      <c r="N12" s="580" t="s">
        <v>1177</v>
      </c>
      <c r="O12" s="580"/>
    </row>
    <row r="13" spans="1:18" s="422" customFormat="1" ht="15" customHeight="1">
      <c r="A13" s="580">
        <v>36</v>
      </c>
      <c r="B13" s="69"/>
      <c r="C13" s="528" t="str">
        <f t="shared" si="2"/>
        <v>AUERBACH Marta (BOURBON GROUP)</v>
      </c>
      <c r="D13" s="528" t="str">
        <f t="shared" si="3"/>
        <v/>
      </c>
      <c r="E13" s="580" t="s">
        <v>634</v>
      </c>
      <c r="F13" s="580" t="s">
        <v>592</v>
      </c>
      <c r="G13" s="580"/>
      <c r="H13" s="580" t="s">
        <v>612</v>
      </c>
      <c r="I13" s="580" t="s">
        <v>613</v>
      </c>
      <c r="J13" s="580" t="s">
        <v>614</v>
      </c>
      <c r="K13" s="580" t="s">
        <v>615</v>
      </c>
      <c r="L13" s="69" t="s">
        <v>597</v>
      </c>
      <c r="M13" s="580"/>
      <c r="N13" s="580"/>
      <c r="O13" s="580"/>
      <c r="P13" s="83"/>
      <c r="Q13" s="83"/>
      <c r="R13" s="83"/>
    </row>
    <row r="14" spans="1:18" s="422" customFormat="1" ht="15" customHeight="1">
      <c r="A14" s="69">
        <v>14</v>
      </c>
      <c r="B14" s="580">
        <v>17</v>
      </c>
      <c r="C14" s="528" t="str">
        <f t="shared" si="2"/>
        <v/>
      </c>
      <c r="D14" s="528" t="str">
        <f t="shared" si="3"/>
        <v>BAILLIE Claire (Aquamarine)</v>
      </c>
      <c r="E14" s="580" t="s">
        <v>1178</v>
      </c>
      <c r="F14" s="580" t="s">
        <v>1159</v>
      </c>
      <c r="G14" s="69"/>
      <c r="H14" s="580" t="s">
        <v>1179</v>
      </c>
      <c r="I14" s="580" t="s">
        <v>1180</v>
      </c>
      <c r="J14" s="580" t="s">
        <v>1181</v>
      </c>
      <c r="K14" s="580" t="s">
        <v>1182</v>
      </c>
      <c r="L14" s="69" t="s">
        <v>597</v>
      </c>
      <c r="M14" s="580" t="s">
        <v>1183</v>
      </c>
      <c r="N14" s="69"/>
      <c r="O14" s="580" t="s">
        <v>1184</v>
      </c>
    </row>
    <row r="15" spans="1:18" s="422" customFormat="1" ht="15" customHeight="1">
      <c r="A15" s="69">
        <v>76</v>
      </c>
      <c r="B15" s="69"/>
      <c r="C15" s="528" t="str">
        <f t="shared" si="2"/>
        <v>BARAKAT  Darine (EYSSAUTIER)</v>
      </c>
      <c r="D15" s="528" t="str">
        <f t="shared" si="3"/>
        <v/>
      </c>
      <c r="E15" s="69" t="s">
        <v>616</v>
      </c>
      <c r="F15" s="580" t="s">
        <v>592</v>
      </c>
      <c r="G15" s="69"/>
      <c r="H15" s="69" t="s">
        <v>617</v>
      </c>
      <c r="I15" s="69" t="s">
        <v>618</v>
      </c>
      <c r="J15" s="69" t="s">
        <v>619</v>
      </c>
      <c r="K15" s="580" t="s">
        <v>620</v>
      </c>
      <c r="L15" s="69" t="s">
        <v>597</v>
      </c>
      <c r="M15" s="69"/>
      <c r="N15" s="69"/>
      <c r="O15" s="69"/>
      <c r="P15" s="83"/>
      <c r="Q15" s="83"/>
      <c r="R15" s="83"/>
    </row>
    <row r="16" spans="1:18" s="422" customFormat="1" ht="15" customHeight="1">
      <c r="A16" s="69">
        <v>116</v>
      </c>
      <c r="B16" s="69"/>
      <c r="C16" s="528" t="str">
        <f t="shared" si="2"/>
        <v/>
      </c>
      <c r="D16" s="528" t="str">
        <f t="shared" si="3"/>
        <v>BARBERO Vanessa (LALANDRE ASSURANCES)</v>
      </c>
      <c r="E16" s="76" t="s">
        <v>443</v>
      </c>
      <c r="F16" s="580" t="s">
        <v>1159</v>
      </c>
      <c r="G16" s="69" t="s">
        <v>625</v>
      </c>
      <c r="H16" s="69" t="s">
        <v>621</v>
      </c>
      <c r="I16" s="69" t="s">
        <v>622</v>
      </c>
      <c r="J16" s="72" t="s">
        <v>623</v>
      </c>
      <c r="K16" s="72"/>
      <c r="L16" s="69" t="s">
        <v>624</v>
      </c>
      <c r="M16" s="69" t="s">
        <v>626</v>
      </c>
      <c r="N16" s="69" t="s">
        <v>627</v>
      </c>
      <c r="O16" s="69"/>
    </row>
    <row r="17" spans="1:18" s="422" customFormat="1" ht="15" customHeight="1">
      <c r="A17" s="69">
        <v>11</v>
      </c>
      <c r="B17" s="69"/>
      <c r="C17" s="528" t="str">
        <f t="shared" si="2"/>
        <v/>
      </c>
      <c r="D17" s="528" t="str">
        <f t="shared" si="3"/>
        <v>BAYLE Jacqueline (April Marine)</v>
      </c>
      <c r="E17" s="69" t="s">
        <v>628</v>
      </c>
      <c r="F17" s="580" t="s">
        <v>1159</v>
      </c>
      <c r="G17" s="580"/>
      <c r="H17" s="69" t="s">
        <v>629</v>
      </c>
      <c r="I17" s="69" t="s">
        <v>630</v>
      </c>
      <c r="J17" s="71" t="s">
        <v>631</v>
      </c>
      <c r="K17" s="71"/>
      <c r="L17" s="69" t="s">
        <v>597</v>
      </c>
      <c r="M17" s="580" t="s">
        <v>632</v>
      </c>
      <c r="N17" s="580" t="s">
        <v>248</v>
      </c>
      <c r="O17" s="580" t="s">
        <v>633</v>
      </c>
    </row>
    <row r="18" spans="1:18" s="422" customFormat="1" ht="15" customHeight="1">
      <c r="A18" s="69">
        <v>37</v>
      </c>
      <c r="B18" s="69"/>
      <c r="C18" s="528" t="str">
        <f t="shared" si="2"/>
        <v>BEAU Muriel (BOURBON GROUP)</v>
      </c>
      <c r="D18" s="528" t="str">
        <f t="shared" si="3"/>
        <v/>
      </c>
      <c r="E18" s="580" t="s">
        <v>634</v>
      </c>
      <c r="F18" s="580" t="s">
        <v>592</v>
      </c>
      <c r="G18" s="580"/>
      <c r="H18" s="580" t="s">
        <v>635</v>
      </c>
      <c r="I18" s="580" t="s">
        <v>636</v>
      </c>
      <c r="J18" s="580" t="s">
        <v>637</v>
      </c>
      <c r="K18" s="580" t="s">
        <v>638</v>
      </c>
      <c r="L18" s="69" t="s">
        <v>597</v>
      </c>
      <c r="M18" s="580" t="s">
        <v>639</v>
      </c>
      <c r="N18" s="580"/>
      <c r="O18" s="580"/>
      <c r="P18" s="83"/>
      <c r="Q18" s="83"/>
      <c r="R18" s="83"/>
    </row>
    <row r="19" spans="1:18" s="422" customFormat="1" ht="15" customHeight="1">
      <c r="A19" s="69">
        <v>104</v>
      </c>
      <c r="B19" s="69"/>
      <c r="C19" s="528" t="str">
        <f t="shared" si="2"/>
        <v>BECKER  Olivier (INP Marine)</v>
      </c>
      <c r="D19" s="528" t="str">
        <f t="shared" si="3"/>
        <v/>
      </c>
      <c r="E19" s="677" t="s">
        <v>412</v>
      </c>
      <c r="F19" s="580" t="s">
        <v>592</v>
      </c>
      <c r="G19" s="69"/>
      <c r="H19" s="69" t="s">
        <v>640</v>
      </c>
      <c r="I19" s="69" t="s">
        <v>641</v>
      </c>
      <c r="J19" s="71" t="s">
        <v>642</v>
      </c>
      <c r="K19" s="580" t="s">
        <v>643</v>
      </c>
      <c r="L19" s="69" t="s">
        <v>597</v>
      </c>
      <c r="M19" s="69" t="s">
        <v>416</v>
      </c>
      <c r="N19" s="69"/>
      <c r="O19" s="69" t="s">
        <v>644</v>
      </c>
      <c r="P19" s="680"/>
      <c r="Q19" s="680"/>
      <c r="R19" s="680"/>
    </row>
    <row r="20" spans="1:18" s="422" customFormat="1" ht="15" customHeight="1">
      <c r="A20" s="69">
        <v>56</v>
      </c>
      <c r="B20" s="580">
        <v>25</v>
      </c>
      <c r="C20" s="528" t="str">
        <f t="shared" si="2"/>
        <v/>
      </c>
      <c r="D20" s="528" t="str">
        <f t="shared" si="3"/>
        <v>BELLINI Evelyne (Camper &amp; Nicholson)</v>
      </c>
      <c r="E20" s="580" t="s">
        <v>1185</v>
      </c>
      <c r="F20" s="580" t="s">
        <v>1159</v>
      </c>
      <c r="G20" s="69"/>
      <c r="H20" s="580" t="s">
        <v>1187</v>
      </c>
      <c r="I20" s="580" t="s">
        <v>1188</v>
      </c>
      <c r="J20" s="580" t="s">
        <v>1189</v>
      </c>
      <c r="K20" s="580" t="s">
        <v>1190</v>
      </c>
      <c r="L20" s="69" t="s">
        <v>597</v>
      </c>
      <c r="M20" s="580" t="s">
        <v>1191</v>
      </c>
      <c r="N20" s="580"/>
      <c r="O20" s="580"/>
    </row>
    <row r="21" spans="1:18" s="422" customFormat="1" ht="15" customHeight="1">
      <c r="A21" s="69">
        <v>41</v>
      </c>
      <c r="B21" s="580">
        <v>23</v>
      </c>
      <c r="C21" s="528" t="str">
        <f t="shared" si="2"/>
        <v/>
      </c>
      <c r="D21" s="528" t="str">
        <f t="shared" si="3"/>
        <v>BERTHET Mélanie (Bourbon Offshore Greenmar)</v>
      </c>
      <c r="E21" s="580" t="s">
        <v>759</v>
      </c>
      <c r="F21" s="580" t="s">
        <v>1171</v>
      </c>
      <c r="G21" s="580"/>
      <c r="H21" s="580" t="s">
        <v>1192</v>
      </c>
      <c r="I21" s="580" t="s">
        <v>1193</v>
      </c>
      <c r="J21" s="580" t="s">
        <v>1194</v>
      </c>
      <c r="K21" s="580" t="s">
        <v>1195</v>
      </c>
      <c r="L21" s="69" t="s">
        <v>597</v>
      </c>
      <c r="M21" s="580"/>
      <c r="N21" s="580"/>
      <c r="O21" s="580"/>
    </row>
    <row r="22" spans="1:18" s="422" customFormat="1" ht="15" customHeight="1">
      <c r="A22" s="69">
        <v>124</v>
      </c>
      <c r="B22" s="580">
        <v>57</v>
      </c>
      <c r="C22" s="528" t="str">
        <f t="shared" si="2"/>
        <v/>
      </c>
      <c r="D22" s="528" t="str">
        <f t="shared" si="3"/>
        <v>BEZZINA-PERSONENI Cynthia (MAGELLAN)</v>
      </c>
      <c r="E22" s="580" t="s">
        <v>1196</v>
      </c>
      <c r="F22" s="580" t="s">
        <v>1159</v>
      </c>
      <c r="G22" s="69"/>
      <c r="H22" s="580" t="s">
        <v>1198</v>
      </c>
      <c r="I22" s="580" t="s">
        <v>1199</v>
      </c>
      <c r="J22" s="580" t="s">
        <v>1200</v>
      </c>
      <c r="K22" s="580" t="s">
        <v>1201</v>
      </c>
      <c r="L22" s="69" t="s">
        <v>597</v>
      </c>
      <c r="M22" s="580" t="s">
        <v>2511</v>
      </c>
      <c r="N22" s="580"/>
      <c r="O22" s="580"/>
    </row>
    <row r="23" spans="1:18" s="422" customFormat="1" ht="15" customHeight="1">
      <c r="A23" s="580">
        <v>243</v>
      </c>
      <c r="B23" s="580">
        <v>44</v>
      </c>
      <c r="C23" s="528" t="str">
        <f t="shared" si="2"/>
        <v/>
      </c>
      <c r="D23" s="528" t="str">
        <f t="shared" si="3"/>
        <v>BORG Karm (YXT LIMITED)</v>
      </c>
      <c r="E23" s="580" t="s">
        <v>1202</v>
      </c>
      <c r="F23" s="580" t="s">
        <v>1159</v>
      </c>
      <c r="G23" s="580"/>
      <c r="H23" s="580" t="s">
        <v>1203</v>
      </c>
      <c r="I23" s="580" t="s">
        <v>1204</v>
      </c>
      <c r="J23" s="580" t="s">
        <v>1205</v>
      </c>
      <c r="K23" s="580" t="s">
        <v>1206</v>
      </c>
      <c r="L23" s="69"/>
      <c r="M23" s="580"/>
      <c r="N23" s="580"/>
      <c r="O23" s="580"/>
    </row>
    <row r="24" spans="1:18" s="422" customFormat="1" ht="15" customHeight="1">
      <c r="A24" s="580">
        <v>84</v>
      </c>
      <c r="B24" s="69"/>
      <c r="C24" s="528" t="str">
        <f t="shared" si="2"/>
        <v/>
      </c>
      <c r="D24" s="528" t="str">
        <f t="shared" si="3"/>
        <v>BOUILLE gwenael (Franctema)</v>
      </c>
      <c r="E24" s="69" t="s">
        <v>1207</v>
      </c>
      <c r="F24" s="580" t="s">
        <v>1171</v>
      </c>
      <c r="G24" s="69"/>
      <c r="H24" s="69" t="s">
        <v>1208</v>
      </c>
      <c r="I24" s="69" t="s">
        <v>1209</v>
      </c>
      <c r="J24" s="69" t="s">
        <v>1210</v>
      </c>
      <c r="K24" s="580" t="s">
        <v>1211</v>
      </c>
      <c r="L24" s="69" t="s">
        <v>597</v>
      </c>
      <c r="M24" s="69"/>
      <c r="N24" s="69"/>
      <c r="O24" s="69"/>
    </row>
    <row r="25" spans="1:18" s="422" customFormat="1" ht="15" customHeight="1">
      <c r="A25" s="580">
        <v>42</v>
      </c>
      <c r="B25" s="580">
        <v>23</v>
      </c>
      <c r="C25" s="528" t="str">
        <f t="shared" si="2"/>
        <v/>
      </c>
      <c r="D25" s="528" t="str">
        <f t="shared" si="3"/>
        <v>BROOKE Alan (Bourbon Offshore Greenmar)</v>
      </c>
      <c r="E25" s="580" t="s">
        <v>759</v>
      </c>
      <c r="F25" s="580" t="s">
        <v>1159</v>
      </c>
      <c r="G25" s="580"/>
      <c r="H25" s="580" t="s">
        <v>1212</v>
      </c>
      <c r="I25" s="580" t="s">
        <v>1213</v>
      </c>
      <c r="J25" s="580" t="s">
        <v>1214</v>
      </c>
      <c r="K25" s="580" t="s">
        <v>1215</v>
      </c>
      <c r="L25" s="69" t="s">
        <v>597</v>
      </c>
      <c r="M25" s="580"/>
      <c r="N25" s="580"/>
      <c r="O25" s="580"/>
    </row>
    <row r="26" spans="1:18" s="422" customFormat="1" ht="15" customHeight="1">
      <c r="A26" s="69">
        <v>212</v>
      </c>
      <c r="B26" s="580"/>
      <c r="C26" s="528" t="str">
        <f t="shared" si="2"/>
        <v>BROTTO Jeremy (UVEA MARINE SERVICE)</v>
      </c>
      <c r="D26" s="528" t="str">
        <f t="shared" si="3"/>
        <v/>
      </c>
      <c r="E26" s="580" t="s">
        <v>645</v>
      </c>
      <c r="F26" s="580" t="s">
        <v>592</v>
      </c>
      <c r="G26" s="580"/>
      <c r="H26" s="580" t="s">
        <v>646</v>
      </c>
      <c r="I26" s="580" t="s">
        <v>647</v>
      </c>
      <c r="J26" s="580" t="s">
        <v>648</v>
      </c>
      <c r="K26" s="580" t="s">
        <v>649</v>
      </c>
      <c r="L26" s="69" t="s">
        <v>597</v>
      </c>
      <c r="M26" s="580"/>
      <c r="N26" s="580"/>
      <c r="O26" s="580"/>
      <c r="P26" s="683"/>
      <c r="Q26" s="683"/>
      <c r="R26" s="683"/>
    </row>
    <row r="27" spans="1:18" s="422" customFormat="1" ht="15" customHeight="1">
      <c r="A27" s="69">
        <v>32</v>
      </c>
      <c r="B27" s="580">
        <v>22</v>
      </c>
      <c r="C27" s="528" t="str">
        <f t="shared" si="2"/>
        <v/>
      </c>
      <c r="D27" s="528" t="str">
        <f t="shared" si="3"/>
        <v>CAFFO Fabien (BLUEWIN)</v>
      </c>
      <c r="E27" s="580" t="s">
        <v>1216</v>
      </c>
      <c r="F27" s="580" t="s">
        <v>1171</v>
      </c>
      <c r="G27" s="580"/>
      <c r="H27" s="580" t="s">
        <v>1217</v>
      </c>
      <c r="I27" s="580" t="s">
        <v>1218</v>
      </c>
      <c r="J27" s="580" t="s">
        <v>1219</v>
      </c>
      <c r="K27" s="580" t="s">
        <v>1220</v>
      </c>
      <c r="L27" s="69" t="s">
        <v>597</v>
      </c>
      <c r="M27" s="580"/>
      <c r="N27" s="580"/>
      <c r="O27" s="580"/>
    </row>
    <row r="28" spans="1:18" s="422" customFormat="1" ht="15" customHeight="1">
      <c r="A28" s="69">
        <v>110</v>
      </c>
      <c r="B28" s="69"/>
      <c r="C28" s="528" t="str">
        <f t="shared" si="2"/>
        <v>CAMPION  Solange (JOURDAN GASSIN Nice)</v>
      </c>
      <c r="D28" s="528" t="str">
        <f t="shared" si="3"/>
        <v/>
      </c>
      <c r="E28" s="69" t="s">
        <v>438</v>
      </c>
      <c r="F28" s="580" t="s">
        <v>592</v>
      </c>
      <c r="G28" s="69"/>
      <c r="H28" s="69" t="s">
        <v>650</v>
      </c>
      <c r="I28" s="69" t="s">
        <v>651</v>
      </c>
      <c r="J28" s="71" t="s">
        <v>652</v>
      </c>
      <c r="K28" s="580" t="s">
        <v>653</v>
      </c>
      <c r="L28" s="69" t="s">
        <v>597</v>
      </c>
      <c r="M28" s="580" t="s">
        <v>2507</v>
      </c>
      <c r="N28" s="69"/>
      <c r="O28" s="69"/>
      <c r="P28" s="683"/>
      <c r="Q28" s="683"/>
      <c r="R28" s="683"/>
    </row>
    <row r="29" spans="1:18" s="422" customFormat="1" ht="15" customHeight="1">
      <c r="A29" s="580">
        <v>222</v>
      </c>
      <c r="B29" s="580">
        <v>59</v>
      </c>
      <c r="C29" s="528" t="str">
        <f t="shared" si="2"/>
        <v/>
      </c>
      <c r="D29" s="528" t="str">
        <f t="shared" si="3"/>
        <v>Captain Al Adaid (Y.CO)</v>
      </c>
      <c r="E29" s="580" t="s">
        <v>1221</v>
      </c>
      <c r="F29" s="580" t="s">
        <v>1171</v>
      </c>
      <c r="G29" s="580"/>
      <c r="H29" s="580" t="s">
        <v>1223</v>
      </c>
      <c r="I29" s="580" t="s">
        <v>1242</v>
      </c>
      <c r="J29" s="580" t="s">
        <v>1243</v>
      </c>
      <c r="K29" s="580" t="s">
        <v>1244</v>
      </c>
      <c r="L29" s="69" t="s">
        <v>597</v>
      </c>
      <c r="M29" s="580"/>
      <c r="N29" s="580"/>
      <c r="O29" s="580"/>
    </row>
    <row r="30" spans="1:18" s="422" customFormat="1" ht="15" customHeight="1">
      <c r="A30" s="69">
        <v>223</v>
      </c>
      <c r="B30" s="580">
        <v>59</v>
      </c>
      <c r="C30" s="528" t="str">
        <f t="shared" si="2"/>
        <v/>
      </c>
      <c r="D30" s="528" t="str">
        <f t="shared" si="3"/>
        <v>Captain Al Duhail (Y.CO)</v>
      </c>
      <c r="E30" s="580" t="s">
        <v>1221</v>
      </c>
      <c r="F30" s="580" t="s">
        <v>1171</v>
      </c>
      <c r="G30" s="580"/>
      <c r="H30" s="580" t="s">
        <v>1223</v>
      </c>
      <c r="I30" s="580" t="s">
        <v>1245</v>
      </c>
      <c r="J30" s="580" t="s">
        <v>1246</v>
      </c>
      <c r="K30" s="580" t="s">
        <v>1247</v>
      </c>
      <c r="L30" s="69" t="s">
        <v>597</v>
      </c>
      <c r="M30" s="580"/>
      <c r="N30" s="580"/>
      <c r="O30" s="580"/>
    </row>
    <row r="31" spans="1:18" s="422" customFormat="1" ht="15" customHeight="1">
      <c r="A31" s="69">
        <v>224</v>
      </c>
      <c r="B31" s="580">
        <v>59</v>
      </c>
      <c r="C31" s="528" t="str">
        <f t="shared" si="2"/>
        <v/>
      </c>
      <c r="D31" s="528" t="str">
        <f t="shared" si="3"/>
        <v>Captain Al Mirqab II (Y.CO)</v>
      </c>
      <c r="E31" s="580" t="s">
        <v>1221</v>
      </c>
      <c r="F31" s="580" t="s">
        <v>1171</v>
      </c>
      <c r="G31" s="580"/>
      <c r="H31" s="580" t="s">
        <v>1223</v>
      </c>
      <c r="I31" s="580" t="s">
        <v>1248</v>
      </c>
      <c r="J31" s="580" t="s">
        <v>1249</v>
      </c>
      <c r="K31" s="580" t="s">
        <v>1250</v>
      </c>
      <c r="L31" s="69" t="s">
        <v>597</v>
      </c>
      <c r="M31" s="580"/>
      <c r="N31" s="580"/>
      <c r="O31" s="580"/>
    </row>
    <row r="32" spans="1:18" s="422" customFormat="1" ht="15" customHeight="1">
      <c r="A32" s="580">
        <v>225</v>
      </c>
      <c r="B32" s="580">
        <v>59</v>
      </c>
      <c r="C32" s="528" t="str">
        <f t="shared" si="2"/>
        <v/>
      </c>
      <c r="D32" s="528" t="str">
        <f t="shared" si="3"/>
        <v>Captain Al Shoua (Y.CO)</v>
      </c>
      <c r="E32" s="580" t="s">
        <v>1221</v>
      </c>
      <c r="F32" s="580" t="s">
        <v>1171</v>
      </c>
      <c r="G32" s="580"/>
      <c r="H32" s="580" t="s">
        <v>1223</v>
      </c>
      <c r="I32" s="580" t="s">
        <v>1251</v>
      </c>
      <c r="J32" s="580" t="s">
        <v>1252</v>
      </c>
      <c r="K32" s="580" t="s">
        <v>1253</v>
      </c>
      <c r="L32" s="69" t="s">
        <v>597</v>
      </c>
      <c r="M32" s="580"/>
      <c r="N32" s="580"/>
      <c r="O32" s="580"/>
    </row>
    <row r="33" spans="1:18" s="422" customFormat="1" ht="15" customHeight="1">
      <c r="A33" s="69">
        <v>226</v>
      </c>
      <c r="B33" s="580">
        <v>59</v>
      </c>
      <c r="C33" s="528" t="str">
        <f t="shared" si="2"/>
        <v/>
      </c>
      <c r="D33" s="528" t="str">
        <f t="shared" si="3"/>
        <v>Captain Balhimbar (Y.CO)</v>
      </c>
      <c r="E33" s="580" t="s">
        <v>1221</v>
      </c>
      <c r="F33" s="580" t="s">
        <v>1171</v>
      </c>
      <c r="G33" s="580"/>
      <c r="H33" s="580" t="s">
        <v>1223</v>
      </c>
      <c r="I33" s="580" t="s">
        <v>1227</v>
      </c>
      <c r="J33" s="580" t="s">
        <v>1228</v>
      </c>
      <c r="K33" s="580" t="s">
        <v>1229</v>
      </c>
      <c r="L33" s="69" t="s">
        <v>597</v>
      </c>
      <c r="M33" s="580"/>
      <c r="N33" s="580"/>
      <c r="O33" s="580"/>
    </row>
    <row r="34" spans="1:18" s="422" customFormat="1" ht="15" customHeight="1">
      <c r="A34" s="69">
        <v>227</v>
      </c>
      <c r="B34" s="580">
        <v>59</v>
      </c>
      <c r="C34" s="528" t="str">
        <f t="shared" si="2"/>
        <v/>
      </c>
      <c r="D34" s="528" t="str">
        <f t="shared" si="3"/>
        <v>Captain Constellation (Y.CO)</v>
      </c>
      <c r="E34" s="580" t="s">
        <v>1221</v>
      </c>
      <c r="F34" s="580" t="s">
        <v>1171</v>
      </c>
      <c r="G34" s="580"/>
      <c r="H34" s="580" t="s">
        <v>1223</v>
      </c>
      <c r="I34" s="580" t="s">
        <v>1224</v>
      </c>
      <c r="J34" s="580" t="s">
        <v>1225</v>
      </c>
      <c r="K34" s="580" t="s">
        <v>1226</v>
      </c>
      <c r="L34" s="69" t="s">
        <v>597</v>
      </c>
      <c r="M34" s="580"/>
      <c r="N34" s="580"/>
      <c r="O34" s="580"/>
    </row>
    <row r="35" spans="1:18" s="422" customFormat="1" ht="15" customHeight="1">
      <c r="A35" s="580">
        <v>228</v>
      </c>
      <c r="B35" s="580">
        <v>59</v>
      </c>
      <c r="C35" s="528" t="str">
        <f t="shared" si="2"/>
        <v/>
      </c>
      <c r="D35" s="528" t="str">
        <f t="shared" si="3"/>
        <v>Captain Helaitan (Y.CO)</v>
      </c>
      <c r="E35" s="580" t="s">
        <v>1221</v>
      </c>
      <c r="F35" s="580" t="s">
        <v>1171</v>
      </c>
      <c r="G35" s="580"/>
      <c r="H35" s="580" t="s">
        <v>1223</v>
      </c>
      <c r="I35" s="580" t="s">
        <v>1230</v>
      </c>
      <c r="J35" s="580" t="s">
        <v>1231</v>
      </c>
      <c r="K35" s="580" t="s">
        <v>1232</v>
      </c>
      <c r="L35" s="69" t="s">
        <v>597</v>
      </c>
      <c r="M35" s="580"/>
      <c r="N35" s="580"/>
      <c r="O35" s="580"/>
    </row>
    <row r="36" spans="1:18" s="422" customFormat="1" ht="15" customHeight="1">
      <c r="A36" s="69">
        <v>229</v>
      </c>
      <c r="B36" s="580">
        <v>59</v>
      </c>
      <c r="C36" s="528" t="str">
        <f t="shared" si="2"/>
        <v/>
      </c>
      <c r="D36" s="528" t="str">
        <f t="shared" si="3"/>
        <v>Captain Katara (Y.CO)</v>
      </c>
      <c r="E36" s="580" t="s">
        <v>1221</v>
      </c>
      <c r="F36" s="580" t="s">
        <v>1171</v>
      </c>
      <c r="G36" s="580"/>
      <c r="H36" s="580" t="s">
        <v>1223</v>
      </c>
      <c r="I36" s="580" t="s">
        <v>1254</v>
      </c>
      <c r="J36" s="580" t="s">
        <v>1255</v>
      </c>
      <c r="K36" s="580" t="s">
        <v>1256</v>
      </c>
      <c r="L36" s="69" t="s">
        <v>597</v>
      </c>
      <c r="M36" s="580"/>
      <c r="N36" s="580"/>
      <c r="O36" s="580"/>
    </row>
    <row r="37" spans="1:18" s="422" customFormat="1" ht="15" customHeight="1">
      <c r="A37" s="69">
        <v>230</v>
      </c>
      <c r="B37" s="580">
        <v>59</v>
      </c>
      <c r="C37" s="528" t="str">
        <f t="shared" si="2"/>
        <v/>
      </c>
      <c r="D37" s="528" t="str">
        <f t="shared" si="3"/>
        <v>Captain Katara II (Y.CO)</v>
      </c>
      <c r="E37" s="580" t="s">
        <v>1221</v>
      </c>
      <c r="F37" s="580" t="s">
        <v>1171</v>
      </c>
      <c r="G37" s="580"/>
      <c r="H37" s="580" t="s">
        <v>1223</v>
      </c>
      <c r="I37" s="580" t="s">
        <v>1257</v>
      </c>
      <c r="J37" s="580" t="s">
        <v>1258</v>
      </c>
      <c r="K37" s="580" t="s">
        <v>1259</v>
      </c>
      <c r="L37" s="69" t="s">
        <v>597</v>
      </c>
      <c r="M37" s="580"/>
      <c r="N37" s="580"/>
      <c r="O37" s="580"/>
    </row>
    <row r="38" spans="1:18" s="422" customFormat="1" ht="15" customHeight="1">
      <c r="A38" s="580">
        <v>231</v>
      </c>
      <c r="B38" s="580">
        <v>59</v>
      </c>
      <c r="C38" s="528" t="str">
        <f t="shared" si="2"/>
        <v/>
      </c>
      <c r="D38" s="528" t="str">
        <f t="shared" si="3"/>
        <v>Captain Katara III (Y.CO)</v>
      </c>
      <c r="E38" s="580" t="s">
        <v>1221</v>
      </c>
      <c r="F38" s="580" t="s">
        <v>1171</v>
      </c>
      <c r="G38" s="580"/>
      <c r="H38" s="580" t="s">
        <v>1223</v>
      </c>
      <c r="I38" s="580" t="s">
        <v>1260</v>
      </c>
      <c r="J38" s="580" t="s">
        <v>1261</v>
      </c>
      <c r="K38" s="580" t="s">
        <v>1262</v>
      </c>
      <c r="L38" s="69" t="s">
        <v>597</v>
      </c>
      <c r="M38" s="580"/>
      <c r="N38" s="580"/>
      <c r="O38" s="580"/>
    </row>
    <row r="39" spans="1:18" s="422" customFormat="1" ht="15" customHeight="1">
      <c r="A39" s="69">
        <v>232</v>
      </c>
      <c r="B39" s="580">
        <v>59</v>
      </c>
      <c r="C39" s="528" t="str">
        <f t="shared" si="2"/>
        <v/>
      </c>
      <c r="D39" s="528" t="str">
        <f t="shared" si="3"/>
        <v>Captain Katara IV (Y.CO)</v>
      </c>
      <c r="E39" s="580" t="s">
        <v>1221</v>
      </c>
      <c r="F39" s="580" t="s">
        <v>1171</v>
      </c>
      <c r="G39" s="580"/>
      <c r="H39" s="580" t="s">
        <v>1223</v>
      </c>
      <c r="I39" s="580" t="s">
        <v>1263</v>
      </c>
      <c r="J39" s="580" t="s">
        <v>1264</v>
      </c>
      <c r="K39" s="580" t="s">
        <v>1265</v>
      </c>
      <c r="L39" s="69" t="s">
        <v>597</v>
      </c>
      <c r="M39" s="580"/>
      <c r="N39" s="580"/>
      <c r="O39" s="580"/>
    </row>
    <row r="40" spans="1:18" s="422" customFormat="1" ht="15" customHeight="1">
      <c r="A40" s="69">
        <v>233</v>
      </c>
      <c r="B40" s="580">
        <v>59</v>
      </c>
      <c r="C40" s="528" t="str">
        <f t="shared" si="2"/>
        <v/>
      </c>
      <c r="D40" s="528" t="str">
        <f t="shared" si="3"/>
        <v>Captain Maracunda (Y.CO)</v>
      </c>
      <c r="E40" s="580" t="s">
        <v>1221</v>
      </c>
      <c r="F40" s="580" t="s">
        <v>1171</v>
      </c>
      <c r="G40" s="580"/>
      <c r="H40" s="580" t="s">
        <v>1223</v>
      </c>
      <c r="I40" s="580" t="s">
        <v>1233</v>
      </c>
      <c r="J40" s="580" t="s">
        <v>1234</v>
      </c>
      <c r="K40" s="580" t="s">
        <v>1235</v>
      </c>
      <c r="L40" s="69" t="s">
        <v>597</v>
      </c>
      <c r="M40" s="580"/>
      <c r="N40" s="580"/>
      <c r="O40" s="580"/>
    </row>
    <row r="41" spans="1:18" s="422" customFormat="1" ht="15" customHeight="1">
      <c r="A41" s="580">
        <v>234</v>
      </c>
      <c r="B41" s="580">
        <v>59</v>
      </c>
      <c r="C41" s="528" t="str">
        <f t="shared" si="2"/>
        <v/>
      </c>
      <c r="D41" s="528" t="str">
        <f t="shared" si="3"/>
        <v>Captain Sahm (Y.CO)</v>
      </c>
      <c r="E41" s="580" t="s">
        <v>1221</v>
      </c>
      <c r="F41" s="580" t="s">
        <v>1171</v>
      </c>
      <c r="G41" s="580"/>
      <c r="H41" s="580" t="s">
        <v>1223</v>
      </c>
      <c r="I41" s="580" t="s">
        <v>1236</v>
      </c>
      <c r="J41" s="580" t="s">
        <v>1237</v>
      </c>
      <c r="K41" s="580" t="s">
        <v>1238</v>
      </c>
      <c r="L41" s="69" t="s">
        <v>597</v>
      </c>
      <c r="M41" s="580"/>
      <c r="N41" s="580"/>
      <c r="O41" s="580"/>
    </row>
    <row r="42" spans="1:18" s="422" customFormat="1" ht="15" customHeight="1">
      <c r="A42" s="69">
        <v>235</v>
      </c>
      <c r="B42" s="580">
        <v>59</v>
      </c>
      <c r="C42" s="528" t="str">
        <f t="shared" si="2"/>
        <v/>
      </c>
      <c r="D42" s="528" t="str">
        <f t="shared" si="3"/>
        <v>Captain Zikrit (Y.CO)</v>
      </c>
      <c r="E42" s="580" t="s">
        <v>1221</v>
      </c>
      <c r="F42" s="580" t="s">
        <v>1171</v>
      </c>
      <c r="G42" s="580"/>
      <c r="H42" s="580" t="s">
        <v>1223</v>
      </c>
      <c r="I42" s="580" t="s">
        <v>1239</v>
      </c>
      <c r="J42" s="580" t="s">
        <v>1240</v>
      </c>
      <c r="K42" s="580" t="s">
        <v>1241</v>
      </c>
      <c r="L42" s="69" t="s">
        <v>597</v>
      </c>
      <c r="M42" s="580"/>
      <c r="N42" s="580"/>
      <c r="O42" s="580"/>
    </row>
    <row r="43" spans="1:18" s="422" customFormat="1" ht="15" customHeight="1">
      <c r="A43" s="69">
        <v>128</v>
      </c>
      <c r="B43" s="580"/>
      <c r="C43" s="528" t="str">
        <f t="shared" si="2"/>
        <v/>
      </c>
      <c r="D43" s="528" t="str">
        <f t="shared" si="3"/>
        <v>CARNIMOLLA Caroline (Malta Nautic Management)</v>
      </c>
      <c r="E43" s="76" t="s">
        <v>2484</v>
      </c>
      <c r="F43" s="580" t="s">
        <v>1159</v>
      </c>
      <c r="G43" s="580"/>
      <c r="H43" s="580" t="s">
        <v>2512</v>
      </c>
      <c r="I43" s="580" t="s">
        <v>1007</v>
      </c>
      <c r="J43" s="79" t="s">
        <v>2513</v>
      </c>
      <c r="K43" s="580"/>
      <c r="L43" s="69" t="s">
        <v>597</v>
      </c>
      <c r="M43" s="580"/>
      <c r="N43" s="580"/>
      <c r="O43" s="580"/>
    </row>
    <row r="44" spans="1:18" s="422" customFormat="1" ht="15" customHeight="1">
      <c r="A44" s="69">
        <v>170</v>
      </c>
      <c r="B44" s="69"/>
      <c r="C44" s="528" t="str">
        <f t="shared" si="2"/>
        <v/>
      </c>
      <c r="D44" s="528" t="str">
        <f t="shared" si="3"/>
        <v>CARRIOU Stephane (Paul Gauguin Cruises)</v>
      </c>
      <c r="E44" s="69" t="s">
        <v>1266</v>
      </c>
      <c r="F44" s="69" t="s">
        <v>1159</v>
      </c>
      <c r="G44" s="69" t="s">
        <v>1271</v>
      </c>
      <c r="H44" s="69" t="s">
        <v>1269</v>
      </c>
      <c r="I44" s="69" t="s">
        <v>1270</v>
      </c>
      <c r="J44" s="69"/>
      <c r="K44" s="69"/>
      <c r="L44" s="69" t="s">
        <v>624</v>
      </c>
      <c r="M44" s="69" t="s">
        <v>1272</v>
      </c>
      <c r="N44" s="69"/>
      <c r="O44" s="69" t="s">
        <v>1273</v>
      </c>
    </row>
    <row r="45" spans="1:18" s="422" customFormat="1" ht="15" customHeight="1">
      <c r="A45" s="69">
        <v>43</v>
      </c>
      <c r="B45" s="580">
        <v>23</v>
      </c>
      <c r="C45" s="528" t="str">
        <f t="shared" si="2"/>
        <v/>
      </c>
      <c r="D45" s="528" t="str">
        <f t="shared" si="3"/>
        <v>CATOT Aferdita (Bourbon Offshore Greenmar)</v>
      </c>
      <c r="E45" s="580" t="s">
        <v>759</v>
      </c>
      <c r="F45" s="580" t="s">
        <v>1171</v>
      </c>
      <c r="G45" s="580"/>
      <c r="H45" s="580" t="s">
        <v>1274</v>
      </c>
      <c r="I45" s="580" t="s">
        <v>1275</v>
      </c>
      <c r="J45" s="580" t="s">
        <v>1276</v>
      </c>
      <c r="K45" s="580" t="s">
        <v>1277</v>
      </c>
      <c r="L45" s="69" t="s">
        <v>597</v>
      </c>
      <c r="M45" s="580"/>
      <c r="N45" s="580"/>
      <c r="O45" s="580"/>
    </row>
    <row r="46" spans="1:18" s="422" customFormat="1" ht="15" customHeight="1">
      <c r="A46" s="69">
        <v>125</v>
      </c>
      <c r="B46" s="580">
        <v>57</v>
      </c>
      <c r="C46" s="528" t="str">
        <f t="shared" si="2"/>
        <v/>
      </c>
      <c r="D46" s="528" t="str">
        <f t="shared" si="3"/>
        <v>CHITO Christiane (MAGELLAN)</v>
      </c>
      <c r="E46" s="580" t="s">
        <v>1196</v>
      </c>
      <c r="F46" s="69" t="s">
        <v>1159</v>
      </c>
      <c r="G46" s="69" t="s">
        <v>1281</v>
      </c>
      <c r="H46" s="69" t="s">
        <v>1278</v>
      </c>
      <c r="I46" s="69" t="s">
        <v>1279</v>
      </c>
      <c r="J46" s="69" t="s">
        <v>1280</v>
      </c>
      <c r="K46" s="69"/>
      <c r="L46" s="69" t="s">
        <v>624</v>
      </c>
      <c r="M46" s="580" t="s">
        <v>2511</v>
      </c>
      <c r="N46" s="580"/>
      <c r="O46" s="72"/>
    </row>
    <row r="47" spans="1:18" s="422" customFormat="1" ht="15" customHeight="1">
      <c r="A47" s="580">
        <v>135</v>
      </c>
      <c r="B47" s="580"/>
      <c r="C47" s="528" t="str">
        <f t="shared" si="2"/>
        <v/>
      </c>
      <c r="D47" s="528" t="str">
        <f t="shared" si="3"/>
        <v>CITE Charline (Mediterranean Yacht Services)</v>
      </c>
      <c r="E47" s="580" t="s">
        <v>1282</v>
      </c>
      <c r="F47" s="580" t="s">
        <v>1159</v>
      </c>
      <c r="G47" s="580"/>
      <c r="H47" s="580" t="s">
        <v>1284</v>
      </c>
      <c r="I47" s="580" t="s">
        <v>1285</v>
      </c>
      <c r="J47" s="580" t="s">
        <v>1286</v>
      </c>
      <c r="K47" s="580" t="s">
        <v>1287</v>
      </c>
      <c r="L47" s="69" t="s">
        <v>597</v>
      </c>
      <c r="M47" s="580" t="s">
        <v>1288</v>
      </c>
      <c r="N47" s="580"/>
      <c r="O47" s="580" t="s">
        <v>1289</v>
      </c>
    </row>
    <row r="48" spans="1:18" s="422" customFormat="1" ht="15" customHeight="1">
      <c r="A48" s="69">
        <v>179</v>
      </c>
      <c r="B48" s="69"/>
      <c r="C48" s="528" t="str">
        <f t="shared" si="2"/>
        <v>CLUIS Michael (SALVO ASSURANCES)</v>
      </c>
      <c r="D48" s="528" t="str">
        <f t="shared" si="3"/>
        <v/>
      </c>
      <c r="E48" s="69" t="s">
        <v>536</v>
      </c>
      <c r="F48" s="580" t="s">
        <v>592</v>
      </c>
      <c r="G48" s="580"/>
      <c r="H48" s="69" t="s">
        <v>654</v>
      </c>
      <c r="I48" s="69" t="s">
        <v>655</v>
      </c>
      <c r="J48" s="71" t="s">
        <v>656</v>
      </c>
      <c r="K48" s="580" t="s">
        <v>657</v>
      </c>
      <c r="L48" s="69" t="s">
        <v>597</v>
      </c>
      <c r="M48" s="580" t="s">
        <v>658</v>
      </c>
      <c r="N48" s="580"/>
      <c r="O48" s="580"/>
      <c r="P48" s="683"/>
      <c r="Q48" s="683"/>
      <c r="R48" s="683"/>
    </row>
    <row r="49" spans="1:18" s="422" customFormat="1" ht="15" customHeight="1">
      <c r="A49" s="580">
        <v>33</v>
      </c>
      <c r="B49" s="580">
        <v>22</v>
      </c>
      <c r="C49" s="528" t="str">
        <f t="shared" si="2"/>
        <v/>
      </c>
      <c r="D49" s="528" t="str">
        <f t="shared" si="3"/>
        <v>COATES Anne-Laure (BLUEWIN)</v>
      </c>
      <c r="E49" s="580" t="s">
        <v>1216</v>
      </c>
      <c r="F49" s="580" t="s">
        <v>1159</v>
      </c>
      <c r="G49" s="580"/>
      <c r="H49" s="580" t="s">
        <v>1290</v>
      </c>
      <c r="I49" s="580" t="s">
        <v>1291</v>
      </c>
      <c r="J49" s="580" t="s">
        <v>1292</v>
      </c>
      <c r="K49" s="580" t="s">
        <v>1293</v>
      </c>
      <c r="L49" s="69" t="s">
        <v>597</v>
      </c>
      <c r="M49" s="580"/>
      <c r="N49" s="580"/>
      <c r="O49" s="580"/>
    </row>
    <row r="50" spans="1:18" s="422" customFormat="1" ht="15" customHeight="1">
      <c r="A50" s="69">
        <v>181</v>
      </c>
      <c r="B50" s="580">
        <v>70</v>
      </c>
      <c r="C50" s="528" t="str">
        <f t="shared" si="2"/>
        <v/>
      </c>
      <c r="D50" s="528" t="str">
        <f t="shared" si="3"/>
        <v>COHEN Valérie (SEASIDE)</v>
      </c>
      <c r="E50" s="580" t="s">
        <v>1294</v>
      </c>
      <c r="F50" s="580" t="s">
        <v>1159</v>
      </c>
      <c r="G50" s="580"/>
      <c r="H50" s="580" t="s">
        <v>1295</v>
      </c>
      <c r="I50" s="580" t="s">
        <v>673</v>
      </c>
      <c r="J50" s="580" t="s">
        <v>1296</v>
      </c>
      <c r="K50" s="580" t="s">
        <v>1297</v>
      </c>
      <c r="L50" s="69" t="s">
        <v>597</v>
      </c>
      <c r="M50" s="78" t="s">
        <v>1656</v>
      </c>
      <c r="N50" s="580"/>
      <c r="O50" s="580"/>
    </row>
    <row r="51" spans="1:18" s="422" customFormat="1" ht="15" customHeight="1">
      <c r="A51" s="69">
        <v>122</v>
      </c>
      <c r="B51" s="580"/>
      <c r="C51" s="528" t="str">
        <f t="shared" si="2"/>
        <v>CONZALES Jacques (M1 Management)</v>
      </c>
      <c r="D51" s="528" t="str">
        <f t="shared" si="3"/>
        <v/>
      </c>
      <c r="E51" s="684" t="s">
        <v>751</v>
      </c>
      <c r="F51" s="580" t="s">
        <v>592</v>
      </c>
      <c r="G51" s="580"/>
      <c r="H51" s="580" t="s">
        <v>659</v>
      </c>
      <c r="I51" s="580" t="s">
        <v>660</v>
      </c>
      <c r="J51" s="580" t="s">
        <v>661</v>
      </c>
      <c r="K51" s="580" t="s">
        <v>662</v>
      </c>
      <c r="L51" s="69"/>
      <c r="M51" s="580"/>
      <c r="N51" s="580"/>
      <c r="O51" s="580" t="s">
        <v>663</v>
      </c>
      <c r="P51" s="683"/>
      <c r="Q51" s="683"/>
      <c r="R51" s="683"/>
    </row>
    <row r="52" spans="1:18" s="422" customFormat="1" ht="15" customHeight="1">
      <c r="A52" s="69">
        <v>190</v>
      </c>
      <c r="B52" s="69"/>
      <c r="C52" s="528" t="str">
        <f t="shared" si="2"/>
        <v>CORDRAY Marie-Laure (SUD EUROCOURTAGE)</v>
      </c>
      <c r="D52" s="528" t="str">
        <f t="shared" si="3"/>
        <v/>
      </c>
      <c r="E52" s="580" t="s">
        <v>546</v>
      </c>
      <c r="F52" s="580" t="s">
        <v>592</v>
      </c>
      <c r="G52" s="69"/>
      <c r="H52" s="69" t="s">
        <v>667</v>
      </c>
      <c r="I52" s="69" t="s">
        <v>668</v>
      </c>
      <c r="J52" s="72" t="s">
        <v>669</v>
      </c>
      <c r="K52" s="72"/>
      <c r="L52" s="69" t="s">
        <v>624</v>
      </c>
      <c r="M52" s="69" t="s">
        <v>670</v>
      </c>
      <c r="N52" s="69" t="s">
        <v>360</v>
      </c>
      <c r="O52" s="72"/>
      <c r="P52" s="683"/>
      <c r="Q52" s="683"/>
      <c r="R52" s="683"/>
    </row>
    <row r="53" spans="1:18" s="422" customFormat="1" ht="15" customHeight="1">
      <c r="A53" s="580">
        <v>138</v>
      </c>
      <c r="B53" s="580"/>
      <c r="C53" s="528" t="str">
        <f t="shared" si="2"/>
        <v/>
      </c>
      <c r="D53" s="528" t="str">
        <f t="shared" si="3"/>
        <v>CORPORANDY Gilles (Monaco Equipage)</v>
      </c>
      <c r="E53" s="76" t="s">
        <v>476</v>
      </c>
      <c r="F53" s="580" t="s">
        <v>1159</v>
      </c>
      <c r="G53" s="580"/>
      <c r="H53" s="580" t="s">
        <v>1299</v>
      </c>
      <c r="I53" s="580" t="s">
        <v>1300</v>
      </c>
      <c r="J53" s="74" t="s">
        <v>1301</v>
      </c>
      <c r="K53" s="580" t="s">
        <v>1300</v>
      </c>
      <c r="L53" s="69" t="s">
        <v>624</v>
      </c>
      <c r="M53" s="580" t="s">
        <v>1302</v>
      </c>
      <c r="N53" s="580"/>
      <c r="O53" s="580"/>
    </row>
    <row r="54" spans="1:18" s="422" customFormat="1" ht="15" customHeight="1">
      <c r="A54" s="69">
        <v>8</v>
      </c>
      <c r="B54" s="580">
        <v>14</v>
      </c>
      <c r="C54" s="528" t="str">
        <f t="shared" si="2"/>
        <v/>
      </c>
      <c r="D54" s="528" t="str">
        <f t="shared" si="3"/>
        <v>COSSERAT CHRISTIAN (ANP)</v>
      </c>
      <c r="E54" s="580" t="s">
        <v>1305</v>
      </c>
      <c r="F54" s="580" t="s">
        <v>1159</v>
      </c>
      <c r="G54" s="580"/>
      <c r="H54" s="580" t="s">
        <v>1306</v>
      </c>
      <c r="I54" s="580" t="s">
        <v>1307</v>
      </c>
      <c r="J54" s="580" t="s">
        <v>1308</v>
      </c>
      <c r="K54" s="580" t="s">
        <v>1309</v>
      </c>
      <c r="L54" s="69" t="s">
        <v>597</v>
      </c>
      <c r="M54" s="580"/>
      <c r="N54" s="580"/>
      <c r="O54" s="580"/>
    </row>
    <row r="55" spans="1:18" s="422" customFormat="1" ht="15" customHeight="1">
      <c r="A55" s="69">
        <v>44</v>
      </c>
      <c r="B55" s="580">
        <v>23</v>
      </c>
      <c r="C55" s="528" t="str">
        <f t="shared" si="2"/>
        <v/>
      </c>
      <c r="D55" s="528" t="str">
        <f t="shared" si="3"/>
        <v>COSSON Léonie (Bourbon Offshore Greenmar)</v>
      </c>
      <c r="E55" s="580" t="s">
        <v>759</v>
      </c>
      <c r="F55" s="580" t="s">
        <v>1171</v>
      </c>
      <c r="G55" s="580"/>
      <c r="H55" s="580" t="s">
        <v>1310</v>
      </c>
      <c r="I55" s="580" t="s">
        <v>1311</v>
      </c>
      <c r="J55" s="580" t="s">
        <v>1312</v>
      </c>
      <c r="K55" s="580" t="s">
        <v>1313</v>
      </c>
      <c r="L55" s="69" t="s">
        <v>597</v>
      </c>
      <c r="M55" s="580"/>
      <c r="N55" s="580"/>
      <c r="O55" s="580"/>
    </row>
    <row r="56" spans="1:18" s="422" customFormat="1" ht="15" customHeight="1">
      <c r="A56" s="69">
        <v>131</v>
      </c>
      <c r="B56" s="580"/>
      <c r="C56" s="528" t="str">
        <f t="shared" si="2"/>
        <v>COTINEAU Valérie (Maritime Albatros)</v>
      </c>
      <c r="D56" s="528" t="str">
        <f t="shared" si="3"/>
        <v/>
      </c>
      <c r="E56" s="580" t="s">
        <v>671</v>
      </c>
      <c r="F56" s="580" t="s">
        <v>592</v>
      </c>
      <c r="G56" s="580"/>
      <c r="H56" s="580" t="s">
        <v>672</v>
      </c>
      <c r="I56" s="580" t="s">
        <v>673</v>
      </c>
      <c r="J56" s="580" t="s">
        <v>674</v>
      </c>
      <c r="K56" s="580" t="s">
        <v>675</v>
      </c>
      <c r="L56" s="69" t="s">
        <v>597</v>
      </c>
      <c r="M56" s="580"/>
      <c r="N56" s="580"/>
      <c r="O56" s="580"/>
      <c r="P56" s="683"/>
      <c r="Q56" s="683"/>
      <c r="R56" s="683"/>
    </row>
    <row r="57" spans="1:18" s="422" customFormat="1" ht="15" customHeight="1">
      <c r="A57" s="580">
        <v>213</v>
      </c>
      <c r="B57" s="580"/>
      <c r="C57" s="528" t="str">
        <f t="shared" si="2"/>
        <v>COUËSSUREL Yann (UVEA MARINE SERVICE)</v>
      </c>
      <c r="D57" s="528" t="str">
        <f t="shared" si="3"/>
        <v/>
      </c>
      <c r="E57" s="580" t="s">
        <v>645</v>
      </c>
      <c r="F57" s="580" t="s">
        <v>592</v>
      </c>
      <c r="G57" s="580"/>
      <c r="H57" s="580" t="s">
        <v>676</v>
      </c>
      <c r="I57" s="580" t="s">
        <v>677</v>
      </c>
      <c r="J57" s="580" t="s">
        <v>678</v>
      </c>
      <c r="K57" s="580" t="s">
        <v>679</v>
      </c>
      <c r="L57" s="69" t="s">
        <v>597</v>
      </c>
      <c r="M57" s="580"/>
      <c r="N57" s="580"/>
      <c r="O57" s="580"/>
      <c r="P57" s="683"/>
      <c r="Q57" s="683"/>
      <c r="R57" s="683"/>
    </row>
    <row r="58" spans="1:18" s="422" customFormat="1" ht="15" customHeight="1">
      <c r="A58" s="580">
        <v>120</v>
      </c>
      <c r="B58" s="69">
        <v>12</v>
      </c>
      <c r="C58" s="528" t="str">
        <f t="shared" si="2"/>
        <v/>
      </c>
      <c r="D58" s="528" t="str">
        <f t="shared" si="3"/>
        <v>CREACH Mickaël (Long River Corporate)</v>
      </c>
      <c r="E58" s="69" t="s">
        <v>1314</v>
      </c>
      <c r="F58" s="580" t="s">
        <v>1171</v>
      </c>
      <c r="G58" s="69"/>
      <c r="H58" s="69" t="s">
        <v>1315</v>
      </c>
      <c r="I58" s="69" t="s">
        <v>1316</v>
      </c>
      <c r="J58" s="69" t="s">
        <v>1317</v>
      </c>
      <c r="K58" s="580" t="s">
        <v>1318</v>
      </c>
      <c r="L58" s="69" t="s">
        <v>597</v>
      </c>
      <c r="M58" s="580" t="s">
        <v>1319</v>
      </c>
      <c r="N58" s="69"/>
      <c r="O58" s="69"/>
    </row>
    <row r="59" spans="1:18" s="422" customFormat="1" ht="15" customHeight="1">
      <c r="A59" s="580">
        <v>126</v>
      </c>
      <c r="B59" s="580">
        <v>57</v>
      </c>
      <c r="C59" s="528" t="str">
        <f t="shared" si="2"/>
        <v/>
      </c>
      <c r="D59" s="528" t="str">
        <f t="shared" si="3"/>
        <v>CREMER Martin (MAGELLAN)</v>
      </c>
      <c r="E59" s="580" t="s">
        <v>1196</v>
      </c>
      <c r="F59" s="580" t="s">
        <v>1159</v>
      </c>
      <c r="G59" s="69" t="s">
        <v>1324</v>
      </c>
      <c r="H59" s="580" t="s">
        <v>1320</v>
      </c>
      <c r="I59" s="580" t="s">
        <v>1321</v>
      </c>
      <c r="J59" s="580" t="s">
        <v>1322</v>
      </c>
      <c r="K59" s="580" t="s">
        <v>1323</v>
      </c>
      <c r="L59" s="69" t="s">
        <v>597</v>
      </c>
      <c r="M59" s="580" t="s">
        <v>2511</v>
      </c>
      <c r="N59" s="580"/>
      <c r="O59" s="580"/>
    </row>
    <row r="60" spans="1:18" s="422" customFormat="1" ht="15" customHeight="1">
      <c r="A60" s="580">
        <v>141</v>
      </c>
      <c r="B60" s="69"/>
      <c r="C60" s="528" t="str">
        <f t="shared" si="2"/>
        <v/>
      </c>
      <c r="D60" s="528" t="str">
        <f t="shared" si="3"/>
        <v>CROQUET Patricia (MTAIC Cannes)</v>
      </c>
      <c r="E60" s="76" t="s">
        <v>479</v>
      </c>
      <c r="F60" s="580" t="s">
        <v>1159</v>
      </c>
      <c r="G60" s="69"/>
      <c r="H60" s="69" t="s">
        <v>680</v>
      </c>
      <c r="I60" s="69" t="s">
        <v>681</v>
      </c>
      <c r="J60" s="71" t="s">
        <v>682</v>
      </c>
      <c r="K60" s="71"/>
      <c r="L60" s="69" t="s">
        <v>624</v>
      </c>
      <c r="M60" s="69" t="s">
        <v>683</v>
      </c>
      <c r="N60" s="69"/>
      <c r="O60" s="69" t="s">
        <v>684</v>
      </c>
    </row>
    <row r="61" spans="1:18" s="422" customFormat="1" ht="15" customHeight="1">
      <c r="A61" s="69">
        <v>38</v>
      </c>
      <c r="B61" s="69"/>
      <c r="C61" s="528" t="str">
        <f t="shared" si="2"/>
        <v>DARUS Anne (BOURBON GROUP)</v>
      </c>
      <c r="D61" s="528" t="str">
        <f t="shared" si="3"/>
        <v/>
      </c>
      <c r="E61" s="580" t="s">
        <v>634</v>
      </c>
      <c r="F61" s="580" t="s">
        <v>592</v>
      </c>
      <c r="G61" s="580"/>
      <c r="H61" s="580" t="s">
        <v>687</v>
      </c>
      <c r="I61" s="580" t="s">
        <v>688</v>
      </c>
      <c r="J61" s="580" t="s">
        <v>689</v>
      </c>
      <c r="K61" s="580" t="s">
        <v>690</v>
      </c>
      <c r="L61" s="69" t="s">
        <v>597</v>
      </c>
      <c r="M61" s="580"/>
      <c r="N61" s="580"/>
      <c r="O61" s="580"/>
      <c r="P61" s="83"/>
      <c r="Q61" s="83"/>
      <c r="R61" s="83"/>
    </row>
    <row r="62" spans="1:18" s="422" customFormat="1" ht="15" customHeight="1">
      <c r="A62" s="580">
        <v>9</v>
      </c>
      <c r="B62" s="580">
        <v>14</v>
      </c>
      <c r="C62" s="528" t="str">
        <f t="shared" si="2"/>
        <v>DE CAMPOU  Thomas (ANP)</v>
      </c>
      <c r="D62" s="528" t="str">
        <f t="shared" si="3"/>
        <v/>
      </c>
      <c r="E62" s="69" t="s">
        <v>1305</v>
      </c>
      <c r="F62" s="580" t="s">
        <v>592</v>
      </c>
      <c r="G62" s="69"/>
      <c r="H62" s="69" t="s">
        <v>691</v>
      </c>
      <c r="I62" s="69" t="s">
        <v>692</v>
      </c>
      <c r="J62" s="69" t="s">
        <v>693</v>
      </c>
      <c r="K62" s="580" t="s">
        <v>694</v>
      </c>
      <c r="L62" s="69" t="s">
        <v>597</v>
      </c>
      <c r="M62" s="580" t="s">
        <v>695</v>
      </c>
      <c r="N62" s="69"/>
      <c r="O62" s="580" t="s">
        <v>696</v>
      </c>
      <c r="P62" s="83"/>
      <c r="Q62" s="83"/>
      <c r="R62" s="83"/>
    </row>
    <row r="63" spans="1:18" s="422" customFormat="1" ht="15" customHeight="1">
      <c r="A63" s="69">
        <v>89</v>
      </c>
      <c r="B63" s="580">
        <v>67</v>
      </c>
      <c r="C63" s="528" t="str">
        <f t="shared" si="2"/>
        <v/>
      </c>
      <c r="D63" s="528" t="str">
        <f t="shared" si="3"/>
        <v>DE RAIGNIAC Foulques (GASPARD Yachts)</v>
      </c>
      <c r="E63" s="76" t="s">
        <v>376</v>
      </c>
      <c r="F63" s="580" t="s">
        <v>1159</v>
      </c>
      <c r="G63" s="580"/>
      <c r="H63" s="580" t="s">
        <v>1325</v>
      </c>
      <c r="I63" s="580" t="s">
        <v>1326</v>
      </c>
      <c r="J63" s="580" t="s">
        <v>1327</v>
      </c>
      <c r="K63" s="580" t="s">
        <v>1328</v>
      </c>
      <c r="L63" s="69" t="s">
        <v>597</v>
      </c>
      <c r="M63" s="681" t="s">
        <v>2503</v>
      </c>
      <c r="N63" s="580"/>
      <c r="O63" s="580"/>
    </row>
    <row r="64" spans="1:18" s="422" customFormat="1" ht="15" customHeight="1">
      <c r="A64" s="69">
        <v>121</v>
      </c>
      <c r="B64" s="580"/>
      <c r="C64" s="528" t="str">
        <f t="shared" si="2"/>
        <v/>
      </c>
      <c r="D64" s="528" t="str">
        <f t="shared" si="3"/>
        <v>De Wolf Jean-Pierre (Luxembourg Marine Services S.A.)</v>
      </c>
      <c r="E64" s="76" t="s">
        <v>449</v>
      </c>
      <c r="F64" s="69" t="s">
        <v>1159</v>
      </c>
      <c r="G64" s="580"/>
      <c r="H64" s="580" t="s">
        <v>1329</v>
      </c>
      <c r="I64" s="580" t="s">
        <v>1330</v>
      </c>
      <c r="J64" s="74" t="s">
        <v>1331</v>
      </c>
      <c r="K64" s="74"/>
      <c r="L64" s="69"/>
      <c r="M64" s="580" t="s">
        <v>450</v>
      </c>
      <c r="N64" s="580"/>
      <c r="O64" s="580" t="s">
        <v>1332</v>
      </c>
    </row>
    <row r="65" spans="1:18" s="422" customFormat="1" ht="15" customHeight="1">
      <c r="A65" s="580">
        <v>165</v>
      </c>
      <c r="B65" s="69"/>
      <c r="C65" s="528" t="str">
        <f t="shared" si="2"/>
        <v>De Zerbi  Charlene (ONLYYACHT MONACO)</v>
      </c>
      <c r="D65" s="528" t="str">
        <f t="shared" si="3"/>
        <v/>
      </c>
      <c r="E65" s="677" t="s">
        <v>502</v>
      </c>
      <c r="F65" s="580" t="s">
        <v>592</v>
      </c>
      <c r="G65" s="69"/>
      <c r="H65" s="69" t="s">
        <v>697</v>
      </c>
      <c r="I65" s="69" t="s">
        <v>698</v>
      </c>
      <c r="J65" s="71" t="s">
        <v>699</v>
      </c>
      <c r="K65" s="580" t="s">
        <v>700</v>
      </c>
      <c r="L65" s="69" t="s">
        <v>597</v>
      </c>
      <c r="M65" s="580" t="s">
        <v>701</v>
      </c>
      <c r="N65" s="580" t="s">
        <v>702</v>
      </c>
      <c r="O65" s="580"/>
      <c r="P65" s="683"/>
      <c r="Q65" s="683"/>
      <c r="R65" s="683"/>
    </row>
    <row r="66" spans="1:18" s="422" customFormat="1" ht="15" customHeight="1">
      <c r="A66" s="580">
        <v>90</v>
      </c>
      <c r="B66" s="69"/>
      <c r="C66" s="528" t="str">
        <f t="shared" si="2"/>
        <v>DELATTRE  Maryline (GECAR)</v>
      </c>
      <c r="D66" s="528" t="str">
        <f t="shared" si="3"/>
        <v/>
      </c>
      <c r="E66" s="69" t="s">
        <v>703</v>
      </c>
      <c r="F66" s="580" t="s">
        <v>592</v>
      </c>
      <c r="G66" s="69"/>
      <c r="H66" s="69" t="s">
        <v>704</v>
      </c>
      <c r="I66" s="69" t="s">
        <v>705</v>
      </c>
      <c r="J66" s="71" t="s">
        <v>706</v>
      </c>
      <c r="K66" s="580" t="s">
        <v>707</v>
      </c>
      <c r="L66" s="69" t="s">
        <v>597</v>
      </c>
      <c r="M66" s="580" t="s">
        <v>708</v>
      </c>
      <c r="N66" s="69"/>
      <c r="O66" s="69"/>
      <c r="P66" s="680"/>
      <c r="Q66" s="680"/>
      <c r="R66" s="680"/>
    </row>
    <row r="67" spans="1:18" s="422" customFormat="1" ht="15" customHeight="1">
      <c r="A67" s="580">
        <v>198</v>
      </c>
      <c r="B67" s="69"/>
      <c r="C67" s="528" t="str">
        <f t="shared" si="2"/>
        <v>DEMAREST  Stéphanie (SUISSCOURTAGE Monaco)</v>
      </c>
      <c r="D67" s="528" t="str">
        <f t="shared" si="3"/>
        <v/>
      </c>
      <c r="E67" s="677" t="s">
        <v>558</v>
      </c>
      <c r="F67" s="580" t="s">
        <v>592</v>
      </c>
      <c r="G67" s="69"/>
      <c r="H67" s="69" t="s">
        <v>709</v>
      </c>
      <c r="I67" s="69" t="s">
        <v>710</v>
      </c>
      <c r="J67" s="69" t="s">
        <v>711</v>
      </c>
      <c r="K67" s="580" t="s">
        <v>712</v>
      </c>
      <c r="L67" s="69" t="s">
        <v>597</v>
      </c>
      <c r="M67" s="69"/>
      <c r="N67" s="69"/>
      <c r="O67" s="69"/>
      <c r="P67" s="683"/>
      <c r="Q67" s="683"/>
      <c r="R67" s="683"/>
    </row>
    <row r="68" spans="1:18" s="422" customFormat="1" ht="15" customHeight="1">
      <c r="A68" s="69">
        <v>95</v>
      </c>
      <c r="B68" s="69"/>
      <c r="C68" s="528" t="str">
        <f t="shared" si="2"/>
        <v>DİNÇER Kemal (Gras Savoye Turkey )</v>
      </c>
      <c r="D68" s="528" t="str">
        <f t="shared" si="3"/>
        <v/>
      </c>
      <c r="E68" s="677" t="s">
        <v>386</v>
      </c>
      <c r="F68" s="580" t="s">
        <v>592</v>
      </c>
      <c r="G68" s="580"/>
      <c r="H68" s="69" t="s">
        <v>713</v>
      </c>
      <c r="I68" s="69" t="s">
        <v>714</v>
      </c>
      <c r="J68" s="74" t="s">
        <v>715</v>
      </c>
      <c r="K68" s="580" t="s">
        <v>716</v>
      </c>
      <c r="L68" s="69" t="s">
        <v>624</v>
      </c>
      <c r="M68" s="76" t="s">
        <v>717</v>
      </c>
      <c r="N68" s="77" t="s">
        <v>392</v>
      </c>
      <c r="O68" s="77" t="s">
        <v>718</v>
      </c>
      <c r="P68" s="680"/>
      <c r="Q68" s="680"/>
      <c r="R68" s="680"/>
    </row>
    <row r="69" spans="1:18" s="422" customFormat="1" ht="15" customHeight="1">
      <c r="A69" s="69">
        <v>220</v>
      </c>
      <c r="B69" s="69"/>
      <c r="C69" s="528" t="str">
        <f t="shared" ref="C69:C132" si="4">IF(F69="MASTER",H69&amp;" "&amp;I69&amp;" ("&amp;E69&amp;")","")</f>
        <v/>
      </c>
      <c r="D69" s="528" t="str">
        <f t="shared" ref="D69:D132" si="5">IF(F69="MASTER","",H69&amp;" "&amp;I69&amp;" ("&amp;E69&amp;")")</f>
        <v>DOLLING Rob (VERPEKA Yacht Brokerage)</v>
      </c>
      <c r="E69" s="76" t="s">
        <v>567</v>
      </c>
      <c r="F69" s="580" t="s">
        <v>1159</v>
      </c>
      <c r="G69" s="580"/>
      <c r="H69" s="69" t="s">
        <v>719</v>
      </c>
      <c r="I69" s="69" t="s">
        <v>720</v>
      </c>
      <c r="J69" s="580" t="s">
        <v>721</v>
      </c>
      <c r="K69" s="580"/>
      <c r="L69" s="69" t="s">
        <v>624</v>
      </c>
      <c r="M69" s="580" t="s">
        <v>569</v>
      </c>
      <c r="N69" s="580"/>
      <c r="O69" s="580"/>
    </row>
    <row r="70" spans="1:18" s="422" customFormat="1" ht="15" customHeight="1">
      <c r="A70" s="580">
        <v>45</v>
      </c>
      <c r="B70" s="580">
        <v>23</v>
      </c>
      <c r="C70" s="528" t="str">
        <f t="shared" si="4"/>
        <v/>
      </c>
      <c r="D70" s="528" t="str">
        <f t="shared" si="5"/>
        <v>DRZEWIECKI Wojciech (Bourbon Offshore Greenmar)</v>
      </c>
      <c r="E70" s="580" t="s">
        <v>759</v>
      </c>
      <c r="F70" s="580" t="s">
        <v>1159</v>
      </c>
      <c r="G70" s="580"/>
      <c r="H70" s="580" t="s">
        <v>1333</v>
      </c>
      <c r="I70" s="580" t="s">
        <v>1334</v>
      </c>
      <c r="J70" s="580" t="s">
        <v>1335</v>
      </c>
      <c r="K70" s="580" t="s">
        <v>1336</v>
      </c>
      <c r="L70" s="69"/>
      <c r="M70" s="580"/>
      <c r="N70" s="580"/>
      <c r="O70" s="580"/>
    </row>
    <row r="71" spans="1:18" s="422" customFormat="1" ht="15" customHeight="1">
      <c r="A71" s="69">
        <v>191</v>
      </c>
      <c r="B71" s="580"/>
      <c r="C71" s="528" t="str">
        <f t="shared" si="4"/>
        <v>DUMAS Aurélie (SUD EUROCOURTAGE)</v>
      </c>
      <c r="D71" s="528" t="str">
        <f t="shared" si="5"/>
        <v/>
      </c>
      <c r="E71" s="551" t="s">
        <v>546</v>
      </c>
      <c r="F71" s="580" t="s">
        <v>592</v>
      </c>
      <c r="G71" s="69"/>
      <c r="H71" s="580" t="s">
        <v>722</v>
      </c>
      <c r="I71" s="580" t="s">
        <v>723</v>
      </c>
      <c r="J71" s="580" t="s">
        <v>724</v>
      </c>
      <c r="K71" s="580" t="s">
        <v>725</v>
      </c>
      <c r="L71" s="69" t="s">
        <v>597</v>
      </c>
      <c r="M71" s="69" t="s">
        <v>726</v>
      </c>
      <c r="N71" s="69" t="s">
        <v>727</v>
      </c>
      <c r="O71" s="69" t="s">
        <v>728</v>
      </c>
      <c r="P71" s="683"/>
      <c r="Q71" s="683"/>
      <c r="R71" s="683"/>
    </row>
    <row r="72" spans="1:18" s="422" customFormat="1" ht="15" customHeight="1">
      <c r="A72" s="580">
        <v>24</v>
      </c>
      <c r="B72" s="69"/>
      <c r="C72" s="528" t="str">
        <f t="shared" si="4"/>
        <v>Dumesnil François (AXA Agences Dumesnil )</v>
      </c>
      <c r="D72" s="528" t="str">
        <f t="shared" si="5"/>
        <v/>
      </c>
      <c r="E72" s="677" t="s">
        <v>284</v>
      </c>
      <c r="F72" s="580" t="s">
        <v>592</v>
      </c>
      <c r="G72" s="580"/>
      <c r="H72" s="580" t="s">
        <v>729</v>
      </c>
      <c r="I72" s="580" t="s">
        <v>730</v>
      </c>
      <c r="J72" s="580" t="s">
        <v>731</v>
      </c>
      <c r="K72" s="580" t="s">
        <v>732</v>
      </c>
      <c r="L72" s="69"/>
      <c r="M72" s="78">
        <v>33493343832</v>
      </c>
      <c r="N72" s="580"/>
      <c r="O72" s="580"/>
      <c r="P72" s="83"/>
      <c r="Q72" s="83"/>
      <c r="R72" s="83"/>
    </row>
    <row r="73" spans="1:18" s="422" customFormat="1" ht="15" customHeight="1">
      <c r="A73" s="580">
        <v>144</v>
      </c>
      <c r="B73" s="580">
        <v>60</v>
      </c>
      <c r="C73" s="528" t="str">
        <f t="shared" si="4"/>
        <v/>
      </c>
      <c r="D73" s="528" t="str">
        <f t="shared" si="5"/>
        <v>DUREPAIRE Damien (MW AFRITEC)</v>
      </c>
      <c r="E73" s="580" t="s">
        <v>1664</v>
      </c>
      <c r="F73" s="580" t="s">
        <v>1171</v>
      </c>
      <c r="G73" s="580"/>
      <c r="H73" s="580" t="s">
        <v>1337</v>
      </c>
      <c r="I73" s="580" t="s">
        <v>1338</v>
      </c>
      <c r="J73" s="580" t="s">
        <v>1339</v>
      </c>
      <c r="K73" s="580" t="s">
        <v>1340</v>
      </c>
      <c r="L73" s="69" t="s">
        <v>597</v>
      </c>
      <c r="M73" s="580"/>
      <c r="N73" s="580"/>
      <c r="O73" s="580"/>
    </row>
    <row r="74" spans="1:18" s="422" customFormat="1" ht="15" customHeight="1">
      <c r="A74" s="69">
        <v>182</v>
      </c>
      <c r="B74" s="580">
        <v>87</v>
      </c>
      <c r="C74" s="528" t="str">
        <f t="shared" si="4"/>
        <v/>
      </c>
      <c r="D74" s="528" t="str">
        <f t="shared" si="5"/>
        <v>EHRARDT Jéremy (Seazen II Loisirs)</v>
      </c>
      <c r="E74" s="580" t="s">
        <v>1341</v>
      </c>
      <c r="F74" s="580" t="s">
        <v>1171</v>
      </c>
      <c r="G74" s="580"/>
      <c r="H74" s="580" t="s">
        <v>1342</v>
      </c>
      <c r="I74" s="580" t="s">
        <v>1343</v>
      </c>
      <c r="J74" s="580" t="s">
        <v>1344</v>
      </c>
      <c r="K74" s="580" t="s">
        <v>1345</v>
      </c>
      <c r="L74" s="69"/>
      <c r="M74" s="580"/>
      <c r="N74" s="580"/>
      <c r="O74" s="580"/>
    </row>
    <row r="75" spans="1:18" s="422" customFormat="1" ht="15" customHeight="1">
      <c r="A75" s="69">
        <v>152</v>
      </c>
      <c r="B75" s="69"/>
      <c r="C75" s="528" t="str">
        <f t="shared" si="4"/>
        <v>EL HAMMAL  Hanadi (Nasco France)</v>
      </c>
      <c r="D75" s="528" t="str">
        <f t="shared" si="5"/>
        <v/>
      </c>
      <c r="E75" s="69" t="s">
        <v>2462</v>
      </c>
      <c r="F75" s="580" t="s">
        <v>592</v>
      </c>
      <c r="G75" s="69"/>
      <c r="H75" s="69" t="s">
        <v>733</v>
      </c>
      <c r="I75" s="69" t="s">
        <v>734</v>
      </c>
      <c r="J75" s="69" t="s">
        <v>735</v>
      </c>
      <c r="K75" s="580" t="s">
        <v>736</v>
      </c>
      <c r="L75" s="69" t="s">
        <v>597</v>
      </c>
      <c r="M75" s="69" t="s">
        <v>737</v>
      </c>
      <c r="N75" s="69" t="s">
        <v>738</v>
      </c>
      <c r="O75" s="69" t="s">
        <v>739</v>
      </c>
      <c r="P75" s="683"/>
      <c r="Q75" s="683"/>
      <c r="R75" s="683"/>
    </row>
    <row r="76" spans="1:18" s="422" customFormat="1" ht="15" customHeight="1">
      <c r="A76" s="580">
        <v>153</v>
      </c>
      <c r="B76" s="580"/>
      <c r="C76" s="528" t="str">
        <f t="shared" si="4"/>
        <v>EL HOSS Bilal (Nasco France)</v>
      </c>
      <c r="D76" s="528" t="str">
        <f t="shared" si="5"/>
        <v/>
      </c>
      <c r="E76" s="69" t="s">
        <v>2462</v>
      </c>
      <c r="F76" s="580" t="s">
        <v>592</v>
      </c>
      <c r="G76" s="580"/>
      <c r="H76" s="580" t="s">
        <v>740</v>
      </c>
      <c r="I76" s="580" t="s">
        <v>741</v>
      </c>
      <c r="J76" s="580" t="s">
        <v>742</v>
      </c>
      <c r="K76" s="580" t="s">
        <v>743</v>
      </c>
      <c r="L76" s="69" t="s">
        <v>597</v>
      </c>
      <c r="M76" s="580" t="s">
        <v>744</v>
      </c>
      <c r="N76" s="580"/>
      <c r="O76" s="580" t="s">
        <v>745</v>
      </c>
      <c r="P76" s="683"/>
      <c r="Q76" s="683"/>
      <c r="R76" s="683"/>
    </row>
    <row r="77" spans="1:18" s="422" customFormat="1" ht="15" customHeight="1">
      <c r="A77" s="69">
        <v>166</v>
      </c>
      <c r="B77" s="580"/>
      <c r="C77" s="528" t="str">
        <f t="shared" si="4"/>
        <v>ESPINOZA Matteo (ONLYYACHT MONACO)</v>
      </c>
      <c r="D77" s="528" t="str">
        <f t="shared" si="5"/>
        <v/>
      </c>
      <c r="E77" s="677" t="s">
        <v>502</v>
      </c>
      <c r="F77" s="580" t="s">
        <v>592</v>
      </c>
      <c r="G77" s="580"/>
      <c r="H77" s="580" t="s">
        <v>746</v>
      </c>
      <c r="I77" s="580" t="s">
        <v>747</v>
      </c>
      <c r="J77" s="580" t="s">
        <v>748</v>
      </c>
      <c r="K77" s="580" t="s">
        <v>749</v>
      </c>
      <c r="L77" s="69" t="s">
        <v>597</v>
      </c>
      <c r="M77" s="580"/>
      <c r="N77" s="580"/>
      <c r="O77" s="580"/>
      <c r="P77" s="683"/>
      <c r="Q77" s="683"/>
      <c r="R77" s="683"/>
    </row>
    <row r="78" spans="1:18" s="422" customFormat="1" ht="15" customHeight="1">
      <c r="A78" s="69">
        <v>167</v>
      </c>
      <c r="B78" s="69"/>
      <c r="C78" s="528" t="str">
        <f t="shared" si="4"/>
        <v/>
      </c>
      <c r="D78" s="528" t="str">
        <f t="shared" si="5"/>
        <v>ESPINOZA  Matteo (ONLYYACHT MONACO)</v>
      </c>
      <c r="E78" s="76" t="s">
        <v>502</v>
      </c>
      <c r="F78" s="580" t="s">
        <v>1159</v>
      </c>
      <c r="G78" s="69"/>
      <c r="H78" s="69" t="s">
        <v>750</v>
      </c>
      <c r="I78" s="69" t="s">
        <v>747</v>
      </c>
      <c r="J78" s="69" t="s">
        <v>748</v>
      </c>
      <c r="K78" s="69"/>
      <c r="L78" s="69" t="s">
        <v>597</v>
      </c>
      <c r="M78" s="69"/>
      <c r="N78" s="69"/>
      <c r="O78" s="69"/>
    </row>
    <row r="79" spans="1:18" s="422" customFormat="1" ht="15" customHeight="1">
      <c r="A79" s="580">
        <v>123</v>
      </c>
      <c r="B79" s="277"/>
      <c r="C79" s="528" t="str">
        <f t="shared" si="4"/>
        <v/>
      </c>
      <c r="D79" s="528" t="str">
        <f t="shared" si="5"/>
        <v>FADDA Lydie (M1 Management)</v>
      </c>
      <c r="E79" s="580" t="s">
        <v>751</v>
      </c>
      <c r="F79" s="277" t="s">
        <v>1159</v>
      </c>
      <c r="G79" s="277"/>
      <c r="H79" s="277" t="s">
        <v>752</v>
      </c>
      <c r="I79" s="277" t="s">
        <v>753</v>
      </c>
      <c r="J79" s="70" t="s">
        <v>754</v>
      </c>
      <c r="K79" s="277"/>
      <c r="L79" s="69" t="s">
        <v>597</v>
      </c>
      <c r="M79" s="277" t="s">
        <v>1724</v>
      </c>
      <c r="N79" s="277"/>
      <c r="O79" s="277" t="s">
        <v>1724</v>
      </c>
    </row>
    <row r="80" spans="1:18" s="422" customFormat="1" ht="15" customHeight="1">
      <c r="A80" s="580">
        <v>81</v>
      </c>
      <c r="B80" s="69"/>
      <c r="C80" s="528" t="str">
        <f t="shared" si="4"/>
        <v/>
      </c>
      <c r="D80" s="528" t="str">
        <f t="shared" si="5"/>
        <v>FARIS Rafat B. (Fenchurch Faris Ltd)</v>
      </c>
      <c r="E80" s="76" t="s">
        <v>362</v>
      </c>
      <c r="F80" s="580" t="s">
        <v>1159</v>
      </c>
      <c r="G80" s="580"/>
      <c r="H80" s="69" t="s">
        <v>755</v>
      </c>
      <c r="I80" s="69" t="s">
        <v>756</v>
      </c>
      <c r="J80" s="74" t="s">
        <v>757</v>
      </c>
      <c r="K80" s="74"/>
      <c r="L80" s="69" t="s">
        <v>624</v>
      </c>
      <c r="M80" s="580" t="s">
        <v>367</v>
      </c>
      <c r="N80" s="580" t="s">
        <v>368</v>
      </c>
      <c r="O80" s="580" t="s">
        <v>758</v>
      </c>
    </row>
    <row r="81" spans="1:18" s="422" customFormat="1" ht="15" customHeight="1">
      <c r="A81" s="69">
        <v>31</v>
      </c>
      <c r="B81" s="580">
        <v>66</v>
      </c>
      <c r="C81" s="528" t="str">
        <f t="shared" si="4"/>
        <v/>
      </c>
      <c r="D81" s="528" t="str">
        <f t="shared" si="5"/>
        <v>FARMER James (Bluepin Ltd-A and A)</v>
      </c>
      <c r="E81" s="580" t="s">
        <v>1346</v>
      </c>
      <c r="F81" s="580" t="s">
        <v>1171</v>
      </c>
      <c r="G81" s="580"/>
      <c r="H81" s="580" t="s">
        <v>1347</v>
      </c>
      <c r="I81" s="580" t="s">
        <v>1348</v>
      </c>
      <c r="J81" s="580" t="s">
        <v>1349</v>
      </c>
      <c r="K81" s="580" t="s">
        <v>1350</v>
      </c>
      <c r="L81" s="69"/>
      <c r="M81" s="580"/>
      <c r="N81" s="580"/>
      <c r="O81" s="580"/>
    </row>
    <row r="82" spans="1:18" s="422" customFormat="1" ht="15" customHeight="1">
      <c r="A82" s="69">
        <v>46</v>
      </c>
      <c r="B82" s="580">
        <v>23</v>
      </c>
      <c r="C82" s="528" t="str">
        <f t="shared" si="4"/>
        <v/>
      </c>
      <c r="D82" s="528" t="str">
        <f t="shared" si="5"/>
        <v>FARRAS Marc (Bourbon Offshore Greenmar)</v>
      </c>
      <c r="E82" s="580" t="s">
        <v>759</v>
      </c>
      <c r="F82" s="580" t="s">
        <v>1159</v>
      </c>
      <c r="G82" s="580"/>
      <c r="H82" s="580" t="s">
        <v>762</v>
      </c>
      <c r="I82" s="580" t="s">
        <v>763</v>
      </c>
      <c r="J82" s="580" t="s">
        <v>764</v>
      </c>
      <c r="K82" s="580" t="s">
        <v>765</v>
      </c>
      <c r="L82" s="69"/>
      <c r="M82" s="580"/>
      <c r="N82" s="580"/>
      <c r="O82" s="580"/>
    </row>
    <row r="83" spans="1:18" s="422" customFormat="1" ht="15" customHeight="1">
      <c r="A83" s="69">
        <v>175</v>
      </c>
      <c r="B83" s="580"/>
      <c r="C83" s="528" t="str">
        <f t="shared" si="4"/>
        <v/>
      </c>
      <c r="D83" s="528" t="str">
        <f t="shared" si="5"/>
        <v>FERRERO Isabelle (Remo Marine Services SA)</v>
      </c>
      <c r="E83" s="580" t="s">
        <v>1059</v>
      </c>
      <c r="F83" s="580" t="s">
        <v>1159</v>
      </c>
      <c r="G83" s="580"/>
      <c r="H83" s="580" t="s">
        <v>1351</v>
      </c>
      <c r="I83" s="580" t="s">
        <v>1352</v>
      </c>
      <c r="J83" s="580" t="s">
        <v>1353</v>
      </c>
      <c r="K83" s="580" t="s">
        <v>1354</v>
      </c>
      <c r="L83" s="69"/>
      <c r="M83" s="580" t="s">
        <v>1062</v>
      </c>
      <c r="N83" s="580"/>
      <c r="O83" s="580"/>
    </row>
    <row r="84" spans="1:18" s="422" customFormat="1" ht="15" customHeight="1">
      <c r="A84" s="69">
        <v>55</v>
      </c>
      <c r="B84" s="580">
        <v>0</v>
      </c>
      <c r="C84" s="528" t="str">
        <f t="shared" si="4"/>
        <v/>
      </c>
      <c r="D84" s="528" t="str">
        <f t="shared" si="5"/>
        <v>FILIPPI CHRISTOPHE (C314 Management)</v>
      </c>
      <c r="E84" s="580" t="s">
        <v>1355</v>
      </c>
      <c r="F84" s="580" t="s">
        <v>1171</v>
      </c>
      <c r="G84" s="580"/>
      <c r="H84" s="580" t="s">
        <v>1357</v>
      </c>
      <c r="I84" s="580" t="s">
        <v>1358</v>
      </c>
      <c r="J84" s="580" t="s">
        <v>1359</v>
      </c>
      <c r="K84" s="580" t="s">
        <v>1360</v>
      </c>
      <c r="L84" s="69"/>
      <c r="M84" s="580"/>
      <c r="N84" s="580"/>
      <c r="O84" s="580">
        <v>677837846</v>
      </c>
    </row>
    <row r="85" spans="1:18" s="422" customFormat="1" ht="15" customHeight="1">
      <c r="A85" s="69">
        <v>65</v>
      </c>
      <c r="B85" s="69"/>
      <c r="C85" s="528" t="str">
        <f t="shared" si="4"/>
        <v>FLEURIET Michel (CMC Assurances)</v>
      </c>
      <c r="D85" s="528" t="str">
        <f t="shared" si="5"/>
        <v/>
      </c>
      <c r="E85" s="580" t="s">
        <v>766</v>
      </c>
      <c r="F85" s="580" t="s">
        <v>592</v>
      </c>
      <c r="G85" s="580"/>
      <c r="H85" s="580" t="s">
        <v>767</v>
      </c>
      <c r="I85" s="580" t="s">
        <v>768</v>
      </c>
      <c r="J85" s="580" t="s">
        <v>769</v>
      </c>
      <c r="K85" s="580" t="s">
        <v>770</v>
      </c>
      <c r="L85" s="69" t="s">
        <v>597</v>
      </c>
      <c r="M85" s="580" t="s">
        <v>771</v>
      </c>
      <c r="N85" s="580"/>
      <c r="O85" s="580"/>
      <c r="P85" s="83"/>
      <c r="Q85" s="83"/>
      <c r="R85" s="83"/>
    </row>
    <row r="86" spans="1:18" s="422" customFormat="1" ht="15" customHeight="1">
      <c r="A86" s="69">
        <v>109</v>
      </c>
      <c r="B86" s="69"/>
      <c r="C86" s="528" t="str">
        <f t="shared" si="4"/>
        <v>FLOURNOY Charles (John L. Wortham &amp; Son, L.P.)</v>
      </c>
      <c r="D86" s="528" t="str">
        <f t="shared" si="5"/>
        <v/>
      </c>
      <c r="E86" s="580" t="s">
        <v>574</v>
      </c>
      <c r="F86" s="580" t="s">
        <v>592</v>
      </c>
      <c r="G86" s="580"/>
      <c r="H86" s="580" t="s">
        <v>1137</v>
      </c>
      <c r="I86" s="580" t="s">
        <v>1138</v>
      </c>
      <c r="J86" s="676" t="s">
        <v>1139</v>
      </c>
      <c r="K86" s="580"/>
      <c r="L86" s="69" t="s">
        <v>597</v>
      </c>
      <c r="M86" s="580" t="s">
        <v>1140</v>
      </c>
      <c r="N86" s="580" t="s">
        <v>1141</v>
      </c>
      <c r="O86" s="580" t="s">
        <v>1142</v>
      </c>
      <c r="P86" s="680"/>
      <c r="Q86" s="680"/>
      <c r="R86" s="680"/>
    </row>
    <row r="87" spans="1:18" s="422" customFormat="1" ht="15" customHeight="1">
      <c r="A87" s="69">
        <v>47</v>
      </c>
      <c r="B87" s="69"/>
      <c r="C87" s="528" t="str">
        <f t="shared" si="4"/>
        <v>FORFERT Celine (Bourbon Offshore Greenmar)</v>
      </c>
      <c r="D87" s="528" t="str">
        <f t="shared" si="5"/>
        <v/>
      </c>
      <c r="E87" s="580" t="s">
        <v>759</v>
      </c>
      <c r="F87" s="580" t="s">
        <v>592</v>
      </c>
      <c r="G87" s="580"/>
      <c r="H87" s="580" t="s">
        <v>772</v>
      </c>
      <c r="I87" s="580" t="s">
        <v>773</v>
      </c>
      <c r="J87" s="580" t="s">
        <v>774</v>
      </c>
      <c r="K87" s="580" t="s">
        <v>775</v>
      </c>
      <c r="L87" s="69"/>
      <c r="M87" s="580"/>
      <c r="N87" s="580"/>
      <c r="O87" s="580"/>
      <c r="P87" s="83"/>
      <c r="Q87" s="83"/>
      <c r="R87" s="83"/>
    </row>
    <row r="88" spans="1:18" s="422" customFormat="1" ht="15" customHeight="1">
      <c r="A88" s="580">
        <v>12</v>
      </c>
      <c r="B88" s="580"/>
      <c r="C88" s="528" t="str">
        <f t="shared" si="4"/>
        <v>FOURNIER Jean David (April Marine)</v>
      </c>
      <c r="D88" s="528" t="str">
        <f t="shared" si="5"/>
        <v/>
      </c>
      <c r="E88" s="580" t="s">
        <v>628</v>
      </c>
      <c r="F88" s="580" t="s">
        <v>592</v>
      </c>
      <c r="G88" s="580"/>
      <c r="H88" s="580" t="s">
        <v>776</v>
      </c>
      <c r="I88" s="580" t="s">
        <v>777</v>
      </c>
      <c r="J88" s="580" t="s">
        <v>778</v>
      </c>
      <c r="K88" s="580" t="s">
        <v>779</v>
      </c>
      <c r="L88" s="69" t="s">
        <v>597</v>
      </c>
      <c r="M88" s="580" t="s">
        <v>632</v>
      </c>
      <c r="N88" s="580"/>
      <c r="O88" s="580"/>
      <c r="P88" s="83"/>
      <c r="Q88" s="83"/>
      <c r="R88" s="83"/>
    </row>
    <row r="89" spans="1:18" s="422" customFormat="1" ht="15" customHeight="1">
      <c r="A89" s="69">
        <v>136</v>
      </c>
      <c r="B89" s="69"/>
      <c r="C89" s="528" t="str">
        <f t="shared" si="4"/>
        <v>FOURNIER  David (MER &amp; YACHT ASSURANCE)</v>
      </c>
      <c r="D89" s="528" t="str">
        <f t="shared" si="5"/>
        <v/>
      </c>
      <c r="E89" s="580" t="s">
        <v>464</v>
      </c>
      <c r="F89" s="580" t="s">
        <v>592</v>
      </c>
      <c r="G89" s="580"/>
      <c r="H89" s="580" t="s">
        <v>780</v>
      </c>
      <c r="I89" s="580" t="s">
        <v>781</v>
      </c>
      <c r="J89" s="74" t="s">
        <v>782</v>
      </c>
      <c r="K89" s="580" t="s">
        <v>783</v>
      </c>
      <c r="L89" s="69" t="s">
        <v>597</v>
      </c>
      <c r="M89" s="580"/>
      <c r="N89" s="580"/>
      <c r="O89" s="580" t="s">
        <v>466</v>
      </c>
      <c r="P89" s="683"/>
      <c r="Q89" s="683"/>
      <c r="R89" s="683"/>
    </row>
    <row r="90" spans="1:18" s="422" customFormat="1" ht="15" customHeight="1">
      <c r="A90" s="69">
        <v>77</v>
      </c>
      <c r="B90" s="69"/>
      <c r="C90" s="528" t="str">
        <f t="shared" si="4"/>
        <v>GALIBERT Philippe (EYSSAUTIER)</v>
      </c>
      <c r="D90" s="528" t="str">
        <f t="shared" si="5"/>
        <v/>
      </c>
      <c r="E90" s="580" t="s">
        <v>616</v>
      </c>
      <c r="F90" s="580" t="s">
        <v>592</v>
      </c>
      <c r="G90" s="69"/>
      <c r="H90" s="580" t="s">
        <v>787</v>
      </c>
      <c r="I90" s="580" t="s">
        <v>788</v>
      </c>
      <c r="J90" s="580" t="s">
        <v>789</v>
      </c>
      <c r="K90" s="580" t="s">
        <v>790</v>
      </c>
      <c r="L90" s="69" t="s">
        <v>597</v>
      </c>
      <c r="M90" s="69" t="s">
        <v>791</v>
      </c>
      <c r="N90" s="69" t="s">
        <v>792</v>
      </c>
      <c r="O90" s="69" t="s">
        <v>793</v>
      </c>
      <c r="P90" s="83"/>
      <c r="Q90" s="83"/>
      <c r="R90" s="83"/>
    </row>
    <row r="91" spans="1:18" s="422" customFormat="1" ht="15" customHeight="1">
      <c r="A91" s="580">
        <v>192</v>
      </c>
      <c r="B91" s="69"/>
      <c r="C91" s="528" t="str">
        <f t="shared" si="4"/>
        <v>GARD Clarisse (SUD EUROCOURTAGE)</v>
      </c>
      <c r="D91" s="528" t="str">
        <f t="shared" si="5"/>
        <v/>
      </c>
      <c r="E91" s="551" t="s">
        <v>546</v>
      </c>
      <c r="F91" s="580" t="s">
        <v>592</v>
      </c>
      <c r="G91" s="580"/>
      <c r="H91" s="69" t="s">
        <v>794</v>
      </c>
      <c r="I91" s="69" t="s">
        <v>795</v>
      </c>
      <c r="J91" s="74" t="s">
        <v>796</v>
      </c>
      <c r="K91" s="580" t="s">
        <v>797</v>
      </c>
      <c r="L91" s="69" t="s">
        <v>597</v>
      </c>
      <c r="M91" s="74" t="s">
        <v>798</v>
      </c>
      <c r="N91" s="580" t="s">
        <v>799</v>
      </c>
      <c r="O91" s="580"/>
      <c r="P91" s="683"/>
      <c r="Q91" s="683"/>
      <c r="R91" s="683"/>
    </row>
    <row r="92" spans="1:18" s="422" customFormat="1" ht="15" customHeight="1">
      <c r="A92" s="69">
        <v>62</v>
      </c>
      <c r="B92" s="69"/>
      <c r="C92" s="528" t="str">
        <f t="shared" si="4"/>
        <v>GEAGEA Michael (CLOVER BROKERS )</v>
      </c>
      <c r="D92" s="528" t="str">
        <f t="shared" si="5"/>
        <v/>
      </c>
      <c r="E92" s="677" t="s">
        <v>309</v>
      </c>
      <c r="F92" s="580" t="s">
        <v>592</v>
      </c>
      <c r="G92" s="580"/>
      <c r="H92" s="580" t="s">
        <v>800</v>
      </c>
      <c r="I92" s="580" t="s">
        <v>655</v>
      </c>
      <c r="J92" s="580" t="s">
        <v>801</v>
      </c>
      <c r="K92" s="580" t="s">
        <v>657</v>
      </c>
      <c r="L92" s="69"/>
      <c r="M92" s="580"/>
      <c r="N92" s="580"/>
      <c r="O92" s="580"/>
      <c r="P92" s="83"/>
      <c r="Q92" s="83"/>
      <c r="R92" s="83"/>
    </row>
    <row r="93" spans="1:18" s="422" customFormat="1" ht="15" customHeight="1">
      <c r="A93" s="69">
        <v>206</v>
      </c>
      <c r="B93" s="580">
        <v>69</v>
      </c>
      <c r="C93" s="528" t="str">
        <f t="shared" si="4"/>
        <v/>
      </c>
      <c r="D93" s="528" t="str">
        <f t="shared" si="5"/>
        <v>GEHIN Brigitte (THIERRY VOISIN)</v>
      </c>
      <c r="E93" s="580" t="s">
        <v>1361</v>
      </c>
      <c r="F93" s="580" t="s">
        <v>1159</v>
      </c>
      <c r="G93" s="69" t="s">
        <v>1324</v>
      </c>
      <c r="H93" s="580" t="s">
        <v>1362</v>
      </c>
      <c r="I93" s="580" t="s">
        <v>1363</v>
      </c>
      <c r="J93" s="69" t="s">
        <v>1364</v>
      </c>
      <c r="K93" s="580" t="s">
        <v>1365</v>
      </c>
      <c r="L93" s="69" t="s">
        <v>597</v>
      </c>
      <c r="M93" s="69" t="s">
        <v>1366</v>
      </c>
      <c r="N93" s="69" t="s">
        <v>1367</v>
      </c>
      <c r="O93" s="580"/>
    </row>
    <row r="94" spans="1:18" s="422" customFormat="1" ht="15" customHeight="1">
      <c r="A94" s="69">
        <v>86</v>
      </c>
      <c r="B94" s="69"/>
      <c r="C94" s="528" t="str">
        <f t="shared" si="4"/>
        <v>GERVAIS Thierry (GAN EUROCOURTAGE)</v>
      </c>
      <c r="D94" s="528" t="str">
        <f t="shared" si="5"/>
        <v/>
      </c>
      <c r="E94" s="69" t="s">
        <v>802</v>
      </c>
      <c r="F94" s="580" t="s">
        <v>592</v>
      </c>
      <c r="G94" s="69" t="s">
        <v>807</v>
      </c>
      <c r="H94" s="69" t="s">
        <v>804</v>
      </c>
      <c r="I94" s="69" t="s">
        <v>805</v>
      </c>
      <c r="J94" s="72" t="s">
        <v>806</v>
      </c>
      <c r="K94" s="72"/>
      <c r="L94" s="69" t="s">
        <v>624</v>
      </c>
      <c r="M94" s="69" t="s">
        <v>808</v>
      </c>
      <c r="N94" s="69"/>
      <c r="O94" s="69" t="s">
        <v>809</v>
      </c>
      <c r="P94" s="680"/>
      <c r="Q94" s="680"/>
      <c r="R94" s="680"/>
    </row>
    <row r="95" spans="1:18" s="422" customFormat="1" ht="15" customHeight="1">
      <c r="A95" s="69">
        <v>53</v>
      </c>
      <c r="B95" s="580">
        <v>24</v>
      </c>
      <c r="C95" s="528" t="str">
        <f t="shared" si="4"/>
        <v/>
      </c>
      <c r="D95" s="528" t="str">
        <f t="shared" si="5"/>
        <v>GILHARD caroline (Burgess)</v>
      </c>
      <c r="E95" s="580" t="s">
        <v>305</v>
      </c>
      <c r="F95" s="580" t="s">
        <v>1159</v>
      </c>
      <c r="G95" s="69"/>
      <c r="H95" s="580" t="s">
        <v>1371</v>
      </c>
      <c r="I95" s="580" t="s">
        <v>1372</v>
      </c>
      <c r="J95" s="580" t="s">
        <v>1373</v>
      </c>
      <c r="K95" s="580" t="s">
        <v>1372</v>
      </c>
      <c r="L95" s="69" t="s">
        <v>597</v>
      </c>
      <c r="M95" s="580" t="s">
        <v>1374</v>
      </c>
      <c r="N95" s="580"/>
      <c r="O95" s="580"/>
    </row>
    <row r="96" spans="1:18" s="422" customFormat="1" ht="15" customHeight="1">
      <c r="A96" s="69">
        <v>163</v>
      </c>
      <c r="B96" s="580">
        <v>75</v>
      </c>
      <c r="C96" s="528" t="str">
        <f t="shared" si="4"/>
        <v/>
      </c>
      <c r="D96" s="528" t="str">
        <f t="shared" si="5"/>
        <v>GIRARDOT Jean-Pierre (Neymar investments LTD)</v>
      </c>
      <c r="E96" s="580" t="s">
        <v>1741</v>
      </c>
      <c r="F96" s="580" t="s">
        <v>1171</v>
      </c>
      <c r="G96" s="580"/>
      <c r="H96" s="580" t="s">
        <v>1368</v>
      </c>
      <c r="I96" s="580" t="s">
        <v>1330</v>
      </c>
      <c r="J96" s="580" t="s">
        <v>1369</v>
      </c>
      <c r="K96" s="580" t="s">
        <v>1370</v>
      </c>
      <c r="L96" s="69" t="s">
        <v>597</v>
      </c>
      <c r="M96" s="580"/>
      <c r="N96" s="580"/>
      <c r="O96" s="580"/>
    </row>
    <row r="97" spans="1:18" s="422" customFormat="1" ht="15" customHeight="1">
      <c r="A97" s="580">
        <v>48</v>
      </c>
      <c r="B97" s="69"/>
      <c r="C97" s="528" t="str">
        <f t="shared" si="4"/>
        <v>GIRAUD Samuel (Bourbon Offshore Greenmar)</v>
      </c>
      <c r="D97" s="528" t="str">
        <f t="shared" si="5"/>
        <v/>
      </c>
      <c r="E97" s="580" t="s">
        <v>759</v>
      </c>
      <c r="F97" s="580" t="s">
        <v>592</v>
      </c>
      <c r="G97" s="580"/>
      <c r="H97" s="580" t="s">
        <v>810</v>
      </c>
      <c r="I97" s="580" t="s">
        <v>811</v>
      </c>
      <c r="J97" s="580" t="s">
        <v>812</v>
      </c>
      <c r="K97" s="580" t="s">
        <v>813</v>
      </c>
      <c r="L97" s="69"/>
      <c r="M97" s="580"/>
      <c r="N97" s="580"/>
      <c r="O97" s="580"/>
      <c r="P97" s="83"/>
      <c r="Q97" s="83"/>
      <c r="R97" s="83"/>
    </row>
    <row r="98" spans="1:18" s="422" customFormat="1" ht="15" customHeight="1">
      <c r="A98" s="69">
        <v>221</v>
      </c>
      <c r="B98" s="69"/>
      <c r="C98" s="528" t="str">
        <f t="shared" si="4"/>
        <v>GRAY Colin (WILSON EUROPE)</v>
      </c>
      <c r="D98" s="528" t="str">
        <f t="shared" si="5"/>
        <v/>
      </c>
      <c r="E98" s="76" t="s">
        <v>2470</v>
      </c>
      <c r="F98" s="580" t="s">
        <v>592</v>
      </c>
      <c r="G98" s="69"/>
      <c r="H98" s="69" t="s">
        <v>2526</v>
      </c>
      <c r="I98" s="69" t="s">
        <v>2527</v>
      </c>
      <c r="J98" s="678" t="s">
        <v>2528</v>
      </c>
      <c r="K98" s="580"/>
      <c r="L98" s="69" t="s">
        <v>597</v>
      </c>
      <c r="M98" s="78" t="s">
        <v>2529</v>
      </c>
      <c r="N98" s="580"/>
      <c r="O98" s="580" t="s">
        <v>2530</v>
      </c>
      <c r="P98" s="683"/>
      <c r="Q98" s="683"/>
      <c r="R98" s="683"/>
    </row>
    <row r="99" spans="1:18" s="422" customFormat="1" ht="15" customHeight="1">
      <c r="A99" s="69">
        <v>137</v>
      </c>
      <c r="B99" s="69"/>
      <c r="C99" s="528" t="str">
        <f t="shared" si="4"/>
        <v>GROS  Cedric (MERS &amp; RIVIERES )</v>
      </c>
      <c r="D99" s="528" t="str">
        <f t="shared" si="5"/>
        <v/>
      </c>
      <c r="E99" s="677" t="s">
        <v>468</v>
      </c>
      <c r="F99" s="580" t="s">
        <v>592</v>
      </c>
      <c r="G99" s="69"/>
      <c r="H99" s="69" t="s">
        <v>814</v>
      </c>
      <c r="I99" s="69" t="s">
        <v>815</v>
      </c>
      <c r="J99" s="71" t="s">
        <v>816</v>
      </c>
      <c r="K99" s="580" t="s">
        <v>817</v>
      </c>
      <c r="L99" s="69" t="s">
        <v>597</v>
      </c>
      <c r="M99" s="580" t="s">
        <v>818</v>
      </c>
      <c r="N99" s="69"/>
      <c r="O99" s="69"/>
      <c r="P99" s="683"/>
      <c r="Q99" s="683"/>
      <c r="R99" s="683"/>
    </row>
    <row r="100" spans="1:18" s="422" customFormat="1" ht="15" customHeight="1">
      <c r="A100" s="69">
        <v>100</v>
      </c>
      <c r="B100" s="69"/>
      <c r="C100" s="528" t="str">
        <f t="shared" si="4"/>
        <v/>
      </c>
      <c r="D100" s="528" t="str">
        <f t="shared" si="5"/>
        <v>GRUNBERG Guillaume (ICS)</v>
      </c>
      <c r="E100" s="76" t="s">
        <v>404</v>
      </c>
      <c r="F100" s="69" t="s">
        <v>1376</v>
      </c>
      <c r="G100" s="580"/>
      <c r="H100" s="69" t="s">
        <v>1145</v>
      </c>
      <c r="I100" s="69" t="s">
        <v>1146</v>
      </c>
      <c r="J100" s="74" t="s">
        <v>1375</v>
      </c>
      <c r="K100" s="74"/>
      <c r="L100" s="69" t="s">
        <v>597</v>
      </c>
      <c r="M100" s="580"/>
      <c r="N100" s="580"/>
      <c r="O100" s="69" t="s">
        <v>1377</v>
      </c>
    </row>
    <row r="101" spans="1:18" s="422" customFormat="1" ht="15" customHeight="1">
      <c r="A101" s="69">
        <v>241</v>
      </c>
      <c r="B101" s="580"/>
      <c r="C101" s="528" t="str">
        <f t="shared" si="4"/>
        <v>GRUNBERG Guillaume (FROLSON)</v>
      </c>
      <c r="D101" s="528" t="str">
        <f t="shared" si="5"/>
        <v/>
      </c>
      <c r="E101" s="771" t="s">
        <v>2604</v>
      </c>
      <c r="F101" s="580" t="s">
        <v>592</v>
      </c>
      <c r="G101" s="580"/>
      <c r="H101" s="69" t="s">
        <v>1145</v>
      </c>
      <c r="I101" s="69" t="s">
        <v>1146</v>
      </c>
      <c r="J101" s="676" t="s">
        <v>1147</v>
      </c>
      <c r="K101" s="580"/>
      <c r="L101" s="69" t="s">
        <v>597</v>
      </c>
      <c r="M101" s="580"/>
      <c r="N101" s="580"/>
      <c r="O101" s="580"/>
      <c r="P101" s="683"/>
      <c r="Q101" s="683"/>
      <c r="R101" s="683"/>
    </row>
    <row r="102" spans="1:18" s="422" customFormat="1" ht="15" customHeight="1">
      <c r="A102" s="69">
        <v>209</v>
      </c>
      <c r="B102" s="580">
        <v>72</v>
      </c>
      <c r="C102" s="528" t="str">
        <f t="shared" si="4"/>
        <v/>
      </c>
      <c r="D102" s="528" t="str">
        <f t="shared" si="5"/>
        <v>GUENEBEAUD Cédric (UNIQUE YACHTING MONACO  )</v>
      </c>
      <c r="E102" s="76" t="s">
        <v>1378</v>
      </c>
      <c r="F102" s="580" t="s">
        <v>1159</v>
      </c>
      <c r="G102" s="580"/>
      <c r="H102" s="580" t="s">
        <v>1380</v>
      </c>
      <c r="I102" s="580" t="s">
        <v>1381</v>
      </c>
      <c r="J102" s="580" t="s">
        <v>1382</v>
      </c>
      <c r="K102" s="580" t="s">
        <v>1383</v>
      </c>
      <c r="L102" s="69"/>
      <c r="M102" s="580"/>
      <c r="N102" s="580"/>
      <c r="O102" s="580"/>
    </row>
    <row r="103" spans="1:18" s="422" customFormat="1" ht="15" customHeight="1">
      <c r="A103" s="580">
        <v>111</v>
      </c>
      <c r="B103" s="69"/>
      <c r="C103" s="528" t="str">
        <f t="shared" si="4"/>
        <v>GUIDICI Sylvie (JOURDAN GASSIN Nice)</v>
      </c>
      <c r="D103" s="528" t="str">
        <f t="shared" si="5"/>
        <v/>
      </c>
      <c r="E103" s="69" t="s">
        <v>438</v>
      </c>
      <c r="F103" s="580" t="s">
        <v>592</v>
      </c>
      <c r="G103" s="580"/>
      <c r="H103" s="580" t="s">
        <v>819</v>
      </c>
      <c r="I103" s="580" t="s">
        <v>93</v>
      </c>
      <c r="J103" s="580" t="s">
        <v>820</v>
      </c>
      <c r="K103" s="580" t="s">
        <v>821</v>
      </c>
      <c r="L103" s="69" t="s">
        <v>597</v>
      </c>
      <c r="M103" s="580" t="s">
        <v>2507</v>
      </c>
      <c r="N103" s="580"/>
      <c r="O103" s="580"/>
      <c r="P103" s="683"/>
      <c r="Q103" s="683"/>
      <c r="R103" s="683"/>
    </row>
    <row r="104" spans="1:18" s="422" customFormat="1" ht="15" customHeight="1">
      <c r="A104" s="69">
        <v>94</v>
      </c>
      <c r="B104" s="69"/>
      <c r="C104" s="528" t="str">
        <f t="shared" si="4"/>
        <v>GUILLET Pascal (GRAS SAVOYE ASC)</v>
      </c>
      <c r="D104" s="528" t="str">
        <f t="shared" si="5"/>
        <v/>
      </c>
      <c r="E104" s="69" t="s">
        <v>822</v>
      </c>
      <c r="F104" s="580" t="s">
        <v>592</v>
      </c>
      <c r="G104" s="69" t="s">
        <v>829</v>
      </c>
      <c r="H104" s="69" t="s">
        <v>826</v>
      </c>
      <c r="I104" s="69" t="s">
        <v>827</v>
      </c>
      <c r="J104" s="71" t="s">
        <v>828</v>
      </c>
      <c r="K104" s="71"/>
      <c r="L104" s="69" t="s">
        <v>624</v>
      </c>
      <c r="M104" s="69" t="s">
        <v>830</v>
      </c>
      <c r="N104" s="69"/>
      <c r="O104" s="69" t="s">
        <v>831</v>
      </c>
      <c r="P104" s="680"/>
      <c r="Q104" s="680"/>
      <c r="R104" s="680"/>
    </row>
    <row r="105" spans="1:18" s="422" customFormat="1" ht="15" customHeight="1">
      <c r="A105" s="69">
        <v>199</v>
      </c>
      <c r="B105" s="69"/>
      <c r="C105" s="528" t="str">
        <f t="shared" si="4"/>
        <v>GUILLY  Emilie (SUISSCOURTAGE Monaco)</v>
      </c>
      <c r="D105" s="528" t="str">
        <f t="shared" si="5"/>
        <v/>
      </c>
      <c r="E105" s="677" t="s">
        <v>558</v>
      </c>
      <c r="F105" s="580" t="s">
        <v>592</v>
      </c>
      <c r="G105" s="69"/>
      <c r="H105" s="69" t="s">
        <v>832</v>
      </c>
      <c r="I105" s="69" t="s">
        <v>833</v>
      </c>
      <c r="J105" s="69" t="s">
        <v>834</v>
      </c>
      <c r="K105" s="580" t="s">
        <v>835</v>
      </c>
      <c r="L105" s="69" t="s">
        <v>597</v>
      </c>
      <c r="M105" s="580" t="s">
        <v>836</v>
      </c>
      <c r="N105" s="69"/>
      <c r="O105" s="69"/>
      <c r="P105" s="683"/>
      <c r="Q105" s="683"/>
      <c r="R105" s="683"/>
    </row>
    <row r="106" spans="1:18" s="422" customFormat="1" ht="15" customHeight="1">
      <c r="A106" s="580">
        <v>180</v>
      </c>
      <c r="B106" s="69"/>
      <c r="C106" s="528" t="str">
        <f t="shared" si="4"/>
        <v/>
      </c>
      <c r="D106" s="528" t="str">
        <f t="shared" si="5"/>
        <v>HAMILTON Kim (Sarnia Yachts Limited)</v>
      </c>
      <c r="E106" s="69" t="s">
        <v>1384</v>
      </c>
      <c r="F106" s="580" t="s">
        <v>1159</v>
      </c>
      <c r="G106" s="69" t="s">
        <v>1392</v>
      </c>
      <c r="H106" s="69" t="s">
        <v>1389</v>
      </c>
      <c r="I106" s="69" t="s">
        <v>1390</v>
      </c>
      <c r="J106" s="72" t="s">
        <v>1391</v>
      </c>
      <c r="K106" s="72"/>
      <c r="L106" s="69" t="s">
        <v>624</v>
      </c>
      <c r="M106" s="69" t="s">
        <v>1393</v>
      </c>
      <c r="N106" s="69" t="s">
        <v>1394</v>
      </c>
      <c r="O106" s="69" t="s">
        <v>1395</v>
      </c>
    </row>
    <row r="107" spans="1:18" s="422" customFormat="1" ht="15" customHeight="1">
      <c r="A107" s="69">
        <v>10</v>
      </c>
      <c r="B107" s="580">
        <v>14</v>
      </c>
      <c r="C107" s="528" t="str">
        <f t="shared" si="4"/>
        <v/>
      </c>
      <c r="D107" s="528" t="str">
        <f t="shared" si="5"/>
        <v>HARREL COURTES Guillaume (ANP)</v>
      </c>
      <c r="E107" s="580" t="s">
        <v>1305</v>
      </c>
      <c r="F107" s="580" t="s">
        <v>1159</v>
      </c>
      <c r="G107" s="580"/>
      <c r="H107" s="580" t="s">
        <v>1397</v>
      </c>
      <c r="I107" s="580" t="s">
        <v>1146</v>
      </c>
      <c r="J107" s="580" t="s">
        <v>1398</v>
      </c>
      <c r="K107" s="580" t="s">
        <v>1399</v>
      </c>
      <c r="L107" s="69" t="s">
        <v>597</v>
      </c>
      <c r="M107" s="580"/>
      <c r="N107" s="580"/>
      <c r="O107" s="580"/>
    </row>
    <row r="108" spans="1:18" s="422" customFormat="1" ht="15" customHeight="1">
      <c r="A108" s="69">
        <v>101</v>
      </c>
      <c r="B108" s="69"/>
      <c r="C108" s="528" t="str">
        <f t="shared" si="4"/>
        <v>HENRY Martine (ICS)</v>
      </c>
      <c r="D108" s="528" t="str">
        <f t="shared" si="5"/>
        <v/>
      </c>
      <c r="E108" s="677" t="s">
        <v>404</v>
      </c>
      <c r="F108" s="580" t="s">
        <v>592</v>
      </c>
      <c r="G108" s="580"/>
      <c r="H108" s="580" t="s">
        <v>837</v>
      </c>
      <c r="I108" s="580" t="s">
        <v>838</v>
      </c>
      <c r="J108" s="772" t="s">
        <v>2606</v>
      </c>
      <c r="K108" s="580" t="s">
        <v>839</v>
      </c>
      <c r="L108" s="69" t="s">
        <v>597</v>
      </c>
      <c r="M108" s="771" t="s">
        <v>840</v>
      </c>
      <c r="N108" s="771" t="s">
        <v>840</v>
      </c>
      <c r="O108" s="580" t="s">
        <v>840</v>
      </c>
      <c r="P108" s="680"/>
      <c r="Q108" s="680"/>
      <c r="R108" s="680"/>
    </row>
    <row r="109" spans="1:18" s="422" customFormat="1" ht="15" customHeight="1">
      <c r="A109" s="69">
        <v>1</v>
      </c>
      <c r="B109" s="69"/>
      <c r="C109" s="528" t="str">
        <f t="shared" si="4"/>
        <v>HENRY  Christian (ICS)</v>
      </c>
      <c r="D109" s="528" t="str">
        <f t="shared" si="5"/>
        <v/>
      </c>
      <c r="E109" s="677" t="s">
        <v>404</v>
      </c>
      <c r="F109" s="580" t="s">
        <v>592</v>
      </c>
      <c r="G109" s="69"/>
      <c r="H109" s="69" t="s">
        <v>841</v>
      </c>
      <c r="I109" s="69" t="s">
        <v>842</v>
      </c>
      <c r="J109" s="774" t="s">
        <v>2603</v>
      </c>
      <c r="K109" s="580" t="s">
        <v>843</v>
      </c>
      <c r="L109" s="69" t="s">
        <v>597</v>
      </c>
      <c r="M109" s="580" t="s">
        <v>844</v>
      </c>
      <c r="N109" s="69"/>
      <c r="O109" s="580" t="s">
        <v>845</v>
      </c>
      <c r="P109" s="83"/>
      <c r="Q109" s="83"/>
      <c r="R109" s="83"/>
    </row>
    <row r="110" spans="1:18" s="422" customFormat="1" ht="15" customHeight="1">
      <c r="A110" s="69">
        <v>2</v>
      </c>
      <c r="B110" s="69"/>
      <c r="C110" s="528" t="str">
        <f t="shared" si="4"/>
        <v>HENRY  Lucas (ICS)</v>
      </c>
      <c r="D110" s="528" t="str">
        <f t="shared" si="5"/>
        <v/>
      </c>
      <c r="E110" s="677" t="s">
        <v>404</v>
      </c>
      <c r="F110" s="580" t="s">
        <v>592</v>
      </c>
      <c r="G110" s="69"/>
      <c r="H110" s="69" t="s">
        <v>841</v>
      </c>
      <c r="I110" s="69" t="s">
        <v>846</v>
      </c>
      <c r="J110" s="774" t="s">
        <v>2605</v>
      </c>
      <c r="K110" s="580"/>
      <c r="L110" s="69" t="s">
        <v>597</v>
      </c>
      <c r="M110" s="580"/>
      <c r="N110" s="69"/>
      <c r="O110" s="580" t="s">
        <v>847</v>
      </c>
      <c r="P110" s="83"/>
      <c r="Q110" s="83"/>
      <c r="R110" s="83"/>
    </row>
    <row r="111" spans="1:18" s="422" customFormat="1" ht="15" customHeight="1">
      <c r="A111" s="580">
        <v>102</v>
      </c>
      <c r="B111" s="69"/>
      <c r="C111" s="528" t="str">
        <f t="shared" si="4"/>
        <v>HUDECK  Christian (ICS)</v>
      </c>
      <c r="D111" s="528" t="str">
        <f t="shared" si="5"/>
        <v/>
      </c>
      <c r="E111" s="677" t="s">
        <v>404</v>
      </c>
      <c r="F111" s="580" t="s">
        <v>592</v>
      </c>
      <c r="G111" s="69"/>
      <c r="H111" s="69" t="s">
        <v>848</v>
      </c>
      <c r="I111" s="69" t="s">
        <v>842</v>
      </c>
      <c r="J111" s="774" t="s">
        <v>2607</v>
      </c>
      <c r="K111" s="580" t="s">
        <v>843</v>
      </c>
      <c r="L111" s="69" t="s">
        <v>597</v>
      </c>
      <c r="M111" s="69"/>
      <c r="N111" s="69"/>
      <c r="O111" s="580" t="s">
        <v>849</v>
      </c>
      <c r="P111" s="680"/>
      <c r="Q111" s="680"/>
      <c r="R111" s="680"/>
    </row>
    <row r="112" spans="1:18" s="422" customFormat="1" ht="15" customHeight="1">
      <c r="A112" s="69">
        <v>23</v>
      </c>
      <c r="B112" s="69"/>
      <c r="C112" s="528" t="str">
        <f t="shared" si="4"/>
        <v>Hudson Sky Company SA  (Aviation Insurance Brokers)</v>
      </c>
      <c r="D112" s="528" t="str">
        <f t="shared" si="5"/>
        <v/>
      </c>
      <c r="E112" s="69" t="s">
        <v>850</v>
      </c>
      <c r="F112" s="580" t="s">
        <v>592</v>
      </c>
      <c r="G112" s="69"/>
      <c r="H112" s="580" t="s">
        <v>852</v>
      </c>
      <c r="I112" s="69"/>
      <c r="J112" s="71" t="s">
        <v>853</v>
      </c>
      <c r="K112" s="580" t="s">
        <v>854</v>
      </c>
      <c r="L112" s="69" t="s">
        <v>597</v>
      </c>
      <c r="M112" s="580" t="s">
        <v>855</v>
      </c>
      <c r="N112" s="69"/>
      <c r="O112" s="69"/>
      <c r="P112" s="83"/>
      <c r="Q112" s="83"/>
      <c r="R112" s="83"/>
    </row>
    <row r="113" spans="1:18" s="422" customFormat="1" ht="15" customHeight="1">
      <c r="A113" s="69">
        <v>200</v>
      </c>
      <c r="B113" s="664"/>
      <c r="C113" s="528" t="str">
        <f t="shared" si="4"/>
        <v>HUENS DE BROUWER Vincent (SUISSCOURTAGE Monaco)</v>
      </c>
      <c r="D113" s="528" t="str">
        <f t="shared" si="5"/>
        <v/>
      </c>
      <c r="E113" s="677" t="s">
        <v>558</v>
      </c>
      <c r="F113" s="580" t="s">
        <v>592</v>
      </c>
      <c r="G113" s="664"/>
      <c r="H113" s="580" t="s">
        <v>856</v>
      </c>
      <c r="I113" s="580" t="s">
        <v>857</v>
      </c>
      <c r="J113" s="686" t="s">
        <v>858</v>
      </c>
      <c r="K113" s="664"/>
      <c r="L113" s="69" t="s">
        <v>624</v>
      </c>
      <c r="M113" s="664"/>
      <c r="N113" s="664"/>
      <c r="O113" s="687" t="s">
        <v>859</v>
      </c>
      <c r="P113" s="683"/>
      <c r="Q113" s="683"/>
      <c r="R113" s="683"/>
    </row>
    <row r="114" spans="1:18" s="422" customFormat="1" ht="15" customHeight="1">
      <c r="A114" s="69">
        <v>157</v>
      </c>
      <c r="B114" s="69">
        <v>61</v>
      </c>
      <c r="C114" s="528" t="str">
        <f t="shared" si="4"/>
        <v/>
      </c>
      <c r="D114" s="528" t="str">
        <f t="shared" si="5"/>
        <v>HUSSON Romain (Navilux SA)</v>
      </c>
      <c r="E114" s="580" t="s">
        <v>1440</v>
      </c>
      <c r="F114" s="580" t="s">
        <v>1159</v>
      </c>
      <c r="G114" s="580"/>
      <c r="H114" s="580" t="s">
        <v>1400</v>
      </c>
      <c r="I114" s="69" t="s">
        <v>1000</v>
      </c>
      <c r="J114" s="580" t="s">
        <v>1401</v>
      </c>
      <c r="K114" s="580" t="s">
        <v>1402</v>
      </c>
      <c r="L114" s="69" t="s">
        <v>597</v>
      </c>
      <c r="M114" s="580" t="s">
        <v>448</v>
      </c>
      <c r="N114" s="580" t="s">
        <v>451</v>
      </c>
      <c r="O114" s="580"/>
    </row>
    <row r="115" spans="1:18" s="422" customFormat="1" ht="15" customHeight="1">
      <c r="A115" s="580">
        <v>186</v>
      </c>
      <c r="B115" s="69"/>
      <c r="C115" s="528" t="str">
        <f t="shared" si="4"/>
        <v/>
      </c>
      <c r="D115" s="528" t="str">
        <f t="shared" si="5"/>
        <v>IFERGAN  Christine (SOMECASSUR)</v>
      </c>
      <c r="E115" s="69" t="s">
        <v>860</v>
      </c>
      <c r="F115" s="580" t="s">
        <v>1159</v>
      </c>
      <c r="G115" s="69"/>
      <c r="H115" s="69" t="s">
        <v>861</v>
      </c>
      <c r="I115" s="69" t="s">
        <v>862</v>
      </c>
      <c r="J115" s="71" t="s">
        <v>863</v>
      </c>
      <c r="K115" s="71"/>
      <c r="L115" s="69" t="s">
        <v>597</v>
      </c>
      <c r="M115" s="69"/>
      <c r="N115" s="69"/>
      <c r="O115" s="69"/>
    </row>
    <row r="116" spans="1:18" s="422" customFormat="1" ht="15" customHeight="1">
      <c r="A116" s="69">
        <v>107</v>
      </c>
      <c r="B116" s="69"/>
      <c r="C116" s="528" t="str">
        <f t="shared" si="4"/>
        <v>ISAIA  Mathieu (ISAIA, AXA Assurances Antibes)</v>
      </c>
      <c r="D116" s="528" t="str">
        <f t="shared" si="5"/>
        <v/>
      </c>
      <c r="E116" s="677" t="s">
        <v>426</v>
      </c>
      <c r="F116" s="580" t="s">
        <v>592</v>
      </c>
      <c r="G116" s="69"/>
      <c r="H116" s="69" t="s">
        <v>864</v>
      </c>
      <c r="I116" s="69" t="s">
        <v>865</v>
      </c>
      <c r="J116" s="71" t="s">
        <v>866</v>
      </c>
      <c r="K116" s="580" t="s">
        <v>867</v>
      </c>
      <c r="L116" s="69" t="s">
        <v>597</v>
      </c>
      <c r="M116" s="69" t="s">
        <v>428</v>
      </c>
      <c r="N116" s="69"/>
      <c r="O116" s="69"/>
      <c r="P116" s="680"/>
      <c r="Q116" s="680"/>
      <c r="R116" s="680"/>
    </row>
    <row r="117" spans="1:18" s="422" customFormat="1" ht="15" customHeight="1">
      <c r="A117" s="580">
        <v>63</v>
      </c>
      <c r="B117" s="69"/>
      <c r="C117" s="528" t="str">
        <f t="shared" si="4"/>
        <v>JABRE Elias (CLOVER BROKERS )</v>
      </c>
      <c r="D117" s="528" t="str">
        <f t="shared" si="5"/>
        <v/>
      </c>
      <c r="E117" s="677" t="s">
        <v>309</v>
      </c>
      <c r="F117" s="580" t="s">
        <v>592</v>
      </c>
      <c r="G117" s="580"/>
      <c r="H117" s="580" t="s">
        <v>868</v>
      </c>
      <c r="I117" s="580" t="s">
        <v>869</v>
      </c>
      <c r="J117" s="580" t="s">
        <v>870</v>
      </c>
      <c r="K117" s="580" t="s">
        <v>871</v>
      </c>
      <c r="L117" s="69"/>
      <c r="M117" s="580"/>
      <c r="N117" s="580"/>
      <c r="O117" s="580"/>
      <c r="P117" s="83"/>
      <c r="Q117" s="83"/>
      <c r="R117" s="83"/>
    </row>
    <row r="118" spans="1:18" s="422" customFormat="1" ht="15" customHeight="1">
      <c r="A118" s="580">
        <v>219</v>
      </c>
      <c r="B118" s="580"/>
      <c r="C118" s="528" t="str">
        <f t="shared" si="4"/>
        <v/>
      </c>
      <c r="D118" s="528" t="str">
        <f t="shared" si="5"/>
        <v>JACQUART Sylvain (Vendome Luxury Boats)</v>
      </c>
      <c r="E118" s="580" t="s">
        <v>1403</v>
      </c>
      <c r="F118" s="580" t="s">
        <v>1171</v>
      </c>
      <c r="G118" s="580"/>
      <c r="H118" s="580" t="s">
        <v>1405</v>
      </c>
      <c r="I118" s="580" t="s">
        <v>1045</v>
      </c>
      <c r="J118" s="580" t="s">
        <v>1406</v>
      </c>
      <c r="K118" s="580" t="s">
        <v>1407</v>
      </c>
      <c r="L118" s="69"/>
      <c r="M118" s="580"/>
      <c r="N118" s="580"/>
      <c r="O118" s="580"/>
    </row>
    <row r="119" spans="1:18" s="422" customFormat="1" ht="15" customHeight="1">
      <c r="A119" s="69">
        <v>92</v>
      </c>
      <c r="B119" s="69"/>
      <c r="C119" s="528" t="str">
        <f t="shared" si="4"/>
        <v>JARAMILLO Sandrine (GES MARITIME)</v>
      </c>
      <c r="D119" s="528" t="str">
        <f t="shared" si="5"/>
        <v/>
      </c>
      <c r="E119" s="69" t="s">
        <v>580</v>
      </c>
      <c r="F119" s="580" t="s">
        <v>592</v>
      </c>
      <c r="G119" s="580"/>
      <c r="H119" s="580" t="s">
        <v>1143</v>
      </c>
      <c r="I119" s="580" t="s">
        <v>1135</v>
      </c>
      <c r="J119" s="676" t="s">
        <v>1144</v>
      </c>
      <c r="K119" s="580"/>
      <c r="L119" s="69"/>
      <c r="M119" s="580"/>
      <c r="N119" s="580"/>
      <c r="O119" s="580"/>
      <c r="P119" s="680"/>
      <c r="Q119" s="680"/>
      <c r="R119" s="680"/>
    </row>
    <row r="120" spans="1:18" s="422" customFormat="1" ht="15" customHeight="1">
      <c r="A120" s="580">
        <v>150</v>
      </c>
      <c r="B120" s="580"/>
      <c r="C120" s="528" t="str">
        <f t="shared" si="4"/>
        <v>JEANTET Olivier (MY INSURANCE BROKERS)</v>
      </c>
      <c r="D120" s="528" t="str">
        <f t="shared" si="5"/>
        <v/>
      </c>
      <c r="E120" s="580" t="s">
        <v>872</v>
      </c>
      <c r="F120" s="580" t="s">
        <v>592</v>
      </c>
      <c r="G120" s="580"/>
      <c r="H120" s="580" t="s">
        <v>874</v>
      </c>
      <c r="I120" s="580" t="s">
        <v>641</v>
      </c>
      <c r="J120" s="580" t="s">
        <v>875</v>
      </c>
      <c r="K120" s="580" t="s">
        <v>643</v>
      </c>
      <c r="L120" s="69" t="s">
        <v>597</v>
      </c>
      <c r="M120" s="580" t="s">
        <v>876</v>
      </c>
      <c r="N120" s="580"/>
      <c r="O120" s="580" t="s">
        <v>877</v>
      </c>
      <c r="P120" s="683"/>
      <c r="Q120" s="683"/>
      <c r="R120" s="683"/>
    </row>
    <row r="121" spans="1:18" s="422" customFormat="1" ht="15" customHeight="1">
      <c r="A121" s="69">
        <v>112</v>
      </c>
      <c r="B121" s="69"/>
      <c r="C121" s="528" t="str">
        <f t="shared" si="4"/>
        <v/>
      </c>
      <c r="D121" s="528" t="str">
        <f t="shared" si="5"/>
        <v>JOURDAN Pierre (JOURDAN GASSIN Nice)</v>
      </c>
      <c r="E121" s="69" t="s">
        <v>438</v>
      </c>
      <c r="F121" s="580" t="s">
        <v>1159</v>
      </c>
      <c r="G121" s="69"/>
      <c r="H121" s="69" t="s">
        <v>878</v>
      </c>
      <c r="I121" s="69" t="s">
        <v>879</v>
      </c>
      <c r="J121" s="71" t="s">
        <v>880</v>
      </c>
      <c r="K121" s="71"/>
      <c r="L121" s="69" t="s">
        <v>624</v>
      </c>
      <c r="M121" s="69" t="s">
        <v>881</v>
      </c>
      <c r="N121" s="69" t="s">
        <v>882</v>
      </c>
      <c r="O121" s="69"/>
    </row>
    <row r="122" spans="1:18" s="422" customFormat="1" ht="15" customHeight="1">
      <c r="A122" s="69">
        <v>49</v>
      </c>
      <c r="B122" s="580">
        <v>23</v>
      </c>
      <c r="C122" s="528" t="str">
        <f t="shared" si="4"/>
        <v/>
      </c>
      <c r="D122" s="528" t="str">
        <f t="shared" si="5"/>
        <v>JOUSEAU Estelle (Bourbon Offshore Greenmar)</v>
      </c>
      <c r="E122" s="580" t="s">
        <v>759</v>
      </c>
      <c r="F122" s="580" t="s">
        <v>1171</v>
      </c>
      <c r="G122" s="580"/>
      <c r="H122" s="580" t="s">
        <v>1408</v>
      </c>
      <c r="I122" s="580" t="s">
        <v>1409</v>
      </c>
      <c r="J122" s="580" t="s">
        <v>1410</v>
      </c>
      <c r="K122" s="580" t="s">
        <v>1411</v>
      </c>
      <c r="L122" s="69"/>
      <c r="M122" s="580"/>
      <c r="N122" s="580"/>
      <c r="O122" s="580"/>
    </row>
    <row r="123" spans="1:18" s="422" customFormat="1" ht="15" customHeight="1">
      <c r="A123" s="69">
        <v>154</v>
      </c>
      <c r="B123" s="69"/>
      <c r="C123" s="528" t="str">
        <f t="shared" si="4"/>
        <v>KARANOUH  Omar (Nasco France)</v>
      </c>
      <c r="D123" s="528" t="str">
        <f t="shared" si="5"/>
        <v/>
      </c>
      <c r="E123" s="69" t="s">
        <v>2462</v>
      </c>
      <c r="F123" s="580" t="s">
        <v>592</v>
      </c>
      <c r="G123" s="69"/>
      <c r="H123" s="69" t="s">
        <v>883</v>
      </c>
      <c r="I123" s="69" t="s">
        <v>884</v>
      </c>
      <c r="J123" s="69" t="s">
        <v>885</v>
      </c>
      <c r="K123" s="580" t="s">
        <v>886</v>
      </c>
      <c r="L123" s="69" t="s">
        <v>597</v>
      </c>
      <c r="M123" s="69"/>
      <c r="N123" s="69"/>
      <c r="O123" s="69"/>
      <c r="P123" s="683"/>
      <c r="Q123" s="683"/>
      <c r="R123" s="683"/>
    </row>
    <row r="124" spans="1:18" s="422" customFormat="1" ht="15" customHeight="1">
      <c r="A124" s="1319"/>
      <c r="B124" s="1319"/>
      <c r="C124" s="528" t="str">
        <f t="shared" si="4"/>
        <v>KENTER Erik (INTRAMAR® insurances)</v>
      </c>
      <c r="D124" s="528" t="str">
        <f t="shared" si="5"/>
        <v/>
      </c>
      <c r="E124" s="1319" t="s">
        <v>2624</v>
      </c>
      <c r="F124" s="580" t="s">
        <v>592</v>
      </c>
      <c r="G124" s="1319"/>
      <c r="H124" s="580" t="s">
        <v>2633</v>
      </c>
      <c r="I124" s="580" t="s">
        <v>2634</v>
      </c>
      <c r="J124" s="1416" t="s">
        <v>2636</v>
      </c>
      <c r="K124" s="1319"/>
      <c r="L124" s="69" t="s">
        <v>597</v>
      </c>
      <c r="M124" s="1397" t="s">
        <v>2629</v>
      </c>
      <c r="N124" s="1319"/>
      <c r="O124" s="1397" t="s">
        <v>2635</v>
      </c>
      <c r="P124" s="1402"/>
      <c r="Q124" s="1402"/>
      <c r="R124" s="1402"/>
    </row>
    <row r="125" spans="1:18" s="422" customFormat="1" ht="15" customHeight="1">
      <c r="A125" s="1400">
        <v>6</v>
      </c>
      <c r="B125" s="69"/>
      <c r="C125" s="528" t="str">
        <f t="shared" si="4"/>
        <v>KHADIRI Bouchaib (AFMA)</v>
      </c>
      <c r="D125" s="528" t="str">
        <f t="shared" si="5"/>
        <v/>
      </c>
      <c r="E125" s="69" t="s">
        <v>235</v>
      </c>
      <c r="F125" s="580" t="s">
        <v>592</v>
      </c>
      <c r="G125" s="664"/>
      <c r="H125" s="1400" t="s">
        <v>887</v>
      </c>
      <c r="I125" s="1400" t="s">
        <v>888</v>
      </c>
      <c r="J125" s="676" t="s">
        <v>889</v>
      </c>
      <c r="K125" s="664"/>
      <c r="L125" s="69" t="s">
        <v>597</v>
      </c>
      <c r="M125" s="1401" t="s">
        <v>239</v>
      </c>
      <c r="N125" s="664"/>
      <c r="O125" s="664" t="s">
        <v>890</v>
      </c>
      <c r="P125" s="83"/>
      <c r="Q125" s="83"/>
      <c r="R125" s="83"/>
    </row>
    <row r="126" spans="1:18" s="422" customFormat="1" ht="15" customHeight="1">
      <c r="A126" s="69">
        <v>29</v>
      </c>
      <c r="B126" s="1397"/>
      <c r="C126" s="528" t="str">
        <f t="shared" si="4"/>
        <v>KOENRAAD  Maes (BELGIBO NV)</v>
      </c>
      <c r="D126" s="528" t="str">
        <f t="shared" si="5"/>
        <v/>
      </c>
      <c r="E126" s="1397" t="s">
        <v>891</v>
      </c>
      <c r="F126" s="580" t="s">
        <v>592</v>
      </c>
      <c r="G126" s="1397"/>
      <c r="H126" s="1397" t="s">
        <v>896</v>
      </c>
      <c r="I126" s="1397" t="s">
        <v>897</v>
      </c>
      <c r="J126" s="71" t="s">
        <v>898</v>
      </c>
      <c r="K126" s="580" t="s">
        <v>899</v>
      </c>
      <c r="L126" s="69" t="s">
        <v>597</v>
      </c>
      <c r="M126" s="580">
        <v>3232475811</v>
      </c>
      <c r="N126" s="580">
        <v>3232475815</v>
      </c>
      <c r="O126" s="580"/>
      <c r="P126" s="83"/>
      <c r="Q126" s="83"/>
      <c r="R126" s="83"/>
    </row>
    <row r="127" spans="1:18" s="422" customFormat="1" ht="15" customHeight="1">
      <c r="A127" s="1397">
        <v>205</v>
      </c>
      <c r="B127" s="580"/>
      <c r="C127" s="528" t="str">
        <f t="shared" si="4"/>
        <v/>
      </c>
      <c r="D127" s="528" t="str">
        <f t="shared" si="5"/>
        <v>KOZAK Joanna (SUNREEF YACHTS CHARTER)</v>
      </c>
      <c r="E127" s="1400" t="s">
        <v>1412</v>
      </c>
      <c r="F127" s="580" t="s">
        <v>1159</v>
      </c>
      <c r="G127" s="580"/>
      <c r="H127" s="580" t="s">
        <v>1414</v>
      </c>
      <c r="I127" s="580" t="s">
        <v>1415</v>
      </c>
      <c r="J127" s="580" t="s">
        <v>1416</v>
      </c>
      <c r="K127" s="580" t="s">
        <v>1417</v>
      </c>
      <c r="L127" s="69"/>
      <c r="M127" s="580" t="s">
        <v>1418</v>
      </c>
      <c r="N127" s="580"/>
      <c r="O127" s="580"/>
      <c r="P127" s="1398"/>
      <c r="Q127" s="1398"/>
      <c r="R127" s="1398"/>
    </row>
    <row r="128" spans="1:18" s="422" customFormat="1" ht="15" customHeight="1">
      <c r="A128" s="1400">
        <v>168</v>
      </c>
      <c r="B128" s="1400"/>
      <c r="C128" s="528" t="str">
        <f t="shared" si="4"/>
        <v>KUIKKA Anne (ONLYYACHT MONACO)</v>
      </c>
      <c r="D128" s="528" t="str">
        <f t="shared" si="5"/>
        <v/>
      </c>
      <c r="E128" s="677" t="s">
        <v>502</v>
      </c>
      <c r="F128" s="580" t="s">
        <v>592</v>
      </c>
      <c r="G128" s="1400"/>
      <c r="H128" s="1400" t="s">
        <v>900</v>
      </c>
      <c r="I128" s="1400" t="s">
        <v>688</v>
      </c>
      <c r="J128" s="1400" t="s">
        <v>901</v>
      </c>
      <c r="K128" s="580" t="s">
        <v>902</v>
      </c>
      <c r="L128" s="69" t="s">
        <v>597</v>
      </c>
      <c r="M128" s="580"/>
      <c r="N128" s="580"/>
      <c r="O128" s="580"/>
      <c r="P128" s="683"/>
      <c r="Q128" s="683"/>
      <c r="R128" s="683"/>
    </row>
    <row r="129" spans="1:18" s="422" customFormat="1" ht="15" customHeight="1">
      <c r="A129" s="69">
        <v>142</v>
      </c>
      <c r="B129" s="69"/>
      <c r="C129" s="528" t="str">
        <f t="shared" si="4"/>
        <v>LABAZ  Leila (MTAIC Cannes)</v>
      </c>
      <c r="D129" s="528" t="str">
        <f t="shared" si="5"/>
        <v/>
      </c>
      <c r="E129" s="677" t="s">
        <v>479</v>
      </c>
      <c r="F129" s="580" t="s">
        <v>592</v>
      </c>
      <c r="G129" s="1397"/>
      <c r="H129" s="1397" t="s">
        <v>903</v>
      </c>
      <c r="I129" s="1397" t="s">
        <v>904</v>
      </c>
      <c r="J129" s="71" t="s">
        <v>905</v>
      </c>
      <c r="K129" s="580" t="s">
        <v>906</v>
      </c>
      <c r="L129" s="69" t="s">
        <v>597</v>
      </c>
      <c r="M129" s="580" t="s">
        <v>907</v>
      </c>
      <c r="N129" s="580" t="s">
        <v>908</v>
      </c>
      <c r="O129" s="580"/>
      <c r="P129" s="683"/>
      <c r="Q129" s="683"/>
      <c r="R129" s="683"/>
    </row>
    <row r="130" spans="1:18" s="422" customFormat="1" ht="15" customHeight="1">
      <c r="A130" s="1397">
        <v>50</v>
      </c>
      <c r="B130" s="69"/>
      <c r="C130" s="528" t="str">
        <f t="shared" si="4"/>
        <v>LAGADIC Yves André (Bourbon OffShore Greenmar)</v>
      </c>
      <c r="D130" s="528" t="str">
        <f t="shared" si="5"/>
        <v/>
      </c>
      <c r="E130" s="1400" t="s">
        <v>909</v>
      </c>
      <c r="F130" s="580" t="s">
        <v>592</v>
      </c>
      <c r="G130" s="1400"/>
      <c r="H130" s="1400" t="s">
        <v>911</v>
      </c>
      <c r="I130" s="1400" t="s">
        <v>912</v>
      </c>
      <c r="J130" s="1400" t="s">
        <v>913</v>
      </c>
      <c r="K130" s="580" t="s">
        <v>914</v>
      </c>
      <c r="L130" s="69"/>
      <c r="M130" s="580"/>
      <c r="N130" s="580"/>
      <c r="O130" s="580"/>
      <c r="P130" s="83"/>
      <c r="Q130" s="83"/>
      <c r="R130" s="83"/>
    </row>
    <row r="131" spans="1:18" s="422" customFormat="1" ht="15" customHeight="1">
      <c r="A131" s="1400">
        <v>117</v>
      </c>
      <c r="B131" s="69"/>
      <c r="C131" s="528" t="str">
        <f t="shared" si="4"/>
        <v>LALANDRE   (LALANDRE ASSURANCES)</v>
      </c>
      <c r="D131" s="528" t="str">
        <f t="shared" si="5"/>
        <v/>
      </c>
      <c r="E131" s="677" t="s">
        <v>443</v>
      </c>
      <c r="F131" s="580" t="s">
        <v>592</v>
      </c>
      <c r="G131" s="69"/>
      <c r="H131" s="69" t="s">
        <v>915</v>
      </c>
      <c r="I131" s="69"/>
      <c r="J131" s="1397" t="s">
        <v>623</v>
      </c>
      <c r="K131" s="580" t="s">
        <v>916</v>
      </c>
      <c r="L131" s="69" t="s">
        <v>597</v>
      </c>
      <c r="M131" s="1400" t="s">
        <v>917</v>
      </c>
      <c r="N131" s="1400" t="s">
        <v>918</v>
      </c>
      <c r="O131" s="1400"/>
      <c r="P131" s="683"/>
      <c r="Q131" s="683"/>
      <c r="R131" s="683"/>
    </row>
    <row r="132" spans="1:18" s="422" customFormat="1" ht="15" customHeight="1">
      <c r="A132" s="69">
        <v>91</v>
      </c>
      <c r="B132" s="69"/>
      <c r="C132" s="528" t="str">
        <f t="shared" si="4"/>
        <v>LE MAUT Soazic (GECAR)</v>
      </c>
      <c r="D132" s="528" t="str">
        <f t="shared" si="5"/>
        <v/>
      </c>
      <c r="E132" s="1397" t="s">
        <v>703</v>
      </c>
      <c r="F132" s="580" t="s">
        <v>592</v>
      </c>
      <c r="G132" s="1397"/>
      <c r="H132" s="1397" t="s">
        <v>2504</v>
      </c>
      <c r="I132" s="1397" t="s">
        <v>2505</v>
      </c>
      <c r="J132" s="678" t="s">
        <v>2506</v>
      </c>
      <c r="K132" s="580"/>
      <c r="L132" s="69"/>
      <c r="M132" s="758"/>
      <c r="N132" s="1397"/>
      <c r="O132" s="1397"/>
      <c r="P132" s="680"/>
      <c r="Q132" s="680"/>
      <c r="R132" s="680"/>
    </row>
    <row r="133" spans="1:18" s="422" customFormat="1" ht="15" customHeight="1">
      <c r="A133" s="1397">
        <v>26</v>
      </c>
      <c r="B133" s="1397"/>
      <c r="C133" s="528" t="str">
        <f t="shared" ref="C133:C196" si="6">IF(F133="MASTER",H133&amp;" "&amp;I133&amp;" ("&amp;E133&amp;")","")</f>
        <v>LE VACON Michel (AXA LE VACON Michel et  KERMALI Dalida)</v>
      </c>
      <c r="D133" s="528" t="str">
        <f t="shared" ref="D133:D196" si="7">IF(F133="MASTER","",H133&amp;" "&amp;I133&amp;" ("&amp;E133&amp;")")</f>
        <v/>
      </c>
      <c r="E133" s="1400" t="s">
        <v>919</v>
      </c>
      <c r="F133" s="580" t="s">
        <v>592</v>
      </c>
      <c r="G133" s="1400"/>
      <c r="H133" s="1400" t="s">
        <v>921</v>
      </c>
      <c r="I133" s="1400" t="s">
        <v>768</v>
      </c>
      <c r="J133" s="1400" t="s">
        <v>922</v>
      </c>
      <c r="K133" s="1400" t="s">
        <v>923</v>
      </c>
      <c r="L133" s="1397"/>
      <c r="M133" s="1400" t="s">
        <v>924</v>
      </c>
      <c r="N133" s="580"/>
      <c r="O133" s="1400" t="s">
        <v>925</v>
      </c>
      <c r="P133" s="83"/>
      <c r="Q133" s="83"/>
      <c r="R133" s="83"/>
    </row>
    <row r="134" spans="1:18" s="422" customFormat="1" ht="15" customHeight="1">
      <c r="A134" s="1319"/>
      <c r="B134" s="1319"/>
      <c r="C134" s="528" t="str">
        <f t="shared" si="6"/>
        <v>LEBLANC Franck (Allianz - Franck LEBLANC)</v>
      </c>
      <c r="D134" s="528" t="str">
        <f t="shared" si="7"/>
        <v/>
      </c>
      <c r="E134" s="1397" t="s">
        <v>2593</v>
      </c>
      <c r="F134" s="580" t="s">
        <v>592</v>
      </c>
      <c r="G134" s="1319"/>
      <c r="H134" s="1397" t="s">
        <v>2591</v>
      </c>
      <c r="I134" s="1397" t="s">
        <v>2592</v>
      </c>
      <c r="J134" s="791" t="s">
        <v>2594</v>
      </c>
      <c r="K134" s="1319"/>
      <c r="L134" s="1319"/>
      <c r="M134" s="758" t="s">
        <v>2588</v>
      </c>
      <c r="N134" s="580" t="s">
        <v>2589</v>
      </c>
      <c r="O134" s="1319"/>
      <c r="P134" s="1402"/>
      <c r="Q134" s="1402"/>
      <c r="R134" s="1402"/>
    </row>
    <row r="135" spans="1:18" s="422" customFormat="1" ht="15" customHeight="1">
      <c r="A135" s="580">
        <v>171</v>
      </c>
      <c r="B135" s="783"/>
      <c r="C135" s="528" t="str">
        <f t="shared" si="6"/>
        <v>LEDUC Colette (PISANO Agence AXA)</v>
      </c>
      <c r="D135" s="528" t="str">
        <f t="shared" si="7"/>
        <v/>
      </c>
      <c r="E135" s="783" t="s">
        <v>926</v>
      </c>
      <c r="F135" s="580" t="s">
        <v>592</v>
      </c>
      <c r="G135" s="1397" t="s">
        <v>931</v>
      </c>
      <c r="H135" s="783" t="s">
        <v>927</v>
      </c>
      <c r="I135" s="783" t="s">
        <v>928</v>
      </c>
      <c r="J135" s="783" t="s">
        <v>929</v>
      </c>
      <c r="K135" s="783" t="s">
        <v>930</v>
      </c>
      <c r="L135" s="69" t="s">
        <v>597</v>
      </c>
      <c r="M135" s="783" t="s">
        <v>932</v>
      </c>
      <c r="N135" s="783" t="s">
        <v>933</v>
      </c>
      <c r="O135" s="783"/>
      <c r="P135" s="683"/>
      <c r="Q135" s="683"/>
      <c r="R135" s="683"/>
    </row>
    <row r="136" spans="1:18" s="422" customFormat="1" ht="15" customHeight="1">
      <c r="A136" s="783">
        <v>60</v>
      </c>
      <c r="B136" s="1400"/>
      <c r="C136" s="528" t="str">
        <f t="shared" si="6"/>
        <v/>
      </c>
      <c r="D136" s="528" t="str">
        <f t="shared" si="7"/>
        <v>LEGROS Jean Louis (Captain-OVER THE RAINBOW OF LONDON)</v>
      </c>
      <c r="E136" s="1400" t="s">
        <v>1419</v>
      </c>
      <c r="F136" s="580" t="s">
        <v>1171</v>
      </c>
      <c r="G136" s="1400"/>
      <c r="H136" s="1400" t="s">
        <v>1420</v>
      </c>
      <c r="I136" s="1400" t="s">
        <v>1421</v>
      </c>
      <c r="J136" s="1400" t="s">
        <v>1422</v>
      </c>
      <c r="K136" s="1400" t="s">
        <v>1423</v>
      </c>
      <c r="L136" s="69"/>
      <c r="M136" s="1400"/>
      <c r="N136" s="1400"/>
      <c r="O136" s="1400"/>
      <c r="P136" s="716"/>
      <c r="Q136" s="716"/>
      <c r="R136" s="716"/>
    </row>
    <row r="137" spans="1:18" s="422" customFormat="1" ht="15" customHeight="1">
      <c r="A137" s="1400">
        <v>78</v>
      </c>
      <c r="B137" s="1397"/>
      <c r="C137" s="528" t="str">
        <f t="shared" si="6"/>
        <v/>
      </c>
      <c r="D137" s="528" t="str">
        <f t="shared" si="7"/>
        <v>LEONARDI Véronique (EYSSAUTIER)</v>
      </c>
      <c r="E137" s="1397" t="s">
        <v>616</v>
      </c>
      <c r="F137" s="580" t="s">
        <v>1159</v>
      </c>
      <c r="G137" s="1397"/>
      <c r="H137" s="1397" t="s">
        <v>934</v>
      </c>
      <c r="I137" s="1397" t="s">
        <v>935</v>
      </c>
      <c r="J137" s="71" t="s">
        <v>936</v>
      </c>
      <c r="K137" s="71"/>
      <c r="L137" s="69" t="s">
        <v>624</v>
      </c>
      <c r="M137" s="1397" t="s">
        <v>937</v>
      </c>
      <c r="N137" s="1397"/>
      <c r="O137" s="1397"/>
      <c r="P137" s="1398"/>
      <c r="Q137" s="1398"/>
      <c r="R137" s="1398"/>
    </row>
    <row r="138" spans="1:18" s="422" customFormat="1" ht="15" customHeight="1">
      <c r="A138" s="757">
        <v>214</v>
      </c>
      <c r="B138" s="1400"/>
      <c r="C138" s="528" t="str">
        <f t="shared" si="6"/>
        <v>LINHARDT Thomas (UVEA MARINE SERVICE)</v>
      </c>
      <c r="D138" s="528" t="str">
        <f t="shared" si="7"/>
        <v/>
      </c>
      <c r="E138" s="1400" t="s">
        <v>645</v>
      </c>
      <c r="F138" s="580" t="s">
        <v>592</v>
      </c>
      <c r="G138" s="1400"/>
      <c r="H138" s="580" t="s">
        <v>938</v>
      </c>
      <c r="I138" s="580" t="s">
        <v>692</v>
      </c>
      <c r="J138" s="580" t="s">
        <v>939</v>
      </c>
      <c r="K138" s="580" t="s">
        <v>940</v>
      </c>
      <c r="L138" s="69" t="s">
        <v>597</v>
      </c>
      <c r="M138" s="1400"/>
      <c r="N138" s="580"/>
      <c r="O138" s="1400"/>
      <c r="P138" s="683"/>
      <c r="Q138" s="683"/>
      <c r="R138" s="683"/>
    </row>
    <row r="139" spans="1:18" s="83" customFormat="1" ht="15" customHeight="1">
      <c r="A139" s="1397">
        <v>74</v>
      </c>
      <c r="B139" s="757"/>
      <c r="C139" s="528" t="str">
        <f t="shared" si="6"/>
        <v>LIVERSET Hugues (DIOT MONTAGNE)</v>
      </c>
      <c r="D139" s="528" t="str">
        <f t="shared" si="7"/>
        <v/>
      </c>
      <c r="E139" s="679" t="s">
        <v>341</v>
      </c>
      <c r="F139" s="580" t="s">
        <v>592</v>
      </c>
      <c r="G139" s="1397" t="s">
        <v>945</v>
      </c>
      <c r="H139" s="580" t="s">
        <v>941</v>
      </c>
      <c r="I139" s="580" t="s">
        <v>942</v>
      </c>
      <c r="J139" s="580" t="s">
        <v>943</v>
      </c>
      <c r="K139" s="580" t="s">
        <v>944</v>
      </c>
      <c r="L139" s="69" t="s">
        <v>597</v>
      </c>
      <c r="M139" s="1397" t="s">
        <v>946</v>
      </c>
      <c r="N139" s="580"/>
      <c r="O139" s="1397" t="s">
        <v>947</v>
      </c>
    </row>
    <row r="140" spans="1:18" s="83" customFormat="1" ht="15" customHeight="1">
      <c r="A140" s="783">
        <v>105</v>
      </c>
      <c r="B140" s="1397"/>
      <c r="C140" s="528" t="str">
        <f t="shared" si="6"/>
        <v>LOCQUET Philippe (Inter Caraïbes Assurances)</v>
      </c>
      <c r="D140" s="528" t="str">
        <f t="shared" si="7"/>
        <v/>
      </c>
      <c r="E140" s="677" t="s">
        <v>418</v>
      </c>
      <c r="F140" s="580" t="s">
        <v>592</v>
      </c>
      <c r="G140" s="580"/>
      <c r="H140" s="580" t="s">
        <v>948</v>
      </c>
      <c r="I140" s="580" t="s">
        <v>788</v>
      </c>
      <c r="J140" s="580" t="s">
        <v>949</v>
      </c>
      <c r="K140" s="580" t="s">
        <v>950</v>
      </c>
      <c r="L140" s="69"/>
      <c r="M140" s="580" t="s">
        <v>951</v>
      </c>
      <c r="N140" s="580"/>
      <c r="O140" s="580"/>
      <c r="P140" s="680"/>
      <c r="Q140" s="680"/>
      <c r="R140" s="680"/>
    </row>
    <row r="141" spans="1:18" s="83" customFormat="1" ht="15" customHeight="1">
      <c r="A141" s="1400">
        <v>75</v>
      </c>
      <c r="B141" s="783">
        <v>84</v>
      </c>
      <c r="C141" s="528" t="str">
        <f t="shared" si="6"/>
        <v/>
      </c>
      <c r="D141" s="528" t="str">
        <f t="shared" si="7"/>
        <v>LORDT Julia (EQUISEA Monaco)</v>
      </c>
      <c r="E141" s="1401" t="s">
        <v>346</v>
      </c>
      <c r="F141" s="580" t="s">
        <v>1159</v>
      </c>
      <c r="G141" s="783"/>
      <c r="H141" s="783" t="s">
        <v>1424</v>
      </c>
      <c r="I141" s="783" t="s">
        <v>1425</v>
      </c>
      <c r="J141" s="783" t="s">
        <v>1426</v>
      </c>
      <c r="K141" s="783" t="s">
        <v>1427</v>
      </c>
      <c r="L141" s="69" t="s">
        <v>597</v>
      </c>
      <c r="M141" s="783" t="s">
        <v>1428</v>
      </c>
      <c r="N141" s="783" t="s">
        <v>1429</v>
      </c>
      <c r="O141" s="783"/>
      <c r="P141" s="716"/>
      <c r="Q141" s="716"/>
      <c r="R141" s="716"/>
    </row>
    <row r="142" spans="1:18" s="83" customFormat="1" ht="15" customHeight="1">
      <c r="A142" s="69">
        <v>106</v>
      </c>
      <c r="B142" s="1400"/>
      <c r="C142" s="528" t="str">
        <f t="shared" si="6"/>
        <v/>
      </c>
      <c r="D142" s="528" t="str">
        <f t="shared" si="7"/>
        <v>MAERTENS Lieven (IPHARRA)</v>
      </c>
      <c r="E142" s="1400" t="s">
        <v>1430</v>
      </c>
      <c r="F142" s="580" t="s">
        <v>1171</v>
      </c>
      <c r="G142" s="1400"/>
      <c r="H142" s="1400" t="s">
        <v>1431</v>
      </c>
      <c r="I142" s="1400" t="s">
        <v>1432</v>
      </c>
      <c r="J142" s="1400" t="s">
        <v>1433</v>
      </c>
      <c r="K142" s="1400" t="s">
        <v>1434</v>
      </c>
      <c r="L142" s="69"/>
      <c r="M142" s="1400"/>
      <c r="N142" s="1400"/>
      <c r="O142" s="1400"/>
      <c r="P142" s="1398"/>
      <c r="Q142" s="1398"/>
      <c r="R142" s="1398"/>
    </row>
    <row r="143" spans="1:18" s="83" customFormat="1" ht="15" customHeight="1">
      <c r="A143" s="757">
        <v>25</v>
      </c>
      <c r="B143" s="1397"/>
      <c r="C143" s="528" t="str">
        <f t="shared" si="6"/>
        <v>MAESTRACCI Jean-Luc (AXA Agences Mm Maestracci Et Tauleigne)</v>
      </c>
      <c r="D143" s="528" t="str">
        <f t="shared" si="7"/>
        <v/>
      </c>
      <c r="E143" s="1401" t="s">
        <v>2447</v>
      </c>
      <c r="F143" s="580" t="s">
        <v>592</v>
      </c>
      <c r="G143" s="1397"/>
      <c r="H143" s="1397" t="s">
        <v>2500</v>
      </c>
      <c r="I143" s="1397" t="s">
        <v>2501</v>
      </c>
      <c r="J143" s="678" t="s">
        <v>2502</v>
      </c>
      <c r="K143" s="80"/>
      <c r="L143" s="69" t="s">
        <v>597</v>
      </c>
      <c r="M143" s="1397" t="s">
        <v>2451</v>
      </c>
      <c r="N143" s="1397"/>
      <c r="O143" s="81"/>
    </row>
    <row r="144" spans="1:18" s="83" customFormat="1" ht="15" customHeight="1">
      <c r="A144" s="1397">
        <v>187</v>
      </c>
      <c r="B144" s="783"/>
      <c r="C144" s="528" t="str">
        <f t="shared" si="6"/>
        <v>MAILLET Clémence (SOMECASSUR)</v>
      </c>
      <c r="D144" s="528" t="str">
        <f t="shared" si="7"/>
        <v/>
      </c>
      <c r="E144" s="1397" t="s">
        <v>860</v>
      </c>
      <c r="F144" s="783" t="s">
        <v>592</v>
      </c>
      <c r="G144" s="580"/>
      <c r="H144" s="580" t="s">
        <v>952</v>
      </c>
      <c r="I144" s="783" t="s">
        <v>953</v>
      </c>
      <c r="J144" s="783" t="s">
        <v>954</v>
      </c>
      <c r="K144" s="783" t="s">
        <v>955</v>
      </c>
      <c r="L144" s="69" t="s">
        <v>597</v>
      </c>
      <c r="M144" s="580"/>
      <c r="N144" s="580"/>
      <c r="O144" s="580"/>
      <c r="P144" s="683"/>
      <c r="Q144" s="683"/>
      <c r="R144" s="683"/>
    </row>
    <row r="145" spans="1:18" s="83" customFormat="1" ht="15" customHeight="1">
      <c r="A145" s="1400">
        <v>99</v>
      </c>
      <c r="B145" s="1400"/>
      <c r="C145" s="528" t="str">
        <f t="shared" si="6"/>
        <v/>
      </c>
      <c r="D145" s="528" t="str">
        <f t="shared" si="7"/>
        <v>MAILLOT Florent (HELIAD II)</v>
      </c>
      <c r="E145" s="580" t="s">
        <v>1435</v>
      </c>
      <c r="F145" s="1400" t="s">
        <v>1171</v>
      </c>
      <c r="G145" s="580"/>
      <c r="H145" s="580" t="s">
        <v>1436</v>
      </c>
      <c r="I145" s="1400" t="s">
        <v>1437</v>
      </c>
      <c r="J145" s="1400" t="s">
        <v>1438</v>
      </c>
      <c r="K145" s="1400" t="s">
        <v>1439</v>
      </c>
      <c r="L145" s="69" t="s">
        <v>597</v>
      </c>
      <c r="M145" s="580"/>
      <c r="N145" s="580"/>
      <c r="O145" s="580"/>
      <c r="P145" s="716"/>
      <c r="Q145" s="716"/>
      <c r="R145" s="716"/>
    </row>
    <row r="146" spans="1:18" s="83" customFormat="1" ht="15" customHeight="1">
      <c r="A146" s="69">
        <v>158</v>
      </c>
      <c r="B146" s="1397"/>
      <c r="C146" s="528" t="str">
        <f t="shared" si="6"/>
        <v/>
      </c>
      <c r="D146" s="528" t="str">
        <f t="shared" si="7"/>
        <v>MANANCOURT Hana (Navilux SA)</v>
      </c>
      <c r="E146" s="783" t="s">
        <v>1440</v>
      </c>
      <c r="F146" s="1397" t="s">
        <v>1159</v>
      </c>
      <c r="G146" s="783"/>
      <c r="H146" s="783" t="s">
        <v>1441</v>
      </c>
      <c r="I146" s="1397" t="s">
        <v>1442</v>
      </c>
      <c r="J146" s="71" t="s">
        <v>1443</v>
      </c>
      <c r="K146" s="71"/>
      <c r="L146" s="69" t="s">
        <v>624</v>
      </c>
      <c r="M146" s="783"/>
      <c r="N146" s="783"/>
      <c r="O146" s="783"/>
      <c r="P146" s="1398"/>
      <c r="Q146" s="1398"/>
      <c r="R146" s="1398"/>
    </row>
    <row r="147" spans="1:18" s="83" customFormat="1" ht="15" customHeight="1">
      <c r="A147" s="757">
        <v>215</v>
      </c>
      <c r="B147" s="1400"/>
      <c r="C147" s="528" t="str">
        <f t="shared" si="6"/>
        <v>Marie Louise  (UVEA MARINE SERVICE)</v>
      </c>
      <c r="D147" s="528" t="str">
        <f t="shared" si="7"/>
        <v/>
      </c>
      <c r="E147" s="1400" t="s">
        <v>645</v>
      </c>
      <c r="F147" s="1400" t="s">
        <v>592</v>
      </c>
      <c r="G147" s="1400"/>
      <c r="H147" s="1400" t="s">
        <v>956</v>
      </c>
      <c r="I147" s="1400"/>
      <c r="J147" s="1400" t="s">
        <v>957</v>
      </c>
      <c r="K147" s="1400" t="s">
        <v>958</v>
      </c>
      <c r="L147" s="69" t="s">
        <v>597</v>
      </c>
      <c r="M147" s="1400"/>
      <c r="N147" s="1400"/>
      <c r="O147" s="1400"/>
      <c r="P147" s="683"/>
      <c r="Q147" s="683"/>
      <c r="R147" s="683"/>
    </row>
    <row r="148" spans="1:18" s="83" customFormat="1" ht="15" customHeight="1">
      <c r="A148" s="1397">
        <v>97</v>
      </c>
      <c r="B148" s="1397"/>
      <c r="C148" s="528" t="str">
        <f t="shared" si="6"/>
        <v/>
      </c>
      <c r="D148" s="528" t="str">
        <f t="shared" si="7"/>
        <v>MARISSI Saida (Groupe ADDOHA)</v>
      </c>
      <c r="E148" s="1397" t="s">
        <v>1706</v>
      </c>
      <c r="F148" s="75" t="s">
        <v>1159</v>
      </c>
      <c r="G148" s="85"/>
      <c r="H148" s="75" t="s">
        <v>1709</v>
      </c>
      <c r="I148" s="75" t="s">
        <v>1710</v>
      </c>
      <c r="J148" s="682" t="s">
        <v>1711</v>
      </c>
      <c r="K148" s="85"/>
      <c r="L148" s="69" t="s">
        <v>597</v>
      </c>
      <c r="M148" s="85" t="s">
        <v>1712</v>
      </c>
      <c r="N148" s="85"/>
      <c r="O148" s="85" t="s">
        <v>1713</v>
      </c>
      <c r="P148" s="716"/>
      <c r="Q148" s="716"/>
      <c r="R148" s="716"/>
    </row>
    <row r="149" spans="1:18" s="83" customFormat="1" ht="15" customHeight="1">
      <c r="A149" s="580">
        <v>87</v>
      </c>
      <c r="B149" s="1400"/>
      <c r="C149" s="528" t="str">
        <f t="shared" si="6"/>
        <v/>
      </c>
      <c r="D149" s="528" t="str">
        <f t="shared" si="7"/>
        <v>MARTIN Denis (Garuda Yachts Charter Unipessoal LDA)</v>
      </c>
      <c r="E149" s="580" t="s">
        <v>1444</v>
      </c>
      <c r="F149" s="580" t="s">
        <v>1159</v>
      </c>
      <c r="G149" s="580"/>
      <c r="H149" s="580" t="s">
        <v>960</v>
      </c>
      <c r="I149" s="580" t="s">
        <v>1448</v>
      </c>
      <c r="J149" s="1400" t="s">
        <v>1449</v>
      </c>
      <c r="K149" s="580" t="s">
        <v>1323</v>
      </c>
      <c r="L149" s="69"/>
      <c r="M149" s="580"/>
      <c r="N149" s="580"/>
      <c r="O149" s="580"/>
      <c r="P149" s="1398"/>
      <c r="Q149" s="1398"/>
      <c r="R149" s="1398"/>
    </row>
    <row r="150" spans="1:18" s="83" customFormat="1" ht="15" customHeight="1">
      <c r="A150" s="783">
        <v>108</v>
      </c>
      <c r="B150" s="1397"/>
      <c r="C150" s="528" t="str">
        <f t="shared" si="6"/>
        <v>MARTIN Laurence (ISIS GLOBAL SOLUTIONS)</v>
      </c>
      <c r="D150" s="528" t="str">
        <f t="shared" si="7"/>
        <v/>
      </c>
      <c r="E150" s="783" t="s">
        <v>959</v>
      </c>
      <c r="F150" s="580" t="s">
        <v>592</v>
      </c>
      <c r="G150" s="783"/>
      <c r="H150" s="783" t="s">
        <v>960</v>
      </c>
      <c r="I150" s="783" t="s">
        <v>95</v>
      </c>
      <c r="J150" s="74" t="s">
        <v>961</v>
      </c>
      <c r="K150" s="580" t="s">
        <v>962</v>
      </c>
      <c r="L150" s="69" t="s">
        <v>624</v>
      </c>
      <c r="M150" s="783" t="s">
        <v>963</v>
      </c>
      <c r="N150" s="580" t="s">
        <v>436</v>
      </c>
      <c r="O150" s="580"/>
      <c r="P150" s="680"/>
      <c r="Q150" s="680"/>
      <c r="R150" s="680"/>
    </row>
    <row r="151" spans="1:18" s="83" customFormat="1" ht="15" customHeight="1">
      <c r="A151" s="1400">
        <v>57</v>
      </c>
      <c r="B151" s="1400">
        <v>25</v>
      </c>
      <c r="C151" s="528" t="str">
        <f t="shared" si="6"/>
        <v/>
      </c>
      <c r="D151" s="528" t="str">
        <f t="shared" si="7"/>
        <v>MARTINEZ Lisa (Camper &amp; Nicholson)</v>
      </c>
      <c r="E151" s="1400" t="s">
        <v>1185</v>
      </c>
      <c r="F151" s="783" t="s">
        <v>1159</v>
      </c>
      <c r="G151" s="1400"/>
      <c r="H151" s="1400" t="s">
        <v>1450</v>
      </c>
      <c r="I151" s="1400" t="s">
        <v>1451</v>
      </c>
      <c r="J151" s="1400" t="s">
        <v>1452</v>
      </c>
      <c r="K151" s="783" t="s">
        <v>1453</v>
      </c>
      <c r="L151" s="69"/>
      <c r="M151" s="1400"/>
      <c r="N151" s="783"/>
      <c r="O151" s="783"/>
      <c r="P151" s="1398"/>
      <c r="Q151" s="1398"/>
      <c r="R151" s="1398"/>
    </row>
    <row r="152" spans="1:18" s="83" customFormat="1" ht="15" customHeight="1">
      <c r="A152" s="69">
        <v>188</v>
      </c>
      <c r="B152" s="1397"/>
      <c r="C152" s="528" t="str">
        <f t="shared" si="6"/>
        <v>MATHE  Corinne (SOMECASSUR)</v>
      </c>
      <c r="D152" s="528" t="str">
        <f t="shared" si="7"/>
        <v/>
      </c>
      <c r="E152" s="1397" t="s">
        <v>860</v>
      </c>
      <c r="F152" s="1400" t="s">
        <v>592</v>
      </c>
      <c r="G152" s="1397"/>
      <c r="H152" s="1397" t="s">
        <v>964</v>
      </c>
      <c r="I152" s="1397" t="s">
        <v>965</v>
      </c>
      <c r="J152" s="1397" t="s">
        <v>966</v>
      </c>
      <c r="K152" s="1400" t="s">
        <v>967</v>
      </c>
      <c r="L152" s="69" t="s">
        <v>597</v>
      </c>
      <c r="M152" s="758" t="s">
        <v>968</v>
      </c>
      <c r="N152" s="1400" t="s">
        <v>969</v>
      </c>
      <c r="O152" s="1400"/>
      <c r="P152" s="683"/>
      <c r="Q152" s="683"/>
      <c r="R152" s="683"/>
    </row>
    <row r="153" spans="1:18" s="83" customFormat="1" ht="15" customHeight="1">
      <c r="A153" s="69">
        <v>130</v>
      </c>
      <c r="B153" s="1020"/>
      <c r="C153" s="528" t="str">
        <f t="shared" si="6"/>
        <v/>
      </c>
      <c r="D153" s="528" t="str">
        <f t="shared" si="7"/>
        <v>MAYOU Abigail (Marine Construction Management LLC)</v>
      </c>
      <c r="E153" s="1020" t="s">
        <v>1714</v>
      </c>
      <c r="F153" s="75" t="s">
        <v>1159</v>
      </c>
      <c r="G153" s="1020"/>
      <c r="H153" s="1020" t="s">
        <v>1718</v>
      </c>
      <c r="I153" s="1020" t="s">
        <v>1719</v>
      </c>
      <c r="J153" s="772" t="s">
        <v>1720</v>
      </c>
      <c r="K153" s="1020"/>
      <c r="L153" s="69" t="s">
        <v>597</v>
      </c>
      <c r="M153" s="1020" t="s">
        <v>1721</v>
      </c>
      <c r="N153" s="1020" t="s">
        <v>1722</v>
      </c>
      <c r="O153" s="1020" t="s">
        <v>1723</v>
      </c>
      <c r="P153" s="422"/>
      <c r="Q153" s="422"/>
      <c r="R153" s="422"/>
    </row>
    <row r="154" spans="1:18" s="83" customFormat="1" ht="15" customHeight="1">
      <c r="A154" s="757">
        <v>164</v>
      </c>
      <c r="B154" s="783"/>
      <c r="C154" s="528" t="str">
        <f t="shared" si="6"/>
        <v/>
      </c>
      <c r="D154" s="528" t="str">
        <f t="shared" si="7"/>
        <v>MENGE Dominique (ODM YACHTS SA)</v>
      </c>
      <c r="E154" s="783" t="s">
        <v>1454</v>
      </c>
      <c r="F154" s="580" t="s">
        <v>1159</v>
      </c>
      <c r="G154" s="783"/>
      <c r="H154" s="783" t="s">
        <v>1458</v>
      </c>
      <c r="I154" s="783" t="s">
        <v>1459</v>
      </c>
      <c r="J154" s="783" t="s">
        <v>1460</v>
      </c>
      <c r="K154" s="783" t="s">
        <v>1459</v>
      </c>
      <c r="L154" s="69"/>
      <c r="M154" s="783"/>
      <c r="N154" s="783"/>
      <c r="O154" s="783"/>
      <c r="P154" s="716"/>
      <c r="Q154" s="716"/>
      <c r="R154" s="716"/>
    </row>
    <row r="155" spans="1:18" s="83" customFormat="1" ht="15" customHeight="1">
      <c r="A155" s="1397">
        <v>134</v>
      </c>
      <c r="B155" s="1400"/>
      <c r="C155" s="528" t="str">
        <f t="shared" si="6"/>
        <v/>
      </c>
      <c r="D155" s="528" t="str">
        <f t="shared" si="7"/>
        <v>MESSERI Anne (MD Management Corp.)</v>
      </c>
      <c r="E155" s="1400" t="s">
        <v>1461</v>
      </c>
      <c r="F155" s="580" t="s">
        <v>1159</v>
      </c>
      <c r="G155" s="1400"/>
      <c r="H155" s="1400" t="s">
        <v>1462</v>
      </c>
      <c r="I155" s="1400" t="s">
        <v>688</v>
      </c>
      <c r="J155" s="1400" t="s">
        <v>1463</v>
      </c>
      <c r="K155" s="1400" t="s">
        <v>1464</v>
      </c>
      <c r="L155" s="69"/>
      <c r="M155" s="1400"/>
      <c r="N155" s="1400"/>
      <c r="O155" s="1400"/>
      <c r="P155" s="1398"/>
      <c r="Q155" s="1398"/>
      <c r="R155" s="1398"/>
    </row>
    <row r="156" spans="1:18" s="83" customFormat="1" ht="15" customHeight="1">
      <c r="A156" s="783">
        <v>201</v>
      </c>
      <c r="B156" s="69"/>
      <c r="C156" s="528" t="str">
        <f t="shared" si="6"/>
        <v>MICHAUT  Elsy (SUISSCOURTAGE Monaco)</v>
      </c>
      <c r="D156" s="528" t="str">
        <f t="shared" si="7"/>
        <v/>
      </c>
      <c r="E156" s="677" t="s">
        <v>558</v>
      </c>
      <c r="F156" s="580" t="s">
        <v>592</v>
      </c>
      <c r="G156" s="69"/>
      <c r="H156" s="69" t="s">
        <v>970</v>
      </c>
      <c r="I156" s="69" t="s">
        <v>971</v>
      </c>
      <c r="J156" s="71" t="s">
        <v>972</v>
      </c>
      <c r="K156" s="71"/>
      <c r="L156" s="69" t="s">
        <v>624</v>
      </c>
      <c r="M156" s="1397" t="s">
        <v>973</v>
      </c>
      <c r="N156" s="69" t="s">
        <v>974</v>
      </c>
      <c r="O156" s="809"/>
      <c r="P156" s="683"/>
      <c r="Q156" s="683"/>
      <c r="R156" s="683"/>
    </row>
    <row r="157" spans="1:18" s="83" customFormat="1" ht="15" customHeight="1">
      <c r="A157" s="1400">
        <v>195</v>
      </c>
      <c r="B157" s="69"/>
      <c r="C157" s="528" t="str">
        <f t="shared" si="6"/>
        <v>MICHOTTE  Stéphane (Suisscourtage Antibes)</v>
      </c>
      <c r="D157" s="528" t="str">
        <f t="shared" si="7"/>
        <v/>
      </c>
      <c r="E157" s="1397" t="s">
        <v>975</v>
      </c>
      <c r="F157" s="580" t="s">
        <v>592</v>
      </c>
      <c r="G157" s="69"/>
      <c r="H157" s="69" t="s">
        <v>977</v>
      </c>
      <c r="I157" s="69" t="s">
        <v>978</v>
      </c>
      <c r="J157" s="1397" t="s">
        <v>979</v>
      </c>
      <c r="K157" s="580" t="s">
        <v>980</v>
      </c>
      <c r="L157" s="69" t="s">
        <v>597</v>
      </c>
      <c r="M157" s="758" t="s">
        <v>981</v>
      </c>
      <c r="N157" s="69"/>
      <c r="O157" s="757"/>
      <c r="P157" s="683"/>
      <c r="Q157" s="683"/>
      <c r="R157" s="683"/>
    </row>
    <row r="158" spans="1:18" s="83" customFormat="1" ht="15" customHeight="1">
      <c r="A158" s="1397">
        <v>202</v>
      </c>
      <c r="B158" s="757"/>
      <c r="C158" s="528" t="str">
        <f t="shared" si="6"/>
        <v>MILLET  Barbara (SUISSCOURTAGE Monaco)</v>
      </c>
      <c r="D158" s="528" t="str">
        <f t="shared" si="7"/>
        <v/>
      </c>
      <c r="E158" s="677" t="s">
        <v>558</v>
      </c>
      <c r="F158" s="580" t="s">
        <v>592</v>
      </c>
      <c r="G158" s="757"/>
      <c r="H158" s="757" t="s">
        <v>982</v>
      </c>
      <c r="I158" s="757" t="s">
        <v>983</v>
      </c>
      <c r="J158" s="71" t="s">
        <v>984</v>
      </c>
      <c r="K158" s="580" t="s">
        <v>985</v>
      </c>
      <c r="L158" s="69" t="s">
        <v>597</v>
      </c>
      <c r="M158" s="1397"/>
      <c r="N158" s="757"/>
      <c r="O158" s="1397"/>
      <c r="P158" s="683"/>
      <c r="Q158" s="683"/>
      <c r="R158" s="683"/>
    </row>
    <row r="159" spans="1:18" s="83" customFormat="1" ht="15" customHeight="1">
      <c r="A159" s="1400">
        <v>18</v>
      </c>
      <c r="B159" s="1397"/>
      <c r="C159" s="528" t="str">
        <f t="shared" si="6"/>
        <v>MIOR  Nicolas (ASCOMA MARITIME MONACO)</v>
      </c>
      <c r="D159" s="528" t="str">
        <f t="shared" si="7"/>
        <v/>
      </c>
      <c r="E159" s="677" t="s">
        <v>271</v>
      </c>
      <c r="F159" s="580" t="s">
        <v>592</v>
      </c>
      <c r="G159" s="1397"/>
      <c r="H159" s="1397" t="s">
        <v>986</v>
      </c>
      <c r="I159" s="1397" t="s">
        <v>987</v>
      </c>
      <c r="J159" s="1397" t="s">
        <v>988</v>
      </c>
      <c r="K159" s="580" t="s">
        <v>989</v>
      </c>
      <c r="L159" s="69" t="s">
        <v>597</v>
      </c>
      <c r="M159" s="580" t="s">
        <v>2499</v>
      </c>
      <c r="N159" s="1397"/>
      <c r="O159" s="783" t="s">
        <v>990</v>
      </c>
    </row>
    <row r="160" spans="1:18" s="83" customFormat="1" ht="15" customHeight="1">
      <c r="A160" s="69">
        <v>80</v>
      </c>
      <c r="B160" s="1400">
        <v>85</v>
      </c>
      <c r="C160" s="528" t="str">
        <f t="shared" si="6"/>
        <v/>
      </c>
      <c r="D160" s="528" t="str">
        <f t="shared" si="7"/>
        <v>MIREMONT Patrick (Fastnet LTD - The Snapper)</v>
      </c>
      <c r="E160" s="1400" t="s">
        <v>1465</v>
      </c>
      <c r="F160" s="580" t="s">
        <v>1171</v>
      </c>
      <c r="G160" s="1400"/>
      <c r="H160" s="1400" t="s">
        <v>1466</v>
      </c>
      <c r="I160" s="1400" t="s">
        <v>1467</v>
      </c>
      <c r="J160" s="1400" t="s">
        <v>1468</v>
      </c>
      <c r="K160" s="580" t="s">
        <v>1469</v>
      </c>
      <c r="L160" s="69" t="s">
        <v>597</v>
      </c>
      <c r="M160" s="580"/>
      <c r="N160" s="1400"/>
      <c r="O160" s="1400"/>
      <c r="P160" s="1398"/>
      <c r="Q160" s="1398"/>
      <c r="R160" s="1398"/>
    </row>
    <row r="161" spans="1:18" s="83" customFormat="1" ht="15" customHeight="1">
      <c r="A161" s="757">
        <v>113</v>
      </c>
      <c r="B161" s="757"/>
      <c r="C161" s="528" t="str">
        <f t="shared" si="6"/>
        <v>MONCEL  Etienne (JOURDAN GASSIN Nice)</v>
      </c>
      <c r="D161" s="528" t="str">
        <f t="shared" si="7"/>
        <v/>
      </c>
      <c r="E161" s="1397" t="s">
        <v>438</v>
      </c>
      <c r="F161" s="580" t="s">
        <v>592</v>
      </c>
      <c r="G161" s="757"/>
      <c r="H161" s="757" t="s">
        <v>991</v>
      </c>
      <c r="I161" s="757" t="s">
        <v>992</v>
      </c>
      <c r="J161" s="757" t="s">
        <v>993</v>
      </c>
      <c r="K161" s="580" t="s">
        <v>994</v>
      </c>
      <c r="L161" s="69" t="s">
        <v>597</v>
      </c>
      <c r="M161" s="580" t="s">
        <v>2507</v>
      </c>
      <c r="N161" s="1397"/>
      <c r="O161" s="1397"/>
      <c r="P161" s="683"/>
      <c r="Q161" s="683"/>
      <c r="R161" s="683"/>
    </row>
    <row r="162" spans="1:18" s="83" customFormat="1" ht="15" customHeight="1">
      <c r="A162" s="1397">
        <v>193</v>
      </c>
      <c r="B162" s="1397"/>
      <c r="C162" s="528" t="str">
        <f t="shared" si="6"/>
        <v>MONNIER  Nicolas (SUD EUROCOURTAGE)</v>
      </c>
      <c r="D162" s="528" t="str">
        <f t="shared" si="7"/>
        <v/>
      </c>
      <c r="E162" s="551" t="s">
        <v>546</v>
      </c>
      <c r="F162" s="580" t="s">
        <v>592</v>
      </c>
      <c r="G162" s="1397"/>
      <c r="H162" s="1397" t="s">
        <v>995</v>
      </c>
      <c r="I162" s="1397" t="s">
        <v>987</v>
      </c>
      <c r="J162" s="1397" t="s">
        <v>996</v>
      </c>
      <c r="K162" s="580" t="s">
        <v>989</v>
      </c>
      <c r="L162" s="69" t="s">
        <v>597</v>
      </c>
      <c r="M162" s="580" t="s">
        <v>997</v>
      </c>
      <c r="N162" s="580" t="s">
        <v>998</v>
      </c>
      <c r="O162" s="580"/>
      <c r="P162" s="683"/>
      <c r="Q162" s="683"/>
      <c r="R162" s="683"/>
    </row>
    <row r="163" spans="1:18" s="83" customFormat="1" ht="15" customHeight="1">
      <c r="A163" s="1400">
        <v>210</v>
      </c>
      <c r="B163" s="580">
        <v>72</v>
      </c>
      <c r="C163" s="528" t="str">
        <f t="shared" si="6"/>
        <v/>
      </c>
      <c r="D163" s="528" t="str">
        <f t="shared" si="7"/>
        <v>MOROZOVA Olga (UNIQUE YACHTING MONACO  )</v>
      </c>
      <c r="E163" s="1401" t="s">
        <v>1378</v>
      </c>
      <c r="F163" s="580" t="s">
        <v>1159</v>
      </c>
      <c r="G163" s="580"/>
      <c r="H163" s="580" t="s">
        <v>1470</v>
      </c>
      <c r="I163" s="580" t="s">
        <v>1471</v>
      </c>
      <c r="J163" s="580" t="s">
        <v>1472</v>
      </c>
      <c r="K163" s="580" t="s">
        <v>1473</v>
      </c>
      <c r="L163" s="69"/>
      <c r="M163" s="580"/>
      <c r="N163" s="580"/>
      <c r="O163" s="580"/>
      <c r="P163" s="422"/>
      <c r="Q163" s="422"/>
      <c r="R163" s="422"/>
    </row>
    <row r="164" spans="1:18" s="83" customFormat="1" ht="15" customHeight="1">
      <c r="A164" s="1397">
        <v>59</v>
      </c>
      <c r="B164" s="783"/>
      <c r="C164" s="528" t="str">
        <f t="shared" si="6"/>
        <v/>
      </c>
      <c r="D164" s="528" t="str">
        <f t="shared" si="7"/>
        <v>MOSTACCI Teddy (Captain-007)</v>
      </c>
      <c r="E164" s="783" t="s">
        <v>1474</v>
      </c>
      <c r="F164" s="580" t="s">
        <v>1171</v>
      </c>
      <c r="G164" s="783"/>
      <c r="H164" s="783" t="s">
        <v>1475</v>
      </c>
      <c r="I164" s="783" t="s">
        <v>1476</v>
      </c>
      <c r="J164" s="783" t="s">
        <v>1477</v>
      </c>
      <c r="K164" s="580" t="s">
        <v>1478</v>
      </c>
      <c r="L164" s="69"/>
      <c r="M164" s="918"/>
      <c r="N164" s="783"/>
      <c r="O164" s="783"/>
      <c r="P164" s="716"/>
      <c r="Q164" s="716"/>
      <c r="R164" s="716"/>
    </row>
    <row r="165" spans="1:18" s="83" customFormat="1" ht="15" customHeight="1">
      <c r="A165" s="1400">
        <v>240</v>
      </c>
      <c r="B165" s="1400"/>
      <c r="C165" s="528" t="str">
        <f t="shared" si="6"/>
        <v/>
      </c>
      <c r="D165" s="528" t="str">
        <f t="shared" si="7"/>
        <v>MOURY Laurence (Yachting Concept)</v>
      </c>
      <c r="E165" s="1400" t="s">
        <v>1479</v>
      </c>
      <c r="F165" s="580" t="s">
        <v>1159</v>
      </c>
      <c r="G165" s="1400"/>
      <c r="H165" s="1400" t="s">
        <v>1480</v>
      </c>
      <c r="I165" s="1400" t="s">
        <v>95</v>
      </c>
      <c r="J165" s="1400" t="s">
        <v>1481</v>
      </c>
      <c r="K165" s="580" t="s">
        <v>962</v>
      </c>
      <c r="L165" s="69" t="s">
        <v>597</v>
      </c>
      <c r="M165" s="1400"/>
      <c r="N165" s="1400"/>
      <c r="O165" s="1400"/>
      <c r="P165" s="1398"/>
      <c r="Q165" s="1398"/>
      <c r="R165" s="1398"/>
    </row>
    <row r="166" spans="1:18" s="83" customFormat="1" ht="15" customHeight="1">
      <c r="A166" s="1397">
        <v>203</v>
      </c>
      <c r="B166" s="757"/>
      <c r="C166" s="528" t="str">
        <f t="shared" si="6"/>
        <v>MUSSO  Romain (SUISSCOURTAGE Monaco)</v>
      </c>
      <c r="D166" s="528" t="str">
        <f t="shared" si="7"/>
        <v/>
      </c>
      <c r="E166" s="677" t="s">
        <v>558</v>
      </c>
      <c r="F166" s="580" t="s">
        <v>592</v>
      </c>
      <c r="G166" s="757"/>
      <c r="H166" s="757" t="s">
        <v>999</v>
      </c>
      <c r="I166" s="757" t="s">
        <v>1000</v>
      </c>
      <c r="J166" s="1397" t="s">
        <v>1001</v>
      </c>
      <c r="K166" s="580" t="s">
        <v>1002</v>
      </c>
      <c r="L166" s="69" t="s">
        <v>597</v>
      </c>
      <c r="M166" s="757"/>
      <c r="N166" s="757"/>
      <c r="O166" s="757"/>
      <c r="P166" s="683"/>
      <c r="Q166" s="683"/>
      <c r="R166" s="683"/>
    </row>
    <row r="167" spans="1:18" s="83" customFormat="1" ht="15" customHeight="1">
      <c r="A167" s="783">
        <v>159</v>
      </c>
      <c r="B167" s="1397">
        <v>61</v>
      </c>
      <c r="C167" s="528" t="str">
        <f t="shared" si="6"/>
        <v/>
      </c>
      <c r="D167" s="528" t="str">
        <f t="shared" si="7"/>
        <v>NAFFOUTI Fabienne (Navilux SA)</v>
      </c>
      <c r="E167" s="1400" t="s">
        <v>1440</v>
      </c>
      <c r="F167" s="580" t="s">
        <v>1159</v>
      </c>
      <c r="G167" s="757"/>
      <c r="H167" s="757" t="s">
        <v>1482</v>
      </c>
      <c r="I167" s="757" t="s">
        <v>1056</v>
      </c>
      <c r="J167" s="71" t="s">
        <v>1483</v>
      </c>
      <c r="K167" s="783" t="s">
        <v>1484</v>
      </c>
      <c r="L167" s="69" t="s">
        <v>597</v>
      </c>
      <c r="M167" s="792" t="s">
        <v>495</v>
      </c>
      <c r="N167" s="757" t="s">
        <v>1485</v>
      </c>
      <c r="O167" s="757"/>
      <c r="P167" s="1398"/>
      <c r="Q167" s="1398"/>
      <c r="R167" s="1398"/>
    </row>
    <row r="168" spans="1:18" s="83" customFormat="1" ht="15" customHeight="1">
      <c r="A168" s="580">
        <v>244</v>
      </c>
      <c r="B168" s="580">
        <v>88</v>
      </c>
      <c r="C168" s="528" t="str">
        <f t="shared" si="6"/>
        <v>NAMAK Arawan (Poe-ma Thai Insurance Brokers Co., Ltd)</v>
      </c>
      <c r="D168" s="528" t="str">
        <f t="shared" si="7"/>
        <v/>
      </c>
      <c r="E168" s="1397" t="s">
        <v>2570</v>
      </c>
      <c r="F168" s="580" t="s">
        <v>592</v>
      </c>
      <c r="G168" s="1397"/>
      <c r="H168" s="1397" t="s">
        <v>2575</v>
      </c>
      <c r="I168" s="1397" t="s">
        <v>2576</v>
      </c>
      <c r="J168" s="1397" t="s">
        <v>2577</v>
      </c>
      <c r="K168" s="580"/>
      <c r="L168" s="69"/>
      <c r="M168" s="1397"/>
      <c r="N168" s="1397"/>
      <c r="O168" s="1397"/>
      <c r="P168" s="1402"/>
      <c r="Q168" s="1402"/>
      <c r="R168" s="1402"/>
    </row>
    <row r="169" spans="1:18" s="83" customFormat="1" ht="15" customHeight="1">
      <c r="A169" s="1400">
        <v>216</v>
      </c>
      <c r="B169" s="580"/>
      <c r="C169" s="528" t="str">
        <f t="shared" si="6"/>
        <v>Neieta  (UVEA MARINE SERVICE)</v>
      </c>
      <c r="D169" s="528" t="str">
        <f t="shared" si="7"/>
        <v/>
      </c>
      <c r="E169" s="1400" t="s">
        <v>645</v>
      </c>
      <c r="F169" s="580" t="s">
        <v>592</v>
      </c>
      <c r="G169" s="580"/>
      <c r="H169" s="580" t="s">
        <v>1003</v>
      </c>
      <c r="I169" s="580"/>
      <c r="J169" s="1400" t="s">
        <v>1004</v>
      </c>
      <c r="K169" s="1400" t="s">
        <v>1005</v>
      </c>
      <c r="L169" s="69" t="s">
        <v>597</v>
      </c>
      <c r="M169" s="783"/>
      <c r="N169" s="580"/>
      <c r="O169" s="580"/>
      <c r="P169" s="683"/>
      <c r="Q169" s="683"/>
      <c r="R169" s="683"/>
    </row>
    <row r="170" spans="1:18" s="83" customFormat="1" ht="15" customHeight="1">
      <c r="A170" s="1397">
        <v>143</v>
      </c>
      <c r="B170" s="580"/>
      <c r="C170" s="528" t="str">
        <f t="shared" si="6"/>
        <v/>
      </c>
      <c r="D170" s="528" t="str">
        <f t="shared" si="7"/>
        <v>NOUAMRIA Caroline (MTAIC Cannes)</v>
      </c>
      <c r="E170" s="1401" t="s">
        <v>479</v>
      </c>
      <c r="F170" s="580" t="s">
        <v>1159</v>
      </c>
      <c r="G170" s="1400"/>
      <c r="H170" s="580" t="s">
        <v>1006</v>
      </c>
      <c r="I170" s="580" t="s">
        <v>1007</v>
      </c>
      <c r="J170" s="74" t="s">
        <v>1008</v>
      </c>
      <c r="K170" s="74"/>
      <c r="L170" s="69" t="s">
        <v>624</v>
      </c>
      <c r="M170" s="580"/>
      <c r="N170" s="1400"/>
      <c r="O170" s="580"/>
      <c r="P170" s="716"/>
      <c r="Q170" s="716"/>
      <c r="R170" s="716"/>
    </row>
    <row r="171" spans="1:18" s="83" customFormat="1" ht="15" customHeight="1">
      <c r="A171" s="1400">
        <v>15</v>
      </c>
      <c r="B171" s="580">
        <v>18</v>
      </c>
      <c r="C171" s="528" t="str">
        <f t="shared" si="6"/>
        <v/>
      </c>
      <c r="D171" s="528" t="str">
        <f t="shared" si="7"/>
        <v>NOYER Céline (Aquila Yachting)</v>
      </c>
      <c r="E171" s="580" t="s">
        <v>1671</v>
      </c>
      <c r="F171" s="580" t="s">
        <v>1159</v>
      </c>
      <c r="G171" s="1397"/>
      <c r="H171" s="580" t="s">
        <v>1486</v>
      </c>
      <c r="I171" s="580" t="s">
        <v>94</v>
      </c>
      <c r="J171" s="580" t="s">
        <v>1487</v>
      </c>
      <c r="K171" s="580" t="s">
        <v>1488</v>
      </c>
      <c r="L171" s="69" t="s">
        <v>597</v>
      </c>
      <c r="M171" s="783" t="s">
        <v>1489</v>
      </c>
      <c r="N171" s="1397"/>
      <c r="O171" s="580" t="s">
        <v>1490</v>
      </c>
      <c r="P171" s="422"/>
      <c r="Q171" s="422"/>
      <c r="R171" s="422"/>
    </row>
    <row r="172" spans="1:18" s="83" customFormat="1" ht="15" customHeight="1">
      <c r="A172" s="69">
        <v>5</v>
      </c>
      <c r="B172" s="580">
        <v>82</v>
      </c>
      <c r="C172" s="528" t="str">
        <f t="shared" si="6"/>
        <v/>
      </c>
      <c r="D172" s="528" t="str">
        <f t="shared" si="7"/>
        <v>OLLIVRY Pierre (Adros Shipping Limited)</v>
      </c>
      <c r="E172" s="580" t="s">
        <v>1725</v>
      </c>
      <c r="F172" s="580" t="s">
        <v>1171</v>
      </c>
      <c r="G172" s="783"/>
      <c r="H172" s="580" t="s">
        <v>1491</v>
      </c>
      <c r="I172" s="580" t="s">
        <v>879</v>
      </c>
      <c r="J172" s="1400" t="s">
        <v>1492</v>
      </c>
      <c r="K172" s="580" t="s">
        <v>1493</v>
      </c>
      <c r="L172" s="69" t="s">
        <v>597</v>
      </c>
      <c r="M172" s="580"/>
      <c r="N172" s="580"/>
      <c r="O172" s="580"/>
      <c r="P172" s="1398"/>
      <c r="Q172" s="1398"/>
      <c r="R172" s="1398"/>
    </row>
    <row r="173" spans="1:18" s="83" customFormat="1" ht="15" customHeight="1">
      <c r="A173" s="757">
        <v>208</v>
      </c>
      <c r="B173" s="580"/>
      <c r="C173" s="528" t="str">
        <f t="shared" si="6"/>
        <v>ORIGET Thomas (TOP CHARTER)</v>
      </c>
      <c r="D173" s="528" t="str">
        <f t="shared" si="7"/>
        <v/>
      </c>
      <c r="E173" s="580" t="s">
        <v>2491</v>
      </c>
      <c r="F173" s="580" t="s">
        <v>592</v>
      </c>
      <c r="G173" s="580"/>
      <c r="H173" s="580" t="s">
        <v>2523</v>
      </c>
      <c r="I173" s="580" t="s">
        <v>692</v>
      </c>
      <c r="J173" s="676" t="s">
        <v>2524</v>
      </c>
      <c r="K173" s="580"/>
      <c r="L173" s="69" t="s">
        <v>597</v>
      </c>
      <c r="M173" s="783" t="s">
        <v>2525</v>
      </c>
      <c r="N173" s="580"/>
      <c r="O173" s="580"/>
      <c r="P173" s="683"/>
      <c r="Q173" s="683"/>
      <c r="R173" s="683"/>
    </row>
    <row r="174" spans="1:18" s="83" customFormat="1" ht="15" customHeight="1">
      <c r="A174" s="757">
        <v>145</v>
      </c>
      <c r="B174" s="783"/>
      <c r="C174" s="528" t="str">
        <f t="shared" si="6"/>
        <v/>
      </c>
      <c r="D174" s="528" t="str">
        <f t="shared" si="7"/>
        <v>ORIO Iltud (MW AFRITEC)</v>
      </c>
      <c r="E174" s="580" t="s">
        <v>1664</v>
      </c>
      <c r="F174" s="580" t="s">
        <v>1171</v>
      </c>
      <c r="G174" s="1400"/>
      <c r="H174" s="580" t="s">
        <v>1494</v>
      </c>
      <c r="I174" s="580" t="s">
        <v>1495</v>
      </c>
      <c r="J174" s="580" t="s">
        <v>1496</v>
      </c>
      <c r="K174" s="580" t="s">
        <v>1497</v>
      </c>
      <c r="L174" s="69" t="s">
        <v>597</v>
      </c>
      <c r="M174" s="580"/>
      <c r="N174" s="580"/>
      <c r="O174" s="580"/>
      <c r="P174" s="716"/>
      <c r="Q174" s="716"/>
      <c r="R174" s="716"/>
    </row>
    <row r="175" spans="1:18" s="83" customFormat="1" ht="15" customHeight="1">
      <c r="A175" s="1397">
        <v>127</v>
      </c>
      <c r="B175" s="783">
        <v>57</v>
      </c>
      <c r="C175" s="528" t="str">
        <f t="shared" si="6"/>
        <v/>
      </c>
      <c r="D175" s="528" t="str">
        <f t="shared" si="7"/>
        <v>ORTIZ Marie (MAGELLAN)</v>
      </c>
      <c r="E175" s="580" t="s">
        <v>1196</v>
      </c>
      <c r="F175" s="580" t="s">
        <v>1159</v>
      </c>
      <c r="G175" s="1397"/>
      <c r="H175" s="580" t="s">
        <v>1498</v>
      </c>
      <c r="I175" s="580" t="s">
        <v>1499</v>
      </c>
      <c r="J175" s="580" t="s">
        <v>1500</v>
      </c>
      <c r="K175" s="580" t="s">
        <v>1501</v>
      </c>
      <c r="L175" s="69" t="s">
        <v>597</v>
      </c>
      <c r="M175" s="783" t="s">
        <v>2511</v>
      </c>
      <c r="N175" s="580"/>
      <c r="O175" s="783"/>
      <c r="P175" s="716"/>
      <c r="Q175" s="716"/>
      <c r="R175" s="716"/>
    </row>
    <row r="176" spans="1:18" s="83" customFormat="1" ht="15" customHeight="1">
      <c r="A176" s="783">
        <v>129</v>
      </c>
      <c r="B176" s="1400"/>
      <c r="C176" s="528" t="str">
        <f t="shared" si="6"/>
        <v/>
      </c>
      <c r="D176" s="528" t="str">
        <f t="shared" si="7"/>
        <v>OTIENO Christine (Mann Made Corporate Services Limited)</v>
      </c>
      <c r="E176" s="580" t="s">
        <v>1502</v>
      </c>
      <c r="F176" s="580" t="s">
        <v>1159</v>
      </c>
      <c r="G176" s="580"/>
      <c r="H176" s="580" t="s">
        <v>1507</v>
      </c>
      <c r="I176" s="580" t="s">
        <v>862</v>
      </c>
      <c r="J176" s="580" t="s">
        <v>1508</v>
      </c>
      <c r="K176" s="580" t="s">
        <v>1509</v>
      </c>
      <c r="L176" s="69" t="s">
        <v>597</v>
      </c>
      <c r="M176" s="580" t="s">
        <v>1510</v>
      </c>
      <c r="N176" s="580"/>
      <c r="O176" s="580" t="s">
        <v>1511</v>
      </c>
      <c r="P176" s="1398"/>
      <c r="Q176" s="1398"/>
      <c r="R176" s="1398"/>
    </row>
    <row r="177" spans="1:18" s="83" customFormat="1" ht="15" customHeight="1">
      <c r="A177" s="1400">
        <v>21</v>
      </c>
      <c r="B177" s="757"/>
      <c r="C177" s="528" t="str">
        <f t="shared" si="6"/>
        <v>PAGNAMENTA Ilaria (Assicurazioni Pagnamenta Insurance Broker SA )</v>
      </c>
      <c r="D177" s="528" t="str">
        <f t="shared" si="7"/>
        <v/>
      </c>
      <c r="E177" s="783" t="s">
        <v>1009</v>
      </c>
      <c r="F177" s="580" t="s">
        <v>592</v>
      </c>
      <c r="G177" s="580"/>
      <c r="H177" s="580" t="s">
        <v>1011</v>
      </c>
      <c r="I177" s="580" t="s">
        <v>1012</v>
      </c>
      <c r="J177" s="580" t="s">
        <v>1013</v>
      </c>
      <c r="K177" s="580" t="s">
        <v>1014</v>
      </c>
      <c r="L177" s="69" t="s">
        <v>597</v>
      </c>
      <c r="M177" s="1400" t="s">
        <v>1015</v>
      </c>
      <c r="N177" s="580"/>
      <c r="O177" s="1400"/>
    </row>
    <row r="178" spans="1:18" s="83" customFormat="1" ht="15" customHeight="1">
      <c r="A178" s="69">
        <v>22</v>
      </c>
      <c r="B178" s="1397"/>
      <c r="C178" s="528" t="str">
        <f t="shared" si="6"/>
        <v>PAGNAMENTA Luca (Assicurazioni Pagnamenta Insurance Broker SA )</v>
      </c>
      <c r="D178" s="528" t="str">
        <f t="shared" si="7"/>
        <v/>
      </c>
      <c r="E178" s="783" t="s">
        <v>1009</v>
      </c>
      <c r="F178" s="580" t="s">
        <v>592</v>
      </c>
      <c r="G178" s="580"/>
      <c r="H178" s="580" t="s">
        <v>1011</v>
      </c>
      <c r="I178" s="580" t="s">
        <v>1016</v>
      </c>
      <c r="J178" s="580" t="s">
        <v>1017</v>
      </c>
      <c r="K178" s="580" t="s">
        <v>1018</v>
      </c>
      <c r="L178" s="69" t="s">
        <v>597</v>
      </c>
      <c r="M178" s="1397" t="s">
        <v>1019</v>
      </c>
      <c r="N178" s="580"/>
      <c r="O178" s="1397" t="s">
        <v>1020</v>
      </c>
    </row>
    <row r="179" spans="1:18" s="83" customFormat="1" ht="15" customHeight="1">
      <c r="A179" s="69">
        <v>217</v>
      </c>
      <c r="B179" s="580"/>
      <c r="C179" s="528" t="str">
        <f t="shared" si="6"/>
        <v>PENEDO Pilar (UVEA MARINE SERVICE)</v>
      </c>
      <c r="D179" s="528" t="str">
        <f t="shared" si="7"/>
        <v/>
      </c>
      <c r="E179" s="1400" t="s">
        <v>645</v>
      </c>
      <c r="F179" s="580" t="s">
        <v>592</v>
      </c>
      <c r="G179" s="580"/>
      <c r="H179" s="580" t="s">
        <v>1021</v>
      </c>
      <c r="I179" s="580" t="s">
        <v>1022</v>
      </c>
      <c r="J179" s="580" t="s">
        <v>1023</v>
      </c>
      <c r="K179" s="580" t="s">
        <v>1024</v>
      </c>
      <c r="L179" s="69" t="s">
        <v>597</v>
      </c>
      <c r="M179" s="783"/>
      <c r="N179" s="580"/>
      <c r="O179" s="580"/>
      <c r="P179" s="683"/>
      <c r="Q179" s="683"/>
      <c r="R179" s="683"/>
    </row>
    <row r="180" spans="1:18" s="680" customFormat="1" ht="15" customHeight="1">
      <c r="A180" s="757">
        <v>35</v>
      </c>
      <c r="B180" s="783">
        <v>1011</v>
      </c>
      <c r="C180" s="528" t="str">
        <f t="shared" si="6"/>
        <v/>
      </c>
      <c r="D180" s="528" t="str">
        <f t="shared" si="7"/>
        <v>PEREIRA José Carlos (BOATTRUST )</v>
      </c>
      <c r="E180" s="773" t="s">
        <v>301</v>
      </c>
      <c r="F180" s="580" t="s">
        <v>1159</v>
      </c>
      <c r="G180" s="580"/>
      <c r="H180" s="580" t="s">
        <v>1513</v>
      </c>
      <c r="I180" s="580" t="s">
        <v>1514</v>
      </c>
      <c r="J180" s="783" t="s">
        <v>1515</v>
      </c>
      <c r="K180" s="580" t="s">
        <v>1516</v>
      </c>
      <c r="L180" s="69"/>
      <c r="M180" s="580" t="s">
        <v>1517</v>
      </c>
      <c r="N180" s="580"/>
      <c r="O180" s="580" t="s">
        <v>1518</v>
      </c>
      <c r="P180" s="716"/>
      <c r="Q180" s="716"/>
      <c r="R180" s="716"/>
    </row>
    <row r="181" spans="1:18" s="680" customFormat="1" ht="15" customHeight="1">
      <c r="A181" s="69">
        <v>211</v>
      </c>
      <c r="B181" s="783">
        <v>72</v>
      </c>
      <c r="C181" s="528" t="str">
        <f t="shared" si="6"/>
        <v/>
      </c>
      <c r="D181" s="528" t="str">
        <f t="shared" si="7"/>
        <v>PERREL Olivier (UNIQUE YACHTING MONACO  )</v>
      </c>
      <c r="E181" s="1401" t="s">
        <v>1378</v>
      </c>
      <c r="F181" s="580" t="s">
        <v>1159</v>
      </c>
      <c r="G181" s="783"/>
      <c r="H181" s="783" t="s">
        <v>1519</v>
      </c>
      <c r="I181" s="783" t="s">
        <v>641</v>
      </c>
      <c r="J181" s="783" t="s">
        <v>1520</v>
      </c>
      <c r="K181" s="580" t="s">
        <v>1521</v>
      </c>
      <c r="L181" s="69"/>
      <c r="M181" s="783"/>
      <c r="N181" s="783"/>
      <c r="O181" s="580"/>
      <c r="P181" s="422"/>
      <c r="Q181" s="422"/>
      <c r="R181" s="422"/>
    </row>
    <row r="182" spans="1:18" s="680" customFormat="1" ht="15" customHeight="1">
      <c r="A182" s="1397">
        <v>7</v>
      </c>
      <c r="B182" s="1400">
        <v>71</v>
      </c>
      <c r="C182" s="528" t="str">
        <f t="shared" si="6"/>
        <v/>
      </c>
      <c r="D182" s="528" t="str">
        <f t="shared" si="7"/>
        <v>PETITJEAN Eric (Alliance Yacht Management Ltd)</v>
      </c>
      <c r="E182" s="580" t="s">
        <v>1522</v>
      </c>
      <c r="F182" s="580" t="s">
        <v>1171</v>
      </c>
      <c r="G182" s="580"/>
      <c r="H182" s="580" t="s">
        <v>1527</v>
      </c>
      <c r="I182" s="580" t="s">
        <v>1528</v>
      </c>
      <c r="J182" s="1400" t="s">
        <v>1529</v>
      </c>
      <c r="K182" s="580" t="s">
        <v>1530</v>
      </c>
      <c r="L182" s="69"/>
      <c r="M182" s="580" t="s">
        <v>1531</v>
      </c>
      <c r="N182" s="580"/>
      <c r="O182" s="580" t="s">
        <v>1532</v>
      </c>
      <c r="P182" s="1398"/>
      <c r="Q182" s="1398"/>
      <c r="R182" s="1398"/>
    </row>
    <row r="183" spans="1:18" s="680" customFormat="1" ht="15" customHeight="1">
      <c r="A183" s="1400">
        <v>27</v>
      </c>
      <c r="B183" s="757"/>
      <c r="C183" s="528" t="str">
        <f t="shared" si="6"/>
        <v>PEYLET Marie-Christine (AXA Yachting Solutions)</v>
      </c>
      <c r="D183" s="528" t="str">
        <f t="shared" si="7"/>
        <v/>
      </c>
      <c r="E183" s="1400" t="s">
        <v>294</v>
      </c>
      <c r="F183" s="580" t="s">
        <v>592</v>
      </c>
      <c r="G183" s="1400"/>
      <c r="H183" s="1400" t="s">
        <v>1025</v>
      </c>
      <c r="I183" s="1400" t="s">
        <v>1026</v>
      </c>
      <c r="J183" s="676" t="s">
        <v>1027</v>
      </c>
      <c r="K183" s="580"/>
      <c r="L183" s="69"/>
      <c r="M183" s="1400"/>
      <c r="N183" s="1400"/>
      <c r="O183" s="580"/>
      <c r="P183" s="83"/>
      <c r="Q183" s="83"/>
      <c r="R183" s="83"/>
    </row>
    <row r="184" spans="1:18" s="680" customFormat="1" ht="15" customHeight="1">
      <c r="A184" s="69">
        <v>103</v>
      </c>
      <c r="B184" s="1397"/>
      <c r="C184" s="528" t="str">
        <f t="shared" si="6"/>
        <v/>
      </c>
      <c r="D184" s="528" t="str">
        <f t="shared" si="7"/>
        <v>PIALLES  Eric (IDOL YACHTING LIMITED)</v>
      </c>
      <c r="E184" s="1397" t="s">
        <v>1533</v>
      </c>
      <c r="F184" s="580" t="s">
        <v>1171</v>
      </c>
      <c r="G184" s="1397"/>
      <c r="H184" s="1397" t="s">
        <v>1537</v>
      </c>
      <c r="I184" s="1397" t="s">
        <v>1528</v>
      </c>
      <c r="J184" s="71"/>
      <c r="K184" s="580"/>
      <c r="L184" s="69" t="s">
        <v>597</v>
      </c>
      <c r="M184" s="1397"/>
      <c r="N184" s="1397"/>
      <c r="O184" s="580" t="s">
        <v>1538</v>
      </c>
      <c r="P184" s="716"/>
      <c r="Q184" s="716"/>
      <c r="R184" s="716"/>
    </row>
    <row r="185" spans="1:18" s="680" customFormat="1" ht="15" customHeight="1">
      <c r="A185" s="69">
        <v>178</v>
      </c>
      <c r="B185" s="580">
        <v>1052</v>
      </c>
      <c r="C185" s="528" t="str">
        <f t="shared" si="6"/>
        <v/>
      </c>
      <c r="D185" s="528" t="str">
        <f t="shared" si="7"/>
        <v>PIARDI David (Ryo Charter Limitada)</v>
      </c>
      <c r="E185" s="580" t="s">
        <v>1539</v>
      </c>
      <c r="F185" s="580" t="s">
        <v>1171</v>
      </c>
      <c r="G185" s="580"/>
      <c r="H185" s="580" t="s">
        <v>1544</v>
      </c>
      <c r="I185" s="580" t="s">
        <v>781</v>
      </c>
      <c r="J185" s="580" t="s">
        <v>1545</v>
      </c>
      <c r="K185" s="580" t="s">
        <v>1546</v>
      </c>
      <c r="L185" s="69"/>
      <c r="M185" s="783"/>
      <c r="N185" s="783"/>
      <c r="O185" s="783"/>
      <c r="P185" s="422"/>
      <c r="Q185" s="422"/>
      <c r="R185" s="422"/>
    </row>
    <row r="186" spans="1:18" s="680" customFormat="1" ht="15" customHeight="1">
      <c r="A186" s="757">
        <v>160</v>
      </c>
      <c r="B186" s="580">
        <v>61</v>
      </c>
      <c r="C186" s="528" t="str">
        <f t="shared" si="6"/>
        <v/>
      </c>
      <c r="D186" s="528" t="str">
        <f t="shared" si="7"/>
        <v>PICARD Caroline (Navilux SA)</v>
      </c>
      <c r="E186" s="580" t="s">
        <v>1440</v>
      </c>
      <c r="F186" s="580" t="s">
        <v>1159</v>
      </c>
      <c r="G186" s="580"/>
      <c r="H186" s="580" t="s">
        <v>1547</v>
      </c>
      <c r="I186" s="580" t="s">
        <v>1007</v>
      </c>
      <c r="J186" s="783" t="s">
        <v>1548</v>
      </c>
      <c r="K186" s="580" t="s">
        <v>1372</v>
      </c>
      <c r="L186" s="69" t="s">
        <v>597</v>
      </c>
      <c r="M186" s="783"/>
      <c r="N186" s="783"/>
      <c r="O186" s="783"/>
      <c r="P186" s="1398"/>
      <c r="Q186" s="1398"/>
      <c r="R186" s="1398"/>
    </row>
    <row r="187" spans="1:18" s="680" customFormat="1" ht="15" customHeight="1">
      <c r="A187" s="69">
        <v>4</v>
      </c>
      <c r="B187" s="580"/>
      <c r="C187" s="528" t="str">
        <f t="shared" si="6"/>
        <v>PITAOULIS Georges (ABC Maritime)</v>
      </c>
      <c r="D187" s="528" t="str">
        <f t="shared" si="7"/>
        <v/>
      </c>
      <c r="E187" s="783" t="s">
        <v>1028</v>
      </c>
      <c r="F187" s="580" t="s">
        <v>592</v>
      </c>
      <c r="G187" s="580"/>
      <c r="H187" s="580" t="s">
        <v>1030</v>
      </c>
      <c r="I187" s="580" t="s">
        <v>1031</v>
      </c>
      <c r="J187" s="580" t="s">
        <v>1032</v>
      </c>
      <c r="K187" s="580" t="s">
        <v>1033</v>
      </c>
      <c r="L187" s="69" t="s">
        <v>624</v>
      </c>
      <c r="M187" s="1400" t="s">
        <v>1034</v>
      </c>
      <c r="N187" s="1400"/>
      <c r="O187" s="1400"/>
      <c r="P187" s="83"/>
      <c r="Q187" s="83"/>
      <c r="R187" s="83"/>
    </row>
    <row r="188" spans="1:18" s="680" customFormat="1" ht="15" customHeight="1">
      <c r="A188" s="1397">
        <v>118</v>
      </c>
      <c r="B188" s="783"/>
      <c r="C188" s="528" t="str">
        <f t="shared" si="6"/>
        <v/>
      </c>
      <c r="D188" s="528" t="str">
        <f t="shared" si="7"/>
        <v>POCACHARD Christel (LENGERS YACHTS)</v>
      </c>
      <c r="E188" s="783" t="s">
        <v>1549</v>
      </c>
      <c r="F188" s="580" t="s">
        <v>1159</v>
      </c>
      <c r="G188" s="783" t="s">
        <v>1557</v>
      </c>
      <c r="H188" s="783" t="s">
        <v>1553</v>
      </c>
      <c r="I188" s="783" t="s">
        <v>1554</v>
      </c>
      <c r="J188" s="1400" t="s">
        <v>1555</v>
      </c>
      <c r="K188" s="580" t="s">
        <v>1556</v>
      </c>
      <c r="L188" s="69" t="s">
        <v>597</v>
      </c>
      <c r="M188" s="802" t="s">
        <v>1558</v>
      </c>
      <c r="N188" s="802"/>
      <c r="O188" s="802" t="s">
        <v>1559</v>
      </c>
      <c r="P188" s="716"/>
      <c r="Q188" s="716"/>
      <c r="R188" s="716"/>
    </row>
    <row r="189" spans="1:18" s="680" customFormat="1" ht="15" customHeight="1">
      <c r="A189" s="1400">
        <v>156</v>
      </c>
      <c r="B189" s="783"/>
      <c r="C189" s="528" t="str">
        <f t="shared" si="6"/>
        <v/>
      </c>
      <c r="D189" s="528" t="str">
        <f t="shared" si="7"/>
        <v>POCACHARD Christel (NATUR’ALLY YACHTING)</v>
      </c>
      <c r="E189" s="1400" t="s">
        <v>2488</v>
      </c>
      <c r="F189" s="580" t="s">
        <v>1159</v>
      </c>
      <c r="G189" s="580" t="s">
        <v>1557</v>
      </c>
      <c r="H189" s="580" t="s">
        <v>1553</v>
      </c>
      <c r="I189" s="580" t="s">
        <v>1554</v>
      </c>
      <c r="J189" s="772" t="s">
        <v>2514</v>
      </c>
      <c r="K189" s="580" t="s">
        <v>1556</v>
      </c>
      <c r="L189" s="69" t="s">
        <v>597</v>
      </c>
      <c r="M189" s="1020" t="s">
        <v>2515</v>
      </c>
      <c r="N189" s="1020"/>
      <c r="O189" s="1020" t="s">
        <v>2515</v>
      </c>
      <c r="P189" s="1398"/>
      <c r="Q189" s="1398"/>
      <c r="R189" s="1398"/>
    </row>
    <row r="190" spans="1:18" s="680" customFormat="1" ht="15" customHeight="1">
      <c r="A190" s="69">
        <v>172</v>
      </c>
      <c r="B190" s="1400"/>
      <c r="C190" s="528" t="str">
        <f t="shared" si="6"/>
        <v>POGGIO Daniele (POGGIO Monaco)</v>
      </c>
      <c r="D190" s="528" t="str">
        <f t="shared" si="7"/>
        <v/>
      </c>
      <c r="E190" s="677" t="s">
        <v>518</v>
      </c>
      <c r="F190" s="783" t="s">
        <v>592</v>
      </c>
      <c r="G190" s="1400"/>
      <c r="H190" s="1400" t="s">
        <v>1035</v>
      </c>
      <c r="I190" s="1400" t="s">
        <v>1039</v>
      </c>
      <c r="J190" s="1400" t="s">
        <v>1037</v>
      </c>
      <c r="K190" s="783" t="s">
        <v>1040</v>
      </c>
      <c r="L190" s="69" t="s">
        <v>597</v>
      </c>
      <c r="M190" s="1400" t="s">
        <v>1041</v>
      </c>
      <c r="N190" s="1400"/>
      <c r="O190" s="1400" t="s">
        <v>1042</v>
      </c>
      <c r="P190" s="683"/>
      <c r="Q190" s="683"/>
      <c r="R190" s="683"/>
    </row>
    <row r="191" spans="1:18" s="680" customFormat="1" ht="15" customHeight="1">
      <c r="A191" s="1397">
        <v>173</v>
      </c>
      <c r="B191" s="757"/>
      <c r="C191" s="528" t="str">
        <f t="shared" si="6"/>
        <v>POGGIO dominique  (POGGIO Monaco)</v>
      </c>
      <c r="D191" s="528" t="str">
        <f t="shared" si="7"/>
        <v/>
      </c>
      <c r="E191" s="677" t="s">
        <v>518</v>
      </c>
      <c r="F191" s="580" t="s">
        <v>592</v>
      </c>
      <c r="G191" s="1397"/>
      <c r="H191" s="1397" t="s">
        <v>1035</v>
      </c>
      <c r="I191" s="1397" t="s">
        <v>1036</v>
      </c>
      <c r="J191" s="71" t="s">
        <v>1037</v>
      </c>
      <c r="K191" s="580" t="s">
        <v>1038</v>
      </c>
      <c r="L191" s="69" t="s">
        <v>597</v>
      </c>
      <c r="M191" s="1397"/>
      <c r="N191" s="1397"/>
      <c r="O191" s="1397"/>
      <c r="P191" s="683"/>
      <c r="Q191" s="683"/>
      <c r="R191" s="683"/>
    </row>
    <row r="192" spans="1:18" s="680" customFormat="1" ht="15" customHeight="1">
      <c r="A192" s="1400">
        <v>66</v>
      </c>
      <c r="B192" s="757"/>
      <c r="C192" s="528" t="str">
        <f t="shared" si="6"/>
        <v>POSSO Sylvain (Compagnie du Ponant)</v>
      </c>
      <c r="D192" s="528" t="str">
        <f t="shared" si="7"/>
        <v/>
      </c>
      <c r="E192" s="1400" t="s">
        <v>1043</v>
      </c>
      <c r="F192" s="1400" t="s">
        <v>592</v>
      </c>
      <c r="G192" s="1400"/>
      <c r="H192" s="1400" t="s">
        <v>1044</v>
      </c>
      <c r="I192" s="1400" t="s">
        <v>1045</v>
      </c>
      <c r="J192" s="1400" t="s">
        <v>1046</v>
      </c>
      <c r="K192" s="1400" t="s">
        <v>1047</v>
      </c>
      <c r="L192" s="69" t="s">
        <v>597</v>
      </c>
      <c r="M192" s="1400"/>
      <c r="N192" s="1400"/>
      <c r="O192" s="1400"/>
      <c r="P192" s="83"/>
      <c r="Q192" s="83"/>
      <c r="R192" s="83"/>
    </row>
    <row r="193" spans="1:18" s="680" customFormat="1" ht="15" customHeight="1">
      <c r="A193" s="69">
        <v>28</v>
      </c>
      <c r="B193" s="1397"/>
      <c r="C193" s="528" t="str">
        <f t="shared" si="6"/>
        <v/>
      </c>
      <c r="D193" s="528" t="str">
        <f t="shared" si="7"/>
        <v>POUWELS Karine (Bachmann Marine)</v>
      </c>
      <c r="E193" s="1397" t="s">
        <v>1560</v>
      </c>
      <c r="F193" s="1397" t="s">
        <v>1159</v>
      </c>
      <c r="G193" s="1397" t="s">
        <v>1565</v>
      </c>
      <c r="H193" s="1397" t="s">
        <v>1563</v>
      </c>
      <c r="I193" s="1397" t="s">
        <v>1564</v>
      </c>
      <c r="J193" s="1397"/>
      <c r="K193" s="1397"/>
      <c r="L193" s="69" t="s">
        <v>624</v>
      </c>
      <c r="M193" s="1397" t="s">
        <v>1566</v>
      </c>
      <c r="N193" s="1397"/>
      <c r="O193" s="1397"/>
      <c r="P193" s="422"/>
      <c r="Q193" s="422"/>
      <c r="R193" s="422"/>
    </row>
    <row r="194" spans="1:18" s="680" customFormat="1" ht="15" customHeight="1">
      <c r="A194" s="1397">
        <v>146</v>
      </c>
      <c r="B194" s="580">
        <v>60</v>
      </c>
      <c r="C194" s="528" t="str">
        <f t="shared" si="6"/>
        <v/>
      </c>
      <c r="D194" s="528" t="str">
        <f t="shared" si="7"/>
        <v>PRADINES Lionel (MW AFRITEC)</v>
      </c>
      <c r="E194" s="580" t="s">
        <v>1664</v>
      </c>
      <c r="F194" s="580" t="s">
        <v>1159</v>
      </c>
      <c r="G194" s="580"/>
      <c r="H194" s="580" t="s">
        <v>1570</v>
      </c>
      <c r="I194" s="580" t="s">
        <v>1571</v>
      </c>
      <c r="J194" s="580" t="s">
        <v>1572</v>
      </c>
      <c r="K194" s="580" t="s">
        <v>1573</v>
      </c>
      <c r="L194" s="69"/>
      <c r="M194" s="580"/>
      <c r="N194" s="580"/>
      <c r="O194" s="580"/>
      <c r="P194" s="1398"/>
      <c r="Q194" s="1398"/>
      <c r="R194" s="1398"/>
    </row>
    <row r="195" spans="1:18" s="683" customFormat="1" ht="15" customHeight="1">
      <c r="A195" s="1400">
        <v>183</v>
      </c>
      <c r="B195" s="580"/>
      <c r="C195" s="528" t="str">
        <f t="shared" si="6"/>
        <v>PRONO  Marie-Guenole (SETAF SAGET)</v>
      </c>
      <c r="D195" s="528" t="str">
        <f t="shared" si="7"/>
        <v/>
      </c>
      <c r="E195" s="580" t="s">
        <v>1048</v>
      </c>
      <c r="F195" s="580" t="s">
        <v>592</v>
      </c>
      <c r="G195" s="580"/>
      <c r="H195" s="580" t="s">
        <v>1052</v>
      </c>
      <c r="I195" s="580" t="s">
        <v>1053</v>
      </c>
      <c r="J195" s="580" t="s">
        <v>1054</v>
      </c>
      <c r="K195" s="580" t="s">
        <v>1053</v>
      </c>
      <c r="L195" s="69"/>
      <c r="M195" s="783"/>
      <c r="N195" s="580"/>
      <c r="O195" s="580"/>
    </row>
    <row r="196" spans="1:18" s="683" customFormat="1" ht="15" customHeight="1">
      <c r="A196" s="1397">
        <v>236</v>
      </c>
      <c r="B196" s="580">
        <v>59</v>
      </c>
      <c r="C196" s="528" t="str">
        <f t="shared" si="6"/>
        <v/>
      </c>
      <c r="D196" s="528" t="str">
        <f t="shared" si="7"/>
        <v>Purser Constellation (Y.CO)</v>
      </c>
      <c r="E196" s="580" t="s">
        <v>1221</v>
      </c>
      <c r="F196" s="580" t="s">
        <v>1171</v>
      </c>
      <c r="G196" s="580"/>
      <c r="H196" s="580" t="s">
        <v>1575</v>
      </c>
      <c r="I196" s="580" t="s">
        <v>1224</v>
      </c>
      <c r="J196" s="580" t="s">
        <v>1576</v>
      </c>
      <c r="K196" s="580" t="s">
        <v>1577</v>
      </c>
      <c r="L196" s="69"/>
      <c r="M196" s="580"/>
      <c r="N196" s="580"/>
      <c r="O196" s="580"/>
      <c r="P196" s="422"/>
      <c r="Q196" s="422"/>
      <c r="R196" s="422"/>
    </row>
    <row r="197" spans="1:18" s="683" customFormat="1" ht="15" customHeight="1">
      <c r="A197" s="1400">
        <v>237</v>
      </c>
      <c r="B197" s="580">
        <v>59</v>
      </c>
      <c r="C197" s="528" t="str">
        <f t="shared" ref="C197:C252" si="8">IF(F197="MASTER",H197&amp;" "&amp;I197&amp;" ("&amp;E197&amp;")","")</f>
        <v/>
      </c>
      <c r="D197" s="528" t="str">
        <f t="shared" ref="D197:D252" si="9">IF(F197="MASTER","",H197&amp;" "&amp;I197&amp;" ("&amp;E197&amp;")")</f>
        <v>Purser Katara (Y.CO)</v>
      </c>
      <c r="E197" s="580" t="s">
        <v>1221</v>
      </c>
      <c r="F197" s="580" t="s">
        <v>1171</v>
      </c>
      <c r="G197" s="580"/>
      <c r="H197" s="580" t="s">
        <v>1575</v>
      </c>
      <c r="I197" s="580" t="s">
        <v>1254</v>
      </c>
      <c r="J197" s="580" t="s">
        <v>1578</v>
      </c>
      <c r="K197" s="580" t="s">
        <v>1579</v>
      </c>
      <c r="L197" s="69"/>
      <c r="M197" s="783"/>
      <c r="N197" s="580"/>
      <c r="O197" s="580"/>
      <c r="P197" s="422"/>
      <c r="Q197" s="422"/>
      <c r="R197" s="422"/>
    </row>
    <row r="198" spans="1:18" s="683" customFormat="1" ht="15" customHeight="1">
      <c r="A198" s="69">
        <v>238</v>
      </c>
      <c r="B198" s="580">
        <v>59</v>
      </c>
      <c r="C198" s="528" t="str">
        <f t="shared" si="8"/>
        <v/>
      </c>
      <c r="D198" s="528" t="str">
        <f t="shared" si="9"/>
        <v>Purser Maracunda (Y.CO)</v>
      </c>
      <c r="E198" s="580" t="s">
        <v>1221</v>
      </c>
      <c r="F198" s="580" t="s">
        <v>1171</v>
      </c>
      <c r="G198" s="580"/>
      <c r="H198" s="580" t="s">
        <v>1575</v>
      </c>
      <c r="I198" s="580" t="s">
        <v>1233</v>
      </c>
      <c r="J198" s="580" t="s">
        <v>1580</v>
      </c>
      <c r="K198" s="580" t="s">
        <v>1581</v>
      </c>
      <c r="L198" s="69"/>
      <c r="M198" s="580" t="s">
        <v>1582</v>
      </c>
      <c r="N198" s="580"/>
      <c r="O198" s="580" t="s">
        <v>1583</v>
      </c>
      <c r="P198" s="422"/>
      <c r="Q198" s="422"/>
      <c r="R198" s="422"/>
    </row>
    <row r="199" spans="1:18" s="683" customFormat="1" ht="15" customHeight="1">
      <c r="A199" s="757">
        <v>239</v>
      </c>
      <c r="B199" s="580">
        <v>59</v>
      </c>
      <c r="C199" s="528" t="str">
        <f t="shared" si="8"/>
        <v/>
      </c>
      <c r="D199" s="528" t="str">
        <f t="shared" si="9"/>
        <v>Purser Al Shoua (Y.CO)</v>
      </c>
      <c r="E199" s="580" t="s">
        <v>1221</v>
      </c>
      <c r="F199" s="580" t="s">
        <v>1171</v>
      </c>
      <c r="G199" s="580"/>
      <c r="H199" s="580" t="s">
        <v>1575</v>
      </c>
      <c r="I199" s="580" t="s">
        <v>1251</v>
      </c>
      <c r="J199" s="927" t="s">
        <v>1584</v>
      </c>
      <c r="K199" s="580" t="s">
        <v>1585</v>
      </c>
      <c r="L199" s="69"/>
      <c r="M199" s="783"/>
      <c r="N199" s="580"/>
      <c r="O199" s="580"/>
      <c r="P199" s="422"/>
      <c r="Q199" s="422"/>
      <c r="R199" s="422"/>
    </row>
    <row r="200" spans="1:18" s="683" customFormat="1" ht="15" customHeight="1">
      <c r="A200" s="69">
        <v>67</v>
      </c>
      <c r="B200" s="580">
        <v>26</v>
      </c>
      <c r="C200" s="528" t="str">
        <f t="shared" si="8"/>
        <v/>
      </c>
      <c r="D200" s="528" t="str">
        <f t="shared" si="9"/>
        <v>Purser Austral  (Compagnie du Ponant)</v>
      </c>
      <c r="E200" s="580" t="s">
        <v>1043</v>
      </c>
      <c r="F200" s="580" t="s">
        <v>1171</v>
      </c>
      <c r="G200" s="580"/>
      <c r="H200" s="580" t="s">
        <v>1586</v>
      </c>
      <c r="I200" s="580"/>
      <c r="J200" s="580" t="s">
        <v>1587</v>
      </c>
      <c r="K200" s="580" t="s">
        <v>1588</v>
      </c>
      <c r="L200" s="69"/>
      <c r="M200" s="580"/>
      <c r="N200" s="580"/>
      <c r="O200" s="580"/>
      <c r="P200" s="422"/>
      <c r="Q200" s="422"/>
      <c r="R200" s="422"/>
    </row>
    <row r="201" spans="1:18" s="683" customFormat="1" ht="15" customHeight="1">
      <c r="A201" s="1397">
        <v>68</v>
      </c>
      <c r="B201" s="783">
        <v>26</v>
      </c>
      <c r="C201" s="528" t="str">
        <f t="shared" si="8"/>
        <v/>
      </c>
      <c r="D201" s="528" t="str">
        <f t="shared" si="9"/>
        <v>Purser Boreal  (Compagnie du Ponant)</v>
      </c>
      <c r="E201" s="918" t="s">
        <v>1043</v>
      </c>
      <c r="F201" s="580" t="s">
        <v>1171</v>
      </c>
      <c r="G201" s="783"/>
      <c r="H201" s="783" t="s">
        <v>1589</v>
      </c>
      <c r="I201" s="783"/>
      <c r="J201" s="783" t="s">
        <v>1590</v>
      </c>
      <c r="K201" s="580" t="s">
        <v>1591</v>
      </c>
      <c r="L201" s="69"/>
      <c r="M201" s="783"/>
      <c r="N201" s="783"/>
      <c r="O201" s="783"/>
      <c r="P201" s="716"/>
      <c r="Q201" s="716"/>
      <c r="R201" s="716"/>
    </row>
    <row r="202" spans="1:18" s="683" customFormat="1" ht="15" customHeight="1">
      <c r="A202" s="1400">
        <v>69</v>
      </c>
      <c r="B202" s="783">
        <v>26</v>
      </c>
      <c r="C202" s="528" t="str">
        <f t="shared" si="8"/>
        <v/>
      </c>
      <c r="D202" s="528" t="str">
        <f t="shared" si="9"/>
        <v>Purser Ponant  (Compagnie du Ponant)</v>
      </c>
      <c r="E202" s="918" t="s">
        <v>1043</v>
      </c>
      <c r="F202" s="783" t="s">
        <v>1171</v>
      </c>
      <c r="G202" s="783"/>
      <c r="H202" s="783" t="s">
        <v>1592</v>
      </c>
      <c r="I202" s="783"/>
      <c r="J202" s="783" t="s">
        <v>1593</v>
      </c>
      <c r="K202" s="783" t="s">
        <v>1594</v>
      </c>
      <c r="L202" s="69"/>
      <c r="M202" s="783"/>
      <c r="N202" s="783"/>
      <c r="O202" s="783"/>
      <c r="P202" s="422"/>
      <c r="Q202" s="422"/>
      <c r="R202" s="422"/>
    </row>
    <row r="203" spans="1:18" s="683" customFormat="1" ht="15" customHeight="1">
      <c r="A203" s="69">
        <v>70</v>
      </c>
      <c r="B203" s="1400">
        <v>26</v>
      </c>
      <c r="C203" s="528" t="str">
        <f t="shared" si="8"/>
        <v/>
      </c>
      <c r="D203" s="528" t="str">
        <f t="shared" si="9"/>
        <v>Purser Soleal  (Compagnie du Ponant)</v>
      </c>
      <c r="E203" s="1400" t="s">
        <v>1043</v>
      </c>
      <c r="F203" s="580" t="s">
        <v>1171</v>
      </c>
      <c r="G203" s="1400"/>
      <c r="H203" s="1400" t="s">
        <v>1595</v>
      </c>
      <c r="I203" s="1400"/>
      <c r="J203" s="1400" t="s">
        <v>1596</v>
      </c>
      <c r="K203" s="580" t="s">
        <v>1597</v>
      </c>
      <c r="L203" s="69"/>
      <c r="M203" s="1400"/>
      <c r="N203" s="1400"/>
      <c r="O203" s="1400"/>
      <c r="P203" s="1398"/>
      <c r="Q203" s="1398"/>
      <c r="R203" s="1398"/>
    </row>
    <row r="204" spans="1:18" s="683" customFormat="1" ht="15" customHeight="1">
      <c r="A204" s="69">
        <v>169</v>
      </c>
      <c r="B204" s="1397"/>
      <c r="C204" s="528" t="str">
        <f t="shared" si="8"/>
        <v>RACO  Fabienne (ONLYYACHT MONACO)</v>
      </c>
      <c r="D204" s="528" t="str">
        <f t="shared" si="9"/>
        <v/>
      </c>
      <c r="E204" s="677" t="s">
        <v>502</v>
      </c>
      <c r="F204" s="1400" t="s">
        <v>592</v>
      </c>
      <c r="G204" s="1397"/>
      <c r="H204" s="1397" t="s">
        <v>1055</v>
      </c>
      <c r="I204" s="1397" t="s">
        <v>1056</v>
      </c>
      <c r="J204" s="71" t="s">
        <v>1057</v>
      </c>
      <c r="K204" s="1400" t="s">
        <v>1058</v>
      </c>
      <c r="L204" s="69" t="s">
        <v>597</v>
      </c>
      <c r="M204" s="1397"/>
      <c r="N204" s="1397"/>
      <c r="O204" s="1397"/>
    </row>
    <row r="205" spans="1:18" s="683" customFormat="1" ht="15" customHeight="1">
      <c r="A205" s="757">
        <v>161</v>
      </c>
      <c r="B205" s="1020"/>
      <c r="C205" s="528" t="str">
        <f t="shared" si="8"/>
        <v/>
      </c>
      <c r="D205" s="528" t="str">
        <f t="shared" si="9"/>
        <v>RAMBALDELLI-FERREIRA Cynthia (Navilux SA)</v>
      </c>
      <c r="E205" s="580" t="s">
        <v>1440</v>
      </c>
      <c r="F205" s="1020" t="s">
        <v>1159</v>
      </c>
      <c r="G205" s="1020"/>
      <c r="H205" s="1020" t="s">
        <v>2516</v>
      </c>
      <c r="I205" s="1020" t="s">
        <v>1199</v>
      </c>
      <c r="J205" s="772" t="s">
        <v>1401</v>
      </c>
      <c r="K205" s="1020"/>
      <c r="L205" s="69" t="s">
        <v>597</v>
      </c>
      <c r="M205" s="1020"/>
      <c r="N205" s="1020"/>
      <c r="O205" s="1020"/>
      <c r="P205" s="422"/>
      <c r="Q205" s="422"/>
      <c r="R205" s="422"/>
    </row>
    <row r="206" spans="1:18" s="683" customFormat="1" ht="15" customHeight="1">
      <c r="A206" s="69">
        <v>133</v>
      </c>
      <c r="B206" s="580"/>
      <c r="C206" s="528" t="str">
        <f t="shared" si="8"/>
        <v/>
      </c>
      <c r="D206" s="528" t="str">
        <f t="shared" si="9"/>
        <v>RÄZ Max (MAX RÄZ)</v>
      </c>
      <c r="E206" s="580" t="s">
        <v>1598</v>
      </c>
      <c r="F206" s="580" t="s">
        <v>1159</v>
      </c>
      <c r="G206" s="580"/>
      <c r="H206" s="580" t="s">
        <v>1602</v>
      </c>
      <c r="I206" s="580" t="s">
        <v>1603</v>
      </c>
      <c r="J206" s="580" t="s">
        <v>1604</v>
      </c>
      <c r="K206" s="580" t="s">
        <v>1605</v>
      </c>
      <c r="L206" s="69" t="s">
        <v>597</v>
      </c>
      <c r="M206" s="580"/>
      <c r="N206" s="580"/>
      <c r="O206" s="580"/>
      <c r="P206" s="422"/>
      <c r="Q206" s="422"/>
      <c r="R206" s="422"/>
    </row>
    <row r="207" spans="1:18" s="683" customFormat="1" ht="15" customHeight="1">
      <c r="A207" s="1397">
        <v>34</v>
      </c>
      <c r="B207" s="580">
        <v>65</v>
      </c>
      <c r="C207" s="528" t="str">
        <f t="shared" si="8"/>
        <v/>
      </c>
      <c r="D207" s="528" t="str">
        <f t="shared" si="9"/>
        <v>READ Sean (Blush Yachting Ltd)</v>
      </c>
      <c r="E207" s="580" t="s">
        <v>1606</v>
      </c>
      <c r="F207" s="580" t="s">
        <v>1171</v>
      </c>
      <c r="G207" s="580"/>
      <c r="H207" s="580" t="s">
        <v>1607</v>
      </c>
      <c r="I207" s="580" t="s">
        <v>1608</v>
      </c>
      <c r="J207" s="580" t="s">
        <v>1609</v>
      </c>
      <c r="K207" s="580" t="s">
        <v>1610</v>
      </c>
      <c r="L207" s="69"/>
      <c r="M207" s="783"/>
      <c r="N207" s="580"/>
      <c r="O207" s="580"/>
      <c r="P207" s="422"/>
      <c r="Q207" s="422"/>
      <c r="R207" s="422"/>
    </row>
    <row r="208" spans="1:18" s="683" customFormat="1" ht="15" customHeight="1">
      <c r="A208" s="1400">
        <v>51</v>
      </c>
      <c r="B208" s="580">
        <v>23</v>
      </c>
      <c r="C208" s="528" t="str">
        <f t="shared" si="8"/>
        <v/>
      </c>
      <c r="D208" s="528" t="str">
        <f t="shared" si="9"/>
        <v>REMONDIERE Yvette (Bourbon Offshore Greenmar)</v>
      </c>
      <c r="E208" s="580" t="s">
        <v>759</v>
      </c>
      <c r="F208" s="580" t="s">
        <v>1159</v>
      </c>
      <c r="G208" s="580"/>
      <c r="H208" s="580" t="s">
        <v>1061</v>
      </c>
      <c r="I208" s="580" t="s">
        <v>1611</v>
      </c>
      <c r="J208" s="580" t="s">
        <v>1612</v>
      </c>
      <c r="K208" s="580" t="s">
        <v>1613</v>
      </c>
      <c r="L208" s="69" t="s">
        <v>597</v>
      </c>
      <c r="M208" s="783"/>
      <c r="N208" s="580"/>
      <c r="O208" s="580"/>
      <c r="P208" s="422"/>
      <c r="Q208" s="422"/>
      <c r="R208" s="422"/>
    </row>
    <row r="209" spans="1:18" s="683" customFormat="1" ht="15" customHeight="1">
      <c r="A209" s="757">
        <v>176</v>
      </c>
      <c r="B209" s="580">
        <v>52</v>
      </c>
      <c r="C209" s="528" t="str">
        <f t="shared" si="8"/>
        <v/>
      </c>
      <c r="D209" s="528" t="str">
        <f t="shared" si="9"/>
        <v>REMONDIERE Marc (Remo Marine Services SA)</v>
      </c>
      <c r="E209" s="580" t="s">
        <v>1059</v>
      </c>
      <c r="F209" s="580" t="s">
        <v>1159</v>
      </c>
      <c r="G209" s="580"/>
      <c r="H209" s="580" t="s">
        <v>1061</v>
      </c>
      <c r="I209" s="580" t="s">
        <v>763</v>
      </c>
      <c r="J209" s="580" t="s">
        <v>1614</v>
      </c>
      <c r="K209" s="580" t="s">
        <v>1615</v>
      </c>
      <c r="L209" s="69" t="s">
        <v>597</v>
      </c>
      <c r="M209" s="783" t="s">
        <v>1062</v>
      </c>
      <c r="N209" s="580"/>
      <c r="O209" s="580">
        <v>33673827004</v>
      </c>
      <c r="P209" s="716"/>
      <c r="Q209" s="716"/>
      <c r="R209" s="716"/>
    </row>
    <row r="210" spans="1:18" s="683" customFormat="1" ht="15" customHeight="1">
      <c r="A210" s="1397">
        <v>242</v>
      </c>
      <c r="B210" s="580"/>
      <c r="C210" s="528" t="str">
        <f t="shared" si="8"/>
        <v/>
      </c>
      <c r="D210" s="528" t="str">
        <f t="shared" si="9"/>
        <v>RENAR Patrick (Yachting Partner International)</v>
      </c>
      <c r="E210" s="580" t="s">
        <v>1616</v>
      </c>
      <c r="F210" s="580" t="s">
        <v>1159</v>
      </c>
      <c r="G210" s="580"/>
      <c r="H210" s="580" t="s">
        <v>1617</v>
      </c>
      <c r="I210" s="580" t="s">
        <v>1467</v>
      </c>
      <c r="J210" s="580" t="s">
        <v>1618</v>
      </c>
      <c r="K210" s="580" t="s">
        <v>1619</v>
      </c>
      <c r="L210" s="69" t="s">
        <v>597</v>
      </c>
      <c r="M210" s="1400"/>
      <c r="N210" s="580"/>
      <c r="O210" s="580"/>
      <c r="P210" s="422"/>
      <c r="Q210" s="422"/>
      <c r="R210" s="422"/>
    </row>
    <row r="211" spans="1:18" s="683" customFormat="1" ht="15" customHeight="1">
      <c r="A211" s="580">
        <v>54</v>
      </c>
      <c r="B211" s="580">
        <v>24</v>
      </c>
      <c r="C211" s="528" t="str">
        <f t="shared" si="8"/>
        <v/>
      </c>
      <c r="D211" s="528" t="str">
        <f t="shared" si="9"/>
        <v>RENSHAW Kevin (Burgess)</v>
      </c>
      <c r="E211" s="580" t="s">
        <v>305</v>
      </c>
      <c r="F211" s="580" t="s">
        <v>1159</v>
      </c>
      <c r="G211" s="580"/>
      <c r="H211" s="580" t="s">
        <v>1620</v>
      </c>
      <c r="I211" s="580" t="s">
        <v>1304</v>
      </c>
      <c r="J211" s="580" t="s">
        <v>1621</v>
      </c>
      <c r="K211" s="580" t="s">
        <v>1622</v>
      </c>
      <c r="L211" s="69" t="s">
        <v>597</v>
      </c>
      <c r="M211" s="758" t="s">
        <v>1623</v>
      </c>
      <c r="N211" s="580"/>
      <c r="O211" s="580"/>
      <c r="P211" s="1398"/>
      <c r="Q211" s="1398"/>
      <c r="R211" s="1398"/>
    </row>
    <row r="212" spans="1:18" s="683" customFormat="1" ht="15" customHeight="1">
      <c r="A212" s="580">
        <v>177</v>
      </c>
      <c r="B212" s="580"/>
      <c r="C212" s="528" t="str">
        <f t="shared" si="8"/>
        <v>REYNIER Bernard (RY Assurances, Reynier Yachting)</v>
      </c>
      <c r="D212" s="528" t="str">
        <f t="shared" si="9"/>
        <v/>
      </c>
      <c r="E212" s="580" t="s">
        <v>1063</v>
      </c>
      <c r="F212" s="580" t="s">
        <v>592</v>
      </c>
      <c r="G212" s="580"/>
      <c r="H212" s="580" t="s">
        <v>1065</v>
      </c>
      <c r="I212" s="580" t="s">
        <v>1066</v>
      </c>
      <c r="J212" s="783" t="s">
        <v>1067</v>
      </c>
      <c r="K212" s="580" t="s">
        <v>1068</v>
      </c>
      <c r="L212" s="69" t="s">
        <v>597</v>
      </c>
      <c r="M212" s="580" t="s">
        <v>1069</v>
      </c>
      <c r="N212" s="580"/>
      <c r="O212" s="580">
        <v>33623437239</v>
      </c>
    </row>
    <row r="213" spans="1:18" s="683" customFormat="1" ht="15" customHeight="1">
      <c r="A213" s="783">
        <v>162</v>
      </c>
      <c r="B213" s="783">
        <v>61</v>
      </c>
      <c r="C213" s="528" t="str">
        <f t="shared" si="8"/>
        <v/>
      </c>
      <c r="D213" s="528" t="str">
        <f t="shared" si="9"/>
        <v>RIBEIRO Louisa (Navilux SA)</v>
      </c>
      <c r="E213" s="783" t="s">
        <v>1440</v>
      </c>
      <c r="F213" s="580" t="s">
        <v>1159</v>
      </c>
      <c r="G213" s="580"/>
      <c r="H213" s="580" t="s">
        <v>1624</v>
      </c>
      <c r="I213" s="580" t="s">
        <v>1625</v>
      </c>
      <c r="J213" s="580" t="s">
        <v>1626</v>
      </c>
      <c r="K213" s="580" t="s">
        <v>1627</v>
      </c>
      <c r="L213" s="69"/>
      <c r="M213" s="783"/>
      <c r="N213" s="580"/>
      <c r="O213" s="580"/>
      <c r="P213" s="716"/>
      <c r="Q213" s="716"/>
      <c r="R213" s="716"/>
    </row>
    <row r="214" spans="1:18" s="683" customFormat="1" ht="15" customHeight="1">
      <c r="A214" s="580">
        <v>147</v>
      </c>
      <c r="B214" s="580">
        <v>60</v>
      </c>
      <c r="C214" s="528" t="str">
        <f t="shared" si="8"/>
        <v/>
      </c>
      <c r="D214" s="528" t="str">
        <f t="shared" si="9"/>
        <v>RIOU Hervé (MW AFRITEC)</v>
      </c>
      <c r="E214" s="580" t="s">
        <v>1664</v>
      </c>
      <c r="F214" s="580" t="s">
        <v>1171</v>
      </c>
      <c r="G214" s="783"/>
      <c r="H214" s="580" t="s">
        <v>1628</v>
      </c>
      <c r="I214" s="580" t="s">
        <v>1629</v>
      </c>
      <c r="J214" s="1400" t="s">
        <v>1630</v>
      </c>
      <c r="K214" s="580" t="s">
        <v>1497</v>
      </c>
      <c r="L214" s="69"/>
      <c r="M214" s="783"/>
      <c r="N214" s="783"/>
      <c r="O214" s="783"/>
      <c r="P214" s="422"/>
      <c r="Q214" s="422"/>
      <c r="R214" s="422"/>
    </row>
    <row r="215" spans="1:18" s="683" customFormat="1" ht="15" customHeight="1">
      <c r="A215" s="1400">
        <v>30</v>
      </c>
      <c r="B215" s="1400">
        <v>80</v>
      </c>
      <c r="C215" s="528" t="str">
        <f t="shared" si="8"/>
        <v/>
      </c>
      <c r="D215" s="528" t="str">
        <f t="shared" si="9"/>
        <v>SADOUET Pascal (BLACK DIAMOND LTD)</v>
      </c>
      <c r="E215" s="1400" t="s">
        <v>1634</v>
      </c>
      <c r="F215" s="580" t="s">
        <v>1171</v>
      </c>
      <c r="G215" s="783"/>
      <c r="H215" s="783" t="s">
        <v>1635</v>
      </c>
      <c r="I215" s="783" t="s">
        <v>827</v>
      </c>
      <c r="J215" s="82" t="s">
        <v>1636</v>
      </c>
      <c r="K215" s="783"/>
      <c r="L215" s="69" t="s">
        <v>597</v>
      </c>
      <c r="M215" s="783"/>
      <c r="N215" s="783"/>
      <c r="O215" s="783"/>
      <c r="P215" s="1398"/>
      <c r="Q215" s="1398"/>
      <c r="R215" s="1398"/>
    </row>
    <row r="216" spans="1:18" s="683" customFormat="1" ht="15" customHeight="1">
      <c r="A216" s="1319"/>
      <c r="B216" s="1319"/>
      <c r="C216" s="528" t="str">
        <f t="shared" si="8"/>
        <v/>
      </c>
      <c r="D216" s="528" t="str">
        <f t="shared" si="9"/>
        <v>SAGITOVA Katia (Luxembourg Marine Services S.A.)</v>
      </c>
      <c r="E216" s="1401" t="s">
        <v>449</v>
      </c>
      <c r="F216" s="580" t="s">
        <v>1159</v>
      </c>
      <c r="G216" s="1319"/>
      <c r="H216" s="580" t="s">
        <v>2835</v>
      </c>
      <c r="I216" s="580" t="s">
        <v>2836</v>
      </c>
      <c r="J216" s="772" t="s">
        <v>2837</v>
      </c>
      <c r="K216" s="1319"/>
      <c r="L216" s="69" t="s">
        <v>597</v>
      </c>
      <c r="M216" s="1319" t="s">
        <v>2838</v>
      </c>
      <c r="N216" s="1319"/>
      <c r="O216" s="1319"/>
      <c r="P216" s="1402"/>
      <c r="Q216" s="1402"/>
      <c r="R216" s="1402"/>
    </row>
    <row r="217" spans="1:18" s="683" customFormat="1" ht="15" customHeight="1">
      <c r="A217" s="69">
        <v>64</v>
      </c>
      <c r="B217" s="69"/>
      <c r="C217" s="528" t="str">
        <f t="shared" si="8"/>
        <v>SALLOUM Ghassan (CLOVER BROKERS )</v>
      </c>
      <c r="D217" s="528" t="str">
        <f t="shared" si="9"/>
        <v/>
      </c>
      <c r="E217" s="677" t="s">
        <v>309</v>
      </c>
      <c r="F217" s="580" t="s">
        <v>592</v>
      </c>
      <c r="G217" s="1400"/>
      <c r="H217" s="1400" t="s">
        <v>1070</v>
      </c>
      <c r="I217" s="1400" t="s">
        <v>1071</v>
      </c>
      <c r="J217" s="1400" t="s">
        <v>1072</v>
      </c>
      <c r="K217" s="1400" t="s">
        <v>1073</v>
      </c>
      <c r="L217" s="69"/>
      <c r="M217" s="1400"/>
      <c r="N217" s="1400"/>
      <c r="O217" s="1400"/>
      <c r="P217" s="83"/>
      <c r="Q217" s="83"/>
      <c r="R217" s="83"/>
    </row>
    <row r="218" spans="1:18" s="683" customFormat="1" ht="15" customHeight="1">
      <c r="A218" s="783">
        <v>207</v>
      </c>
      <c r="B218" s="783">
        <v>69</v>
      </c>
      <c r="C218" s="528" t="str">
        <f t="shared" si="8"/>
        <v/>
      </c>
      <c r="D218" s="528" t="str">
        <f t="shared" si="9"/>
        <v>SANDRONI VALERIE (THIERRY VOISIN)</v>
      </c>
      <c r="E218" s="783" t="s">
        <v>1361</v>
      </c>
      <c r="F218" s="580" t="s">
        <v>1159</v>
      </c>
      <c r="G218" s="1397" t="s">
        <v>1641</v>
      </c>
      <c r="H218" s="580" t="s">
        <v>1637</v>
      </c>
      <c r="I218" s="580" t="s">
        <v>1638</v>
      </c>
      <c r="J218" s="1400" t="s">
        <v>1639</v>
      </c>
      <c r="K218" s="783" t="s">
        <v>1640</v>
      </c>
      <c r="L218" s="69" t="s">
        <v>597</v>
      </c>
      <c r="M218" s="1397" t="s">
        <v>1642</v>
      </c>
      <c r="N218" s="1397" t="s">
        <v>1643</v>
      </c>
      <c r="O218" s="1397" t="s">
        <v>1644</v>
      </c>
      <c r="P218" s="716"/>
      <c r="Q218" s="716"/>
      <c r="R218" s="716"/>
    </row>
    <row r="219" spans="1:18" s="683" customFormat="1" ht="15" customHeight="1">
      <c r="A219" s="757">
        <v>19</v>
      </c>
      <c r="B219" s="757"/>
      <c r="C219" s="528" t="str">
        <f t="shared" si="8"/>
        <v>SAPORITA Manuel (ASCOMA MARITIME MONACO)</v>
      </c>
      <c r="D219" s="528" t="str">
        <f t="shared" si="9"/>
        <v/>
      </c>
      <c r="E219" s="677" t="s">
        <v>271</v>
      </c>
      <c r="F219" s="580" t="s">
        <v>592</v>
      </c>
      <c r="G219" s="757" t="s">
        <v>1077</v>
      </c>
      <c r="H219" s="757" t="s">
        <v>1074</v>
      </c>
      <c r="I219" s="757" t="s">
        <v>1075</v>
      </c>
      <c r="J219" s="809" t="s">
        <v>1076</v>
      </c>
      <c r="K219" s="809"/>
      <c r="L219" s="69" t="s">
        <v>624</v>
      </c>
      <c r="M219" s="809" t="s">
        <v>1078</v>
      </c>
      <c r="N219" s="809" t="s">
        <v>276</v>
      </c>
      <c r="O219" s="757"/>
      <c r="P219" s="83"/>
      <c r="Q219" s="83"/>
      <c r="R219" s="83"/>
    </row>
    <row r="220" spans="1:18" s="683" customFormat="1" ht="15" customHeight="1">
      <c r="A220" s="1400">
        <v>189</v>
      </c>
      <c r="B220" s="1400">
        <v>1012</v>
      </c>
      <c r="C220" s="528" t="str">
        <f t="shared" si="8"/>
        <v/>
      </c>
      <c r="D220" s="528" t="str">
        <f t="shared" si="9"/>
        <v>SATJANU Hari Adi (South East Asia Exotic Cruise)</v>
      </c>
      <c r="E220" s="1400" t="s">
        <v>1645</v>
      </c>
      <c r="F220" s="580" t="s">
        <v>1159</v>
      </c>
      <c r="G220" s="1400"/>
      <c r="H220" s="580" t="s">
        <v>1649</v>
      </c>
      <c r="I220" s="580" t="s">
        <v>1650</v>
      </c>
      <c r="J220" s="84" t="s">
        <v>1651</v>
      </c>
      <c r="K220" s="1400" t="s">
        <v>1652</v>
      </c>
      <c r="L220" s="69"/>
      <c r="M220" s="1400" t="s">
        <v>1653</v>
      </c>
      <c r="N220" s="1400"/>
      <c r="O220" s="1400"/>
      <c r="P220" s="1398"/>
      <c r="Q220" s="1398"/>
      <c r="R220" s="1398"/>
    </row>
    <row r="221" spans="1:18" s="683" customFormat="1" ht="15" customHeight="1">
      <c r="A221" s="1397">
        <v>185</v>
      </c>
      <c r="B221" s="1397"/>
      <c r="C221" s="528" t="str">
        <f t="shared" si="8"/>
        <v>SMITH Seamus (Smith Enterprises)</v>
      </c>
      <c r="D221" s="528" t="str">
        <f t="shared" si="9"/>
        <v/>
      </c>
      <c r="E221" s="1401" t="s">
        <v>2467</v>
      </c>
      <c r="F221" s="580" t="s">
        <v>592</v>
      </c>
      <c r="G221" s="1397"/>
      <c r="H221" s="1397" t="s">
        <v>2519</v>
      </c>
      <c r="I221" s="1397" t="s">
        <v>2520</v>
      </c>
      <c r="J221" s="678" t="s">
        <v>2521</v>
      </c>
      <c r="K221" s="580" t="s">
        <v>2522</v>
      </c>
      <c r="L221" s="69" t="s">
        <v>597</v>
      </c>
      <c r="M221" s="1397"/>
      <c r="N221" s="1397"/>
      <c r="O221" s="1397"/>
    </row>
    <row r="222" spans="1:18" s="683" customFormat="1" ht="15" customHeight="1">
      <c r="A222" s="1397">
        <v>155</v>
      </c>
      <c r="B222" s="664"/>
      <c r="C222" s="528" t="str">
        <f t="shared" si="8"/>
        <v>SOYER Maxence (Nasco France)</v>
      </c>
      <c r="D222" s="528" t="str">
        <f t="shared" si="9"/>
        <v/>
      </c>
      <c r="E222" s="1397" t="s">
        <v>2462</v>
      </c>
      <c r="F222" s="580" t="s">
        <v>592</v>
      </c>
      <c r="G222" s="664"/>
      <c r="H222" s="783" t="s">
        <v>1079</v>
      </c>
      <c r="I222" s="783" t="s">
        <v>1080</v>
      </c>
      <c r="J222" s="685" t="s">
        <v>1081</v>
      </c>
      <c r="K222" s="664" t="s">
        <v>1082</v>
      </c>
      <c r="L222" s="69" t="s">
        <v>597</v>
      </c>
      <c r="M222" s="664" t="s">
        <v>1083</v>
      </c>
      <c r="N222" s="664" t="s">
        <v>1084</v>
      </c>
      <c r="O222" s="664"/>
    </row>
    <row r="223" spans="1:18" s="683" customFormat="1" ht="15" customHeight="1">
      <c r="A223" s="1400"/>
      <c r="B223" s="1400"/>
      <c r="C223" s="528" t="str">
        <f t="shared" si="8"/>
        <v>Spinelli Charles Croce (ASN One SA)</v>
      </c>
      <c r="D223" s="528" t="str">
        <f t="shared" si="9"/>
        <v/>
      </c>
      <c r="E223" s="1397" t="s">
        <v>2852</v>
      </c>
      <c r="F223" s="580" t="s">
        <v>592</v>
      </c>
      <c r="G223" s="757" t="s">
        <v>2855</v>
      </c>
      <c r="H223" s="757" t="s">
        <v>2856</v>
      </c>
      <c r="I223" s="757" t="s">
        <v>2857</v>
      </c>
      <c r="J223" s="1399" t="s">
        <v>2858</v>
      </c>
      <c r="K223" s="783"/>
      <c r="L223" s="69" t="s">
        <v>597</v>
      </c>
      <c r="M223" s="757" t="s">
        <v>2859</v>
      </c>
      <c r="N223" s="757"/>
      <c r="O223" s="757" t="s">
        <v>2860</v>
      </c>
      <c r="P223" s="1398"/>
      <c r="Q223" s="1398"/>
      <c r="R223" s="1398"/>
    </row>
    <row r="224" spans="1:18" s="683" customFormat="1" ht="15" customHeight="1">
      <c r="A224" s="1400">
        <v>93</v>
      </c>
      <c r="B224" s="1400">
        <v>40</v>
      </c>
      <c r="C224" s="528" t="str">
        <f t="shared" si="8"/>
        <v/>
      </c>
      <c r="D224" s="528" t="str">
        <f t="shared" si="9"/>
        <v>STECKAR David (Globe Skipper)</v>
      </c>
      <c r="E224" s="1400" t="s">
        <v>1657</v>
      </c>
      <c r="F224" s="580" t="s">
        <v>1159</v>
      </c>
      <c r="G224" s="580"/>
      <c r="H224" s="1400" t="s">
        <v>1658</v>
      </c>
      <c r="I224" s="1400" t="s">
        <v>781</v>
      </c>
      <c r="J224" s="1400" t="s">
        <v>1659</v>
      </c>
      <c r="K224" s="1400" t="s">
        <v>1660</v>
      </c>
      <c r="L224" s="69"/>
      <c r="M224" s="580" t="s">
        <v>1661</v>
      </c>
      <c r="N224" s="580"/>
      <c r="O224" s="580"/>
      <c r="P224" s="716"/>
      <c r="Q224" s="716"/>
      <c r="R224" s="716"/>
    </row>
    <row r="225" spans="1:18" s="683" customFormat="1" ht="15" customHeight="1">
      <c r="A225" s="1319"/>
      <c r="B225" s="1319"/>
      <c r="C225" s="528" t="str">
        <f t="shared" si="8"/>
        <v/>
      </c>
      <c r="D225" s="528" t="str">
        <f t="shared" si="9"/>
        <v>STECKAR David (BOAT'in France)</v>
      </c>
      <c r="E225" s="1400" t="s">
        <v>2685</v>
      </c>
      <c r="F225" s="580" t="s">
        <v>1159</v>
      </c>
      <c r="G225" s="1319"/>
      <c r="H225" s="1397" t="s">
        <v>1658</v>
      </c>
      <c r="I225" s="1397" t="s">
        <v>781</v>
      </c>
      <c r="J225" s="1416" t="s">
        <v>2690</v>
      </c>
      <c r="K225" s="1319"/>
      <c r="L225" s="69" t="s">
        <v>597</v>
      </c>
      <c r="M225" s="1397" t="s">
        <v>2691</v>
      </c>
      <c r="N225" s="1319"/>
      <c r="O225" s="1397" t="s">
        <v>2691</v>
      </c>
      <c r="P225" s="1402"/>
      <c r="Q225" s="1402"/>
      <c r="R225" s="1402"/>
    </row>
    <row r="226" spans="1:18" s="683" customFormat="1" ht="15" customHeight="1">
      <c r="A226" s="1400">
        <v>39</v>
      </c>
      <c r="B226" s="69"/>
      <c r="C226" s="528" t="str">
        <f t="shared" si="8"/>
        <v>STEIN Nicolas (BOURBON GROUP)</v>
      </c>
      <c r="D226" s="528" t="str">
        <f t="shared" si="9"/>
        <v/>
      </c>
      <c r="E226" s="783" t="s">
        <v>634</v>
      </c>
      <c r="F226" s="580" t="s">
        <v>592</v>
      </c>
      <c r="G226" s="783"/>
      <c r="H226" s="783" t="s">
        <v>1085</v>
      </c>
      <c r="I226" s="783" t="s">
        <v>987</v>
      </c>
      <c r="J226" s="783" t="s">
        <v>1086</v>
      </c>
      <c r="K226" s="783" t="s">
        <v>989</v>
      </c>
      <c r="L226" s="69"/>
      <c r="M226" s="783" t="s">
        <v>1087</v>
      </c>
      <c r="N226" s="783"/>
      <c r="O226" s="783"/>
      <c r="P226" s="83"/>
      <c r="Q226" s="83"/>
      <c r="R226" s="83"/>
    </row>
    <row r="227" spans="1:18" s="683" customFormat="1" ht="15" customHeight="1">
      <c r="A227" s="69">
        <v>184</v>
      </c>
      <c r="B227" s="69"/>
      <c r="C227" s="528" t="str">
        <f t="shared" si="8"/>
        <v>TETU Edith (SLCA SA)</v>
      </c>
      <c r="D227" s="528" t="str">
        <f t="shared" si="9"/>
        <v/>
      </c>
      <c r="E227" s="1401" t="s">
        <v>2463</v>
      </c>
      <c r="F227" s="580" t="s">
        <v>592</v>
      </c>
      <c r="G227" s="757"/>
      <c r="H227" s="757" t="s">
        <v>2517</v>
      </c>
      <c r="I227" s="757" t="s">
        <v>2518</v>
      </c>
      <c r="J227" s="1397"/>
      <c r="K227" s="1400"/>
      <c r="L227" s="69" t="s">
        <v>597</v>
      </c>
      <c r="M227" s="757" t="s">
        <v>2466</v>
      </c>
      <c r="N227" s="757"/>
      <c r="O227" s="757"/>
    </row>
    <row r="228" spans="1:18" s="683" customFormat="1" ht="15" customHeight="1">
      <c r="A228" s="69">
        <v>82</v>
      </c>
      <c r="B228" s="757"/>
      <c r="C228" s="528" t="str">
        <f t="shared" si="8"/>
        <v/>
      </c>
      <c r="D228" s="528" t="str">
        <f t="shared" si="9"/>
        <v>THOMAJ Edita  (Fenchurch Faris Ltd)</v>
      </c>
      <c r="E228" s="1401" t="s">
        <v>362</v>
      </c>
      <c r="F228" s="580" t="s">
        <v>1159</v>
      </c>
      <c r="G228" s="1400"/>
      <c r="H228" s="71" t="s">
        <v>1088</v>
      </c>
      <c r="I228" s="757" t="s">
        <v>1089</v>
      </c>
      <c r="J228" s="74" t="s">
        <v>1090</v>
      </c>
      <c r="K228" s="74"/>
      <c r="L228" s="69" t="s">
        <v>624</v>
      </c>
      <c r="M228" s="1400" t="s">
        <v>367</v>
      </c>
      <c r="N228" s="1400" t="s">
        <v>368</v>
      </c>
      <c r="O228" s="1400" t="s">
        <v>758</v>
      </c>
      <c r="P228" s="1398"/>
      <c r="Q228" s="1398"/>
      <c r="R228" s="1398"/>
    </row>
    <row r="229" spans="1:18" s="683" customFormat="1" ht="15" customHeight="1">
      <c r="A229" s="69">
        <v>139</v>
      </c>
      <c r="B229" s="1400"/>
      <c r="C229" s="528" t="str">
        <f t="shared" si="8"/>
        <v/>
      </c>
      <c r="D229" s="528" t="str">
        <f t="shared" si="9"/>
        <v>THOUANT Stéphanie (Monaco Equipage)</v>
      </c>
      <c r="E229" s="1401" t="s">
        <v>476</v>
      </c>
      <c r="F229" s="580" t="s">
        <v>1159</v>
      </c>
      <c r="G229" s="580"/>
      <c r="H229" s="580" t="s">
        <v>1662</v>
      </c>
      <c r="I229" s="580" t="s">
        <v>710</v>
      </c>
      <c r="J229" s="74" t="s">
        <v>1663</v>
      </c>
      <c r="K229" s="74"/>
      <c r="L229" s="69" t="s">
        <v>624</v>
      </c>
      <c r="M229" s="783"/>
      <c r="N229" s="580"/>
      <c r="O229" s="580"/>
      <c r="P229" s="1398"/>
      <c r="Q229" s="1398"/>
      <c r="R229" s="1398"/>
    </row>
    <row r="230" spans="1:18" s="683" customFormat="1" ht="15" customHeight="1">
      <c r="A230" s="69">
        <v>79</v>
      </c>
      <c r="B230" s="1397"/>
      <c r="C230" s="528" t="str">
        <f t="shared" si="8"/>
        <v>TIREL Matthieu (EYSSAUTIER)</v>
      </c>
      <c r="D230" s="528" t="str">
        <f t="shared" si="9"/>
        <v/>
      </c>
      <c r="E230" s="1400" t="s">
        <v>616</v>
      </c>
      <c r="F230" s="580" t="s">
        <v>592</v>
      </c>
      <c r="G230" s="783"/>
      <c r="H230" s="783" t="s">
        <v>1091</v>
      </c>
      <c r="I230" s="783" t="s">
        <v>1092</v>
      </c>
      <c r="J230" s="1400" t="s">
        <v>1093</v>
      </c>
      <c r="K230" s="783" t="s">
        <v>1094</v>
      </c>
      <c r="L230" s="69" t="s">
        <v>597</v>
      </c>
      <c r="M230" s="783"/>
      <c r="N230" s="783"/>
      <c r="O230" s="783"/>
      <c r="P230" s="83"/>
      <c r="Q230" s="83"/>
      <c r="R230" s="83"/>
    </row>
    <row r="231" spans="1:18" s="683" customFormat="1" ht="15" customHeight="1">
      <c r="A231" s="69">
        <v>98</v>
      </c>
      <c r="B231" s="1397"/>
      <c r="C231" s="528" t="str">
        <f t="shared" si="8"/>
        <v/>
      </c>
      <c r="D231" s="528" t="str">
        <f t="shared" si="9"/>
        <v>TOUATI Arthur (Groupe Suisscourtage)</v>
      </c>
      <c r="E231" s="1397" t="s">
        <v>1095</v>
      </c>
      <c r="F231" s="580" t="s">
        <v>1159</v>
      </c>
      <c r="G231" s="1397"/>
      <c r="H231" s="1397" t="s">
        <v>1097</v>
      </c>
      <c r="I231" s="1397" t="s">
        <v>1098</v>
      </c>
      <c r="J231" s="809" t="s">
        <v>1099</v>
      </c>
      <c r="K231" s="809"/>
      <c r="L231" s="69" t="s">
        <v>624</v>
      </c>
      <c r="M231" s="1397" t="s">
        <v>499</v>
      </c>
      <c r="N231" s="1397" t="s">
        <v>1100</v>
      </c>
      <c r="O231" s="1397"/>
      <c r="P231" s="422"/>
      <c r="Q231" s="422"/>
      <c r="R231" s="422"/>
    </row>
    <row r="232" spans="1:18" s="683" customFormat="1" ht="15" customHeight="1">
      <c r="A232" s="757">
        <v>196</v>
      </c>
      <c r="B232" s="757"/>
      <c r="C232" s="528" t="str">
        <f t="shared" si="8"/>
        <v>TOUATI Arthur (Suisscourtage Antibes)</v>
      </c>
      <c r="D232" s="528" t="str">
        <f t="shared" si="9"/>
        <v/>
      </c>
      <c r="E232" s="1397" t="s">
        <v>975</v>
      </c>
      <c r="F232" s="580" t="s">
        <v>592</v>
      </c>
      <c r="G232" s="757"/>
      <c r="H232" s="757" t="s">
        <v>1097</v>
      </c>
      <c r="I232" s="757" t="s">
        <v>1098</v>
      </c>
      <c r="J232" s="809" t="s">
        <v>1099</v>
      </c>
      <c r="K232" s="809"/>
      <c r="L232" s="69" t="s">
        <v>624</v>
      </c>
      <c r="M232" s="757" t="s">
        <v>499</v>
      </c>
      <c r="N232" s="757" t="s">
        <v>1100</v>
      </c>
      <c r="O232" s="757"/>
    </row>
    <row r="233" spans="1:18" s="683" customFormat="1" ht="15" customHeight="1">
      <c r="A233" s="69">
        <v>20</v>
      </c>
      <c r="B233" s="1397"/>
      <c r="C233" s="528" t="str">
        <f t="shared" si="8"/>
        <v>TOULZE Pascale (ASCOMA MARITIME MONACO)</v>
      </c>
      <c r="D233" s="528" t="str">
        <f t="shared" si="9"/>
        <v/>
      </c>
      <c r="E233" s="677" t="s">
        <v>271</v>
      </c>
      <c r="F233" s="580" t="s">
        <v>592</v>
      </c>
      <c r="G233" s="783"/>
      <c r="H233" s="783" t="s">
        <v>1101</v>
      </c>
      <c r="I233" s="783" t="s">
        <v>1102</v>
      </c>
      <c r="J233" s="783" t="s">
        <v>1103</v>
      </c>
      <c r="K233" s="580" t="s">
        <v>1104</v>
      </c>
      <c r="L233" s="69" t="s">
        <v>597</v>
      </c>
      <c r="M233" s="783" t="s">
        <v>1105</v>
      </c>
      <c r="N233" s="783" t="s">
        <v>1106</v>
      </c>
      <c r="O233" s="783"/>
      <c r="P233" s="83"/>
      <c r="Q233" s="83"/>
      <c r="R233" s="83"/>
    </row>
    <row r="234" spans="1:18" s="683" customFormat="1" ht="15" customHeight="1">
      <c r="A234" s="1397">
        <v>119</v>
      </c>
      <c r="B234" s="580"/>
      <c r="C234" s="528" t="str">
        <f t="shared" si="8"/>
        <v>TOUZET Sandrine (LK Courtage)</v>
      </c>
      <c r="D234" s="528" t="str">
        <f t="shared" si="9"/>
        <v/>
      </c>
      <c r="E234" s="1401" t="s">
        <v>570</v>
      </c>
      <c r="F234" s="580" t="s">
        <v>592</v>
      </c>
      <c r="G234" s="580"/>
      <c r="H234" s="580" t="s">
        <v>1134</v>
      </c>
      <c r="I234" s="580" t="s">
        <v>1135</v>
      </c>
      <c r="J234" s="676" t="s">
        <v>922</v>
      </c>
      <c r="K234" s="580"/>
      <c r="L234" s="69" t="s">
        <v>624</v>
      </c>
      <c r="M234" s="580" t="s">
        <v>1136</v>
      </c>
      <c r="N234" s="580"/>
      <c r="O234" s="580"/>
    </row>
    <row r="235" spans="1:18" s="683" customFormat="1" ht="15" customHeight="1">
      <c r="A235" s="757">
        <v>148</v>
      </c>
      <c r="B235" s="1400">
        <v>60</v>
      </c>
      <c r="C235" s="528" t="str">
        <f t="shared" si="8"/>
        <v/>
      </c>
      <c r="D235" s="528" t="str">
        <f t="shared" si="9"/>
        <v>TSHIBANGU Franck Kanyinda (MW AFRITEC)</v>
      </c>
      <c r="E235" s="1400" t="s">
        <v>1664</v>
      </c>
      <c r="F235" s="580" t="s">
        <v>1171</v>
      </c>
      <c r="G235" s="1400"/>
      <c r="H235" s="1400" t="s">
        <v>1665</v>
      </c>
      <c r="I235" s="1400" t="s">
        <v>1666</v>
      </c>
      <c r="J235" s="1400" t="s">
        <v>1667</v>
      </c>
      <c r="K235" s="783" t="s">
        <v>1668</v>
      </c>
      <c r="L235" s="69"/>
      <c r="M235" s="1400" t="s">
        <v>1669</v>
      </c>
      <c r="N235" s="1400"/>
      <c r="O235" s="1400" t="s">
        <v>1670</v>
      </c>
      <c r="P235" s="1398"/>
      <c r="Q235" s="1398"/>
      <c r="R235" s="1398"/>
    </row>
    <row r="236" spans="1:18" s="683" customFormat="1" ht="15" customHeight="1">
      <c r="A236" s="757">
        <v>194</v>
      </c>
      <c r="B236" s="1397"/>
      <c r="C236" s="528" t="str">
        <f t="shared" si="8"/>
        <v>URSINI Marion (SUD EUROCOURTAGE)</v>
      </c>
      <c r="D236" s="528" t="str">
        <f t="shared" si="9"/>
        <v/>
      </c>
      <c r="E236" s="551" t="s">
        <v>546</v>
      </c>
      <c r="F236" s="580" t="s">
        <v>592</v>
      </c>
      <c r="G236" s="1397"/>
      <c r="H236" s="1397" t="s">
        <v>1107</v>
      </c>
      <c r="I236" s="1397" t="s">
        <v>1108</v>
      </c>
      <c r="J236" s="71" t="s">
        <v>1109</v>
      </c>
      <c r="K236" s="71"/>
      <c r="L236" s="69" t="s">
        <v>624</v>
      </c>
      <c r="M236" s="1397" t="s">
        <v>550</v>
      </c>
      <c r="N236" s="1397"/>
      <c r="O236" s="1397"/>
    </row>
    <row r="237" spans="1:18" s="683" customFormat="1" ht="15" customHeight="1">
      <c r="A237" s="1397">
        <v>16</v>
      </c>
      <c r="B237" s="1400">
        <v>18</v>
      </c>
      <c r="C237" s="528" t="str">
        <f t="shared" si="8"/>
        <v/>
      </c>
      <c r="D237" s="528" t="str">
        <f t="shared" si="9"/>
        <v>VALERA Elisa (Aquila Yachting)</v>
      </c>
      <c r="E237" s="1400" t="s">
        <v>1671</v>
      </c>
      <c r="F237" s="580" t="s">
        <v>1159</v>
      </c>
      <c r="G237" s="1400"/>
      <c r="H237" s="1400" t="s">
        <v>1675</v>
      </c>
      <c r="I237" s="1400" t="s">
        <v>1676</v>
      </c>
      <c r="J237" s="1400" t="s">
        <v>1487</v>
      </c>
      <c r="K237" s="1400" t="s">
        <v>1677</v>
      </c>
      <c r="L237" s="69" t="s">
        <v>597</v>
      </c>
      <c r="M237" s="1400" t="s">
        <v>1678</v>
      </c>
      <c r="N237" s="1400" t="s">
        <v>1679</v>
      </c>
      <c r="O237" s="1400"/>
      <c r="P237" s="716"/>
      <c r="Q237" s="716"/>
      <c r="R237" s="716"/>
    </row>
    <row r="238" spans="1:18" s="683" customFormat="1" ht="15" customHeight="1">
      <c r="A238" s="783">
        <v>96</v>
      </c>
      <c r="B238" s="580"/>
      <c r="C238" s="528" t="str">
        <f t="shared" si="8"/>
        <v/>
      </c>
      <c r="D238" s="528" t="str">
        <f t="shared" si="9"/>
        <v>VALLOT Bernard (Grenadines Transportes Maritimos Lda)</v>
      </c>
      <c r="E238" s="580" t="s">
        <v>1737</v>
      </c>
      <c r="F238" s="580" t="s">
        <v>1171</v>
      </c>
      <c r="G238" s="580"/>
      <c r="H238" s="580" t="s">
        <v>1680</v>
      </c>
      <c r="I238" s="580" t="s">
        <v>1066</v>
      </c>
      <c r="J238" s="580" t="s">
        <v>1681</v>
      </c>
      <c r="K238" s="580" t="s">
        <v>1068</v>
      </c>
      <c r="L238" s="69" t="s">
        <v>597</v>
      </c>
      <c r="M238" s="580"/>
      <c r="N238" s="580"/>
      <c r="O238" s="580"/>
      <c r="P238" s="1398"/>
      <c r="Q238" s="1398"/>
      <c r="R238" s="1398"/>
    </row>
    <row r="239" spans="1:18" s="683" customFormat="1" ht="15" customHeight="1">
      <c r="A239" s="69">
        <v>115</v>
      </c>
      <c r="B239" s="1397"/>
      <c r="C239" s="528" t="str">
        <f t="shared" si="8"/>
        <v>VAN BETS Laurie (Junge Verzekeringsmakelaars NV)</v>
      </c>
      <c r="D239" s="528" t="str">
        <f t="shared" si="9"/>
        <v/>
      </c>
      <c r="E239" s="1397" t="s">
        <v>2457</v>
      </c>
      <c r="F239" s="580" t="s">
        <v>592</v>
      </c>
      <c r="G239" s="1397"/>
      <c r="H239" s="1397" t="s">
        <v>2508</v>
      </c>
      <c r="I239" s="1397" t="s">
        <v>2509</v>
      </c>
      <c r="J239" s="678" t="s">
        <v>2510</v>
      </c>
      <c r="K239" s="580"/>
      <c r="L239" s="69" t="s">
        <v>597</v>
      </c>
      <c r="M239" s="758"/>
      <c r="N239" s="1397"/>
      <c r="O239" s="1397"/>
    </row>
    <row r="240" spans="1:18" s="683" customFormat="1" ht="15" customHeight="1">
      <c r="A240" s="69">
        <v>58</v>
      </c>
      <c r="B240" s="580">
        <v>81</v>
      </c>
      <c r="C240" s="528" t="str">
        <f t="shared" si="8"/>
        <v/>
      </c>
      <c r="D240" s="528" t="str">
        <f t="shared" si="9"/>
        <v>VAN HOUTTE Eric (Capitaine Luisa May)</v>
      </c>
      <c r="E240" s="580" t="s">
        <v>1682</v>
      </c>
      <c r="F240" s="580" t="s">
        <v>1171</v>
      </c>
      <c r="G240" s="580"/>
      <c r="H240" s="580" t="s">
        <v>1683</v>
      </c>
      <c r="I240" s="580" t="s">
        <v>1528</v>
      </c>
      <c r="J240" s="580" t="s">
        <v>1684</v>
      </c>
      <c r="K240" s="580" t="s">
        <v>1685</v>
      </c>
      <c r="L240" s="69"/>
      <c r="M240" s="580" t="s">
        <v>1686</v>
      </c>
      <c r="N240" s="580"/>
      <c r="O240" s="580"/>
      <c r="P240" s="422"/>
      <c r="Q240" s="422"/>
      <c r="R240" s="422"/>
    </row>
    <row r="241" spans="1:18" s="683" customFormat="1" ht="15" customHeight="1">
      <c r="A241" s="1400">
        <v>114</v>
      </c>
      <c r="B241" s="1397"/>
      <c r="C241" s="528" t="str">
        <f t="shared" si="8"/>
        <v/>
      </c>
      <c r="D241" s="528" t="str">
        <f t="shared" si="9"/>
        <v>VAN MEENIN Grégory  (JOURDAN GASSIN Nice)</v>
      </c>
      <c r="E241" s="1397" t="s">
        <v>438</v>
      </c>
      <c r="F241" s="580" t="s">
        <v>1159</v>
      </c>
      <c r="G241" s="1397"/>
      <c r="H241" s="1397" t="s">
        <v>1110</v>
      </c>
      <c r="I241" s="1397" t="s">
        <v>1111</v>
      </c>
      <c r="J241" s="71" t="s">
        <v>880</v>
      </c>
      <c r="K241" s="71"/>
      <c r="L241" s="69" t="s">
        <v>624</v>
      </c>
      <c r="M241" s="1397" t="s">
        <v>1112</v>
      </c>
      <c r="N241" s="1397" t="s">
        <v>882</v>
      </c>
      <c r="O241" s="1397"/>
      <c r="P241" s="422"/>
      <c r="Q241" s="422"/>
      <c r="R241" s="422"/>
    </row>
    <row r="242" spans="1:18" s="683" customFormat="1" ht="15" customHeight="1">
      <c r="A242" s="1400">
        <v>132</v>
      </c>
      <c r="B242" s="580"/>
      <c r="C242" s="528" t="str">
        <f t="shared" si="8"/>
        <v>VIDEAU Philippe (Maritime Albatros)</v>
      </c>
      <c r="D242" s="528" t="str">
        <f t="shared" si="9"/>
        <v/>
      </c>
      <c r="E242" s="783" t="s">
        <v>671</v>
      </c>
      <c r="F242" s="580" t="s">
        <v>592</v>
      </c>
      <c r="G242" s="580"/>
      <c r="H242" s="580" t="s">
        <v>1113</v>
      </c>
      <c r="I242" s="580" t="s">
        <v>788</v>
      </c>
      <c r="J242" s="580" t="s">
        <v>1114</v>
      </c>
      <c r="K242" s="580" t="s">
        <v>1115</v>
      </c>
      <c r="L242" s="69"/>
      <c r="M242" s="580"/>
      <c r="N242" s="580"/>
      <c r="O242" s="580"/>
    </row>
    <row r="243" spans="1:18" s="683" customFormat="1" ht="15" customHeight="1">
      <c r="A243" s="69">
        <v>218</v>
      </c>
      <c r="B243" s="783"/>
      <c r="C243" s="528" t="str">
        <f t="shared" si="8"/>
        <v>VIELFAURE François (UVEA MARINE SERVICE)</v>
      </c>
      <c r="D243" s="528" t="str">
        <f t="shared" si="9"/>
        <v/>
      </c>
      <c r="E243" s="1400" t="s">
        <v>645</v>
      </c>
      <c r="F243" s="580" t="s">
        <v>592</v>
      </c>
      <c r="G243" s="783"/>
      <c r="H243" s="580" t="s">
        <v>1116</v>
      </c>
      <c r="I243" s="580" t="s">
        <v>730</v>
      </c>
      <c r="J243" s="580" t="s">
        <v>1117</v>
      </c>
      <c r="K243" s="580" t="s">
        <v>1118</v>
      </c>
      <c r="L243" s="69" t="s">
        <v>597</v>
      </c>
      <c r="M243" s="783"/>
      <c r="N243" s="783"/>
      <c r="O243" s="783"/>
    </row>
    <row r="244" spans="1:18" s="683" customFormat="1" ht="15" customHeight="1">
      <c r="A244" s="1397">
        <v>52</v>
      </c>
      <c r="B244" s="783">
        <v>23</v>
      </c>
      <c r="C244" s="528" t="str">
        <f t="shared" si="8"/>
        <v/>
      </c>
      <c r="D244" s="528" t="str">
        <f t="shared" si="9"/>
        <v>VIGNEUX Françoise (Bourbon Offshore Greenmar)</v>
      </c>
      <c r="E244" s="1400" t="s">
        <v>759</v>
      </c>
      <c r="F244" s="580" t="s">
        <v>1159</v>
      </c>
      <c r="G244" s="783"/>
      <c r="H244" s="783" t="s">
        <v>1687</v>
      </c>
      <c r="I244" s="783" t="s">
        <v>1688</v>
      </c>
      <c r="J244" s="783" t="s">
        <v>1689</v>
      </c>
      <c r="K244" s="783" t="s">
        <v>1690</v>
      </c>
      <c r="L244" s="69" t="s">
        <v>597</v>
      </c>
      <c r="M244" s="783" t="s">
        <v>1691</v>
      </c>
      <c r="N244" s="783"/>
      <c r="O244" s="783" t="s">
        <v>1692</v>
      </c>
      <c r="P244" s="716"/>
      <c r="Q244" s="716"/>
      <c r="R244" s="716"/>
    </row>
    <row r="245" spans="1:18" s="683" customFormat="1" ht="15" customHeight="1">
      <c r="A245" s="69">
        <v>140</v>
      </c>
      <c r="B245" s="1400"/>
      <c r="C245" s="528" t="str">
        <f t="shared" si="8"/>
        <v/>
      </c>
      <c r="D245" s="528" t="str">
        <f t="shared" si="9"/>
        <v>VOGELE Pascal (Moonlight Shipping Ltd)</v>
      </c>
      <c r="E245" s="1400" t="s">
        <v>1739</v>
      </c>
      <c r="F245" s="580" t="s">
        <v>1171</v>
      </c>
      <c r="G245" s="1400"/>
      <c r="H245" s="580" t="s">
        <v>1693</v>
      </c>
      <c r="I245" s="580" t="s">
        <v>827</v>
      </c>
      <c r="J245" s="580" t="s">
        <v>1694</v>
      </c>
      <c r="K245" s="580" t="s">
        <v>1695</v>
      </c>
      <c r="L245" s="69" t="s">
        <v>597</v>
      </c>
      <c r="M245" s="1400"/>
      <c r="N245" s="1400"/>
      <c r="O245" s="1400"/>
      <c r="P245" s="1398"/>
      <c r="Q245" s="1398"/>
      <c r="R245" s="1398"/>
    </row>
    <row r="246" spans="1:18" s="683" customFormat="1" ht="15" customHeight="1">
      <c r="A246" s="1397">
        <v>149</v>
      </c>
      <c r="B246" s="1400">
        <v>60</v>
      </c>
      <c r="C246" s="528" t="str">
        <f t="shared" si="8"/>
        <v/>
      </c>
      <c r="D246" s="528" t="str">
        <f t="shared" si="9"/>
        <v>WAN André (MW AFRITEC)</v>
      </c>
      <c r="E246" s="1400" t="s">
        <v>1664</v>
      </c>
      <c r="F246" s="818" t="s">
        <v>1159</v>
      </c>
      <c r="G246" s="1400"/>
      <c r="H246" s="1400" t="s">
        <v>1696</v>
      </c>
      <c r="I246" s="1400" t="s">
        <v>1697</v>
      </c>
      <c r="J246" s="1400" t="s">
        <v>1698</v>
      </c>
      <c r="K246" s="1400" t="s">
        <v>1573</v>
      </c>
      <c r="L246" s="808"/>
      <c r="M246" s="1400"/>
      <c r="N246" s="1400"/>
      <c r="O246" s="1400"/>
      <c r="P246" s="1398"/>
      <c r="Q246" s="1398"/>
      <c r="R246" s="1398"/>
    </row>
    <row r="247" spans="1:18" s="714" customFormat="1">
      <c r="A247" s="808">
        <v>71</v>
      </c>
      <c r="B247" s="818">
        <v>83</v>
      </c>
      <c r="C247" s="528" t="str">
        <f t="shared" si="8"/>
        <v/>
      </c>
      <c r="D247" s="528" t="str">
        <f t="shared" si="9"/>
        <v>WENDT Frédérique (D&amp;B SERVICES -Cayman Islands)</v>
      </c>
      <c r="E247" s="1401" t="s">
        <v>324</v>
      </c>
      <c r="F247" s="818" t="s">
        <v>1159</v>
      </c>
      <c r="G247" s="818"/>
      <c r="H247" s="818" t="s">
        <v>1699</v>
      </c>
      <c r="I247" s="818" t="s">
        <v>1700</v>
      </c>
      <c r="J247" s="818" t="s">
        <v>1701</v>
      </c>
      <c r="K247" s="818" t="s">
        <v>1702</v>
      </c>
      <c r="L247" s="808" t="s">
        <v>597</v>
      </c>
      <c r="M247" s="818" t="s">
        <v>1703</v>
      </c>
      <c r="N247" s="818" t="s">
        <v>1704</v>
      </c>
      <c r="O247" s="818"/>
      <c r="P247" s="1398"/>
      <c r="Q247" s="1398"/>
      <c r="R247" s="1398"/>
    </row>
    <row r="248" spans="1:18">
      <c r="A248" s="1019">
        <v>72</v>
      </c>
      <c r="B248" s="1019">
        <v>83</v>
      </c>
      <c r="C248" s="528" t="str">
        <f t="shared" si="8"/>
        <v/>
      </c>
      <c r="D248" s="528" t="str">
        <f t="shared" si="9"/>
        <v>WENDT Frédérique (D&amp;B SERVICES -France)</v>
      </c>
      <c r="E248" s="1401" t="s">
        <v>332</v>
      </c>
      <c r="F248" s="1019" t="s">
        <v>1159</v>
      </c>
      <c r="G248" s="1400"/>
      <c r="H248" s="1400" t="s">
        <v>1699</v>
      </c>
      <c r="I248" s="1400" t="s">
        <v>1700</v>
      </c>
      <c r="J248" s="1400" t="s">
        <v>1701</v>
      </c>
      <c r="K248" s="1019" t="s">
        <v>1702</v>
      </c>
      <c r="L248" s="808" t="s">
        <v>597</v>
      </c>
      <c r="M248" s="1400" t="s">
        <v>1703</v>
      </c>
      <c r="N248" s="1400" t="s">
        <v>1704</v>
      </c>
      <c r="O248" s="1400"/>
      <c r="P248" s="716"/>
      <c r="Q248" s="716"/>
      <c r="R248" s="716"/>
    </row>
    <row r="249" spans="1:18" ht="25.5">
      <c r="A249" s="1393">
        <v>83</v>
      </c>
      <c r="B249" s="1393"/>
      <c r="C249" s="528" t="str">
        <f t="shared" si="8"/>
        <v>Zambon Sandra (FILHET ALLARD Maritime)</v>
      </c>
      <c r="D249" s="528" t="str">
        <f t="shared" si="9"/>
        <v/>
      </c>
      <c r="E249" s="1414" t="s">
        <v>370</v>
      </c>
      <c r="F249" s="1392" t="s">
        <v>592</v>
      </c>
      <c r="G249" s="1393" t="s">
        <v>1122</v>
      </c>
      <c r="H249" s="1392" t="s">
        <v>1119</v>
      </c>
      <c r="I249" s="1392" t="s">
        <v>1120</v>
      </c>
      <c r="J249" s="1392" t="s">
        <v>1121</v>
      </c>
      <c r="K249" s="1392" t="s">
        <v>1119</v>
      </c>
      <c r="L249" s="1393" t="s">
        <v>597</v>
      </c>
      <c r="M249" s="1393" t="s">
        <v>1123</v>
      </c>
      <c r="N249" s="1393" t="s">
        <v>1124</v>
      </c>
      <c r="O249" s="1415"/>
      <c r="P249" s="680"/>
      <c r="Q249" s="680"/>
      <c r="R249" s="680"/>
    </row>
    <row r="250" spans="1:18" ht="25.5">
      <c r="A250" s="1392">
        <v>204</v>
      </c>
      <c r="B250" s="1393"/>
      <c r="C250" s="528" t="str">
        <f t="shared" si="8"/>
        <v>ZIANE Myriam (SUISSCOURTAGE Monaco)</v>
      </c>
      <c r="D250" s="528" t="str">
        <f t="shared" si="9"/>
        <v/>
      </c>
      <c r="E250" s="1414" t="s">
        <v>558</v>
      </c>
      <c r="F250" s="1392" t="s">
        <v>592</v>
      </c>
      <c r="G250" s="1393"/>
      <c r="H250" s="1393" t="s">
        <v>1125</v>
      </c>
      <c r="I250" s="1393" t="s">
        <v>1126</v>
      </c>
      <c r="J250" s="1415" t="s">
        <v>1127</v>
      </c>
      <c r="K250" s="1415"/>
      <c r="L250" s="1393" t="s">
        <v>624</v>
      </c>
      <c r="M250" s="1393" t="s">
        <v>560</v>
      </c>
      <c r="N250" s="1393" t="s">
        <v>561</v>
      </c>
      <c r="O250" s="1393"/>
      <c r="P250" s="683"/>
      <c r="Q250" s="683"/>
      <c r="R250" s="683"/>
    </row>
    <row r="251" spans="1:18">
      <c r="A251" s="1393">
        <v>13</v>
      </c>
      <c r="B251" s="1392"/>
      <c r="C251" s="528" t="str">
        <f t="shared" si="8"/>
        <v>ZUNINO Stéphanie (April Yacht)</v>
      </c>
      <c r="D251" s="528" t="str">
        <f t="shared" si="9"/>
        <v/>
      </c>
      <c r="E251" s="1392" t="s">
        <v>251</v>
      </c>
      <c r="F251" s="1392" t="s">
        <v>592</v>
      </c>
      <c r="G251" s="1392"/>
      <c r="H251" s="1392" t="s">
        <v>1130</v>
      </c>
      <c r="I251" s="1392" t="s">
        <v>710</v>
      </c>
      <c r="J251" s="1392" t="s">
        <v>1131</v>
      </c>
      <c r="K251" s="1392" t="s">
        <v>712</v>
      </c>
      <c r="L251" s="1393" t="s">
        <v>597</v>
      </c>
      <c r="M251" s="1392" t="s">
        <v>1132</v>
      </c>
      <c r="N251" s="1392" t="s">
        <v>1133</v>
      </c>
      <c r="O251" s="1392"/>
      <c r="P251" s="83"/>
      <c r="Q251" s="83"/>
      <c r="R251" s="83"/>
    </row>
    <row r="252" spans="1:18">
      <c r="A252" s="1396">
        <v>3</v>
      </c>
      <c r="B252" s="1396">
        <v>13</v>
      </c>
      <c r="C252" s="528" t="str">
        <f t="shared" si="8"/>
        <v/>
      </c>
      <c r="D252" s="528" t="str">
        <f t="shared" si="9"/>
        <v xml:space="preserve"> Sabrina  (A7rent)</v>
      </c>
      <c r="E252" s="1397" t="s">
        <v>1631</v>
      </c>
      <c r="F252" s="1396" t="s">
        <v>1159</v>
      </c>
      <c r="G252" s="1397"/>
      <c r="H252" s="1397"/>
      <c r="I252" s="1397" t="s">
        <v>1705</v>
      </c>
      <c r="J252" s="1397" t="s">
        <v>1632</v>
      </c>
      <c r="K252" s="1396" t="s">
        <v>1633</v>
      </c>
      <c r="L252" s="1397" t="s">
        <v>597</v>
      </c>
      <c r="M252" s="1397"/>
      <c r="N252" s="1397"/>
      <c r="O252" s="1397"/>
      <c r="P252" s="1398"/>
      <c r="Q252" s="1398"/>
      <c r="R252" s="1398"/>
    </row>
  </sheetData>
  <sortState ref="A4:R252">
    <sortCondition ref="H4:H252"/>
  </sortState>
  <hyperlinks>
    <hyperlink ref="J60" r:id="rId1"/>
    <hyperlink ref="J121" r:id="rId2"/>
    <hyperlink ref="J241" r:id="rId3" display="mailto:gregory.vanmeenin@jgm.fr"/>
    <hyperlink ref="J16" r:id="rId4" display="mailto:cannes@agence.generali.fr"/>
    <hyperlink ref="J106" r:id="rId5" display="mailto:kim.hamilton@sarniayachts.com"/>
    <hyperlink ref="J231" r:id="rId6" display="mailto:atouati@suisscourtage.com"/>
    <hyperlink ref="J228" r:id="rId7"/>
    <hyperlink ref="J80" r:id="rId8"/>
    <hyperlink ref="J137" r:id="rId9"/>
    <hyperlink ref="J167" r:id="rId10"/>
    <hyperlink ref="J170" r:id="rId11" display="mailto:caroline.nouamria@mtaic.com"/>
    <hyperlink ref="J229" r:id="rId12"/>
    <hyperlink ref="J53" r:id="rId13"/>
    <hyperlink ref="J17" r:id="rId14"/>
    <hyperlink ref="J100" r:id="rId15"/>
    <hyperlink ref="J64" r:id="rId16" display="mailto:jpdewolf@lms.lu"/>
    <hyperlink ref="J215" r:id="rId17"/>
    <hyperlink ref="J148" r:id="rId18"/>
    <hyperlink ref="J153" r:id="rId19"/>
    <hyperlink ref="J79" r:id="rId20"/>
    <hyperlink ref="J205" r:id="rId21"/>
    <hyperlink ref="J189" r:id="rId22"/>
    <hyperlink ref="J43" r:id="rId23"/>
    <hyperlink ref="J146" r:id="rId24"/>
    <hyperlink ref="J11" r:id="rId25" display="mailto:maritime@ascoma.com"/>
    <hyperlink ref="J112" r:id="rId26" display="mailto:general@meriv.fr"/>
    <hyperlink ref="J116" r:id="rId27" display="mailto:agence.isaia@axa.fr"/>
    <hyperlink ref="J129" r:id="rId28"/>
    <hyperlink ref="J204" r:id="rId29" display="mailto:fraco@onlyyacht.com"/>
    <hyperlink ref="J52" r:id="rId30" display="mailto:mlcordray@agence.generali.fr"/>
    <hyperlink ref="J104" r:id="rId31"/>
    <hyperlink ref="J94" r:id="rId32"/>
    <hyperlink ref="J232" r:id="rId33" display="mailto:atouati@suisscourtage.com"/>
    <hyperlink ref="J219" r:id="rId34" display="mailto:Manuel.Saporita@ascoma.com"/>
    <hyperlink ref="M219" r:id="rId35" display="tel:%2B377 97 97 44 25"/>
    <hyperlink ref="N219" r:id="rId36" display="tel:%2B377 97 97 44 24"/>
    <hyperlink ref="J250" r:id="rId37" display="mailto:mziane@suisscourtage.com"/>
    <hyperlink ref="J156" r:id="rId38"/>
    <hyperlink ref="J48" r:id="rId39"/>
    <hyperlink ref="M91" r:id="rId40" display="tel:%2B 33 %280%29970 444 165"/>
    <hyperlink ref="J91" r:id="rId41"/>
    <hyperlink ref="J150" r:id="rId42"/>
    <hyperlink ref="J89" r:id="rId43"/>
    <hyperlink ref="J126" r:id="rId44"/>
    <hyperlink ref="J158" r:id="rId45"/>
    <hyperlink ref="J66" r:id="rId46"/>
    <hyperlink ref="J28" r:id="rId47"/>
    <hyperlink ref="J99" r:id="rId48"/>
    <hyperlink ref="J6" r:id="rId49"/>
    <hyperlink ref="J65" r:id="rId50"/>
    <hyperlink ref="J191" r:id="rId51"/>
    <hyperlink ref="J236" r:id="rId52"/>
    <hyperlink ref="J7" r:id="rId53"/>
    <hyperlink ref="J19" r:id="rId54"/>
    <hyperlink ref="J68" r:id="rId55"/>
    <hyperlink ref="J222" r:id="rId56"/>
    <hyperlink ref="O113" r:id="rId57" display="tel:%2B33 640 614 601"/>
    <hyperlink ref="J5" r:id="rId58"/>
    <hyperlink ref="J234" r:id="rId59"/>
    <hyperlink ref="J86" r:id="rId60"/>
    <hyperlink ref="J119" r:id="rId61" display="mailto:Jaramillo@gesmaritime.com"/>
    <hyperlink ref="J101" r:id="rId62"/>
    <hyperlink ref="J98" r:id="rId63"/>
    <hyperlink ref="J173" r:id="rId64"/>
    <hyperlink ref="J143" r:id="rId65"/>
    <hyperlink ref="J132" r:id="rId66"/>
    <hyperlink ref="J221" r:id="rId67"/>
    <hyperlink ref="J239" r:id="rId68"/>
    <hyperlink ref="J183" r:id="rId69"/>
    <hyperlink ref="J109" r:id="rId70"/>
    <hyperlink ref="J110" r:id="rId71"/>
    <hyperlink ref="J108" r:id="rId72"/>
    <hyperlink ref="J111" r:id="rId73"/>
    <hyperlink ref="J124" r:id="rId74"/>
    <hyperlink ref="J225" r:id="rId75"/>
    <hyperlink ref="J216" r:id="rId76"/>
    <hyperlink ref="J223" r:id="rId77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FF0000"/>
  </sheetPr>
  <dimension ref="A1:F41"/>
  <sheetViews>
    <sheetView workbookViewId="0">
      <selection activeCell="D29" sqref="D29"/>
    </sheetView>
  </sheetViews>
  <sheetFormatPr baseColWidth="10" defaultColWidth="11.42578125" defaultRowHeight="15"/>
  <cols>
    <col min="1" max="1" width="31.28515625" customWidth="1"/>
    <col min="2" max="2" width="34.85546875" customWidth="1"/>
    <col min="3" max="3" width="28.7109375" customWidth="1"/>
    <col min="4" max="4" width="28.42578125" customWidth="1"/>
    <col min="5" max="5" width="27.85546875" customWidth="1"/>
    <col min="6" max="6" width="36.140625" customWidth="1"/>
  </cols>
  <sheetData>
    <row r="1" spans="1:6" ht="16.5">
      <c r="A1">
        <v>1</v>
      </c>
      <c r="B1" s="88" t="s">
        <v>1744</v>
      </c>
      <c r="C1" s="89" t="s">
        <v>1745</v>
      </c>
      <c r="D1" s="89" t="s">
        <v>1746</v>
      </c>
      <c r="E1" s="49" t="s">
        <v>1747</v>
      </c>
      <c r="F1" s="49" t="s">
        <v>1748</v>
      </c>
    </row>
    <row r="2" spans="1:6">
      <c r="A2" s="90" t="str">
        <f>CHOOSE($A$1,B2,C2,D2,E2,F2)</f>
        <v>Rank</v>
      </c>
      <c r="B2" s="91" t="s">
        <v>1749</v>
      </c>
      <c r="C2" s="91" t="s">
        <v>97</v>
      </c>
      <c r="D2" s="91" t="s">
        <v>97</v>
      </c>
      <c r="E2" s="91" t="s">
        <v>1750</v>
      </c>
      <c r="F2" s="86" t="s">
        <v>1751</v>
      </c>
    </row>
    <row r="3" spans="1:6">
      <c r="A3" s="90" t="str">
        <f t="shared" ref="A3:A41" si="0">CHOOSE($A$1,B3,C3,D3,E3,F3)</f>
        <v>Given Name</v>
      </c>
      <c r="B3" s="91" t="s">
        <v>1752</v>
      </c>
      <c r="C3" s="91" t="s">
        <v>1753</v>
      </c>
      <c r="D3" s="91" t="s">
        <v>17</v>
      </c>
      <c r="E3" s="86" t="s">
        <v>1754</v>
      </c>
      <c r="F3" s="86" t="s">
        <v>1755</v>
      </c>
    </row>
    <row r="4" spans="1:6">
      <c r="A4" s="90" t="str">
        <f t="shared" si="0"/>
        <v>period           months</v>
      </c>
      <c r="B4" s="91" t="s">
        <v>1756</v>
      </c>
      <c r="C4" s="91" t="s">
        <v>1757</v>
      </c>
      <c r="D4" s="91" t="s">
        <v>1758</v>
      </c>
      <c r="E4" s="86" t="s">
        <v>1759</v>
      </c>
      <c r="F4" s="86" t="s">
        <v>1760</v>
      </c>
    </row>
    <row r="5" spans="1:6">
      <c r="A5" s="90" t="str">
        <f t="shared" si="0"/>
        <v>Annual Salaries</v>
      </c>
      <c r="B5" s="91" t="s">
        <v>1761</v>
      </c>
      <c r="C5" s="91" t="s">
        <v>1762</v>
      </c>
      <c r="D5" s="91" t="s">
        <v>1763</v>
      </c>
      <c r="E5" s="86" t="s">
        <v>1764</v>
      </c>
      <c r="F5" s="86" t="s">
        <v>1765</v>
      </c>
    </row>
    <row r="6" spans="1:6">
      <c r="A6" s="90" t="str">
        <f t="shared" si="0"/>
        <v>Medical</v>
      </c>
      <c r="B6" s="91" t="s">
        <v>200</v>
      </c>
      <c r="C6" s="91" t="s">
        <v>1766</v>
      </c>
      <c r="D6" s="91" t="s">
        <v>200</v>
      </c>
      <c r="E6" s="86" t="s">
        <v>1767</v>
      </c>
      <c r="F6" s="86" t="s">
        <v>1768</v>
      </c>
    </row>
    <row r="7" spans="1:6">
      <c r="A7" s="90" t="str">
        <f t="shared" si="0"/>
        <v>Formula 1A</v>
      </c>
      <c r="B7" s="91" t="s">
        <v>1769</v>
      </c>
      <c r="C7" s="91" t="s">
        <v>1770</v>
      </c>
      <c r="D7" s="91" t="s">
        <v>1771</v>
      </c>
      <c r="E7" s="86" t="s">
        <v>1772</v>
      </c>
      <c r="F7" s="86" t="s">
        <v>1773</v>
      </c>
    </row>
    <row r="8" spans="1:6">
      <c r="A8" s="90" t="str">
        <f t="shared" si="0"/>
        <v>Formula 1B</v>
      </c>
      <c r="B8" s="91" t="s">
        <v>1774</v>
      </c>
      <c r="C8" s="91" t="s">
        <v>1775</v>
      </c>
      <c r="D8" s="91" t="s">
        <v>1776</v>
      </c>
      <c r="E8" s="86" t="s">
        <v>1777</v>
      </c>
      <c r="F8" s="86" t="s">
        <v>1778</v>
      </c>
    </row>
    <row r="9" spans="1:6">
      <c r="A9" s="90" t="str">
        <f t="shared" si="0"/>
        <v>Formula 1C</v>
      </c>
      <c r="B9" s="91" t="s">
        <v>1779</v>
      </c>
      <c r="C9" s="91" t="s">
        <v>1780</v>
      </c>
      <c r="D9" s="91" t="s">
        <v>1781</v>
      </c>
      <c r="E9" s="86" t="s">
        <v>1782</v>
      </c>
      <c r="F9" s="86" t="s">
        <v>1783</v>
      </c>
    </row>
    <row r="10" spans="1:6">
      <c r="A10" s="90" t="str">
        <f t="shared" si="0"/>
        <v>Formula 2</v>
      </c>
      <c r="B10" s="91" t="s">
        <v>1784</v>
      </c>
      <c r="C10" s="91" t="s">
        <v>1785</v>
      </c>
      <c r="D10" s="91" t="s">
        <v>1786</v>
      </c>
      <c r="E10" s="86" t="s">
        <v>1787</v>
      </c>
      <c r="F10" s="86" t="s">
        <v>1788</v>
      </c>
    </row>
    <row r="11" spans="1:6">
      <c r="A11" s="90" t="str">
        <f t="shared" si="0"/>
        <v>Formula 3</v>
      </c>
      <c r="B11" s="91" t="s">
        <v>90</v>
      </c>
      <c r="C11" s="91" t="s">
        <v>1789</v>
      </c>
      <c r="D11" s="91" t="s">
        <v>1790</v>
      </c>
      <c r="E11" s="86" t="s">
        <v>1791</v>
      </c>
      <c r="F11" s="86" t="s">
        <v>1792</v>
      </c>
    </row>
    <row r="12" spans="1:6" ht="26.25">
      <c r="A12" s="90" t="str">
        <f t="shared" si="0"/>
        <v>TOTAL Annual provisional premium</v>
      </c>
      <c r="B12" s="91" t="s">
        <v>1793</v>
      </c>
      <c r="C12" s="91" t="s">
        <v>1794</v>
      </c>
      <c r="D12" s="91" t="s">
        <v>1795</v>
      </c>
      <c r="E12" s="86" t="s">
        <v>1796</v>
      </c>
      <c r="F12" s="86" t="s">
        <v>1797</v>
      </c>
    </row>
    <row r="13" spans="1:6" ht="26.25">
      <c r="A13" s="90" t="str">
        <f t="shared" si="0"/>
        <v>TOTAL compared to the annual payroll (%)</v>
      </c>
      <c r="B13" s="91" t="s">
        <v>1798</v>
      </c>
      <c r="C13" s="91" t="s">
        <v>1799</v>
      </c>
      <c r="D13" s="91" t="s">
        <v>1800</v>
      </c>
      <c r="E13" s="86" t="s">
        <v>1801</v>
      </c>
      <c r="F13" s="86" t="s">
        <v>1802</v>
      </c>
    </row>
    <row r="14" spans="1:6">
      <c r="A14" s="90" t="str">
        <f t="shared" si="0"/>
        <v>Chosen formula</v>
      </c>
      <c r="B14" s="91" t="s">
        <v>1803</v>
      </c>
      <c r="C14" s="91" t="s">
        <v>1804</v>
      </c>
      <c r="D14" s="91" t="s">
        <v>1805</v>
      </c>
      <c r="E14" s="86" t="s">
        <v>1806</v>
      </c>
      <c r="F14" s="86" t="s">
        <v>1807</v>
      </c>
    </row>
    <row r="15" spans="1:6">
      <c r="A15" s="90" t="str">
        <f t="shared" si="0"/>
        <v>Premium</v>
      </c>
      <c r="B15" s="91" t="s">
        <v>1808</v>
      </c>
      <c r="C15" s="91" t="s">
        <v>1809</v>
      </c>
      <c r="D15" s="91" t="s">
        <v>1810</v>
      </c>
      <c r="E15" s="86" t="s">
        <v>1811</v>
      </c>
      <c r="F15" s="86" t="s">
        <v>1812</v>
      </c>
    </row>
    <row r="16" spans="1:6">
      <c r="A16" s="90" t="str">
        <f t="shared" si="0"/>
        <v>Monthly Salary</v>
      </c>
      <c r="B16" s="91" t="s">
        <v>1813</v>
      </c>
      <c r="C16" s="91" t="s">
        <v>1814</v>
      </c>
      <c r="D16" s="91" t="s">
        <v>1815</v>
      </c>
      <c r="E16" s="86" t="s">
        <v>1816</v>
      </c>
      <c r="F16" s="86" t="s">
        <v>1817</v>
      </c>
    </row>
    <row r="17" spans="1:6">
      <c r="A17" s="90" t="str">
        <f t="shared" si="0"/>
        <v>EUR-RATE 2012</v>
      </c>
      <c r="B17" s="92" t="s">
        <v>1818</v>
      </c>
      <c r="C17" s="92" t="s">
        <v>1819</v>
      </c>
      <c r="D17" s="92" t="s">
        <v>1820</v>
      </c>
      <c r="E17" s="92" t="s">
        <v>1821</v>
      </c>
      <c r="F17" s="86" t="s">
        <v>1822</v>
      </c>
    </row>
    <row r="18" spans="1:6">
      <c r="A18" s="90" t="str">
        <f t="shared" si="0"/>
        <v>USD-RATE 2012</v>
      </c>
      <c r="B18" s="92" t="s">
        <v>1823</v>
      </c>
      <c r="C18" s="92" t="s">
        <v>1824</v>
      </c>
      <c r="D18" s="92" t="s">
        <v>1825</v>
      </c>
      <c r="E18" s="92" t="s">
        <v>1826</v>
      </c>
      <c r="F18" s="86" t="s">
        <v>1827</v>
      </c>
    </row>
    <row r="19" spans="1:6">
      <c r="A19" s="90" t="str">
        <f t="shared" si="0"/>
        <v>EUR-RATE 2013-365 days</v>
      </c>
      <c r="B19" s="92" t="s">
        <v>1828</v>
      </c>
      <c r="C19" s="92" t="s">
        <v>1829</v>
      </c>
      <c r="D19" s="92" t="s">
        <v>1830</v>
      </c>
      <c r="E19" s="92" t="s">
        <v>1831</v>
      </c>
      <c r="F19" s="86" t="s">
        <v>1832</v>
      </c>
    </row>
    <row r="20" spans="1:6">
      <c r="A20" s="90" t="str">
        <f t="shared" si="0"/>
        <v>EUR-RATE 2013-120 days</v>
      </c>
      <c r="B20" s="92" t="s">
        <v>1833</v>
      </c>
      <c r="C20" s="92" t="s">
        <v>1834</v>
      </c>
      <c r="D20" s="92" t="s">
        <v>1835</v>
      </c>
      <c r="E20" s="92" t="s">
        <v>1836</v>
      </c>
      <c r="F20" s="86" t="s">
        <v>1837</v>
      </c>
    </row>
    <row r="21" spans="1:6">
      <c r="A21" s="90" t="str">
        <f t="shared" si="0"/>
        <v>USD-RATE 2013-365 days</v>
      </c>
      <c r="B21" s="92" t="s">
        <v>1838</v>
      </c>
      <c r="C21" s="92" t="s">
        <v>1839</v>
      </c>
      <c r="D21" s="92" t="s">
        <v>1840</v>
      </c>
      <c r="E21" s="92" t="s">
        <v>1841</v>
      </c>
      <c r="F21" s="86" t="s">
        <v>1842</v>
      </c>
    </row>
    <row r="22" spans="1:6">
      <c r="A22" s="90" t="str">
        <f t="shared" si="0"/>
        <v>USD-RATE 2013-120 days</v>
      </c>
      <c r="B22" s="92" t="s">
        <v>1843</v>
      </c>
      <c r="C22" s="92" t="s">
        <v>1844</v>
      </c>
      <c r="D22" s="92" t="s">
        <v>1845</v>
      </c>
      <c r="E22" s="92" t="s">
        <v>1846</v>
      </c>
      <c r="F22" s="86" t="s">
        <v>1847</v>
      </c>
    </row>
    <row r="23" spans="1:6">
      <c r="A23" s="90" t="str">
        <f t="shared" si="0"/>
        <v>USD-RATE 2013-130 days</v>
      </c>
      <c r="B23" s="92" t="s">
        <v>1848</v>
      </c>
      <c r="C23" s="92" t="s">
        <v>1849</v>
      </c>
      <c r="D23" s="92" t="s">
        <v>1850</v>
      </c>
      <c r="E23" s="92" t="s">
        <v>1851</v>
      </c>
      <c r="F23" s="86" t="s">
        <v>1852</v>
      </c>
    </row>
    <row r="24" spans="1:6">
      <c r="A24" s="90" t="str">
        <f t="shared" si="0"/>
        <v>EUR-REDUCED RATE ACE-2013-120 days</v>
      </c>
      <c r="B24" s="92" t="s">
        <v>1853</v>
      </c>
      <c r="C24" s="92" t="s">
        <v>1854</v>
      </c>
      <c r="D24" s="92" t="s">
        <v>1855</v>
      </c>
      <c r="E24" s="92" t="s">
        <v>1856</v>
      </c>
      <c r="F24" s="86" t="s">
        <v>1857</v>
      </c>
    </row>
    <row r="25" spans="1:6">
      <c r="A25" s="90" t="str">
        <f t="shared" si="0"/>
        <v>EUR-REDUCED RATE ACE--2013-365 days</v>
      </c>
      <c r="B25" s="92" t="s">
        <v>1858</v>
      </c>
      <c r="C25" s="92" t="s">
        <v>1859</v>
      </c>
      <c r="D25" s="92" t="s">
        <v>1860</v>
      </c>
      <c r="E25" s="92" t="s">
        <v>1861</v>
      </c>
      <c r="F25" s="86" t="s">
        <v>1862</v>
      </c>
    </row>
    <row r="26" spans="1:6">
      <c r="A26" s="90" t="str">
        <f t="shared" si="0"/>
        <v>EUR-RATE 2015-365 days</v>
      </c>
      <c r="B26" s="92" t="s">
        <v>1863</v>
      </c>
      <c r="C26" s="92" t="s">
        <v>1864</v>
      </c>
      <c r="D26" s="92" t="s">
        <v>1865</v>
      </c>
      <c r="E26" s="92" t="s">
        <v>1866</v>
      </c>
      <c r="F26" s="86" t="s">
        <v>1867</v>
      </c>
    </row>
    <row r="27" spans="1:6">
      <c r="A27" s="90" t="str">
        <f t="shared" si="0"/>
        <v>EUR-RATE 2015-120 days</v>
      </c>
      <c r="B27" s="92" t="s">
        <v>1868</v>
      </c>
      <c r="C27" s="92" t="s">
        <v>1869</v>
      </c>
      <c r="D27" s="92" t="s">
        <v>1870</v>
      </c>
      <c r="E27" s="92" t="s">
        <v>1871</v>
      </c>
      <c r="F27" s="86" t="s">
        <v>1872</v>
      </c>
    </row>
    <row r="28" spans="1:6">
      <c r="A28" s="90" t="str">
        <f t="shared" si="0"/>
        <v>USD-RATE 2015-365 days</v>
      </c>
      <c r="B28" s="92" t="s">
        <v>1873</v>
      </c>
      <c r="C28" s="92" t="s">
        <v>1874</v>
      </c>
      <c r="D28" s="92" t="s">
        <v>1875</v>
      </c>
      <c r="E28" s="92" t="s">
        <v>1876</v>
      </c>
      <c r="F28" s="86" t="s">
        <v>1877</v>
      </c>
    </row>
    <row r="29" spans="1:6">
      <c r="A29" s="90" t="str">
        <f t="shared" si="0"/>
        <v>USD-RATE 2015-120 days</v>
      </c>
      <c r="B29" s="92" t="s">
        <v>1878</v>
      </c>
      <c r="C29" s="92" t="s">
        <v>1879</v>
      </c>
      <c r="D29" s="92" t="s">
        <v>1880</v>
      </c>
      <c r="E29" s="92" t="s">
        <v>1881</v>
      </c>
      <c r="F29" s="86" t="s">
        <v>1882</v>
      </c>
    </row>
    <row r="30" spans="1:6">
      <c r="A30" s="90" t="str">
        <f t="shared" si="0"/>
        <v>EUR-REDUCED RATE ACE-2015-120 days</v>
      </c>
      <c r="B30" s="92" t="s">
        <v>1883</v>
      </c>
      <c r="C30" s="92" t="s">
        <v>1884</v>
      </c>
      <c r="D30" s="92" t="s">
        <v>1885</v>
      </c>
      <c r="E30" s="92" t="s">
        <v>1886</v>
      </c>
      <c r="F30" s="86" t="s">
        <v>1887</v>
      </c>
    </row>
    <row r="31" spans="1:6">
      <c r="A31" s="90" t="str">
        <f t="shared" si="0"/>
        <v>EUR-REDUCED RATE ACE--2015-365 days</v>
      </c>
      <c r="B31" s="92" t="s">
        <v>1888</v>
      </c>
      <c r="C31" s="92" t="s">
        <v>1889</v>
      </c>
      <c r="D31" s="92" t="s">
        <v>1890</v>
      </c>
      <c r="E31" s="92" t="s">
        <v>1891</v>
      </c>
      <c r="F31" s="86" t="s">
        <v>1892</v>
      </c>
    </row>
    <row r="32" spans="1:6">
      <c r="A32" s="90">
        <f t="shared" si="0"/>
        <v>0</v>
      </c>
      <c r="B32" s="86"/>
      <c r="C32" s="86"/>
      <c r="D32" s="86"/>
      <c r="E32" s="86"/>
      <c r="F32" s="86"/>
    </row>
    <row r="33" spans="1:6">
      <c r="A33" s="90" t="str">
        <f t="shared" si="0"/>
        <v>DAILY CALCULATION</v>
      </c>
      <c r="B33" s="86" t="s">
        <v>1893</v>
      </c>
      <c r="C33" s="87" t="s">
        <v>1894</v>
      </c>
      <c r="D33" s="86" t="s">
        <v>1895</v>
      </c>
      <c r="E33" s="86" t="s">
        <v>1896</v>
      </c>
      <c r="F33" s="86" t="s">
        <v>1897</v>
      </c>
    </row>
    <row r="34" spans="1:6">
      <c r="A34" s="90" t="str">
        <f t="shared" si="0"/>
        <v>MONTHLY CALCULATION</v>
      </c>
      <c r="B34" s="86" t="s">
        <v>1898</v>
      </c>
      <c r="C34" s="93" t="s">
        <v>1899</v>
      </c>
      <c r="D34" s="86" t="s">
        <v>1900</v>
      </c>
      <c r="E34" s="86" t="s">
        <v>1901</v>
      </c>
      <c r="F34" s="86" t="s">
        <v>1902</v>
      </c>
    </row>
    <row r="35" spans="1:6">
      <c r="A35" s="90" t="str">
        <f t="shared" si="0"/>
        <v>proportional salary based</v>
      </c>
      <c r="B35" s="68" t="s">
        <v>1903</v>
      </c>
      <c r="C35" s="86" t="s">
        <v>1904</v>
      </c>
      <c r="D35" s="86" t="s">
        <v>1905</v>
      </c>
      <c r="E35" s="68" t="s">
        <v>1906</v>
      </c>
      <c r="F35" s="86" t="s">
        <v>1907</v>
      </c>
    </row>
    <row r="36" spans="1:6">
      <c r="A36" s="90" t="str">
        <f t="shared" si="0"/>
        <v>based on</v>
      </c>
      <c r="B36" s="68" t="s">
        <v>1908</v>
      </c>
      <c r="C36" s="86" t="s">
        <v>1909</v>
      </c>
      <c r="D36" s="86" t="s">
        <v>1910</v>
      </c>
      <c r="E36" s="68" t="s">
        <v>1911</v>
      </c>
      <c r="F36" s="86" t="s">
        <v>1912</v>
      </c>
    </row>
    <row r="37" spans="1:6">
      <c r="A37" s="90" t="str">
        <f t="shared" si="0"/>
        <v>Brokerage</v>
      </c>
      <c r="B37" s="87" t="s">
        <v>83</v>
      </c>
      <c r="C37" s="86" t="s">
        <v>100</v>
      </c>
      <c r="D37" s="68" t="s">
        <v>1913</v>
      </c>
      <c r="E37" s="87" t="s">
        <v>1914</v>
      </c>
      <c r="F37" s="86" t="s">
        <v>1915</v>
      </c>
    </row>
    <row r="38" spans="1:6">
      <c r="A38" s="90" t="str">
        <f t="shared" si="0"/>
        <v xml:space="preserve">Net Premium to be paid: </v>
      </c>
      <c r="B38" s="68" t="s">
        <v>1916</v>
      </c>
      <c r="C38" s="68" t="s">
        <v>1917</v>
      </c>
      <c r="D38" s="68" t="s">
        <v>1918</v>
      </c>
      <c r="E38" s="68" t="s">
        <v>1919</v>
      </c>
      <c r="F38" s="86" t="s">
        <v>1920</v>
      </c>
    </row>
    <row r="39" spans="1:6">
      <c r="A39" s="90" t="str">
        <f t="shared" si="0"/>
        <v>Duration: 365 days Waiting period: 7 days</v>
      </c>
      <c r="B39" s="94" t="s">
        <v>1921</v>
      </c>
      <c r="C39" s="68" t="s">
        <v>1922</v>
      </c>
      <c r="D39" s="86" t="s">
        <v>1923</v>
      </c>
      <c r="E39" s="86" t="s">
        <v>1924</v>
      </c>
      <c r="F39" s="86" t="s">
        <v>1925</v>
      </c>
    </row>
    <row r="40" spans="1:6">
      <c r="A40" s="90" t="str">
        <f t="shared" si="0"/>
        <v>Duration: 120 days Waiting period: 7 days</v>
      </c>
      <c r="B40" s="94" t="s">
        <v>1926</v>
      </c>
      <c r="C40" s="68" t="s">
        <v>1927</v>
      </c>
      <c r="D40" s="86" t="s">
        <v>1928</v>
      </c>
      <c r="E40" s="86" t="s">
        <v>1929</v>
      </c>
      <c r="F40" s="86" t="s">
        <v>1930</v>
      </c>
    </row>
    <row r="41" spans="1:6">
      <c r="A41" s="90" t="str">
        <f t="shared" si="0"/>
        <v>Duration: 130 days Waiting period: 7 days</v>
      </c>
      <c r="B41" s="94" t="s">
        <v>1931</v>
      </c>
      <c r="C41" s="68" t="s">
        <v>1932</v>
      </c>
      <c r="D41" s="86" t="s">
        <v>1933</v>
      </c>
      <c r="E41" s="86" t="s">
        <v>1934</v>
      </c>
      <c r="F41" s="86" t="s">
        <v>1935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7" tint="0.79998168889431442"/>
  </sheetPr>
  <dimension ref="A1:G63"/>
  <sheetViews>
    <sheetView topLeftCell="A34" workbookViewId="0">
      <selection activeCell="D55" sqref="D55"/>
    </sheetView>
  </sheetViews>
  <sheetFormatPr baseColWidth="10" defaultColWidth="11.42578125" defaultRowHeight="15"/>
  <cols>
    <col min="1" max="1" width="11.42578125" style="1159"/>
    <col min="2" max="2" width="36.85546875" customWidth="1"/>
    <col min="3" max="3" width="18.7109375" customWidth="1"/>
    <col min="4" max="4" width="38.42578125" customWidth="1"/>
    <col min="5" max="5" width="45" customWidth="1"/>
  </cols>
  <sheetData>
    <row r="1" spans="1:7">
      <c r="A1" s="1251" t="s">
        <v>2800</v>
      </c>
      <c r="B1" s="1251" t="s">
        <v>2778</v>
      </c>
      <c r="C1" s="1251" t="s">
        <v>2779</v>
      </c>
      <c r="D1" s="1251" t="s">
        <v>2811</v>
      </c>
    </row>
    <row r="2" spans="1:7">
      <c r="B2" s="268">
        <v>0.04</v>
      </c>
      <c r="C2" s="1234" t="s">
        <v>2161</v>
      </c>
      <c r="D2" s="1235">
        <f>B2</f>
        <v>0.04</v>
      </c>
      <c r="E2" t="s">
        <v>2162</v>
      </c>
      <c r="G2" s="352" t="s">
        <v>2142</v>
      </c>
    </row>
    <row r="3" spans="1:7">
      <c r="B3" s="95" t="b">
        <v>0</v>
      </c>
      <c r="C3" s="97" t="s">
        <v>1936</v>
      </c>
      <c r="D3" s="269" t="b">
        <v>0</v>
      </c>
      <c r="E3" s="160" t="s">
        <v>1937</v>
      </c>
      <c r="F3" s="35" t="s">
        <v>2007</v>
      </c>
    </row>
    <row r="4" spans="1:7">
      <c r="B4" s="95"/>
      <c r="C4" s="97" t="s">
        <v>1938</v>
      </c>
      <c r="D4" s="269" t="b">
        <v>1</v>
      </c>
      <c r="E4" s="160" t="s">
        <v>1939</v>
      </c>
      <c r="F4" s="35" t="s">
        <v>2007</v>
      </c>
    </row>
    <row r="5" spans="1:7" s="278" customFormat="1">
      <c r="A5" s="1159"/>
      <c r="B5" s="95">
        <v>26</v>
      </c>
      <c r="C5" s="97" t="s">
        <v>2167</v>
      </c>
      <c r="D5" s="283">
        <f t="shared" ref="D5" si="0">B5</f>
        <v>26</v>
      </c>
      <c r="E5" s="160" t="s">
        <v>2166</v>
      </c>
      <c r="F5" s="282"/>
    </row>
    <row r="6" spans="1:7">
      <c r="B6" s="95" t="b">
        <v>0</v>
      </c>
      <c r="C6" s="97" t="s">
        <v>1940</v>
      </c>
      <c r="D6" s="269" t="b">
        <v>1</v>
      </c>
      <c r="E6" s="160" t="s">
        <v>1941</v>
      </c>
      <c r="F6" s="35" t="s">
        <v>2007</v>
      </c>
    </row>
    <row r="7" spans="1:7">
      <c r="B7" s="95" t="b">
        <v>0</v>
      </c>
      <c r="C7" s="97"/>
      <c r="D7" s="96" t="b">
        <f t="shared" ref="D7:D15" si="1">B7</f>
        <v>0</v>
      </c>
      <c r="E7" s="160" t="s">
        <v>1942</v>
      </c>
      <c r="F7" s="35" t="s">
        <v>2007</v>
      </c>
    </row>
    <row r="8" spans="1:7" s="409" customFormat="1">
      <c r="A8" s="1159"/>
      <c r="B8" s="95" t="b">
        <v>0</v>
      </c>
      <c r="C8" s="97"/>
      <c r="D8" s="96" t="b">
        <f t="shared" si="1"/>
        <v>0</v>
      </c>
      <c r="E8" s="160" t="s">
        <v>2266</v>
      </c>
      <c r="F8" s="414"/>
    </row>
    <row r="9" spans="1:7" s="409" customFormat="1">
      <c r="A9" s="1159"/>
      <c r="B9" s="95" t="b">
        <v>1</v>
      </c>
      <c r="C9" s="97"/>
      <c r="D9" s="96" t="b">
        <f t="shared" si="1"/>
        <v>1</v>
      </c>
      <c r="E9" s="160" t="s">
        <v>2271</v>
      </c>
      <c r="F9" s="414"/>
    </row>
    <row r="10" spans="1:7" s="542" customFormat="1">
      <c r="A10" s="1159"/>
      <c r="B10" s="95" t="b">
        <v>1</v>
      </c>
      <c r="C10" s="97"/>
      <c r="D10" s="96" t="b">
        <f t="shared" si="1"/>
        <v>1</v>
      </c>
      <c r="E10" s="160" t="s">
        <v>2399</v>
      </c>
      <c r="F10" s="414"/>
    </row>
    <row r="12" spans="1:7" s="167" customFormat="1">
      <c r="B12" s="162">
        <v>16</v>
      </c>
      <c r="C12" s="164"/>
      <c r="D12" s="163">
        <f t="shared" si="1"/>
        <v>16</v>
      </c>
      <c r="E12" s="165" t="s">
        <v>1937</v>
      </c>
      <c r="F12" s="166"/>
    </row>
    <row r="13" spans="1:7" s="167" customFormat="1">
      <c r="B13" s="168" t="e">
        <v>#REF!</v>
      </c>
      <c r="C13" s="164"/>
      <c r="D13" s="163" t="e">
        <f t="shared" si="1"/>
        <v>#REF!</v>
      </c>
      <c r="E13" s="165"/>
      <c r="F13" s="166"/>
    </row>
    <row r="14" spans="1:7" s="167" customFormat="1">
      <c r="B14" s="168" t="e">
        <v>#REF!</v>
      </c>
      <c r="C14" s="170"/>
      <c r="D14" s="169" t="e">
        <f t="shared" si="1"/>
        <v>#REF!</v>
      </c>
      <c r="E14" s="165"/>
      <c r="F14" s="166"/>
    </row>
    <row r="15" spans="1:7" s="167" customFormat="1">
      <c r="B15" s="168" t="e">
        <v>#REF!</v>
      </c>
      <c r="C15" s="170"/>
      <c r="D15" s="169" t="e">
        <f t="shared" si="1"/>
        <v>#REF!</v>
      </c>
      <c r="E15" s="165"/>
      <c r="F15" s="166"/>
    </row>
    <row r="16" spans="1:7" s="1079" customFormat="1">
      <c r="A16" s="1159"/>
      <c r="B16" s="47">
        <f>IF(Admin!E28=0%,1,(1+Admin!E28))</f>
        <v>1.04</v>
      </c>
      <c r="C16" s="99" t="s">
        <v>2161</v>
      </c>
      <c r="D16" s="98">
        <f>B16</f>
        <v>1.04</v>
      </c>
      <c r="E16" s="160" t="s">
        <v>2208</v>
      </c>
      <c r="F16" s="700"/>
    </row>
    <row r="17" spans="1:6">
      <c r="B17" s="100">
        <f>Cotations!BD5</f>
        <v>0</v>
      </c>
      <c r="C17" s="102" t="s">
        <v>1943</v>
      </c>
      <c r="D17" s="101">
        <f t="shared" ref="D17:D43" si="2">B17</f>
        <v>0</v>
      </c>
      <c r="E17" s="159" t="s">
        <v>1944</v>
      </c>
      <c r="F17" s="35" t="s">
        <v>2007</v>
      </c>
    </row>
    <row r="18" spans="1:6">
      <c r="B18" s="100" t="e">
        <f>Cotations!#REF!</f>
        <v>#REF!</v>
      </c>
      <c r="C18" s="102" t="s">
        <v>1945</v>
      </c>
      <c r="D18" s="101" t="e">
        <f t="shared" si="2"/>
        <v>#REF!</v>
      </c>
      <c r="E18" s="159" t="s">
        <v>1946</v>
      </c>
      <c r="F18" s="35" t="s">
        <v>2007</v>
      </c>
    </row>
    <row r="19" spans="1:6">
      <c r="B19" s="103" t="e">
        <f>#REF!</f>
        <v>#REF!</v>
      </c>
      <c r="C19" s="102" t="s">
        <v>1947</v>
      </c>
      <c r="D19" s="104" t="e">
        <f t="shared" si="2"/>
        <v>#REF!</v>
      </c>
      <c r="E19" s="159" t="s">
        <v>1948</v>
      </c>
      <c r="F19" s="35" t="s">
        <v>2007</v>
      </c>
    </row>
    <row r="20" spans="1:6">
      <c r="B20" s="105" t="str">
        <f>Admin!B2&amp;"            "&amp;IF(Admin!B3="","","(old name: "&amp;Admin!B4&amp;")")</f>
        <v xml:space="preserve">HUTIANE            </v>
      </c>
      <c r="C20" s="99" t="s">
        <v>1949</v>
      </c>
      <c r="D20" s="98" t="str">
        <f t="shared" si="2"/>
        <v xml:space="preserve">HUTIANE            </v>
      </c>
      <c r="E20" s="160" t="s">
        <v>1950</v>
      </c>
      <c r="F20" s="35" t="s">
        <v>2007</v>
      </c>
    </row>
    <row r="21" spans="1:6">
      <c r="B21" s="47" t="str">
        <f>IF(Crewlist!$X$1="FR",TEXT(B23,"aaaa"),TEXT(B23,"yyyy"))</f>
        <v>2014</v>
      </c>
      <c r="C21" s="99" t="s">
        <v>2010</v>
      </c>
      <c r="D21" s="98" t="str">
        <f t="shared" si="2"/>
        <v>2014</v>
      </c>
      <c r="E21" s="160" t="s">
        <v>1951</v>
      </c>
      <c r="F21" s="35" t="s">
        <v>2007</v>
      </c>
    </row>
    <row r="22" spans="1:6">
      <c r="B22" s="106">
        <f>Crewlist!G1</f>
        <v>42704</v>
      </c>
      <c r="C22" s="108" t="s">
        <v>2009</v>
      </c>
      <c r="D22" s="107">
        <f t="shared" si="2"/>
        <v>42704</v>
      </c>
      <c r="E22" s="160" t="s">
        <v>1952</v>
      </c>
      <c r="F22" s="35" t="s">
        <v>2007</v>
      </c>
    </row>
    <row r="23" spans="1:6">
      <c r="B23" s="106">
        <f>Admin!E4</f>
        <v>41955</v>
      </c>
      <c r="C23" s="108" t="s">
        <v>2008</v>
      </c>
      <c r="D23" s="107">
        <f t="shared" si="2"/>
        <v>41955</v>
      </c>
      <c r="E23" s="160" t="s">
        <v>1953</v>
      </c>
      <c r="F23" s="35" t="s">
        <v>2007</v>
      </c>
    </row>
    <row r="24" spans="1:6">
      <c r="B24" s="106">
        <f>Admin!E5</f>
        <v>43050</v>
      </c>
      <c r="C24" s="108" t="s">
        <v>1954</v>
      </c>
      <c r="D24" s="107">
        <f t="shared" si="2"/>
        <v>43050</v>
      </c>
      <c r="E24" s="160" t="s">
        <v>1955</v>
      </c>
      <c r="F24" s="35" t="s">
        <v>2007</v>
      </c>
    </row>
    <row r="25" spans="1:6">
      <c r="B25" s="106">
        <f>B24-365</f>
        <v>42685</v>
      </c>
      <c r="C25" s="108" t="s">
        <v>1956</v>
      </c>
      <c r="D25" s="107">
        <f>B25</f>
        <v>42685</v>
      </c>
      <c r="E25" s="161"/>
      <c r="F25" s="35" t="s">
        <v>2007</v>
      </c>
    </row>
    <row r="26" spans="1:6" s="699" customFormat="1">
      <c r="A26" s="1159"/>
      <c r="B26" s="703">
        <f>B24-731</f>
        <v>42319</v>
      </c>
      <c r="C26" s="108" t="s">
        <v>2562</v>
      </c>
      <c r="D26" s="107">
        <f>B26</f>
        <v>42319</v>
      </c>
      <c r="E26" s="161"/>
      <c r="F26" s="700"/>
    </row>
    <row r="27" spans="1:6">
      <c r="B27" s="703" t="str">
        <f>IF(Admin!E6="","",Admin!E6)</f>
        <v/>
      </c>
      <c r="C27" s="99" t="s">
        <v>1957</v>
      </c>
      <c r="D27" s="107" t="str">
        <f t="shared" ref="D27:D38" si="3">B27</f>
        <v/>
      </c>
      <c r="E27" s="160" t="s">
        <v>1958</v>
      </c>
      <c r="F27" s="35" t="s">
        <v>2007</v>
      </c>
    </row>
    <row r="28" spans="1:6">
      <c r="B28" s="47" t="str">
        <f>IF(Crewlist!$X$1="EN",IF(DATECANCEL="",TEXT(DATERENOUV,"yyyy"),TEXT(DATECANCEL,"yyyy")),IF(DATECANCEL="",TEXT(DATERENOUV,"aaaa"),TEXT(DATECANCEL,"aaaa")))</f>
        <v>2017</v>
      </c>
      <c r="C28" s="99" t="s">
        <v>1959</v>
      </c>
      <c r="D28" s="107" t="str">
        <f t="shared" si="3"/>
        <v>2017</v>
      </c>
      <c r="E28" s="160" t="s">
        <v>1960</v>
      </c>
      <c r="F28" s="35" t="s">
        <v>2007</v>
      </c>
    </row>
    <row r="29" spans="1:6">
      <c r="B29" s="47">
        <f>B28-1</f>
        <v>2016</v>
      </c>
      <c r="C29" s="99" t="s">
        <v>1961</v>
      </c>
      <c r="D29" s="107">
        <f t="shared" si="3"/>
        <v>2016</v>
      </c>
      <c r="E29" s="160" t="s">
        <v>1962</v>
      </c>
      <c r="F29" s="35" t="s">
        <v>2007</v>
      </c>
    </row>
    <row r="30" spans="1:6">
      <c r="B30" s="47">
        <f>B28-2</f>
        <v>2015</v>
      </c>
      <c r="C30" s="99" t="s">
        <v>1963</v>
      </c>
      <c r="D30" s="107">
        <f t="shared" si="3"/>
        <v>2015</v>
      </c>
      <c r="E30" s="160" t="s">
        <v>1964</v>
      </c>
      <c r="F30" s="35" t="s">
        <v>2007</v>
      </c>
    </row>
    <row r="31" spans="1:6">
      <c r="B31" s="47" t="str">
        <f>IF(Crewlist!$X$1="EN",IF(DATECANCEL="",TEXT(DATERENOUV,"dd/mm"),TEXT(DATECANCEL,"dd/mm")),IF(DATECANCEL="",TEXT(DATERENOUV,"jj/mm"),TEXT(DATECANCEL,"jj/mm")))</f>
        <v>11/11</v>
      </c>
      <c r="C31" s="99" t="s">
        <v>2011</v>
      </c>
      <c r="D31" s="107" t="str">
        <f t="shared" si="3"/>
        <v>11/11</v>
      </c>
      <c r="E31" s="161" t="s">
        <v>1965</v>
      </c>
      <c r="F31" s="35" t="s">
        <v>2007</v>
      </c>
    </row>
    <row r="32" spans="1:6">
      <c r="B32" s="47" t="str">
        <f>IF(B157="31/12",ANRENOUVMOINSUN&amp;"-"&amp;ANRENOUVMOINSUN,ANRENOUVMOINSDEUX&amp;"-"&amp;ANRENOUVMOINSUN)</f>
        <v>2015-2016</v>
      </c>
      <c r="C32" s="99"/>
      <c r="D32" s="107" t="str">
        <f t="shared" si="3"/>
        <v>2015-2016</v>
      </c>
      <c r="E32" s="161"/>
      <c r="F32" s="35" t="s">
        <v>2007</v>
      </c>
    </row>
    <row r="33" spans="1:6">
      <c r="B33" s="47" t="str">
        <f>IF(B31="31/12",ANRENOUV&amp;"-"&amp;ANRENOUV,ANRENOUVMOINSUN&amp;"-"&amp;ANRENOUV)</f>
        <v>2016-2017</v>
      </c>
      <c r="C33" s="99"/>
      <c r="D33" s="107" t="str">
        <f t="shared" si="3"/>
        <v>2016-2017</v>
      </c>
      <c r="E33" s="161"/>
      <c r="F33" s="35" t="s">
        <v>2007</v>
      </c>
    </row>
    <row r="34" spans="1:6" s="1079" customFormat="1">
      <c r="A34" s="1159"/>
      <c r="B34" s="1146">
        <f>MIN(365,Admin!G27)</f>
        <v>365</v>
      </c>
      <c r="C34" s="99" t="s">
        <v>2740</v>
      </c>
      <c r="D34" s="1147">
        <f t="shared" si="3"/>
        <v>365</v>
      </c>
      <c r="E34" s="161" t="s">
        <v>2738</v>
      </c>
      <c r="F34" s="700"/>
    </row>
    <row r="35" spans="1:6" s="1079" customFormat="1">
      <c r="A35" s="1159"/>
      <c r="B35" s="1146">
        <f>MIN(12,Admin!F27)</f>
        <v>12</v>
      </c>
      <c r="C35" s="99" t="s">
        <v>2741</v>
      </c>
      <c r="D35" s="1147">
        <f t="shared" si="3"/>
        <v>12</v>
      </c>
      <c r="E35" s="161" t="s">
        <v>2739</v>
      </c>
      <c r="F35" s="700"/>
    </row>
    <row r="36" spans="1:6" s="1079" customFormat="1">
      <c r="A36" s="1159"/>
      <c r="B36" s="1146">
        <f>MAX(Admin!G27,Admin!D56)</f>
        <v>730</v>
      </c>
      <c r="C36" s="99" t="s">
        <v>2742</v>
      </c>
      <c r="D36" s="1147">
        <f t="shared" si="3"/>
        <v>730</v>
      </c>
      <c r="E36" s="161" t="s">
        <v>2744</v>
      </c>
      <c r="F36" s="700"/>
    </row>
    <row r="37" spans="1:6" s="1079" customFormat="1">
      <c r="A37" s="1159"/>
      <c r="B37" s="1146">
        <f>MAX(Admin!F27,Admin!D57)</f>
        <v>24</v>
      </c>
      <c r="C37" s="99" t="s">
        <v>2743</v>
      </c>
      <c r="D37" s="1147">
        <f t="shared" si="3"/>
        <v>24</v>
      </c>
      <c r="E37" s="161" t="s">
        <v>2745</v>
      </c>
      <c r="F37" s="700"/>
    </row>
    <row r="38" spans="1:6" s="1315" customFormat="1">
      <c r="B38" s="1146">
        <f>MIN(REALDAYS1,Admin!I30)</f>
        <v>730</v>
      </c>
      <c r="C38" s="1321" t="s">
        <v>2833</v>
      </c>
      <c r="D38" s="1147">
        <f t="shared" si="3"/>
        <v>730</v>
      </c>
      <c r="E38" s="1322"/>
      <c r="F38" s="1316"/>
    </row>
    <row r="39" spans="1:6" s="1315" customFormat="1">
      <c r="B39" s="1146">
        <f>MIN(Admin!G31,Admin!I31)</f>
        <v>0</v>
      </c>
      <c r="C39" s="1321" t="s">
        <v>2834</v>
      </c>
      <c r="D39" s="1147"/>
      <c r="E39" s="1322"/>
      <c r="F39" s="1316"/>
    </row>
    <row r="40" spans="1:6">
      <c r="B40" s="703">
        <v>42588</v>
      </c>
      <c r="C40" s="108"/>
      <c r="D40" s="107">
        <f t="shared" si="2"/>
        <v>42588</v>
      </c>
      <c r="E40" s="109" t="s">
        <v>1966</v>
      </c>
      <c r="F40" s="35" t="s">
        <v>2007</v>
      </c>
    </row>
    <row r="41" spans="1:6">
      <c r="B41" s="703">
        <v>42588</v>
      </c>
      <c r="C41" s="108"/>
      <c r="D41" s="107">
        <f t="shared" si="2"/>
        <v>42588</v>
      </c>
      <c r="E41" s="109" t="s">
        <v>1967</v>
      </c>
      <c r="F41" s="35" t="s">
        <v>2007</v>
      </c>
    </row>
    <row r="42" spans="1:6" s="1018" customFormat="1">
      <c r="A42" s="1159"/>
      <c r="B42" s="95" t="str">
        <f>Admin!E2</f>
        <v>12600.1</v>
      </c>
      <c r="C42" s="97" t="s">
        <v>2707</v>
      </c>
      <c r="D42" s="107" t="str">
        <f t="shared" si="2"/>
        <v>12600.1</v>
      </c>
      <c r="E42" s="160" t="s">
        <v>2708</v>
      </c>
      <c r="F42" s="700"/>
    </row>
    <row r="43" spans="1:6">
      <c r="A43" s="1087">
        <v>2</v>
      </c>
      <c r="B43" s="1087" t="str">
        <f>IF(A43=1,"",INDEX(LIST!$J$1:$J$21,A43,1))</f>
        <v>All Crew members, except day workers</v>
      </c>
      <c r="C43" s="97" t="s">
        <v>2804</v>
      </c>
      <c r="D43" s="107" t="str">
        <f t="shared" si="2"/>
        <v>All Crew members, except day workers</v>
      </c>
      <c r="E43" s="160" t="s">
        <v>2801</v>
      </c>
    </row>
    <row r="44" spans="1:6" s="1018" customFormat="1">
      <c r="A44" s="1159"/>
      <c r="B44" s="95" t="str">
        <f>IF(Admin!A45="","",Admin!A45)</f>
        <v/>
      </c>
      <c r="C44" s="97" t="s">
        <v>2805</v>
      </c>
      <c r="D44" s="96" t="str">
        <f t="shared" ref="D44:D54" si="4">B44</f>
        <v/>
      </c>
      <c r="E44" s="160" t="s">
        <v>2704</v>
      </c>
      <c r="F44" s="700"/>
    </row>
    <row r="45" spans="1:6" s="1018" customFormat="1">
      <c r="A45" s="1159"/>
      <c r="B45" s="95" t="str">
        <f>IF(Admin!A49="","",Admin!A49)</f>
        <v/>
      </c>
      <c r="C45" s="97" t="s">
        <v>2806</v>
      </c>
      <c r="D45" s="96" t="str">
        <f t="shared" si="4"/>
        <v/>
      </c>
      <c r="E45" s="160" t="s">
        <v>2705</v>
      </c>
      <c r="F45" s="700"/>
    </row>
    <row r="46" spans="1:6">
      <c r="F46" s="35"/>
    </row>
    <row r="47" spans="1:6">
      <c r="F47" s="35"/>
    </row>
    <row r="48" spans="1:6" s="1159" customFormat="1">
      <c r="A48" s="1087">
        <v>2</v>
      </c>
      <c r="B48" s="47" t="str">
        <f>IF(A48=1,"",INDEX(LIST!$J$1:$J$21,A48,1))</f>
        <v>All Crew members, except day workers</v>
      </c>
      <c r="C48" s="97" t="s">
        <v>2803</v>
      </c>
      <c r="D48" s="107" t="str">
        <f t="shared" si="4"/>
        <v>All Crew members, except day workers</v>
      </c>
      <c r="E48" s="160" t="s">
        <v>2802</v>
      </c>
    </row>
    <row r="49" spans="1:6" s="1159" customFormat="1">
      <c r="B49" s="47" t="str">
        <f>IF(Admin!A62="","",Admin!A62)</f>
        <v>L2022479</v>
      </c>
      <c r="C49" s="97" t="s">
        <v>2807</v>
      </c>
      <c r="D49" s="96" t="str">
        <f t="shared" si="4"/>
        <v>L2022479</v>
      </c>
      <c r="E49" s="160" t="s">
        <v>2703</v>
      </c>
    </row>
    <row r="50" spans="1:6" s="1159" customFormat="1">
      <c r="B50" s="47">
        <f>IF(Admin!A69="","",Admin!A69)</f>
        <v>240322</v>
      </c>
      <c r="C50" s="97" t="s">
        <v>2808</v>
      </c>
      <c r="D50" s="96">
        <f t="shared" si="4"/>
        <v>240322</v>
      </c>
      <c r="E50" s="160" t="s">
        <v>2706</v>
      </c>
    </row>
    <row r="51" spans="1:6" s="1159" customFormat="1">
      <c r="B51" s="47" t="str">
        <f>IF(Admin!B62="N/A","",INDEX(colProduct,MATCH(Admin!B62,colchoice,0)))</f>
        <v>Perfect</v>
      </c>
      <c r="C51" s="97" t="s">
        <v>2809</v>
      </c>
      <c r="D51" s="96" t="str">
        <f t="shared" si="4"/>
        <v>Perfect</v>
      </c>
      <c r="E51" s="1252"/>
    </row>
    <row r="52" spans="1:6">
      <c r="A52" s="1087">
        <v>5</v>
      </c>
      <c r="B52" s="47" t="str">
        <f>IF(A52=1,"",INDEX(Formules!$D$40:$D$50,A52,1))</f>
        <v>Formula 3</v>
      </c>
      <c r="C52" s="97" t="s">
        <v>2810</v>
      </c>
      <c r="D52" s="96" t="str">
        <f t="shared" si="4"/>
        <v>Formula 3</v>
      </c>
    </row>
    <row r="53" spans="1:6" s="1159" customFormat="1">
      <c r="A53" s="1087">
        <v>1</v>
      </c>
      <c r="B53" s="47" t="str">
        <f>IF(A53=1,"",INDEX(LIST!$J$1:$J$21,A53,1))</f>
        <v/>
      </c>
      <c r="C53" s="1293" t="s">
        <v>2816</v>
      </c>
      <c r="D53" s="96" t="str">
        <f t="shared" si="4"/>
        <v/>
      </c>
      <c r="F53" s="700"/>
    </row>
    <row r="54" spans="1:6" s="1159" customFormat="1">
      <c r="B54" s="47" t="str">
        <f>IF(Admin!A87="","",Admin!A87)</f>
        <v/>
      </c>
      <c r="C54" s="97" t="s">
        <v>2815</v>
      </c>
      <c r="D54" s="96" t="str">
        <f t="shared" si="4"/>
        <v/>
      </c>
      <c r="E54" s="160" t="s">
        <v>2703</v>
      </c>
      <c r="F54" s="700"/>
    </row>
    <row r="55" spans="1:6" ht="14.25" customHeight="1">
      <c r="B55" s="47" t="str">
        <f>IF(Admin!A95="","",Admin!A95)</f>
        <v/>
      </c>
      <c r="C55" s="97" t="s">
        <v>2814</v>
      </c>
      <c r="D55" s="96" t="str">
        <f t="shared" ref="D55:D62" si="5">B55</f>
        <v/>
      </c>
      <c r="E55" s="160" t="s">
        <v>2706</v>
      </c>
      <c r="F55" s="35"/>
    </row>
    <row r="56" spans="1:6" s="1159" customFormat="1" ht="14.25" customHeight="1">
      <c r="B56" s="47" t="str">
        <f>IF(Admin!B87="N/A","",INDEX(colProduct,MATCH(Admin!B87,colchoice,0)))</f>
        <v/>
      </c>
      <c r="C56" s="97" t="s">
        <v>2826</v>
      </c>
      <c r="D56" s="96" t="str">
        <f t="shared" si="5"/>
        <v/>
      </c>
      <c r="E56" s="160"/>
      <c r="F56" s="700"/>
    </row>
    <row r="57" spans="1:6" s="1159" customFormat="1" ht="14.25" customHeight="1">
      <c r="A57" s="1087">
        <v>1</v>
      </c>
      <c r="B57" s="47" t="str">
        <f>IF(A57=1,"",INDEX(Formules!$D$40:$D$50,A57,1))</f>
        <v/>
      </c>
      <c r="C57" s="97" t="s">
        <v>2827</v>
      </c>
      <c r="D57" s="96" t="str">
        <f t="shared" si="5"/>
        <v/>
      </c>
      <c r="E57" s="160"/>
      <c r="F57" s="700"/>
    </row>
    <row r="58" spans="1:6" s="1159" customFormat="1" ht="14.25" customHeight="1">
      <c r="A58" s="1087">
        <v>7</v>
      </c>
      <c r="B58" s="47" t="str">
        <f>IF(A58=1,"",INDEX(LIST!$J$1:$J$21,A58,1))</f>
        <v>Day Workers</v>
      </c>
      <c r="C58" s="1292" t="s">
        <v>2820</v>
      </c>
      <c r="D58" s="96" t="str">
        <f t="shared" si="5"/>
        <v>Day Workers</v>
      </c>
      <c r="E58" s="160"/>
      <c r="F58" s="700"/>
    </row>
    <row r="59" spans="1:6" s="1159" customFormat="1" ht="14.25" customHeight="1">
      <c r="B59" s="47">
        <f>IF(Admin!A113="","",Admin!A113)</f>
        <v>140494</v>
      </c>
      <c r="C59" s="97" t="s">
        <v>2825</v>
      </c>
      <c r="D59" s="96">
        <f t="shared" si="5"/>
        <v>140494</v>
      </c>
      <c r="E59" s="160" t="s">
        <v>2703</v>
      </c>
      <c r="F59" s="700"/>
    </row>
    <row r="60" spans="1:6">
      <c r="B60" s="47">
        <f>IF(Admin!A121="","",Admin!A121)</f>
        <v>140494</v>
      </c>
      <c r="C60" s="97" t="s">
        <v>2821</v>
      </c>
      <c r="D60" s="96">
        <f t="shared" si="5"/>
        <v>140494</v>
      </c>
      <c r="E60" s="160" t="s">
        <v>2706</v>
      </c>
      <c r="F60" s="35"/>
    </row>
    <row r="61" spans="1:6">
      <c r="B61" s="47" t="str">
        <f>IF(Admin!B113="N/A","",INDEX(colProduct,MATCH(Admin!B113,colchoice,0)))</f>
        <v>Medical Excellent and Homeland</v>
      </c>
      <c r="C61" s="97" t="s">
        <v>2828</v>
      </c>
      <c r="D61" s="96" t="str">
        <f t="shared" si="5"/>
        <v>Medical Excellent and Homeland</v>
      </c>
    </row>
    <row r="62" spans="1:6">
      <c r="A62" s="1087">
        <v>6</v>
      </c>
      <c r="B62" s="47" t="str">
        <f>IF(A62=1,"",INDEX(Formules!$D$40:$D$50,A62,1))</f>
        <v>Formula Day Worker</v>
      </c>
      <c r="C62" s="97" t="s">
        <v>2829</v>
      </c>
      <c r="D62" s="96" t="str">
        <f t="shared" si="5"/>
        <v>Formula Day Worker</v>
      </c>
    </row>
    <row r="63" spans="1:6">
      <c r="A63" s="108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7" tint="0.59999389629810485"/>
  </sheetPr>
  <dimension ref="A1:G123"/>
  <sheetViews>
    <sheetView workbookViewId="0">
      <selection activeCell="D21" sqref="D21"/>
    </sheetView>
  </sheetViews>
  <sheetFormatPr baseColWidth="10" defaultColWidth="11.42578125" defaultRowHeight="15"/>
  <cols>
    <col min="1" max="1" width="9.42578125" customWidth="1"/>
    <col min="2" max="2" width="21" customWidth="1"/>
    <col min="3" max="3" width="56.5703125" customWidth="1"/>
    <col min="4" max="4" width="31.5703125" customWidth="1"/>
    <col min="5" max="5" width="39.42578125" customWidth="1"/>
    <col min="6" max="6" width="8.7109375" customWidth="1"/>
    <col min="7" max="7" width="26.5703125" customWidth="1"/>
  </cols>
  <sheetData>
    <row r="1" spans="1:6">
      <c r="A1" s="179"/>
      <c r="B1" s="220" t="s">
        <v>2115</v>
      </c>
      <c r="C1" s="180" t="s">
        <v>2012</v>
      </c>
      <c r="D1" s="216"/>
      <c r="E1" s="216"/>
      <c r="F1" s="217"/>
    </row>
    <row r="2" spans="1:6">
      <c r="A2" s="181">
        <v>2</v>
      </c>
      <c r="B2" s="111"/>
      <c r="C2" s="182" t="str">
        <f>INDEX(C3:C15,$A$2,1)</f>
        <v>Renouvellement d'affaire</v>
      </c>
      <c r="F2" s="217"/>
    </row>
    <row r="3" spans="1:6">
      <c r="A3" s="184"/>
      <c r="B3" s="112"/>
      <c r="C3" s="132" t="s">
        <v>2013</v>
      </c>
      <c r="F3" s="217"/>
    </row>
    <row r="4" spans="1:6">
      <c r="A4" s="184"/>
      <c r="B4" s="112"/>
      <c r="C4" s="132" t="s">
        <v>2014</v>
      </c>
      <c r="F4" s="217"/>
    </row>
    <row r="5" spans="1:6">
      <c r="A5" s="184"/>
      <c r="B5" s="112"/>
      <c r="C5" s="132" t="s">
        <v>2015</v>
      </c>
      <c r="F5" s="217"/>
    </row>
    <row r="6" spans="1:6">
      <c r="A6" s="184"/>
      <c r="B6" s="112"/>
      <c r="C6" s="132" t="s">
        <v>2016</v>
      </c>
      <c r="F6" s="217"/>
    </row>
    <row r="7" spans="1:6">
      <c r="A7" s="184"/>
      <c r="B7" s="112"/>
      <c r="C7" s="132" t="s">
        <v>2017</v>
      </c>
      <c r="D7" s="216"/>
      <c r="E7" s="216"/>
      <c r="F7" s="217"/>
    </row>
    <row r="8" spans="1:6">
      <c r="A8" s="184"/>
      <c r="B8" s="112"/>
      <c r="C8" s="132" t="s">
        <v>2018</v>
      </c>
      <c r="D8" s="213"/>
      <c r="E8" s="213"/>
      <c r="F8" s="158"/>
    </row>
    <row r="9" spans="1:6">
      <c r="A9" s="184"/>
      <c r="B9" s="112"/>
      <c r="C9" s="132" t="s">
        <v>2019</v>
      </c>
      <c r="D9" s="213"/>
      <c r="E9" s="213"/>
      <c r="F9" s="158"/>
    </row>
    <row r="10" spans="1:6">
      <c r="A10" s="184"/>
      <c r="B10" s="112"/>
      <c r="C10" s="132" t="s">
        <v>2020</v>
      </c>
      <c r="D10" s="213"/>
      <c r="E10" s="213"/>
      <c r="F10" s="158"/>
    </row>
    <row r="11" spans="1:6">
      <c r="A11" s="184"/>
      <c r="B11" s="112"/>
      <c r="C11" s="132" t="s">
        <v>2021</v>
      </c>
      <c r="D11" s="213"/>
      <c r="E11" s="158"/>
      <c r="F11" s="158"/>
    </row>
    <row r="12" spans="1:6">
      <c r="A12" s="184"/>
      <c r="B12" s="112"/>
      <c r="C12" s="132" t="s">
        <v>2022</v>
      </c>
      <c r="D12" s="213"/>
      <c r="E12" s="213"/>
      <c r="F12" s="158"/>
    </row>
    <row r="13" spans="1:6">
      <c r="A13" s="184"/>
      <c r="B13" s="112"/>
      <c r="C13" s="132" t="s">
        <v>2023</v>
      </c>
      <c r="D13" s="213"/>
      <c r="E13" s="213"/>
      <c r="F13" s="158"/>
    </row>
    <row r="14" spans="1:6">
      <c r="A14" s="184"/>
      <c r="B14" s="112"/>
      <c r="C14" s="132" t="s">
        <v>2024</v>
      </c>
      <c r="D14" s="213"/>
      <c r="E14" s="213"/>
      <c r="F14" s="158"/>
    </row>
    <row r="15" spans="1:6">
      <c r="A15" s="184"/>
      <c r="B15" s="112"/>
      <c r="C15" s="132"/>
      <c r="D15" s="213"/>
      <c r="E15" s="213"/>
      <c r="F15" s="158"/>
    </row>
    <row r="16" spans="1:6" s="941" customFormat="1">
      <c r="A16" s="299"/>
      <c r="B16" s="913"/>
      <c r="C16" s="132"/>
      <c r="D16" s="213"/>
      <c r="E16" s="213"/>
      <c r="F16" s="716"/>
    </row>
    <row r="17" spans="1:7" s="941" customFormat="1">
      <c r="A17" s="182">
        <v>3</v>
      </c>
      <c r="C17" s="182" t="str">
        <f>INDEX(C18:C25,$A$17,1)</f>
        <v>Crewlist</v>
      </c>
      <c r="D17" s="213"/>
      <c r="E17" s="213"/>
      <c r="F17" s="716"/>
    </row>
    <row r="18" spans="1:7" s="941" customFormat="1">
      <c r="A18" s="299"/>
      <c r="B18" s="216"/>
      <c r="C18" s="819" t="s">
        <v>2663</v>
      </c>
      <c r="D18" s="213"/>
      <c r="E18" s="213"/>
      <c r="F18" s="716"/>
    </row>
    <row r="19" spans="1:7" s="941" customFormat="1">
      <c r="A19" s="299"/>
      <c r="B19" s="216"/>
      <c r="C19" s="819" t="s">
        <v>2664</v>
      </c>
      <c r="D19" s="213"/>
      <c r="E19" s="213"/>
      <c r="F19" s="716"/>
    </row>
    <row r="20" spans="1:7" s="941" customFormat="1">
      <c r="A20" s="299"/>
      <c r="B20" s="216"/>
      <c r="C20" s="933" t="s">
        <v>2662</v>
      </c>
      <c r="D20" s="213"/>
      <c r="E20" s="213"/>
      <c r="F20" s="716"/>
    </row>
    <row r="21" spans="1:7">
      <c r="A21" s="184"/>
      <c r="B21" s="216"/>
      <c r="C21" s="933"/>
      <c r="D21" s="213"/>
      <c r="E21" s="213"/>
      <c r="F21" s="158"/>
    </row>
    <row r="22" spans="1:7">
      <c r="A22" s="184"/>
      <c r="B22" s="112"/>
      <c r="C22" s="132"/>
      <c r="D22" s="213"/>
      <c r="E22" s="213"/>
      <c r="F22" s="158"/>
    </row>
    <row r="23" spans="1:7">
      <c r="A23" s="184"/>
      <c r="B23" s="112"/>
      <c r="C23" s="132"/>
      <c r="D23" s="213"/>
      <c r="E23" s="213"/>
      <c r="F23" s="158"/>
    </row>
    <row r="24" spans="1:7">
      <c r="A24" s="184"/>
      <c r="B24" s="112"/>
      <c r="C24" s="132"/>
    </row>
    <row r="25" spans="1:7">
      <c r="A25" s="184"/>
      <c r="B25" s="112"/>
      <c r="C25" s="132"/>
      <c r="D25" s="112"/>
      <c r="E25" s="112"/>
      <c r="F25" s="112"/>
      <c r="G25" s="183"/>
    </row>
    <row r="26" spans="1:7">
      <c r="A26" s="184"/>
      <c r="B26" s="112"/>
      <c r="C26" s="185" t="s">
        <v>2065</v>
      </c>
      <c r="D26" s="178"/>
      <c r="E26" s="194"/>
      <c r="F26" s="194" t="s">
        <v>2050</v>
      </c>
      <c r="G26" s="183"/>
    </row>
    <row r="27" spans="1:7">
      <c r="A27" s="181">
        <v>2</v>
      </c>
      <c r="B27" s="111"/>
      <c r="C27" s="195" t="str">
        <f>CHOOSE(A27,C28,C29,C30,C31,C32,C33,C34,C35,C36,C37,C38)</f>
        <v xml:space="preserve">RENEWAL OF CONTRACT YACHTING </v>
      </c>
      <c r="D27" s="196"/>
      <c r="E27" s="195" t="str">
        <f>CHOOSE(A27,E28,E29,E30,E31,E32,E33,E34,E35,E36,K37,K38)</f>
        <v>Please renew this Policy Number :</v>
      </c>
      <c r="F27" s="132" t="s">
        <v>2051</v>
      </c>
      <c r="G27" s="183"/>
    </row>
    <row r="28" spans="1:7">
      <c r="A28" s="197">
        <v>1</v>
      </c>
      <c r="B28" s="157"/>
      <c r="C28" s="171" t="s">
        <v>2052</v>
      </c>
      <c r="D28" s="172"/>
      <c r="E28" s="173" t="s">
        <v>2053</v>
      </c>
      <c r="F28" s="174"/>
      <c r="G28" s="183"/>
    </row>
    <row r="29" spans="1:7">
      <c r="A29" s="197">
        <v>2</v>
      </c>
      <c r="B29" s="157"/>
      <c r="C29" s="175" t="s">
        <v>2054</v>
      </c>
      <c r="D29" s="176"/>
      <c r="E29" s="177" t="s">
        <v>2055</v>
      </c>
      <c r="F29" s="178"/>
      <c r="G29" s="183"/>
    </row>
    <row r="30" spans="1:7">
      <c r="A30" s="197">
        <v>3</v>
      </c>
      <c r="B30" s="157"/>
      <c r="C30" s="175" t="s">
        <v>2056</v>
      </c>
      <c r="D30" s="176"/>
      <c r="E30" s="177" t="s">
        <v>2057</v>
      </c>
      <c r="F30" s="178"/>
      <c r="G30" s="183"/>
    </row>
    <row r="31" spans="1:7">
      <c r="A31" s="197">
        <v>4</v>
      </c>
      <c r="B31" s="157"/>
      <c r="C31" s="175" t="s">
        <v>2058</v>
      </c>
      <c r="D31" s="176"/>
      <c r="E31" s="177" t="s">
        <v>2053</v>
      </c>
      <c r="F31" s="178"/>
      <c r="G31" s="183"/>
    </row>
    <row r="32" spans="1:7">
      <c r="A32" s="197">
        <v>5</v>
      </c>
      <c r="B32" s="157"/>
      <c r="C32" s="175" t="s">
        <v>2059</v>
      </c>
      <c r="D32" s="176"/>
      <c r="E32" s="177" t="s">
        <v>2053</v>
      </c>
      <c r="F32" s="178"/>
      <c r="G32" s="183"/>
    </row>
    <row r="33" spans="1:7">
      <c r="A33" s="197">
        <v>6</v>
      </c>
      <c r="B33" s="157"/>
      <c r="C33" s="175" t="s">
        <v>2060</v>
      </c>
      <c r="D33" s="176"/>
      <c r="E33" s="177" t="s">
        <v>2061</v>
      </c>
      <c r="F33" s="178"/>
      <c r="G33" s="183"/>
    </row>
    <row r="34" spans="1:7">
      <c r="A34" s="197">
        <v>7</v>
      </c>
      <c r="B34" s="157"/>
      <c r="C34" s="175" t="s">
        <v>2062</v>
      </c>
      <c r="D34" s="176"/>
      <c r="E34" s="177" t="s">
        <v>2053</v>
      </c>
      <c r="F34" s="178"/>
      <c r="G34" s="183"/>
    </row>
    <row r="35" spans="1:7">
      <c r="A35" s="197">
        <v>8</v>
      </c>
      <c r="B35" s="157"/>
      <c r="C35" s="175" t="s">
        <v>2063</v>
      </c>
      <c r="D35" s="176"/>
      <c r="E35" s="177" t="s">
        <v>2053</v>
      </c>
      <c r="F35" s="178"/>
      <c r="G35" s="183"/>
    </row>
    <row r="36" spans="1:7">
      <c r="A36" s="197"/>
      <c r="B36" s="157"/>
      <c r="C36" s="175" t="s">
        <v>2064</v>
      </c>
      <c r="D36" s="176"/>
      <c r="E36" s="177" t="s">
        <v>2053</v>
      </c>
      <c r="F36" s="178"/>
      <c r="G36" s="183"/>
    </row>
    <row r="37" spans="1:7" ht="15.75" thickBot="1">
      <c r="A37" s="198"/>
      <c r="B37" s="199"/>
      <c r="C37" s="199"/>
      <c r="D37" s="199"/>
      <c r="E37" s="199"/>
      <c r="F37" s="199"/>
      <c r="G37" s="200"/>
    </row>
    <row r="38" spans="1:7">
      <c r="A38" s="184"/>
      <c r="B38" s="112"/>
      <c r="C38" s="112"/>
      <c r="D38" s="112"/>
      <c r="E38" s="112"/>
      <c r="F38" s="112"/>
      <c r="G38" s="183"/>
    </row>
    <row r="39" spans="1:7" s="542" customFormat="1">
      <c r="A39" s="299"/>
      <c r="B39" s="524"/>
      <c r="C39" s="524"/>
      <c r="D39" s="524"/>
      <c r="E39" s="524"/>
      <c r="F39" s="524"/>
      <c r="G39" s="183"/>
    </row>
    <row r="40" spans="1:7" s="542" customFormat="1">
      <c r="A40" s="299"/>
      <c r="B40" s="524"/>
      <c r="C40" s="280" t="s">
        <v>2337</v>
      </c>
      <c r="D40" s="524"/>
      <c r="E40" s="524"/>
      <c r="F40" s="524"/>
      <c r="G40" s="183"/>
    </row>
    <row r="41" spans="1:7" s="542" customFormat="1">
      <c r="A41" s="299"/>
      <c r="B41" s="524"/>
      <c r="C41" s="280" t="s">
        <v>2404</v>
      </c>
      <c r="D41" s="524"/>
      <c r="E41" s="524"/>
      <c r="F41" s="524"/>
      <c r="G41" s="183"/>
    </row>
    <row r="42" spans="1:7" s="542" customFormat="1">
      <c r="A42" s="299"/>
      <c r="B42" s="524"/>
      <c r="C42" s="280" t="s">
        <v>2422</v>
      </c>
      <c r="D42" s="524"/>
      <c r="E42" s="524"/>
      <c r="F42" s="524"/>
      <c r="G42" s="183"/>
    </row>
    <row r="43" spans="1:7">
      <c r="A43" s="184"/>
      <c r="B43" s="112"/>
      <c r="C43" s="112"/>
      <c r="D43" s="112"/>
      <c r="E43" s="112"/>
      <c r="F43" s="112"/>
      <c r="G43" s="183"/>
    </row>
    <row r="44" spans="1:7">
      <c r="A44" s="184"/>
      <c r="B44" s="112"/>
      <c r="C44" s="185" t="s">
        <v>2025</v>
      </c>
      <c r="D44" s="112"/>
      <c r="E44" s="112"/>
      <c r="F44" s="112"/>
      <c r="G44" s="183"/>
    </row>
    <row r="45" spans="1:7">
      <c r="A45" s="181">
        <v>4</v>
      </c>
      <c r="B45" s="111"/>
      <c r="C45" s="186" t="str">
        <f>CHOOSE(A45,C46,C47,C48,C49,C50,C51,C52,C53)</f>
        <v>regularization invoice (facture de régularisation)</v>
      </c>
      <c r="D45" s="112"/>
      <c r="E45" s="186" t="str">
        <f>CHOOSE(A45,E46,E47,E48,E49,E50,E51,E52,E53)</f>
        <v>Regularization invoice</v>
      </c>
      <c r="F45" s="112"/>
      <c r="G45" s="187" t="str">
        <f>CHOOSE(A45,G46,G47,G48,G49,G50,G51,G52,G53)</f>
        <v>AIG EUROPE &amp; ANKER</v>
      </c>
    </row>
    <row r="46" spans="1:7">
      <c r="A46" s="184">
        <v>1</v>
      </c>
      <c r="B46" s="112"/>
      <c r="C46" s="132" t="s">
        <v>2026</v>
      </c>
      <c r="D46" s="112"/>
      <c r="E46" s="132" t="s">
        <v>2027</v>
      </c>
      <c r="F46" s="112"/>
      <c r="G46" s="188" t="s">
        <v>2028</v>
      </c>
    </row>
    <row r="47" spans="1:7">
      <c r="A47" s="184">
        <v>2</v>
      </c>
      <c r="B47" s="112"/>
      <c r="C47" s="132" t="s">
        <v>2029</v>
      </c>
      <c r="D47" s="112"/>
      <c r="E47" s="132" t="s">
        <v>2030</v>
      </c>
      <c r="F47" s="112"/>
      <c r="G47" s="188" t="s">
        <v>2028</v>
      </c>
    </row>
    <row r="48" spans="1:7">
      <c r="A48" s="184">
        <v>3</v>
      </c>
      <c r="B48" s="112"/>
      <c r="C48" s="132" t="s">
        <v>2031</v>
      </c>
      <c r="D48" s="112"/>
      <c r="E48" s="132" t="s">
        <v>2032</v>
      </c>
      <c r="F48" s="112"/>
      <c r="G48" s="188" t="s">
        <v>2028</v>
      </c>
    </row>
    <row r="49" spans="1:7">
      <c r="A49" s="184">
        <v>4</v>
      </c>
      <c r="B49" s="112"/>
      <c r="C49" s="132" t="s">
        <v>2033</v>
      </c>
      <c r="D49" s="112"/>
      <c r="E49" s="132" t="s">
        <v>2034</v>
      </c>
      <c r="F49" s="112"/>
      <c r="G49" s="188" t="s">
        <v>2028</v>
      </c>
    </row>
    <row r="50" spans="1:7">
      <c r="A50" s="184">
        <v>5</v>
      </c>
      <c r="B50" s="112"/>
      <c r="C50" s="132" t="s">
        <v>2035</v>
      </c>
      <c r="D50" s="112"/>
      <c r="E50" s="132" t="s">
        <v>2036</v>
      </c>
      <c r="F50" s="112"/>
      <c r="G50" s="188" t="s">
        <v>2028</v>
      </c>
    </row>
    <row r="51" spans="1:7">
      <c r="A51" s="184">
        <v>6</v>
      </c>
      <c r="B51" s="112"/>
      <c r="C51" s="132" t="s">
        <v>2037</v>
      </c>
      <c r="D51" s="112"/>
      <c r="E51" s="132" t="s">
        <v>2038</v>
      </c>
      <c r="F51" s="112"/>
      <c r="G51" s="188" t="s">
        <v>202</v>
      </c>
    </row>
    <row r="52" spans="1:7">
      <c r="A52" s="184">
        <v>7</v>
      </c>
      <c r="B52" s="112"/>
      <c r="C52" s="132" t="s">
        <v>2039</v>
      </c>
      <c r="D52" s="112"/>
      <c r="E52" s="132" t="s">
        <v>2040</v>
      </c>
      <c r="F52" s="112"/>
      <c r="G52" s="188" t="s">
        <v>2041</v>
      </c>
    </row>
    <row r="53" spans="1:7">
      <c r="A53" s="184"/>
      <c r="B53" s="112"/>
      <c r="C53" s="132"/>
      <c r="D53" s="112"/>
      <c r="E53" s="110"/>
      <c r="F53" s="112"/>
      <c r="G53" s="189"/>
    </row>
    <row r="54" spans="1:7">
      <c r="A54" s="184"/>
      <c r="B54" s="112"/>
      <c r="C54" s="132"/>
      <c r="D54" s="112"/>
      <c r="E54" s="110"/>
      <c r="F54" s="112"/>
      <c r="G54" s="189"/>
    </row>
    <row r="55" spans="1:7">
      <c r="A55" s="184"/>
      <c r="B55" s="112"/>
      <c r="C55" s="132"/>
      <c r="D55" s="112"/>
      <c r="E55" s="110"/>
      <c r="F55" s="112"/>
      <c r="G55" s="183"/>
    </row>
    <row r="56" spans="1:7">
      <c r="A56" s="184"/>
      <c r="B56" s="112"/>
      <c r="C56" s="112"/>
      <c r="D56" s="112"/>
      <c r="E56" s="112"/>
      <c r="F56" s="112"/>
      <c r="G56" s="183"/>
    </row>
    <row r="57" spans="1:7">
      <c r="A57" s="184"/>
      <c r="B57" s="112"/>
      <c r="C57" s="185" t="s">
        <v>2042</v>
      </c>
      <c r="D57" s="112"/>
      <c r="E57" s="112"/>
      <c r="F57" s="112"/>
      <c r="G57" s="183"/>
    </row>
    <row r="58" spans="1:7">
      <c r="A58" s="190">
        <v>2</v>
      </c>
      <c r="B58" s="209"/>
      <c r="C58" s="186" t="str">
        <f>CHOOSE(A58,C59,C60,C61,C62,C63,C64,C65,C66)</f>
        <v>Français</v>
      </c>
      <c r="D58" s="112"/>
      <c r="E58" s="112"/>
      <c r="F58" s="112"/>
      <c r="G58" s="183"/>
    </row>
    <row r="59" spans="1:7">
      <c r="A59" s="184"/>
      <c r="B59" s="112"/>
      <c r="C59" s="132" t="s">
        <v>1744</v>
      </c>
      <c r="D59" s="112"/>
      <c r="E59" s="112"/>
      <c r="F59" s="112"/>
      <c r="G59" s="183"/>
    </row>
    <row r="60" spans="1:7">
      <c r="A60" s="184"/>
      <c r="B60" s="112"/>
      <c r="C60" s="132" t="s">
        <v>1745</v>
      </c>
      <c r="D60" s="112"/>
      <c r="E60" s="112"/>
      <c r="F60" s="112"/>
      <c r="G60" s="183"/>
    </row>
    <row r="61" spans="1:7">
      <c r="A61" s="184"/>
      <c r="B61" s="112"/>
      <c r="C61" s="132" t="s">
        <v>1746</v>
      </c>
      <c r="D61" s="112"/>
      <c r="E61" s="112"/>
      <c r="F61" s="112"/>
      <c r="G61" s="183"/>
    </row>
    <row r="62" spans="1:7">
      <c r="A62" s="184"/>
      <c r="B62" s="112"/>
      <c r="C62" s="132" t="s">
        <v>2043</v>
      </c>
      <c r="D62" s="112"/>
      <c r="E62" s="112"/>
      <c r="F62" s="112"/>
      <c r="G62" s="183"/>
    </row>
    <row r="63" spans="1:7">
      <c r="A63" s="184"/>
      <c r="B63" s="112"/>
      <c r="C63" s="132" t="s">
        <v>2044</v>
      </c>
      <c r="D63" s="112"/>
      <c r="E63" s="112"/>
      <c r="F63" s="112"/>
      <c r="G63" s="183"/>
    </row>
    <row r="64" spans="1:7">
      <c r="A64" s="184"/>
      <c r="B64" s="112"/>
      <c r="C64" s="132"/>
      <c r="D64" s="112"/>
      <c r="E64" s="112"/>
      <c r="F64" s="112"/>
      <c r="G64" s="183"/>
    </row>
    <row r="65" spans="1:7">
      <c r="A65" s="184"/>
      <c r="B65" s="112"/>
      <c r="C65" s="132"/>
      <c r="D65" s="112"/>
      <c r="E65" s="112"/>
      <c r="F65" s="112"/>
      <c r="G65" s="183"/>
    </row>
    <row r="66" spans="1:7">
      <c r="A66" s="184"/>
      <c r="B66" s="112"/>
      <c r="C66" s="132"/>
      <c r="D66" s="112"/>
      <c r="E66" s="112"/>
      <c r="F66" s="112"/>
      <c r="G66" s="183"/>
    </row>
    <row r="67" spans="1:7">
      <c r="A67" s="184"/>
      <c r="B67" s="112"/>
      <c r="C67" s="185" t="s">
        <v>2047</v>
      </c>
      <c r="D67" s="112"/>
      <c r="E67" s="112"/>
      <c r="F67" s="112"/>
      <c r="G67" s="183"/>
    </row>
    <row r="68" spans="1:7">
      <c r="A68" s="184" t="s">
        <v>2045</v>
      </c>
      <c r="B68" s="112"/>
      <c r="C68" s="191"/>
      <c r="D68" s="112"/>
      <c r="E68" s="112"/>
      <c r="F68" s="112"/>
      <c r="G68" s="183"/>
    </row>
    <row r="69" spans="1:7">
      <c r="A69" s="181">
        <v>2</v>
      </c>
      <c r="B69" s="111"/>
      <c r="C69" s="182" t="str">
        <f>INDEX($C$72:$C$76,A69,1)</f>
        <v>USD</v>
      </c>
      <c r="D69" s="185" t="s">
        <v>2042</v>
      </c>
      <c r="E69" s="112"/>
      <c r="F69" s="112"/>
      <c r="G69" s="183"/>
    </row>
    <row r="70" spans="1:7" s="941" customFormat="1">
      <c r="A70" s="181">
        <v>1</v>
      </c>
      <c r="B70" s="111" t="s">
        <v>2116</v>
      </c>
      <c r="C70" s="182" t="str">
        <f>INDEX($C$72:$C$76,A70,1)</f>
        <v>EUR</v>
      </c>
      <c r="D70" s="185" t="s">
        <v>2048</v>
      </c>
      <c r="E70" s="913"/>
      <c r="F70" s="913"/>
      <c r="G70" s="183"/>
    </row>
    <row r="71" spans="1:7" s="941" customFormat="1">
      <c r="A71" s="181">
        <v>1</v>
      </c>
      <c r="B71" s="111" t="s">
        <v>2672</v>
      </c>
      <c r="C71" s="182" t="str">
        <f>INDEX($C$72:$C$76,A71,1)</f>
        <v>EUR</v>
      </c>
      <c r="D71" s="185" t="s">
        <v>2049</v>
      </c>
      <c r="E71" s="913"/>
      <c r="F71" s="913"/>
      <c r="G71" s="183"/>
    </row>
    <row r="72" spans="1:7">
      <c r="A72" s="184"/>
      <c r="B72" s="112"/>
      <c r="C72" s="112" t="s">
        <v>33</v>
      </c>
      <c r="D72" s="112"/>
      <c r="E72" s="112"/>
      <c r="F72" s="112"/>
      <c r="G72" s="183"/>
    </row>
    <row r="73" spans="1:7">
      <c r="A73" s="184"/>
      <c r="B73" s="112"/>
      <c r="C73" s="112" t="s">
        <v>89</v>
      </c>
      <c r="D73" s="112"/>
      <c r="E73" s="112"/>
      <c r="F73" s="112"/>
      <c r="G73" s="183"/>
    </row>
    <row r="74" spans="1:7">
      <c r="A74" s="184"/>
      <c r="B74" s="112"/>
      <c r="C74" s="112" t="s">
        <v>2046</v>
      </c>
      <c r="D74" s="112"/>
      <c r="E74" s="112"/>
      <c r="F74" s="112"/>
      <c r="G74" s="183"/>
    </row>
    <row r="75" spans="1:7">
      <c r="A75" s="184"/>
      <c r="B75" s="112"/>
      <c r="C75" s="112"/>
      <c r="D75" s="112"/>
      <c r="E75" s="112"/>
      <c r="F75" s="112"/>
      <c r="G75" s="183"/>
    </row>
    <row r="76" spans="1:7">
      <c r="A76" s="184"/>
      <c r="B76" s="112"/>
      <c r="C76" s="112"/>
      <c r="D76" s="112"/>
      <c r="E76" s="112"/>
      <c r="F76" s="112"/>
      <c r="G76" s="183"/>
    </row>
    <row r="77" spans="1:7">
      <c r="A77" s="184"/>
      <c r="B77" s="112"/>
      <c r="C77" s="112"/>
      <c r="D77" s="157"/>
      <c r="E77" s="112"/>
      <c r="F77" s="112"/>
      <c r="G77" s="183"/>
    </row>
    <row r="78" spans="1:7">
      <c r="A78" s="201"/>
      <c r="B78" s="201"/>
      <c r="C78" s="185" t="s">
        <v>2066</v>
      </c>
      <c r="D78" s="211"/>
      <c r="E78" s="112"/>
      <c r="F78" s="112"/>
      <c r="G78" s="183"/>
    </row>
    <row r="79" spans="1:7">
      <c r="A79" s="202">
        <v>2</v>
      </c>
      <c r="B79" s="201"/>
      <c r="C79" s="203" t="str">
        <f>IF(A79=1,"",CHOOSE(A79, "None (Neant)","Annual", "Semi-Annual", "Quarterly", "Monthly","Weekly","Daily"))</f>
        <v>Annual</v>
      </c>
    </row>
    <row r="80" spans="1:7">
      <c r="A80" s="202">
        <v>2</v>
      </c>
      <c r="B80" s="201"/>
      <c r="C80" s="203" t="str">
        <f>IF(A80=1,"",CHOOSE(A80, "None (Neant)","Annual", "Semi-Annual", "Quarterly", "Monthly","Weekly","Daily"))</f>
        <v>Annual</v>
      </c>
    </row>
    <row r="81" spans="1:3">
      <c r="A81" s="202">
        <v>1</v>
      </c>
      <c r="B81" s="201"/>
      <c r="C81" s="203" t="str">
        <f>IF(A81=1,"",CHOOSE(A81, "None (Neant)","Annual", "Semi-Annual", "Quarterly", "Monthly","Weekly","Daily"))</f>
        <v/>
      </c>
    </row>
    <row r="82" spans="1:3">
      <c r="A82" s="201"/>
      <c r="B82" s="210"/>
      <c r="C82" s="210" t="s">
        <v>2067</v>
      </c>
    </row>
    <row r="83" spans="1:3">
      <c r="A83" s="201"/>
      <c r="B83" s="205">
        <v>1</v>
      </c>
      <c r="C83" s="204" t="s">
        <v>2068</v>
      </c>
    </row>
    <row r="84" spans="1:3">
      <c r="A84" s="201"/>
      <c r="B84" s="205">
        <v>2</v>
      </c>
      <c r="C84" s="205" t="s">
        <v>12</v>
      </c>
    </row>
    <row r="85" spans="1:3">
      <c r="A85" s="201"/>
      <c r="B85" s="205">
        <v>3</v>
      </c>
      <c r="C85" s="205" t="s">
        <v>2070</v>
      </c>
    </row>
    <row r="86" spans="1:3">
      <c r="A86" s="201"/>
      <c r="B86" s="205">
        <v>4</v>
      </c>
      <c r="C86" s="205" t="s">
        <v>2072</v>
      </c>
    </row>
    <row r="87" spans="1:3">
      <c r="A87" s="201"/>
      <c r="B87" s="205">
        <v>5</v>
      </c>
      <c r="C87" s="205" t="s">
        <v>2075</v>
      </c>
    </row>
    <row r="88" spans="1:3">
      <c r="A88" s="201"/>
      <c r="B88" s="205">
        <v>6</v>
      </c>
      <c r="C88" s="206" t="s">
        <v>2077</v>
      </c>
    </row>
    <row r="89" spans="1:3">
      <c r="B89" s="205">
        <v>7</v>
      </c>
      <c r="C89" s="206" t="s">
        <v>2080</v>
      </c>
    </row>
    <row r="93" spans="1:3">
      <c r="A93" s="299"/>
      <c r="B93" s="430"/>
      <c r="C93" s="185" t="s">
        <v>2356</v>
      </c>
    </row>
    <row r="94" spans="1:3" s="409" customFormat="1">
      <c r="A94" s="299"/>
      <c r="B94" s="430"/>
      <c r="C94" s="185" t="s">
        <v>2350</v>
      </c>
    </row>
    <row r="95" spans="1:3">
      <c r="A95" s="181">
        <v>1</v>
      </c>
      <c r="B95" s="192" t="str">
        <f>CHOOSE(A95,B97,B98,B99,B100)</f>
        <v>PHname</v>
      </c>
      <c r="C95" s="192" t="str">
        <f>CHOOSE(A95,C97,C98,C99,C100)</f>
        <v>Shipowner</v>
      </c>
    </row>
    <row r="96" spans="1:3" s="409" customFormat="1">
      <c r="A96" s="181">
        <v>4</v>
      </c>
      <c r="B96" s="192" t="str">
        <f>CHOOSE(A96,B97,B98,B99,B100)</f>
        <v>BRname</v>
      </c>
      <c r="C96" s="192" t="str">
        <f>CHOOSE(A96,C97,C98,C99,C100)</f>
        <v>Broker</v>
      </c>
    </row>
    <row r="97" spans="1:6">
      <c r="A97" s="299"/>
      <c r="B97" s="409" t="s">
        <v>2340</v>
      </c>
      <c r="C97" s="193" t="s">
        <v>2351</v>
      </c>
    </row>
    <row r="98" spans="1:6">
      <c r="A98" s="299"/>
      <c r="B98" s="409" t="s">
        <v>2345</v>
      </c>
      <c r="C98" s="193" t="s">
        <v>98</v>
      </c>
    </row>
    <row r="99" spans="1:6">
      <c r="A99" s="299"/>
      <c r="B99" s="409" t="s">
        <v>2352</v>
      </c>
      <c r="C99" s="430" t="s">
        <v>99</v>
      </c>
    </row>
    <row r="100" spans="1:6">
      <c r="B100" s="409" t="s">
        <v>2353</v>
      </c>
      <c r="C100" s="409" t="s">
        <v>29</v>
      </c>
    </row>
    <row r="104" spans="1:6">
      <c r="C104" s="192" t="e">
        <f>CHOOSE(A104,C105,C106,C107,C108)</f>
        <v>#VALUE!</v>
      </c>
    </row>
    <row r="105" spans="1:6">
      <c r="C105" s="277" t="s">
        <v>2236</v>
      </c>
      <c r="E105" s="280">
        <v>0</v>
      </c>
      <c r="F105">
        <v>0</v>
      </c>
    </row>
    <row r="106" spans="1:6">
      <c r="C106" s="277" t="s">
        <v>2357</v>
      </c>
      <c r="E106" s="280">
        <v>365</v>
      </c>
      <c r="F106" s="523" t="s">
        <v>2362</v>
      </c>
    </row>
    <row r="107" spans="1:6">
      <c r="C107" s="277" t="s">
        <v>2358</v>
      </c>
      <c r="E107" s="280">
        <v>12</v>
      </c>
      <c r="F107" s="523" t="s">
        <v>2362</v>
      </c>
    </row>
    <row r="108" spans="1:6">
      <c r="C108" s="277" t="s">
        <v>2359</v>
      </c>
      <c r="E108" s="280">
        <v>365</v>
      </c>
      <c r="F108" s="523" t="s">
        <v>2147</v>
      </c>
    </row>
    <row r="109" spans="1:6">
      <c r="C109" s="277" t="s">
        <v>2360</v>
      </c>
      <c r="E109" s="280">
        <v>12</v>
      </c>
      <c r="F109" s="523" t="s">
        <v>2147</v>
      </c>
    </row>
    <row r="112" spans="1:6">
      <c r="A112" s="1087">
        <v>1</v>
      </c>
      <c r="B112" s="1087"/>
      <c r="C112" s="182" t="str">
        <f>INDEX($C$113:$C$115,A112,1)</f>
        <v>Calcul par année complète (365 jours)</v>
      </c>
    </row>
    <row r="113" spans="1:3">
      <c r="C113" s="1086" t="s">
        <v>2723</v>
      </c>
    </row>
    <row r="114" spans="1:3">
      <c r="C114" s="819" t="s">
        <v>2724</v>
      </c>
    </row>
    <row r="115" spans="1:3">
      <c r="C115" s="819"/>
    </row>
    <row r="116" spans="1:3">
      <c r="C116" s="819"/>
    </row>
    <row r="117" spans="1:3">
      <c r="C117" s="819"/>
    </row>
    <row r="119" spans="1:3">
      <c r="A119" s="1087">
        <v>1</v>
      </c>
      <c r="B119" s="1087"/>
      <c r="C119" s="182" t="str">
        <f>INDEX($C$120:$C$123,A119,1)</f>
        <v>WCA Luxembourg</v>
      </c>
    </row>
    <row r="120" spans="1:3">
      <c r="C120" s="1020" t="s">
        <v>2725</v>
      </c>
    </row>
    <row r="121" spans="1:3">
      <c r="C121" s="1020" t="s">
        <v>2726</v>
      </c>
    </row>
    <row r="122" spans="1:3">
      <c r="C122" s="819" t="s">
        <v>2727</v>
      </c>
    </row>
    <row r="123" spans="1:3">
      <c r="C123" s="819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7" tint="0.79998168889431442"/>
  </sheetPr>
  <dimension ref="A1:M24"/>
  <sheetViews>
    <sheetView topLeftCell="C1" workbookViewId="0">
      <selection activeCell="F8" sqref="F8"/>
    </sheetView>
  </sheetViews>
  <sheetFormatPr baseColWidth="10" defaultColWidth="11.42578125" defaultRowHeight="15"/>
  <cols>
    <col min="1" max="1" width="29.85546875" customWidth="1"/>
    <col min="2" max="2" width="17.5703125" style="409" customWidth="1"/>
    <col min="4" max="4" width="11.42578125" style="714"/>
    <col min="5" max="5" width="16.85546875" customWidth="1"/>
    <col min="7" max="7" width="30.28515625" customWidth="1"/>
    <col min="9" max="9" width="26.140625" customWidth="1"/>
    <col min="10" max="10" width="43.28515625" customWidth="1"/>
    <col min="12" max="12" width="34.5703125" customWidth="1"/>
  </cols>
  <sheetData>
    <row r="1" spans="1:13">
      <c r="A1" s="481" t="s">
        <v>2300</v>
      </c>
      <c r="B1" s="481" t="s">
        <v>2300</v>
      </c>
      <c r="C1" s="280" t="s">
        <v>2236</v>
      </c>
      <c r="D1" s="717" t="s">
        <v>2236</v>
      </c>
      <c r="E1" s="280" t="s">
        <v>2236</v>
      </c>
      <c r="F1" s="280" t="s">
        <v>2331</v>
      </c>
      <c r="G1" s="536" t="s">
        <v>4</v>
      </c>
      <c r="H1" s="277" t="s">
        <v>2278</v>
      </c>
      <c r="I1" s="1239" t="s">
        <v>2236</v>
      </c>
      <c r="J1" s="1240" t="s">
        <v>2068</v>
      </c>
      <c r="K1" s="221" t="s">
        <v>2068</v>
      </c>
      <c r="L1" s="1240" t="s">
        <v>2068</v>
      </c>
      <c r="M1" s="132" t="s">
        <v>2013</v>
      </c>
    </row>
    <row r="2" spans="1:13">
      <c r="A2" s="819" t="s">
        <v>2683</v>
      </c>
      <c r="B2" s="280" t="s">
        <v>2320</v>
      </c>
      <c r="C2" s="509" t="b">
        <v>1</v>
      </c>
      <c r="D2" s="719" t="s">
        <v>2179</v>
      </c>
      <c r="E2" s="280" t="s">
        <v>2145</v>
      </c>
      <c r="F2" s="280" t="s">
        <v>2330</v>
      </c>
      <c r="G2" s="536" t="s">
        <v>7</v>
      </c>
      <c r="H2" s="277" t="s">
        <v>2277</v>
      </c>
      <c r="I2" s="1239" t="s">
        <v>2357</v>
      </c>
      <c r="J2" s="1240" t="s">
        <v>2069</v>
      </c>
      <c r="K2" s="223" t="s">
        <v>2097</v>
      </c>
      <c r="L2" s="1240" t="s">
        <v>1982</v>
      </c>
      <c r="M2" s="132" t="s">
        <v>2014</v>
      </c>
    </row>
    <row r="3" spans="1:13">
      <c r="A3" s="819" t="s">
        <v>2301</v>
      </c>
      <c r="B3" s="280" t="s">
        <v>2321</v>
      </c>
      <c r="C3" s="509" t="b">
        <v>0</v>
      </c>
      <c r="D3" s="719" t="s">
        <v>2180</v>
      </c>
      <c r="E3" s="280" t="s">
        <v>2147</v>
      </c>
      <c r="F3" s="277" t="s">
        <v>2332</v>
      </c>
      <c r="H3" s="280"/>
      <c r="I3" s="1239" t="s">
        <v>2358</v>
      </c>
      <c r="J3" s="1240" t="s">
        <v>2071</v>
      </c>
      <c r="K3" s="223" t="s">
        <v>2100</v>
      </c>
      <c r="L3" s="1240" t="s">
        <v>2123</v>
      </c>
      <c r="M3" s="132" t="s">
        <v>2015</v>
      </c>
    </row>
    <row r="4" spans="1:13">
      <c r="A4" s="819" t="s">
        <v>2303</v>
      </c>
      <c r="B4" s="280" t="s">
        <v>2258</v>
      </c>
      <c r="C4" s="280"/>
      <c r="D4" s="717"/>
      <c r="E4" s="280" t="s">
        <v>2264</v>
      </c>
      <c r="F4" s="277" t="s">
        <v>2333</v>
      </c>
      <c r="H4" s="280"/>
      <c r="I4" s="1239" t="s">
        <v>2359</v>
      </c>
      <c r="J4" s="1240" t="s">
        <v>2073</v>
      </c>
      <c r="K4" s="223" t="s">
        <v>2102</v>
      </c>
      <c r="L4" s="1240" t="s">
        <v>1985</v>
      </c>
      <c r="M4" s="132" t="s">
        <v>2016</v>
      </c>
    </row>
    <row r="5" spans="1:13">
      <c r="A5" s="819" t="s">
        <v>2302</v>
      </c>
      <c r="B5" s="280" t="s">
        <v>2163</v>
      </c>
      <c r="C5" s="280"/>
      <c r="D5" s="717"/>
      <c r="E5" s="819" t="s">
        <v>137</v>
      </c>
      <c r="F5" s="277" t="s">
        <v>2334</v>
      </c>
      <c r="I5" s="1239" t="s">
        <v>2360</v>
      </c>
      <c r="J5" s="1240" t="s">
        <v>2076</v>
      </c>
      <c r="K5" s="223" t="s">
        <v>1784</v>
      </c>
      <c r="L5" s="1240" t="s">
        <v>2074</v>
      </c>
      <c r="M5" s="132" t="s">
        <v>2017</v>
      </c>
    </row>
    <row r="6" spans="1:13">
      <c r="A6" s="819" t="s">
        <v>2304</v>
      </c>
      <c r="B6" s="280" t="s">
        <v>2228</v>
      </c>
      <c r="C6" s="280"/>
      <c r="D6" s="717"/>
      <c r="E6" s="280"/>
      <c r="F6" s="277" t="s">
        <v>2335</v>
      </c>
      <c r="J6" s="1240" t="s">
        <v>2078</v>
      </c>
      <c r="K6" s="223" t="s">
        <v>90</v>
      </c>
      <c r="L6" s="1240" t="s">
        <v>2124</v>
      </c>
      <c r="M6" s="132" t="s">
        <v>2018</v>
      </c>
    </row>
    <row r="7" spans="1:13">
      <c r="A7" s="819" t="s">
        <v>2305</v>
      </c>
      <c r="B7" s="277" t="s">
        <v>2322</v>
      </c>
      <c r="F7" s="1086" t="s">
        <v>2851</v>
      </c>
      <c r="J7" s="1232" t="s">
        <v>2081</v>
      </c>
      <c r="K7" s="222" t="s">
        <v>2104</v>
      </c>
      <c r="L7" s="1240" t="s">
        <v>2079</v>
      </c>
      <c r="M7" s="132" t="s">
        <v>2019</v>
      </c>
    </row>
    <row r="8" spans="1:13">
      <c r="A8" s="819" t="s">
        <v>2306</v>
      </c>
      <c r="B8" s="280" t="s">
        <v>2323</v>
      </c>
      <c r="J8" s="1240" t="s">
        <v>2083</v>
      </c>
      <c r="K8" s="222" t="s">
        <v>2105</v>
      </c>
      <c r="L8" s="1240" t="s">
        <v>2082</v>
      </c>
      <c r="M8" s="132" t="s">
        <v>2020</v>
      </c>
    </row>
    <row r="9" spans="1:13">
      <c r="A9" s="819" t="s">
        <v>2307</v>
      </c>
      <c r="B9" s="277" t="s">
        <v>2324</v>
      </c>
      <c r="J9" s="1240" t="s">
        <v>2084</v>
      </c>
      <c r="K9" s="222" t="s">
        <v>2106</v>
      </c>
      <c r="L9" s="1240" t="s">
        <v>2434</v>
      </c>
      <c r="M9" s="132" t="s">
        <v>2021</v>
      </c>
    </row>
    <row r="10" spans="1:13">
      <c r="A10" s="819" t="s">
        <v>2308</v>
      </c>
      <c r="B10" s="280" t="s">
        <v>2325</v>
      </c>
      <c r="J10" s="1240" t="s">
        <v>2086</v>
      </c>
      <c r="K10" s="223" t="s">
        <v>2107</v>
      </c>
      <c r="L10" s="1240" t="s">
        <v>2085</v>
      </c>
      <c r="M10" s="132" t="s">
        <v>2022</v>
      </c>
    </row>
    <row r="11" spans="1:13">
      <c r="A11" s="277" t="s">
        <v>2309</v>
      </c>
      <c r="B11" s="277" t="s">
        <v>2326</v>
      </c>
      <c r="J11" s="1240" t="s">
        <v>2088</v>
      </c>
      <c r="L11" s="1240" t="s">
        <v>2087</v>
      </c>
      <c r="M11" s="132" t="s">
        <v>2023</v>
      </c>
    </row>
    <row r="12" spans="1:13">
      <c r="A12" s="277" t="s">
        <v>2310</v>
      </c>
      <c r="B12" s="277" t="s">
        <v>2319</v>
      </c>
      <c r="J12" s="1240" t="s">
        <v>2789</v>
      </c>
      <c r="L12" s="1240" t="s">
        <v>2089</v>
      </c>
      <c r="M12" s="132" t="s">
        <v>2024</v>
      </c>
    </row>
    <row r="13" spans="1:13">
      <c r="A13" s="819" t="s">
        <v>2311</v>
      </c>
      <c r="B13" s="430"/>
      <c r="J13" s="1240" t="s">
        <v>2790</v>
      </c>
      <c r="L13" s="1240" t="s">
        <v>2090</v>
      </c>
    </row>
    <row r="14" spans="1:13">
      <c r="A14" s="819" t="s">
        <v>2312</v>
      </c>
      <c r="B14" s="430"/>
      <c r="J14" s="1240" t="s">
        <v>2108</v>
      </c>
      <c r="L14" s="1240" t="s">
        <v>2092</v>
      </c>
    </row>
    <row r="15" spans="1:13">
      <c r="A15" s="277" t="s">
        <v>2313</v>
      </c>
      <c r="B15" s="421"/>
      <c r="J15" s="1240" t="s">
        <v>2091</v>
      </c>
      <c r="L15" s="1240" t="s">
        <v>2094</v>
      </c>
    </row>
    <row r="16" spans="1:13">
      <c r="A16" s="277" t="s">
        <v>2314</v>
      </c>
      <c r="B16" s="421"/>
      <c r="J16" s="1240" t="s">
        <v>2093</v>
      </c>
      <c r="L16" s="1240" t="s">
        <v>2397</v>
      </c>
    </row>
    <row r="17" spans="1:12">
      <c r="A17" s="819" t="s">
        <v>2315</v>
      </c>
      <c r="B17" s="430"/>
      <c r="J17" s="1240" t="s">
        <v>2396</v>
      </c>
      <c r="L17" s="1240" t="s">
        <v>2637</v>
      </c>
    </row>
    <row r="18" spans="1:12">
      <c r="A18" s="819" t="s">
        <v>2316</v>
      </c>
      <c r="B18" s="430"/>
      <c r="J18" s="1240" t="s">
        <v>2560</v>
      </c>
      <c r="L18" s="1240" t="s">
        <v>2638</v>
      </c>
    </row>
    <row r="19" spans="1:12">
      <c r="A19" s="277" t="s">
        <v>2317</v>
      </c>
      <c r="B19" s="421"/>
      <c r="J19" s="1232"/>
      <c r="L19" s="1240" t="s">
        <v>2639</v>
      </c>
    </row>
    <row r="20" spans="1:12">
      <c r="A20" s="277" t="s">
        <v>2318</v>
      </c>
      <c r="B20" s="421"/>
      <c r="J20" s="1232"/>
      <c r="L20" s="1240" t="s">
        <v>2640</v>
      </c>
    </row>
    <row r="21" spans="1:12">
      <c r="J21" s="1232"/>
      <c r="L21" s="1240" t="s">
        <v>2641</v>
      </c>
    </row>
    <row r="22" spans="1:12">
      <c r="J22" s="1232"/>
      <c r="L22" s="1240" t="s">
        <v>2642</v>
      </c>
    </row>
    <row r="23" spans="1:12">
      <c r="J23" s="1232"/>
      <c r="L23" s="1240" t="s">
        <v>2692</v>
      </c>
    </row>
    <row r="24" spans="1:12">
      <c r="J24" s="1232"/>
      <c r="L24" s="1240" t="s">
        <v>2694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theme="7" tint="0.59999389629810485"/>
  </sheetPr>
  <dimension ref="A1:AJ367"/>
  <sheetViews>
    <sheetView view="pageBreakPreview" zoomScaleSheetLayoutView="100" workbookViewId="0">
      <selection activeCell="Z86" sqref="Z86:Z97"/>
    </sheetView>
  </sheetViews>
  <sheetFormatPr baseColWidth="10" defaultColWidth="11.42578125" defaultRowHeight="15"/>
  <cols>
    <col min="1" max="1" width="8.5703125" customWidth="1"/>
    <col min="2" max="2" width="11.7109375" style="409" customWidth="1"/>
    <col min="3" max="3" width="12.140625" style="409" customWidth="1"/>
    <col min="4" max="4" width="21.85546875" customWidth="1"/>
    <col min="5" max="5" width="76" style="409" customWidth="1"/>
    <col min="6" max="6" width="26.140625" customWidth="1"/>
    <col min="7" max="7" width="18.42578125" customWidth="1"/>
    <col min="8" max="8" width="28.85546875" customWidth="1"/>
    <col min="9" max="9" width="11.42578125" customWidth="1"/>
    <col min="14" max="14" width="11.42578125" style="523"/>
    <col min="16" max="16" width="11.42578125" style="1369"/>
    <col min="17" max="18" width="11.42578125" style="1366"/>
    <col min="20" max="20" width="11.42578125" style="542"/>
    <col min="22" max="22" width="11.42578125" style="542"/>
    <col min="26" max="26" width="11.42578125" style="654"/>
    <col min="27" max="27" width="11.42578125" customWidth="1"/>
  </cols>
  <sheetData>
    <row r="1" spans="1:36">
      <c r="A1" s="265"/>
      <c r="B1" s="423"/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4"/>
      <c r="Q1" s="423"/>
      <c r="R1" s="423"/>
      <c r="S1" s="423"/>
      <c r="T1" s="423"/>
      <c r="U1" s="423"/>
      <c r="V1" s="423"/>
      <c r="W1" s="423"/>
      <c r="X1" s="423"/>
      <c r="Y1" s="423"/>
      <c r="Z1" s="423"/>
      <c r="AA1" s="180"/>
      <c r="AB1" s="423"/>
      <c r="AC1" s="423"/>
      <c r="AD1" s="423"/>
      <c r="AE1" s="423"/>
      <c r="AF1" s="423"/>
      <c r="AG1" s="423"/>
      <c r="AH1" s="423"/>
      <c r="AI1" s="423"/>
      <c r="AJ1" s="266"/>
    </row>
    <row r="2" spans="1:36">
      <c r="A2" s="299"/>
      <c r="B2" s="430"/>
      <c r="C2" s="430"/>
      <c r="D2" s="430"/>
      <c r="E2" s="430"/>
      <c r="F2" s="432" t="s">
        <v>7</v>
      </c>
      <c r="G2" s="430"/>
      <c r="H2" s="430"/>
      <c r="I2" s="430"/>
      <c r="J2" s="430"/>
      <c r="K2" s="430"/>
      <c r="L2" s="430"/>
      <c r="M2" s="430"/>
      <c r="N2" s="524"/>
      <c r="O2" s="430"/>
      <c r="P2" s="411">
        <v>0</v>
      </c>
      <c r="Q2" s="1367"/>
      <c r="R2" s="1367"/>
      <c r="S2" s="430"/>
      <c r="T2" s="524"/>
      <c r="U2" s="431">
        <v>0</v>
      </c>
      <c r="V2" s="431"/>
      <c r="W2" s="430"/>
      <c r="X2" s="430"/>
      <c r="Y2" s="430"/>
      <c r="Z2" s="524"/>
      <c r="AA2" s="431">
        <v>0</v>
      </c>
      <c r="AB2" s="430"/>
      <c r="AC2" s="430"/>
      <c r="AD2" s="431">
        <v>1454</v>
      </c>
      <c r="AE2" s="430"/>
      <c r="AF2" s="430"/>
      <c r="AG2" s="430"/>
      <c r="AH2" s="430"/>
      <c r="AI2" s="430"/>
      <c r="AJ2" s="183"/>
    </row>
    <row r="3" spans="1:36" ht="15.75" thickBot="1">
      <c r="A3" s="299" t="b">
        <v>1</v>
      </c>
      <c r="B3" s="430"/>
      <c r="C3" s="430"/>
      <c r="D3" s="430"/>
      <c r="E3" s="430"/>
      <c r="F3" s="430"/>
      <c r="G3" s="430"/>
      <c r="H3" s="430"/>
      <c r="I3" s="430"/>
      <c r="J3" s="430"/>
      <c r="K3" s="430"/>
      <c r="L3" s="430"/>
      <c r="M3" s="430"/>
      <c r="N3" s="524"/>
      <c r="O3" s="430"/>
      <c r="P3" s="1371"/>
      <c r="Q3" s="1367"/>
      <c r="R3" s="1367"/>
      <c r="S3" s="430"/>
      <c r="T3" s="524"/>
      <c r="U3" s="431">
        <v>0</v>
      </c>
      <c r="V3" s="431"/>
      <c r="W3" s="430"/>
      <c r="X3" s="430"/>
      <c r="Y3" s="430"/>
      <c r="Z3" s="524"/>
      <c r="AA3" s="431">
        <v>0</v>
      </c>
      <c r="AB3" s="178"/>
      <c r="AC3" s="430"/>
      <c r="AD3" s="430"/>
      <c r="AE3" s="430"/>
      <c r="AF3" s="430"/>
      <c r="AG3" s="430"/>
      <c r="AH3" s="430"/>
      <c r="AI3" s="430"/>
      <c r="AJ3" s="183"/>
    </row>
    <row r="4" spans="1:36" ht="45">
      <c r="A4" s="299"/>
      <c r="B4" s="299"/>
      <c r="C4" s="299"/>
      <c r="D4" s="394" t="s">
        <v>2006</v>
      </c>
      <c r="E4" s="394" t="s">
        <v>2006</v>
      </c>
      <c r="F4" s="427"/>
      <c r="G4" s="1388" t="s">
        <v>2118</v>
      </c>
      <c r="H4" s="1388" t="s">
        <v>2238</v>
      </c>
      <c r="I4" s="1388" t="s">
        <v>2224</v>
      </c>
      <c r="J4" s="1388" t="s">
        <v>1153</v>
      </c>
      <c r="K4" s="1389" t="s">
        <v>2239</v>
      </c>
      <c r="L4" s="1389" t="s">
        <v>2113</v>
      </c>
      <c r="M4" s="1390" t="s">
        <v>2234</v>
      </c>
      <c r="N4" s="1389" t="s">
        <v>2368</v>
      </c>
      <c r="O4" s="1389" t="s">
        <v>2235</v>
      </c>
      <c r="P4" s="1389" t="s">
        <v>23</v>
      </c>
      <c r="Q4" s="1389" t="s">
        <v>2841</v>
      </c>
      <c r="R4" s="1389" t="s">
        <v>2842</v>
      </c>
      <c r="S4" s="1389" t="s">
        <v>2840</v>
      </c>
      <c r="T4" s="1389" t="s">
        <v>2237</v>
      </c>
      <c r="U4" s="1389" t="s">
        <v>2241</v>
      </c>
      <c r="V4" s="1389"/>
      <c r="W4" s="1389" t="s">
        <v>2119</v>
      </c>
      <c r="X4" s="1388" t="s">
        <v>2240</v>
      </c>
      <c r="Y4" s="1388" t="s">
        <v>2242</v>
      </c>
      <c r="Z4" s="1388" t="s">
        <v>2551</v>
      </c>
      <c r="AA4" s="1389" t="s">
        <v>2265</v>
      </c>
      <c r="AB4" s="410"/>
      <c r="AC4" s="415" t="s">
        <v>2151</v>
      </c>
      <c r="AD4" s="415" t="s">
        <v>30</v>
      </c>
      <c r="AE4" s="416" t="s">
        <v>137</v>
      </c>
      <c r="AF4" s="416" t="s">
        <v>92</v>
      </c>
      <c r="AG4" s="416" t="s">
        <v>1784</v>
      </c>
      <c r="AH4" s="416" t="s">
        <v>90</v>
      </c>
      <c r="AI4" s="416" t="s">
        <v>91</v>
      </c>
      <c r="AJ4" s="183"/>
    </row>
    <row r="5" spans="1:36">
      <c r="A5" s="299" t="b">
        <v>0</v>
      </c>
      <c r="B5" s="299" t="s">
        <v>2266</v>
      </c>
      <c r="C5" s="299" t="b">
        <f t="shared" ref="C5:C41" si="0">IF(B5="N/A","",IF(B5="newRates",FALSE,TRUE))</f>
        <v>0</v>
      </c>
      <c r="D5" s="428" t="str">
        <f>IF(C5=FALSE=NAMES!$B$8,"",IF(F5="N/A","N/A",X5&amp;W5&amp;F5&amp;"-"&amp;G5&amp;H5))</f>
        <v>N/A</v>
      </c>
      <c r="E5" s="429" t="str">
        <f t="shared" ref="E5:E11" si="1">IF(F5="N/A","N/A",X5&amp;W5&amp;F5&amp;"-"&amp;G5&amp;H5)</f>
        <v>N/A</v>
      </c>
      <c r="F5" s="429" t="s">
        <v>2236</v>
      </c>
      <c r="G5" s="429" t="s">
        <v>2236</v>
      </c>
      <c r="H5" s="429"/>
      <c r="I5" s="429"/>
      <c r="J5" s="429"/>
      <c r="K5" s="429"/>
      <c r="L5" s="430"/>
      <c r="M5" s="430"/>
      <c r="N5" s="524"/>
      <c r="O5" s="431" t="str">
        <f>IF(D5="N/A","",U5/1.04)</f>
        <v/>
      </c>
      <c r="P5" s="411" t="str">
        <f>IF(E5="N/A","",$P$2)</f>
        <v/>
      </c>
      <c r="Q5" s="431"/>
      <c r="R5" s="431"/>
      <c r="S5" s="430"/>
      <c r="T5" s="524"/>
      <c r="U5" s="430"/>
      <c r="V5" s="524"/>
      <c r="W5" s="429"/>
      <c r="X5" s="430"/>
      <c r="Y5" s="430"/>
      <c r="Z5" s="524"/>
      <c r="AA5" s="430"/>
      <c r="AB5" s="430"/>
      <c r="AC5" s="430"/>
      <c r="AD5" s="430"/>
      <c r="AE5" s="430"/>
      <c r="AF5" s="430"/>
      <c r="AG5" s="430"/>
      <c r="AH5" s="430"/>
      <c r="AI5" s="430"/>
      <c r="AJ5" s="183"/>
    </row>
    <row r="6" spans="1:36">
      <c r="A6" s="299" t="b">
        <v>0</v>
      </c>
      <c r="B6" s="299" t="s">
        <v>2266</v>
      </c>
      <c r="C6" s="299" t="b">
        <f t="shared" si="0"/>
        <v>0</v>
      </c>
      <c r="D6" s="428" t="str">
        <f>IF(C6=FALSE=NAMES!$B$8,"",IF(F6="N/A","N/A",X6&amp;W6&amp;F6&amp;"-"&amp;G6&amp;H6))</f>
        <v>2016EURAIG Luxembourg-Healthcare PlanComfort</v>
      </c>
      <c r="E6" s="429" t="str">
        <f t="shared" si="1"/>
        <v>2016EURAIG Luxembourg-Healthcare PlanComfort</v>
      </c>
      <c r="F6" s="432" t="s">
        <v>4</v>
      </c>
      <c r="G6" s="421" t="s">
        <v>3</v>
      </c>
      <c r="H6" s="432" t="s">
        <v>2123</v>
      </c>
      <c r="I6" s="432" t="s">
        <v>2225</v>
      </c>
      <c r="J6" s="432"/>
      <c r="K6" s="432"/>
      <c r="L6" s="421">
        <v>365</v>
      </c>
      <c r="M6" s="421"/>
      <c r="N6" s="411">
        <v>0.25</v>
      </c>
      <c r="O6" s="431">
        <f t="shared" ref="O6:O49" si="2">IF(E6="N/A","",U6/1.04)</f>
        <v>569.03846153846143</v>
      </c>
      <c r="P6" s="411">
        <v>0</v>
      </c>
      <c r="Q6" s="412">
        <v>0</v>
      </c>
      <c r="R6" s="1359">
        <f>IF(E6="N/A","",O6+Q6)</f>
        <v>569.03846153846143</v>
      </c>
      <c r="S6" s="411">
        <v>0.04</v>
      </c>
      <c r="T6" s="393">
        <f t="shared" ref="T6:T48" si="3">IF(F6="N/A","",O6*S6)</f>
        <v>22.761538461538457</v>
      </c>
      <c r="U6" s="412">
        <v>591.79999999999995</v>
      </c>
      <c r="V6" s="412"/>
      <c r="W6" s="432" t="s">
        <v>33</v>
      </c>
      <c r="X6" s="410">
        <v>2016</v>
      </c>
      <c r="Y6" s="410" t="s">
        <v>26</v>
      </c>
      <c r="Z6" s="410" t="s">
        <v>1</v>
      </c>
      <c r="AA6" s="412">
        <v>63.2</v>
      </c>
      <c r="AB6" s="413"/>
      <c r="AC6" s="421" t="s">
        <v>2150</v>
      </c>
      <c r="AD6" s="421" t="s">
        <v>2179</v>
      </c>
      <c r="AE6" s="421" t="s">
        <v>2179</v>
      </c>
      <c r="AF6" s="421" t="s">
        <v>2180</v>
      </c>
      <c r="AG6" s="421" t="s">
        <v>2180</v>
      </c>
      <c r="AH6" s="421" t="s">
        <v>2180</v>
      </c>
      <c r="AI6" s="421" t="s">
        <v>2180</v>
      </c>
      <c r="AJ6" s="418" t="s">
        <v>87</v>
      </c>
    </row>
    <row r="7" spans="1:36">
      <c r="A7" s="299" t="b">
        <v>0</v>
      </c>
      <c r="B7" s="299" t="s">
        <v>2266</v>
      </c>
      <c r="C7" s="299" t="b">
        <f t="shared" si="0"/>
        <v>0</v>
      </c>
      <c r="D7" s="428" t="str">
        <f>IF(C7=FALSE=NAMES!$B$8,"",IF(F7="N/A","N/A",X7&amp;W7&amp;F7&amp;"-"&amp;G7&amp;H7))</f>
        <v>2016EURAIG Luxembourg-Healthcare PlanComfort MLC S</v>
      </c>
      <c r="E7" s="429" t="str">
        <f t="shared" si="1"/>
        <v>2016EURAIG Luxembourg-Healthcare PlanComfort MLC S</v>
      </c>
      <c r="F7" s="390" t="s">
        <v>4</v>
      </c>
      <c r="G7" s="389" t="s">
        <v>3</v>
      </c>
      <c r="H7" s="390" t="s">
        <v>2125</v>
      </c>
      <c r="I7" s="390" t="s">
        <v>2225</v>
      </c>
      <c r="J7" s="432"/>
      <c r="K7" s="432"/>
      <c r="L7" s="421">
        <v>365</v>
      </c>
      <c r="M7" s="421"/>
      <c r="N7" s="411">
        <v>0.25</v>
      </c>
      <c r="O7" s="431">
        <f t="shared" si="2"/>
        <v>569.03846153846143</v>
      </c>
      <c r="P7" s="411">
        <v>0</v>
      </c>
      <c r="Q7" s="412">
        <v>0</v>
      </c>
      <c r="R7" s="1359">
        <f t="shared" ref="R7:R49" si="4">IF(E7="N/A","",O7+Q7)</f>
        <v>569.03846153846143</v>
      </c>
      <c r="S7" s="411">
        <v>0.04</v>
      </c>
      <c r="T7" s="393">
        <f t="shared" si="3"/>
        <v>22.761538461538457</v>
      </c>
      <c r="U7" s="412">
        <v>591.79999999999995</v>
      </c>
      <c r="V7" s="412"/>
      <c r="W7" s="432" t="s">
        <v>33</v>
      </c>
      <c r="X7" s="410">
        <v>2016</v>
      </c>
      <c r="Y7" s="410" t="s">
        <v>26</v>
      </c>
      <c r="Z7" s="410" t="s">
        <v>1</v>
      </c>
      <c r="AA7" s="412">
        <v>15.2</v>
      </c>
      <c r="AB7" s="413"/>
      <c r="AC7" s="421"/>
      <c r="AD7" s="421"/>
      <c r="AE7" s="421"/>
      <c r="AF7" s="421"/>
      <c r="AG7" s="421"/>
      <c r="AH7" s="421"/>
      <c r="AI7" s="421"/>
      <c r="AJ7" s="418"/>
    </row>
    <row r="8" spans="1:36">
      <c r="A8" s="299" t="b">
        <v>0</v>
      </c>
      <c r="B8" s="299" t="s">
        <v>2266</v>
      </c>
      <c r="C8" s="299" t="b">
        <f t="shared" si="0"/>
        <v>0</v>
      </c>
      <c r="D8" s="428" t="str">
        <f>IF(C8=FALSE=NAMES!$B$8,"",IF(F8="N/A","N/A",X8&amp;W8&amp;F8&amp;"-"&amp;G8&amp;H8))</f>
        <v>2016EURAIG Luxembourg-Healthcare PlanComfort S</v>
      </c>
      <c r="E8" s="429" t="str">
        <f t="shared" si="1"/>
        <v>2016EURAIG Luxembourg-Healthcare PlanComfort S</v>
      </c>
      <c r="F8" s="390" t="s">
        <v>4</v>
      </c>
      <c r="G8" s="389" t="s">
        <v>3</v>
      </c>
      <c r="H8" s="390" t="s">
        <v>2124</v>
      </c>
      <c r="I8" s="390" t="s">
        <v>2225</v>
      </c>
      <c r="J8" s="432"/>
      <c r="K8" s="432"/>
      <c r="L8" s="421">
        <v>365</v>
      </c>
      <c r="M8" s="421"/>
      <c r="N8" s="411">
        <v>0.25</v>
      </c>
      <c r="O8" s="431">
        <f t="shared" si="2"/>
        <v>569.03846153846143</v>
      </c>
      <c r="P8" s="411">
        <v>0</v>
      </c>
      <c r="Q8" s="412">
        <v>0</v>
      </c>
      <c r="R8" s="1359">
        <f t="shared" si="4"/>
        <v>569.03846153846143</v>
      </c>
      <c r="S8" s="411">
        <v>0.04</v>
      </c>
      <c r="T8" s="393">
        <f t="shared" si="3"/>
        <v>22.761538461538457</v>
      </c>
      <c r="U8" s="412">
        <v>591.79999999999995</v>
      </c>
      <c r="V8" s="412"/>
      <c r="W8" s="432" t="s">
        <v>33</v>
      </c>
      <c r="X8" s="410">
        <v>2016</v>
      </c>
      <c r="Y8" s="410" t="s">
        <v>26</v>
      </c>
      <c r="Z8" s="410" t="s">
        <v>1</v>
      </c>
      <c r="AA8" s="412">
        <v>15.2</v>
      </c>
      <c r="AB8" s="413"/>
      <c r="AC8" s="421"/>
      <c r="AD8" s="421"/>
      <c r="AE8" s="421"/>
      <c r="AF8" s="421"/>
      <c r="AG8" s="421"/>
      <c r="AH8" s="421"/>
      <c r="AI8" s="421"/>
      <c r="AJ8" s="418"/>
    </row>
    <row r="9" spans="1:36" s="571" customFormat="1">
      <c r="A9" s="299" t="b">
        <v>0</v>
      </c>
      <c r="B9" s="299" t="s">
        <v>2266</v>
      </c>
      <c r="C9" s="299" t="b">
        <f t="shared" si="0"/>
        <v>0</v>
      </c>
      <c r="D9" s="428" t="str">
        <f>IF(C9=FALSE=NAMES!$B$8,"",IF(F9="N/A","N/A",X9&amp;W9&amp;F9&amp;"-"&amp;G9&amp;H9))</f>
        <v>2016EURAIG Luxembourg-Healthcare PlanCOMFORTMLC</v>
      </c>
      <c r="E9" s="429" t="str">
        <f t="shared" si="1"/>
        <v>2016EURAIG Luxembourg-Healthcare PlanCOMFORTMLC</v>
      </c>
      <c r="F9" s="432" t="s">
        <v>4</v>
      </c>
      <c r="G9" s="718" t="s">
        <v>3</v>
      </c>
      <c r="H9" s="432" t="s">
        <v>2279</v>
      </c>
      <c r="I9" s="432" t="s">
        <v>2225</v>
      </c>
      <c r="J9" s="432"/>
      <c r="K9" s="432"/>
      <c r="L9" s="718">
        <v>365</v>
      </c>
      <c r="M9" s="718"/>
      <c r="N9" s="411">
        <v>0.25</v>
      </c>
      <c r="O9" s="431">
        <f t="shared" si="2"/>
        <v>569.03846153846143</v>
      </c>
      <c r="P9" s="411">
        <v>0</v>
      </c>
      <c r="Q9" s="412">
        <v>0</v>
      </c>
      <c r="R9" s="1359">
        <f t="shared" si="4"/>
        <v>569.03846153846143</v>
      </c>
      <c r="S9" s="411">
        <v>0.04</v>
      </c>
      <c r="T9" s="393">
        <f t="shared" si="3"/>
        <v>22.761538461538457</v>
      </c>
      <c r="U9" s="412">
        <v>591.79999999999995</v>
      </c>
      <c r="V9" s="412"/>
      <c r="W9" s="432" t="s">
        <v>33</v>
      </c>
      <c r="X9" s="410">
        <v>2016</v>
      </c>
      <c r="Y9" s="410" t="s">
        <v>26</v>
      </c>
      <c r="Z9" s="410" t="s">
        <v>1</v>
      </c>
      <c r="AA9" s="412">
        <v>63.2</v>
      </c>
      <c r="AB9" s="413"/>
      <c r="AC9" s="718" t="s">
        <v>2150</v>
      </c>
      <c r="AD9" s="718" t="s">
        <v>2179</v>
      </c>
      <c r="AE9" s="718" t="s">
        <v>2179</v>
      </c>
      <c r="AF9" s="718" t="s">
        <v>2180</v>
      </c>
      <c r="AG9" s="718" t="s">
        <v>2180</v>
      </c>
      <c r="AH9" s="718" t="s">
        <v>2180</v>
      </c>
      <c r="AI9" s="718" t="s">
        <v>2180</v>
      </c>
      <c r="AJ9" s="418" t="s">
        <v>87</v>
      </c>
    </row>
    <row r="10" spans="1:36">
      <c r="A10" s="299" t="b">
        <v>0</v>
      </c>
      <c r="B10" s="299" t="s">
        <v>2266</v>
      </c>
      <c r="C10" s="299" t="b">
        <f t="shared" si="0"/>
        <v>0</v>
      </c>
      <c r="D10" s="428" t="str">
        <f>IF(C10=FALSE=NAMES!$B$8,"",IF(F10="N/A","N/A",X10&amp;W10&amp;F10&amp;"-"&amp;G10&amp;H10))</f>
        <v>2016EURAnker Verzekeringen n.v.-Healthcare PlanMedical Excellent and Homeland</v>
      </c>
      <c r="E10" s="429" t="str">
        <f t="shared" si="1"/>
        <v>2016EURAnker Verzekeringen n.v.-Healthcare PlanMedical Excellent and Homeland</v>
      </c>
      <c r="F10" s="432" t="s">
        <v>7</v>
      </c>
      <c r="G10" s="421" t="s">
        <v>3</v>
      </c>
      <c r="H10" s="432" t="s">
        <v>2128</v>
      </c>
      <c r="I10" s="432" t="s">
        <v>2225</v>
      </c>
      <c r="J10" s="432"/>
      <c r="K10" s="432"/>
      <c r="L10" s="421">
        <v>365</v>
      </c>
      <c r="M10" s="421"/>
      <c r="N10" s="411">
        <v>0.27500000000000002</v>
      </c>
      <c r="O10" s="431">
        <f t="shared" si="2"/>
        <v>892.64423076923072</v>
      </c>
      <c r="P10" s="411">
        <v>0</v>
      </c>
      <c r="Q10" s="412">
        <v>0</v>
      </c>
      <c r="R10" s="1359">
        <f t="shared" si="4"/>
        <v>892.64423076923072</v>
      </c>
      <c r="S10" s="411">
        <v>0.04</v>
      </c>
      <c r="T10" s="393">
        <f t="shared" si="3"/>
        <v>35.705769230769228</v>
      </c>
      <c r="U10" s="396">
        <v>928.35</v>
      </c>
      <c r="V10" s="396"/>
      <c r="W10" s="432" t="s">
        <v>33</v>
      </c>
      <c r="X10" s="410">
        <v>2016</v>
      </c>
      <c r="Y10" s="410" t="s">
        <v>2246</v>
      </c>
      <c r="Z10" s="410" t="s">
        <v>1</v>
      </c>
      <c r="AA10" s="412">
        <v>547.5</v>
      </c>
      <c r="AB10" s="413"/>
      <c r="AC10" s="421" t="s">
        <v>2150</v>
      </c>
      <c r="AD10" s="421" t="s">
        <v>2179</v>
      </c>
      <c r="AE10" s="421" t="s">
        <v>2179</v>
      </c>
      <c r="AF10" s="421" t="s">
        <v>2180</v>
      </c>
      <c r="AG10" s="421" t="s">
        <v>2180</v>
      </c>
      <c r="AH10" s="421" t="s">
        <v>2180</v>
      </c>
      <c r="AI10" s="421" t="s">
        <v>2180</v>
      </c>
      <c r="AJ10" s="418" t="s">
        <v>87</v>
      </c>
    </row>
    <row r="11" spans="1:36">
      <c r="A11" s="299" t="b">
        <v>0</v>
      </c>
      <c r="B11" s="299" t="s">
        <v>2266</v>
      </c>
      <c r="C11" s="299" t="b">
        <f t="shared" si="0"/>
        <v>0</v>
      </c>
      <c r="D11" s="428" t="str">
        <f>IF(C11=FALSE=NAMES!$B$8,"",IF(F11="N/A","N/A",X11&amp;W11&amp;F11&amp;"-"&amp;G11&amp;H11))</f>
        <v>2016EURAIG Luxembourg-Healthcare PlanPRESTIGE</v>
      </c>
      <c r="E11" s="429" t="str">
        <f t="shared" si="1"/>
        <v>2016EURAIG Luxembourg-Healthcare PlanPRESTIGE</v>
      </c>
      <c r="F11" s="432" t="s">
        <v>4</v>
      </c>
      <c r="G11" s="421" t="s">
        <v>3</v>
      </c>
      <c r="H11" s="432" t="s">
        <v>88</v>
      </c>
      <c r="I11" s="432" t="s">
        <v>2225</v>
      </c>
      <c r="J11" s="432"/>
      <c r="K11" s="432"/>
      <c r="L11" s="421">
        <v>365</v>
      </c>
      <c r="M11" s="421"/>
      <c r="N11" s="411">
        <v>0.25</v>
      </c>
      <c r="O11" s="431">
        <f t="shared" si="2"/>
        <v>1161.3461538461538</v>
      </c>
      <c r="P11" s="411">
        <v>0</v>
      </c>
      <c r="Q11" s="412">
        <v>0</v>
      </c>
      <c r="R11" s="1359">
        <f t="shared" si="4"/>
        <v>1161.3461538461538</v>
      </c>
      <c r="S11" s="411">
        <v>0.04</v>
      </c>
      <c r="T11" s="393">
        <f t="shared" si="3"/>
        <v>46.45384615384615</v>
      </c>
      <c r="U11" s="412">
        <v>1207.8</v>
      </c>
      <c r="V11" s="412"/>
      <c r="W11" s="432" t="s">
        <v>33</v>
      </c>
      <c r="X11" s="410">
        <v>2016</v>
      </c>
      <c r="Y11" s="410" t="s">
        <v>26</v>
      </c>
      <c r="Z11" s="410" t="s">
        <v>1</v>
      </c>
      <c r="AA11" s="412">
        <v>36.200000000000003</v>
      </c>
      <c r="AB11" s="413"/>
      <c r="AC11" s="421" t="s">
        <v>2150</v>
      </c>
      <c r="AD11" s="421" t="s">
        <v>2179</v>
      </c>
      <c r="AE11" s="421" t="s">
        <v>2179</v>
      </c>
      <c r="AF11" s="421" t="s">
        <v>2180</v>
      </c>
      <c r="AG11" s="421" t="s">
        <v>2180</v>
      </c>
      <c r="AH11" s="421" t="s">
        <v>2180</v>
      </c>
      <c r="AI11" s="421" t="s">
        <v>2180</v>
      </c>
      <c r="AJ11" s="418" t="s">
        <v>87</v>
      </c>
    </row>
    <row r="12" spans="1:36">
      <c r="A12" s="563" t="b">
        <v>1</v>
      </c>
      <c r="B12" s="563" t="s">
        <v>2266</v>
      </c>
      <c r="C12" s="563" t="b">
        <f t="shared" si="0"/>
        <v>0</v>
      </c>
      <c r="D12" s="653" t="str">
        <f>IF(C12=FALSE=NAMES!$B$8,"",IF(F12="N/A","N/A",X12&amp;W12&amp;F12&amp;"-"&amp;G12&amp;H12&amp;I12))</f>
        <v>2016EURAIG Luxembourg-Healthcare PlanPRESTIGEFamily</v>
      </c>
      <c r="E12" s="564" t="str">
        <f>IF(F12="N/A","N/A",X12&amp;W12&amp;F12&amp;"-"&amp;G12&amp;H12&amp;I12)</f>
        <v>2016EURAIG Luxembourg-Healthcare PlanPRESTIGEFamily</v>
      </c>
      <c r="F12" s="564" t="s">
        <v>4</v>
      </c>
      <c r="G12" s="565" t="s">
        <v>3</v>
      </c>
      <c r="H12" s="564" t="s">
        <v>88</v>
      </c>
      <c r="I12" s="564" t="s">
        <v>2226</v>
      </c>
      <c r="J12" s="564"/>
      <c r="K12" s="564"/>
      <c r="L12" s="565">
        <v>365</v>
      </c>
      <c r="M12" s="565"/>
      <c r="N12" s="567">
        <v>0.25</v>
      </c>
      <c r="O12" s="431">
        <f t="shared" si="2"/>
        <v>1444.278846153846</v>
      </c>
      <c r="P12" s="411">
        <v>0</v>
      </c>
      <c r="Q12" s="569">
        <v>0</v>
      </c>
      <c r="R12" s="1359">
        <f t="shared" si="4"/>
        <v>1444.278846153846</v>
      </c>
      <c r="S12" s="567">
        <v>0.04</v>
      </c>
      <c r="T12" s="393">
        <f t="shared" si="3"/>
        <v>57.771153846153837</v>
      </c>
      <c r="U12" s="566">
        <v>1502.05</v>
      </c>
      <c r="V12" s="569"/>
      <c r="W12" s="564" t="s">
        <v>33</v>
      </c>
      <c r="X12" s="570">
        <v>2016</v>
      </c>
      <c r="Y12" s="570" t="s">
        <v>26</v>
      </c>
      <c r="Z12" s="410" t="s">
        <v>1</v>
      </c>
      <c r="AA12" s="569">
        <v>35</v>
      </c>
      <c r="AB12" s="572"/>
      <c r="AC12" s="565"/>
      <c r="AD12" s="565"/>
      <c r="AE12" s="565"/>
      <c r="AF12" s="565"/>
      <c r="AG12" s="565"/>
      <c r="AH12" s="565"/>
      <c r="AI12" s="565"/>
      <c r="AJ12" s="573"/>
    </row>
    <row r="13" spans="1:36">
      <c r="A13" s="299" t="b">
        <v>0</v>
      </c>
      <c r="B13" s="299" t="s">
        <v>2266</v>
      </c>
      <c r="C13" s="299" t="b">
        <f t="shared" si="0"/>
        <v>0</v>
      </c>
      <c r="D13" s="428" t="str">
        <f>IF(C13=FALSE=NAMES!$B$8,"",IF(F13="N/A","N/A",X13&amp;W13&amp;F13&amp;"-"&amp;G13&amp;H13))</f>
        <v>2016EURAIG Luxembourg-Healthcare PlanPrestige Plus</v>
      </c>
      <c r="E13" s="429" t="str">
        <f t="shared" ref="E13:E32" si="5">IF(F13="N/A","N/A",X13&amp;W13&amp;F13&amp;"-"&amp;G13&amp;H13)</f>
        <v>2016EURAIG Luxembourg-Healthcare PlanPrestige Plus</v>
      </c>
      <c r="F13" s="432" t="s">
        <v>4</v>
      </c>
      <c r="G13" s="421" t="s">
        <v>3</v>
      </c>
      <c r="H13" s="432" t="s">
        <v>2085</v>
      </c>
      <c r="I13" s="432" t="s">
        <v>2225</v>
      </c>
      <c r="J13" s="432"/>
      <c r="K13" s="432"/>
      <c r="L13" s="421">
        <v>365</v>
      </c>
      <c r="M13" s="421"/>
      <c r="N13" s="411">
        <v>0.25</v>
      </c>
      <c r="O13" s="431">
        <f t="shared" si="2"/>
        <v>1161.3461538461538</v>
      </c>
      <c r="P13" s="411">
        <v>0</v>
      </c>
      <c r="Q13" s="412">
        <v>0</v>
      </c>
      <c r="R13" s="1359">
        <f t="shared" si="4"/>
        <v>1161.3461538461538</v>
      </c>
      <c r="S13" s="411">
        <v>0.04</v>
      </c>
      <c r="T13" s="393">
        <f t="shared" si="3"/>
        <v>46.45384615384615</v>
      </c>
      <c r="U13" s="412">
        <v>1207.8</v>
      </c>
      <c r="V13" s="412"/>
      <c r="W13" s="432" t="s">
        <v>33</v>
      </c>
      <c r="X13" s="410">
        <v>2016</v>
      </c>
      <c r="Y13" s="410" t="s">
        <v>26</v>
      </c>
      <c r="Z13" s="410" t="s">
        <v>1</v>
      </c>
      <c r="AA13" s="412">
        <v>36.200000000000003</v>
      </c>
      <c r="AB13" s="413"/>
      <c r="AC13" s="421" t="s">
        <v>2150</v>
      </c>
      <c r="AD13" s="421" t="s">
        <v>2179</v>
      </c>
      <c r="AE13" s="421" t="s">
        <v>2179</v>
      </c>
      <c r="AF13" s="421" t="s">
        <v>2180</v>
      </c>
      <c r="AG13" s="421" t="s">
        <v>2180</v>
      </c>
      <c r="AH13" s="421" t="s">
        <v>2180</v>
      </c>
      <c r="AI13" s="421" t="s">
        <v>2180</v>
      </c>
      <c r="AJ13" s="418" t="s">
        <v>87</v>
      </c>
    </row>
    <row r="14" spans="1:36" s="409" customFormat="1">
      <c r="A14" s="299" t="b">
        <v>0</v>
      </c>
      <c r="B14" s="299" t="s">
        <v>2266</v>
      </c>
      <c r="C14" s="299" t="b">
        <f t="shared" si="0"/>
        <v>0</v>
      </c>
      <c r="D14" s="428" t="str">
        <f>IF(C14=FALSE=NAMES!$B$8,"",IF(F14="N/A","N/A",X14&amp;W14&amp;F14&amp;"-"&amp;G14&amp;H14))</f>
        <v>2016EURAIG Luxembourg-Healthcare PlanPrestige S</v>
      </c>
      <c r="E14" s="429" t="str">
        <f t="shared" si="5"/>
        <v>2016EURAIG Luxembourg-Healthcare PlanPrestige S</v>
      </c>
      <c r="F14" s="390" t="s">
        <v>4</v>
      </c>
      <c r="G14" s="389" t="s">
        <v>3</v>
      </c>
      <c r="H14" s="390" t="s">
        <v>2074</v>
      </c>
      <c r="I14" s="390" t="s">
        <v>2225</v>
      </c>
      <c r="J14" s="432"/>
      <c r="K14" s="432"/>
      <c r="L14" s="421">
        <v>365</v>
      </c>
      <c r="M14" s="421"/>
      <c r="N14" s="411">
        <v>0.25</v>
      </c>
      <c r="O14" s="431">
        <f t="shared" si="2"/>
        <v>1161.3461538461538</v>
      </c>
      <c r="P14" s="411">
        <v>0</v>
      </c>
      <c r="Q14" s="412">
        <v>0</v>
      </c>
      <c r="R14" s="1359">
        <f t="shared" si="4"/>
        <v>1161.3461538461538</v>
      </c>
      <c r="S14" s="411">
        <v>0.04</v>
      </c>
      <c r="T14" s="393">
        <f t="shared" si="3"/>
        <v>46.45384615384615</v>
      </c>
      <c r="U14" s="412">
        <v>1207.8</v>
      </c>
      <c r="V14" s="412"/>
      <c r="W14" s="432" t="s">
        <v>33</v>
      </c>
      <c r="X14" s="410">
        <v>2016</v>
      </c>
      <c r="Y14" s="410" t="s">
        <v>26</v>
      </c>
      <c r="Z14" s="410" t="s">
        <v>1</v>
      </c>
      <c r="AA14" s="412">
        <v>13.2</v>
      </c>
      <c r="AB14" s="413"/>
      <c r="AC14" s="421"/>
      <c r="AD14" s="421"/>
      <c r="AE14" s="421"/>
      <c r="AF14" s="421"/>
      <c r="AG14" s="421"/>
      <c r="AH14" s="421"/>
      <c r="AI14" s="421"/>
      <c r="AJ14" s="418"/>
    </row>
    <row r="15" spans="1:36" s="409" customFormat="1">
      <c r="A15" s="299" t="b">
        <v>0</v>
      </c>
      <c r="B15" s="299" t="s">
        <v>2266</v>
      </c>
      <c r="C15" s="299" t="b">
        <f t="shared" si="0"/>
        <v>0</v>
      </c>
      <c r="D15" s="428" t="str">
        <f>IF(C15=FALSE=NAMES!$B$8,"",IF(F15="N/A","N/A",X15&amp;W15&amp;F15&amp;"-"&amp;G15&amp;H15))</f>
        <v>2016EURAIG Luxembourg-Healthcare PlanPrivilegeFamily</v>
      </c>
      <c r="E15" s="429" t="str">
        <f t="shared" si="5"/>
        <v>2016EURAIG Luxembourg-Healthcare PlanPrivilegeFamily</v>
      </c>
      <c r="F15" s="432" t="s">
        <v>4</v>
      </c>
      <c r="G15" s="718" t="s">
        <v>3</v>
      </c>
      <c r="H15" s="432" t="s">
        <v>2245</v>
      </c>
      <c r="I15" s="432" t="s">
        <v>2226</v>
      </c>
      <c r="J15" s="432"/>
      <c r="K15" s="432"/>
      <c r="L15" s="421">
        <v>365</v>
      </c>
      <c r="M15" s="421"/>
      <c r="N15" s="411">
        <v>0.25</v>
      </c>
      <c r="O15" s="431">
        <f t="shared" si="2"/>
        <v>4889.8999999999996</v>
      </c>
      <c r="P15" s="411">
        <v>0</v>
      </c>
      <c r="Q15" s="412">
        <v>977.98</v>
      </c>
      <c r="R15" s="1359">
        <f t="shared" si="4"/>
        <v>5867.8799999999992</v>
      </c>
      <c r="S15" s="411">
        <v>0.04</v>
      </c>
      <c r="T15" s="393">
        <f t="shared" si="3"/>
        <v>195.596</v>
      </c>
      <c r="U15" s="396">
        <v>5085.4960000000001</v>
      </c>
      <c r="V15" s="396"/>
      <c r="W15" s="432" t="s">
        <v>33</v>
      </c>
      <c r="X15" s="410">
        <v>2016</v>
      </c>
      <c r="Y15" s="410" t="s">
        <v>26</v>
      </c>
      <c r="Z15" s="410" t="s">
        <v>1</v>
      </c>
      <c r="AA15" s="412">
        <v>293.52</v>
      </c>
      <c r="AB15" s="413"/>
      <c r="AC15" s="421" t="s">
        <v>2150</v>
      </c>
      <c r="AD15" s="421"/>
      <c r="AE15" s="421"/>
      <c r="AF15" s="421"/>
      <c r="AG15" s="421"/>
      <c r="AH15" s="421"/>
      <c r="AI15" s="421"/>
      <c r="AJ15" s="418"/>
    </row>
    <row r="16" spans="1:36" s="409" customFormat="1">
      <c r="A16" s="299" t="b">
        <v>0</v>
      </c>
      <c r="B16" s="299" t="s">
        <v>2266</v>
      </c>
      <c r="C16" s="299" t="b">
        <f t="shared" si="0"/>
        <v>0</v>
      </c>
      <c r="D16" s="428" t="str">
        <f>IF(C16=FALSE=NAMES!$B$8,"",IF(F16="N/A","N/A",X16&amp;W16&amp;F16&amp;"-"&amp;G16&amp;H16))</f>
        <v>2016EURAIG Luxembourg-Healthcare PlanPrivilegeSingle</v>
      </c>
      <c r="E16" s="429" t="str">
        <f t="shared" si="5"/>
        <v>2016EURAIG Luxembourg-Healthcare PlanPrivilegeSingle</v>
      </c>
      <c r="F16" s="432" t="s">
        <v>4</v>
      </c>
      <c r="G16" s="718" t="s">
        <v>3</v>
      </c>
      <c r="H16" s="432" t="s">
        <v>2244</v>
      </c>
      <c r="I16" s="432" t="s">
        <v>2225</v>
      </c>
      <c r="J16" s="432"/>
      <c r="K16" s="432"/>
      <c r="L16" s="421">
        <v>365</v>
      </c>
      <c r="M16" s="421"/>
      <c r="N16" s="411">
        <v>0.25</v>
      </c>
      <c r="O16" s="431">
        <f t="shared" si="2"/>
        <v>1879.81</v>
      </c>
      <c r="P16" s="411">
        <v>0</v>
      </c>
      <c r="Q16" s="412">
        <v>375.96</v>
      </c>
      <c r="R16" s="1359">
        <f t="shared" si="4"/>
        <v>2255.77</v>
      </c>
      <c r="S16" s="411">
        <v>0.04</v>
      </c>
      <c r="T16" s="393">
        <f t="shared" si="3"/>
        <v>75.192400000000006</v>
      </c>
      <c r="U16" s="396">
        <v>1955.0024000000001</v>
      </c>
      <c r="V16" s="396"/>
      <c r="W16" s="432" t="s">
        <v>33</v>
      </c>
      <c r="X16" s="410">
        <v>2016</v>
      </c>
      <c r="Y16" s="410" t="s">
        <v>26</v>
      </c>
      <c r="Z16" s="410" t="s">
        <v>1</v>
      </c>
      <c r="AA16" s="412">
        <v>112.04</v>
      </c>
      <c r="AB16" s="413"/>
      <c r="AC16" s="421" t="s">
        <v>2150</v>
      </c>
      <c r="AD16" s="421" t="s">
        <v>2179</v>
      </c>
      <c r="AE16" s="421" t="s">
        <v>2179</v>
      </c>
      <c r="AF16" s="421" t="s">
        <v>2180</v>
      </c>
      <c r="AG16" s="421" t="s">
        <v>2180</v>
      </c>
      <c r="AH16" s="421" t="s">
        <v>2180</v>
      </c>
      <c r="AI16" s="421" t="s">
        <v>2180</v>
      </c>
      <c r="AJ16" s="418" t="s">
        <v>87</v>
      </c>
    </row>
    <row r="17" spans="1:36" s="714" customFormat="1">
      <c r="A17" s="299" t="b">
        <v>0</v>
      </c>
      <c r="B17" s="299" t="s">
        <v>2266</v>
      </c>
      <c r="C17" s="299" t="b">
        <f t="shared" si="0"/>
        <v>0</v>
      </c>
      <c r="D17" s="428" t="str">
        <f>IF(C17=FALSE=NAMES!$B$8,"",IF(F17="N/A","N/A",X17&amp;W17&amp;F17&amp;"-"&amp;G17&amp;H17))</f>
        <v>2016EURAIG Luxembourg-Healthcare PlanVitale-12months</v>
      </c>
      <c r="E17" s="429" t="str">
        <f t="shared" si="5"/>
        <v>2016EURAIG Luxembourg-Healthcare PlanVitale-12months</v>
      </c>
      <c r="F17" s="432" t="s">
        <v>4</v>
      </c>
      <c r="G17" s="718" t="s">
        <v>3</v>
      </c>
      <c r="H17" s="432" t="s">
        <v>2599</v>
      </c>
      <c r="I17" s="432" t="s">
        <v>2225</v>
      </c>
      <c r="J17" s="432"/>
      <c r="K17" s="432"/>
      <c r="L17" s="718">
        <v>365</v>
      </c>
      <c r="M17" s="718"/>
      <c r="N17" s="411">
        <v>0.25</v>
      </c>
      <c r="O17" s="431">
        <f t="shared" si="2"/>
        <v>152.4</v>
      </c>
      <c r="P17" s="411">
        <v>0</v>
      </c>
      <c r="Q17" s="412">
        <v>0</v>
      </c>
      <c r="R17" s="1359">
        <f t="shared" si="4"/>
        <v>152.4</v>
      </c>
      <c r="S17" s="411">
        <v>0.04</v>
      </c>
      <c r="T17" s="393">
        <f t="shared" si="3"/>
        <v>6.0960000000000001</v>
      </c>
      <c r="U17" s="396">
        <v>158.49600000000001</v>
      </c>
      <c r="V17" s="396"/>
      <c r="W17" s="432" t="s">
        <v>33</v>
      </c>
      <c r="X17" s="410">
        <v>2016</v>
      </c>
      <c r="Y17" s="410" t="s">
        <v>26</v>
      </c>
      <c r="Z17" s="410" t="s">
        <v>1</v>
      </c>
      <c r="AA17" s="412">
        <v>15</v>
      </c>
      <c r="AB17" s="413"/>
      <c r="AC17" s="718"/>
      <c r="AD17" s="718"/>
      <c r="AE17" s="718"/>
      <c r="AF17" s="718"/>
      <c r="AG17" s="718"/>
      <c r="AH17" s="718"/>
      <c r="AI17" s="718"/>
      <c r="AJ17" s="418"/>
    </row>
    <row r="18" spans="1:36" s="714" customFormat="1">
      <c r="A18" s="299" t="b">
        <v>0</v>
      </c>
      <c r="B18" s="299" t="s">
        <v>2266</v>
      </c>
      <c r="C18" s="299" t="b">
        <f t="shared" si="0"/>
        <v>0</v>
      </c>
      <c r="D18" s="428" t="str">
        <f>IF(C18=FALSE=NAMES!$B$8,"",IF(F18="N/A","N/A",X18&amp;W18&amp;F18&amp;"-"&amp;G18&amp;H18))</f>
        <v>2016EURAIG Luxembourg-Healthcare PlanVitale-6months</v>
      </c>
      <c r="E18" s="429" t="str">
        <f t="shared" si="5"/>
        <v>2016EURAIG Luxembourg-Healthcare PlanVitale-6months</v>
      </c>
      <c r="F18" s="432" t="s">
        <v>4</v>
      </c>
      <c r="G18" s="718" t="s">
        <v>3</v>
      </c>
      <c r="H18" s="432" t="s">
        <v>2600</v>
      </c>
      <c r="I18" s="432" t="s">
        <v>2225</v>
      </c>
      <c r="J18" s="432"/>
      <c r="K18" s="432"/>
      <c r="L18" s="718">
        <v>180</v>
      </c>
      <c r="M18" s="718"/>
      <c r="N18" s="411">
        <v>0.25</v>
      </c>
      <c r="O18" s="431">
        <f t="shared" si="2"/>
        <v>100.24</v>
      </c>
      <c r="P18" s="411">
        <v>0</v>
      </c>
      <c r="Q18" s="412">
        <v>0</v>
      </c>
      <c r="R18" s="1359">
        <f t="shared" si="4"/>
        <v>100.24</v>
      </c>
      <c r="S18" s="411">
        <v>0.04</v>
      </c>
      <c r="T18" s="393">
        <f t="shared" si="3"/>
        <v>4.0095999999999998</v>
      </c>
      <c r="U18" s="396">
        <v>104.2496</v>
      </c>
      <c r="V18" s="396"/>
      <c r="W18" s="432" t="s">
        <v>33</v>
      </c>
      <c r="X18" s="410">
        <v>2016</v>
      </c>
      <c r="Y18" s="410" t="s">
        <v>26</v>
      </c>
      <c r="Z18" s="410" t="s">
        <v>1</v>
      </c>
      <c r="AA18" s="412">
        <v>15</v>
      </c>
      <c r="AB18" s="413"/>
      <c r="AC18" s="718"/>
      <c r="AD18" s="718"/>
      <c r="AE18" s="718"/>
      <c r="AF18" s="718"/>
      <c r="AG18" s="718"/>
      <c r="AH18" s="718"/>
      <c r="AI18" s="718"/>
      <c r="AJ18" s="418"/>
    </row>
    <row r="19" spans="1:36" s="815" customFormat="1">
      <c r="A19" s="299" t="b">
        <v>0</v>
      </c>
      <c r="B19" s="299" t="s">
        <v>2266</v>
      </c>
      <c r="C19" s="299" t="b">
        <f t="shared" si="0"/>
        <v>0</v>
      </c>
      <c r="D19" s="428" t="str">
        <f>IF(C19=FALSE=NAMES!$B$8,"",IF(F19="N/A","N/A",X19&amp;W19&amp;F19&amp;"-"&amp;G19&amp;H19))</f>
        <v>2016EURAIG Luxembourg-Healthcare PlanStandard</v>
      </c>
      <c r="E19" s="429" t="str">
        <f t="shared" si="5"/>
        <v>2016EURAIG Luxembourg-Healthcare PlanStandard</v>
      </c>
      <c r="F19" s="432" t="s">
        <v>4</v>
      </c>
      <c r="G19" s="718" t="s">
        <v>3</v>
      </c>
      <c r="H19" s="432" t="s">
        <v>2637</v>
      </c>
      <c r="I19" s="432" t="s">
        <v>2225</v>
      </c>
      <c r="J19" s="432"/>
      <c r="K19" s="432"/>
      <c r="L19" s="718">
        <v>365</v>
      </c>
      <c r="M19" s="718"/>
      <c r="N19" s="411">
        <v>0.25</v>
      </c>
      <c r="O19" s="431">
        <f t="shared" si="2"/>
        <v>569.03846153846143</v>
      </c>
      <c r="P19" s="411">
        <v>0</v>
      </c>
      <c r="Q19" s="412">
        <v>0</v>
      </c>
      <c r="R19" s="1359">
        <f t="shared" si="4"/>
        <v>569.03846153846143</v>
      </c>
      <c r="S19" s="411">
        <v>0.04</v>
      </c>
      <c r="T19" s="393">
        <f t="shared" si="3"/>
        <v>22.761538461538457</v>
      </c>
      <c r="U19" s="412">
        <v>591.79999999999995</v>
      </c>
      <c r="V19" s="412"/>
      <c r="W19" s="432" t="s">
        <v>33</v>
      </c>
      <c r="X19" s="410">
        <v>2016</v>
      </c>
      <c r="Y19" s="410" t="s">
        <v>26</v>
      </c>
      <c r="Z19" s="410" t="s">
        <v>1</v>
      </c>
      <c r="AA19" s="412">
        <v>63.2</v>
      </c>
      <c r="AB19" s="413"/>
      <c r="AC19" s="718"/>
      <c r="AD19" s="718"/>
      <c r="AE19" s="718"/>
      <c r="AF19" s="718"/>
      <c r="AG19" s="718"/>
      <c r="AH19" s="718"/>
      <c r="AI19" s="718"/>
      <c r="AJ19" s="418"/>
    </row>
    <row r="20" spans="1:36" s="815" customFormat="1">
      <c r="A20" s="299" t="b">
        <v>0</v>
      </c>
      <c r="B20" s="299" t="s">
        <v>2266</v>
      </c>
      <c r="C20" s="299" t="b">
        <f t="shared" si="0"/>
        <v>0</v>
      </c>
      <c r="D20" s="428" t="str">
        <f>IF(C20=FALSE=NAMES!$B$8,"",IF(F20="N/A","N/A",X20&amp;W20&amp;F20&amp;"-"&amp;G20&amp;H20))</f>
        <v>2016EURAIG Luxembourg-Healthcare PlanStandardMLC</v>
      </c>
      <c r="E20" s="429" t="str">
        <f t="shared" si="5"/>
        <v>2016EURAIG Luxembourg-Healthcare PlanStandardMLC</v>
      </c>
      <c r="F20" s="432" t="s">
        <v>4</v>
      </c>
      <c r="G20" s="718" t="s">
        <v>3</v>
      </c>
      <c r="H20" s="432" t="s">
        <v>2638</v>
      </c>
      <c r="I20" s="432" t="s">
        <v>2225</v>
      </c>
      <c r="J20" s="432"/>
      <c r="K20" s="432"/>
      <c r="L20" s="718">
        <v>365</v>
      </c>
      <c r="M20" s="718"/>
      <c r="N20" s="411">
        <v>0.25</v>
      </c>
      <c r="O20" s="431">
        <f t="shared" si="2"/>
        <v>569.03846153846143</v>
      </c>
      <c r="P20" s="411">
        <v>0</v>
      </c>
      <c r="Q20" s="412">
        <v>0</v>
      </c>
      <c r="R20" s="1359">
        <f t="shared" si="4"/>
        <v>569.03846153846143</v>
      </c>
      <c r="S20" s="411">
        <v>0.04</v>
      </c>
      <c r="T20" s="393">
        <f t="shared" si="3"/>
        <v>22.761538461538457</v>
      </c>
      <c r="U20" s="412">
        <v>591.79999999999995</v>
      </c>
      <c r="V20" s="412"/>
      <c r="W20" s="432" t="s">
        <v>33</v>
      </c>
      <c r="X20" s="410">
        <v>2016</v>
      </c>
      <c r="Y20" s="410" t="s">
        <v>26</v>
      </c>
      <c r="Z20" s="410" t="s">
        <v>1</v>
      </c>
      <c r="AA20" s="412">
        <v>63.2</v>
      </c>
      <c r="AB20" s="413"/>
      <c r="AC20" s="718"/>
      <c r="AD20" s="718"/>
      <c r="AE20" s="718"/>
      <c r="AF20" s="718"/>
      <c r="AG20" s="718"/>
      <c r="AH20" s="718"/>
      <c r="AI20" s="718"/>
      <c r="AJ20" s="418"/>
    </row>
    <row r="21" spans="1:36" s="815" customFormat="1">
      <c r="A21" s="299" t="b">
        <v>0</v>
      </c>
      <c r="B21" s="299" t="s">
        <v>2266</v>
      </c>
      <c r="C21" s="299" t="b">
        <f t="shared" si="0"/>
        <v>0</v>
      </c>
      <c r="D21" s="428" t="str">
        <f>IF(C21=FALSE=NAMES!$B$8,"",IF(F21="N/A","N/A",X21&amp;W21&amp;F21&amp;"-"&amp;G21&amp;H21))</f>
        <v>2016EURAIG Luxembourg-Healthcare PlanPerfect</v>
      </c>
      <c r="E21" s="429" t="str">
        <f t="shared" si="5"/>
        <v>2016EURAIG Luxembourg-Healthcare PlanPerfect</v>
      </c>
      <c r="F21" s="432" t="s">
        <v>4</v>
      </c>
      <c r="G21" s="718" t="s">
        <v>3</v>
      </c>
      <c r="H21" s="432" t="s">
        <v>2639</v>
      </c>
      <c r="I21" s="432" t="s">
        <v>2225</v>
      </c>
      <c r="J21" s="432"/>
      <c r="K21" s="432"/>
      <c r="L21" s="718">
        <v>365</v>
      </c>
      <c r="M21" s="718"/>
      <c r="N21" s="411">
        <v>0.25</v>
      </c>
      <c r="O21" s="431">
        <f t="shared" si="2"/>
        <v>1165.3846153846152</v>
      </c>
      <c r="P21" s="411">
        <v>0</v>
      </c>
      <c r="Q21" s="412">
        <v>0</v>
      </c>
      <c r="R21" s="1359">
        <f t="shared" si="4"/>
        <v>1165.3846153846152</v>
      </c>
      <c r="S21" s="411">
        <v>0.04</v>
      </c>
      <c r="T21" s="393">
        <f t="shared" si="3"/>
        <v>46.615384615384613</v>
      </c>
      <c r="U21" s="412">
        <v>1212</v>
      </c>
      <c r="V21" s="412"/>
      <c r="W21" s="432" t="s">
        <v>33</v>
      </c>
      <c r="X21" s="410">
        <v>2016</v>
      </c>
      <c r="Y21" s="410" t="s">
        <v>26</v>
      </c>
      <c r="Z21" s="410" t="s">
        <v>1</v>
      </c>
      <c r="AA21" s="412">
        <v>36.200000000000003</v>
      </c>
      <c r="AB21" s="413"/>
      <c r="AC21" s="718"/>
      <c r="AD21" s="718"/>
      <c r="AE21" s="718"/>
      <c r="AF21" s="718"/>
      <c r="AG21" s="718"/>
      <c r="AH21" s="718"/>
      <c r="AI21" s="718"/>
      <c r="AJ21" s="418"/>
    </row>
    <row r="22" spans="1:36" s="815" customFormat="1">
      <c r="A22" s="299" t="b">
        <v>0</v>
      </c>
      <c r="B22" s="299" t="s">
        <v>2266</v>
      </c>
      <c r="C22" s="299" t="b">
        <f t="shared" si="0"/>
        <v>0</v>
      </c>
      <c r="D22" s="428" t="str">
        <f>IF(C22=FALSE=NAMES!$B$8,"",IF(F22="N/A","N/A",X22&amp;W22&amp;F22&amp;"-"&amp;G22&amp;H22))</f>
        <v>2016EURAIG Luxembourg-Healthcare PlanStandard S</v>
      </c>
      <c r="E22" s="429" t="str">
        <f t="shared" si="5"/>
        <v>2016EURAIG Luxembourg-Healthcare PlanStandard S</v>
      </c>
      <c r="F22" s="432" t="s">
        <v>4</v>
      </c>
      <c r="G22" s="718" t="s">
        <v>3</v>
      </c>
      <c r="H22" s="432" t="s">
        <v>2640</v>
      </c>
      <c r="I22" s="432" t="s">
        <v>2225</v>
      </c>
      <c r="J22" s="432"/>
      <c r="K22" s="432"/>
      <c r="L22" s="718">
        <v>365</v>
      </c>
      <c r="M22" s="718"/>
      <c r="N22" s="411">
        <v>0.25</v>
      </c>
      <c r="O22" s="431">
        <f t="shared" si="2"/>
        <v>569.03846153846143</v>
      </c>
      <c r="P22" s="411">
        <v>0</v>
      </c>
      <c r="Q22" s="412">
        <v>0</v>
      </c>
      <c r="R22" s="1359">
        <f t="shared" si="4"/>
        <v>569.03846153846143</v>
      </c>
      <c r="S22" s="411">
        <v>0.04</v>
      </c>
      <c r="T22" s="393">
        <f t="shared" si="3"/>
        <v>22.761538461538457</v>
      </c>
      <c r="U22" s="412">
        <v>591.79999999999995</v>
      </c>
      <c r="V22" s="412"/>
      <c r="W22" s="432" t="s">
        <v>33</v>
      </c>
      <c r="X22" s="410">
        <v>2016</v>
      </c>
      <c r="Y22" s="410" t="s">
        <v>26</v>
      </c>
      <c r="Z22" s="410" t="s">
        <v>1</v>
      </c>
      <c r="AA22" s="412">
        <v>15.2</v>
      </c>
      <c r="AB22" s="413"/>
      <c r="AC22" s="718"/>
      <c r="AD22" s="718"/>
      <c r="AE22" s="718"/>
      <c r="AF22" s="718"/>
      <c r="AG22" s="718"/>
      <c r="AH22" s="718"/>
      <c r="AI22" s="718"/>
      <c r="AJ22" s="418"/>
    </row>
    <row r="23" spans="1:36" s="815" customFormat="1">
      <c r="A23" s="299" t="b">
        <v>0</v>
      </c>
      <c r="B23" s="299" t="s">
        <v>2266</v>
      </c>
      <c r="C23" s="299" t="b">
        <f t="shared" si="0"/>
        <v>0</v>
      </c>
      <c r="D23" s="428" t="str">
        <f>IF(C23=FALSE=NAMES!$B$8,"",IF(F23="N/A","N/A",X23&amp;W23&amp;F23&amp;"-"&amp;G23&amp;H23))</f>
        <v>2016EURAIG Luxembourg-Healthcare PlanStandardMLC S</v>
      </c>
      <c r="E23" s="429" t="str">
        <f t="shared" si="5"/>
        <v>2016EURAIG Luxembourg-Healthcare PlanStandardMLC S</v>
      </c>
      <c r="F23" s="432" t="s">
        <v>4</v>
      </c>
      <c r="G23" s="718" t="s">
        <v>3</v>
      </c>
      <c r="H23" s="432" t="s">
        <v>2641</v>
      </c>
      <c r="I23" s="432" t="s">
        <v>2225</v>
      </c>
      <c r="J23" s="432"/>
      <c r="K23" s="432"/>
      <c r="L23" s="718">
        <v>365</v>
      </c>
      <c r="M23" s="718"/>
      <c r="N23" s="411">
        <v>0.25</v>
      </c>
      <c r="O23" s="431">
        <f t="shared" si="2"/>
        <v>569.03846153846143</v>
      </c>
      <c r="P23" s="411">
        <v>0</v>
      </c>
      <c r="Q23" s="412">
        <v>0</v>
      </c>
      <c r="R23" s="1359">
        <f t="shared" si="4"/>
        <v>569.03846153846143</v>
      </c>
      <c r="S23" s="411">
        <v>0.04</v>
      </c>
      <c r="T23" s="393">
        <f t="shared" si="3"/>
        <v>22.761538461538457</v>
      </c>
      <c r="U23" s="412">
        <v>591.79999999999995</v>
      </c>
      <c r="V23" s="412"/>
      <c r="W23" s="432" t="s">
        <v>33</v>
      </c>
      <c r="X23" s="410">
        <v>2016</v>
      </c>
      <c r="Y23" s="410" t="s">
        <v>26</v>
      </c>
      <c r="Z23" s="410" t="s">
        <v>1</v>
      </c>
      <c r="AA23" s="412">
        <v>15.2</v>
      </c>
      <c r="AB23" s="413"/>
      <c r="AC23" s="718"/>
      <c r="AD23" s="718"/>
      <c r="AE23" s="718"/>
      <c r="AF23" s="718"/>
      <c r="AG23" s="718"/>
      <c r="AH23" s="718"/>
      <c r="AI23" s="718"/>
      <c r="AJ23" s="418"/>
    </row>
    <row r="24" spans="1:36" s="815" customFormat="1">
      <c r="A24" s="299" t="b">
        <v>0</v>
      </c>
      <c r="B24" s="299" t="s">
        <v>2266</v>
      </c>
      <c r="C24" s="299" t="b">
        <f t="shared" si="0"/>
        <v>0</v>
      </c>
      <c r="D24" s="428" t="str">
        <f>IF(C24=FALSE=NAMES!$B$8,"",IF(F24="N/A","N/A",X24&amp;W24&amp;F24&amp;"-"&amp;G24&amp;H24))</f>
        <v>2016EURAIG Luxembourg-Healthcare PlanPerfect S</v>
      </c>
      <c r="E24" s="429" t="str">
        <f t="shared" si="5"/>
        <v>2016EURAIG Luxembourg-Healthcare PlanPerfect S</v>
      </c>
      <c r="F24" s="432" t="s">
        <v>4</v>
      </c>
      <c r="G24" s="718" t="s">
        <v>3</v>
      </c>
      <c r="H24" s="432" t="s">
        <v>2642</v>
      </c>
      <c r="I24" s="432" t="s">
        <v>2225</v>
      </c>
      <c r="J24" s="432"/>
      <c r="K24" s="432"/>
      <c r="L24" s="718">
        <v>365</v>
      </c>
      <c r="M24" s="718"/>
      <c r="N24" s="411">
        <v>0.25</v>
      </c>
      <c r="O24" s="431">
        <f t="shared" si="2"/>
        <v>1165.3846153846152</v>
      </c>
      <c r="P24" s="411">
        <v>0</v>
      </c>
      <c r="Q24" s="412">
        <v>0</v>
      </c>
      <c r="R24" s="1359">
        <f t="shared" si="4"/>
        <v>1165.3846153846152</v>
      </c>
      <c r="S24" s="411">
        <v>0.04</v>
      </c>
      <c r="T24" s="393">
        <f t="shared" si="3"/>
        <v>46.615384615384613</v>
      </c>
      <c r="U24" s="412">
        <v>1212</v>
      </c>
      <c r="V24" s="412"/>
      <c r="W24" s="432" t="s">
        <v>33</v>
      </c>
      <c r="X24" s="410">
        <v>2016</v>
      </c>
      <c r="Y24" s="410" t="s">
        <v>26</v>
      </c>
      <c r="Z24" s="410" t="s">
        <v>1</v>
      </c>
      <c r="AA24" s="412">
        <v>13.2</v>
      </c>
      <c r="AB24" s="413"/>
      <c r="AC24" s="718"/>
      <c r="AD24" s="718"/>
      <c r="AE24" s="718"/>
      <c r="AF24" s="718"/>
      <c r="AG24" s="718"/>
      <c r="AH24" s="718"/>
      <c r="AI24" s="718"/>
      <c r="AJ24" s="418"/>
    </row>
    <row r="25" spans="1:36" s="815" customFormat="1">
      <c r="A25" s="299" t="b">
        <v>0</v>
      </c>
      <c r="B25" s="299" t="s">
        <v>2266</v>
      </c>
      <c r="C25" s="299" t="b">
        <f t="shared" ref="C25" si="6">IF(B25="N/A","",IF(B25="newRates",FALSE,TRUE))</f>
        <v>0</v>
      </c>
      <c r="D25" s="428" t="str">
        <f>IF(C25=FALSE=NAMES!$B$8,"",IF(F25="N/A","N/A",X25&amp;W25&amp;F25&amp;"-"&amp;G25&amp;H25))</f>
        <v>2016EURAIG Luxembourg-Healthcare PlanPerfect Plus</v>
      </c>
      <c r="E25" s="429" t="str">
        <f t="shared" si="5"/>
        <v>2016EURAIG Luxembourg-Healthcare PlanPerfect Plus</v>
      </c>
      <c r="F25" s="432" t="s">
        <v>4</v>
      </c>
      <c r="G25" s="718" t="s">
        <v>3</v>
      </c>
      <c r="H25" s="432" t="s">
        <v>2643</v>
      </c>
      <c r="I25" s="432" t="s">
        <v>2225</v>
      </c>
      <c r="J25" s="432"/>
      <c r="K25" s="432"/>
      <c r="L25" s="718">
        <v>365</v>
      </c>
      <c r="M25" s="718"/>
      <c r="N25" s="411">
        <v>0.25</v>
      </c>
      <c r="O25" s="431">
        <f t="shared" si="2"/>
        <v>1165.3846153846152</v>
      </c>
      <c r="P25" s="411">
        <v>0</v>
      </c>
      <c r="Q25" s="412">
        <v>0</v>
      </c>
      <c r="R25" s="1359">
        <f t="shared" si="4"/>
        <v>1165.3846153846152</v>
      </c>
      <c r="S25" s="411">
        <v>0.04</v>
      </c>
      <c r="T25" s="393">
        <f t="shared" si="3"/>
        <v>46.615384615384613</v>
      </c>
      <c r="U25" s="412">
        <v>1212</v>
      </c>
      <c r="V25" s="412"/>
      <c r="W25" s="432" t="s">
        <v>33</v>
      </c>
      <c r="X25" s="410">
        <v>2016</v>
      </c>
      <c r="Y25" s="410" t="s">
        <v>26</v>
      </c>
      <c r="Z25" s="410" t="s">
        <v>1</v>
      </c>
      <c r="AA25" s="412">
        <v>36.200000000000003</v>
      </c>
      <c r="AB25" s="413"/>
      <c r="AC25" s="718" t="s">
        <v>2150</v>
      </c>
      <c r="AD25" s="718" t="s">
        <v>2179</v>
      </c>
      <c r="AE25" s="718" t="s">
        <v>2179</v>
      </c>
      <c r="AF25" s="718" t="s">
        <v>2180</v>
      </c>
      <c r="AG25" s="718" t="s">
        <v>2180</v>
      </c>
      <c r="AH25" s="718" t="s">
        <v>2180</v>
      </c>
      <c r="AI25" s="718" t="s">
        <v>2180</v>
      </c>
      <c r="AJ25" s="418" t="s">
        <v>87</v>
      </c>
    </row>
    <row r="26" spans="1:36" s="409" customFormat="1">
      <c r="A26" s="299" t="b">
        <v>0</v>
      </c>
      <c r="B26" s="299" t="s">
        <v>2266</v>
      </c>
      <c r="C26" s="299" t="b">
        <f t="shared" si="0"/>
        <v>0</v>
      </c>
      <c r="D26" s="428" t="str">
        <f>IF(C26=FALSE=NAMES!$B$8,"",IF(F26="N/A","N/A",X26&amp;W26&amp;F26&amp;"-"&amp;G26&amp;H26))</f>
        <v>N/A</v>
      </c>
      <c r="E26" s="429" t="str">
        <f t="shared" si="5"/>
        <v>N/A</v>
      </c>
      <c r="F26" s="429" t="s">
        <v>2236</v>
      </c>
      <c r="G26" s="429" t="s">
        <v>2236</v>
      </c>
      <c r="H26" s="432"/>
      <c r="I26" s="432"/>
      <c r="J26" s="432"/>
      <c r="K26" s="432"/>
      <c r="L26" s="421"/>
      <c r="M26" s="421"/>
      <c r="N26" s="411"/>
      <c r="O26" s="431" t="str">
        <f t="shared" si="2"/>
        <v/>
      </c>
      <c r="P26" s="411" t="s">
        <v>2243</v>
      </c>
      <c r="Q26" s="412"/>
      <c r="R26" s="1359" t="str">
        <f t="shared" si="4"/>
        <v/>
      </c>
      <c r="S26" s="411"/>
      <c r="T26" s="393" t="str">
        <f t="shared" si="3"/>
        <v/>
      </c>
      <c r="U26" s="412"/>
      <c r="V26" s="412"/>
      <c r="W26" s="432"/>
      <c r="X26" s="410"/>
      <c r="Y26" s="410"/>
      <c r="Z26" s="410"/>
      <c r="AA26" s="412"/>
      <c r="AB26" s="413"/>
      <c r="AC26" s="421"/>
      <c r="AD26" s="421"/>
      <c r="AE26" s="421"/>
      <c r="AF26" s="421"/>
      <c r="AG26" s="421"/>
      <c r="AH26" s="421"/>
      <c r="AI26" s="421"/>
      <c r="AJ26" s="418"/>
    </row>
    <row r="27" spans="1:36">
      <c r="A27" s="299" t="b">
        <v>0</v>
      </c>
      <c r="B27" s="299" t="s">
        <v>2266</v>
      </c>
      <c r="C27" s="299" t="b">
        <f t="shared" si="0"/>
        <v>0</v>
      </c>
      <c r="D27" s="428" t="str">
        <f>IF(C27=FALSE=NAMES!$B$8,"",IF(F27="N/A","N/A",X27&amp;W27&amp;F27&amp;"-"&amp;G27&amp;H27))</f>
        <v>2016USDAIG Luxembourg-Healthcare PlanComfort</v>
      </c>
      <c r="E27" s="429" t="str">
        <f t="shared" si="5"/>
        <v>2016USDAIG Luxembourg-Healthcare PlanComfort</v>
      </c>
      <c r="F27" s="432" t="s">
        <v>4</v>
      </c>
      <c r="G27" s="718" t="s">
        <v>3</v>
      </c>
      <c r="H27" s="432" t="s">
        <v>2123</v>
      </c>
      <c r="I27" s="432" t="s">
        <v>2225</v>
      </c>
      <c r="J27" s="432"/>
      <c r="K27" s="432"/>
      <c r="L27" s="421">
        <v>365</v>
      </c>
      <c r="M27" s="421"/>
      <c r="N27" s="411">
        <v>0.25</v>
      </c>
      <c r="O27" s="431">
        <f t="shared" si="2"/>
        <v>569.03846153846143</v>
      </c>
      <c r="P27" s="411">
        <v>0</v>
      </c>
      <c r="Q27" s="412">
        <v>0</v>
      </c>
      <c r="R27" s="1359">
        <f t="shared" si="4"/>
        <v>569.03846153846143</v>
      </c>
      <c r="S27" s="411">
        <v>0.04</v>
      </c>
      <c r="T27" s="393">
        <f t="shared" si="3"/>
        <v>22.761538461538457</v>
      </c>
      <c r="U27" s="412">
        <v>591.79999999999995</v>
      </c>
      <c r="V27" s="412"/>
      <c r="W27" s="432" t="s">
        <v>89</v>
      </c>
      <c r="X27" s="410">
        <v>2016</v>
      </c>
      <c r="Y27" s="410" t="s">
        <v>26</v>
      </c>
      <c r="Z27" s="410" t="s">
        <v>1</v>
      </c>
      <c r="AA27" s="412">
        <v>63.2</v>
      </c>
      <c r="AB27" s="413"/>
      <c r="AC27" s="421" t="s">
        <v>2150</v>
      </c>
      <c r="AD27" s="421" t="s">
        <v>2179</v>
      </c>
      <c r="AE27" s="421" t="s">
        <v>2179</v>
      </c>
      <c r="AF27" s="421" t="s">
        <v>2180</v>
      </c>
      <c r="AG27" s="421" t="s">
        <v>2180</v>
      </c>
      <c r="AH27" s="421" t="s">
        <v>2180</v>
      </c>
      <c r="AI27" s="421" t="s">
        <v>2180</v>
      </c>
      <c r="AJ27" s="418" t="s">
        <v>87</v>
      </c>
    </row>
    <row r="28" spans="1:36">
      <c r="A28" s="299" t="b">
        <v>0</v>
      </c>
      <c r="B28" s="299" t="s">
        <v>2266</v>
      </c>
      <c r="C28" s="299" t="b">
        <f t="shared" si="0"/>
        <v>0</v>
      </c>
      <c r="D28" s="428" t="str">
        <f>IF(C28=FALSE=NAMES!$B$8,"",IF(F28="N/A","N/A",X28&amp;W28&amp;F28&amp;"-"&amp;G28&amp;H28))</f>
        <v>2016USDAIG Luxembourg-Healthcare PlanComfort MLC S</v>
      </c>
      <c r="E28" s="429" t="str">
        <f t="shared" si="5"/>
        <v>2016USDAIG Luxembourg-Healthcare PlanComfort MLC S</v>
      </c>
      <c r="F28" s="390" t="s">
        <v>4</v>
      </c>
      <c r="G28" s="389" t="s">
        <v>3</v>
      </c>
      <c r="H28" s="390" t="s">
        <v>2125</v>
      </c>
      <c r="I28" s="390" t="s">
        <v>2225</v>
      </c>
      <c r="J28" s="432"/>
      <c r="K28" s="432"/>
      <c r="L28" s="421">
        <v>365</v>
      </c>
      <c r="M28" s="421"/>
      <c r="N28" s="411">
        <v>0.25</v>
      </c>
      <c r="O28" s="431">
        <f t="shared" si="2"/>
        <v>569.03846153846143</v>
      </c>
      <c r="P28" s="411">
        <v>0</v>
      </c>
      <c r="Q28" s="412">
        <v>0</v>
      </c>
      <c r="R28" s="1359">
        <f t="shared" si="4"/>
        <v>569.03846153846143</v>
      </c>
      <c r="S28" s="411">
        <v>0.04</v>
      </c>
      <c r="T28" s="393">
        <f t="shared" si="3"/>
        <v>22.761538461538457</v>
      </c>
      <c r="U28" s="412">
        <v>591.79999999999995</v>
      </c>
      <c r="V28" s="412"/>
      <c r="W28" s="432" t="s">
        <v>89</v>
      </c>
      <c r="X28" s="410">
        <v>2016</v>
      </c>
      <c r="Y28" s="410" t="s">
        <v>26</v>
      </c>
      <c r="Z28" s="410" t="s">
        <v>1</v>
      </c>
      <c r="AA28" s="412">
        <v>15.2</v>
      </c>
      <c r="AB28" s="413"/>
      <c r="AC28" s="421"/>
      <c r="AD28" s="421"/>
      <c r="AE28" s="421"/>
      <c r="AF28" s="421"/>
      <c r="AG28" s="421"/>
      <c r="AH28" s="421"/>
      <c r="AI28" s="421"/>
      <c r="AJ28" s="418"/>
    </row>
    <row r="29" spans="1:36">
      <c r="A29" s="299" t="b">
        <v>0</v>
      </c>
      <c r="B29" s="299" t="s">
        <v>2266</v>
      </c>
      <c r="C29" s="299" t="b">
        <f t="shared" si="0"/>
        <v>0</v>
      </c>
      <c r="D29" s="428" t="str">
        <f>IF(C29=FALSE=NAMES!$B$8,"",IF(F29="N/A","N/A",X29&amp;W29&amp;F29&amp;"-"&amp;G29&amp;H29))</f>
        <v>2016USDAIG Luxembourg-Healthcare PlanComfort S</v>
      </c>
      <c r="E29" s="429" t="str">
        <f t="shared" si="5"/>
        <v>2016USDAIG Luxembourg-Healthcare PlanComfort S</v>
      </c>
      <c r="F29" s="390" t="s">
        <v>4</v>
      </c>
      <c r="G29" s="389" t="s">
        <v>3</v>
      </c>
      <c r="H29" s="390" t="s">
        <v>2124</v>
      </c>
      <c r="I29" s="390" t="s">
        <v>2225</v>
      </c>
      <c r="J29" s="432"/>
      <c r="K29" s="432"/>
      <c r="L29" s="421">
        <v>365</v>
      </c>
      <c r="M29" s="421"/>
      <c r="N29" s="411">
        <v>0.25</v>
      </c>
      <c r="O29" s="431">
        <f t="shared" si="2"/>
        <v>569.03846153846143</v>
      </c>
      <c r="P29" s="411">
        <v>0</v>
      </c>
      <c r="Q29" s="412">
        <v>0</v>
      </c>
      <c r="R29" s="1359">
        <f t="shared" si="4"/>
        <v>569.03846153846143</v>
      </c>
      <c r="S29" s="411">
        <v>0.04</v>
      </c>
      <c r="T29" s="393">
        <f t="shared" si="3"/>
        <v>22.761538461538457</v>
      </c>
      <c r="U29" s="412">
        <v>591.79999999999995</v>
      </c>
      <c r="V29" s="412"/>
      <c r="W29" s="432" t="s">
        <v>89</v>
      </c>
      <c r="X29" s="410">
        <v>2016</v>
      </c>
      <c r="Y29" s="410" t="s">
        <v>26</v>
      </c>
      <c r="Z29" s="410" t="s">
        <v>1</v>
      </c>
      <c r="AA29" s="412">
        <v>15.2</v>
      </c>
      <c r="AB29" s="413"/>
      <c r="AC29" s="421"/>
      <c r="AD29" s="421"/>
      <c r="AE29" s="421"/>
      <c r="AF29" s="421"/>
      <c r="AG29" s="421"/>
      <c r="AH29" s="421"/>
      <c r="AI29" s="421"/>
      <c r="AJ29" s="418"/>
    </row>
    <row r="30" spans="1:36">
      <c r="A30" s="299" t="b">
        <v>0</v>
      </c>
      <c r="B30" s="299" t="s">
        <v>2266</v>
      </c>
      <c r="C30" s="299" t="b">
        <f t="shared" si="0"/>
        <v>0</v>
      </c>
      <c r="D30" s="428" t="str">
        <f>IF(C30=FALSE=NAMES!$B$8,"",IF(F30="N/A","N/A",X30&amp;W30&amp;F30&amp;"-"&amp;G30&amp;H30))</f>
        <v>2016USDAIG Luxembourg-Healthcare PlanCOMFORTMLC</v>
      </c>
      <c r="E30" s="429" t="str">
        <f t="shared" si="5"/>
        <v>2016USDAIG Luxembourg-Healthcare PlanCOMFORTMLC</v>
      </c>
      <c r="F30" s="432" t="s">
        <v>4</v>
      </c>
      <c r="G30" s="718" t="s">
        <v>3</v>
      </c>
      <c r="H30" s="432" t="s">
        <v>2279</v>
      </c>
      <c r="I30" s="432" t="s">
        <v>2225</v>
      </c>
      <c r="J30" s="432"/>
      <c r="K30" s="432"/>
      <c r="L30" s="718">
        <v>365</v>
      </c>
      <c r="M30" s="718"/>
      <c r="N30" s="411">
        <v>0.25</v>
      </c>
      <c r="O30" s="431">
        <f t="shared" si="2"/>
        <v>569.03846153846143</v>
      </c>
      <c r="P30" s="411">
        <v>0</v>
      </c>
      <c r="Q30" s="412">
        <v>0</v>
      </c>
      <c r="R30" s="1359">
        <f t="shared" si="4"/>
        <v>569.03846153846143</v>
      </c>
      <c r="S30" s="411">
        <v>0.04</v>
      </c>
      <c r="T30" s="393">
        <f t="shared" si="3"/>
        <v>22.761538461538457</v>
      </c>
      <c r="U30" s="412">
        <v>591.79999999999995</v>
      </c>
      <c r="V30" s="412"/>
      <c r="W30" s="432" t="s">
        <v>89</v>
      </c>
      <c r="X30" s="410">
        <v>2016</v>
      </c>
      <c r="Y30" s="410" t="s">
        <v>26</v>
      </c>
      <c r="Z30" s="410" t="s">
        <v>1</v>
      </c>
      <c r="AA30" s="412">
        <v>63.2</v>
      </c>
      <c r="AB30" s="413"/>
      <c r="AC30" s="718" t="s">
        <v>2150</v>
      </c>
      <c r="AD30" s="718" t="s">
        <v>2179</v>
      </c>
      <c r="AE30" s="718" t="s">
        <v>2179</v>
      </c>
      <c r="AF30" s="718" t="s">
        <v>2180</v>
      </c>
      <c r="AG30" s="718" t="s">
        <v>2180</v>
      </c>
      <c r="AH30" s="718" t="s">
        <v>2180</v>
      </c>
      <c r="AI30" s="718" t="s">
        <v>2180</v>
      </c>
      <c r="AJ30" s="418" t="s">
        <v>87</v>
      </c>
    </row>
    <row r="31" spans="1:36" s="571" customFormat="1">
      <c r="A31" s="299" t="b">
        <v>0</v>
      </c>
      <c r="B31" s="299" t="s">
        <v>2266</v>
      </c>
      <c r="C31" s="299" t="b">
        <f t="shared" si="0"/>
        <v>0</v>
      </c>
      <c r="D31" s="428" t="str">
        <f>IF(C31=FALSE=NAMES!$B$8,"",IF(F31="N/A","N/A",X31&amp;W31&amp;F31&amp;"-"&amp;G31&amp;H31))</f>
        <v>2016USDAnker Verzekeringen n.v.-Healthcare PlanMedical Excellent and Homeland</v>
      </c>
      <c r="E31" s="429" t="str">
        <f t="shared" si="5"/>
        <v>2016USDAnker Verzekeringen n.v.-Healthcare PlanMedical Excellent and Homeland</v>
      </c>
      <c r="F31" s="432" t="s">
        <v>7</v>
      </c>
      <c r="G31" s="718" t="s">
        <v>3</v>
      </c>
      <c r="H31" s="432" t="s">
        <v>2128</v>
      </c>
      <c r="I31" s="432" t="s">
        <v>2225</v>
      </c>
      <c r="J31" s="432"/>
      <c r="K31" s="432"/>
      <c r="L31" s="718">
        <v>365</v>
      </c>
      <c r="M31" s="718"/>
      <c r="N31" s="411">
        <v>0.27500000000000002</v>
      </c>
      <c r="O31" s="431">
        <f t="shared" si="2"/>
        <v>1159.6923076923076</v>
      </c>
      <c r="P31" s="411">
        <v>0</v>
      </c>
      <c r="Q31" s="412">
        <v>0</v>
      </c>
      <c r="R31" s="1359">
        <f t="shared" si="4"/>
        <v>1159.6923076923076</v>
      </c>
      <c r="S31" s="411">
        <v>0.04</v>
      </c>
      <c r="T31" s="393">
        <f t="shared" si="3"/>
        <v>46.387692307692305</v>
      </c>
      <c r="U31" s="396">
        <v>1206.08</v>
      </c>
      <c r="V31" s="396"/>
      <c r="W31" s="432" t="s">
        <v>89</v>
      </c>
      <c r="X31" s="410">
        <v>2016</v>
      </c>
      <c r="Y31" s="410" t="s">
        <v>2246</v>
      </c>
      <c r="Z31" s="410" t="s">
        <v>1</v>
      </c>
      <c r="AA31" s="412">
        <v>547.5</v>
      </c>
      <c r="AB31" s="413"/>
      <c r="AC31" s="718" t="s">
        <v>2150</v>
      </c>
      <c r="AD31" s="718" t="s">
        <v>2179</v>
      </c>
      <c r="AE31" s="718" t="s">
        <v>2179</v>
      </c>
      <c r="AF31" s="718" t="s">
        <v>2180</v>
      </c>
      <c r="AG31" s="718" t="s">
        <v>2180</v>
      </c>
      <c r="AH31" s="718" t="s">
        <v>2180</v>
      </c>
      <c r="AI31" s="718" t="s">
        <v>2180</v>
      </c>
      <c r="AJ31" s="418" t="s">
        <v>87</v>
      </c>
    </row>
    <row r="32" spans="1:36">
      <c r="A32" s="299" t="b">
        <v>0</v>
      </c>
      <c r="B32" s="299" t="s">
        <v>2266</v>
      </c>
      <c r="C32" s="299" t="b">
        <f t="shared" si="0"/>
        <v>0</v>
      </c>
      <c r="D32" s="428" t="str">
        <f>IF(C32=FALSE=NAMES!$B$8,"",IF(F32="N/A","N/A",X32&amp;W32&amp;F32&amp;"-"&amp;G32&amp;H32))</f>
        <v>2016USDAIG Luxembourg-Healthcare PlanPRESTIGE</v>
      </c>
      <c r="E32" s="429" t="str">
        <f t="shared" si="5"/>
        <v>2016USDAIG Luxembourg-Healthcare PlanPRESTIGE</v>
      </c>
      <c r="F32" s="432" t="s">
        <v>4</v>
      </c>
      <c r="G32" s="421" t="s">
        <v>3</v>
      </c>
      <c r="H32" s="432" t="s">
        <v>88</v>
      </c>
      <c r="I32" s="432" t="s">
        <v>2225</v>
      </c>
      <c r="J32" s="432"/>
      <c r="K32" s="432"/>
      <c r="L32" s="421">
        <v>365</v>
      </c>
      <c r="M32" s="421"/>
      <c r="N32" s="411">
        <v>0.25</v>
      </c>
      <c r="O32" s="431">
        <f t="shared" si="2"/>
        <v>1161.3461538461538</v>
      </c>
      <c r="P32" s="411">
        <v>0</v>
      </c>
      <c r="Q32" s="412">
        <v>0</v>
      </c>
      <c r="R32" s="1359">
        <f t="shared" si="4"/>
        <v>1161.3461538461538</v>
      </c>
      <c r="S32" s="411">
        <v>0.04</v>
      </c>
      <c r="T32" s="393">
        <f t="shared" si="3"/>
        <v>46.45384615384615</v>
      </c>
      <c r="U32" s="412">
        <v>1207.8</v>
      </c>
      <c r="V32" s="412"/>
      <c r="W32" s="432" t="s">
        <v>89</v>
      </c>
      <c r="X32" s="410">
        <v>2016</v>
      </c>
      <c r="Y32" s="410" t="s">
        <v>26</v>
      </c>
      <c r="Z32" s="410" t="s">
        <v>1</v>
      </c>
      <c r="AA32" s="412">
        <v>36.200000000000003</v>
      </c>
      <c r="AB32" s="413"/>
      <c r="AC32" s="421" t="s">
        <v>2150</v>
      </c>
      <c r="AD32" s="421" t="s">
        <v>2179</v>
      </c>
      <c r="AE32" s="421" t="s">
        <v>2179</v>
      </c>
      <c r="AF32" s="421" t="s">
        <v>2180</v>
      </c>
      <c r="AG32" s="421" t="s">
        <v>2180</v>
      </c>
      <c r="AH32" s="421" t="s">
        <v>2180</v>
      </c>
      <c r="AI32" s="421" t="s">
        <v>2180</v>
      </c>
      <c r="AJ32" s="418" t="s">
        <v>87</v>
      </c>
    </row>
    <row r="33" spans="1:36">
      <c r="A33" s="563" t="b">
        <v>1</v>
      </c>
      <c r="B33" s="563" t="s">
        <v>2266</v>
      </c>
      <c r="C33" s="563" t="b">
        <f t="shared" si="0"/>
        <v>0</v>
      </c>
      <c r="D33" s="653" t="str">
        <f>IF(C33=FALSE=NAMES!$B$8,"",IF(F33="N/A","N/A",X33&amp;W33&amp;F33&amp;"-"&amp;G33&amp;H33&amp;I33))</f>
        <v>2016USDAIG Luxembourg-Healthcare PlanPRESTIGEFamily</v>
      </c>
      <c r="E33" s="564" t="str">
        <f>IF(F33="N/A","N/A",X33&amp;W33&amp;F33&amp;"-"&amp;G33&amp;H33&amp;I33)</f>
        <v>2016USDAIG Luxembourg-Healthcare PlanPRESTIGEFamily</v>
      </c>
      <c r="F33" s="564" t="s">
        <v>4</v>
      </c>
      <c r="G33" s="565" t="s">
        <v>3</v>
      </c>
      <c r="H33" s="564" t="s">
        <v>88</v>
      </c>
      <c r="I33" s="564" t="s">
        <v>2226</v>
      </c>
      <c r="J33" s="564"/>
      <c r="K33" s="564"/>
      <c r="L33" s="565">
        <v>365</v>
      </c>
      <c r="M33" s="565"/>
      <c r="N33" s="567">
        <v>0.25</v>
      </c>
      <c r="O33" s="431">
        <f t="shared" si="2"/>
        <v>1444.278846153846</v>
      </c>
      <c r="P33" s="411">
        <v>0</v>
      </c>
      <c r="Q33" s="569">
        <v>0</v>
      </c>
      <c r="R33" s="1359">
        <f t="shared" si="4"/>
        <v>1444.278846153846</v>
      </c>
      <c r="S33" s="567">
        <v>0.04</v>
      </c>
      <c r="T33" s="393">
        <f t="shared" si="3"/>
        <v>57.771153846153837</v>
      </c>
      <c r="U33" s="566">
        <v>1502.05</v>
      </c>
      <c r="V33" s="569"/>
      <c r="W33" s="564" t="s">
        <v>89</v>
      </c>
      <c r="X33" s="570">
        <v>2016</v>
      </c>
      <c r="Y33" s="570" t="s">
        <v>26</v>
      </c>
      <c r="Z33" s="410" t="s">
        <v>1</v>
      </c>
      <c r="AA33" s="569">
        <v>35</v>
      </c>
      <c r="AB33" s="572"/>
      <c r="AC33" s="565"/>
      <c r="AD33" s="565"/>
      <c r="AE33" s="565"/>
      <c r="AF33" s="565"/>
      <c r="AG33" s="565"/>
      <c r="AH33" s="565"/>
      <c r="AI33" s="565"/>
      <c r="AJ33" s="573"/>
    </row>
    <row r="34" spans="1:36">
      <c r="A34" s="299" t="b">
        <v>0</v>
      </c>
      <c r="B34" s="299" t="s">
        <v>2266</v>
      </c>
      <c r="C34" s="299" t="b">
        <f t="shared" si="0"/>
        <v>0</v>
      </c>
      <c r="D34" s="428" t="str">
        <f>IF(C34=FALSE=NAMES!$B$8,"",IF(F34="N/A","N/A",X34&amp;W34&amp;F34&amp;"-"&amp;G34&amp;H34))</f>
        <v>2016USDAIG Luxembourg-Healthcare PlanPrestige Plus</v>
      </c>
      <c r="E34" s="429" t="str">
        <f t="shared" ref="E34:E49" si="7">IF(F34="N/A","N/A",X34&amp;W34&amp;F34&amp;"-"&amp;G34&amp;H34)</f>
        <v>2016USDAIG Luxembourg-Healthcare PlanPrestige Plus</v>
      </c>
      <c r="F34" s="432" t="s">
        <v>4</v>
      </c>
      <c r="G34" s="421" t="s">
        <v>3</v>
      </c>
      <c r="H34" s="432" t="s">
        <v>2085</v>
      </c>
      <c r="I34" s="432" t="s">
        <v>2225</v>
      </c>
      <c r="J34" s="432"/>
      <c r="K34" s="432"/>
      <c r="L34" s="421">
        <v>365</v>
      </c>
      <c r="M34" s="421"/>
      <c r="N34" s="411">
        <v>0.25</v>
      </c>
      <c r="O34" s="431">
        <f t="shared" si="2"/>
        <v>1161.3461538461538</v>
      </c>
      <c r="P34" s="411">
        <v>0</v>
      </c>
      <c r="Q34" s="412">
        <v>0</v>
      </c>
      <c r="R34" s="1359">
        <f t="shared" si="4"/>
        <v>1161.3461538461538</v>
      </c>
      <c r="S34" s="411">
        <v>0.04</v>
      </c>
      <c r="T34" s="393">
        <f t="shared" si="3"/>
        <v>46.45384615384615</v>
      </c>
      <c r="U34" s="412">
        <v>1207.8</v>
      </c>
      <c r="V34" s="412"/>
      <c r="W34" s="432" t="s">
        <v>89</v>
      </c>
      <c r="X34" s="410">
        <v>2016</v>
      </c>
      <c r="Y34" s="410" t="s">
        <v>26</v>
      </c>
      <c r="Z34" s="410" t="s">
        <v>1</v>
      </c>
      <c r="AA34" s="412">
        <v>36.200000000000003</v>
      </c>
      <c r="AB34" s="413"/>
      <c r="AC34" s="421" t="s">
        <v>2150</v>
      </c>
      <c r="AD34" s="421" t="s">
        <v>2179</v>
      </c>
      <c r="AE34" s="421" t="s">
        <v>2179</v>
      </c>
      <c r="AF34" s="421" t="s">
        <v>2180</v>
      </c>
      <c r="AG34" s="421" t="s">
        <v>2180</v>
      </c>
      <c r="AH34" s="421" t="s">
        <v>2180</v>
      </c>
      <c r="AI34" s="421" t="s">
        <v>2180</v>
      </c>
      <c r="AJ34" s="418" t="s">
        <v>87</v>
      </c>
    </row>
    <row r="35" spans="1:36">
      <c r="A35" s="299" t="b">
        <v>0</v>
      </c>
      <c r="B35" s="299" t="s">
        <v>2266</v>
      </c>
      <c r="C35" s="299" t="b">
        <f t="shared" si="0"/>
        <v>0</v>
      </c>
      <c r="D35" s="428" t="str">
        <f>IF(C35=FALSE=NAMES!$B$8,"",IF(F35="N/A","N/A",X35&amp;W35&amp;F35&amp;"-"&amp;G35&amp;H35))</f>
        <v>2016USDAIG Luxembourg-Healthcare PlanPrestige S</v>
      </c>
      <c r="E35" s="429" t="str">
        <f t="shared" si="7"/>
        <v>2016USDAIG Luxembourg-Healthcare PlanPrestige S</v>
      </c>
      <c r="F35" s="390" t="s">
        <v>4</v>
      </c>
      <c r="G35" s="389" t="s">
        <v>3</v>
      </c>
      <c r="H35" s="390" t="s">
        <v>2074</v>
      </c>
      <c r="I35" s="390" t="s">
        <v>2225</v>
      </c>
      <c r="J35" s="432"/>
      <c r="K35" s="432"/>
      <c r="L35" s="421">
        <v>365</v>
      </c>
      <c r="M35" s="421"/>
      <c r="N35" s="411">
        <v>0.25</v>
      </c>
      <c r="O35" s="431">
        <f t="shared" si="2"/>
        <v>1161.3461538461538</v>
      </c>
      <c r="P35" s="411">
        <v>0</v>
      </c>
      <c r="Q35" s="412">
        <v>0</v>
      </c>
      <c r="R35" s="1359">
        <f t="shared" si="4"/>
        <v>1161.3461538461538</v>
      </c>
      <c r="S35" s="411">
        <v>0.04</v>
      </c>
      <c r="T35" s="393">
        <f t="shared" si="3"/>
        <v>46.45384615384615</v>
      </c>
      <c r="U35" s="412">
        <v>1207.8</v>
      </c>
      <c r="V35" s="412"/>
      <c r="W35" s="432" t="s">
        <v>89</v>
      </c>
      <c r="X35" s="410">
        <v>2016</v>
      </c>
      <c r="Y35" s="410" t="s">
        <v>26</v>
      </c>
      <c r="Z35" s="410" t="s">
        <v>1</v>
      </c>
      <c r="AA35" s="412">
        <v>13.2</v>
      </c>
      <c r="AB35" s="413"/>
      <c r="AC35" s="421"/>
      <c r="AD35" s="421"/>
      <c r="AE35" s="421"/>
      <c r="AF35" s="421"/>
      <c r="AG35" s="421"/>
      <c r="AH35" s="421"/>
      <c r="AI35" s="421"/>
      <c r="AJ35" s="418"/>
    </row>
    <row r="36" spans="1:36" s="409" customFormat="1">
      <c r="A36" s="299" t="b">
        <v>0</v>
      </c>
      <c r="B36" s="299" t="s">
        <v>2266</v>
      </c>
      <c r="C36" s="299" t="b">
        <f t="shared" si="0"/>
        <v>0</v>
      </c>
      <c r="D36" s="428" t="str">
        <f>IF(C36=FALSE=NAMES!$B$8,"",IF(F36="N/A","N/A",X36&amp;W36&amp;F36&amp;"-"&amp;G36&amp;H36))</f>
        <v>2016USDAIG Luxembourg-Healthcare PlanPrivilegeFamily</v>
      </c>
      <c r="E36" s="429" t="str">
        <f t="shared" si="7"/>
        <v>2016USDAIG Luxembourg-Healthcare PlanPrivilegeFamily</v>
      </c>
      <c r="F36" s="432" t="s">
        <v>4</v>
      </c>
      <c r="G36" s="718" t="s">
        <v>3</v>
      </c>
      <c r="H36" s="432" t="s">
        <v>2245</v>
      </c>
      <c r="I36" s="432" t="s">
        <v>2226</v>
      </c>
      <c r="J36" s="432"/>
      <c r="K36" s="432"/>
      <c r="L36" s="421">
        <v>365</v>
      </c>
      <c r="M36" s="421"/>
      <c r="N36" s="411">
        <v>0.25</v>
      </c>
      <c r="O36" s="431">
        <f t="shared" si="2"/>
        <v>4889.8999999999996</v>
      </c>
      <c r="P36" s="411">
        <v>0</v>
      </c>
      <c r="Q36" s="412">
        <v>1054.96</v>
      </c>
      <c r="R36" s="1359">
        <f t="shared" si="4"/>
        <v>5944.86</v>
      </c>
      <c r="S36" s="411">
        <v>0.04</v>
      </c>
      <c r="T36" s="393">
        <f t="shared" si="3"/>
        <v>195.596</v>
      </c>
      <c r="U36" s="396">
        <v>5085.4960000000001</v>
      </c>
      <c r="V36" s="396"/>
      <c r="W36" s="432" t="s">
        <v>89</v>
      </c>
      <c r="X36" s="410">
        <v>2016</v>
      </c>
      <c r="Y36" s="410" t="s">
        <v>26</v>
      </c>
      <c r="Z36" s="410" t="s">
        <v>1</v>
      </c>
      <c r="AA36" s="412">
        <v>293.52</v>
      </c>
      <c r="AB36" s="413"/>
      <c r="AC36" s="421" t="s">
        <v>2150</v>
      </c>
      <c r="AD36" s="421" t="s">
        <v>2179</v>
      </c>
      <c r="AE36" s="421" t="s">
        <v>2179</v>
      </c>
      <c r="AF36" s="421" t="s">
        <v>2180</v>
      </c>
      <c r="AG36" s="421" t="s">
        <v>2180</v>
      </c>
      <c r="AH36" s="421" t="s">
        <v>2180</v>
      </c>
      <c r="AI36" s="421" t="s">
        <v>2180</v>
      </c>
      <c r="AJ36" s="418"/>
    </row>
    <row r="37" spans="1:36" s="409" customFormat="1">
      <c r="A37" s="299" t="b">
        <v>0</v>
      </c>
      <c r="B37" s="299" t="s">
        <v>2266</v>
      </c>
      <c r="C37" s="299" t="b">
        <f t="shared" si="0"/>
        <v>0</v>
      </c>
      <c r="D37" s="428" t="str">
        <f>IF(C37=FALSE=NAMES!$B$8,"",IF(F37="N/A","N/A",X37&amp;W37&amp;F37&amp;"-"&amp;G37&amp;H37))</f>
        <v>2016USDAIG Luxembourg-Healthcare PlanPrivilegeSingle</v>
      </c>
      <c r="E37" s="429" t="str">
        <f t="shared" si="7"/>
        <v>2016USDAIG Luxembourg-Healthcare PlanPrivilegeSingle</v>
      </c>
      <c r="F37" s="432" t="s">
        <v>4</v>
      </c>
      <c r="G37" s="718" t="s">
        <v>3</v>
      </c>
      <c r="H37" s="432" t="s">
        <v>2244</v>
      </c>
      <c r="I37" s="432" t="s">
        <v>2225</v>
      </c>
      <c r="J37" s="432"/>
      <c r="K37" s="432"/>
      <c r="L37" s="421">
        <v>365</v>
      </c>
      <c r="M37" s="421"/>
      <c r="N37" s="411">
        <v>0.25</v>
      </c>
      <c r="O37" s="431">
        <f t="shared" si="2"/>
        <v>1879.81</v>
      </c>
      <c r="P37" s="411">
        <v>0</v>
      </c>
      <c r="Q37" s="412">
        <v>714.32690000000002</v>
      </c>
      <c r="R37" s="1359">
        <f t="shared" si="4"/>
        <v>2594.1369</v>
      </c>
      <c r="S37" s="411">
        <v>0.04</v>
      </c>
      <c r="T37" s="393">
        <f t="shared" si="3"/>
        <v>75.192400000000006</v>
      </c>
      <c r="U37" s="396">
        <v>1955.0024000000001</v>
      </c>
      <c r="V37" s="396"/>
      <c r="W37" s="432" t="s">
        <v>89</v>
      </c>
      <c r="X37" s="410">
        <v>2016</v>
      </c>
      <c r="Y37" s="410" t="s">
        <v>26</v>
      </c>
      <c r="Z37" s="410" t="s">
        <v>1</v>
      </c>
      <c r="AA37" s="412">
        <v>112.04</v>
      </c>
      <c r="AB37" s="413"/>
      <c r="AC37" s="421" t="s">
        <v>2150</v>
      </c>
      <c r="AD37" s="421" t="s">
        <v>2179</v>
      </c>
      <c r="AE37" s="421" t="s">
        <v>2179</v>
      </c>
      <c r="AF37" s="421" t="s">
        <v>2180</v>
      </c>
      <c r="AG37" s="421" t="s">
        <v>2180</v>
      </c>
      <c r="AH37" s="421" t="s">
        <v>2180</v>
      </c>
      <c r="AI37" s="421" t="s">
        <v>2180</v>
      </c>
      <c r="AJ37" s="418" t="s">
        <v>87</v>
      </c>
    </row>
    <row r="38" spans="1:36" s="1366" customFormat="1">
      <c r="A38" s="299" t="b">
        <v>0</v>
      </c>
      <c r="B38" s="299" t="s">
        <v>2266</v>
      </c>
      <c r="C38" s="299" t="b">
        <f t="shared" ref="C38:C39" si="8">IF(B38="N/A","",IF(B38="newRates",FALSE,TRUE))</f>
        <v>0</v>
      </c>
      <c r="D38" s="428" t="str">
        <f>IF(C38=FALSE=NAMES!$B$8,"",IF(F38="N/A","N/A",X38&amp;W38&amp;F38&amp;"-"&amp;G38&amp;H38))</f>
        <v>2017USDAIG Luxembourg-Healthcare PlanPrivilegeFamily</v>
      </c>
      <c r="E38" s="429" t="str">
        <f t="shared" si="7"/>
        <v>2017USDAIG Luxembourg-Healthcare PlanPrivilegeFamily</v>
      </c>
      <c r="F38" s="432" t="s">
        <v>4</v>
      </c>
      <c r="G38" s="1371" t="s">
        <v>3</v>
      </c>
      <c r="H38" s="432" t="s">
        <v>2245</v>
      </c>
      <c r="I38" s="432" t="s">
        <v>2226</v>
      </c>
      <c r="J38" s="432"/>
      <c r="K38" s="432"/>
      <c r="L38" s="1371">
        <v>365</v>
      </c>
      <c r="M38" s="1371"/>
      <c r="N38" s="411">
        <v>0.25</v>
      </c>
      <c r="O38" s="431">
        <f t="shared" si="2"/>
        <v>4889.8999999999996</v>
      </c>
      <c r="P38" s="411">
        <v>0</v>
      </c>
      <c r="Q38" s="412">
        <v>977.98</v>
      </c>
      <c r="R38" s="1359">
        <f t="shared" ref="R38:R39" si="9">IF(E38="N/A","",O38+Q38)</f>
        <v>5867.8799999999992</v>
      </c>
      <c r="S38" s="411">
        <v>0.04</v>
      </c>
      <c r="T38" s="393">
        <f t="shared" si="3"/>
        <v>195.596</v>
      </c>
      <c r="U38" s="396">
        <v>5085.4960000000001</v>
      </c>
      <c r="V38" s="396"/>
      <c r="W38" s="432" t="s">
        <v>89</v>
      </c>
      <c r="X38" s="410">
        <v>2017</v>
      </c>
      <c r="Y38" s="410" t="s">
        <v>26</v>
      </c>
      <c r="Z38" s="410" t="s">
        <v>1</v>
      </c>
      <c r="AA38" s="412"/>
      <c r="AB38" s="413"/>
      <c r="AC38" s="1371"/>
      <c r="AD38" s="1371"/>
      <c r="AE38" s="1371"/>
      <c r="AF38" s="1371"/>
      <c r="AG38" s="1371"/>
      <c r="AH38" s="1371"/>
      <c r="AI38" s="1371"/>
      <c r="AJ38" s="418"/>
    </row>
    <row r="39" spans="1:36" s="1366" customFormat="1">
      <c r="A39" s="299" t="b">
        <v>0</v>
      </c>
      <c r="B39" s="299" t="s">
        <v>2266</v>
      </c>
      <c r="C39" s="299" t="b">
        <f t="shared" si="8"/>
        <v>0</v>
      </c>
      <c r="D39" s="428" t="str">
        <f>IF(C39=FALSE=NAMES!$B$8,"",IF(F39="N/A","N/A",X39&amp;W39&amp;F39&amp;"-"&amp;G39&amp;H39))</f>
        <v>2017USDAIG Luxembourg-Healthcare PlanPrivilegeSingle</v>
      </c>
      <c r="E39" s="429" t="str">
        <f t="shared" si="7"/>
        <v>2017USDAIG Luxembourg-Healthcare PlanPrivilegeSingle</v>
      </c>
      <c r="F39" s="432" t="s">
        <v>4</v>
      </c>
      <c r="G39" s="1371" t="s">
        <v>3</v>
      </c>
      <c r="H39" s="432" t="s">
        <v>2244</v>
      </c>
      <c r="I39" s="432" t="s">
        <v>2225</v>
      </c>
      <c r="J39" s="432"/>
      <c r="K39" s="432"/>
      <c r="L39" s="1371">
        <v>365</v>
      </c>
      <c r="M39" s="1371"/>
      <c r="N39" s="411">
        <v>0.25</v>
      </c>
      <c r="O39" s="431">
        <f t="shared" si="2"/>
        <v>1879.81</v>
      </c>
      <c r="P39" s="411">
        <v>0</v>
      </c>
      <c r="Q39" s="412">
        <v>375.96</v>
      </c>
      <c r="R39" s="1359">
        <f t="shared" si="9"/>
        <v>2255.77</v>
      </c>
      <c r="S39" s="411">
        <v>0.04</v>
      </c>
      <c r="T39" s="393">
        <f t="shared" si="3"/>
        <v>75.192400000000006</v>
      </c>
      <c r="U39" s="396">
        <v>1955.0024000000001</v>
      </c>
      <c r="V39" s="396"/>
      <c r="W39" s="432" t="s">
        <v>89</v>
      </c>
      <c r="X39" s="410">
        <v>2017</v>
      </c>
      <c r="Y39" s="410" t="s">
        <v>26</v>
      </c>
      <c r="Z39" s="410" t="s">
        <v>1</v>
      </c>
      <c r="AA39" s="412"/>
      <c r="AB39" s="413"/>
      <c r="AC39" s="1371"/>
      <c r="AD39" s="1371"/>
      <c r="AE39" s="1371"/>
      <c r="AF39" s="1371"/>
      <c r="AG39" s="1371"/>
      <c r="AH39" s="1371"/>
      <c r="AI39" s="1371"/>
      <c r="AJ39" s="418"/>
    </row>
    <row r="40" spans="1:36" s="714" customFormat="1">
      <c r="A40" s="299" t="b">
        <v>0</v>
      </c>
      <c r="B40" s="299" t="s">
        <v>2266</v>
      </c>
      <c r="C40" s="299" t="b">
        <f t="shared" si="0"/>
        <v>0</v>
      </c>
      <c r="D40" s="428" t="str">
        <f>IF(C40=FALSE=NAMES!$B$8,"",IF(F40="N/A","N/A",X40&amp;W40&amp;F40&amp;"-"&amp;G40&amp;H40))</f>
        <v>2016USDAIG Luxembourg-Healthcare PlanVitale-12months</v>
      </c>
      <c r="E40" s="429" t="str">
        <f t="shared" si="7"/>
        <v>2016USDAIG Luxembourg-Healthcare PlanVitale-12months</v>
      </c>
      <c r="F40" s="432" t="s">
        <v>4</v>
      </c>
      <c r="G40" s="718" t="s">
        <v>3</v>
      </c>
      <c r="H40" s="432" t="s">
        <v>2599</v>
      </c>
      <c r="I40" s="432" t="s">
        <v>2225</v>
      </c>
      <c r="J40" s="432"/>
      <c r="K40" s="432"/>
      <c r="L40" s="718">
        <v>365</v>
      </c>
      <c r="M40" s="718"/>
      <c r="N40" s="411">
        <v>0.25</v>
      </c>
      <c r="O40" s="431">
        <f t="shared" si="2"/>
        <v>152.4</v>
      </c>
      <c r="P40" s="411">
        <v>0</v>
      </c>
      <c r="Q40" s="412">
        <v>0</v>
      </c>
      <c r="R40" s="1359">
        <f t="shared" si="4"/>
        <v>152.4</v>
      </c>
      <c r="S40" s="411">
        <v>0.04</v>
      </c>
      <c r="T40" s="393">
        <f t="shared" si="3"/>
        <v>6.0960000000000001</v>
      </c>
      <c r="U40" s="396">
        <v>158.49600000000001</v>
      </c>
      <c r="V40" s="396"/>
      <c r="W40" s="432" t="s">
        <v>89</v>
      </c>
      <c r="X40" s="410">
        <v>2016</v>
      </c>
      <c r="Y40" s="410" t="s">
        <v>26</v>
      </c>
      <c r="Z40" s="410" t="s">
        <v>1</v>
      </c>
      <c r="AA40" s="412">
        <v>15</v>
      </c>
      <c r="AB40" s="413"/>
      <c r="AC40" s="718"/>
      <c r="AD40" s="718"/>
      <c r="AE40" s="718"/>
      <c r="AF40" s="718"/>
      <c r="AG40" s="718"/>
      <c r="AH40" s="718"/>
      <c r="AI40" s="718"/>
      <c r="AJ40" s="418"/>
    </row>
    <row r="41" spans="1:36" s="714" customFormat="1">
      <c r="A41" s="299" t="b">
        <v>0</v>
      </c>
      <c r="B41" s="299" t="s">
        <v>2266</v>
      </c>
      <c r="C41" s="299" t="b">
        <f t="shared" si="0"/>
        <v>0</v>
      </c>
      <c r="D41" s="428" t="str">
        <f>IF(C41=FALSE=NAMES!$B$8,"",IF(F41="N/A","N/A",X41&amp;W41&amp;F41&amp;"-"&amp;G41&amp;H41))</f>
        <v>2016USDAIG Luxembourg-Healthcare PlanVitale-6months</v>
      </c>
      <c r="E41" s="429" t="str">
        <f t="shared" si="7"/>
        <v>2016USDAIG Luxembourg-Healthcare PlanVitale-6months</v>
      </c>
      <c r="F41" s="432" t="s">
        <v>4</v>
      </c>
      <c r="G41" s="718" t="s">
        <v>3</v>
      </c>
      <c r="H41" s="432" t="s">
        <v>2600</v>
      </c>
      <c r="I41" s="432" t="s">
        <v>2225</v>
      </c>
      <c r="J41" s="432"/>
      <c r="K41" s="432"/>
      <c r="L41" s="718">
        <v>180</v>
      </c>
      <c r="M41" s="718"/>
      <c r="N41" s="411">
        <v>0.25</v>
      </c>
      <c r="O41" s="431">
        <f t="shared" si="2"/>
        <v>100.24</v>
      </c>
      <c r="P41" s="411">
        <v>0</v>
      </c>
      <c r="Q41" s="412">
        <v>0</v>
      </c>
      <c r="R41" s="1359">
        <f t="shared" si="4"/>
        <v>100.24</v>
      </c>
      <c r="S41" s="411">
        <v>0.04</v>
      </c>
      <c r="T41" s="393">
        <f t="shared" si="3"/>
        <v>4.0095999999999998</v>
      </c>
      <c r="U41" s="396">
        <v>104.2496</v>
      </c>
      <c r="V41" s="396"/>
      <c r="W41" s="432" t="s">
        <v>89</v>
      </c>
      <c r="X41" s="410">
        <v>2016</v>
      </c>
      <c r="Y41" s="410" t="s">
        <v>26</v>
      </c>
      <c r="Z41" s="410" t="s">
        <v>1</v>
      </c>
      <c r="AA41" s="412">
        <v>15</v>
      </c>
      <c r="AB41" s="413"/>
      <c r="AC41" s="718"/>
      <c r="AD41" s="718"/>
      <c r="AE41" s="718"/>
      <c r="AF41" s="718"/>
      <c r="AG41" s="718"/>
      <c r="AH41" s="718"/>
      <c r="AI41" s="718"/>
      <c r="AJ41" s="418"/>
    </row>
    <row r="42" spans="1:36" s="815" customFormat="1">
      <c r="A42" s="299" t="b">
        <v>0</v>
      </c>
      <c r="B42" s="299" t="s">
        <v>2266</v>
      </c>
      <c r="C42" s="299" t="b">
        <f t="shared" ref="C42:C48" si="10">IF(B42="N/A","",IF(B42="newRates",FALSE,TRUE))</f>
        <v>0</v>
      </c>
      <c r="D42" s="428" t="str">
        <f>IF(C42=FALSE=NAMES!$B$8,"",IF(F42="N/A","N/A",X42&amp;W42&amp;F42&amp;"-"&amp;G42&amp;H42))</f>
        <v>2016USDAIG Luxembourg-Healthcare PlanStandard</v>
      </c>
      <c r="E42" s="429" t="str">
        <f t="shared" si="7"/>
        <v>2016USDAIG Luxembourg-Healthcare PlanStandard</v>
      </c>
      <c r="F42" s="432" t="s">
        <v>4</v>
      </c>
      <c r="G42" s="718" t="s">
        <v>3</v>
      </c>
      <c r="H42" s="432" t="s">
        <v>2637</v>
      </c>
      <c r="I42" s="432" t="s">
        <v>2225</v>
      </c>
      <c r="J42" s="432"/>
      <c r="K42" s="432"/>
      <c r="L42" s="718">
        <v>365</v>
      </c>
      <c r="M42" s="718"/>
      <c r="N42" s="411">
        <v>0.25</v>
      </c>
      <c r="O42" s="431">
        <f t="shared" si="2"/>
        <v>569.03846153846143</v>
      </c>
      <c r="P42" s="411">
        <v>0</v>
      </c>
      <c r="Q42" s="412">
        <v>0</v>
      </c>
      <c r="R42" s="1359">
        <f t="shared" si="4"/>
        <v>569.03846153846143</v>
      </c>
      <c r="S42" s="411">
        <v>0.04</v>
      </c>
      <c r="T42" s="393">
        <f t="shared" si="3"/>
        <v>22.761538461538457</v>
      </c>
      <c r="U42" s="412">
        <v>591.79999999999995</v>
      </c>
      <c r="V42" s="412"/>
      <c r="W42" s="432" t="s">
        <v>89</v>
      </c>
      <c r="X42" s="410">
        <v>2016</v>
      </c>
      <c r="Y42" s="410" t="s">
        <v>26</v>
      </c>
      <c r="Z42" s="410" t="s">
        <v>1</v>
      </c>
      <c r="AA42" s="412">
        <v>63.2</v>
      </c>
      <c r="AB42" s="413"/>
      <c r="AC42" s="718"/>
      <c r="AD42" s="718"/>
      <c r="AE42" s="718"/>
      <c r="AF42" s="718"/>
      <c r="AG42" s="718"/>
      <c r="AH42" s="718"/>
      <c r="AI42" s="718"/>
      <c r="AJ42" s="418"/>
    </row>
    <row r="43" spans="1:36" s="815" customFormat="1">
      <c r="A43" s="299" t="b">
        <v>0</v>
      </c>
      <c r="B43" s="299" t="s">
        <v>2266</v>
      </c>
      <c r="C43" s="299" t="b">
        <f t="shared" si="10"/>
        <v>0</v>
      </c>
      <c r="D43" s="428" t="str">
        <f>IF(C43=FALSE=NAMES!$B$8,"",IF(F43="N/A","N/A",X43&amp;W43&amp;F43&amp;"-"&amp;G43&amp;H43))</f>
        <v>2016USDAIG Luxembourg-Healthcare PlanStandardMLC</v>
      </c>
      <c r="E43" s="429" t="str">
        <f t="shared" si="7"/>
        <v>2016USDAIG Luxembourg-Healthcare PlanStandardMLC</v>
      </c>
      <c r="F43" s="432" t="s">
        <v>4</v>
      </c>
      <c r="G43" s="718" t="s">
        <v>3</v>
      </c>
      <c r="H43" s="432" t="s">
        <v>2638</v>
      </c>
      <c r="I43" s="432" t="s">
        <v>2225</v>
      </c>
      <c r="J43" s="432"/>
      <c r="K43" s="432"/>
      <c r="L43" s="718">
        <v>365</v>
      </c>
      <c r="M43" s="718"/>
      <c r="N43" s="411">
        <v>0.25</v>
      </c>
      <c r="O43" s="431">
        <f t="shared" si="2"/>
        <v>569.03846153846143</v>
      </c>
      <c r="P43" s="411">
        <v>0</v>
      </c>
      <c r="Q43" s="412">
        <v>0</v>
      </c>
      <c r="R43" s="1359">
        <f t="shared" si="4"/>
        <v>569.03846153846143</v>
      </c>
      <c r="S43" s="411">
        <v>0.04</v>
      </c>
      <c r="T43" s="393">
        <f t="shared" si="3"/>
        <v>22.761538461538457</v>
      </c>
      <c r="U43" s="412">
        <v>591.79999999999995</v>
      </c>
      <c r="V43" s="412"/>
      <c r="W43" s="432" t="s">
        <v>89</v>
      </c>
      <c r="X43" s="410">
        <v>2016</v>
      </c>
      <c r="Y43" s="410" t="s">
        <v>26</v>
      </c>
      <c r="Z43" s="410" t="s">
        <v>1</v>
      </c>
      <c r="AA43" s="412">
        <v>63.2</v>
      </c>
      <c r="AB43" s="413"/>
      <c r="AC43" s="718"/>
      <c r="AD43" s="718"/>
      <c r="AE43" s="718"/>
      <c r="AF43" s="718"/>
      <c r="AG43" s="718"/>
      <c r="AH43" s="718"/>
      <c r="AI43" s="718"/>
      <c r="AJ43" s="418"/>
    </row>
    <row r="44" spans="1:36" s="815" customFormat="1">
      <c r="A44" s="299" t="b">
        <v>0</v>
      </c>
      <c r="B44" s="299" t="s">
        <v>2266</v>
      </c>
      <c r="C44" s="299" t="b">
        <f t="shared" si="10"/>
        <v>0</v>
      </c>
      <c r="D44" s="428" t="str">
        <f>IF(C44=FALSE=NAMES!$B$8,"",IF(F44="N/A","N/A",X44&amp;W44&amp;F44&amp;"-"&amp;G44&amp;H44))</f>
        <v>2016USDAIG Luxembourg-Healthcare PlanPerfect</v>
      </c>
      <c r="E44" s="429" t="str">
        <f t="shared" si="7"/>
        <v>2016USDAIG Luxembourg-Healthcare PlanPerfect</v>
      </c>
      <c r="F44" s="432" t="s">
        <v>4</v>
      </c>
      <c r="G44" s="718" t="s">
        <v>3</v>
      </c>
      <c r="H44" s="432" t="s">
        <v>2639</v>
      </c>
      <c r="I44" s="432" t="s">
        <v>2225</v>
      </c>
      <c r="J44" s="432"/>
      <c r="K44" s="432"/>
      <c r="L44" s="718">
        <v>365</v>
      </c>
      <c r="M44" s="718"/>
      <c r="N44" s="411">
        <v>0.25</v>
      </c>
      <c r="O44" s="431">
        <f t="shared" si="2"/>
        <v>1165.3846153846152</v>
      </c>
      <c r="P44" s="411">
        <v>0</v>
      </c>
      <c r="Q44" s="412">
        <v>0</v>
      </c>
      <c r="R44" s="1359">
        <f t="shared" si="4"/>
        <v>1165.3846153846152</v>
      </c>
      <c r="S44" s="411">
        <v>0.04</v>
      </c>
      <c r="T44" s="393">
        <f t="shared" si="3"/>
        <v>46.615384615384613</v>
      </c>
      <c r="U44" s="412">
        <v>1212</v>
      </c>
      <c r="V44" s="412"/>
      <c r="W44" s="432" t="s">
        <v>89</v>
      </c>
      <c r="X44" s="410">
        <v>2016</v>
      </c>
      <c r="Y44" s="410" t="s">
        <v>26</v>
      </c>
      <c r="Z44" s="410" t="s">
        <v>1</v>
      </c>
      <c r="AA44" s="412">
        <v>36.200000000000003</v>
      </c>
      <c r="AB44" s="413"/>
      <c r="AC44" s="718"/>
      <c r="AD44" s="718"/>
      <c r="AE44" s="718"/>
      <c r="AF44" s="718"/>
      <c r="AG44" s="718"/>
      <c r="AH44" s="718"/>
      <c r="AI44" s="718"/>
      <c r="AJ44" s="418"/>
    </row>
    <row r="45" spans="1:36" s="815" customFormat="1">
      <c r="A45" s="299" t="b">
        <v>0</v>
      </c>
      <c r="B45" s="299" t="s">
        <v>2266</v>
      </c>
      <c r="C45" s="299" t="b">
        <f t="shared" si="10"/>
        <v>0</v>
      </c>
      <c r="D45" s="428" t="str">
        <f>IF(C45=FALSE=NAMES!$B$8,"",IF(F45="N/A","N/A",X45&amp;W45&amp;F45&amp;"-"&amp;G45&amp;H45))</f>
        <v>2016USDAIG Luxembourg-Healthcare PlanStandard S</v>
      </c>
      <c r="E45" s="429" t="str">
        <f t="shared" si="7"/>
        <v>2016USDAIG Luxembourg-Healthcare PlanStandard S</v>
      </c>
      <c r="F45" s="432" t="s">
        <v>4</v>
      </c>
      <c r="G45" s="718" t="s">
        <v>3</v>
      </c>
      <c r="H45" s="432" t="s">
        <v>2640</v>
      </c>
      <c r="I45" s="432" t="s">
        <v>2225</v>
      </c>
      <c r="J45" s="432"/>
      <c r="K45" s="432"/>
      <c r="L45" s="718">
        <v>365</v>
      </c>
      <c r="M45" s="718"/>
      <c r="N45" s="411">
        <v>0.25</v>
      </c>
      <c r="O45" s="431">
        <f t="shared" si="2"/>
        <v>569.03846153846143</v>
      </c>
      <c r="P45" s="411">
        <v>0</v>
      </c>
      <c r="Q45" s="412">
        <v>0</v>
      </c>
      <c r="R45" s="1359">
        <f t="shared" si="4"/>
        <v>569.03846153846143</v>
      </c>
      <c r="S45" s="411">
        <v>0.04</v>
      </c>
      <c r="T45" s="393">
        <f t="shared" si="3"/>
        <v>22.761538461538457</v>
      </c>
      <c r="U45" s="412">
        <v>591.79999999999995</v>
      </c>
      <c r="V45" s="412"/>
      <c r="W45" s="432" t="s">
        <v>89</v>
      </c>
      <c r="X45" s="410">
        <v>2016</v>
      </c>
      <c r="Y45" s="410" t="s">
        <v>26</v>
      </c>
      <c r="Z45" s="410" t="s">
        <v>1</v>
      </c>
      <c r="AA45" s="412">
        <v>15.2</v>
      </c>
      <c r="AB45" s="413"/>
      <c r="AC45" s="718"/>
      <c r="AD45" s="718"/>
      <c r="AE45" s="718"/>
      <c r="AF45" s="718"/>
      <c r="AG45" s="718"/>
      <c r="AH45" s="718"/>
      <c r="AI45" s="718"/>
      <c r="AJ45" s="418"/>
    </row>
    <row r="46" spans="1:36" s="815" customFormat="1">
      <c r="A46" s="299" t="b">
        <v>0</v>
      </c>
      <c r="B46" s="299" t="s">
        <v>2266</v>
      </c>
      <c r="C46" s="299" t="b">
        <f t="shared" si="10"/>
        <v>0</v>
      </c>
      <c r="D46" s="428" t="str">
        <f>IF(C46=FALSE=NAMES!$B$8,"",IF(F46="N/A","N/A",X46&amp;W46&amp;F46&amp;"-"&amp;G46&amp;H46))</f>
        <v>2016USDAIG Luxembourg-Healthcare PlanStandardMLC S</v>
      </c>
      <c r="E46" s="429" t="str">
        <f t="shared" si="7"/>
        <v>2016USDAIG Luxembourg-Healthcare PlanStandardMLC S</v>
      </c>
      <c r="F46" s="432" t="s">
        <v>4</v>
      </c>
      <c r="G46" s="718" t="s">
        <v>3</v>
      </c>
      <c r="H46" s="432" t="s">
        <v>2641</v>
      </c>
      <c r="I46" s="432" t="s">
        <v>2225</v>
      </c>
      <c r="J46" s="432"/>
      <c r="K46" s="432"/>
      <c r="L46" s="718">
        <v>365</v>
      </c>
      <c r="M46" s="718"/>
      <c r="N46" s="411">
        <v>0.25</v>
      </c>
      <c r="O46" s="431">
        <f t="shared" si="2"/>
        <v>569.03846153846143</v>
      </c>
      <c r="P46" s="411">
        <v>0</v>
      </c>
      <c r="Q46" s="412">
        <v>0</v>
      </c>
      <c r="R46" s="1359">
        <f t="shared" si="4"/>
        <v>569.03846153846143</v>
      </c>
      <c r="S46" s="411">
        <v>0.04</v>
      </c>
      <c r="T46" s="393">
        <f t="shared" si="3"/>
        <v>22.761538461538457</v>
      </c>
      <c r="U46" s="412">
        <v>591.79999999999995</v>
      </c>
      <c r="V46" s="412"/>
      <c r="W46" s="432" t="s">
        <v>89</v>
      </c>
      <c r="X46" s="410">
        <v>2016</v>
      </c>
      <c r="Y46" s="410" t="s">
        <v>26</v>
      </c>
      <c r="Z46" s="410" t="s">
        <v>1</v>
      </c>
      <c r="AA46" s="412">
        <v>15.2</v>
      </c>
      <c r="AB46" s="413"/>
      <c r="AC46" s="718"/>
      <c r="AD46" s="718"/>
      <c r="AE46" s="718"/>
      <c r="AF46" s="718"/>
      <c r="AG46" s="718"/>
      <c r="AH46" s="718"/>
      <c r="AI46" s="718"/>
      <c r="AJ46" s="418"/>
    </row>
    <row r="47" spans="1:36" s="815" customFormat="1">
      <c r="A47" s="299" t="b">
        <v>0</v>
      </c>
      <c r="B47" s="299" t="s">
        <v>2266</v>
      </c>
      <c r="C47" s="299" t="b">
        <f t="shared" si="10"/>
        <v>0</v>
      </c>
      <c r="D47" s="428" t="str">
        <f>IF(C47=FALSE=NAMES!$B$8,"",IF(F47="N/A","N/A",X47&amp;W47&amp;F47&amp;"-"&amp;G47&amp;H47))</f>
        <v>2016USDAIG Luxembourg-Healthcare PlanPerfect S</v>
      </c>
      <c r="E47" s="429" t="str">
        <f t="shared" si="7"/>
        <v>2016USDAIG Luxembourg-Healthcare PlanPerfect S</v>
      </c>
      <c r="F47" s="432" t="s">
        <v>4</v>
      </c>
      <c r="G47" s="718" t="s">
        <v>3</v>
      </c>
      <c r="H47" s="432" t="s">
        <v>2642</v>
      </c>
      <c r="I47" s="432" t="s">
        <v>2225</v>
      </c>
      <c r="J47" s="432"/>
      <c r="K47" s="432"/>
      <c r="L47" s="718">
        <v>365</v>
      </c>
      <c r="M47" s="718"/>
      <c r="N47" s="411">
        <v>0.25</v>
      </c>
      <c r="O47" s="431">
        <f t="shared" si="2"/>
        <v>1165.3846153846152</v>
      </c>
      <c r="P47" s="411">
        <v>0</v>
      </c>
      <c r="Q47" s="412">
        <v>0</v>
      </c>
      <c r="R47" s="1359">
        <f t="shared" si="4"/>
        <v>1165.3846153846152</v>
      </c>
      <c r="S47" s="411">
        <v>0.04</v>
      </c>
      <c r="T47" s="393">
        <f t="shared" si="3"/>
        <v>46.615384615384613</v>
      </c>
      <c r="U47" s="412">
        <v>1212</v>
      </c>
      <c r="V47" s="412"/>
      <c r="W47" s="432" t="s">
        <v>89</v>
      </c>
      <c r="X47" s="410">
        <v>2016</v>
      </c>
      <c r="Y47" s="410" t="s">
        <v>26</v>
      </c>
      <c r="Z47" s="410" t="s">
        <v>1</v>
      </c>
      <c r="AA47" s="412">
        <v>13.2</v>
      </c>
      <c r="AB47" s="413"/>
      <c r="AC47" s="718"/>
      <c r="AD47" s="718"/>
      <c r="AE47" s="718"/>
      <c r="AF47" s="718"/>
      <c r="AG47" s="718"/>
      <c r="AH47" s="718"/>
      <c r="AI47" s="718"/>
      <c r="AJ47" s="418"/>
    </row>
    <row r="48" spans="1:36" s="815" customFormat="1">
      <c r="A48" s="299" t="b">
        <v>0</v>
      </c>
      <c r="B48" s="299" t="s">
        <v>2266</v>
      </c>
      <c r="C48" s="299" t="b">
        <f t="shared" si="10"/>
        <v>0</v>
      </c>
      <c r="D48" s="428" t="str">
        <f>IF(C48=FALSE=NAMES!$B$8,"",IF(F48="N/A","N/A",X48&amp;W48&amp;F48&amp;"-"&amp;G48&amp;H48))</f>
        <v>2016USDAIG Luxembourg-Healthcare PlanPerfect Plus</v>
      </c>
      <c r="E48" s="429" t="str">
        <f t="shared" si="7"/>
        <v>2016USDAIG Luxembourg-Healthcare PlanPerfect Plus</v>
      </c>
      <c r="F48" s="432" t="s">
        <v>4</v>
      </c>
      <c r="G48" s="718" t="s">
        <v>3</v>
      </c>
      <c r="H48" s="432" t="s">
        <v>2643</v>
      </c>
      <c r="I48" s="432" t="s">
        <v>2225</v>
      </c>
      <c r="J48" s="432"/>
      <c r="K48" s="432"/>
      <c r="L48" s="718">
        <v>365</v>
      </c>
      <c r="M48" s="718"/>
      <c r="N48" s="411">
        <v>0.25</v>
      </c>
      <c r="O48" s="431">
        <f t="shared" si="2"/>
        <v>1165.3846153846152</v>
      </c>
      <c r="P48" s="411">
        <v>0</v>
      </c>
      <c r="Q48" s="412">
        <v>0</v>
      </c>
      <c r="R48" s="1359">
        <f t="shared" si="4"/>
        <v>1165.3846153846152</v>
      </c>
      <c r="S48" s="411">
        <v>0.04</v>
      </c>
      <c r="T48" s="393">
        <f t="shared" si="3"/>
        <v>46.615384615384613</v>
      </c>
      <c r="U48" s="412">
        <v>1212</v>
      </c>
      <c r="V48" s="412"/>
      <c r="W48" s="432" t="s">
        <v>89</v>
      </c>
      <c r="X48" s="410">
        <v>2016</v>
      </c>
      <c r="Y48" s="410" t="s">
        <v>26</v>
      </c>
      <c r="Z48" s="410" t="s">
        <v>1</v>
      </c>
      <c r="AA48" s="412">
        <v>36.200000000000003</v>
      </c>
      <c r="AB48" s="413"/>
      <c r="AC48" s="718" t="s">
        <v>2150</v>
      </c>
      <c r="AD48" s="718" t="s">
        <v>2179</v>
      </c>
      <c r="AE48" s="718" t="s">
        <v>2179</v>
      </c>
      <c r="AF48" s="718" t="s">
        <v>2180</v>
      </c>
      <c r="AG48" s="718" t="s">
        <v>2180</v>
      </c>
      <c r="AH48" s="718" t="s">
        <v>2180</v>
      </c>
      <c r="AI48" s="718" t="s">
        <v>2180</v>
      </c>
      <c r="AJ48" s="418" t="s">
        <v>87</v>
      </c>
    </row>
    <row r="49" spans="1:36" ht="15.75" thickBot="1">
      <c r="A49" s="299" t="b">
        <v>0</v>
      </c>
      <c r="B49" s="299" t="s">
        <v>2266</v>
      </c>
      <c r="C49" s="299" t="b">
        <f t="shared" ref="C49:C116" si="11">IF(B49="N/A","",IF(B49="newRates",FALSE,TRUE))</f>
        <v>0</v>
      </c>
      <c r="D49" s="428" t="str">
        <f>IF(C49=FALSE=NAMES!$B$8,"",IF(F49="N/A","N/A",X49&amp;W49&amp;F49&amp;"-"&amp;G49&amp;H49))</f>
        <v>N/A</v>
      </c>
      <c r="E49" s="429" t="str">
        <f t="shared" si="7"/>
        <v>N/A</v>
      </c>
      <c r="F49" s="429" t="s">
        <v>2236</v>
      </c>
      <c r="G49" s="429" t="s">
        <v>2236</v>
      </c>
      <c r="H49" s="432"/>
      <c r="I49" s="432"/>
      <c r="J49" s="432"/>
      <c r="K49" s="432"/>
      <c r="L49" s="421"/>
      <c r="M49" s="421"/>
      <c r="N49" s="411"/>
      <c r="O49" s="431" t="str">
        <f t="shared" si="2"/>
        <v/>
      </c>
      <c r="P49" s="411" t="s">
        <v>2243</v>
      </c>
      <c r="Q49" s="431"/>
      <c r="R49" s="1359" t="str">
        <f t="shared" si="4"/>
        <v/>
      </c>
      <c r="S49" s="411"/>
      <c r="T49" s="411"/>
      <c r="U49" s="412"/>
      <c r="V49" s="412"/>
      <c r="W49" s="432"/>
      <c r="X49" s="410"/>
      <c r="Y49" s="410"/>
      <c r="Z49" s="410"/>
      <c r="AA49" s="412"/>
      <c r="AB49" s="413"/>
      <c r="AC49" s="421"/>
      <c r="AD49" s="421"/>
      <c r="AE49" s="421"/>
      <c r="AF49" s="421"/>
      <c r="AG49" s="421"/>
      <c r="AH49" s="421"/>
      <c r="AI49" s="421"/>
      <c r="AJ49" s="418"/>
    </row>
    <row r="50" spans="1:36" s="409" customFormat="1" ht="85.5" customHeight="1">
      <c r="A50" s="299"/>
      <c r="B50" s="429" t="s">
        <v>2236</v>
      </c>
      <c r="C50" s="299" t="str">
        <f t="shared" si="11"/>
        <v/>
      </c>
      <c r="D50" s="394" t="s">
        <v>2006</v>
      </c>
      <c r="E50" s="427"/>
      <c r="F50" s="427"/>
      <c r="G50" s="1388" t="s">
        <v>2118</v>
      </c>
      <c r="H50" s="1388" t="s">
        <v>2238</v>
      </c>
      <c r="I50" s="1388" t="s">
        <v>2224</v>
      </c>
      <c r="J50" s="1388" t="s">
        <v>1153</v>
      </c>
      <c r="K50" s="1389" t="s">
        <v>2239</v>
      </c>
      <c r="L50" s="1389" t="s">
        <v>2113</v>
      </c>
      <c r="M50" s="1390" t="s">
        <v>2234</v>
      </c>
      <c r="N50" s="1389" t="s">
        <v>2368</v>
      </c>
      <c r="O50" s="1389" t="s">
        <v>2235</v>
      </c>
      <c r="P50" s="1389" t="s">
        <v>23</v>
      </c>
      <c r="Q50" s="1389" t="s">
        <v>2841</v>
      </c>
      <c r="R50" s="1389" t="s">
        <v>2842</v>
      </c>
      <c r="S50" s="1389" t="s">
        <v>2840</v>
      </c>
      <c r="T50" s="1389" t="s">
        <v>2237</v>
      </c>
      <c r="U50" s="1389" t="s">
        <v>2241</v>
      </c>
      <c r="V50" s="1389"/>
      <c r="W50" s="1389" t="s">
        <v>2119</v>
      </c>
      <c r="X50" s="1388" t="s">
        <v>2240</v>
      </c>
      <c r="Y50" s="1388" t="s">
        <v>2242</v>
      </c>
      <c r="Z50" s="1388" t="s">
        <v>2551</v>
      </c>
      <c r="AA50" s="1389" t="s">
        <v>2265</v>
      </c>
      <c r="AB50" s="410"/>
      <c r="AC50" s="415" t="s">
        <v>2151</v>
      </c>
      <c r="AD50" s="415" t="s">
        <v>30</v>
      </c>
      <c r="AE50" s="416" t="s">
        <v>137</v>
      </c>
      <c r="AF50" s="416" t="s">
        <v>92</v>
      </c>
      <c r="AG50" s="416" t="s">
        <v>1784</v>
      </c>
      <c r="AH50" s="416" t="s">
        <v>90</v>
      </c>
      <c r="AI50" s="416" t="s">
        <v>91</v>
      </c>
      <c r="AJ50" s="183"/>
    </row>
    <row r="51" spans="1:36" s="409" customFormat="1">
      <c r="A51" s="299" t="b">
        <v>0</v>
      </c>
      <c r="B51" s="299" t="s">
        <v>2267</v>
      </c>
      <c r="C51" s="299" t="b">
        <f t="shared" si="11"/>
        <v>1</v>
      </c>
      <c r="D51" s="428" t="str">
        <f>IF(C51=FALSE=NAMES!$B$8,"",IF(F51="N/A","N/A",X51&amp;W51&amp;F51&amp;"-"&amp;G51&amp;H51))</f>
        <v/>
      </c>
      <c r="E51" s="429" t="str">
        <f t="shared" ref="E51:E77" si="12">IF(F51="N/A","N/A",X51&amp;W51&amp;F51&amp;"-"&amp;G51&amp;H51)</f>
        <v>N/A</v>
      </c>
      <c r="F51" s="429" t="s">
        <v>2236</v>
      </c>
      <c r="G51" s="429" t="s">
        <v>2236</v>
      </c>
      <c r="H51" s="432"/>
      <c r="I51" s="432"/>
      <c r="J51" s="432"/>
      <c r="K51" s="432"/>
      <c r="L51" s="421"/>
      <c r="M51" s="421"/>
      <c r="N51" s="411"/>
      <c r="O51" s="395" t="str">
        <f t="shared" ref="O51:O82" si="13">IF(E51="N/A","",U51/1.04)</f>
        <v/>
      </c>
      <c r="P51" s="411" t="str">
        <f t="shared" ref="P51" si="14">IF(E51="N/A","",$P$2)</f>
        <v/>
      </c>
      <c r="Q51" s="395"/>
      <c r="R51" s="1359" t="str">
        <f>IF(E51="N/A","",O51+Q51)</f>
        <v/>
      </c>
      <c r="S51" s="411"/>
      <c r="T51" s="393" t="str">
        <f t="shared" ref="T51:T97" si="15">IF(F51="N/A","",O51*S51)</f>
        <v/>
      </c>
      <c r="U51" s="412"/>
      <c r="V51" s="412"/>
      <c r="W51" s="432"/>
      <c r="X51" s="410"/>
      <c r="Y51" s="410"/>
      <c r="Z51" s="410"/>
      <c r="AA51" s="412"/>
      <c r="AB51" s="413"/>
      <c r="AC51" s="421"/>
      <c r="AD51" s="421"/>
      <c r="AE51" s="421"/>
      <c r="AF51" s="421"/>
      <c r="AG51" s="421"/>
      <c r="AH51" s="421"/>
      <c r="AI51" s="421"/>
      <c r="AJ51" s="418"/>
    </row>
    <row r="52" spans="1:36" s="409" customFormat="1">
      <c r="A52" s="299" t="b">
        <v>0</v>
      </c>
      <c r="B52" s="299" t="s">
        <v>2267</v>
      </c>
      <c r="C52" s="299" t="b">
        <f t="shared" si="11"/>
        <v>1</v>
      </c>
      <c r="D52" s="428" t="str">
        <f>IF(C52=FALSE=NAMES!$B$8,"",IF(F52="N/A","N/A",X52&amp;W52&amp;F52&amp;"-"&amp;G52&amp;H52))</f>
        <v/>
      </c>
      <c r="E52" s="429" t="str">
        <f t="shared" si="12"/>
        <v>2015USDAIG Luxembourg-Healthcare PlanComfort</v>
      </c>
      <c r="F52" s="432" t="s">
        <v>4</v>
      </c>
      <c r="G52" s="421" t="s">
        <v>3</v>
      </c>
      <c r="H52" s="432" t="s">
        <v>2123</v>
      </c>
      <c r="I52" s="432" t="s">
        <v>2225</v>
      </c>
      <c r="J52" s="432"/>
      <c r="K52" s="432"/>
      <c r="L52" s="421">
        <v>365</v>
      </c>
      <c r="M52" s="421"/>
      <c r="N52" s="411">
        <v>0.25</v>
      </c>
      <c r="O52" s="395">
        <f t="shared" si="13"/>
        <v>517.30769230769226</v>
      </c>
      <c r="P52" s="411">
        <v>0</v>
      </c>
      <c r="Q52" s="412">
        <v>0</v>
      </c>
      <c r="R52" s="1359">
        <f t="shared" ref="R52:R115" si="16">IF(E52="N/A","",O52+Q52)</f>
        <v>517.30769230769226</v>
      </c>
      <c r="S52" s="411">
        <v>0.04</v>
      </c>
      <c r="T52" s="393">
        <f t="shared" si="15"/>
        <v>20.69230769230769</v>
      </c>
      <c r="U52" s="412">
        <v>538</v>
      </c>
      <c r="V52" s="412"/>
      <c r="W52" s="432" t="s">
        <v>89</v>
      </c>
      <c r="X52" s="410">
        <v>2015</v>
      </c>
      <c r="Y52" s="410" t="s">
        <v>26</v>
      </c>
      <c r="Z52" s="410" t="s">
        <v>1</v>
      </c>
      <c r="AA52" s="412">
        <v>65</v>
      </c>
      <c r="AB52" s="413"/>
      <c r="AC52" s="421" t="s">
        <v>2150</v>
      </c>
      <c r="AD52" s="421" t="s">
        <v>2179</v>
      </c>
      <c r="AE52" s="421" t="s">
        <v>2179</v>
      </c>
      <c r="AF52" s="421" t="s">
        <v>2180</v>
      </c>
      <c r="AG52" s="421" t="s">
        <v>2180</v>
      </c>
      <c r="AH52" s="421" t="s">
        <v>2180</v>
      </c>
      <c r="AI52" s="421" t="s">
        <v>2180</v>
      </c>
      <c r="AJ52" s="418" t="s">
        <v>87</v>
      </c>
    </row>
    <row r="53" spans="1:36" s="409" customFormat="1">
      <c r="A53" s="299" t="b">
        <v>0</v>
      </c>
      <c r="B53" s="299" t="s">
        <v>2267</v>
      </c>
      <c r="C53" s="299" t="b">
        <f t="shared" si="11"/>
        <v>1</v>
      </c>
      <c r="D53" s="428" t="str">
        <f>IF(C53=FALSE=NAMES!$B$8,"",IF(F53="N/A","N/A",X53&amp;W53&amp;F53&amp;"-"&amp;G53&amp;H53))</f>
        <v/>
      </c>
      <c r="E53" s="429" t="str">
        <f t="shared" si="12"/>
        <v>2015USDAIG Luxembourg-Healthcare PlanCOMFORTMLC</v>
      </c>
      <c r="F53" s="432" t="s">
        <v>4</v>
      </c>
      <c r="G53" s="421" t="s">
        <v>3</v>
      </c>
      <c r="H53" s="432" t="s">
        <v>2279</v>
      </c>
      <c r="I53" s="432" t="s">
        <v>2225</v>
      </c>
      <c r="J53" s="432"/>
      <c r="K53" s="432"/>
      <c r="L53" s="421">
        <v>365</v>
      </c>
      <c r="M53" s="421"/>
      <c r="N53" s="411">
        <v>0.25</v>
      </c>
      <c r="O53" s="395">
        <f t="shared" si="13"/>
        <v>517.30769230769226</v>
      </c>
      <c r="P53" s="411">
        <v>0</v>
      </c>
      <c r="Q53" s="412">
        <v>0</v>
      </c>
      <c r="R53" s="1359">
        <f t="shared" si="16"/>
        <v>517.30769230769226</v>
      </c>
      <c r="S53" s="411">
        <v>0.04</v>
      </c>
      <c r="T53" s="393">
        <f t="shared" si="15"/>
        <v>20.69230769230769</v>
      </c>
      <c r="U53" s="412">
        <v>538</v>
      </c>
      <c r="V53" s="412"/>
      <c r="W53" s="432" t="s">
        <v>89</v>
      </c>
      <c r="X53" s="410">
        <v>2015</v>
      </c>
      <c r="Y53" s="410" t="s">
        <v>26</v>
      </c>
      <c r="Z53" s="410" t="s">
        <v>1</v>
      </c>
      <c r="AA53" s="412">
        <v>65</v>
      </c>
      <c r="AB53" s="413"/>
      <c r="AC53" s="421" t="s">
        <v>2150</v>
      </c>
      <c r="AD53" s="421" t="s">
        <v>2179</v>
      </c>
      <c r="AE53" s="421" t="s">
        <v>2179</v>
      </c>
      <c r="AF53" s="421" t="s">
        <v>2180</v>
      </c>
      <c r="AG53" s="421" t="s">
        <v>2180</v>
      </c>
      <c r="AH53" s="421" t="s">
        <v>2180</v>
      </c>
      <c r="AI53" s="421" t="s">
        <v>2180</v>
      </c>
      <c r="AJ53" s="418" t="s">
        <v>87</v>
      </c>
    </row>
    <row r="54" spans="1:36" s="409" customFormat="1">
      <c r="A54" s="299" t="b">
        <v>0</v>
      </c>
      <c r="B54" s="299" t="s">
        <v>2267</v>
      </c>
      <c r="C54" s="299" t="b">
        <f t="shared" si="11"/>
        <v>1</v>
      </c>
      <c r="D54" s="428" t="str">
        <f>IF(C54=FALSE=NAMES!$B$8,"",IF(F54="N/A","N/A",X54&amp;W54&amp;F54&amp;"-"&amp;G54&amp;H54))</f>
        <v/>
      </c>
      <c r="E54" s="429" t="str">
        <f t="shared" si="12"/>
        <v>2015USDAIG Luxembourg-Healthcare PlanPRESTIGE</v>
      </c>
      <c r="F54" s="432" t="s">
        <v>4</v>
      </c>
      <c r="G54" s="421" t="s">
        <v>3</v>
      </c>
      <c r="H54" s="432" t="s">
        <v>88</v>
      </c>
      <c r="I54" s="432" t="s">
        <v>2225</v>
      </c>
      <c r="J54" s="432"/>
      <c r="K54" s="432"/>
      <c r="L54" s="421">
        <v>365</v>
      </c>
      <c r="M54" s="421"/>
      <c r="N54" s="411">
        <v>0.25</v>
      </c>
      <c r="O54" s="395">
        <f t="shared" si="13"/>
        <v>1055.7692307692307</v>
      </c>
      <c r="P54" s="411">
        <v>0</v>
      </c>
      <c r="Q54" s="412">
        <v>0</v>
      </c>
      <c r="R54" s="1359">
        <f t="shared" si="16"/>
        <v>1055.7692307692307</v>
      </c>
      <c r="S54" s="411">
        <v>0.04</v>
      </c>
      <c r="T54" s="393">
        <f t="shared" si="15"/>
        <v>42.230769230769226</v>
      </c>
      <c r="U54" s="412">
        <v>1098</v>
      </c>
      <c r="V54" s="412"/>
      <c r="W54" s="432" t="s">
        <v>89</v>
      </c>
      <c r="X54" s="410">
        <v>2015</v>
      </c>
      <c r="Y54" s="410" t="s">
        <v>26</v>
      </c>
      <c r="Z54" s="410" t="s">
        <v>1</v>
      </c>
      <c r="AA54" s="412">
        <v>35</v>
      </c>
      <c r="AB54" s="413"/>
      <c r="AC54" s="421" t="s">
        <v>2150</v>
      </c>
      <c r="AD54" s="421" t="s">
        <v>2179</v>
      </c>
      <c r="AE54" s="421" t="s">
        <v>2179</v>
      </c>
      <c r="AF54" s="421" t="s">
        <v>2180</v>
      </c>
      <c r="AG54" s="421" t="s">
        <v>2180</v>
      </c>
      <c r="AH54" s="421" t="s">
        <v>2180</v>
      </c>
      <c r="AI54" s="421" t="s">
        <v>2180</v>
      </c>
      <c r="AJ54" s="418" t="s">
        <v>87</v>
      </c>
    </row>
    <row r="55" spans="1:36" s="409" customFormat="1">
      <c r="A55" s="299" t="b">
        <v>0</v>
      </c>
      <c r="B55" s="299" t="s">
        <v>2267</v>
      </c>
      <c r="C55" s="299" t="b">
        <f t="shared" si="11"/>
        <v>1</v>
      </c>
      <c r="D55" s="428" t="str">
        <f>IF(C55=FALSE=NAMES!$B$8,"",IF(F55="N/A","N/A",X55&amp;W55&amp;F55&amp;"-"&amp;G55&amp;H55))</f>
        <v/>
      </c>
      <c r="E55" s="429" t="str">
        <f t="shared" si="12"/>
        <v>2015USDAIG Luxembourg-Healthcare PlanPrestige Plus</v>
      </c>
      <c r="F55" s="432" t="s">
        <v>4</v>
      </c>
      <c r="G55" s="421" t="s">
        <v>3</v>
      </c>
      <c r="H55" s="432" t="s">
        <v>2085</v>
      </c>
      <c r="I55" s="432" t="s">
        <v>2225</v>
      </c>
      <c r="J55" s="432"/>
      <c r="K55" s="432"/>
      <c r="L55" s="421">
        <v>365</v>
      </c>
      <c r="M55" s="421"/>
      <c r="N55" s="411">
        <v>0.25</v>
      </c>
      <c r="O55" s="395">
        <f t="shared" si="13"/>
        <v>1055.7692307692307</v>
      </c>
      <c r="P55" s="411">
        <v>0</v>
      </c>
      <c r="Q55" s="412">
        <v>0</v>
      </c>
      <c r="R55" s="1359">
        <f t="shared" si="16"/>
        <v>1055.7692307692307</v>
      </c>
      <c r="S55" s="411">
        <v>0.04</v>
      </c>
      <c r="T55" s="393">
        <f t="shared" si="15"/>
        <v>42.230769230769226</v>
      </c>
      <c r="U55" s="412">
        <v>1098</v>
      </c>
      <c r="V55" s="412"/>
      <c r="W55" s="432" t="s">
        <v>89</v>
      </c>
      <c r="X55" s="410">
        <v>2015</v>
      </c>
      <c r="Y55" s="410" t="s">
        <v>26</v>
      </c>
      <c r="Z55" s="410" t="s">
        <v>1</v>
      </c>
      <c r="AA55" s="412">
        <v>35</v>
      </c>
      <c r="AB55" s="413"/>
      <c r="AC55" s="421" t="s">
        <v>2150</v>
      </c>
      <c r="AD55" s="421" t="s">
        <v>2179</v>
      </c>
      <c r="AE55" s="421" t="s">
        <v>2179</v>
      </c>
      <c r="AF55" s="421" t="s">
        <v>2180</v>
      </c>
      <c r="AG55" s="421" t="s">
        <v>2180</v>
      </c>
      <c r="AH55" s="421" t="s">
        <v>2180</v>
      </c>
      <c r="AI55" s="421" t="s">
        <v>2180</v>
      </c>
      <c r="AJ55" s="418" t="s">
        <v>87</v>
      </c>
    </row>
    <row r="56" spans="1:36" s="409" customFormat="1">
      <c r="A56" s="299" t="b">
        <v>0</v>
      </c>
      <c r="B56" s="299" t="s">
        <v>2267</v>
      </c>
      <c r="C56" s="299" t="b">
        <f t="shared" si="11"/>
        <v>1</v>
      </c>
      <c r="D56" s="428" t="str">
        <f>IF(C56=FALSE=NAMES!$B$8,"",IF(F56="N/A","N/A",X56&amp;W56&amp;F56&amp;"-"&amp;G56&amp;H56))</f>
        <v/>
      </c>
      <c r="E56" s="429" t="str">
        <f t="shared" si="12"/>
        <v>2015USDAnker Verzekeringen n.v.-Healthcare PlanMedical Excellent and Homeland</v>
      </c>
      <c r="F56" s="432" t="s">
        <v>7</v>
      </c>
      <c r="G56" s="421" t="s">
        <v>3</v>
      </c>
      <c r="H56" s="432" t="s">
        <v>2128</v>
      </c>
      <c r="I56" s="432" t="s">
        <v>2225</v>
      </c>
      <c r="J56" s="432"/>
      <c r="K56" s="432"/>
      <c r="L56" s="421">
        <v>365</v>
      </c>
      <c r="M56" s="421"/>
      <c r="N56" s="411">
        <v>0.27500000000000002</v>
      </c>
      <c r="O56" s="395">
        <f t="shared" si="13"/>
        <v>1159.6923076923076</v>
      </c>
      <c r="P56" s="411">
        <v>0</v>
      </c>
      <c r="Q56" s="412">
        <v>0</v>
      </c>
      <c r="R56" s="1359">
        <f t="shared" si="16"/>
        <v>1159.6923076923076</v>
      </c>
      <c r="S56" s="411">
        <v>0.04</v>
      </c>
      <c r="T56" s="393">
        <f t="shared" si="15"/>
        <v>46.387692307692305</v>
      </c>
      <c r="U56" s="396">
        <v>1206.08</v>
      </c>
      <c r="V56" s="396"/>
      <c r="W56" s="432" t="s">
        <v>89</v>
      </c>
      <c r="X56" s="410">
        <v>2015</v>
      </c>
      <c r="Y56" s="410" t="s">
        <v>2246</v>
      </c>
      <c r="Z56" s="410" t="s">
        <v>1</v>
      </c>
      <c r="AA56" s="412">
        <v>547.5</v>
      </c>
      <c r="AB56" s="413"/>
      <c r="AC56" s="421" t="s">
        <v>2150</v>
      </c>
      <c r="AD56" s="421" t="s">
        <v>2179</v>
      </c>
      <c r="AE56" s="421" t="s">
        <v>2179</v>
      </c>
      <c r="AF56" s="421" t="s">
        <v>2180</v>
      </c>
      <c r="AG56" s="421" t="s">
        <v>2180</v>
      </c>
      <c r="AH56" s="421" t="s">
        <v>2180</v>
      </c>
      <c r="AI56" s="421" t="s">
        <v>2180</v>
      </c>
      <c r="AJ56" s="418" t="s">
        <v>87</v>
      </c>
    </row>
    <row r="57" spans="1:36" s="422" customFormat="1">
      <c r="A57" s="197" t="b">
        <v>0</v>
      </c>
      <c r="B57" s="197" t="s">
        <v>2267</v>
      </c>
      <c r="C57" s="197" t="b">
        <f t="shared" si="11"/>
        <v>1</v>
      </c>
      <c r="D57" s="548" t="str">
        <f>IF(C57=FALSE=NAMES!$B$8,"",IF(F57="N/A","N/A",X57&amp;W57&amp;F57&amp;"-"&amp;G57&amp;H57))</f>
        <v/>
      </c>
      <c r="E57" s="432" t="str">
        <f t="shared" si="12"/>
        <v>2015USDAIG Luxembourg-Healthcare PlanComfort S</v>
      </c>
      <c r="F57" s="432" t="s">
        <v>4</v>
      </c>
      <c r="G57" s="421" t="s">
        <v>3</v>
      </c>
      <c r="H57" s="432" t="s">
        <v>2124</v>
      </c>
      <c r="I57" s="432" t="s">
        <v>2225</v>
      </c>
      <c r="J57" s="432"/>
      <c r="K57" s="432"/>
      <c r="L57" s="421">
        <v>365</v>
      </c>
      <c r="M57" s="421"/>
      <c r="N57" s="411">
        <v>0.25</v>
      </c>
      <c r="O57" s="395">
        <f t="shared" si="13"/>
        <v>517.30769230769226</v>
      </c>
      <c r="P57" s="411">
        <v>0</v>
      </c>
      <c r="Q57" s="412">
        <v>0</v>
      </c>
      <c r="R57" s="1359">
        <f t="shared" si="16"/>
        <v>517.30769230769226</v>
      </c>
      <c r="S57" s="411">
        <v>0.04</v>
      </c>
      <c r="T57" s="393">
        <f t="shared" si="15"/>
        <v>20.69230769230769</v>
      </c>
      <c r="U57" s="412">
        <v>538</v>
      </c>
      <c r="V57" s="412"/>
      <c r="W57" s="432" t="s">
        <v>89</v>
      </c>
      <c r="X57" s="410">
        <v>2015</v>
      </c>
      <c r="Y57" s="410" t="s">
        <v>26</v>
      </c>
      <c r="Z57" s="410" t="s">
        <v>1</v>
      </c>
      <c r="AA57" s="412">
        <v>10</v>
      </c>
      <c r="AB57" s="413"/>
      <c r="AC57" s="421"/>
      <c r="AD57" s="421"/>
      <c r="AE57" s="421"/>
      <c r="AF57" s="421"/>
      <c r="AG57" s="421"/>
      <c r="AH57" s="421"/>
      <c r="AI57" s="421"/>
      <c r="AJ57" s="418"/>
    </row>
    <row r="58" spans="1:36" s="422" customFormat="1">
      <c r="A58" s="197" t="b">
        <v>0</v>
      </c>
      <c r="B58" s="197" t="s">
        <v>2267</v>
      </c>
      <c r="C58" s="197" t="b">
        <f t="shared" si="11"/>
        <v>1</v>
      </c>
      <c r="D58" s="548" t="str">
        <f>IF(C58=FALSE=NAMES!$B$8,"",IF(F58="N/A","N/A",X58&amp;W58&amp;F58&amp;"-"&amp;G58&amp;H58))</f>
        <v/>
      </c>
      <c r="E58" s="432" t="str">
        <f t="shared" si="12"/>
        <v>2015USDAIG Luxembourg-Healthcare PlanComfort MLC S</v>
      </c>
      <c r="F58" s="432" t="s">
        <v>4</v>
      </c>
      <c r="G58" s="421" t="s">
        <v>3</v>
      </c>
      <c r="H58" s="432" t="s">
        <v>2125</v>
      </c>
      <c r="I58" s="432" t="s">
        <v>2225</v>
      </c>
      <c r="J58" s="432"/>
      <c r="K58" s="432"/>
      <c r="L58" s="421">
        <v>365</v>
      </c>
      <c r="M58" s="421"/>
      <c r="N58" s="411">
        <v>0.25</v>
      </c>
      <c r="O58" s="395">
        <f t="shared" si="13"/>
        <v>517.30769230769226</v>
      </c>
      <c r="P58" s="411">
        <v>0</v>
      </c>
      <c r="Q58" s="412">
        <v>0</v>
      </c>
      <c r="R58" s="1359">
        <f t="shared" si="16"/>
        <v>517.30769230769226</v>
      </c>
      <c r="S58" s="411">
        <v>0.04</v>
      </c>
      <c r="T58" s="393">
        <f t="shared" si="15"/>
        <v>20.69230769230769</v>
      </c>
      <c r="U58" s="412">
        <v>538</v>
      </c>
      <c r="V58" s="412"/>
      <c r="W58" s="432" t="s">
        <v>89</v>
      </c>
      <c r="X58" s="410">
        <v>2015</v>
      </c>
      <c r="Y58" s="410" t="s">
        <v>26</v>
      </c>
      <c r="Z58" s="410" t="s">
        <v>1</v>
      </c>
      <c r="AA58" s="412">
        <v>10</v>
      </c>
      <c r="AB58" s="413"/>
      <c r="AC58" s="421"/>
      <c r="AD58" s="421"/>
      <c r="AE58" s="421"/>
      <c r="AF58" s="421"/>
      <c r="AG58" s="421"/>
      <c r="AH58" s="421"/>
      <c r="AI58" s="421"/>
      <c r="AJ58" s="418"/>
    </row>
    <row r="59" spans="1:36" s="422" customFormat="1">
      <c r="A59" s="197" t="b">
        <v>0</v>
      </c>
      <c r="B59" s="197" t="s">
        <v>2267</v>
      </c>
      <c r="C59" s="197" t="b">
        <f t="shared" si="11"/>
        <v>1</v>
      </c>
      <c r="D59" s="548" t="str">
        <f>IF(C59=FALSE=NAMES!$B$8,"",IF(F59="N/A","N/A",X59&amp;W59&amp;F59&amp;"-"&amp;G59&amp;H59))</f>
        <v/>
      </c>
      <c r="E59" s="432" t="str">
        <f t="shared" si="12"/>
        <v>2015USDAIG Luxembourg-Healthcare PlanPrestige S</v>
      </c>
      <c r="F59" s="432" t="s">
        <v>4</v>
      </c>
      <c r="G59" s="421" t="s">
        <v>3</v>
      </c>
      <c r="H59" s="432" t="s">
        <v>2074</v>
      </c>
      <c r="I59" s="432" t="s">
        <v>2225</v>
      </c>
      <c r="J59" s="432"/>
      <c r="K59" s="432"/>
      <c r="L59" s="421">
        <v>365</v>
      </c>
      <c r="M59" s="421"/>
      <c r="N59" s="411">
        <v>0.25</v>
      </c>
      <c r="O59" s="395">
        <f t="shared" si="13"/>
        <v>1055.7692307692307</v>
      </c>
      <c r="P59" s="411">
        <v>0</v>
      </c>
      <c r="Q59" s="412">
        <v>0</v>
      </c>
      <c r="R59" s="1359">
        <f t="shared" si="16"/>
        <v>1055.7692307692307</v>
      </c>
      <c r="S59" s="411">
        <v>0.04</v>
      </c>
      <c r="T59" s="393">
        <f t="shared" si="15"/>
        <v>42.230769230769226</v>
      </c>
      <c r="U59" s="412">
        <v>1098</v>
      </c>
      <c r="V59" s="412"/>
      <c r="W59" s="432" t="s">
        <v>89</v>
      </c>
      <c r="X59" s="410">
        <v>2015</v>
      </c>
      <c r="Y59" s="410" t="s">
        <v>26</v>
      </c>
      <c r="Z59" s="410" t="s">
        <v>1</v>
      </c>
      <c r="AA59" s="412">
        <v>10</v>
      </c>
      <c r="AB59" s="413"/>
      <c r="AC59" s="421"/>
      <c r="AD59" s="421"/>
      <c r="AE59" s="421"/>
      <c r="AF59" s="421"/>
      <c r="AG59" s="421"/>
      <c r="AH59" s="421"/>
      <c r="AI59" s="421"/>
      <c r="AJ59" s="418"/>
    </row>
    <row r="60" spans="1:36" s="422" customFormat="1">
      <c r="A60" s="197" t="b">
        <v>0</v>
      </c>
      <c r="B60" s="197" t="s">
        <v>2267</v>
      </c>
      <c r="C60" s="197" t="b">
        <f t="shared" si="11"/>
        <v>1</v>
      </c>
      <c r="D60" s="548" t="str">
        <f>IF(C60=FALSE=NAMES!$B$8,"",IF(F60="N/A","N/A",X60&amp;W60&amp;F60&amp;"-"&amp;G60&amp;H60))</f>
        <v/>
      </c>
      <c r="E60" s="432" t="str">
        <f t="shared" si="12"/>
        <v>2015USDAllianz-Healthcare PlanPrivilege 100</v>
      </c>
      <c r="F60" s="432" t="s">
        <v>2126</v>
      </c>
      <c r="G60" s="421" t="s">
        <v>3</v>
      </c>
      <c r="H60" s="432" t="s">
        <v>2127</v>
      </c>
      <c r="I60" s="432" t="s">
        <v>2225</v>
      </c>
      <c r="J60" s="432"/>
      <c r="K60" s="432"/>
      <c r="L60" s="421">
        <v>365</v>
      </c>
      <c r="M60" s="421"/>
      <c r="N60" s="411">
        <v>0.15</v>
      </c>
      <c r="O60" s="395">
        <f t="shared" si="13"/>
        <v>3050.9615384615386</v>
      </c>
      <c r="P60" s="411">
        <v>0</v>
      </c>
      <c r="Q60" s="412">
        <v>0</v>
      </c>
      <c r="R60" s="1359">
        <f t="shared" si="16"/>
        <v>3050.9615384615386</v>
      </c>
      <c r="S60" s="411">
        <v>0.04</v>
      </c>
      <c r="T60" s="393">
        <f t="shared" si="15"/>
        <v>122.03846153846155</v>
      </c>
      <c r="U60" s="412">
        <v>3173</v>
      </c>
      <c r="V60" s="412"/>
      <c r="W60" s="432" t="s">
        <v>89</v>
      </c>
      <c r="X60" s="410">
        <v>2015</v>
      </c>
      <c r="Y60" s="410" t="s">
        <v>26</v>
      </c>
      <c r="Z60" s="410" t="s">
        <v>1</v>
      </c>
      <c r="AA60" s="412"/>
      <c r="AB60" s="413"/>
      <c r="AC60" s="421"/>
      <c r="AD60" s="421"/>
      <c r="AE60" s="421"/>
      <c r="AF60" s="421"/>
      <c r="AG60" s="421"/>
      <c r="AH60" s="421"/>
      <c r="AI60" s="421"/>
      <c r="AJ60" s="418"/>
    </row>
    <row r="61" spans="1:36" s="422" customFormat="1">
      <c r="A61" s="197" t="b">
        <v>0</v>
      </c>
      <c r="B61" s="197" t="s">
        <v>2267</v>
      </c>
      <c r="C61" s="197" t="b">
        <f t="shared" si="11"/>
        <v>1</v>
      </c>
      <c r="D61" s="548" t="str">
        <f>IF(C61=FALSE=NAMES!$B$8,"",IF(F61="N/A","N/A",X61&amp;W61&amp;F61&amp;"-"&amp;G61&amp;H61))</f>
        <v/>
      </c>
      <c r="E61" s="432" t="str">
        <f t="shared" si="12"/>
        <v>2015USDAllianz-Healthcare PlanPrivilege 100</v>
      </c>
      <c r="F61" s="432" t="s">
        <v>2126</v>
      </c>
      <c r="G61" s="421" t="s">
        <v>3</v>
      </c>
      <c r="H61" s="432" t="s">
        <v>2127</v>
      </c>
      <c r="I61" s="432" t="s">
        <v>2226</v>
      </c>
      <c r="J61" s="432"/>
      <c r="K61" s="432"/>
      <c r="L61" s="421">
        <v>365</v>
      </c>
      <c r="M61" s="421"/>
      <c r="N61" s="411">
        <v>0.15</v>
      </c>
      <c r="O61" s="395">
        <f t="shared" si="13"/>
        <v>7486.538461538461</v>
      </c>
      <c r="P61" s="411">
        <v>0</v>
      </c>
      <c r="Q61" s="412">
        <v>0</v>
      </c>
      <c r="R61" s="1359">
        <f t="shared" si="16"/>
        <v>7486.538461538461</v>
      </c>
      <c r="S61" s="411">
        <v>0.04</v>
      </c>
      <c r="T61" s="393">
        <f t="shared" si="15"/>
        <v>299.46153846153845</v>
      </c>
      <c r="U61" s="412">
        <v>7786</v>
      </c>
      <c r="V61" s="412"/>
      <c r="W61" s="432" t="s">
        <v>89</v>
      </c>
      <c r="X61" s="410">
        <v>2015</v>
      </c>
      <c r="Y61" s="410" t="s">
        <v>26</v>
      </c>
      <c r="Z61" s="410" t="s">
        <v>1</v>
      </c>
      <c r="AA61" s="412"/>
      <c r="AB61" s="413"/>
      <c r="AC61" s="421"/>
      <c r="AD61" s="421"/>
      <c r="AE61" s="421"/>
      <c r="AF61" s="421"/>
      <c r="AG61" s="421"/>
      <c r="AH61" s="421"/>
      <c r="AI61" s="421"/>
      <c r="AJ61" s="418"/>
    </row>
    <row r="62" spans="1:36" s="422" customFormat="1">
      <c r="A62" s="197" t="b">
        <v>0</v>
      </c>
      <c r="B62" s="197" t="s">
        <v>2267</v>
      </c>
      <c r="C62" s="197" t="b">
        <f t="shared" ref="C62:C73" si="17">IF(B62="N/A","",IF(B62="newRates",FALSE,TRUE))</f>
        <v>1</v>
      </c>
      <c r="D62" s="548" t="str">
        <f>IF(C62=FALSE=NAMES!$B$8,"",IF(F62="N/A","N/A",X62&amp;W62&amp;F62&amp;"-"&amp;G62&amp;H62))</f>
        <v/>
      </c>
      <c r="E62" s="432" t="str">
        <f t="shared" si="12"/>
        <v>2015USDAIG Luxembourg-Healthcare PlanAdulte AIG expat 100% excluding USA/Canada</v>
      </c>
      <c r="F62" s="432" t="s">
        <v>4</v>
      </c>
      <c r="G62" s="421" t="s">
        <v>3</v>
      </c>
      <c r="H62" s="422" t="s">
        <v>2372</v>
      </c>
      <c r="I62" s="432" t="s">
        <v>2226</v>
      </c>
      <c r="J62" s="432"/>
      <c r="K62" s="432"/>
      <c r="L62" s="421">
        <v>365</v>
      </c>
      <c r="M62" s="393">
        <v>2612.1799999999998</v>
      </c>
      <c r="N62" s="411">
        <v>0.15</v>
      </c>
      <c r="O62" s="395">
        <f t="shared" si="13"/>
        <v>2612.1799999999998</v>
      </c>
      <c r="P62" s="411">
        <v>0</v>
      </c>
      <c r="Q62" s="412">
        <v>261.21800000000002</v>
      </c>
      <c r="R62" s="1359">
        <f t="shared" si="16"/>
        <v>2873.3979999999997</v>
      </c>
      <c r="S62" s="411">
        <v>0.04</v>
      </c>
      <c r="T62" s="393">
        <f t="shared" si="15"/>
        <v>104.4872</v>
      </c>
      <c r="U62" s="412">
        <v>2716.6671999999999</v>
      </c>
      <c r="V62" s="412"/>
      <c r="W62" s="432" t="s">
        <v>89</v>
      </c>
      <c r="X62" s="410">
        <v>2015</v>
      </c>
      <c r="Y62" s="410" t="s">
        <v>26</v>
      </c>
      <c r="Z62" s="410" t="s">
        <v>2180</v>
      </c>
      <c r="AA62" s="412">
        <v>15</v>
      </c>
      <c r="AB62" s="413"/>
      <c r="AC62" s="421"/>
      <c r="AD62" s="421"/>
      <c r="AE62" s="421"/>
      <c r="AF62" s="421"/>
      <c r="AG62" s="421"/>
      <c r="AH62" s="421"/>
      <c r="AI62" s="421"/>
      <c r="AJ62" s="418"/>
    </row>
    <row r="63" spans="1:36" s="422" customFormat="1">
      <c r="A63" s="197" t="b">
        <v>0</v>
      </c>
      <c r="B63" s="197" t="s">
        <v>2267</v>
      </c>
      <c r="C63" s="197" t="b">
        <f t="shared" si="17"/>
        <v>1</v>
      </c>
      <c r="D63" s="548" t="str">
        <f>IF(C63=FALSE=NAMES!$B$8,"",IF(F63="N/A","N/A",X63&amp;W63&amp;F63&amp;"-"&amp;G63&amp;H63))</f>
        <v/>
      </c>
      <c r="E63" s="432" t="str">
        <f t="shared" si="12"/>
        <v>2015USDAIG Luxembourg-Healthcare PlanAdulte AIG expat 100% including USA/Canada</v>
      </c>
      <c r="F63" s="432" t="s">
        <v>4</v>
      </c>
      <c r="G63" s="421" t="s">
        <v>3</v>
      </c>
      <c r="H63" s="422" t="s">
        <v>2373</v>
      </c>
      <c r="I63" s="432" t="s">
        <v>2226</v>
      </c>
      <c r="J63" s="432"/>
      <c r="K63" s="432"/>
      <c r="L63" s="421">
        <v>365</v>
      </c>
      <c r="M63" s="393">
        <v>6000</v>
      </c>
      <c r="N63" s="411">
        <v>0.15</v>
      </c>
      <c r="O63" s="395">
        <f t="shared" si="13"/>
        <v>6000</v>
      </c>
      <c r="P63" s="411">
        <v>0</v>
      </c>
      <c r="Q63" s="412">
        <v>600</v>
      </c>
      <c r="R63" s="1359">
        <f t="shared" si="16"/>
        <v>6600</v>
      </c>
      <c r="S63" s="411">
        <v>0.04</v>
      </c>
      <c r="T63" s="393">
        <f t="shared" si="15"/>
        <v>240</v>
      </c>
      <c r="U63" s="412">
        <v>6240</v>
      </c>
      <c r="V63" s="412"/>
      <c r="W63" s="432" t="s">
        <v>89</v>
      </c>
      <c r="X63" s="410">
        <v>2015</v>
      </c>
      <c r="Y63" s="410" t="s">
        <v>26</v>
      </c>
      <c r="Z63" s="410" t="s">
        <v>2180</v>
      </c>
      <c r="AA63" s="412">
        <v>15</v>
      </c>
      <c r="AB63" s="413"/>
      <c r="AC63" s="421"/>
      <c r="AD63" s="421"/>
      <c r="AE63" s="421"/>
      <c r="AF63" s="421"/>
      <c r="AG63" s="421"/>
      <c r="AH63" s="421"/>
      <c r="AI63" s="421"/>
      <c r="AJ63" s="418"/>
    </row>
    <row r="64" spans="1:36" s="422" customFormat="1">
      <c r="A64" s="197" t="b">
        <v>0</v>
      </c>
      <c r="B64" s="197" t="s">
        <v>2267</v>
      </c>
      <c r="C64" s="197" t="b">
        <f t="shared" si="17"/>
        <v>1</v>
      </c>
      <c r="D64" s="548" t="str">
        <f>IF(C64=FALSE=NAMES!$B$8,"",IF(F64="N/A","N/A",X64&amp;W64&amp;F64&amp;"-"&amp;G64&amp;H64))</f>
        <v/>
      </c>
      <c r="E64" s="432" t="str">
        <f t="shared" si="12"/>
        <v>2015USDAIG Luxembourg-Healthcare PlanAdulte AIG expat 80% excluding USA/Canada</v>
      </c>
      <c r="F64" s="432" t="s">
        <v>4</v>
      </c>
      <c r="G64" s="421" t="s">
        <v>3</v>
      </c>
      <c r="H64" s="422" t="s">
        <v>2374</v>
      </c>
      <c r="I64" s="432" t="s">
        <v>2226</v>
      </c>
      <c r="J64" s="432"/>
      <c r="K64" s="432"/>
      <c r="L64" s="421">
        <v>365</v>
      </c>
      <c r="M64" s="393">
        <v>2148.94</v>
      </c>
      <c r="N64" s="411">
        <v>0.15</v>
      </c>
      <c r="O64" s="395">
        <f t="shared" si="13"/>
        <v>2148.9423076923076</v>
      </c>
      <c r="P64" s="411">
        <v>0</v>
      </c>
      <c r="Q64" s="412">
        <v>214.89400000000001</v>
      </c>
      <c r="R64" s="1359">
        <f t="shared" si="16"/>
        <v>2363.8363076923079</v>
      </c>
      <c r="S64" s="411">
        <v>0.04</v>
      </c>
      <c r="T64" s="393">
        <f t="shared" si="15"/>
        <v>85.957692307692312</v>
      </c>
      <c r="U64" s="412">
        <v>2234.9</v>
      </c>
      <c r="V64" s="412"/>
      <c r="W64" s="432" t="s">
        <v>89</v>
      </c>
      <c r="X64" s="410">
        <v>2015</v>
      </c>
      <c r="Y64" s="410" t="s">
        <v>26</v>
      </c>
      <c r="Z64" s="410" t="s">
        <v>2180</v>
      </c>
      <c r="AA64" s="412">
        <v>15</v>
      </c>
      <c r="AB64" s="413"/>
      <c r="AC64" s="421"/>
      <c r="AD64" s="421"/>
      <c r="AE64" s="421"/>
      <c r="AF64" s="421"/>
      <c r="AG64" s="421"/>
      <c r="AH64" s="421"/>
      <c r="AI64" s="421"/>
      <c r="AJ64" s="418"/>
    </row>
    <row r="65" spans="1:36" s="422" customFormat="1">
      <c r="A65" s="197" t="b">
        <v>0</v>
      </c>
      <c r="B65" s="197" t="s">
        <v>2267</v>
      </c>
      <c r="C65" s="197" t="b">
        <f t="shared" si="17"/>
        <v>1</v>
      </c>
      <c r="D65" s="548" t="str">
        <f>IF(C65=FALSE=NAMES!$B$8,"",IF(F65="N/A","N/A",X65&amp;W65&amp;F65&amp;"-"&amp;G65&amp;H65))</f>
        <v/>
      </c>
      <c r="E65" s="432" t="str">
        <f t="shared" si="12"/>
        <v>2015USDAIG Luxembourg-Healthcare PlanAdulte AIG expat 80% including USA/Canada</v>
      </c>
      <c r="F65" s="432" t="s">
        <v>4</v>
      </c>
      <c r="G65" s="421" t="s">
        <v>3</v>
      </c>
      <c r="H65" s="422" t="s">
        <v>2375</v>
      </c>
      <c r="I65" s="432" t="s">
        <v>2226</v>
      </c>
      <c r="J65" s="432"/>
      <c r="K65" s="432"/>
      <c r="L65" s="421">
        <v>365</v>
      </c>
      <c r="M65" s="393">
        <v>4900</v>
      </c>
      <c r="N65" s="411">
        <v>0.15</v>
      </c>
      <c r="O65" s="395">
        <f t="shared" si="13"/>
        <v>4900</v>
      </c>
      <c r="P65" s="411">
        <v>0</v>
      </c>
      <c r="Q65" s="412">
        <v>490</v>
      </c>
      <c r="R65" s="1359">
        <f t="shared" si="16"/>
        <v>5390</v>
      </c>
      <c r="S65" s="411">
        <v>0.04</v>
      </c>
      <c r="T65" s="393">
        <f t="shared" si="15"/>
        <v>196</v>
      </c>
      <c r="U65" s="412">
        <v>5096</v>
      </c>
      <c r="V65" s="412"/>
      <c r="W65" s="432" t="s">
        <v>89</v>
      </c>
      <c r="X65" s="410">
        <v>2015</v>
      </c>
      <c r="Y65" s="410" t="s">
        <v>26</v>
      </c>
      <c r="Z65" s="410" t="s">
        <v>2180</v>
      </c>
      <c r="AA65" s="412">
        <v>15</v>
      </c>
      <c r="AB65" s="413"/>
      <c r="AC65" s="421"/>
      <c r="AD65" s="421"/>
      <c r="AE65" s="421"/>
      <c r="AF65" s="421"/>
      <c r="AG65" s="421"/>
      <c r="AH65" s="421"/>
      <c r="AI65" s="421"/>
      <c r="AJ65" s="418"/>
    </row>
    <row r="66" spans="1:36" s="422" customFormat="1">
      <c r="A66" s="197" t="b">
        <v>0</v>
      </c>
      <c r="B66" s="197" t="s">
        <v>2267</v>
      </c>
      <c r="C66" s="197" t="b">
        <f t="shared" si="17"/>
        <v>1</v>
      </c>
      <c r="D66" s="548" t="str">
        <f>IF(C66=FALSE=NAMES!$B$8,"",IF(F66="N/A","N/A",X66&amp;W66&amp;F66&amp;"-"&amp;G66&amp;H66))</f>
        <v/>
      </c>
      <c r="E66" s="432" t="str">
        <f t="shared" si="12"/>
        <v>2015USDAIG Luxembourg-Healthcare PlanAdulte AIG expat 90% excluding USA/Canada</v>
      </c>
      <c r="F66" s="432" t="s">
        <v>4</v>
      </c>
      <c r="G66" s="421" t="s">
        <v>3</v>
      </c>
      <c r="H66" s="422" t="s">
        <v>2376</v>
      </c>
      <c r="I66" s="432" t="s">
        <v>2226</v>
      </c>
      <c r="J66" s="432"/>
      <c r="K66" s="432"/>
      <c r="L66" s="421">
        <v>365</v>
      </c>
      <c r="M66" s="393">
        <v>2380.56</v>
      </c>
      <c r="N66" s="411">
        <v>0.15</v>
      </c>
      <c r="O66" s="395">
        <f t="shared" si="13"/>
        <v>2380.5576923076924</v>
      </c>
      <c r="P66" s="411">
        <v>0</v>
      </c>
      <c r="Q66" s="412">
        <v>238.05600000000001</v>
      </c>
      <c r="R66" s="1359">
        <f t="shared" si="16"/>
        <v>2618.6136923076924</v>
      </c>
      <c r="S66" s="411">
        <v>0.04</v>
      </c>
      <c r="T66" s="393">
        <f t="shared" si="15"/>
        <v>95.222307692307695</v>
      </c>
      <c r="U66" s="412">
        <v>2475.7800000000002</v>
      </c>
      <c r="V66" s="412"/>
      <c r="W66" s="432" t="s">
        <v>89</v>
      </c>
      <c r="X66" s="410">
        <v>2015</v>
      </c>
      <c r="Y66" s="410" t="s">
        <v>26</v>
      </c>
      <c r="Z66" s="410" t="s">
        <v>2180</v>
      </c>
      <c r="AA66" s="412">
        <v>15</v>
      </c>
      <c r="AB66" s="413"/>
      <c r="AC66" s="421"/>
      <c r="AD66" s="421"/>
      <c r="AE66" s="421"/>
      <c r="AF66" s="421"/>
      <c r="AG66" s="421"/>
      <c r="AH66" s="421"/>
      <c r="AI66" s="421"/>
      <c r="AJ66" s="418"/>
    </row>
    <row r="67" spans="1:36" s="422" customFormat="1">
      <c r="A67" s="197" t="b">
        <v>0</v>
      </c>
      <c r="B67" s="197" t="s">
        <v>2267</v>
      </c>
      <c r="C67" s="197" t="b">
        <f t="shared" si="17"/>
        <v>1</v>
      </c>
      <c r="D67" s="548" t="str">
        <f>IF(C67=FALSE=NAMES!$B$8,"",IF(F67="N/A","N/A",X67&amp;W67&amp;F67&amp;"-"&amp;G67&amp;H67))</f>
        <v/>
      </c>
      <c r="E67" s="432" t="str">
        <f t="shared" si="12"/>
        <v>2015USDAIG Luxembourg-Healthcare PlanAdulte AIG expat 90% including USA/Canada</v>
      </c>
      <c r="F67" s="432" t="s">
        <v>4</v>
      </c>
      <c r="G67" s="421" t="s">
        <v>3</v>
      </c>
      <c r="H67" s="422" t="s">
        <v>2377</v>
      </c>
      <c r="I67" s="432" t="s">
        <v>2226</v>
      </c>
      <c r="J67" s="432"/>
      <c r="K67" s="432"/>
      <c r="L67" s="421">
        <v>365</v>
      </c>
      <c r="M67" s="393">
        <v>5450</v>
      </c>
      <c r="N67" s="411">
        <v>0.15</v>
      </c>
      <c r="O67" s="395">
        <f t="shared" si="13"/>
        <v>5450</v>
      </c>
      <c r="P67" s="411">
        <v>0</v>
      </c>
      <c r="Q67" s="412">
        <v>545</v>
      </c>
      <c r="R67" s="1359">
        <f t="shared" si="16"/>
        <v>5995</v>
      </c>
      <c r="S67" s="411">
        <v>0.04</v>
      </c>
      <c r="T67" s="393">
        <f t="shared" si="15"/>
        <v>218</v>
      </c>
      <c r="U67" s="412">
        <v>5668</v>
      </c>
      <c r="V67" s="412"/>
      <c r="W67" s="432" t="s">
        <v>89</v>
      </c>
      <c r="X67" s="410">
        <v>2015</v>
      </c>
      <c r="Y67" s="410" t="s">
        <v>26</v>
      </c>
      <c r="Z67" s="410" t="s">
        <v>2180</v>
      </c>
      <c r="AA67" s="412">
        <v>15</v>
      </c>
      <c r="AB67" s="413"/>
      <c r="AC67" s="421"/>
      <c r="AD67" s="421"/>
      <c r="AE67" s="421"/>
      <c r="AF67" s="421"/>
      <c r="AG67" s="421"/>
      <c r="AH67" s="421"/>
      <c r="AI67" s="421"/>
      <c r="AJ67" s="418"/>
    </row>
    <row r="68" spans="1:36" s="422" customFormat="1">
      <c r="A68" s="197" t="b">
        <v>0</v>
      </c>
      <c r="B68" s="197" t="s">
        <v>2267</v>
      </c>
      <c r="C68" s="197" t="b">
        <f t="shared" si="17"/>
        <v>1</v>
      </c>
      <c r="D68" s="548" t="str">
        <f>IF(C68=FALSE=NAMES!$B$8,"",IF(F68="N/A","N/A",X68&amp;W68&amp;F68&amp;"-"&amp;G68&amp;H68))</f>
        <v/>
      </c>
      <c r="E68" s="432" t="str">
        <f t="shared" si="12"/>
        <v>2015USDAIG Luxembourg-Healthcare PlanChild AIG expat 100% excluding USA/Canada</v>
      </c>
      <c r="F68" s="432" t="s">
        <v>4</v>
      </c>
      <c r="G68" s="421" t="s">
        <v>3</v>
      </c>
      <c r="H68" s="422" t="s">
        <v>2378</v>
      </c>
      <c r="I68" s="432" t="s">
        <v>2226</v>
      </c>
      <c r="J68" s="432"/>
      <c r="K68" s="432"/>
      <c r="L68" s="421">
        <v>365</v>
      </c>
      <c r="M68" s="393">
        <v>1110</v>
      </c>
      <c r="N68" s="411">
        <v>0.15</v>
      </c>
      <c r="O68" s="395">
        <f t="shared" si="13"/>
        <v>1110</v>
      </c>
      <c r="P68" s="411">
        <v>0</v>
      </c>
      <c r="Q68" s="412">
        <v>111</v>
      </c>
      <c r="R68" s="1359">
        <f t="shared" si="16"/>
        <v>1221</v>
      </c>
      <c r="S68" s="411">
        <v>0.04</v>
      </c>
      <c r="T68" s="393">
        <f t="shared" si="15"/>
        <v>44.4</v>
      </c>
      <c r="U68" s="412">
        <v>1154.4000000000001</v>
      </c>
      <c r="V68" s="412"/>
      <c r="W68" s="432" t="s">
        <v>89</v>
      </c>
      <c r="X68" s="410">
        <v>2015</v>
      </c>
      <c r="Y68" s="410" t="s">
        <v>26</v>
      </c>
      <c r="Z68" s="410" t="s">
        <v>2180</v>
      </c>
      <c r="AA68" s="412">
        <v>15</v>
      </c>
      <c r="AB68" s="413"/>
      <c r="AC68" s="421"/>
      <c r="AD68" s="421"/>
      <c r="AE68" s="421"/>
      <c r="AF68" s="421"/>
      <c r="AG68" s="421"/>
      <c r="AH68" s="421"/>
      <c r="AI68" s="421"/>
      <c r="AJ68" s="418"/>
    </row>
    <row r="69" spans="1:36" s="422" customFormat="1">
      <c r="A69" s="197" t="b">
        <v>0</v>
      </c>
      <c r="B69" s="197" t="s">
        <v>2267</v>
      </c>
      <c r="C69" s="197" t="b">
        <f t="shared" si="17"/>
        <v>1</v>
      </c>
      <c r="D69" s="548" t="str">
        <f>IF(C69=FALSE=NAMES!$B$8,"",IF(F69="N/A","N/A",X69&amp;W69&amp;F69&amp;"-"&amp;G69&amp;H69))</f>
        <v/>
      </c>
      <c r="E69" s="432" t="str">
        <f t="shared" si="12"/>
        <v>2015USDAIG Luxembourg-Healthcare PlanChild AIG expat 100% including USA/Canada</v>
      </c>
      <c r="F69" s="432" t="s">
        <v>4</v>
      </c>
      <c r="G69" s="421" t="s">
        <v>3</v>
      </c>
      <c r="H69" s="422" t="s">
        <v>2379</v>
      </c>
      <c r="I69" s="432" t="s">
        <v>2226</v>
      </c>
      <c r="J69" s="432"/>
      <c r="K69" s="432"/>
      <c r="L69" s="421">
        <v>365</v>
      </c>
      <c r="M69" s="393">
        <v>2409</v>
      </c>
      <c r="N69" s="411">
        <v>0.15</v>
      </c>
      <c r="O69" s="395">
        <f t="shared" si="13"/>
        <v>2409</v>
      </c>
      <c r="P69" s="411">
        <v>0</v>
      </c>
      <c r="Q69" s="412">
        <v>240.9</v>
      </c>
      <c r="R69" s="1359">
        <f t="shared" si="16"/>
        <v>2649.9</v>
      </c>
      <c r="S69" s="411">
        <v>0.04</v>
      </c>
      <c r="T69" s="393">
        <f t="shared" si="15"/>
        <v>96.36</v>
      </c>
      <c r="U69" s="412">
        <v>2505.36</v>
      </c>
      <c r="V69" s="412"/>
      <c r="W69" s="432" t="s">
        <v>89</v>
      </c>
      <c r="X69" s="410">
        <v>2015</v>
      </c>
      <c r="Y69" s="410" t="s">
        <v>26</v>
      </c>
      <c r="Z69" s="410" t="s">
        <v>2180</v>
      </c>
      <c r="AA69" s="412">
        <v>15</v>
      </c>
      <c r="AB69" s="413"/>
      <c r="AC69" s="421"/>
      <c r="AD69" s="421"/>
      <c r="AE69" s="421"/>
      <c r="AF69" s="421"/>
      <c r="AG69" s="421"/>
      <c r="AH69" s="421"/>
      <c r="AI69" s="421"/>
      <c r="AJ69" s="418"/>
    </row>
    <row r="70" spans="1:36" s="422" customFormat="1">
      <c r="A70" s="197" t="b">
        <v>0</v>
      </c>
      <c r="B70" s="197" t="s">
        <v>2267</v>
      </c>
      <c r="C70" s="197" t="b">
        <f t="shared" si="17"/>
        <v>1</v>
      </c>
      <c r="D70" s="548" t="str">
        <f>IF(C70=FALSE=NAMES!$B$8,"",IF(F70="N/A","N/A",X70&amp;W70&amp;F70&amp;"-"&amp;G70&amp;H70))</f>
        <v/>
      </c>
      <c r="E70" s="432" t="str">
        <f t="shared" si="12"/>
        <v>2015USDAIG Luxembourg-Healthcare PlanChild AIG expat 80% excluding USA/Canada</v>
      </c>
      <c r="F70" s="432" t="s">
        <v>4</v>
      </c>
      <c r="G70" s="421" t="s">
        <v>3</v>
      </c>
      <c r="H70" s="422" t="s">
        <v>2380</v>
      </c>
      <c r="I70" s="432" t="s">
        <v>2226</v>
      </c>
      <c r="J70" s="432"/>
      <c r="K70" s="432"/>
      <c r="L70" s="421">
        <v>365</v>
      </c>
      <c r="M70" s="393">
        <v>912</v>
      </c>
      <c r="N70" s="411">
        <v>0.15</v>
      </c>
      <c r="O70" s="395">
        <f t="shared" si="13"/>
        <v>912</v>
      </c>
      <c r="P70" s="411">
        <v>0</v>
      </c>
      <c r="Q70" s="412">
        <v>91.2</v>
      </c>
      <c r="R70" s="1359">
        <f t="shared" si="16"/>
        <v>1003.2</v>
      </c>
      <c r="S70" s="411">
        <v>0.04</v>
      </c>
      <c r="T70" s="393">
        <f t="shared" si="15"/>
        <v>36.480000000000004</v>
      </c>
      <c r="U70" s="412">
        <v>948.48</v>
      </c>
      <c r="V70" s="412"/>
      <c r="W70" s="432" t="s">
        <v>89</v>
      </c>
      <c r="X70" s="410">
        <v>2015</v>
      </c>
      <c r="Y70" s="410" t="s">
        <v>26</v>
      </c>
      <c r="Z70" s="410" t="s">
        <v>2180</v>
      </c>
      <c r="AA70" s="412">
        <v>15</v>
      </c>
      <c r="AB70" s="413"/>
      <c r="AC70" s="421"/>
      <c r="AD70" s="421"/>
      <c r="AE70" s="421"/>
      <c r="AF70" s="421"/>
      <c r="AG70" s="421"/>
      <c r="AH70" s="421"/>
      <c r="AI70" s="421"/>
      <c r="AJ70" s="418"/>
    </row>
    <row r="71" spans="1:36" s="422" customFormat="1">
      <c r="A71" s="197" t="b">
        <v>0</v>
      </c>
      <c r="B71" s="197" t="s">
        <v>2267</v>
      </c>
      <c r="C71" s="197" t="b">
        <f t="shared" si="17"/>
        <v>1</v>
      </c>
      <c r="D71" s="548" t="str">
        <f>IF(C71=FALSE=NAMES!$B$8,"",IF(F71="N/A","N/A",X71&amp;W71&amp;F71&amp;"-"&amp;G71&amp;H71))</f>
        <v/>
      </c>
      <c r="E71" s="432" t="str">
        <f t="shared" si="12"/>
        <v>2015USDAIG Luxembourg-Healthcare PlanChild AIG expat 80% including USA/Canada</v>
      </c>
      <c r="F71" s="432" t="s">
        <v>4</v>
      </c>
      <c r="G71" s="421" t="s">
        <v>3</v>
      </c>
      <c r="H71" s="422" t="s">
        <v>2381</v>
      </c>
      <c r="I71" s="432" t="s">
        <v>2226</v>
      </c>
      <c r="J71" s="432"/>
      <c r="K71" s="432"/>
      <c r="L71" s="421">
        <v>365</v>
      </c>
      <c r="M71" s="393">
        <v>1937.96</v>
      </c>
      <c r="N71" s="411">
        <v>0.15</v>
      </c>
      <c r="O71" s="395">
        <f t="shared" si="13"/>
        <v>1937.9615384615383</v>
      </c>
      <c r="P71" s="411">
        <v>0</v>
      </c>
      <c r="Q71" s="412">
        <v>193.79599999999999</v>
      </c>
      <c r="R71" s="1359">
        <f t="shared" si="16"/>
        <v>2131.7575384615384</v>
      </c>
      <c r="S71" s="411">
        <v>0.04</v>
      </c>
      <c r="T71" s="393">
        <f t="shared" si="15"/>
        <v>77.518461538461537</v>
      </c>
      <c r="U71" s="412">
        <v>2015.48</v>
      </c>
      <c r="V71" s="412"/>
      <c r="W71" s="432" t="s">
        <v>89</v>
      </c>
      <c r="X71" s="410">
        <v>2015</v>
      </c>
      <c r="Y71" s="410" t="s">
        <v>26</v>
      </c>
      <c r="Z71" s="410" t="s">
        <v>2180</v>
      </c>
      <c r="AA71" s="412">
        <v>15</v>
      </c>
      <c r="AB71" s="413"/>
      <c r="AC71" s="421"/>
      <c r="AD71" s="421"/>
      <c r="AE71" s="421"/>
      <c r="AF71" s="421"/>
      <c r="AG71" s="421"/>
      <c r="AH71" s="421"/>
      <c r="AI71" s="421"/>
      <c r="AJ71" s="418"/>
    </row>
    <row r="72" spans="1:36" s="422" customFormat="1">
      <c r="A72" s="197" t="b">
        <v>0</v>
      </c>
      <c r="B72" s="197" t="s">
        <v>2267</v>
      </c>
      <c r="C72" s="197" t="b">
        <f t="shared" si="17"/>
        <v>1</v>
      </c>
      <c r="D72" s="548" t="str">
        <f>IF(C72=FALSE=NAMES!$B$8,"",IF(F72="N/A","N/A",X72&amp;W72&amp;F72&amp;"-"&amp;G72&amp;H72))</f>
        <v/>
      </c>
      <c r="E72" s="432" t="str">
        <f t="shared" si="12"/>
        <v>2015USDAIG Luxembourg-Healthcare PlanChild AIG expat 90% excluding USA/Canada</v>
      </c>
      <c r="F72" s="432" t="s">
        <v>4</v>
      </c>
      <c r="G72" s="421" t="s">
        <v>3</v>
      </c>
      <c r="H72" s="422" t="s">
        <v>2382</v>
      </c>
      <c r="I72" s="432" t="s">
        <v>2226</v>
      </c>
      <c r="J72" s="432"/>
      <c r="K72" s="432"/>
      <c r="L72" s="421">
        <v>365</v>
      </c>
      <c r="M72" s="393">
        <v>1011</v>
      </c>
      <c r="N72" s="411">
        <v>0.15</v>
      </c>
      <c r="O72" s="395">
        <f t="shared" si="13"/>
        <v>1011</v>
      </c>
      <c r="P72" s="411">
        <v>0</v>
      </c>
      <c r="Q72" s="412">
        <v>101.1</v>
      </c>
      <c r="R72" s="1359">
        <f t="shared" si="16"/>
        <v>1112.0999999999999</v>
      </c>
      <c r="S72" s="411">
        <v>0.04</v>
      </c>
      <c r="T72" s="393">
        <f t="shared" si="15"/>
        <v>40.44</v>
      </c>
      <c r="U72" s="412">
        <v>1051.44</v>
      </c>
      <c r="V72" s="412"/>
      <c r="W72" s="432" t="s">
        <v>89</v>
      </c>
      <c r="X72" s="410">
        <v>2015</v>
      </c>
      <c r="Y72" s="410" t="s">
        <v>26</v>
      </c>
      <c r="Z72" s="410" t="s">
        <v>2180</v>
      </c>
      <c r="AA72" s="412">
        <v>15</v>
      </c>
      <c r="AB72" s="413"/>
      <c r="AC72" s="421"/>
      <c r="AD72" s="421"/>
      <c r="AE72" s="421"/>
      <c r="AF72" s="421"/>
      <c r="AG72" s="421"/>
      <c r="AH72" s="421"/>
      <c r="AI72" s="421"/>
      <c r="AJ72" s="418"/>
    </row>
    <row r="73" spans="1:36" s="422" customFormat="1">
      <c r="A73" s="197" t="b">
        <v>0</v>
      </c>
      <c r="B73" s="197" t="s">
        <v>2267</v>
      </c>
      <c r="C73" s="197" t="b">
        <f t="shared" si="17"/>
        <v>1</v>
      </c>
      <c r="D73" s="548" t="str">
        <f>IF(C73=FALSE=NAMES!$B$8,"",IF(F73="N/A","N/A",X73&amp;W73&amp;F73&amp;"-"&amp;G73&amp;H73))</f>
        <v/>
      </c>
      <c r="E73" s="432" t="str">
        <f t="shared" si="12"/>
        <v>2015USDAIG Luxembourg-Healthcare PlanChild AIG expat 90% including USA/Canada</v>
      </c>
      <c r="F73" s="432" t="s">
        <v>4</v>
      </c>
      <c r="G73" s="421" t="s">
        <v>3</v>
      </c>
      <c r="H73" s="422" t="s">
        <v>2383</v>
      </c>
      <c r="I73" s="432" t="s">
        <v>2226</v>
      </c>
      <c r="J73" s="432"/>
      <c r="K73" s="432"/>
      <c r="L73" s="421">
        <v>365</v>
      </c>
      <c r="M73" s="393">
        <v>2173.1799999999998</v>
      </c>
      <c r="N73" s="411">
        <v>0.15</v>
      </c>
      <c r="O73" s="395">
        <f t="shared" si="13"/>
        <v>2173.1826923076924</v>
      </c>
      <c r="P73" s="411">
        <v>0</v>
      </c>
      <c r="Q73" s="412">
        <v>217.31800000000001</v>
      </c>
      <c r="R73" s="1359">
        <f t="shared" si="16"/>
        <v>2390.5006923076926</v>
      </c>
      <c r="S73" s="411">
        <v>0.04</v>
      </c>
      <c r="T73" s="393">
        <f t="shared" si="15"/>
        <v>86.927307692307693</v>
      </c>
      <c r="U73" s="412">
        <v>2260.11</v>
      </c>
      <c r="V73" s="412"/>
      <c r="W73" s="432" t="s">
        <v>89</v>
      </c>
      <c r="X73" s="410">
        <v>2015</v>
      </c>
      <c r="Y73" s="410" t="s">
        <v>26</v>
      </c>
      <c r="Z73" s="410" t="s">
        <v>2180</v>
      </c>
      <c r="AA73" s="412">
        <v>15</v>
      </c>
      <c r="AB73" s="413"/>
      <c r="AC73" s="421"/>
      <c r="AD73" s="421"/>
      <c r="AE73" s="421"/>
      <c r="AF73" s="421"/>
      <c r="AG73" s="421"/>
      <c r="AH73" s="421"/>
      <c r="AI73" s="421"/>
      <c r="AJ73" s="418"/>
    </row>
    <row r="74" spans="1:36" s="409" customFormat="1">
      <c r="A74" s="299" t="b">
        <v>0</v>
      </c>
      <c r="B74" s="299" t="s">
        <v>2267</v>
      </c>
      <c r="C74" s="299" t="b">
        <f t="shared" si="11"/>
        <v>1</v>
      </c>
      <c r="D74" s="428" t="str">
        <f>IF(C74=FALSE=NAMES!$B$8,"",IF(F74="N/A","N/A",X74&amp;W74&amp;F74&amp;"-"&amp;G74&amp;H74))</f>
        <v/>
      </c>
      <c r="E74" s="429" t="str">
        <f t="shared" si="12"/>
        <v>N/A</v>
      </c>
      <c r="F74" s="429" t="s">
        <v>2236</v>
      </c>
      <c r="G74" s="429" t="s">
        <v>2236</v>
      </c>
      <c r="H74" s="432"/>
      <c r="I74" s="432"/>
      <c r="J74" s="432"/>
      <c r="K74" s="432"/>
      <c r="L74" s="421"/>
      <c r="M74" s="421"/>
      <c r="N74" s="411"/>
      <c r="O74" s="395" t="str">
        <f t="shared" si="13"/>
        <v/>
      </c>
      <c r="P74" s="411">
        <v>0</v>
      </c>
      <c r="Q74" s="412"/>
      <c r="R74" s="1359" t="str">
        <f t="shared" si="16"/>
        <v/>
      </c>
      <c r="S74" s="411"/>
      <c r="T74" s="393" t="str">
        <f t="shared" si="15"/>
        <v/>
      </c>
      <c r="U74" s="412"/>
      <c r="V74" s="412"/>
      <c r="W74" s="432"/>
      <c r="X74" s="410"/>
      <c r="Y74" s="410"/>
      <c r="Z74" s="410"/>
      <c r="AA74" s="412"/>
      <c r="AB74" s="413"/>
      <c r="AC74" s="421"/>
      <c r="AD74" s="421"/>
      <c r="AE74" s="421"/>
      <c r="AF74" s="421"/>
      <c r="AG74" s="421"/>
      <c r="AH74" s="421"/>
      <c r="AI74" s="421"/>
      <c r="AJ74" s="418"/>
    </row>
    <row r="75" spans="1:36" s="409" customFormat="1">
      <c r="A75" s="299" t="b">
        <v>0</v>
      </c>
      <c r="B75" s="299" t="s">
        <v>2267</v>
      </c>
      <c r="C75" s="299" t="b">
        <f t="shared" si="11"/>
        <v>1</v>
      </c>
      <c r="D75" s="428" t="str">
        <f>IF(C75=FALSE=NAMES!$B$8,"",IF(F75="N/A","N/A",X75&amp;W75&amp;F75&amp;"-"&amp;G75&amp;H75))</f>
        <v/>
      </c>
      <c r="E75" s="429" t="str">
        <f t="shared" si="12"/>
        <v>2015EURAIG Luxembourg-Healthcare PlanComfort</v>
      </c>
      <c r="F75" s="432" t="s">
        <v>4</v>
      </c>
      <c r="G75" s="421" t="s">
        <v>3</v>
      </c>
      <c r="H75" s="432" t="s">
        <v>2123</v>
      </c>
      <c r="I75" s="432" t="s">
        <v>2225</v>
      </c>
      <c r="J75" s="432"/>
      <c r="K75" s="432"/>
      <c r="L75" s="421">
        <v>365</v>
      </c>
      <c r="M75" s="421"/>
      <c r="N75" s="411">
        <v>0.25</v>
      </c>
      <c r="O75" s="395">
        <f t="shared" si="13"/>
        <v>517.30769230769226</v>
      </c>
      <c r="P75" s="411">
        <v>0</v>
      </c>
      <c r="Q75" s="412">
        <v>0</v>
      </c>
      <c r="R75" s="1359">
        <f t="shared" si="16"/>
        <v>517.30769230769226</v>
      </c>
      <c r="S75" s="411">
        <v>0.04</v>
      </c>
      <c r="T75" s="393">
        <f t="shared" si="15"/>
        <v>20.69230769230769</v>
      </c>
      <c r="U75" s="412">
        <v>538</v>
      </c>
      <c r="V75" s="412"/>
      <c r="W75" s="432" t="s">
        <v>33</v>
      </c>
      <c r="X75" s="410">
        <v>2015</v>
      </c>
      <c r="Y75" s="410" t="s">
        <v>26</v>
      </c>
      <c r="Z75" s="410" t="s">
        <v>1</v>
      </c>
      <c r="AA75" s="412">
        <v>65</v>
      </c>
      <c r="AB75" s="413"/>
      <c r="AC75" s="421" t="s">
        <v>2150</v>
      </c>
      <c r="AD75" s="421" t="s">
        <v>2179</v>
      </c>
      <c r="AE75" s="421" t="s">
        <v>2179</v>
      </c>
      <c r="AF75" s="421" t="s">
        <v>2180</v>
      </c>
      <c r="AG75" s="421" t="s">
        <v>2180</v>
      </c>
      <c r="AH75" s="421" t="s">
        <v>2180</v>
      </c>
      <c r="AI75" s="421" t="s">
        <v>2180</v>
      </c>
      <c r="AJ75" s="418" t="s">
        <v>87</v>
      </c>
    </row>
    <row r="76" spans="1:36" s="409" customFormat="1">
      <c r="A76" s="299" t="b">
        <v>0</v>
      </c>
      <c r="B76" s="299" t="s">
        <v>2267</v>
      </c>
      <c r="C76" s="299" t="b">
        <f t="shared" si="11"/>
        <v>1</v>
      </c>
      <c r="D76" s="428" t="str">
        <f>IF(C76=FALSE=NAMES!$B$8,"",IF(F76="N/A","N/A",X76&amp;W76&amp;F76&amp;"-"&amp;G76&amp;H76))</f>
        <v/>
      </c>
      <c r="E76" s="429" t="str">
        <f t="shared" si="12"/>
        <v>2015EURAIG Luxembourg-Healthcare PlanCOMFORTMLC</v>
      </c>
      <c r="F76" s="432" t="s">
        <v>4</v>
      </c>
      <c r="G76" s="421" t="s">
        <v>3</v>
      </c>
      <c r="H76" s="432" t="s">
        <v>2279</v>
      </c>
      <c r="I76" s="432" t="s">
        <v>2225</v>
      </c>
      <c r="J76" s="432"/>
      <c r="K76" s="432"/>
      <c r="L76" s="421">
        <v>365</v>
      </c>
      <c r="M76" s="421"/>
      <c r="N76" s="411">
        <v>0.25</v>
      </c>
      <c r="O76" s="395">
        <f t="shared" si="13"/>
        <v>517.30769230769226</v>
      </c>
      <c r="P76" s="411">
        <v>0</v>
      </c>
      <c r="Q76" s="412">
        <v>0</v>
      </c>
      <c r="R76" s="1359">
        <f t="shared" si="16"/>
        <v>517.30769230769226</v>
      </c>
      <c r="S76" s="411">
        <v>0.04</v>
      </c>
      <c r="T76" s="393">
        <f t="shared" si="15"/>
        <v>20.69230769230769</v>
      </c>
      <c r="U76" s="412">
        <v>538</v>
      </c>
      <c r="V76" s="412"/>
      <c r="W76" s="432" t="s">
        <v>33</v>
      </c>
      <c r="X76" s="410">
        <v>2015</v>
      </c>
      <c r="Y76" s="410" t="s">
        <v>26</v>
      </c>
      <c r="Z76" s="410" t="s">
        <v>1</v>
      </c>
      <c r="AA76" s="412">
        <v>65</v>
      </c>
      <c r="AB76" s="413"/>
      <c r="AC76" s="421" t="s">
        <v>2150</v>
      </c>
      <c r="AD76" s="421" t="s">
        <v>2179</v>
      </c>
      <c r="AE76" s="421" t="s">
        <v>2179</v>
      </c>
      <c r="AF76" s="421" t="s">
        <v>2180</v>
      </c>
      <c r="AG76" s="421" t="s">
        <v>2180</v>
      </c>
      <c r="AH76" s="421" t="s">
        <v>2180</v>
      </c>
      <c r="AI76" s="421" t="s">
        <v>2180</v>
      </c>
      <c r="AJ76" s="418" t="s">
        <v>87</v>
      </c>
    </row>
    <row r="77" spans="1:36" s="409" customFormat="1">
      <c r="A77" s="419" t="b">
        <v>1</v>
      </c>
      <c r="B77" s="299" t="s">
        <v>2267</v>
      </c>
      <c r="C77" s="299" t="b">
        <f t="shared" si="11"/>
        <v>1</v>
      </c>
      <c r="D77" s="428" t="str">
        <f>IF(C77=FALSE=NAMES!$B$8,"",IF(F77="N/A","N/A",X77&amp;W77&amp;F77&amp;"-"&amp;G77&amp;H77))</f>
        <v/>
      </c>
      <c r="E77" s="429" t="str">
        <f t="shared" si="12"/>
        <v>2015EURAIG Luxembourg-Healthcare PlanPRESTIGE</v>
      </c>
      <c r="F77" s="432" t="s">
        <v>4</v>
      </c>
      <c r="G77" s="421" t="s">
        <v>3</v>
      </c>
      <c r="H77" s="432" t="s">
        <v>88</v>
      </c>
      <c r="I77" s="432" t="s">
        <v>2225</v>
      </c>
      <c r="J77" s="432"/>
      <c r="K77" s="432"/>
      <c r="L77" s="421">
        <v>365</v>
      </c>
      <c r="M77" s="421"/>
      <c r="N77" s="411">
        <v>0.25</v>
      </c>
      <c r="O77" s="395">
        <f t="shared" si="13"/>
        <v>1055.7692307692307</v>
      </c>
      <c r="P77" s="411">
        <v>0</v>
      </c>
      <c r="Q77" s="412">
        <v>0</v>
      </c>
      <c r="R77" s="1359">
        <f t="shared" si="16"/>
        <v>1055.7692307692307</v>
      </c>
      <c r="S77" s="411">
        <v>0.04</v>
      </c>
      <c r="T77" s="393">
        <f t="shared" si="15"/>
        <v>42.230769230769226</v>
      </c>
      <c r="U77" s="412">
        <v>1098</v>
      </c>
      <c r="V77" s="412"/>
      <c r="W77" s="432" t="s">
        <v>33</v>
      </c>
      <c r="X77" s="410">
        <v>2015</v>
      </c>
      <c r="Y77" s="410" t="s">
        <v>26</v>
      </c>
      <c r="Z77" s="410" t="s">
        <v>1</v>
      </c>
      <c r="AA77" s="412">
        <v>35</v>
      </c>
      <c r="AB77" s="413"/>
      <c r="AC77" s="421" t="s">
        <v>2150</v>
      </c>
      <c r="AD77" s="421" t="s">
        <v>2179</v>
      </c>
      <c r="AE77" s="421" t="s">
        <v>2179</v>
      </c>
      <c r="AF77" s="421" t="s">
        <v>2180</v>
      </c>
      <c r="AG77" s="421" t="s">
        <v>2180</v>
      </c>
      <c r="AH77" s="421" t="s">
        <v>2180</v>
      </c>
      <c r="AI77" s="421" t="s">
        <v>2180</v>
      </c>
      <c r="AJ77" s="418" t="s">
        <v>87</v>
      </c>
    </row>
    <row r="78" spans="1:36" s="571" customFormat="1">
      <c r="A78" s="563" t="b">
        <v>1</v>
      </c>
      <c r="B78" s="299" t="s">
        <v>2267</v>
      </c>
      <c r="C78" s="563" t="b">
        <f t="shared" ref="C78" si="18">IF(B78="N/A","",IF(B78="newRates",FALSE,TRUE))</f>
        <v>1</v>
      </c>
      <c r="D78" s="428" t="str">
        <f>IF(C78=FALSE=NAMES!$B$8,"",IF(F78="N/A","N/A",X78&amp;W78&amp;F78&amp;"-"&amp;G78&amp;H78&amp;I78))</f>
        <v/>
      </c>
      <c r="E78" s="564" t="str">
        <f>IF(F78="N/A","N/A",X78&amp;W78&amp;F78&amp;"-"&amp;G78&amp;H78&amp;I78)</f>
        <v>2015EURAIG Luxembourg-Healthcare PlanPRESTIGEFamily</v>
      </c>
      <c r="F78" s="564" t="s">
        <v>4</v>
      </c>
      <c r="G78" s="565" t="s">
        <v>3</v>
      </c>
      <c r="H78" s="564" t="s">
        <v>88</v>
      </c>
      <c r="I78" s="564" t="s">
        <v>2226</v>
      </c>
      <c r="J78" s="564"/>
      <c r="K78" s="564"/>
      <c r="L78" s="565">
        <v>365</v>
      </c>
      <c r="M78" s="565"/>
      <c r="N78" s="567">
        <v>0.25</v>
      </c>
      <c r="O78" s="395">
        <f t="shared" si="13"/>
        <v>1444.278846153846</v>
      </c>
      <c r="P78" s="411">
        <v>0</v>
      </c>
      <c r="Q78" s="569">
        <v>0</v>
      </c>
      <c r="R78" s="1359">
        <f t="shared" si="16"/>
        <v>1444.278846153846</v>
      </c>
      <c r="S78" s="567">
        <v>0.04</v>
      </c>
      <c r="T78" s="568">
        <f t="shared" si="15"/>
        <v>57.771153846153837</v>
      </c>
      <c r="U78" s="566">
        <v>1502.05</v>
      </c>
      <c r="V78" s="569"/>
      <c r="W78" s="564" t="s">
        <v>33</v>
      </c>
      <c r="X78" s="570">
        <v>2015</v>
      </c>
      <c r="Y78" s="570" t="s">
        <v>26</v>
      </c>
      <c r="Z78" s="410" t="s">
        <v>1</v>
      </c>
      <c r="AA78" s="569">
        <v>35</v>
      </c>
      <c r="AB78" s="572"/>
      <c r="AC78" s="565"/>
      <c r="AD78" s="565"/>
      <c r="AE78" s="565"/>
      <c r="AF78" s="565"/>
      <c r="AG78" s="565"/>
      <c r="AH78" s="565"/>
      <c r="AI78" s="565"/>
      <c r="AJ78" s="573"/>
    </row>
    <row r="79" spans="1:36" s="409" customFormat="1">
      <c r="A79" s="299" t="b">
        <v>0</v>
      </c>
      <c r="B79" s="299" t="s">
        <v>2267</v>
      </c>
      <c r="C79" s="299" t="b">
        <f t="shared" si="11"/>
        <v>1</v>
      </c>
      <c r="D79" s="428" t="str">
        <f>IF(C79=FALSE=NAMES!$B$8,"",IF(F79="N/A","N/A",X79&amp;W79&amp;F79&amp;"-"&amp;G79&amp;H79))</f>
        <v/>
      </c>
      <c r="E79" s="429" t="str">
        <f t="shared" ref="E79:E120" si="19">IF(F79="N/A","N/A",X79&amp;W79&amp;F79&amp;"-"&amp;G79&amp;H79)</f>
        <v>2015EURAIG Luxembourg-Healthcare PlanPrestige Plus</v>
      </c>
      <c r="F79" s="432" t="s">
        <v>4</v>
      </c>
      <c r="G79" s="421" t="s">
        <v>3</v>
      </c>
      <c r="H79" s="432" t="s">
        <v>2085</v>
      </c>
      <c r="I79" s="432" t="s">
        <v>2225</v>
      </c>
      <c r="J79" s="432"/>
      <c r="K79" s="432"/>
      <c r="L79" s="421">
        <v>365</v>
      </c>
      <c r="M79" s="421"/>
      <c r="N79" s="411">
        <v>0.25</v>
      </c>
      <c r="O79" s="395">
        <f t="shared" si="13"/>
        <v>1055.7692307692307</v>
      </c>
      <c r="P79" s="411">
        <v>0</v>
      </c>
      <c r="Q79" s="412">
        <v>0</v>
      </c>
      <c r="R79" s="1359">
        <f t="shared" si="16"/>
        <v>1055.7692307692307</v>
      </c>
      <c r="S79" s="411">
        <v>0.04</v>
      </c>
      <c r="T79" s="393">
        <f t="shared" si="15"/>
        <v>42.230769230769226</v>
      </c>
      <c r="U79" s="412">
        <v>1098</v>
      </c>
      <c r="V79" s="412"/>
      <c r="W79" s="432" t="s">
        <v>33</v>
      </c>
      <c r="X79" s="410">
        <v>2015</v>
      </c>
      <c r="Y79" s="410" t="s">
        <v>26</v>
      </c>
      <c r="Z79" s="410" t="s">
        <v>1</v>
      </c>
      <c r="AA79" s="412">
        <v>35</v>
      </c>
      <c r="AB79" s="413"/>
      <c r="AC79" s="421" t="s">
        <v>2150</v>
      </c>
      <c r="AD79" s="421" t="s">
        <v>2179</v>
      </c>
      <c r="AE79" s="421" t="s">
        <v>2179</v>
      </c>
      <c r="AF79" s="421" t="s">
        <v>2180</v>
      </c>
      <c r="AG79" s="421" t="s">
        <v>2180</v>
      </c>
      <c r="AH79" s="421" t="s">
        <v>2180</v>
      </c>
      <c r="AI79" s="421" t="s">
        <v>2180</v>
      </c>
      <c r="AJ79" s="418" t="s">
        <v>87</v>
      </c>
    </row>
    <row r="80" spans="1:36" s="409" customFormat="1">
      <c r="A80" s="299" t="b">
        <v>0</v>
      </c>
      <c r="B80" s="299" t="s">
        <v>2267</v>
      </c>
      <c r="C80" s="299" t="b">
        <f t="shared" si="11"/>
        <v>1</v>
      </c>
      <c r="D80" s="428" t="str">
        <f>IF(C80=FALSE=NAMES!$B$8,"",IF(F80="N/A","N/A",X80&amp;W80&amp;F80&amp;"-"&amp;G80&amp;H80))</f>
        <v/>
      </c>
      <c r="E80" s="429" t="str">
        <f t="shared" si="19"/>
        <v>2015EURAnker Verzekeringen n.v.-Healthcare PlanMedical Excellent and Homeland</v>
      </c>
      <c r="F80" s="432" t="s">
        <v>7</v>
      </c>
      <c r="G80" s="421" t="s">
        <v>3</v>
      </c>
      <c r="H80" s="432" t="s">
        <v>2128</v>
      </c>
      <c r="I80" s="432" t="s">
        <v>2225</v>
      </c>
      <c r="J80" s="432"/>
      <c r="K80" s="432"/>
      <c r="L80" s="421">
        <v>365</v>
      </c>
      <c r="M80" s="421"/>
      <c r="N80" s="411">
        <v>0.27500000000000002</v>
      </c>
      <c r="O80" s="395">
        <f t="shared" si="13"/>
        <v>892.6429807692308</v>
      </c>
      <c r="P80" s="411">
        <v>0</v>
      </c>
      <c r="Q80" s="412">
        <v>0</v>
      </c>
      <c r="R80" s="1359">
        <f t="shared" si="16"/>
        <v>892.6429807692308</v>
      </c>
      <c r="S80" s="411">
        <v>0.04</v>
      </c>
      <c r="T80" s="393">
        <f t="shared" si="15"/>
        <v>35.705719230769233</v>
      </c>
      <c r="U80" s="733">
        <v>928.34870000000001</v>
      </c>
      <c r="V80" s="396"/>
      <c r="W80" s="432" t="s">
        <v>33</v>
      </c>
      <c r="X80" s="410">
        <v>2015</v>
      </c>
      <c r="Y80" s="410" t="s">
        <v>2246</v>
      </c>
      <c r="Z80" s="410" t="s">
        <v>1</v>
      </c>
      <c r="AA80" s="396"/>
      <c r="AB80" s="413"/>
      <c r="AC80" s="421" t="s">
        <v>2150</v>
      </c>
      <c r="AD80" s="421" t="s">
        <v>2179</v>
      </c>
      <c r="AE80" s="421" t="s">
        <v>2179</v>
      </c>
      <c r="AF80" s="421" t="s">
        <v>2180</v>
      </c>
      <c r="AG80" s="421" t="s">
        <v>2180</v>
      </c>
      <c r="AH80" s="421" t="s">
        <v>2180</v>
      </c>
      <c r="AI80" s="421" t="s">
        <v>2180</v>
      </c>
      <c r="AJ80" s="418" t="s">
        <v>87</v>
      </c>
    </row>
    <row r="81" spans="1:36" s="422" customFormat="1">
      <c r="A81" s="197" t="b">
        <v>0</v>
      </c>
      <c r="B81" s="197" t="s">
        <v>2267</v>
      </c>
      <c r="C81" s="197" t="b">
        <f t="shared" si="11"/>
        <v>1</v>
      </c>
      <c r="D81" s="548" t="str">
        <f>IF(C81=FALSE=NAMES!$B$8,"",IF(F81="N/A","N/A",X81&amp;W81&amp;F81&amp;"-"&amp;G81&amp;H81))</f>
        <v/>
      </c>
      <c r="E81" s="432" t="str">
        <f t="shared" si="19"/>
        <v>2015EURAIG Luxembourg-Healthcare PlanComfort S</v>
      </c>
      <c r="F81" s="432" t="s">
        <v>4</v>
      </c>
      <c r="G81" s="421" t="s">
        <v>3</v>
      </c>
      <c r="H81" s="432" t="s">
        <v>2124</v>
      </c>
      <c r="I81" s="432" t="s">
        <v>2225</v>
      </c>
      <c r="J81" s="432"/>
      <c r="K81" s="432"/>
      <c r="L81" s="421">
        <v>365</v>
      </c>
      <c r="M81" s="421"/>
      <c r="N81" s="411">
        <v>0.25</v>
      </c>
      <c r="O81" s="395">
        <f t="shared" si="13"/>
        <v>517.30769230769226</v>
      </c>
      <c r="P81" s="411">
        <v>0</v>
      </c>
      <c r="Q81" s="412">
        <v>0</v>
      </c>
      <c r="R81" s="1359">
        <f t="shared" si="16"/>
        <v>517.30769230769226</v>
      </c>
      <c r="S81" s="411">
        <v>0.04</v>
      </c>
      <c r="T81" s="393">
        <f t="shared" si="15"/>
        <v>20.69230769230769</v>
      </c>
      <c r="U81" s="412">
        <v>538</v>
      </c>
      <c r="V81" s="412"/>
      <c r="W81" s="432" t="s">
        <v>33</v>
      </c>
      <c r="X81" s="410">
        <v>2015</v>
      </c>
      <c r="Y81" s="410" t="s">
        <v>26</v>
      </c>
      <c r="Z81" s="410" t="s">
        <v>1</v>
      </c>
      <c r="AA81" s="412">
        <v>10</v>
      </c>
      <c r="AB81" s="413"/>
      <c r="AC81" s="421"/>
      <c r="AD81" s="421"/>
      <c r="AE81" s="421"/>
      <c r="AF81" s="421"/>
      <c r="AG81" s="421"/>
      <c r="AH81" s="421"/>
      <c r="AI81" s="421"/>
      <c r="AJ81" s="418"/>
    </row>
    <row r="82" spans="1:36" s="422" customFormat="1">
      <c r="A82" s="197" t="b">
        <v>0</v>
      </c>
      <c r="B82" s="197" t="s">
        <v>2267</v>
      </c>
      <c r="C82" s="197" t="b">
        <f t="shared" si="11"/>
        <v>1</v>
      </c>
      <c r="D82" s="548" t="str">
        <f>IF(C82=FALSE=NAMES!$B$8,"",IF(F82="N/A","N/A",X82&amp;W82&amp;F82&amp;"-"&amp;G82&amp;H82))</f>
        <v/>
      </c>
      <c r="E82" s="432" t="str">
        <f t="shared" si="19"/>
        <v>2015EURAIG Luxembourg-Healthcare PlanComfort MLC S</v>
      </c>
      <c r="F82" s="432" t="s">
        <v>4</v>
      </c>
      <c r="G82" s="421" t="s">
        <v>3</v>
      </c>
      <c r="H82" s="432" t="s">
        <v>2125</v>
      </c>
      <c r="I82" s="432" t="s">
        <v>2225</v>
      </c>
      <c r="J82" s="432"/>
      <c r="K82" s="432"/>
      <c r="L82" s="421">
        <v>365</v>
      </c>
      <c r="M82" s="421"/>
      <c r="N82" s="411">
        <v>0.25</v>
      </c>
      <c r="O82" s="395">
        <f t="shared" si="13"/>
        <v>517.30769230769226</v>
      </c>
      <c r="P82" s="411">
        <v>0</v>
      </c>
      <c r="Q82" s="412">
        <v>0</v>
      </c>
      <c r="R82" s="1359">
        <f t="shared" si="16"/>
        <v>517.30769230769226</v>
      </c>
      <c r="S82" s="411">
        <v>0.04</v>
      </c>
      <c r="T82" s="393">
        <f t="shared" si="15"/>
        <v>20.69230769230769</v>
      </c>
      <c r="U82" s="412">
        <v>538</v>
      </c>
      <c r="V82" s="412"/>
      <c r="W82" s="432" t="s">
        <v>33</v>
      </c>
      <c r="X82" s="410">
        <v>2015</v>
      </c>
      <c r="Y82" s="410" t="s">
        <v>26</v>
      </c>
      <c r="Z82" s="410" t="s">
        <v>1</v>
      </c>
      <c r="AA82" s="412">
        <v>10</v>
      </c>
      <c r="AB82" s="413"/>
      <c r="AC82" s="421"/>
      <c r="AD82" s="421"/>
      <c r="AE82" s="421"/>
      <c r="AF82" s="421"/>
      <c r="AG82" s="421"/>
      <c r="AH82" s="421"/>
      <c r="AI82" s="421"/>
      <c r="AJ82" s="418"/>
    </row>
    <row r="83" spans="1:36" s="422" customFormat="1">
      <c r="A83" s="197" t="b">
        <v>0</v>
      </c>
      <c r="B83" s="197" t="s">
        <v>2267</v>
      </c>
      <c r="C83" s="197" t="b">
        <f t="shared" si="11"/>
        <v>1</v>
      </c>
      <c r="D83" s="548" t="str">
        <f>IF(C83=FALSE=NAMES!$B$8,"",IF(F83="N/A","N/A",X83&amp;W83&amp;F83&amp;"-"&amp;G83&amp;H83))</f>
        <v/>
      </c>
      <c r="E83" s="432" t="str">
        <f t="shared" si="19"/>
        <v>2015EURAIG Luxembourg-Healthcare PlanPrestige S</v>
      </c>
      <c r="F83" s="432" t="s">
        <v>4</v>
      </c>
      <c r="G83" s="421" t="s">
        <v>3</v>
      </c>
      <c r="H83" s="432" t="s">
        <v>2074</v>
      </c>
      <c r="I83" s="432" t="s">
        <v>2225</v>
      </c>
      <c r="J83" s="432"/>
      <c r="K83" s="432"/>
      <c r="L83" s="421">
        <v>365</v>
      </c>
      <c r="M83" s="421"/>
      <c r="N83" s="411">
        <v>0.25</v>
      </c>
      <c r="O83" s="395">
        <f t="shared" ref="O83:O114" si="20">IF(E83="N/A","",U83/1.04)</f>
        <v>1055.7692307692307</v>
      </c>
      <c r="P83" s="411">
        <v>0</v>
      </c>
      <c r="Q83" s="412">
        <v>0</v>
      </c>
      <c r="R83" s="1359">
        <f t="shared" si="16"/>
        <v>1055.7692307692307</v>
      </c>
      <c r="S83" s="411">
        <v>0.04</v>
      </c>
      <c r="T83" s="393">
        <f t="shared" si="15"/>
        <v>42.230769230769226</v>
      </c>
      <c r="U83" s="412">
        <v>1098</v>
      </c>
      <c r="V83" s="412"/>
      <c r="W83" s="432" t="s">
        <v>33</v>
      </c>
      <c r="X83" s="410">
        <v>2015</v>
      </c>
      <c r="Y83" s="410" t="s">
        <v>26</v>
      </c>
      <c r="Z83" s="410" t="s">
        <v>1</v>
      </c>
      <c r="AA83" s="412">
        <v>10</v>
      </c>
      <c r="AB83" s="413"/>
      <c r="AC83" s="421"/>
      <c r="AD83" s="421"/>
      <c r="AE83" s="421"/>
      <c r="AF83" s="421"/>
      <c r="AG83" s="421"/>
      <c r="AH83" s="421"/>
      <c r="AI83" s="421"/>
      <c r="AJ83" s="418"/>
    </row>
    <row r="84" spans="1:36" s="422" customFormat="1">
      <c r="A84" s="197" t="b">
        <v>0</v>
      </c>
      <c r="B84" s="197" t="s">
        <v>2267</v>
      </c>
      <c r="C84" s="197" t="b">
        <f t="shared" si="11"/>
        <v>1</v>
      </c>
      <c r="D84" s="548" t="str">
        <f>IF(C84=FALSE=NAMES!$B$8,"",IF(F84="N/A","N/A",X84&amp;W84&amp;F84&amp;"-"&amp;G84&amp;H84))</f>
        <v/>
      </c>
      <c r="E84" s="432" t="str">
        <f t="shared" si="19"/>
        <v>2015EURAllianz-Healthcare PlanPrivilege 100</v>
      </c>
      <c r="F84" s="432" t="s">
        <v>2126</v>
      </c>
      <c r="G84" s="421" t="s">
        <v>3</v>
      </c>
      <c r="H84" s="432" t="s">
        <v>2127</v>
      </c>
      <c r="I84" s="432" t="s">
        <v>2225</v>
      </c>
      <c r="J84" s="432"/>
      <c r="K84" s="432"/>
      <c r="L84" s="421">
        <v>365</v>
      </c>
      <c r="M84" s="421"/>
      <c r="N84" s="411">
        <v>0.25</v>
      </c>
      <c r="O84" s="395">
        <f t="shared" si="20"/>
        <v>3050.9615384615386</v>
      </c>
      <c r="P84" s="411">
        <v>0</v>
      </c>
      <c r="Q84" s="412">
        <v>0</v>
      </c>
      <c r="R84" s="1359">
        <f t="shared" si="16"/>
        <v>3050.9615384615386</v>
      </c>
      <c r="S84" s="411">
        <v>0.04</v>
      </c>
      <c r="T84" s="393">
        <f t="shared" si="15"/>
        <v>122.03846153846155</v>
      </c>
      <c r="U84" s="412">
        <v>3173</v>
      </c>
      <c r="V84" s="412"/>
      <c r="W84" s="432" t="s">
        <v>33</v>
      </c>
      <c r="X84" s="410">
        <v>2015</v>
      </c>
      <c r="Y84" s="410" t="s">
        <v>26</v>
      </c>
      <c r="Z84" s="410" t="s">
        <v>1</v>
      </c>
      <c r="AA84" s="412"/>
      <c r="AB84" s="413"/>
      <c r="AC84" s="421"/>
      <c r="AD84" s="421"/>
      <c r="AE84" s="421"/>
      <c r="AF84" s="421"/>
      <c r="AG84" s="421"/>
      <c r="AH84" s="421"/>
      <c r="AI84" s="421"/>
      <c r="AJ84" s="418"/>
    </row>
    <row r="85" spans="1:36" s="422" customFormat="1">
      <c r="A85" s="197" t="b">
        <v>0</v>
      </c>
      <c r="B85" s="197" t="s">
        <v>2267</v>
      </c>
      <c r="C85" s="197" t="b">
        <f t="shared" si="11"/>
        <v>1</v>
      </c>
      <c r="D85" s="548" t="str">
        <f>IF(C85=FALSE=NAMES!$B$8,"",IF(F85="N/A","N/A",X85&amp;W85&amp;F85&amp;"-"&amp;G85&amp;H85))</f>
        <v/>
      </c>
      <c r="E85" s="432" t="str">
        <f t="shared" si="19"/>
        <v>2015EURAllianz-Healthcare PlanPrivilege 100</v>
      </c>
      <c r="F85" s="432" t="s">
        <v>2126</v>
      </c>
      <c r="G85" s="421" t="s">
        <v>3</v>
      </c>
      <c r="H85" s="432" t="s">
        <v>2127</v>
      </c>
      <c r="I85" s="432" t="s">
        <v>2226</v>
      </c>
      <c r="J85" s="432"/>
      <c r="K85" s="432"/>
      <c r="L85" s="421">
        <v>365</v>
      </c>
      <c r="M85" s="421"/>
      <c r="N85" s="411">
        <v>0.25</v>
      </c>
      <c r="O85" s="395">
        <f t="shared" si="20"/>
        <v>7486.538461538461</v>
      </c>
      <c r="P85" s="411">
        <v>0</v>
      </c>
      <c r="Q85" s="412">
        <v>0</v>
      </c>
      <c r="R85" s="1359">
        <f t="shared" si="16"/>
        <v>7486.538461538461</v>
      </c>
      <c r="S85" s="411">
        <v>0.04</v>
      </c>
      <c r="T85" s="393">
        <f t="shared" si="15"/>
        <v>299.46153846153845</v>
      </c>
      <c r="U85" s="412">
        <v>7786</v>
      </c>
      <c r="V85" s="412"/>
      <c r="W85" s="432" t="s">
        <v>33</v>
      </c>
      <c r="X85" s="410">
        <v>2015</v>
      </c>
      <c r="Y85" s="410" t="s">
        <v>26</v>
      </c>
      <c r="Z85" s="410" t="s">
        <v>1</v>
      </c>
      <c r="AA85" s="412"/>
      <c r="AB85" s="413"/>
      <c r="AC85" s="421"/>
      <c r="AD85" s="421"/>
      <c r="AE85" s="421"/>
      <c r="AF85" s="421"/>
      <c r="AG85" s="421"/>
      <c r="AH85" s="421"/>
      <c r="AI85" s="421"/>
      <c r="AJ85" s="418"/>
    </row>
    <row r="86" spans="1:36" s="422" customFormat="1">
      <c r="A86" s="197" t="b">
        <v>0</v>
      </c>
      <c r="B86" s="197" t="s">
        <v>2267</v>
      </c>
      <c r="C86" s="197" t="b">
        <f t="shared" ref="C86:C97" si="21">IF(B86="N/A","",IF(B86="newRates",FALSE,TRUE))</f>
        <v>1</v>
      </c>
      <c r="D86" s="548" t="str">
        <f>IF(C86=FALSE=NAMES!$B$8,"",IF(F86="N/A","N/A",X86&amp;W86&amp;F86&amp;"-"&amp;G86&amp;H86))</f>
        <v/>
      </c>
      <c r="E86" s="432" t="str">
        <f t="shared" si="19"/>
        <v>2015EURAIG Luxembourg-Healthcare PlanAdulte AIG expat 100% excluding USA/Canada</v>
      </c>
      <c r="F86" s="432" t="s">
        <v>4</v>
      </c>
      <c r="G86" s="421" t="s">
        <v>3</v>
      </c>
      <c r="H86" s="422" t="s">
        <v>2372</v>
      </c>
      <c r="I86" s="432" t="s">
        <v>2226</v>
      </c>
      <c r="J86" s="432"/>
      <c r="K86" s="432"/>
      <c r="L86" s="421">
        <v>365</v>
      </c>
      <c r="M86" s="393">
        <v>2612.1799999999998</v>
      </c>
      <c r="N86" s="411">
        <v>0.15</v>
      </c>
      <c r="O86" s="395">
        <f t="shared" si="20"/>
        <v>2612.1799999999998</v>
      </c>
      <c r="P86" s="411">
        <v>0</v>
      </c>
      <c r="Q86" s="412">
        <v>261.21800000000002</v>
      </c>
      <c r="R86" s="1359">
        <f t="shared" si="16"/>
        <v>2873.3979999999997</v>
      </c>
      <c r="S86" s="411">
        <v>0.04</v>
      </c>
      <c r="T86" s="393">
        <f t="shared" si="15"/>
        <v>104.4872</v>
      </c>
      <c r="U86" s="412">
        <v>2716.6671999999999</v>
      </c>
      <c r="V86" s="412"/>
      <c r="W86" s="432" t="s">
        <v>33</v>
      </c>
      <c r="X86" s="410">
        <v>2015</v>
      </c>
      <c r="Y86" s="410" t="s">
        <v>26</v>
      </c>
      <c r="Z86" s="410" t="s">
        <v>2180</v>
      </c>
      <c r="AA86" s="412">
        <v>15</v>
      </c>
      <c r="AB86" s="413"/>
      <c r="AC86" s="421"/>
      <c r="AD86" s="421"/>
      <c r="AE86" s="421"/>
      <c r="AF86" s="421"/>
      <c r="AG86" s="421"/>
      <c r="AH86" s="421"/>
      <c r="AI86" s="421"/>
      <c r="AJ86" s="418"/>
    </row>
    <row r="87" spans="1:36" s="422" customFormat="1">
      <c r="A87" s="197" t="b">
        <v>0</v>
      </c>
      <c r="B87" s="197" t="s">
        <v>2267</v>
      </c>
      <c r="C87" s="197" t="b">
        <f t="shared" si="21"/>
        <v>1</v>
      </c>
      <c r="D87" s="548" t="str">
        <f>IF(C87=FALSE=NAMES!$B$8,"",IF(F87="N/A","N/A",X87&amp;W87&amp;F87&amp;"-"&amp;G87&amp;H87))</f>
        <v/>
      </c>
      <c r="E87" s="432" t="str">
        <f t="shared" si="19"/>
        <v>2015EURAIG Luxembourg-Healthcare PlanAdulte AIG expat 100% including USA/Canada</v>
      </c>
      <c r="F87" s="432" t="s">
        <v>4</v>
      </c>
      <c r="G87" s="421" t="s">
        <v>3</v>
      </c>
      <c r="H87" s="422" t="s">
        <v>2373</v>
      </c>
      <c r="I87" s="432" t="s">
        <v>2226</v>
      </c>
      <c r="J87" s="432"/>
      <c r="K87" s="432"/>
      <c r="L87" s="421">
        <v>365</v>
      </c>
      <c r="M87" s="393">
        <v>6000</v>
      </c>
      <c r="N87" s="411">
        <v>0.15</v>
      </c>
      <c r="O87" s="395">
        <f t="shared" si="20"/>
        <v>6000</v>
      </c>
      <c r="P87" s="411">
        <v>0</v>
      </c>
      <c r="Q87" s="412">
        <v>600</v>
      </c>
      <c r="R87" s="1359">
        <f t="shared" si="16"/>
        <v>6600</v>
      </c>
      <c r="S87" s="411">
        <v>0.04</v>
      </c>
      <c r="T87" s="393">
        <f t="shared" si="15"/>
        <v>240</v>
      </c>
      <c r="U87" s="412">
        <v>6240</v>
      </c>
      <c r="V87" s="412"/>
      <c r="W87" s="432" t="s">
        <v>33</v>
      </c>
      <c r="X87" s="410">
        <v>2015</v>
      </c>
      <c r="Y87" s="410" t="s">
        <v>26</v>
      </c>
      <c r="Z87" s="410" t="s">
        <v>2180</v>
      </c>
      <c r="AA87" s="412">
        <v>15</v>
      </c>
      <c r="AB87" s="413"/>
      <c r="AC87" s="421"/>
      <c r="AD87" s="421"/>
      <c r="AE87" s="421"/>
      <c r="AF87" s="421"/>
      <c r="AG87" s="421"/>
      <c r="AH87" s="421"/>
      <c r="AI87" s="421"/>
      <c r="AJ87" s="418"/>
    </row>
    <row r="88" spans="1:36" s="422" customFormat="1">
      <c r="A88" s="197" t="b">
        <v>0</v>
      </c>
      <c r="B88" s="197" t="s">
        <v>2267</v>
      </c>
      <c r="C88" s="197" t="b">
        <f t="shared" si="21"/>
        <v>1</v>
      </c>
      <c r="D88" s="548" t="str">
        <f>IF(C88=FALSE=NAMES!$B$8,"",IF(F88="N/A","N/A",X88&amp;W88&amp;F88&amp;"-"&amp;G88&amp;H88))</f>
        <v/>
      </c>
      <c r="E88" s="432" t="str">
        <f t="shared" si="19"/>
        <v>2015EURAIG Luxembourg-Healthcare PlanAdulte AIG expat 80% excluding USA/Canada</v>
      </c>
      <c r="F88" s="432" t="s">
        <v>4</v>
      </c>
      <c r="G88" s="421" t="s">
        <v>3</v>
      </c>
      <c r="H88" s="422" t="s">
        <v>2374</v>
      </c>
      <c r="I88" s="432" t="s">
        <v>2226</v>
      </c>
      <c r="J88" s="432"/>
      <c r="K88" s="432"/>
      <c r="L88" s="421">
        <v>365</v>
      </c>
      <c r="M88" s="393">
        <v>2148.94</v>
      </c>
      <c r="N88" s="411">
        <v>0.15</v>
      </c>
      <c r="O88" s="395">
        <f t="shared" si="20"/>
        <v>2148.9423076923076</v>
      </c>
      <c r="P88" s="411">
        <v>0</v>
      </c>
      <c r="Q88" s="412">
        <v>214.89400000000001</v>
      </c>
      <c r="R88" s="1359">
        <f t="shared" si="16"/>
        <v>2363.8363076923079</v>
      </c>
      <c r="S88" s="411">
        <v>0.04</v>
      </c>
      <c r="T88" s="393">
        <f t="shared" si="15"/>
        <v>85.957692307692312</v>
      </c>
      <c r="U88" s="412">
        <v>2234.9</v>
      </c>
      <c r="V88" s="412"/>
      <c r="W88" s="432" t="s">
        <v>33</v>
      </c>
      <c r="X88" s="410">
        <v>2015</v>
      </c>
      <c r="Y88" s="410" t="s">
        <v>26</v>
      </c>
      <c r="Z88" s="410" t="s">
        <v>2180</v>
      </c>
      <c r="AA88" s="412">
        <v>15</v>
      </c>
      <c r="AB88" s="413"/>
      <c r="AC88" s="421"/>
      <c r="AD88" s="421"/>
      <c r="AE88" s="421"/>
      <c r="AF88" s="421"/>
      <c r="AG88" s="421"/>
      <c r="AH88" s="421"/>
      <c r="AI88" s="421"/>
      <c r="AJ88" s="418"/>
    </row>
    <row r="89" spans="1:36" s="422" customFormat="1">
      <c r="A89" s="197" t="b">
        <v>0</v>
      </c>
      <c r="B89" s="197" t="s">
        <v>2267</v>
      </c>
      <c r="C89" s="197" t="b">
        <f t="shared" si="21"/>
        <v>1</v>
      </c>
      <c r="D89" s="548" t="str">
        <f>IF(C89=FALSE=NAMES!$B$8,"",IF(F89="N/A","N/A",X89&amp;W89&amp;F89&amp;"-"&amp;G89&amp;H89))</f>
        <v/>
      </c>
      <c r="E89" s="432" t="str">
        <f t="shared" si="19"/>
        <v>2015EURAIG Luxembourg-Healthcare PlanAdulte AIG expat 80% including USA/Canada</v>
      </c>
      <c r="F89" s="432" t="s">
        <v>4</v>
      </c>
      <c r="G89" s="421" t="s">
        <v>3</v>
      </c>
      <c r="H89" s="422" t="s">
        <v>2375</v>
      </c>
      <c r="I89" s="432" t="s">
        <v>2226</v>
      </c>
      <c r="J89" s="432"/>
      <c r="K89" s="432"/>
      <c r="L89" s="421">
        <v>365</v>
      </c>
      <c r="M89" s="393">
        <v>4900</v>
      </c>
      <c r="N89" s="411">
        <v>0.15</v>
      </c>
      <c r="O89" s="395">
        <f t="shared" si="20"/>
        <v>4900</v>
      </c>
      <c r="P89" s="411">
        <v>0</v>
      </c>
      <c r="Q89" s="412">
        <v>490</v>
      </c>
      <c r="R89" s="1359">
        <f t="shared" si="16"/>
        <v>5390</v>
      </c>
      <c r="S89" s="411">
        <v>0.04</v>
      </c>
      <c r="T89" s="393">
        <f t="shared" si="15"/>
        <v>196</v>
      </c>
      <c r="U89" s="412">
        <v>5096</v>
      </c>
      <c r="V89" s="412"/>
      <c r="W89" s="432" t="s">
        <v>33</v>
      </c>
      <c r="X89" s="410">
        <v>2015</v>
      </c>
      <c r="Y89" s="410" t="s">
        <v>26</v>
      </c>
      <c r="Z89" s="410" t="s">
        <v>2180</v>
      </c>
      <c r="AA89" s="412">
        <v>15</v>
      </c>
      <c r="AB89" s="413"/>
      <c r="AC89" s="421"/>
      <c r="AD89" s="421"/>
      <c r="AE89" s="421"/>
      <c r="AF89" s="421"/>
      <c r="AG89" s="421"/>
      <c r="AH89" s="421"/>
      <c r="AI89" s="421"/>
      <c r="AJ89" s="418"/>
    </row>
    <row r="90" spans="1:36" s="422" customFormat="1">
      <c r="A90" s="197" t="b">
        <v>0</v>
      </c>
      <c r="B90" s="197" t="s">
        <v>2267</v>
      </c>
      <c r="C90" s="197" t="b">
        <f t="shared" si="21"/>
        <v>1</v>
      </c>
      <c r="D90" s="548" t="str">
        <f>IF(C90=FALSE=NAMES!$B$8,"",IF(F90="N/A","N/A",X90&amp;W90&amp;F90&amp;"-"&amp;G90&amp;H90))</f>
        <v/>
      </c>
      <c r="E90" s="432" t="str">
        <f t="shared" si="19"/>
        <v>2015EURAIG Luxembourg-Healthcare PlanAdulte AIG expat 90% excluding USA/Canada</v>
      </c>
      <c r="F90" s="432" t="s">
        <v>4</v>
      </c>
      <c r="G90" s="421" t="s">
        <v>3</v>
      </c>
      <c r="H90" s="422" t="s">
        <v>2376</v>
      </c>
      <c r="I90" s="432" t="s">
        <v>2226</v>
      </c>
      <c r="J90" s="432"/>
      <c r="K90" s="432"/>
      <c r="L90" s="421">
        <v>365</v>
      </c>
      <c r="M90" s="393">
        <v>2380.56</v>
      </c>
      <c r="N90" s="411">
        <v>0.15</v>
      </c>
      <c r="O90" s="395">
        <f t="shared" si="20"/>
        <v>2380.5576923076924</v>
      </c>
      <c r="P90" s="411">
        <v>0</v>
      </c>
      <c r="Q90" s="412">
        <v>238.05600000000001</v>
      </c>
      <c r="R90" s="1359">
        <f t="shared" si="16"/>
        <v>2618.6136923076924</v>
      </c>
      <c r="S90" s="411">
        <v>0.04</v>
      </c>
      <c r="T90" s="393">
        <f t="shared" si="15"/>
        <v>95.222307692307695</v>
      </c>
      <c r="U90" s="412">
        <v>2475.7800000000002</v>
      </c>
      <c r="V90" s="412"/>
      <c r="W90" s="432" t="s">
        <v>33</v>
      </c>
      <c r="X90" s="410">
        <v>2015</v>
      </c>
      <c r="Y90" s="410" t="s">
        <v>26</v>
      </c>
      <c r="Z90" s="410" t="s">
        <v>2180</v>
      </c>
      <c r="AA90" s="412">
        <v>15</v>
      </c>
      <c r="AB90" s="413"/>
      <c r="AC90" s="421"/>
      <c r="AD90" s="421"/>
      <c r="AE90" s="421"/>
      <c r="AF90" s="421"/>
      <c r="AG90" s="421"/>
      <c r="AH90" s="421"/>
      <c r="AI90" s="421"/>
      <c r="AJ90" s="418"/>
    </row>
    <row r="91" spans="1:36" s="422" customFormat="1">
      <c r="A91" s="197" t="b">
        <v>0</v>
      </c>
      <c r="B91" s="197" t="s">
        <v>2267</v>
      </c>
      <c r="C91" s="197" t="b">
        <f t="shared" si="21"/>
        <v>1</v>
      </c>
      <c r="D91" s="548" t="str">
        <f>IF(C91=FALSE=NAMES!$B$8,"",IF(F91="N/A","N/A",X91&amp;W91&amp;F91&amp;"-"&amp;G91&amp;H91))</f>
        <v/>
      </c>
      <c r="E91" s="432" t="str">
        <f t="shared" si="19"/>
        <v>2015EURAIG Luxembourg-Healthcare PlanAdulte AIG expat 90% including USA/Canada</v>
      </c>
      <c r="F91" s="432" t="s">
        <v>4</v>
      </c>
      <c r="G91" s="421" t="s">
        <v>3</v>
      </c>
      <c r="H91" s="422" t="s">
        <v>2377</v>
      </c>
      <c r="I91" s="432" t="s">
        <v>2226</v>
      </c>
      <c r="J91" s="432"/>
      <c r="K91" s="432"/>
      <c r="L91" s="421">
        <v>365</v>
      </c>
      <c r="M91" s="393">
        <v>5450</v>
      </c>
      <c r="N91" s="411">
        <v>0.15</v>
      </c>
      <c r="O91" s="395">
        <f t="shared" si="20"/>
        <v>5450</v>
      </c>
      <c r="P91" s="411">
        <v>0</v>
      </c>
      <c r="Q91" s="412">
        <v>545</v>
      </c>
      <c r="R91" s="1359">
        <f t="shared" si="16"/>
        <v>5995</v>
      </c>
      <c r="S91" s="411">
        <v>0.04</v>
      </c>
      <c r="T91" s="393">
        <f t="shared" si="15"/>
        <v>218</v>
      </c>
      <c r="U91" s="412">
        <v>5668</v>
      </c>
      <c r="V91" s="412"/>
      <c r="W91" s="432" t="s">
        <v>33</v>
      </c>
      <c r="X91" s="410">
        <v>2015</v>
      </c>
      <c r="Y91" s="410" t="s">
        <v>26</v>
      </c>
      <c r="Z91" s="410" t="s">
        <v>2180</v>
      </c>
      <c r="AA91" s="412">
        <v>15</v>
      </c>
      <c r="AB91" s="413"/>
      <c r="AC91" s="421"/>
      <c r="AD91" s="421"/>
      <c r="AE91" s="421"/>
      <c r="AF91" s="421"/>
      <c r="AG91" s="421"/>
      <c r="AH91" s="421"/>
      <c r="AI91" s="421"/>
      <c r="AJ91" s="418"/>
    </row>
    <row r="92" spans="1:36" s="422" customFormat="1">
      <c r="A92" s="197" t="b">
        <v>0</v>
      </c>
      <c r="B92" s="197" t="s">
        <v>2267</v>
      </c>
      <c r="C92" s="197" t="b">
        <f t="shared" si="21"/>
        <v>1</v>
      </c>
      <c r="D92" s="548" t="str">
        <f>IF(C92=FALSE=NAMES!$B$8,"",IF(F92="N/A","N/A",X92&amp;W92&amp;F92&amp;"-"&amp;G92&amp;H92))</f>
        <v/>
      </c>
      <c r="E92" s="432" t="str">
        <f t="shared" si="19"/>
        <v>2015EURAIG Luxembourg-Healthcare PlanChild AIG expat 100% excluding USA/Canada</v>
      </c>
      <c r="F92" s="432" t="s">
        <v>4</v>
      </c>
      <c r="G92" s="421" t="s">
        <v>3</v>
      </c>
      <c r="H92" s="422" t="s">
        <v>2378</v>
      </c>
      <c r="I92" s="432" t="s">
        <v>2226</v>
      </c>
      <c r="J92" s="432"/>
      <c r="K92" s="432"/>
      <c r="L92" s="421">
        <v>365</v>
      </c>
      <c r="M92" s="393">
        <v>1110</v>
      </c>
      <c r="N92" s="411">
        <v>0.15</v>
      </c>
      <c r="O92" s="395">
        <f t="shared" si="20"/>
        <v>1110</v>
      </c>
      <c r="P92" s="411">
        <v>0</v>
      </c>
      <c r="Q92" s="412">
        <v>111</v>
      </c>
      <c r="R92" s="1359">
        <f t="shared" si="16"/>
        <v>1221</v>
      </c>
      <c r="S92" s="411">
        <v>0.04</v>
      </c>
      <c r="T92" s="393">
        <f t="shared" si="15"/>
        <v>44.4</v>
      </c>
      <c r="U92" s="412">
        <v>1154.4000000000001</v>
      </c>
      <c r="V92" s="412"/>
      <c r="W92" s="432" t="s">
        <v>33</v>
      </c>
      <c r="X92" s="410">
        <v>2015</v>
      </c>
      <c r="Y92" s="410" t="s">
        <v>26</v>
      </c>
      <c r="Z92" s="410" t="s">
        <v>2180</v>
      </c>
      <c r="AA92" s="412">
        <v>15</v>
      </c>
      <c r="AB92" s="413"/>
      <c r="AC92" s="421"/>
      <c r="AD92" s="421"/>
      <c r="AE92" s="421"/>
      <c r="AF92" s="421"/>
      <c r="AG92" s="421"/>
      <c r="AH92" s="421"/>
      <c r="AI92" s="421"/>
      <c r="AJ92" s="418"/>
    </row>
    <row r="93" spans="1:36" s="422" customFormat="1">
      <c r="A93" s="197" t="b">
        <v>0</v>
      </c>
      <c r="B93" s="197" t="s">
        <v>2267</v>
      </c>
      <c r="C93" s="197" t="b">
        <f t="shared" si="21"/>
        <v>1</v>
      </c>
      <c r="D93" s="548" t="str">
        <f>IF(C93=FALSE=NAMES!$B$8,"",IF(F93="N/A","N/A",X93&amp;W93&amp;F93&amp;"-"&amp;G93&amp;H93))</f>
        <v/>
      </c>
      <c r="E93" s="432" t="str">
        <f t="shared" si="19"/>
        <v>2015EURAIG Luxembourg-Healthcare PlanChild AIG expat 100% including USA/Canada</v>
      </c>
      <c r="F93" s="432" t="s">
        <v>4</v>
      </c>
      <c r="G93" s="421" t="s">
        <v>3</v>
      </c>
      <c r="H93" s="422" t="s">
        <v>2379</v>
      </c>
      <c r="I93" s="432" t="s">
        <v>2226</v>
      </c>
      <c r="J93" s="432"/>
      <c r="K93" s="432"/>
      <c r="L93" s="421">
        <v>365</v>
      </c>
      <c r="M93" s="393">
        <v>2409</v>
      </c>
      <c r="N93" s="411">
        <v>0.15</v>
      </c>
      <c r="O93" s="395">
        <f t="shared" si="20"/>
        <v>2409</v>
      </c>
      <c r="P93" s="411">
        <v>0</v>
      </c>
      <c r="Q93" s="412">
        <v>240.9</v>
      </c>
      <c r="R93" s="1359">
        <f t="shared" si="16"/>
        <v>2649.9</v>
      </c>
      <c r="S93" s="411">
        <v>0.04</v>
      </c>
      <c r="T93" s="393">
        <f t="shared" si="15"/>
        <v>96.36</v>
      </c>
      <c r="U93" s="412">
        <v>2505.36</v>
      </c>
      <c r="V93" s="412"/>
      <c r="W93" s="432" t="s">
        <v>33</v>
      </c>
      <c r="X93" s="410">
        <v>2015</v>
      </c>
      <c r="Y93" s="410" t="s">
        <v>26</v>
      </c>
      <c r="Z93" s="410" t="s">
        <v>2180</v>
      </c>
      <c r="AA93" s="412">
        <v>15</v>
      </c>
      <c r="AB93" s="413"/>
      <c r="AC93" s="421"/>
      <c r="AD93" s="421"/>
      <c r="AE93" s="421"/>
      <c r="AF93" s="421"/>
      <c r="AG93" s="421"/>
      <c r="AH93" s="421"/>
      <c r="AI93" s="421"/>
      <c r="AJ93" s="418"/>
    </row>
    <row r="94" spans="1:36" s="422" customFormat="1">
      <c r="A94" s="197" t="b">
        <v>0</v>
      </c>
      <c r="B94" s="197" t="s">
        <v>2267</v>
      </c>
      <c r="C94" s="197" t="b">
        <f t="shared" si="21"/>
        <v>1</v>
      </c>
      <c r="D94" s="548" t="str">
        <f>IF(C94=FALSE=NAMES!$B$8,"",IF(F94="N/A","N/A",X94&amp;W94&amp;F94&amp;"-"&amp;G94&amp;H94))</f>
        <v/>
      </c>
      <c r="E94" s="432" t="str">
        <f t="shared" si="19"/>
        <v>2015EURAIG Luxembourg-Healthcare PlanChild AIG expat 80% excluding USA/Canada</v>
      </c>
      <c r="F94" s="432" t="s">
        <v>4</v>
      </c>
      <c r="G94" s="421" t="s">
        <v>3</v>
      </c>
      <c r="H94" s="422" t="s">
        <v>2380</v>
      </c>
      <c r="I94" s="432" t="s">
        <v>2226</v>
      </c>
      <c r="J94" s="432"/>
      <c r="K94" s="432"/>
      <c r="L94" s="421">
        <v>365</v>
      </c>
      <c r="M94" s="393">
        <v>912</v>
      </c>
      <c r="N94" s="411">
        <v>0.15</v>
      </c>
      <c r="O94" s="395">
        <f t="shared" si="20"/>
        <v>912</v>
      </c>
      <c r="P94" s="411">
        <v>0</v>
      </c>
      <c r="Q94" s="412">
        <v>91.2</v>
      </c>
      <c r="R94" s="1359">
        <f t="shared" si="16"/>
        <v>1003.2</v>
      </c>
      <c r="S94" s="411">
        <v>0.04</v>
      </c>
      <c r="T94" s="393">
        <f t="shared" si="15"/>
        <v>36.480000000000004</v>
      </c>
      <c r="U94" s="412">
        <v>948.48</v>
      </c>
      <c r="V94" s="412"/>
      <c r="W94" s="432" t="s">
        <v>33</v>
      </c>
      <c r="X94" s="410">
        <v>2015</v>
      </c>
      <c r="Y94" s="410" t="s">
        <v>26</v>
      </c>
      <c r="Z94" s="410" t="s">
        <v>2180</v>
      </c>
      <c r="AA94" s="412">
        <v>15</v>
      </c>
      <c r="AB94" s="413"/>
      <c r="AC94" s="421"/>
      <c r="AD94" s="421"/>
      <c r="AE94" s="421"/>
      <c r="AF94" s="421"/>
      <c r="AG94" s="421"/>
      <c r="AH94" s="421"/>
      <c r="AI94" s="421"/>
      <c r="AJ94" s="418"/>
    </row>
    <row r="95" spans="1:36" s="422" customFormat="1">
      <c r="A95" s="197" t="b">
        <v>0</v>
      </c>
      <c r="B95" s="197" t="s">
        <v>2267</v>
      </c>
      <c r="C95" s="197" t="b">
        <f t="shared" si="21"/>
        <v>1</v>
      </c>
      <c r="D95" s="548" t="str">
        <f>IF(C95=FALSE=NAMES!$B$8,"",IF(F95="N/A","N/A",X95&amp;W95&amp;F95&amp;"-"&amp;G95&amp;H95))</f>
        <v/>
      </c>
      <c r="E95" s="432" t="str">
        <f t="shared" si="19"/>
        <v>2015EURAIG Luxembourg-Healthcare PlanChild AIG expat 80% including USA/Canada</v>
      </c>
      <c r="F95" s="432" t="s">
        <v>4</v>
      </c>
      <c r="G95" s="421" t="s">
        <v>3</v>
      </c>
      <c r="H95" s="422" t="s">
        <v>2381</v>
      </c>
      <c r="I95" s="432" t="s">
        <v>2226</v>
      </c>
      <c r="J95" s="432"/>
      <c r="K95" s="432"/>
      <c r="L95" s="421">
        <v>365</v>
      </c>
      <c r="M95" s="393">
        <v>1937.96</v>
      </c>
      <c r="N95" s="411">
        <v>0.15</v>
      </c>
      <c r="O95" s="395">
        <f t="shared" si="20"/>
        <v>1937.9615384615383</v>
      </c>
      <c r="P95" s="411">
        <v>0</v>
      </c>
      <c r="Q95" s="412">
        <v>193.79599999999999</v>
      </c>
      <c r="R95" s="1359">
        <f t="shared" si="16"/>
        <v>2131.7575384615384</v>
      </c>
      <c r="S95" s="411">
        <v>0.04</v>
      </c>
      <c r="T95" s="393">
        <f t="shared" si="15"/>
        <v>77.518461538461537</v>
      </c>
      <c r="U95" s="412">
        <v>2015.48</v>
      </c>
      <c r="V95" s="412"/>
      <c r="W95" s="432" t="s">
        <v>33</v>
      </c>
      <c r="X95" s="410">
        <v>2015</v>
      </c>
      <c r="Y95" s="410" t="s">
        <v>26</v>
      </c>
      <c r="Z95" s="410" t="s">
        <v>2180</v>
      </c>
      <c r="AA95" s="412">
        <v>15</v>
      </c>
      <c r="AB95" s="413"/>
      <c r="AC95" s="421"/>
      <c r="AD95" s="421"/>
      <c r="AE95" s="421"/>
      <c r="AF95" s="421"/>
      <c r="AG95" s="421"/>
      <c r="AH95" s="421"/>
      <c r="AI95" s="421"/>
      <c r="AJ95" s="418"/>
    </row>
    <row r="96" spans="1:36" s="422" customFormat="1">
      <c r="A96" s="197" t="b">
        <v>0</v>
      </c>
      <c r="B96" s="197" t="s">
        <v>2267</v>
      </c>
      <c r="C96" s="197" t="b">
        <f t="shared" si="21"/>
        <v>1</v>
      </c>
      <c r="D96" s="548" t="str">
        <f>IF(C96=FALSE=NAMES!$B$8,"",IF(F96="N/A","N/A",X96&amp;W96&amp;F96&amp;"-"&amp;G96&amp;H96))</f>
        <v/>
      </c>
      <c r="E96" s="432" t="str">
        <f t="shared" si="19"/>
        <v>2015EURAIG Luxembourg-Healthcare PlanChild AIG expat 90% excluding USA/Canada</v>
      </c>
      <c r="F96" s="432" t="s">
        <v>4</v>
      </c>
      <c r="G96" s="421" t="s">
        <v>3</v>
      </c>
      <c r="H96" s="422" t="s">
        <v>2382</v>
      </c>
      <c r="I96" s="432" t="s">
        <v>2226</v>
      </c>
      <c r="J96" s="432"/>
      <c r="K96" s="432"/>
      <c r="L96" s="421">
        <v>365</v>
      </c>
      <c r="M96" s="393">
        <v>1011</v>
      </c>
      <c r="N96" s="411">
        <v>0.15</v>
      </c>
      <c r="O96" s="395">
        <f t="shared" si="20"/>
        <v>1011</v>
      </c>
      <c r="P96" s="411">
        <v>0</v>
      </c>
      <c r="Q96" s="412">
        <v>101.1</v>
      </c>
      <c r="R96" s="1359">
        <f t="shared" si="16"/>
        <v>1112.0999999999999</v>
      </c>
      <c r="S96" s="411">
        <v>0.04</v>
      </c>
      <c r="T96" s="393">
        <f t="shared" si="15"/>
        <v>40.44</v>
      </c>
      <c r="U96" s="412">
        <v>1051.44</v>
      </c>
      <c r="V96" s="412"/>
      <c r="W96" s="432" t="s">
        <v>33</v>
      </c>
      <c r="X96" s="410">
        <v>2015</v>
      </c>
      <c r="Y96" s="410" t="s">
        <v>26</v>
      </c>
      <c r="Z96" s="410" t="s">
        <v>2180</v>
      </c>
      <c r="AA96" s="412">
        <v>15</v>
      </c>
      <c r="AB96" s="413"/>
      <c r="AC96" s="421"/>
      <c r="AD96" s="421"/>
      <c r="AE96" s="421"/>
      <c r="AF96" s="421"/>
      <c r="AG96" s="421"/>
      <c r="AH96" s="421"/>
      <c r="AI96" s="421"/>
      <c r="AJ96" s="418"/>
    </row>
    <row r="97" spans="1:36" s="422" customFormat="1">
      <c r="A97" s="197" t="b">
        <v>0</v>
      </c>
      <c r="B97" s="197" t="s">
        <v>2267</v>
      </c>
      <c r="C97" s="197" t="b">
        <f t="shared" si="21"/>
        <v>1</v>
      </c>
      <c r="D97" s="548" t="str">
        <f>IF(C97=FALSE=NAMES!$B$8,"",IF(F97="N/A","N/A",X97&amp;W97&amp;F97&amp;"-"&amp;G97&amp;H97))</f>
        <v/>
      </c>
      <c r="E97" s="432" t="str">
        <f t="shared" si="19"/>
        <v>2015EURAIG Luxembourg-Healthcare PlanChild AIG expat 90% including USA/Canada</v>
      </c>
      <c r="F97" s="432" t="s">
        <v>4</v>
      </c>
      <c r="G97" s="421" t="s">
        <v>3</v>
      </c>
      <c r="H97" s="422" t="s">
        <v>2383</v>
      </c>
      <c r="I97" s="432" t="s">
        <v>2226</v>
      </c>
      <c r="J97" s="432"/>
      <c r="K97" s="432"/>
      <c r="L97" s="421">
        <v>365</v>
      </c>
      <c r="M97" s="393">
        <v>2173.1799999999998</v>
      </c>
      <c r="N97" s="411">
        <v>0.15</v>
      </c>
      <c r="O97" s="395">
        <f t="shared" si="20"/>
        <v>2173.1826923076924</v>
      </c>
      <c r="P97" s="411">
        <v>0</v>
      </c>
      <c r="Q97" s="412">
        <v>217.31800000000001</v>
      </c>
      <c r="R97" s="1359">
        <f t="shared" si="16"/>
        <v>2390.5006923076926</v>
      </c>
      <c r="S97" s="411">
        <v>0.04</v>
      </c>
      <c r="T97" s="393">
        <f t="shared" si="15"/>
        <v>86.927307692307693</v>
      </c>
      <c r="U97" s="412">
        <v>2260.11</v>
      </c>
      <c r="V97" s="412"/>
      <c r="W97" s="432" t="s">
        <v>33</v>
      </c>
      <c r="X97" s="410">
        <v>2015</v>
      </c>
      <c r="Y97" s="410" t="s">
        <v>26</v>
      </c>
      <c r="Z97" s="410" t="s">
        <v>2180</v>
      </c>
      <c r="AA97" s="412">
        <v>15</v>
      </c>
      <c r="AB97" s="413"/>
      <c r="AC97" s="421"/>
      <c r="AD97" s="421"/>
      <c r="AE97" s="421"/>
      <c r="AF97" s="421"/>
      <c r="AG97" s="421"/>
      <c r="AH97" s="421"/>
      <c r="AI97" s="421"/>
      <c r="AJ97" s="418"/>
    </row>
    <row r="98" spans="1:36" s="409" customFormat="1">
      <c r="A98" s="299" t="b">
        <v>0</v>
      </c>
      <c r="B98" s="299" t="s">
        <v>2267</v>
      </c>
      <c r="C98" s="299" t="b">
        <f t="shared" si="11"/>
        <v>1</v>
      </c>
      <c r="D98" s="428" t="str">
        <f>IF(C98=FALSE=NAMES!$B$8,"",IF(F98="N/A","N/A",X98&amp;W98&amp;F98&amp;"-"&amp;G98&amp;H98))</f>
        <v/>
      </c>
      <c r="E98" s="429" t="str">
        <f t="shared" si="19"/>
        <v>N/A</v>
      </c>
      <c r="F98" s="429" t="s">
        <v>2236</v>
      </c>
      <c r="G98" s="429" t="s">
        <v>2236</v>
      </c>
      <c r="H98" s="421"/>
      <c r="I98" s="432"/>
      <c r="J98" s="432"/>
      <c r="K98" s="432"/>
      <c r="L98" s="421"/>
      <c r="M98" s="421"/>
      <c r="N98" s="411"/>
      <c r="O98" s="395" t="str">
        <f t="shared" si="20"/>
        <v/>
      </c>
      <c r="P98" s="411">
        <v>0</v>
      </c>
      <c r="Q98" s="393"/>
      <c r="R98" s="1359" t="str">
        <f t="shared" si="16"/>
        <v/>
      </c>
      <c r="S98" s="411"/>
      <c r="T98" s="411"/>
      <c r="U98" s="393"/>
      <c r="V98" s="393"/>
      <c r="W98" s="421"/>
      <c r="X98" s="421"/>
      <c r="Y98" s="421"/>
      <c r="Z98" s="421"/>
      <c r="AA98" s="393"/>
      <c r="AB98" s="413"/>
      <c r="AC98" s="421"/>
      <c r="AD98" s="421"/>
      <c r="AE98" s="421"/>
      <c r="AF98" s="421"/>
      <c r="AG98" s="421"/>
      <c r="AH98" s="421"/>
      <c r="AI98" s="421"/>
      <c r="AJ98" s="418"/>
    </row>
    <row r="99" spans="1:36" s="409" customFormat="1">
      <c r="A99" s="299" t="b">
        <v>0</v>
      </c>
      <c r="B99" s="299" t="s">
        <v>2267</v>
      </c>
      <c r="C99" s="299" t="b">
        <f t="shared" si="11"/>
        <v>1</v>
      </c>
      <c r="D99" s="428" t="str">
        <f>IF(C99=FALSE=NAMES!$B$8,"",IF(F99="N/A","N/A",X99&amp;W99&amp;F99&amp;"-"&amp;G99&amp;H99))</f>
        <v/>
      </c>
      <c r="E99" s="429" t="str">
        <f t="shared" si="19"/>
        <v>2014USDAIG Luxembourg-Healthcare PlanComfort</v>
      </c>
      <c r="F99" s="432" t="s">
        <v>4</v>
      </c>
      <c r="G99" s="421" t="s">
        <v>3</v>
      </c>
      <c r="H99" s="432" t="s">
        <v>2123</v>
      </c>
      <c r="I99" s="432" t="s">
        <v>2225</v>
      </c>
      <c r="J99" s="432"/>
      <c r="K99" s="432"/>
      <c r="L99" s="421">
        <v>365</v>
      </c>
      <c r="M99" s="421"/>
      <c r="N99" s="411">
        <v>0.25</v>
      </c>
      <c r="O99" s="395">
        <f t="shared" si="20"/>
        <v>517.30769230769226</v>
      </c>
      <c r="P99" s="411">
        <v>0</v>
      </c>
      <c r="Q99" s="412">
        <v>0</v>
      </c>
      <c r="R99" s="1359">
        <f t="shared" si="16"/>
        <v>517.30769230769226</v>
      </c>
      <c r="S99" s="411">
        <v>0.04</v>
      </c>
      <c r="T99" s="411"/>
      <c r="U99" s="412">
        <v>538</v>
      </c>
      <c r="V99" s="412"/>
      <c r="W99" s="432" t="s">
        <v>89</v>
      </c>
      <c r="X99" s="410">
        <v>2014</v>
      </c>
      <c r="Y99" s="410" t="s">
        <v>26</v>
      </c>
      <c r="Z99" s="410" t="s">
        <v>1</v>
      </c>
      <c r="AA99" s="412">
        <v>65</v>
      </c>
      <c r="AB99" s="413"/>
      <c r="AC99" s="421" t="s">
        <v>2150</v>
      </c>
      <c r="AD99" s="421" t="s">
        <v>2179</v>
      </c>
      <c r="AE99" s="421" t="s">
        <v>2179</v>
      </c>
      <c r="AF99" s="421" t="s">
        <v>2180</v>
      </c>
      <c r="AG99" s="421" t="s">
        <v>2180</v>
      </c>
      <c r="AH99" s="421" t="s">
        <v>2180</v>
      </c>
      <c r="AI99" s="421" t="s">
        <v>2180</v>
      </c>
      <c r="AJ99" s="418" t="s">
        <v>87</v>
      </c>
    </row>
    <row r="100" spans="1:36" s="409" customFormat="1">
      <c r="A100" s="299" t="b">
        <v>0</v>
      </c>
      <c r="B100" s="299" t="s">
        <v>2267</v>
      </c>
      <c r="C100" s="299" t="b">
        <f t="shared" si="11"/>
        <v>1</v>
      </c>
      <c r="D100" s="428" t="str">
        <f>IF(C100=FALSE=NAMES!$B$8,"",IF(F100="N/A","N/A",X100&amp;W100&amp;F100&amp;"-"&amp;G100&amp;H100))</f>
        <v/>
      </c>
      <c r="E100" s="429" t="str">
        <f t="shared" si="19"/>
        <v>2014USDAIG Luxembourg-Healthcare PlanCOMFORTMLC</v>
      </c>
      <c r="F100" s="432" t="s">
        <v>4</v>
      </c>
      <c r="G100" s="421" t="s">
        <v>3</v>
      </c>
      <c r="H100" s="432" t="s">
        <v>2279</v>
      </c>
      <c r="I100" s="432" t="s">
        <v>2225</v>
      </c>
      <c r="J100" s="432"/>
      <c r="K100" s="432"/>
      <c r="L100" s="421">
        <v>365</v>
      </c>
      <c r="M100" s="421"/>
      <c r="N100" s="411">
        <v>0.25</v>
      </c>
      <c r="O100" s="395">
        <f t="shared" si="20"/>
        <v>517.30769230769226</v>
      </c>
      <c r="P100" s="411">
        <v>0</v>
      </c>
      <c r="Q100" s="412">
        <v>0</v>
      </c>
      <c r="R100" s="1359">
        <f t="shared" si="16"/>
        <v>517.30769230769226</v>
      </c>
      <c r="S100" s="411">
        <v>0.04</v>
      </c>
      <c r="T100" s="411"/>
      <c r="U100" s="412">
        <v>538</v>
      </c>
      <c r="V100" s="412"/>
      <c r="W100" s="432" t="s">
        <v>89</v>
      </c>
      <c r="X100" s="410">
        <v>2014</v>
      </c>
      <c r="Y100" s="410" t="s">
        <v>26</v>
      </c>
      <c r="Z100" s="410" t="s">
        <v>1</v>
      </c>
      <c r="AA100" s="412">
        <v>65</v>
      </c>
      <c r="AB100" s="413"/>
      <c r="AC100" s="421" t="s">
        <v>2150</v>
      </c>
      <c r="AD100" s="421" t="s">
        <v>2179</v>
      </c>
      <c r="AE100" s="421" t="s">
        <v>2179</v>
      </c>
      <c r="AF100" s="421" t="s">
        <v>2180</v>
      </c>
      <c r="AG100" s="421" t="s">
        <v>2180</v>
      </c>
      <c r="AH100" s="421" t="s">
        <v>2180</v>
      </c>
      <c r="AI100" s="421" t="s">
        <v>2180</v>
      </c>
      <c r="AJ100" s="418" t="s">
        <v>87</v>
      </c>
    </row>
    <row r="101" spans="1:36" s="409" customFormat="1">
      <c r="A101" s="299" t="b">
        <v>0</v>
      </c>
      <c r="B101" s="299" t="s">
        <v>2267</v>
      </c>
      <c r="C101" s="299" t="b">
        <f t="shared" si="11"/>
        <v>1</v>
      </c>
      <c r="D101" s="428" t="str">
        <f>IF(C101=FALSE=NAMES!$B$8,"",IF(F101="N/A","N/A",X101&amp;W101&amp;F101&amp;"-"&amp;G101&amp;H101))</f>
        <v/>
      </c>
      <c r="E101" s="429" t="str">
        <f t="shared" si="19"/>
        <v>2014USDAIG Luxembourg-Healthcare PlanPRESTIGE</v>
      </c>
      <c r="F101" s="432" t="s">
        <v>4</v>
      </c>
      <c r="G101" s="421" t="s">
        <v>3</v>
      </c>
      <c r="H101" s="432" t="s">
        <v>88</v>
      </c>
      <c r="I101" s="432" t="s">
        <v>2225</v>
      </c>
      <c r="J101" s="432"/>
      <c r="K101" s="432"/>
      <c r="L101" s="421">
        <v>365</v>
      </c>
      <c r="M101" s="421"/>
      <c r="N101" s="411">
        <v>0.25</v>
      </c>
      <c r="O101" s="395">
        <f t="shared" si="20"/>
        <v>1055.7692307692307</v>
      </c>
      <c r="P101" s="411">
        <v>0</v>
      </c>
      <c r="Q101" s="412">
        <v>0</v>
      </c>
      <c r="R101" s="1359">
        <f t="shared" si="16"/>
        <v>1055.7692307692307</v>
      </c>
      <c r="S101" s="411">
        <v>0.04</v>
      </c>
      <c r="T101" s="411"/>
      <c r="U101" s="412">
        <v>1098</v>
      </c>
      <c r="V101" s="412"/>
      <c r="W101" s="432" t="s">
        <v>89</v>
      </c>
      <c r="X101" s="410">
        <v>2014</v>
      </c>
      <c r="Y101" s="410" t="s">
        <v>26</v>
      </c>
      <c r="Z101" s="410" t="s">
        <v>1</v>
      </c>
      <c r="AA101" s="412">
        <v>35</v>
      </c>
      <c r="AB101" s="413"/>
      <c r="AC101" s="421" t="s">
        <v>2150</v>
      </c>
      <c r="AD101" s="421" t="s">
        <v>2179</v>
      </c>
      <c r="AE101" s="421" t="s">
        <v>2179</v>
      </c>
      <c r="AF101" s="421" t="s">
        <v>2180</v>
      </c>
      <c r="AG101" s="421" t="s">
        <v>2180</v>
      </c>
      <c r="AH101" s="421" t="s">
        <v>2180</v>
      </c>
      <c r="AI101" s="421" t="s">
        <v>2180</v>
      </c>
      <c r="AJ101" s="418" t="s">
        <v>87</v>
      </c>
    </row>
    <row r="102" spans="1:36" s="409" customFormat="1">
      <c r="A102" s="299" t="b">
        <v>0</v>
      </c>
      <c r="B102" s="299" t="s">
        <v>2267</v>
      </c>
      <c r="C102" s="299" t="b">
        <f t="shared" si="11"/>
        <v>1</v>
      </c>
      <c r="D102" s="428" t="str">
        <f>IF(C102=FALSE=NAMES!$B$8,"",IF(F102="N/A","N/A",X102&amp;W102&amp;F102&amp;"-"&amp;G102&amp;H102))</f>
        <v/>
      </c>
      <c r="E102" s="429" t="str">
        <f t="shared" si="19"/>
        <v>2014USDAIG Luxembourg-Healthcare PlanPrestige Plus</v>
      </c>
      <c r="F102" s="432" t="s">
        <v>4</v>
      </c>
      <c r="G102" s="421" t="s">
        <v>3</v>
      </c>
      <c r="H102" s="432" t="s">
        <v>2085</v>
      </c>
      <c r="I102" s="432" t="s">
        <v>2225</v>
      </c>
      <c r="J102" s="432"/>
      <c r="K102" s="432"/>
      <c r="L102" s="421">
        <v>365</v>
      </c>
      <c r="M102" s="421"/>
      <c r="N102" s="411">
        <v>0.25</v>
      </c>
      <c r="O102" s="395">
        <f t="shared" si="20"/>
        <v>1055.7692307692307</v>
      </c>
      <c r="P102" s="411">
        <v>0</v>
      </c>
      <c r="Q102" s="412">
        <v>0</v>
      </c>
      <c r="R102" s="1359">
        <f t="shared" si="16"/>
        <v>1055.7692307692307</v>
      </c>
      <c r="S102" s="411">
        <v>0.04</v>
      </c>
      <c r="T102" s="411"/>
      <c r="U102" s="412">
        <v>1098</v>
      </c>
      <c r="V102" s="412"/>
      <c r="W102" s="432" t="s">
        <v>89</v>
      </c>
      <c r="X102" s="410">
        <v>2014</v>
      </c>
      <c r="Y102" s="410" t="s">
        <v>26</v>
      </c>
      <c r="Z102" s="410" t="s">
        <v>1</v>
      </c>
      <c r="AA102" s="412">
        <v>35</v>
      </c>
      <c r="AB102" s="413"/>
      <c r="AC102" s="421" t="s">
        <v>2150</v>
      </c>
      <c r="AD102" s="421" t="s">
        <v>2179</v>
      </c>
      <c r="AE102" s="421" t="s">
        <v>2179</v>
      </c>
      <c r="AF102" s="421" t="s">
        <v>2180</v>
      </c>
      <c r="AG102" s="421" t="s">
        <v>2180</v>
      </c>
      <c r="AH102" s="421" t="s">
        <v>2180</v>
      </c>
      <c r="AI102" s="421" t="s">
        <v>2180</v>
      </c>
      <c r="AJ102" s="418" t="s">
        <v>87</v>
      </c>
    </row>
    <row r="103" spans="1:36" s="409" customFormat="1">
      <c r="A103" s="299" t="b">
        <v>0</v>
      </c>
      <c r="B103" s="299" t="s">
        <v>2267</v>
      </c>
      <c r="C103" s="299" t="b">
        <f t="shared" si="11"/>
        <v>1</v>
      </c>
      <c r="D103" s="428" t="str">
        <f>IF(C103=FALSE=NAMES!$B$8,"",IF(F103="N/A","N/A",X103&amp;W103&amp;F103&amp;"-"&amp;G103&amp;H103))</f>
        <v/>
      </c>
      <c r="E103" s="429" t="str">
        <f t="shared" si="19"/>
        <v>2014USDAnker Verzekeringen n.v.-Healthcare PlanMedical Excellent and Homeland</v>
      </c>
      <c r="F103" s="432" t="s">
        <v>7</v>
      </c>
      <c r="G103" s="421" t="s">
        <v>3</v>
      </c>
      <c r="H103" s="432" t="s">
        <v>2128</v>
      </c>
      <c r="I103" s="432" t="s">
        <v>2225</v>
      </c>
      <c r="J103" s="432"/>
      <c r="K103" s="432"/>
      <c r="L103" s="421">
        <v>365</v>
      </c>
      <c r="M103" s="421"/>
      <c r="N103" s="411">
        <v>0.25</v>
      </c>
      <c r="O103" s="395">
        <f t="shared" si="20"/>
        <v>1138.8853846153847</v>
      </c>
      <c r="P103" s="411">
        <v>0</v>
      </c>
      <c r="Q103" s="412">
        <v>0</v>
      </c>
      <c r="R103" s="1359">
        <f t="shared" si="16"/>
        <v>1138.8853846153847</v>
      </c>
      <c r="S103" s="411">
        <v>0.04</v>
      </c>
      <c r="T103" s="411"/>
      <c r="U103" s="396">
        <v>1184.4408000000001</v>
      </c>
      <c r="V103" s="396"/>
      <c r="W103" s="432" t="s">
        <v>89</v>
      </c>
      <c r="X103" s="410">
        <v>2014</v>
      </c>
      <c r="Y103" s="410" t="s">
        <v>2246</v>
      </c>
      <c r="Z103" s="410" t="s">
        <v>1</v>
      </c>
      <c r="AA103" s="396"/>
      <c r="AB103" s="413"/>
      <c r="AC103" s="421" t="s">
        <v>2150</v>
      </c>
      <c r="AD103" s="421" t="s">
        <v>2179</v>
      </c>
      <c r="AE103" s="421" t="s">
        <v>2179</v>
      </c>
      <c r="AF103" s="421" t="s">
        <v>2180</v>
      </c>
      <c r="AG103" s="421" t="s">
        <v>2180</v>
      </c>
      <c r="AH103" s="421" t="s">
        <v>2180</v>
      </c>
      <c r="AI103" s="421" t="s">
        <v>2180</v>
      </c>
      <c r="AJ103" s="418" t="s">
        <v>87</v>
      </c>
    </row>
    <row r="104" spans="1:36" s="409" customFormat="1">
      <c r="A104" s="299" t="b">
        <v>0</v>
      </c>
      <c r="B104" s="299" t="s">
        <v>2267</v>
      </c>
      <c r="C104" s="299" t="b">
        <f t="shared" si="11"/>
        <v>1</v>
      </c>
      <c r="D104" s="428" t="str">
        <f>IF(C104=FALSE=NAMES!$B$8,"",IF(F104="N/A","N/A",X104&amp;W104&amp;F104&amp;"-"&amp;G104&amp;H104))</f>
        <v/>
      </c>
      <c r="E104" s="429" t="str">
        <f t="shared" si="19"/>
        <v>2014USDAIG Luxembourg-Healthcare PlanComfort S</v>
      </c>
      <c r="F104" s="390" t="s">
        <v>4</v>
      </c>
      <c r="G104" s="389" t="s">
        <v>3</v>
      </c>
      <c r="H104" s="390" t="s">
        <v>2124</v>
      </c>
      <c r="I104" s="390" t="s">
        <v>2225</v>
      </c>
      <c r="J104" s="390"/>
      <c r="K104" s="390"/>
      <c r="L104" s="389">
        <v>365</v>
      </c>
      <c r="M104" s="421"/>
      <c r="N104" s="411">
        <v>0.25</v>
      </c>
      <c r="O104" s="395">
        <f t="shared" si="20"/>
        <v>517.30769230769226</v>
      </c>
      <c r="P104" s="411">
        <v>0</v>
      </c>
      <c r="Q104" s="412">
        <v>0</v>
      </c>
      <c r="R104" s="1359">
        <f t="shared" si="16"/>
        <v>517.30769230769226</v>
      </c>
      <c r="S104" s="384">
        <v>0.04</v>
      </c>
      <c r="T104" s="384"/>
      <c r="U104" s="383">
        <v>538</v>
      </c>
      <c r="V104" s="383"/>
      <c r="W104" s="432" t="s">
        <v>89</v>
      </c>
      <c r="X104" s="410">
        <v>2014</v>
      </c>
      <c r="Y104" s="410" t="s">
        <v>26</v>
      </c>
      <c r="Z104" s="410" t="s">
        <v>1</v>
      </c>
      <c r="AA104" s="412">
        <v>10</v>
      </c>
      <c r="AB104" s="413"/>
      <c r="AC104" s="421"/>
      <c r="AD104" s="421"/>
      <c r="AE104" s="421"/>
      <c r="AF104" s="421"/>
      <c r="AG104" s="421"/>
      <c r="AH104" s="421"/>
      <c r="AI104" s="421"/>
      <c r="AJ104" s="418"/>
    </row>
    <row r="105" spans="1:36" s="409" customFormat="1">
      <c r="A105" s="299" t="b">
        <v>0</v>
      </c>
      <c r="B105" s="299" t="s">
        <v>2267</v>
      </c>
      <c r="C105" s="299" t="b">
        <f t="shared" si="11"/>
        <v>1</v>
      </c>
      <c r="D105" s="428" t="str">
        <f>IF(C105=FALSE=NAMES!$B$8,"",IF(F105="N/A","N/A",X105&amp;W105&amp;F105&amp;"-"&amp;G105&amp;H105))</f>
        <v/>
      </c>
      <c r="E105" s="429" t="str">
        <f t="shared" si="19"/>
        <v>2014USDAIG Luxembourg-Healthcare PlanComfort MLC S</v>
      </c>
      <c r="F105" s="390" t="s">
        <v>4</v>
      </c>
      <c r="G105" s="389" t="s">
        <v>3</v>
      </c>
      <c r="H105" s="390" t="s">
        <v>2125</v>
      </c>
      <c r="I105" s="390" t="s">
        <v>2225</v>
      </c>
      <c r="J105" s="390"/>
      <c r="K105" s="390"/>
      <c r="L105" s="389">
        <v>365</v>
      </c>
      <c r="M105" s="421"/>
      <c r="N105" s="411">
        <v>0.25</v>
      </c>
      <c r="O105" s="395">
        <f t="shared" si="20"/>
        <v>517.30769230769226</v>
      </c>
      <c r="P105" s="411">
        <v>0</v>
      </c>
      <c r="Q105" s="412">
        <v>0</v>
      </c>
      <c r="R105" s="1359">
        <f t="shared" si="16"/>
        <v>517.30769230769226</v>
      </c>
      <c r="S105" s="384">
        <v>0.04</v>
      </c>
      <c r="T105" s="384"/>
      <c r="U105" s="383">
        <v>538</v>
      </c>
      <c r="V105" s="383"/>
      <c r="W105" s="432" t="s">
        <v>89</v>
      </c>
      <c r="X105" s="410">
        <v>2014</v>
      </c>
      <c r="Y105" s="410" t="s">
        <v>26</v>
      </c>
      <c r="Z105" s="410" t="s">
        <v>1</v>
      </c>
      <c r="AA105" s="412">
        <v>10</v>
      </c>
      <c r="AB105" s="413"/>
      <c r="AC105" s="421"/>
      <c r="AD105" s="421"/>
      <c r="AE105" s="421"/>
      <c r="AF105" s="421"/>
      <c r="AG105" s="421"/>
      <c r="AH105" s="421"/>
      <c r="AI105" s="421"/>
      <c r="AJ105" s="418"/>
    </row>
    <row r="106" spans="1:36" s="409" customFormat="1">
      <c r="A106" s="299" t="b">
        <v>0</v>
      </c>
      <c r="B106" s="299" t="s">
        <v>2267</v>
      </c>
      <c r="C106" s="299" t="b">
        <f t="shared" si="11"/>
        <v>1</v>
      </c>
      <c r="D106" s="428" t="str">
        <f>IF(C106=FALSE=NAMES!$B$8,"",IF(F106="N/A","N/A",X106&amp;W106&amp;F106&amp;"-"&amp;G106&amp;H106))</f>
        <v/>
      </c>
      <c r="E106" s="429" t="str">
        <f t="shared" si="19"/>
        <v>2014USDAIG Luxembourg-Healthcare PlanPrestige S</v>
      </c>
      <c r="F106" s="390" t="s">
        <v>4</v>
      </c>
      <c r="G106" s="389" t="s">
        <v>3</v>
      </c>
      <c r="H106" s="390" t="s">
        <v>2074</v>
      </c>
      <c r="I106" s="390" t="s">
        <v>2225</v>
      </c>
      <c r="J106" s="390"/>
      <c r="K106" s="390"/>
      <c r="L106" s="389">
        <v>365</v>
      </c>
      <c r="M106" s="421"/>
      <c r="N106" s="411">
        <v>0.25</v>
      </c>
      <c r="O106" s="395">
        <f t="shared" si="20"/>
        <v>1055.7692307692307</v>
      </c>
      <c r="P106" s="411">
        <v>0</v>
      </c>
      <c r="Q106" s="412">
        <v>0</v>
      </c>
      <c r="R106" s="1359">
        <f t="shared" si="16"/>
        <v>1055.7692307692307</v>
      </c>
      <c r="S106" s="384">
        <v>0.04</v>
      </c>
      <c r="T106" s="384"/>
      <c r="U106" s="383">
        <v>1098</v>
      </c>
      <c r="V106" s="383"/>
      <c r="W106" s="432" t="s">
        <v>89</v>
      </c>
      <c r="X106" s="410">
        <v>2014</v>
      </c>
      <c r="Y106" s="410" t="s">
        <v>26</v>
      </c>
      <c r="Z106" s="410" t="s">
        <v>1</v>
      </c>
      <c r="AA106" s="412">
        <v>10</v>
      </c>
      <c r="AB106" s="413"/>
      <c r="AC106" s="421"/>
      <c r="AD106" s="421"/>
      <c r="AE106" s="421"/>
      <c r="AF106" s="421"/>
      <c r="AG106" s="421"/>
      <c r="AH106" s="421"/>
      <c r="AI106" s="421"/>
      <c r="AJ106" s="418"/>
    </row>
    <row r="107" spans="1:36" s="409" customFormat="1">
      <c r="A107" s="299" t="b">
        <v>0</v>
      </c>
      <c r="B107" s="299" t="s">
        <v>2267</v>
      </c>
      <c r="C107" s="299" t="b">
        <f t="shared" si="11"/>
        <v>1</v>
      </c>
      <c r="D107" s="428" t="str">
        <f>IF(C107=FALSE=NAMES!$B$8,"",IF(F107="N/A","N/A",X107&amp;W107&amp;F107&amp;"-"&amp;G107&amp;H107))</f>
        <v/>
      </c>
      <c r="E107" s="429" t="str">
        <f t="shared" si="19"/>
        <v>2014USDAllianz-Healthcare PlanPrivilege 100</v>
      </c>
      <c r="F107" s="390" t="s">
        <v>2126</v>
      </c>
      <c r="G107" s="389" t="s">
        <v>3</v>
      </c>
      <c r="H107" s="390" t="s">
        <v>2127</v>
      </c>
      <c r="I107" s="390" t="s">
        <v>2225</v>
      </c>
      <c r="J107" s="390"/>
      <c r="K107" s="390"/>
      <c r="L107" s="389">
        <v>365</v>
      </c>
      <c r="M107" s="421"/>
      <c r="N107" s="411">
        <v>0.25</v>
      </c>
      <c r="O107" s="395">
        <f t="shared" si="20"/>
        <v>3050.9615384615386</v>
      </c>
      <c r="P107" s="411">
        <v>0</v>
      </c>
      <c r="Q107" s="412">
        <v>0</v>
      </c>
      <c r="R107" s="1359">
        <f t="shared" si="16"/>
        <v>3050.9615384615386</v>
      </c>
      <c r="S107" s="384">
        <v>0.04</v>
      </c>
      <c r="T107" s="384"/>
      <c r="U107" s="383">
        <v>3173</v>
      </c>
      <c r="V107" s="383"/>
      <c r="W107" s="432" t="s">
        <v>89</v>
      </c>
      <c r="X107" s="410">
        <v>2014</v>
      </c>
      <c r="Y107" s="410" t="s">
        <v>26</v>
      </c>
      <c r="Z107" s="410" t="s">
        <v>2220</v>
      </c>
      <c r="AA107" s="396"/>
      <c r="AB107" s="413"/>
      <c r="AC107" s="421"/>
      <c r="AD107" s="421"/>
      <c r="AE107" s="421"/>
      <c r="AF107" s="421"/>
      <c r="AG107" s="421"/>
      <c r="AH107" s="421"/>
      <c r="AI107" s="421"/>
      <c r="AJ107" s="418"/>
    </row>
    <row r="108" spans="1:36" s="409" customFormat="1">
      <c r="A108" s="299" t="b">
        <v>0</v>
      </c>
      <c r="B108" s="299" t="s">
        <v>2267</v>
      </c>
      <c r="C108" s="299" t="b">
        <f t="shared" si="11"/>
        <v>1</v>
      </c>
      <c r="D108" s="428" t="str">
        <f>IF(C108=FALSE=NAMES!$B$8,"",IF(F108="N/A","N/A",X108&amp;W108&amp;F108&amp;"-"&amp;G108&amp;H108))</f>
        <v/>
      </c>
      <c r="E108" s="429" t="str">
        <f t="shared" si="19"/>
        <v>2014USDAllianz-Healthcare PlanPrivilege 100</v>
      </c>
      <c r="F108" s="390" t="s">
        <v>2126</v>
      </c>
      <c r="G108" s="389" t="s">
        <v>3</v>
      </c>
      <c r="H108" s="390" t="s">
        <v>2127</v>
      </c>
      <c r="I108" s="390" t="s">
        <v>2226</v>
      </c>
      <c r="J108" s="390"/>
      <c r="K108" s="390"/>
      <c r="L108" s="389">
        <v>365</v>
      </c>
      <c r="M108" s="421"/>
      <c r="N108" s="411">
        <v>0.25</v>
      </c>
      <c r="O108" s="395">
        <f t="shared" si="20"/>
        <v>7486.538461538461</v>
      </c>
      <c r="P108" s="411">
        <v>0</v>
      </c>
      <c r="Q108" s="412">
        <v>0</v>
      </c>
      <c r="R108" s="1359">
        <f t="shared" si="16"/>
        <v>7486.538461538461</v>
      </c>
      <c r="S108" s="384">
        <v>0.04</v>
      </c>
      <c r="T108" s="384"/>
      <c r="U108" s="383">
        <v>7786</v>
      </c>
      <c r="V108" s="383"/>
      <c r="W108" s="432" t="s">
        <v>89</v>
      </c>
      <c r="X108" s="410">
        <v>2014</v>
      </c>
      <c r="Y108" s="410" t="s">
        <v>26</v>
      </c>
      <c r="Z108" s="410" t="s">
        <v>2220</v>
      </c>
      <c r="AA108" s="396"/>
      <c r="AB108" s="413"/>
      <c r="AC108" s="421"/>
      <c r="AD108" s="421"/>
      <c r="AE108" s="421"/>
      <c r="AF108" s="421"/>
      <c r="AG108" s="421"/>
      <c r="AH108" s="421"/>
      <c r="AI108" s="421"/>
      <c r="AJ108" s="418"/>
    </row>
    <row r="109" spans="1:36" s="409" customFormat="1">
      <c r="A109" s="299" t="b">
        <v>0</v>
      </c>
      <c r="B109" s="299" t="s">
        <v>2267</v>
      </c>
      <c r="C109" s="299" t="b">
        <f t="shared" si="11"/>
        <v>1</v>
      </c>
      <c r="D109" s="428" t="str">
        <f>IF(C109=FALSE=NAMES!$B$8,"",IF(F109="N/A","N/A",X109&amp;W109&amp;F109&amp;"-"&amp;G109&amp;H109))</f>
        <v/>
      </c>
      <c r="E109" s="429" t="str">
        <f t="shared" si="19"/>
        <v>N/A</v>
      </c>
      <c r="F109" s="429" t="s">
        <v>2236</v>
      </c>
      <c r="G109" s="429" t="s">
        <v>2236</v>
      </c>
      <c r="H109" s="432"/>
      <c r="I109" s="432"/>
      <c r="J109" s="432"/>
      <c r="K109" s="432"/>
      <c r="L109" s="421"/>
      <c r="M109" s="421"/>
      <c r="N109" s="411"/>
      <c r="O109" s="395" t="str">
        <f t="shared" si="20"/>
        <v/>
      </c>
      <c r="P109" s="411">
        <v>0</v>
      </c>
      <c r="Q109" s="412"/>
      <c r="R109" s="1359" t="str">
        <f t="shared" si="16"/>
        <v/>
      </c>
      <c r="S109" s="411"/>
      <c r="T109" s="411"/>
      <c r="U109" s="412"/>
      <c r="V109" s="412"/>
      <c r="W109" s="432"/>
      <c r="X109" s="410"/>
      <c r="Y109" s="410"/>
      <c r="Z109" s="410"/>
      <c r="AA109" s="412"/>
      <c r="AB109" s="413"/>
      <c r="AC109" s="421"/>
      <c r="AD109" s="421"/>
      <c r="AE109" s="421"/>
      <c r="AF109" s="421"/>
      <c r="AG109" s="421"/>
      <c r="AH109" s="421"/>
      <c r="AI109" s="421"/>
      <c r="AJ109" s="418"/>
    </row>
    <row r="110" spans="1:36" s="409" customFormat="1">
      <c r="A110" s="299" t="b">
        <v>0</v>
      </c>
      <c r="B110" s="299" t="s">
        <v>2267</v>
      </c>
      <c r="C110" s="299" t="b">
        <f t="shared" si="11"/>
        <v>1</v>
      </c>
      <c r="D110" s="428" t="str">
        <f>IF(C110=FALSE=NAMES!$B$8,"",IF(F110="N/A","N/A",X110&amp;W110&amp;F110&amp;"-"&amp;G110&amp;H110))</f>
        <v/>
      </c>
      <c r="E110" s="429" t="str">
        <f t="shared" si="19"/>
        <v>2014EURAIG Luxembourg-Healthcare PlanComfort</v>
      </c>
      <c r="F110" s="432" t="s">
        <v>4</v>
      </c>
      <c r="G110" s="421" t="s">
        <v>3</v>
      </c>
      <c r="H110" s="432" t="s">
        <v>2123</v>
      </c>
      <c r="I110" s="432" t="s">
        <v>2225</v>
      </c>
      <c r="J110" s="432"/>
      <c r="K110" s="432"/>
      <c r="L110" s="421">
        <v>365</v>
      </c>
      <c r="M110" s="421"/>
      <c r="N110" s="411">
        <v>0.25</v>
      </c>
      <c r="O110" s="395">
        <f t="shared" si="20"/>
        <v>517.30769230769226</v>
      </c>
      <c r="P110" s="411">
        <v>0</v>
      </c>
      <c r="Q110" s="412">
        <v>0</v>
      </c>
      <c r="R110" s="1359">
        <f t="shared" si="16"/>
        <v>517.30769230769226</v>
      </c>
      <c r="S110" s="411">
        <v>0.04</v>
      </c>
      <c r="T110" s="411"/>
      <c r="U110" s="412">
        <v>538</v>
      </c>
      <c r="V110" s="412"/>
      <c r="W110" s="432" t="s">
        <v>33</v>
      </c>
      <c r="X110" s="410">
        <v>2014</v>
      </c>
      <c r="Y110" s="410" t="s">
        <v>26</v>
      </c>
      <c r="Z110" s="410" t="s">
        <v>1</v>
      </c>
      <c r="AA110" s="412">
        <v>65</v>
      </c>
      <c r="AB110" s="413"/>
      <c r="AC110" s="421" t="s">
        <v>2150</v>
      </c>
      <c r="AD110" s="421" t="s">
        <v>2179</v>
      </c>
      <c r="AE110" s="421" t="s">
        <v>2179</v>
      </c>
      <c r="AF110" s="421" t="s">
        <v>2180</v>
      </c>
      <c r="AG110" s="421" t="s">
        <v>2180</v>
      </c>
      <c r="AH110" s="421" t="s">
        <v>2180</v>
      </c>
      <c r="AI110" s="421" t="s">
        <v>2180</v>
      </c>
      <c r="AJ110" s="418" t="s">
        <v>87</v>
      </c>
    </row>
    <row r="111" spans="1:36" s="409" customFormat="1">
      <c r="A111" s="299" t="b">
        <v>0</v>
      </c>
      <c r="B111" s="299" t="s">
        <v>2267</v>
      </c>
      <c r="C111" s="299" t="b">
        <f t="shared" si="11"/>
        <v>1</v>
      </c>
      <c r="D111" s="428" t="str">
        <f>IF(C111=FALSE=NAMES!$B$8,"",IF(F111="N/A","N/A",X111&amp;W111&amp;F111&amp;"-"&amp;G111&amp;H111))</f>
        <v/>
      </c>
      <c r="E111" s="429" t="str">
        <f t="shared" si="19"/>
        <v>2014EURAIG Luxembourg-Healthcare PlanCOMFORTMLC</v>
      </c>
      <c r="F111" s="432" t="s">
        <v>4</v>
      </c>
      <c r="G111" s="421" t="s">
        <v>3</v>
      </c>
      <c r="H111" s="432" t="s">
        <v>2279</v>
      </c>
      <c r="I111" s="432" t="s">
        <v>2225</v>
      </c>
      <c r="J111" s="432"/>
      <c r="K111" s="432"/>
      <c r="L111" s="421">
        <v>365</v>
      </c>
      <c r="M111" s="421"/>
      <c r="N111" s="411">
        <v>0.25</v>
      </c>
      <c r="O111" s="395">
        <f t="shared" si="20"/>
        <v>517.30769230769226</v>
      </c>
      <c r="P111" s="411">
        <v>0</v>
      </c>
      <c r="Q111" s="412">
        <v>0</v>
      </c>
      <c r="R111" s="1359">
        <f t="shared" si="16"/>
        <v>517.30769230769226</v>
      </c>
      <c r="S111" s="411">
        <v>0.04</v>
      </c>
      <c r="T111" s="411"/>
      <c r="U111" s="412">
        <v>538</v>
      </c>
      <c r="V111" s="412"/>
      <c r="W111" s="432" t="s">
        <v>33</v>
      </c>
      <c r="X111" s="410">
        <v>2014</v>
      </c>
      <c r="Y111" s="410" t="s">
        <v>26</v>
      </c>
      <c r="Z111" s="410" t="s">
        <v>1</v>
      </c>
      <c r="AA111" s="412">
        <v>65</v>
      </c>
      <c r="AB111" s="413"/>
      <c r="AC111" s="421" t="s">
        <v>2150</v>
      </c>
      <c r="AD111" s="421" t="s">
        <v>2179</v>
      </c>
      <c r="AE111" s="421" t="s">
        <v>2179</v>
      </c>
      <c r="AF111" s="421" t="s">
        <v>2180</v>
      </c>
      <c r="AG111" s="421" t="s">
        <v>2180</v>
      </c>
      <c r="AH111" s="421" t="s">
        <v>2180</v>
      </c>
      <c r="AI111" s="421" t="s">
        <v>2180</v>
      </c>
      <c r="AJ111" s="418" t="s">
        <v>87</v>
      </c>
    </row>
    <row r="112" spans="1:36" s="409" customFormat="1">
      <c r="A112" s="299" t="b">
        <v>0</v>
      </c>
      <c r="B112" s="299" t="s">
        <v>2267</v>
      </c>
      <c r="C112" s="299" t="b">
        <f t="shared" si="11"/>
        <v>1</v>
      </c>
      <c r="D112" s="428" t="str">
        <f>IF(C112=FALSE=NAMES!$B$8,"",IF(F112="N/A","N/A",X112&amp;W112&amp;F112&amp;"-"&amp;G112&amp;H112))</f>
        <v/>
      </c>
      <c r="E112" s="429" t="str">
        <f t="shared" si="19"/>
        <v>2014EURAIG Luxembourg-Healthcare PlanPRESTIGE</v>
      </c>
      <c r="F112" s="432" t="s">
        <v>4</v>
      </c>
      <c r="G112" s="421" t="s">
        <v>3</v>
      </c>
      <c r="H112" s="432" t="s">
        <v>88</v>
      </c>
      <c r="I112" s="432" t="s">
        <v>2225</v>
      </c>
      <c r="J112" s="432"/>
      <c r="K112" s="432"/>
      <c r="L112" s="421">
        <v>365</v>
      </c>
      <c r="M112" s="421"/>
      <c r="N112" s="411">
        <v>0.25</v>
      </c>
      <c r="O112" s="395">
        <f t="shared" si="20"/>
        <v>1055.7692307692307</v>
      </c>
      <c r="P112" s="411">
        <v>0</v>
      </c>
      <c r="Q112" s="412">
        <v>0</v>
      </c>
      <c r="R112" s="1359">
        <f t="shared" si="16"/>
        <v>1055.7692307692307</v>
      </c>
      <c r="S112" s="411">
        <v>0.04</v>
      </c>
      <c r="T112" s="411"/>
      <c r="U112" s="412">
        <v>1098</v>
      </c>
      <c r="V112" s="412"/>
      <c r="W112" s="432" t="s">
        <v>33</v>
      </c>
      <c r="X112" s="410">
        <v>2014</v>
      </c>
      <c r="Y112" s="410" t="s">
        <v>26</v>
      </c>
      <c r="Z112" s="410" t="s">
        <v>1</v>
      </c>
      <c r="AA112" s="412">
        <v>35</v>
      </c>
      <c r="AB112" s="413"/>
      <c r="AC112" s="421" t="s">
        <v>2150</v>
      </c>
      <c r="AD112" s="421" t="s">
        <v>2179</v>
      </c>
      <c r="AE112" s="421" t="s">
        <v>2179</v>
      </c>
      <c r="AF112" s="421" t="s">
        <v>2180</v>
      </c>
      <c r="AG112" s="421" t="s">
        <v>2180</v>
      </c>
      <c r="AH112" s="421" t="s">
        <v>2180</v>
      </c>
      <c r="AI112" s="421" t="s">
        <v>2180</v>
      </c>
      <c r="AJ112" s="418" t="s">
        <v>87</v>
      </c>
    </row>
    <row r="113" spans="1:36" s="409" customFormat="1">
      <c r="A113" s="299" t="b">
        <v>0</v>
      </c>
      <c r="B113" s="299" t="s">
        <v>2267</v>
      </c>
      <c r="C113" s="299" t="b">
        <f t="shared" si="11"/>
        <v>1</v>
      </c>
      <c r="D113" s="428" t="str">
        <f>IF(C113=FALSE=NAMES!$B$8,"",IF(F113="N/A","N/A",X113&amp;W113&amp;F113&amp;"-"&amp;G113&amp;H113))</f>
        <v/>
      </c>
      <c r="E113" s="429" t="str">
        <f t="shared" si="19"/>
        <v>2014EURAIG Luxembourg-Healthcare PlanPrestige Plus</v>
      </c>
      <c r="F113" s="432" t="s">
        <v>4</v>
      </c>
      <c r="G113" s="421" t="s">
        <v>3</v>
      </c>
      <c r="H113" s="432" t="s">
        <v>2085</v>
      </c>
      <c r="I113" s="432" t="s">
        <v>2225</v>
      </c>
      <c r="J113" s="432"/>
      <c r="K113" s="432"/>
      <c r="L113" s="421">
        <v>365</v>
      </c>
      <c r="M113" s="421"/>
      <c r="N113" s="411">
        <v>0.25</v>
      </c>
      <c r="O113" s="395">
        <f t="shared" si="20"/>
        <v>1055.7692307692307</v>
      </c>
      <c r="P113" s="411">
        <v>0</v>
      </c>
      <c r="Q113" s="412">
        <v>0</v>
      </c>
      <c r="R113" s="1359">
        <f t="shared" si="16"/>
        <v>1055.7692307692307</v>
      </c>
      <c r="S113" s="411">
        <v>0.04</v>
      </c>
      <c r="T113" s="411"/>
      <c r="U113" s="412">
        <v>1098</v>
      </c>
      <c r="V113" s="412"/>
      <c r="W113" s="432" t="s">
        <v>33</v>
      </c>
      <c r="X113" s="410">
        <v>2014</v>
      </c>
      <c r="Y113" s="410" t="s">
        <v>26</v>
      </c>
      <c r="Z113" s="410" t="s">
        <v>1</v>
      </c>
      <c r="AA113" s="412">
        <v>35</v>
      </c>
      <c r="AB113" s="413"/>
      <c r="AC113" s="421" t="s">
        <v>2150</v>
      </c>
      <c r="AD113" s="421" t="s">
        <v>2179</v>
      </c>
      <c r="AE113" s="421" t="s">
        <v>2179</v>
      </c>
      <c r="AF113" s="421" t="s">
        <v>2180</v>
      </c>
      <c r="AG113" s="421" t="s">
        <v>2180</v>
      </c>
      <c r="AH113" s="421" t="s">
        <v>2180</v>
      </c>
      <c r="AI113" s="421" t="s">
        <v>2180</v>
      </c>
      <c r="AJ113" s="418" t="s">
        <v>87</v>
      </c>
    </row>
    <row r="114" spans="1:36" s="409" customFormat="1">
      <c r="A114" s="299" t="b">
        <v>0</v>
      </c>
      <c r="B114" s="299" t="s">
        <v>2267</v>
      </c>
      <c r="C114" s="299" t="b">
        <f t="shared" si="11"/>
        <v>1</v>
      </c>
      <c r="D114" s="428" t="str">
        <f>IF(C114=FALSE=NAMES!$B$8,"",IF(F114="N/A","N/A",X114&amp;W114&amp;F114&amp;"-"&amp;G114&amp;H114))</f>
        <v/>
      </c>
      <c r="E114" s="429" t="str">
        <f t="shared" si="19"/>
        <v>2014EURAnker Verzekeringen n.v.-Healthcare PlanMedical Excellent and Homeland</v>
      </c>
      <c r="F114" s="432" t="s">
        <v>7</v>
      </c>
      <c r="G114" s="421" t="s">
        <v>3</v>
      </c>
      <c r="H114" s="432" t="s">
        <v>2128</v>
      </c>
      <c r="I114" s="432" t="s">
        <v>2225</v>
      </c>
      <c r="J114" s="432"/>
      <c r="K114" s="432"/>
      <c r="L114" s="421">
        <v>365</v>
      </c>
      <c r="M114" s="421"/>
      <c r="N114" s="411">
        <v>0.25</v>
      </c>
      <c r="O114" s="395">
        <f t="shared" si="20"/>
        <v>876.20538461538456</v>
      </c>
      <c r="P114" s="411">
        <v>0</v>
      </c>
      <c r="Q114" s="412">
        <v>0</v>
      </c>
      <c r="R114" s="1359">
        <f t="shared" si="16"/>
        <v>876.20538461538456</v>
      </c>
      <c r="S114" s="411">
        <v>0.04</v>
      </c>
      <c r="T114" s="411"/>
      <c r="U114" s="396">
        <v>911.25360000000001</v>
      </c>
      <c r="V114" s="396"/>
      <c r="W114" s="432" t="s">
        <v>33</v>
      </c>
      <c r="X114" s="410">
        <v>2014</v>
      </c>
      <c r="Y114" s="410" t="s">
        <v>2246</v>
      </c>
      <c r="Z114" s="410" t="s">
        <v>1</v>
      </c>
      <c r="AA114" s="396"/>
      <c r="AB114" s="413"/>
      <c r="AC114" s="421" t="s">
        <v>2150</v>
      </c>
      <c r="AD114" s="421" t="s">
        <v>2179</v>
      </c>
      <c r="AE114" s="421" t="s">
        <v>2179</v>
      </c>
      <c r="AF114" s="421" t="s">
        <v>2180</v>
      </c>
      <c r="AG114" s="421" t="s">
        <v>2180</v>
      </c>
      <c r="AH114" s="421" t="s">
        <v>2180</v>
      </c>
      <c r="AI114" s="421" t="s">
        <v>2180</v>
      </c>
      <c r="AJ114" s="418" t="s">
        <v>87</v>
      </c>
    </row>
    <row r="115" spans="1:36" s="409" customFormat="1">
      <c r="A115" s="299" t="b">
        <v>0</v>
      </c>
      <c r="B115" s="299" t="s">
        <v>2267</v>
      </c>
      <c r="C115" s="299" t="b">
        <f t="shared" si="11"/>
        <v>1</v>
      </c>
      <c r="D115" s="428" t="str">
        <f>IF(C115=FALSE=NAMES!$B$8,"",IF(F115="N/A","N/A",X115&amp;W115&amp;F115&amp;"-"&amp;G115&amp;H115))</f>
        <v/>
      </c>
      <c r="E115" s="429" t="str">
        <f t="shared" si="19"/>
        <v>2014EURAIG Luxembourg-Healthcare PlanComfort S</v>
      </c>
      <c r="F115" s="390" t="s">
        <v>4</v>
      </c>
      <c r="G115" s="389" t="s">
        <v>3</v>
      </c>
      <c r="H115" s="390" t="s">
        <v>2124</v>
      </c>
      <c r="I115" s="390" t="s">
        <v>2225</v>
      </c>
      <c r="J115" s="390"/>
      <c r="K115" s="390"/>
      <c r="L115" s="389">
        <v>365</v>
      </c>
      <c r="M115" s="421"/>
      <c r="N115" s="411">
        <v>0.25</v>
      </c>
      <c r="O115" s="395">
        <f t="shared" ref="O115:O120" si="22">IF(E115="N/A","",U115/1.04)</f>
        <v>517.30769230769226</v>
      </c>
      <c r="P115" s="411">
        <v>0</v>
      </c>
      <c r="Q115" s="412">
        <v>0</v>
      </c>
      <c r="R115" s="1359">
        <f t="shared" si="16"/>
        <v>517.30769230769226</v>
      </c>
      <c r="S115" s="384">
        <v>0.04</v>
      </c>
      <c r="T115" s="384"/>
      <c r="U115" s="383">
        <v>538</v>
      </c>
      <c r="V115" s="383"/>
      <c r="W115" s="432" t="s">
        <v>33</v>
      </c>
      <c r="X115" s="410">
        <v>2014</v>
      </c>
      <c r="Y115" s="410" t="s">
        <v>26</v>
      </c>
      <c r="Z115" s="410" t="s">
        <v>1</v>
      </c>
      <c r="AA115" s="412">
        <v>10</v>
      </c>
      <c r="AB115" s="413"/>
      <c r="AC115" s="421"/>
      <c r="AD115" s="421"/>
      <c r="AE115" s="421"/>
      <c r="AF115" s="421"/>
      <c r="AG115" s="421"/>
      <c r="AH115" s="421"/>
      <c r="AI115" s="421"/>
      <c r="AJ115" s="418"/>
    </row>
    <row r="116" spans="1:36" s="409" customFormat="1">
      <c r="A116" s="299" t="b">
        <v>0</v>
      </c>
      <c r="B116" s="299" t="s">
        <v>2267</v>
      </c>
      <c r="C116" s="299" t="b">
        <f t="shared" si="11"/>
        <v>1</v>
      </c>
      <c r="D116" s="428" t="str">
        <f>IF(C116=FALSE=NAMES!$B$8,"",IF(F116="N/A","N/A",X116&amp;W116&amp;F116&amp;"-"&amp;G116&amp;H116))</f>
        <v/>
      </c>
      <c r="E116" s="429" t="str">
        <f t="shared" si="19"/>
        <v>2014EURAIG Luxembourg-Healthcare PlanComfort MLC S</v>
      </c>
      <c r="F116" s="390" t="s">
        <v>4</v>
      </c>
      <c r="G116" s="389" t="s">
        <v>3</v>
      </c>
      <c r="H116" s="390" t="s">
        <v>2125</v>
      </c>
      <c r="I116" s="390" t="s">
        <v>2225</v>
      </c>
      <c r="J116" s="390"/>
      <c r="K116" s="390"/>
      <c r="L116" s="389">
        <v>365</v>
      </c>
      <c r="M116" s="421"/>
      <c r="N116" s="411">
        <v>0.25</v>
      </c>
      <c r="O116" s="395">
        <f t="shared" si="22"/>
        <v>517.30769230769226</v>
      </c>
      <c r="P116" s="411">
        <v>0</v>
      </c>
      <c r="Q116" s="412">
        <v>0</v>
      </c>
      <c r="R116" s="1359">
        <f t="shared" ref="R116:R120" si="23">IF(E116="N/A","",O116+Q116)</f>
        <v>517.30769230769226</v>
      </c>
      <c r="S116" s="384">
        <v>0.04</v>
      </c>
      <c r="T116" s="384"/>
      <c r="U116" s="383">
        <v>538</v>
      </c>
      <c r="V116" s="383"/>
      <c r="W116" s="432" t="s">
        <v>33</v>
      </c>
      <c r="X116" s="410">
        <v>2014</v>
      </c>
      <c r="Y116" s="410" t="s">
        <v>26</v>
      </c>
      <c r="Z116" s="410" t="s">
        <v>1</v>
      </c>
      <c r="AA116" s="412">
        <v>10</v>
      </c>
      <c r="AB116" s="413"/>
      <c r="AC116" s="421"/>
      <c r="AD116" s="421"/>
      <c r="AE116" s="421"/>
      <c r="AF116" s="421"/>
      <c r="AG116" s="421"/>
      <c r="AH116" s="421"/>
      <c r="AI116" s="421"/>
      <c r="AJ116" s="418"/>
    </row>
    <row r="117" spans="1:36" s="409" customFormat="1">
      <c r="A117" s="299" t="b">
        <v>0</v>
      </c>
      <c r="B117" s="299" t="s">
        <v>2267</v>
      </c>
      <c r="C117" s="299" t="b">
        <f t="shared" ref="C117:C197" si="24">IF(B117="N/A","",IF(B117="newRates",FALSE,TRUE))</f>
        <v>1</v>
      </c>
      <c r="D117" s="428" t="str">
        <f>IF(C117=FALSE=NAMES!$B$8,"",IF(F117="N/A","N/A",X117&amp;W117&amp;F117&amp;"-"&amp;G117&amp;H117))</f>
        <v/>
      </c>
      <c r="E117" s="429" t="str">
        <f t="shared" si="19"/>
        <v>2014EURAIG Luxembourg-Healthcare PlanPrestige S</v>
      </c>
      <c r="F117" s="390" t="s">
        <v>4</v>
      </c>
      <c r="G117" s="389" t="s">
        <v>3</v>
      </c>
      <c r="H117" s="390" t="s">
        <v>2074</v>
      </c>
      <c r="I117" s="390" t="s">
        <v>2225</v>
      </c>
      <c r="J117" s="390"/>
      <c r="K117" s="390"/>
      <c r="L117" s="389">
        <v>365</v>
      </c>
      <c r="M117" s="421"/>
      <c r="N117" s="411">
        <v>0.25</v>
      </c>
      <c r="O117" s="395">
        <f t="shared" si="22"/>
        <v>1055.7692307692307</v>
      </c>
      <c r="P117" s="411">
        <v>0</v>
      </c>
      <c r="Q117" s="412">
        <v>0</v>
      </c>
      <c r="R117" s="1359">
        <f t="shared" si="23"/>
        <v>1055.7692307692307</v>
      </c>
      <c r="S117" s="384">
        <v>0.04</v>
      </c>
      <c r="T117" s="384"/>
      <c r="U117" s="383">
        <v>1098</v>
      </c>
      <c r="V117" s="383"/>
      <c r="W117" s="432" t="s">
        <v>33</v>
      </c>
      <c r="X117" s="410">
        <v>2014</v>
      </c>
      <c r="Y117" s="410" t="s">
        <v>26</v>
      </c>
      <c r="Z117" s="410" t="s">
        <v>1</v>
      </c>
      <c r="AA117" s="412">
        <v>10</v>
      </c>
      <c r="AB117" s="413"/>
      <c r="AC117" s="421"/>
      <c r="AD117" s="421"/>
      <c r="AE117" s="421"/>
      <c r="AF117" s="421"/>
      <c r="AG117" s="421"/>
      <c r="AH117" s="421"/>
      <c r="AI117" s="421"/>
      <c r="AJ117" s="418"/>
    </row>
    <row r="118" spans="1:36" s="409" customFormat="1">
      <c r="A118" s="299" t="b">
        <v>0</v>
      </c>
      <c r="B118" s="299" t="s">
        <v>2267</v>
      </c>
      <c r="C118" s="299" t="b">
        <f t="shared" si="24"/>
        <v>1</v>
      </c>
      <c r="D118" s="428" t="str">
        <f>IF(C118=FALSE=NAMES!$B$8,"",IF(F118="N/A","N/A",X118&amp;W118&amp;F118&amp;"-"&amp;G118&amp;H118))</f>
        <v/>
      </c>
      <c r="E118" s="429" t="str">
        <f t="shared" si="19"/>
        <v>2014EURAllianz-Healthcare PlanPrivilege 100</v>
      </c>
      <c r="F118" s="390" t="s">
        <v>2126</v>
      </c>
      <c r="G118" s="389" t="s">
        <v>3</v>
      </c>
      <c r="H118" s="390" t="s">
        <v>2127</v>
      </c>
      <c r="I118" s="390" t="s">
        <v>2225</v>
      </c>
      <c r="J118" s="390"/>
      <c r="K118" s="390"/>
      <c r="L118" s="389">
        <v>365</v>
      </c>
      <c r="M118" s="421"/>
      <c r="N118" s="411">
        <v>0.25</v>
      </c>
      <c r="O118" s="395">
        <f t="shared" si="22"/>
        <v>3050.9615384615386</v>
      </c>
      <c r="P118" s="411">
        <v>0</v>
      </c>
      <c r="Q118" s="412">
        <v>0</v>
      </c>
      <c r="R118" s="1359">
        <f t="shared" si="23"/>
        <v>3050.9615384615386</v>
      </c>
      <c r="S118" s="384">
        <v>0.04</v>
      </c>
      <c r="T118" s="384"/>
      <c r="U118" s="383">
        <v>3173</v>
      </c>
      <c r="V118" s="383"/>
      <c r="W118" s="432" t="s">
        <v>33</v>
      </c>
      <c r="X118" s="410">
        <v>2014</v>
      </c>
      <c r="Y118" s="410" t="s">
        <v>26</v>
      </c>
      <c r="Z118" s="410" t="s">
        <v>2220</v>
      </c>
      <c r="AA118" s="396"/>
      <c r="AB118" s="413"/>
      <c r="AC118" s="421"/>
      <c r="AD118" s="421"/>
      <c r="AE118" s="421"/>
      <c r="AF118" s="421"/>
      <c r="AG118" s="421"/>
      <c r="AH118" s="421"/>
      <c r="AI118" s="421"/>
      <c r="AJ118" s="418"/>
    </row>
    <row r="119" spans="1:36" s="409" customFormat="1">
      <c r="A119" s="299" t="b">
        <v>0</v>
      </c>
      <c r="B119" s="299" t="s">
        <v>2267</v>
      </c>
      <c r="C119" s="299" t="b">
        <f t="shared" si="24"/>
        <v>1</v>
      </c>
      <c r="D119" s="428" t="str">
        <f>IF(C119=FALSE=NAMES!$B$8,"",IF(F119="N/A","N/A",X119&amp;W119&amp;F119&amp;"-"&amp;G119&amp;H119))</f>
        <v/>
      </c>
      <c r="E119" s="429" t="str">
        <f t="shared" si="19"/>
        <v>2014EURAllianz-Healthcare PlanPrivilege 100</v>
      </c>
      <c r="F119" s="390" t="s">
        <v>2126</v>
      </c>
      <c r="G119" s="389" t="s">
        <v>3</v>
      </c>
      <c r="H119" s="390" t="s">
        <v>2127</v>
      </c>
      <c r="I119" s="390" t="s">
        <v>2226</v>
      </c>
      <c r="J119" s="390"/>
      <c r="K119" s="390"/>
      <c r="L119" s="389">
        <v>365</v>
      </c>
      <c r="M119" s="421"/>
      <c r="N119" s="411">
        <v>0.25</v>
      </c>
      <c r="O119" s="395">
        <f t="shared" si="22"/>
        <v>7486.538461538461</v>
      </c>
      <c r="P119" s="411">
        <v>0</v>
      </c>
      <c r="Q119" s="412">
        <v>0</v>
      </c>
      <c r="R119" s="1359">
        <f t="shared" si="23"/>
        <v>7486.538461538461</v>
      </c>
      <c r="S119" s="384">
        <v>0.04</v>
      </c>
      <c r="T119" s="384"/>
      <c r="U119" s="383">
        <v>7786</v>
      </c>
      <c r="V119" s="383"/>
      <c r="W119" s="432" t="s">
        <v>33</v>
      </c>
      <c r="X119" s="410">
        <v>2014</v>
      </c>
      <c r="Y119" s="410" t="s">
        <v>26</v>
      </c>
      <c r="Z119" s="410" t="s">
        <v>2220</v>
      </c>
      <c r="AA119" s="396"/>
      <c r="AB119" s="413"/>
      <c r="AC119" s="421"/>
      <c r="AD119" s="421"/>
      <c r="AE119" s="421"/>
      <c r="AF119" s="421"/>
      <c r="AG119" s="421"/>
      <c r="AH119" s="421"/>
      <c r="AI119" s="421"/>
      <c r="AJ119" s="418"/>
    </row>
    <row r="120" spans="1:36" s="409" customFormat="1" ht="15.75" thickBot="1">
      <c r="A120" s="299" t="b">
        <v>0</v>
      </c>
      <c r="B120" s="299" t="s">
        <v>2267</v>
      </c>
      <c r="C120" s="299" t="b">
        <f t="shared" si="24"/>
        <v>1</v>
      </c>
      <c r="D120" s="428" t="str">
        <f>IF(C120=FALSE=NAMES!$B$8,"",IF(F120="N/A","N/A",X120&amp;W120&amp;F120&amp;"-"&amp;G120&amp;H120))</f>
        <v/>
      </c>
      <c r="E120" s="429" t="str">
        <f t="shared" si="19"/>
        <v>N/A</v>
      </c>
      <c r="F120" s="429" t="s">
        <v>2236</v>
      </c>
      <c r="G120" s="429" t="s">
        <v>2236</v>
      </c>
      <c r="H120" s="432"/>
      <c r="I120" s="432"/>
      <c r="J120" s="432"/>
      <c r="K120" s="432"/>
      <c r="L120" s="421"/>
      <c r="M120" s="421"/>
      <c r="N120" s="411"/>
      <c r="O120" s="395" t="str">
        <f t="shared" si="22"/>
        <v/>
      </c>
      <c r="P120" s="411"/>
      <c r="Q120" s="412"/>
      <c r="R120" s="1359" t="str">
        <f t="shared" si="23"/>
        <v/>
      </c>
      <c r="S120" s="411"/>
      <c r="T120" s="411"/>
      <c r="U120" s="412"/>
      <c r="V120" s="412"/>
      <c r="W120" s="432"/>
      <c r="X120" s="410"/>
      <c r="Y120" s="410"/>
      <c r="Z120" s="410"/>
      <c r="AA120" s="412"/>
      <c r="AB120" s="413"/>
      <c r="AC120" s="421"/>
      <c r="AD120" s="421"/>
      <c r="AE120" s="421"/>
      <c r="AF120" s="421"/>
      <c r="AG120" s="421"/>
      <c r="AH120" s="421"/>
      <c r="AI120" s="421"/>
      <c r="AJ120" s="418"/>
    </row>
    <row r="121" spans="1:36" ht="45">
      <c r="A121" s="299" t="b">
        <v>0</v>
      </c>
      <c r="B121" s="429" t="s">
        <v>2236</v>
      </c>
      <c r="C121" s="299" t="str">
        <f t="shared" si="24"/>
        <v/>
      </c>
      <c r="D121" s="394" t="s">
        <v>2163</v>
      </c>
      <c r="E121" s="427"/>
      <c r="F121" s="427"/>
      <c r="G121" s="415" t="s">
        <v>2118</v>
      </c>
      <c r="H121" s="415" t="s">
        <v>2238</v>
      </c>
      <c r="I121" s="415" t="s">
        <v>2224</v>
      </c>
      <c r="J121" s="415" t="s">
        <v>1153</v>
      </c>
      <c r="K121" s="416" t="s">
        <v>2239</v>
      </c>
      <c r="L121" s="416" t="s">
        <v>2113</v>
      </c>
      <c r="M121" s="417" t="s">
        <v>2234</v>
      </c>
      <c r="N121" s="416"/>
      <c r="O121" s="416" t="s">
        <v>2235</v>
      </c>
      <c r="P121" s="1360" t="s">
        <v>23</v>
      </c>
      <c r="Q121" s="416"/>
      <c r="R121" s="416"/>
      <c r="S121" s="416" t="s">
        <v>2237</v>
      </c>
      <c r="T121" s="416"/>
      <c r="U121" s="416" t="s">
        <v>2241</v>
      </c>
      <c r="V121" s="416"/>
      <c r="W121" s="416" t="s">
        <v>2119</v>
      </c>
      <c r="X121" s="415" t="s">
        <v>2240</v>
      </c>
      <c r="Y121" s="415"/>
      <c r="Z121" s="415"/>
      <c r="AA121" s="400" t="s">
        <v>2265</v>
      </c>
      <c r="AB121" s="397"/>
      <c r="AC121" s="415" t="s">
        <v>2151</v>
      </c>
      <c r="AD121" s="415" t="s">
        <v>30</v>
      </c>
      <c r="AE121" s="416" t="s">
        <v>137</v>
      </c>
      <c r="AF121" s="416" t="s">
        <v>92</v>
      </c>
      <c r="AG121" s="416" t="s">
        <v>1784</v>
      </c>
      <c r="AH121" s="416" t="s">
        <v>90</v>
      </c>
      <c r="AI121" s="416" t="s">
        <v>91</v>
      </c>
      <c r="AJ121" s="418"/>
    </row>
    <row r="122" spans="1:36">
      <c r="A122" s="299" t="b">
        <v>0</v>
      </c>
      <c r="B122" s="299" t="s">
        <v>2266</v>
      </c>
      <c r="C122" s="299" t="b">
        <f t="shared" si="24"/>
        <v>0</v>
      </c>
      <c r="D122" s="428" t="str">
        <f>IF(C122=FALSE=NAMES!$B$8,"",IF(F122="N/A","N/A",X122&amp;W122&amp;F122&amp;"-"&amp;G122&amp;H122))</f>
        <v>N/A</v>
      </c>
      <c r="E122" s="429" t="str">
        <f t="shared" ref="E122:E146" si="25">IF(F122="N/A","N/A",X122&amp;W122&amp;F122&amp;"-"&amp;G122&amp;H122)</f>
        <v>N/A</v>
      </c>
      <c r="F122" s="429" t="s">
        <v>2236</v>
      </c>
      <c r="G122" s="429" t="s">
        <v>2236</v>
      </c>
      <c r="H122" s="432"/>
      <c r="I122" s="432"/>
      <c r="J122" s="432"/>
      <c r="K122" s="432"/>
      <c r="L122" s="421"/>
      <c r="M122" s="421"/>
      <c r="N122" s="411"/>
      <c r="O122" s="431" t="str">
        <f t="shared" ref="O122:O146" si="26">IF(D122="N/A","",U122/1.04)</f>
        <v/>
      </c>
      <c r="P122" s="411" t="str">
        <f t="shared" ref="P122" si="27">IF(E122="N/A","",$P$2)</f>
        <v/>
      </c>
      <c r="Q122" s="431"/>
      <c r="R122" s="431"/>
      <c r="S122" s="411"/>
      <c r="T122" s="411"/>
      <c r="U122" s="412"/>
      <c r="V122" s="412"/>
      <c r="W122" s="432"/>
      <c r="X122" s="410"/>
      <c r="Y122" s="410"/>
      <c r="Z122" s="410"/>
      <c r="AA122" s="412"/>
      <c r="AB122" s="413"/>
      <c r="AC122" s="421"/>
      <c r="AD122" s="421"/>
      <c r="AE122" s="421"/>
      <c r="AF122" s="421"/>
      <c r="AG122" s="421"/>
      <c r="AH122" s="421"/>
      <c r="AI122" s="421"/>
      <c r="AJ122" s="418"/>
    </row>
    <row r="123" spans="1:36">
      <c r="A123" s="299" t="b">
        <v>0</v>
      </c>
      <c r="B123" s="299" t="s">
        <v>2266</v>
      </c>
      <c r="C123" s="299" t="b">
        <f t="shared" si="24"/>
        <v>0</v>
      </c>
      <c r="D123" s="428" t="str">
        <f>IF(C123=FALSE=NAMES!$B$8,"",IF(F123="N/A","N/A",X123&amp;W123&amp;F123&amp;"-"&amp;G123&amp;H123))</f>
        <v>2016EURAIG Luxembourg-Assistance and RepatriationCOMFORTMLC</v>
      </c>
      <c r="E123" s="429" t="str">
        <f t="shared" si="25"/>
        <v>2016EURAIG Luxembourg-Assistance and RepatriationCOMFORTMLC</v>
      </c>
      <c r="F123" s="432" t="s">
        <v>4</v>
      </c>
      <c r="G123" s="421" t="s">
        <v>5</v>
      </c>
      <c r="H123" s="432" t="s">
        <v>2279</v>
      </c>
      <c r="I123" s="432" t="s">
        <v>2225</v>
      </c>
      <c r="J123" s="432"/>
      <c r="K123" s="432"/>
      <c r="L123" s="421">
        <v>365</v>
      </c>
      <c r="M123" s="421"/>
      <c r="N123" s="411">
        <v>0.25</v>
      </c>
      <c r="O123" s="431">
        <f t="shared" si="26"/>
        <v>126.92307692307692</v>
      </c>
      <c r="P123" s="411">
        <v>0</v>
      </c>
      <c r="Q123" s="412">
        <v>0</v>
      </c>
      <c r="R123" s="431"/>
      <c r="S123" s="411">
        <v>0.04</v>
      </c>
      <c r="T123" s="411"/>
      <c r="U123" s="412">
        <v>132</v>
      </c>
      <c r="V123" s="412"/>
      <c r="W123" s="432" t="s">
        <v>33</v>
      </c>
      <c r="X123" s="410">
        <v>2016</v>
      </c>
      <c r="Y123" s="410" t="s">
        <v>26</v>
      </c>
      <c r="Z123" s="410" t="s">
        <v>1</v>
      </c>
      <c r="AA123" s="412">
        <v>0</v>
      </c>
      <c r="AB123" s="413"/>
      <c r="AC123" s="421" t="s">
        <v>2150</v>
      </c>
      <c r="AD123" s="421" t="s">
        <v>2179</v>
      </c>
      <c r="AE123" s="421" t="s">
        <v>2179</v>
      </c>
      <c r="AF123" s="421" t="s">
        <v>2180</v>
      </c>
      <c r="AG123" s="421" t="s">
        <v>2180</v>
      </c>
      <c r="AH123" s="421" t="s">
        <v>2180</v>
      </c>
      <c r="AI123" s="421" t="s">
        <v>2180</v>
      </c>
      <c r="AJ123" s="418" t="s">
        <v>87</v>
      </c>
    </row>
    <row r="124" spans="1:36">
      <c r="A124" s="299" t="b">
        <v>0</v>
      </c>
      <c r="B124" s="299" t="s">
        <v>2266</v>
      </c>
      <c r="C124" s="299" t="b">
        <f t="shared" si="24"/>
        <v>0</v>
      </c>
      <c r="D124" s="428" t="str">
        <f>IF(C124=FALSE=NAMES!$B$8,"",IF(F124="N/A","N/A",X124&amp;W124&amp;F124&amp;"-"&amp;G124&amp;H124))</f>
        <v>2016EURAIG Luxembourg-Assistance and RepatriationPRESTIGE</v>
      </c>
      <c r="E124" s="429" t="str">
        <f t="shared" si="25"/>
        <v>2016EURAIG Luxembourg-Assistance and RepatriationPRESTIGE</v>
      </c>
      <c r="F124" s="432" t="s">
        <v>4</v>
      </c>
      <c r="G124" s="421" t="s">
        <v>5</v>
      </c>
      <c r="H124" s="432" t="s">
        <v>88</v>
      </c>
      <c r="I124" s="432" t="s">
        <v>2225</v>
      </c>
      <c r="J124" s="432"/>
      <c r="K124" s="432"/>
      <c r="L124" s="421">
        <v>365</v>
      </c>
      <c r="M124" s="421"/>
      <c r="N124" s="411">
        <v>0.25</v>
      </c>
      <c r="O124" s="431">
        <f t="shared" si="26"/>
        <v>190.38461538461539</v>
      </c>
      <c r="P124" s="411">
        <v>0</v>
      </c>
      <c r="Q124" s="412">
        <v>0</v>
      </c>
      <c r="R124" s="431"/>
      <c r="S124" s="411">
        <v>0.04</v>
      </c>
      <c r="T124" s="411"/>
      <c r="U124" s="412">
        <v>198</v>
      </c>
      <c r="V124" s="412"/>
      <c r="W124" s="432" t="s">
        <v>33</v>
      </c>
      <c r="X124" s="410">
        <v>2016</v>
      </c>
      <c r="Y124" s="410" t="s">
        <v>26</v>
      </c>
      <c r="Z124" s="410" t="s">
        <v>1</v>
      </c>
      <c r="AA124" s="412">
        <v>0</v>
      </c>
      <c r="AB124" s="413"/>
      <c r="AC124" s="421" t="s">
        <v>2150</v>
      </c>
      <c r="AD124" s="421" t="s">
        <v>2179</v>
      </c>
      <c r="AE124" s="421" t="s">
        <v>2179</v>
      </c>
      <c r="AF124" s="421" t="s">
        <v>2180</v>
      </c>
      <c r="AG124" s="421" t="s">
        <v>2180</v>
      </c>
      <c r="AH124" s="421" t="s">
        <v>2180</v>
      </c>
      <c r="AI124" s="421" t="s">
        <v>2180</v>
      </c>
      <c r="AJ124" s="418" t="s">
        <v>87</v>
      </c>
    </row>
    <row r="125" spans="1:36">
      <c r="A125" s="299" t="b">
        <v>0</v>
      </c>
      <c r="B125" s="299" t="s">
        <v>2266</v>
      </c>
      <c r="C125" s="299" t="b">
        <f t="shared" si="24"/>
        <v>0</v>
      </c>
      <c r="D125" s="428" t="str">
        <f>IF(C125=FALSE=NAMES!$B$8,"",IF(F125="N/A","N/A",X125&amp;W125&amp;F125&amp;"-"&amp;G125&amp;H125))</f>
        <v>2016EURAIG Luxembourg-Assistance and RepatriationPrestige Plus</v>
      </c>
      <c r="E125" s="429" t="str">
        <f t="shared" si="25"/>
        <v>2016EURAIG Luxembourg-Assistance and RepatriationPrestige Plus</v>
      </c>
      <c r="F125" s="432" t="s">
        <v>4</v>
      </c>
      <c r="G125" s="421" t="s">
        <v>5</v>
      </c>
      <c r="H125" s="432" t="s">
        <v>2085</v>
      </c>
      <c r="I125" s="432" t="s">
        <v>2225</v>
      </c>
      <c r="J125" s="432"/>
      <c r="K125" s="432"/>
      <c r="L125" s="421">
        <v>365</v>
      </c>
      <c r="M125" s="421"/>
      <c r="N125" s="411">
        <v>0.25</v>
      </c>
      <c r="O125" s="431">
        <f t="shared" si="26"/>
        <v>327.88461538461536</v>
      </c>
      <c r="P125" s="411">
        <v>0</v>
      </c>
      <c r="Q125" s="412">
        <v>0</v>
      </c>
      <c r="R125" s="431"/>
      <c r="S125" s="411">
        <v>0.04</v>
      </c>
      <c r="T125" s="411"/>
      <c r="U125" s="396">
        <v>341</v>
      </c>
      <c r="V125" s="396"/>
      <c r="W125" s="432" t="s">
        <v>33</v>
      </c>
      <c r="X125" s="410">
        <v>2016</v>
      </c>
      <c r="Y125" s="410" t="s">
        <v>26</v>
      </c>
      <c r="Z125" s="410" t="s">
        <v>1</v>
      </c>
      <c r="AA125" s="412">
        <v>0</v>
      </c>
      <c r="AB125" s="413"/>
      <c r="AC125" s="421" t="s">
        <v>2150</v>
      </c>
      <c r="AD125" s="421" t="s">
        <v>2179</v>
      </c>
      <c r="AE125" s="421" t="s">
        <v>2179</v>
      </c>
      <c r="AF125" s="421" t="s">
        <v>2180</v>
      </c>
      <c r="AG125" s="421" t="s">
        <v>2180</v>
      </c>
      <c r="AH125" s="421" t="s">
        <v>2180</v>
      </c>
      <c r="AI125" s="421" t="s">
        <v>2180</v>
      </c>
      <c r="AJ125" s="418" t="s">
        <v>87</v>
      </c>
    </row>
    <row r="126" spans="1:36">
      <c r="A126" s="299" t="b">
        <v>0</v>
      </c>
      <c r="B126" s="299" t="s">
        <v>2266</v>
      </c>
      <c r="C126" s="299" t="b">
        <f t="shared" si="24"/>
        <v>0</v>
      </c>
      <c r="D126" s="428" t="str">
        <f>IF(C126=FALSE=NAMES!$B$8,"",IF(F126="N/A","N/A",X126&amp;W126&amp;F126&amp;"-"&amp;G126&amp;H126))</f>
        <v>2016EURAnker Verzekeringen n.v.-Assistance and RepatriationMedical Excellent and Homeland</v>
      </c>
      <c r="E126" s="429" t="str">
        <f t="shared" si="25"/>
        <v>2016EURAnker Verzekeringen n.v.-Assistance and RepatriationMedical Excellent and Homeland</v>
      </c>
      <c r="F126" s="432" t="s">
        <v>7</v>
      </c>
      <c r="G126" s="421" t="s">
        <v>5</v>
      </c>
      <c r="H126" s="432" t="s">
        <v>2128</v>
      </c>
      <c r="I126" s="432" t="s">
        <v>2225</v>
      </c>
      <c r="J126" s="432"/>
      <c r="K126" s="432"/>
      <c r="L126" s="421">
        <v>365</v>
      </c>
      <c r="M126" s="421"/>
      <c r="N126" s="411">
        <v>0.27500000000000002</v>
      </c>
      <c r="O126" s="431">
        <f t="shared" si="26"/>
        <v>115.38461538461539</v>
      </c>
      <c r="P126" s="411">
        <v>0</v>
      </c>
      <c r="Q126" s="412">
        <v>0</v>
      </c>
      <c r="R126" s="431"/>
      <c r="S126" s="411">
        <v>0.04</v>
      </c>
      <c r="T126" s="411"/>
      <c r="U126" s="412">
        <v>120</v>
      </c>
      <c r="V126" s="412"/>
      <c r="W126" s="432" t="s">
        <v>33</v>
      </c>
      <c r="X126" s="410">
        <v>2016</v>
      </c>
      <c r="Y126" s="410" t="s">
        <v>2246</v>
      </c>
      <c r="Z126" s="410" t="s">
        <v>1</v>
      </c>
      <c r="AA126" s="412">
        <v>0</v>
      </c>
      <c r="AB126" s="413"/>
      <c r="AC126" s="421" t="s">
        <v>2150</v>
      </c>
      <c r="AD126" s="421" t="s">
        <v>2179</v>
      </c>
      <c r="AE126" s="421" t="s">
        <v>2179</v>
      </c>
      <c r="AF126" s="421" t="s">
        <v>2180</v>
      </c>
      <c r="AG126" s="421" t="s">
        <v>2180</v>
      </c>
      <c r="AH126" s="421" t="s">
        <v>2180</v>
      </c>
      <c r="AI126" s="421" t="s">
        <v>2180</v>
      </c>
      <c r="AJ126" s="418" t="s">
        <v>87</v>
      </c>
    </row>
    <row r="127" spans="1:36" s="409" customFormat="1">
      <c r="A127" s="299" t="b">
        <v>0</v>
      </c>
      <c r="B127" s="299" t="s">
        <v>2266</v>
      </c>
      <c r="C127" s="299" t="b">
        <f t="shared" si="24"/>
        <v>0</v>
      </c>
      <c r="D127" s="428" t="str">
        <f>IF(C127=FALSE=NAMES!$B$8,"",IF(F127="N/A","N/A",X127&amp;W127&amp;F127&amp;"-"&amp;G127&amp;H127))</f>
        <v>2016EURAIG Luxembourg-Assistance and RepatriationComfort MLC S</v>
      </c>
      <c r="E127" s="429" t="str">
        <f t="shared" si="25"/>
        <v>2016EURAIG Luxembourg-Assistance and RepatriationComfort MLC S</v>
      </c>
      <c r="F127" s="390" t="s">
        <v>4</v>
      </c>
      <c r="G127" s="421" t="s">
        <v>5</v>
      </c>
      <c r="H127" s="390" t="s">
        <v>2125</v>
      </c>
      <c r="I127" s="390" t="s">
        <v>2225</v>
      </c>
      <c r="J127" s="432"/>
      <c r="K127" s="432"/>
      <c r="L127" s="421">
        <v>365</v>
      </c>
      <c r="M127" s="421"/>
      <c r="N127" s="411">
        <v>0.25</v>
      </c>
      <c r="O127" s="431">
        <f t="shared" si="26"/>
        <v>126.92307692307692</v>
      </c>
      <c r="P127" s="411">
        <v>0</v>
      </c>
      <c r="Q127" s="412">
        <v>0</v>
      </c>
      <c r="R127" s="431"/>
      <c r="S127" s="411">
        <v>0.04</v>
      </c>
      <c r="T127" s="411"/>
      <c r="U127" s="412">
        <v>132</v>
      </c>
      <c r="V127" s="412"/>
      <c r="W127" s="432" t="s">
        <v>33</v>
      </c>
      <c r="X127" s="410">
        <v>2016</v>
      </c>
      <c r="Y127" s="410" t="s">
        <v>26</v>
      </c>
      <c r="Z127" s="410" t="s">
        <v>1</v>
      </c>
      <c r="AA127" s="412">
        <v>0</v>
      </c>
      <c r="AB127" s="413"/>
      <c r="AC127" s="421"/>
      <c r="AD127" s="421"/>
      <c r="AE127" s="421"/>
      <c r="AF127" s="421"/>
      <c r="AG127" s="421"/>
      <c r="AH127" s="421"/>
      <c r="AI127" s="421"/>
      <c r="AJ127" s="418"/>
    </row>
    <row r="128" spans="1:36" s="409" customFormat="1">
      <c r="A128" s="299" t="b">
        <v>0</v>
      </c>
      <c r="B128" s="299" t="s">
        <v>2266</v>
      </c>
      <c r="C128" s="299" t="b">
        <f t="shared" si="24"/>
        <v>0</v>
      </c>
      <c r="D128" s="428" t="str">
        <f>IF(C128=FALSE=NAMES!$B$8,"",IF(F128="N/A","N/A",X128&amp;W128&amp;F128&amp;"-"&amp;G128&amp;H128))</f>
        <v>2016EURAIG Luxembourg-Assistance and RepatriationPrestige S</v>
      </c>
      <c r="E128" s="429" t="str">
        <f t="shared" si="25"/>
        <v>2016EURAIG Luxembourg-Assistance and RepatriationPrestige S</v>
      </c>
      <c r="F128" s="390" t="s">
        <v>4</v>
      </c>
      <c r="G128" s="421" t="s">
        <v>5</v>
      </c>
      <c r="H128" s="390" t="s">
        <v>2074</v>
      </c>
      <c r="I128" s="390" t="s">
        <v>2225</v>
      </c>
      <c r="J128" s="432"/>
      <c r="K128" s="432"/>
      <c r="L128" s="421">
        <v>365</v>
      </c>
      <c r="M128" s="421"/>
      <c r="N128" s="411">
        <v>0.25</v>
      </c>
      <c r="O128" s="431">
        <f t="shared" si="26"/>
        <v>190.38461538461539</v>
      </c>
      <c r="P128" s="411">
        <v>0</v>
      </c>
      <c r="Q128" s="412">
        <v>0</v>
      </c>
      <c r="R128" s="431"/>
      <c r="S128" s="411">
        <v>0.04</v>
      </c>
      <c r="T128" s="411"/>
      <c r="U128" s="412">
        <v>198</v>
      </c>
      <c r="V128" s="412"/>
      <c r="W128" s="432" t="s">
        <v>33</v>
      </c>
      <c r="X128" s="410">
        <v>2016</v>
      </c>
      <c r="Y128" s="410" t="s">
        <v>26</v>
      </c>
      <c r="Z128" s="410" t="s">
        <v>1</v>
      </c>
      <c r="AA128" s="412">
        <v>0</v>
      </c>
      <c r="AB128" s="413"/>
      <c r="AC128" s="421"/>
      <c r="AD128" s="421"/>
      <c r="AE128" s="421"/>
      <c r="AF128" s="421"/>
      <c r="AG128" s="421"/>
      <c r="AH128" s="421"/>
      <c r="AI128" s="421"/>
      <c r="AJ128" s="418"/>
    </row>
    <row r="129" spans="1:36" s="815" customFormat="1">
      <c r="A129" s="299" t="b">
        <v>0</v>
      </c>
      <c r="B129" s="299" t="s">
        <v>2266</v>
      </c>
      <c r="C129" s="299" t="b">
        <f t="shared" ref="C129:C133" si="28">IF(B129="N/A","",IF(B129="newRates",FALSE,TRUE))</f>
        <v>0</v>
      </c>
      <c r="D129" s="428" t="str">
        <f>IF(C129=FALSE=NAMES!$B$8,"",IF(F129="N/A","N/A",X129&amp;W129&amp;F129&amp;"-"&amp;G129&amp;H129))</f>
        <v>2016EURAIG Luxembourg-Assistance and RepatriationStandardMLC</v>
      </c>
      <c r="E129" s="429" t="str">
        <f t="shared" si="25"/>
        <v>2016EURAIG Luxembourg-Assistance and RepatriationStandardMLC</v>
      </c>
      <c r="F129" s="432" t="s">
        <v>4</v>
      </c>
      <c r="G129" s="718" t="s">
        <v>5</v>
      </c>
      <c r="H129" s="432" t="s">
        <v>2638</v>
      </c>
      <c r="I129" s="432" t="s">
        <v>2225</v>
      </c>
      <c r="J129" s="432"/>
      <c r="K129" s="432"/>
      <c r="L129" s="718">
        <v>365</v>
      </c>
      <c r="M129" s="718"/>
      <c r="N129" s="411">
        <v>0.25</v>
      </c>
      <c r="O129" s="431">
        <f t="shared" si="26"/>
        <v>126.92307692307692</v>
      </c>
      <c r="P129" s="411">
        <v>0</v>
      </c>
      <c r="Q129" s="412">
        <v>0</v>
      </c>
      <c r="R129" s="431"/>
      <c r="S129" s="411">
        <v>0.04</v>
      </c>
      <c r="T129" s="411"/>
      <c r="U129" s="412">
        <v>132</v>
      </c>
      <c r="V129" s="412"/>
      <c r="W129" s="432" t="s">
        <v>33</v>
      </c>
      <c r="X129" s="410">
        <v>2016</v>
      </c>
      <c r="Y129" s="410" t="s">
        <v>26</v>
      </c>
      <c r="Z129" s="410" t="s">
        <v>1</v>
      </c>
      <c r="AA129" s="412">
        <v>0</v>
      </c>
      <c r="AB129" s="413"/>
      <c r="AC129" s="718" t="s">
        <v>2150</v>
      </c>
      <c r="AD129" s="718" t="s">
        <v>2179</v>
      </c>
      <c r="AE129" s="718" t="s">
        <v>2179</v>
      </c>
      <c r="AF129" s="718" t="s">
        <v>2180</v>
      </c>
      <c r="AG129" s="718" t="s">
        <v>2180</v>
      </c>
      <c r="AH129" s="718" t="s">
        <v>2180</v>
      </c>
      <c r="AI129" s="718" t="s">
        <v>2180</v>
      </c>
      <c r="AJ129" s="418" t="s">
        <v>87</v>
      </c>
    </row>
    <row r="130" spans="1:36" s="815" customFormat="1">
      <c r="A130" s="299" t="b">
        <v>0</v>
      </c>
      <c r="B130" s="299" t="s">
        <v>2266</v>
      </c>
      <c r="C130" s="299" t="b">
        <f t="shared" si="28"/>
        <v>0</v>
      </c>
      <c r="D130" s="428" t="str">
        <f>IF(C130=FALSE=NAMES!$B$8,"",IF(F130="N/A","N/A",X130&amp;W130&amp;F130&amp;"-"&amp;G130&amp;H130))</f>
        <v>2016EURAIG Luxembourg-Assistance and RepatriationPERFECT</v>
      </c>
      <c r="E130" s="429" t="str">
        <f t="shared" si="25"/>
        <v>2016EURAIG Luxembourg-Assistance and RepatriationPERFECT</v>
      </c>
      <c r="F130" s="432" t="s">
        <v>4</v>
      </c>
      <c r="G130" s="718" t="s">
        <v>5</v>
      </c>
      <c r="H130" s="432" t="s">
        <v>2644</v>
      </c>
      <c r="I130" s="432" t="s">
        <v>2225</v>
      </c>
      <c r="J130" s="432"/>
      <c r="K130" s="432"/>
      <c r="L130" s="718">
        <v>365</v>
      </c>
      <c r="M130" s="718"/>
      <c r="N130" s="411">
        <v>0.25</v>
      </c>
      <c r="O130" s="431">
        <f t="shared" si="26"/>
        <v>190.38461538461539</v>
      </c>
      <c r="P130" s="411">
        <v>0</v>
      </c>
      <c r="Q130" s="412">
        <v>0</v>
      </c>
      <c r="R130" s="431"/>
      <c r="S130" s="411">
        <v>0.04</v>
      </c>
      <c r="T130" s="411"/>
      <c r="U130" s="412">
        <v>198</v>
      </c>
      <c r="V130" s="412"/>
      <c r="W130" s="432" t="s">
        <v>33</v>
      </c>
      <c r="X130" s="410">
        <v>2016</v>
      </c>
      <c r="Y130" s="410" t="s">
        <v>26</v>
      </c>
      <c r="Z130" s="410" t="s">
        <v>1</v>
      </c>
      <c r="AA130" s="412">
        <v>0</v>
      </c>
      <c r="AB130" s="413"/>
      <c r="AC130" s="718" t="s">
        <v>2150</v>
      </c>
      <c r="AD130" s="718" t="s">
        <v>2179</v>
      </c>
      <c r="AE130" s="718" t="s">
        <v>2179</v>
      </c>
      <c r="AF130" s="718" t="s">
        <v>2180</v>
      </c>
      <c r="AG130" s="718" t="s">
        <v>2180</v>
      </c>
      <c r="AH130" s="718" t="s">
        <v>2180</v>
      </c>
      <c r="AI130" s="718" t="s">
        <v>2180</v>
      </c>
      <c r="AJ130" s="418" t="s">
        <v>87</v>
      </c>
    </row>
    <row r="131" spans="1:36" s="815" customFormat="1">
      <c r="A131" s="299" t="b">
        <v>0</v>
      </c>
      <c r="B131" s="299" t="s">
        <v>2266</v>
      </c>
      <c r="C131" s="299" t="b">
        <f t="shared" si="28"/>
        <v>0</v>
      </c>
      <c r="D131" s="428" t="str">
        <f>IF(C131=FALSE=NAMES!$B$8,"",IF(F131="N/A","N/A",X131&amp;W131&amp;F131&amp;"-"&amp;G131&amp;H131))</f>
        <v>2016EURAIG Luxembourg-Assistance and RepatriationPERFECT Plus</v>
      </c>
      <c r="E131" s="429" t="str">
        <f t="shared" si="25"/>
        <v>2016EURAIG Luxembourg-Assistance and RepatriationPERFECT Plus</v>
      </c>
      <c r="F131" s="432" t="s">
        <v>4</v>
      </c>
      <c r="G131" s="718" t="s">
        <v>5</v>
      </c>
      <c r="H131" s="432" t="s">
        <v>2645</v>
      </c>
      <c r="I131" s="432" t="s">
        <v>2225</v>
      </c>
      <c r="J131" s="432"/>
      <c r="K131" s="432"/>
      <c r="L131" s="718">
        <v>365</v>
      </c>
      <c r="M131" s="718"/>
      <c r="N131" s="411">
        <v>0.25</v>
      </c>
      <c r="O131" s="431">
        <f t="shared" si="26"/>
        <v>327.88461538461536</v>
      </c>
      <c r="P131" s="411">
        <v>0</v>
      </c>
      <c r="Q131" s="412">
        <v>0</v>
      </c>
      <c r="R131" s="431"/>
      <c r="S131" s="411">
        <v>0.04</v>
      </c>
      <c r="T131" s="411"/>
      <c r="U131" s="396">
        <v>341</v>
      </c>
      <c r="V131" s="396"/>
      <c r="W131" s="432" t="s">
        <v>33</v>
      </c>
      <c r="X131" s="410">
        <v>2016</v>
      </c>
      <c r="Y131" s="410" t="s">
        <v>26</v>
      </c>
      <c r="Z131" s="410" t="s">
        <v>1</v>
      </c>
      <c r="AA131" s="412">
        <v>0</v>
      </c>
      <c r="AB131" s="413"/>
      <c r="AC131" s="718" t="s">
        <v>2150</v>
      </c>
      <c r="AD131" s="718" t="s">
        <v>2179</v>
      </c>
      <c r="AE131" s="718" t="s">
        <v>2179</v>
      </c>
      <c r="AF131" s="718" t="s">
        <v>2180</v>
      </c>
      <c r="AG131" s="718" t="s">
        <v>2180</v>
      </c>
      <c r="AH131" s="718" t="s">
        <v>2180</v>
      </c>
      <c r="AI131" s="718" t="s">
        <v>2180</v>
      </c>
      <c r="AJ131" s="418" t="s">
        <v>87</v>
      </c>
    </row>
    <row r="132" spans="1:36" s="815" customFormat="1">
      <c r="A132" s="299" t="b">
        <v>0</v>
      </c>
      <c r="B132" s="299" t="s">
        <v>2266</v>
      </c>
      <c r="C132" s="299" t="b">
        <f t="shared" si="28"/>
        <v>0</v>
      </c>
      <c r="D132" s="428" t="str">
        <f>IF(C132=FALSE=NAMES!$B$8,"",IF(F132="N/A","N/A",X132&amp;W132&amp;F132&amp;"-"&amp;G132&amp;H132))</f>
        <v>2016EURAIG Luxembourg-Assistance and RepatriationStandardMLC S</v>
      </c>
      <c r="E132" s="429" t="str">
        <f t="shared" si="25"/>
        <v>2016EURAIG Luxembourg-Assistance and RepatriationStandardMLC S</v>
      </c>
      <c r="F132" s="390" t="s">
        <v>4</v>
      </c>
      <c r="G132" s="718" t="s">
        <v>5</v>
      </c>
      <c r="H132" s="390" t="s">
        <v>2641</v>
      </c>
      <c r="I132" s="390" t="s">
        <v>2225</v>
      </c>
      <c r="J132" s="432"/>
      <c r="K132" s="432"/>
      <c r="L132" s="718">
        <v>365</v>
      </c>
      <c r="M132" s="718"/>
      <c r="N132" s="411">
        <v>0.25</v>
      </c>
      <c r="O132" s="431">
        <f t="shared" si="26"/>
        <v>126.92307692307692</v>
      </c>
      <c r="P132" s="411">
        <v>0</v>
      </c>
      <c r="Q132" s="412">
        <v>0</v>
      </c>
      <c r="R132" s="431"/>
      <c r="S132" s="411">
        <v>0.04</v>
      </c>
      <c r="T132" s="411"/>
      <c r="U132" s="412">
        <v>132</v>
      </c>
      <c r="V132" s="412"/>
      <c r="W132" s="432" t="s">
        <v>33</v>
      </c>
      <c r="X132" s="410">
        <v>2016</v>
      </c>
      <c r="Y132" s="410" t="s">
        <v>26</v>
      </c>
      <c r="Z132" s="410" t="s">
        <v>1</v>
      </c>
      <c r="AA132" s="412">
        <v>0</v>
      </c>
      <c r="AB132" s="413"/>
      <c r="AC132" s="718"/>
      <c r="AD132" s="718"/>
      <c r="AE132" s="718"/>
      <c r="AF132" s="718"/>
      <c r="AG132" s="718"/>
      <c r="AH132" s="718"/>
      <c r="AI132" s="718"/>
      <c r="AJ132" s="418"/>
    </row>
    <row r="133" spans="1:36" s="815" customFormat="1">
      <c r="A133" s="299" t="b">
        <v>0</v>
      </c>
      <c r="B133" s="299" t="s">
        <v>2266</v>
      </c>
      <c r="C133" s="299" t="b">
        <f t="shared" si="28"/>
        <v>0</v>
      </c>
      <c r="D133" s="428" t="str">
        <f>IF(C133=FALSE=NAMES!$B$8,"",IF(F133="N/A","N/A",X133&amp;W133&amp;F133&amp;"-"&amp;G133&amp;H133))</f>
        <v>2016EURAIG Luxembourg-Assistance and RepatriationPERFECT S</v>
      </c>
      <c r="E133" s="429" t="str">
        <f t="shared" si="25"/>
        <v>2016EURAIG Luxembourg-Assistance and RepatriationPERFECT S</v>
      </c>
      <c r="F133" s="390" t="s">
        <v>4</v>
      </c>
      <c r="G133" s="718" t="s">
        <v>5</v>
      </c>
      <c r="H133" s="390" t="s">
        <v>2646</v>
      </c>
      <c r="I133" s="390" t="s">
        <v>2225</v>
      </c>
      <c r="J133" s="432"/>
      <c r="K133" s="432"/>
      <c r="L133" s="718">
        <v>365</v>
      </c>
      <c r="M133" s="718"/>
      <c r="N133" s="411">
        <v>0.25</v>
      </c>
      <c r="O133" s="431">
        <f t="shared" si="26"/>
        <v>190.38461538461539</v>
      </c>
      <c r="P133" s="411">
        <v>0</v>
      </c>
      <c r="Q133" s="412">
        <v>0</v>
      </c>
      <c r="R133" s="431"/>
      <c r="S133" s="411">
        <v>0.04</v>
      </c>
      <c r="T133" s="411"/>
      <c r="U133" s="412">
        <v>198</v>
      </c>
      <c r="V133" s="412"/>
      <c r="W133" s="432" t="s">
        <v>33</v>
      </c>
      <c r="X133" s="410">
        <v>2016</v>
      </c>
      <c r="Y133" s="410" t="s">
        <v>26</v>
      </c>
      <c r="Z133" s="410" t="s">
        <v>1</v>
      </c>
      <c r="AA133" s="412">
        <v>0</v>
      </c>
      <c r="AB133" s="413"/>
      <c r="AC133" s="718"/>
      <c r="AD133" s="718"/>
      <c r="AE133" s="718"/>
      <c r="AF133" s="718"/>
      <c r="AG133" s="718"/>
      <c r="AH133" s="718"/>
      <c r="AI133" s="718"/>
      <c r="AJ133" s="418"/>
    </row>
    <row r="134" spans="1:36">
      <c r="A134" s="299" t="b">
        <v>0</v>
      </c>
      <c r="B134" s="299" t="s">
        <v>2266</v>
      </c>
      <c r="C134" s="299" t="b">
        <f t="shared" si="24"/>
        <v>0</v>
      </c>
      <c r="D134" s="428" t="str">
        <f>IF(C134=FALSE=NAMES!$B$8,"",IF(F134="N/A","N/A",X134&amp;W134&amp;F134&amp;"-"&amp;G134&amp;H134))</f>
        <v>N/A</v>
      </c>
      <c r="E134" s="429" t="str">
        <f t="shared" si="25"/>
        <v>N/A</v>
      </c>
      <c r="F134" s="429" t="s">
        <v>2236</v>
      </c>
      <c r="G134" s="429" t="s">
        <v>2236</v>
      </c>
      <c r="H134" s="432"/>
      <c r="I134" s="432"/>
      <c r="J134" s="432"/>
      <c r="K134" s="432"/>
      <c r="L134" s="421"/>
      <c r="M134" s="421"/>
      <c r="N134" s="411"/>
      <c r="O134" s="431" t="str">
        <f t="shared" si="26"/>
        <v/>
      </c>
      <c r="P134" s="411">
        <v>0</v>
      </c>
      <c r="Q134" s="412">
        <v>0</v>
      </c>
      <c r="R134" s="431"/>
      <c r="S134" s="411"/>
      <c r="T134" s="411"/>
      <c r="U134" s="412"/>
      <c r="V134" s="412"/>
      <c r="W134" s="432"/>
      <c r="X134" s="410"/>
      <c r="Y134" s="410"/>
      <c r="Z134" s="410"/>
      <c r="AA134" s="412">
        <v>0</v>
      </c>
      <c r="AB134" s="413"/>
      <c r="AC134" s="421"/>
      <c r="AD134" s="421"/>
      <c r="AE134" s="421"/>
      <c r="AF134" s="421"/>
      <c r="AG134" s="421"/>
      <c r="AH134" s="421"/>
      <c r="AI134" s="421"/>
      <c r="AJ134" s="418"/>
    </row>
    <row r="135" spans="1:36">
      <c r="A135" s="299" t="b">
        <v>0</v>
      </c>
      <c r="B135" s="299" t="s">
        <v>2266</v>
      </c>
      <c r="C135" s="299" t="b">
        <f t="shared" si="24"/>
        <v>0</v>
      </c>
      <c r="D135" s="428" t="str">
        <f>IF(C135=FALSE=NAMES!$B$8,"",IF(F135="N/A","N/A",X135&amp;W135&amp;F135&amp;"-"&amp;G135&amp;H135))</f>
        <v>2016USDAIG Luxembourg-Assistance and RepatriationCOMFORTMLC</v>
      </c>
      <c r="E135" s="429" t="str">
        <f t="shared" si="25"/>
        <v>2016USDAIG Luxembourg-Assistance and RepatriationCOMFORTMLC</v>
      </c>
      <c r="F135" s="432" t="s">
        <v>4</v>
      </c>
      <c r="G135" s="421" t="s">
        <v>5</v>
      </c>
      <c r="H135" s="432" t="s">
        <v>2279</v>
      </c>
      <c r="I135" s="432" t="s">
        <v>2225</v>
      </c>
      <c r="J135" s="432"/>
      <c r="K135" s="432"/>
      <c r="L135" s="421">
        <v>365</v>
      </c>
      <c r="M135" s="421"/>
      <c r="N135" s="411">
        <v>0.25</v>
      </c>
      <c r="O135" s="431">
        <f t="shared" si="26"/>
        <v>126.92307692307692</v>
      </c>
      <c r="P135" s="411">
        <v>0</v>
      </c>
      <c r="Q135" s="412">
        <v>0</v>
      </c>
      <c r="R135" s="431"/>
      <c r="S135" s="411">
        <v>0.04</v>
      </c>
      <c r="T135" s="411"/>
      <c r="U135" s="412">
        <v>132</v>
      </c>
      <c r="V135" s="412"/>
      <c r="W135" s="432" t="s">
        <v>89</v>
      </c>
      <c r="X135" s="410">
        <v>2016</v>
      </c>
      <c r="Y135" s="410" t="s">
        <v>26</v>
      </c>
      <c r="Z135" s="410" t="s">
        <v>1</v>
      </c>
      <c r="AA135" s="412">
        <v>0</v>
      </c>
      <c r="AB135" s="413"/>
      <c r="AC135" s="421" t="s">
        <v>2150</v>
      </c>
      <c r="AD135" s="421"/>
      <c r="AE135" s="421"/>
      <c r="AF135" s="421"/>
      <c r="AG135" s="421"/>
      <c r="AH135" s="421"/>
      <c r="AI135" s="421"/>
      <c r="AJ135" s="418"/>
    </row>
    <row r="136" spans="1:36">
      <c r="A136" s="299" t="b">
        <v>0</v>
      </c>
      <c r="B136" s="299" t="s">
        <v>2266</v>
      </c>
      <c r="C136" s="299" t="b">
        <f t="shared" si="24"/>
        <v>0</v>
      </c>
      <c r="D136" s="428" t="str">
        <f>IF(C136=FALSE=NAMES!$B$8,"",IF(F136="N/A","N/A",X136&amp;W136&amp;F136&amp;"-"&amp;G136&amp;H136))</f>
        <v>2016USDAIG Luxembourg-Assistance and RepatriationPRESTIGE</v>
      </c>
      <c r="E136" s="429" t="str">
        <f t="shared" si="25"/>
        <v>2016USDAIG Luxembourg-Assistance and RepatriationPRESTIGE</v>
      </c>
      <c r="F136" s="432" t="s">
        <v>4</v>
      </c>
      <c r="G136" s="421" t="s">
        <v>5</v>
      </c>
      <c r="H136" s="432" t="s">
        <v>88</v>
      </c>
      <c r="I136" s="432" t="s">
        <v>2225</v>
      </c>
      <c r="J136" s="432"/>
      <c r="K136" s="432"/>
      <c r="L136" s="421">
        <v>365</v>
      </c>
      <c r="M136" s="421"/>
      <c r="N136" s="411">
        <v>0.25</v>
      </c>
      <c r="O136" s="431">
        <f t="shared" si="26"/>
        <v>190.38461538461539</v>
      </c>
      <c r="P136" s="411">
        <v>0</v>
      </c>
      <c r="Q136" s="412">
        <v>0</v>
      </c>
      <c r="R136" s="431"/>
      <c r="S136" s="411">
        <v>0.04</v>
      </c>
      <c r="T136" s="411"/>
      <c r="U136" s="412">
        <v>198</v>
      </c>
      <c r="V136" s="412"/>
      <c r="W136" s="432" t="s">
        <v>89</v>
      </c>
      <c r="X136" s="410">
        <v>2016</v>
      </c>
      <c r="Y136" s="410" t="s">
        <v>26</v>
      </c>
      <c r="Z136" s="410" t="s">
        <v>1</v>
      </c>
      <c r="AA136" s="412">
        <v>0</v>
      </c>
      <c r="AB136" s="413"/>
      <c r="AC136" s="421" t="s">
        <v>2150</v>
      </c>
      <c r="AD136" s="421"/>
      <c r="AE136" s="421"/>
      <c r="AF136" s="421"/>
      <c r="AG136" s="421"/>
      <c r="AH136" s="421"/>
      <c r="AI136" s="421"/>
      <c r="AJ136" s="418"/>
    </row>
    <row r="137" spans="1:36">
      <c r="A137" s="299" t="b">
        <v>0</v>
      </c>
      <c r="B137" s="299" t="s">
        <v>2266</v>
      </c>
      <c r="C137" s="299" t="b">
        <f t="shared" si="24"/>
        <v>0</v>
      </c>
      <c r="D137" s="428" t="str">
        <f>IF(C137=FALSE=NAMES!$B$8,"",IF(F137="N/A","N/A",X137&amp;W137&amp;F137&amp;"-"&amp;G137&amp;H137))</f>
        <v>2016USDAIG Luxembourg-Assistance and RepatriationPrestige Plus</v>
      </c>
      <c r="E137" s="429" t="str">
        <f t="shared" si="25"/>
        <v>2016USDAIG Luxembourg-Assistance and RepatriationPrestige Plus</v>
      </c>
      <c r="F137" s="432" t="s">
        <v>4</v>
      </c>
      <c r="G137" s="421" t="s">
        <v>5</v>
      </c>
      <c r="H137" s="432" t="s">
        <v>2085</v>
      </c>
      <c r="I137" s="432" t="s">
        <v>2225</v>
      </c>
      <c r="J137" s="432"/>
      <c r="K137" s="432"/>
      <c r="L137" s="421">
        <v>365</v>
      </c>
      <c r="M137" s="421"/>
      <c r="N137" s="411">
        <v>0.25</v>
      </c>
      <c r="O137" s="431">
        <f t="shared" si="26"/>
        <v>327.88461538461536</v>
      </c>
      <c r="P137" s="411">
        <v>0</v>
      </c>
      <c r="Q137" s="412">
        <v>0</v>
      </c>
      <c r="R137" s="431"/>
      <c r="S137" s="411">
        <v>0.04</v>
      </c>
      <c r="T137" s="411"/>
      <c r="U137" s="396">
        <v>341</v>
      </c>
      <c r="V137" s="396"/>
      <c r="W137" s="432" t="s">
        <v>89</v>
      </c>
      <c r="X137" s="410">
        <v>2016</v>
      </c>
      <c r="Y137" s="410" t="s">
        <v>26</v>
      </c>
      <c r="Z137" s="410" t="s">
        <v>1</v>
      </c>
      <c r="AA137" s="412">
        <v>0</v>
      </c>
      <c r="AB137" s="413"/>
      <c r="AC137" s="421" t="s">
        <v>2150</v>
      </c>
      <c r="AD137" s="421"/>
      <c r="AE137" s="421"/>
      <c r="AF137" s="421"/>
      <c r="AG137" s="421"/>
      <c r="AH137" s="421"/>
      <c r="AI137" s="421"/>
      <c r="AJ137" s="418"/>
    </row>
    <row r="138" spans="1:36">
      <c r="A138" s="299" t="b">
        <v>0</v>
      </c>
      <c r="B138" s="299" t="s">
        <v>2266</v>
      </c>
      <c r="C138" s="299" t="b">
        <f t="shared" si="24"/>
        <v>0</v>
      </c>
      <c r="D138" s="428" t="str">
        <f>IF(C138=FALSE=NAMES!$B$8,"",IF(F138="N/A","N/A",X138&amp;W138&amp;F138&amp;"-"&amp;G138&amp;H138))</f>
        <v>2016USDAnker Verzekeringen n.v.-Assistance and RepatriationMedical Excellent and Homeland</v>
      </c>
      <c r="E138" s="429" t="str">
        <f t="shared" si="25"/>
        <v>2016USDAnker Verzekeringen n.v.-Assistance and RepatriationMedical Excellent and Homeland</v>
      </c>
      <c r="F138" s="432" t="s">
        <v>7</v>
      </c>
      <c r="G138" s="421" t="s">
        <v>5</v>
      </c>
      <c r="H138" s="432" t="s">
        <v>2128</v>
      </c>
      <c r="I138" s="432" t="s">
        <v>2225</v>
      </c>
      <c r="J138" s="432"/>
      <c r="K138" s="432"/>
      <c r="L138" s="421">
        <v>365</v>
      </c>
      <c r="M138" s="421"/>
      <c r="N138" s="411">
        <v>0.27500000000000002</v>
      </c>
      <c r="O138" s="431">
        <f t="shared" si="26"/>
        <v>115.38461538461539</v>
      </c>
      <c r="P138" s="411">
        <v>0</v>
      </c>
      <c r="Q138" s="412">
        <v>0</v>
      </c>
      <c r="R138" s="431"/>
      <c r="S138" s="411">
        <v>0.04</v>
      </c>
      <c r="T138" s="411"/>
      <c r="U138" s="412">
        <v>120</v>
      </c>
      <c r="V138" s="412"/>
      <c r="W138" s="432" t="s">
        <v>89</v>
      </c>
      <c r="X138" s="410">
        <v>2016</v>
      </c>
      <c r="Y138" s="410" t="s">
        <v>2246</v>
      </c>
      <c r="Z138" s="410" t="s">
        <v>1</v>
      </c>
      <c r="AA138" s="412">
        <v>0</v>
      </c>
      <c r="AB138" s="413"/>
      <c r="AC138" s="421" t="s">
        <v>2150</v>
      </c>
      <c r="AD138" s="421"/>
      <c r="AE138" s="421"/>
      <c r="AF138" s="421"/>
      <c r="AG138" s="421"/>
      <c r="AH138" s="421"/>
      <c r="AI138" s="421"/>
      <c r="AJ138" s="418"/>
    </row>
    <row r="139" spans="1:36" s="409" customFormat="1">
      <c r="A139" s="299" t="b">
        <v>0</v>
      </c>
      <c r="B139" s="299" t="s">
        <v>2266</v>
      </c>
      <c r="C139" s="299" t="b">
        <f t="shared" si="24"/>
        <v>0</v>
      </c>
      <c r="D139" s="428" t="str">
        <f>IF(C139=FALSE=NAMES!$B$8,"",IF(F139="N/A","N/A",X139&amp;W139&amp;F139&amp;"-"&amp;G139&amp;H139))</f>
        <v>2016USDAIG Luxembourg-Assistance and RepatriationComfort MLC S</v>
      </c>
      <c r="E139" s="429" t="str">
        <f t="shared" si="25"/>
        <v>2016USDAIG Luxembourg-Assistance and RepatriationComfort MLC S</v>
      </c>
      <c r="F139" s="390" t="s">
        <v>4</v>
      </c>
      <c r="G139" s="421" t="s">
        <v>5</v>
      </c>
      <c r="H139" s="390" t="s">
        <v>2125</v>
      </c>
      <c r="I139" s="390" t="s">
        <v>2225</v>
      </c>
      <c r="J139" s="432"/>
      <c r="K139" s="432"/>
      <c r="L139" s="421">
        <v>365</v>
      </c>
      <c r="M139" s="421"/>
      <c r="N139" s="411">
        <v>0.25</v>
      </c>
      <c r="O139" s="431">
        <f t="shared" si="26"/>
        <v>126.92307692307692</v>
      </c>
      <c r="P139" s="411">
        <v>0</v>
      </c>
      <c r="Q139" s="412">
        <v>0</v>
      </c>
      <c r="R139" s="431"/>
      <c r="S139" s="411">
        <v>0.04</v>
      </c>
      <c r="T139" s="411"/>
      <c r="U139" s="412">
        <v>132</v>
      </c>
      <c r="V139" s="412"/>
      <c r="W139" s="432" t="s">
        <v>89</v>
      </c>
      <c r="X139" s="410">
        <v>2016</v>
      </c>
      <c r="Y139" s="410" t="s">
        <v>26</v>
      </c>
      <c r="Z139" s="410" t="s">
        <v>1</v>
      </c>
      <c r="AA139" s="412">
        <v>0</v>
      </c>
      <c r="AB139" s="413"/>
      <c r="AC139" s="421"/>
      <c r="AD139" s="421"/>
      <c r="AE139" s="421"/>
      <c r="AF139" s="421"/>
      <c r="AG139" s="421"/>
      <c r="AH139" s="421"/>
      <c r="AI139" s="421"/>
      <c r="AJ139" s="418"/>
    </row>
    <row r="140" spans="1:36" s="409" customFormat="1">
      <c r="A140" s="299" t="b">
        <v>0</v>
      </c>
      <c r="B140" s="299" t="s">
        <v>2266</v>
      </c>
      <c r="C140" s="299" t="b">
        <f t="shared" si="24"/>
        <v>0</v>
      </c>
      <c r="D140" s="428" t="str">
        <f>IF(C140=FALSE=NAMES!$B$8,"",IF(F140="N/A","N/A",X140&amp;W140&amp;F140&amp;"-"&amp;G140&amp;H140))</f>
        <v>2016USDAIG Luxembourg-Assistance and RepatriationPrestige S</v>
      </c>
      <c r="E140" s="429" t="str">
        <f t="shared" si="25"/>
        <v>2016USDAIG Luxembourg-Assistance and RepatriationPrestige S</v>
      </c>
      <c r="F140" s="390" t="s">
        <v>4</v>
      </c>
      <c r="G140" s="421" t="s">
        <v>5</v>
      </c>
      <c r="H140" s="390" t="s">
        <v>2074</v>
      </c>
      <c r="I140" s="390" t="s">
        <v>2225</v>
      </c>
      <c r="J140" s="432"/>
      <c r="K140" s="432"/>
      <c r="L140" s="421">
        <v>365</v>
      </c>
      <c r="M140" s="421"/>
      <c r="N140" s="411">
        <v>0.25</v>
      </c>
      <c r="O140" s="431">
        <f t="shared" si="26"/>
        <v>190.38461538461539</v>
      </c>
      <c r="P140" s="411">
        <v>0</v>
      </c>
      <c r="Q140" s="412">
        <v>0</v>
      </c>
      <c r="R140" s="431"/>
      <c r="S140" s="411">
        <v>0.04</v>
      </c>
      <c r="T140" s="411"/>
      <c r="U140" s="412">
        <v>198</v>
      </c>
      <c r="V140" s="412"/>
      <c r="W140" s="432" t="s">
        <v>89</v>
      </c>
      <c r="X140" s="410">
        <v>2016</v>
      </c>
      <c r="Y140" s="410" t="s">
        <v>26</v>
      </c>
      <c r="Z140" s="410" t="s">
        <v>1</v>
      </c>
      <c r="AA140" s="412">
        <v>0</v>
      </c>
      <c r="AB140" s="413"/>
      <c r="AC140" s="421"/>
      <c r="AD140" s="421"/>
      <c r="AE140" s="421"/>
      <c r="AF140" s="421"/>
      <c r="AG140" s="421"/>
      <c r="AH140" s="421"/>
      <c r="AI140" s="421"/>
      <c r="AJ140" s="418"/>
    </row>
    <row r="141" spans="1:36" s="815" customFormat="1">
      <c r="A141" s="299" t="b">
        <v>0</v>
      </c>
      <c r="B141" s="299" t="s">
        <v>2266</v>
      </c>
      <c r="C141" s="299" t="b">
        <f t="shared" si="24"/>
        <v>0</v>
      </c>
      <c r="D141" s="428" t="str">
        <f>IF(C141=FALSE=NAMES!$B$8,"",IF(F141="N/A","N/A",X141&amp;W141&amp;F141&amp;"-"&amp;G141&amp;H141))</f>
        <v>2016USDAIG Luxembourg-Assistance and RepatriationStandardMLC</v>
      </c>
      <c r="E141" s="429" t="str">
        <f t="shared" si="25"/>
        <v>2016USDAIG Luxembourg-Assistance and RepatriationStandardMLC</v>
      </c>
      <c r="F141" s="432" t="s">
        <v>4</v>
      </c>
      <c r="G141" s="718" t="s">
        <v>5</v>
      </c>
      <c r="H141" s="432" t="s">
        <v>2638</v>
      </c>
      <c r="I141" s="432" t="s">
        <v>2225</v>
      </c>
      <c r="J141" s="432"/>
      <c r="K141" s="432"/>
      <c r="L141" s="718">
        <v>365</v>
      </c>
      <c r="M141" s="718"/>
      <c r="N141" s="411">
        <v>0.25</v>
      </c>
      <c r="O141" s="431">
        <f t="shared" si="26"/>
        <v>126.92307692307692</v>
      </c>
      <c r="P141" s="411">
        <v>0</v>
      </c>
      <c r="Q141" s="412">
        <v>0</v>
      </c>
      <c r="R141" s="431"/>
      <c r="S141" s="411">
        <v>0.04</v>
      </c>
      <c r="T141" s="411"/>
      <c r="U141" s="412">
        <v>132</v>
      </c>
      <c r="V141" s="412"/>
      <c r="W141" s="432" t="s">
        <v>89</v>
      </c>
      <c r="X141" s="410">
        <v>2016</v>
      </c>
      <c r="Y141" s="410" t="s">
        <v>26</v>
      </c>
      <c r="Z141" s="410" t="s">
        <v>1</v>
      </c>
      <c r="AA141" s="412">
        <v>0</v>
      </c>
      <c r="AB141" s="413"/>
      <c r="AC141" s="718" t="s">
        <v>2150</v>
      </c>
      <c r="AD141" s="718" t="s">
        <v>2179</v>
      </c>
      <c r="AE141" s="718" t="s">
        <v>2179</v>
      </c>
      <c r="AF141" s="718" t="s">
        <v>2180</v>
      </c>
      <c r="AG141" s="718" t="s">
        <v>2180</v>
      </c>
      <c r="AH141" s="718" t="s">
        <v>2180</v>
      </c>
      <c r="AI141" s="718" t="s">
        <v>2180</v>
      </c>
      <c r="AJ141" s="418" t="s">
        <v>87</v>
      </c>
    </row>
    <row r="142" spans="1:36" s="815" customFormat="1">
      <c r="A142" s="299" t="b">
        <v>0</v>
      </c>
      <c r="B142" s="299" t="s">
        <v>2266</v>
      </c>
      <c r="C142" s="299" t="b">
        <f t="shared" si="24"/>
        <v>0</v>
      </c>
      <c r="D142" s="428" t="str">
        <f>IF(C142=FALSE=NAMES!$B$8,"",IF(F142="N/A","N/A",X142&amp;W142&amp;F142&amp;"-"&amp;G142&amp;H142))</f>
        <v>2016USDAIG Luxembourg-Assistance and RepatriationPERFECT</v>
      </c>
      <c r="E142" s="429" t="str">
        <f t="shared" si="25"/>
        <v>2016USDAIG Luxembourg-Assistance and RepatriationPERFECT</v>
      </c>
      <c r="F142" s="432" t="s">
        <v>4</v>
      </c>
      <c r="G142" s="718" t="s">
        <v>5</v>
      </c>
      <c r="H142" s="432" t="s">
        <v>2644</v>
      </c>
      <c r="I142" s="432" t="s">
        <v>2225</v>
      </c>
      <c r="J142" s="432"/>
      <c r="K142" s="432"/>
      <c r="L142" s="718">
        <v>365</v>
      </c>
      <c r="M142" s="718"/>
      <c r="N142" s="411">
        <v>0.25</v>
      </c>
      <c r="O142" s="431">
        <f t="shared" si="26"/>
        <v>190.38461538461539</v>
      </c>
      <c r="P142" s="411">
        <v>0</v>
      </c>
      <c r="Q142" s="412">
        <v>0</v>
      </c>
      <c r="R142" s="431"/>
      <c r="S142" s="411">
        <v>0.04</v>
      </c>
      <c r="T142" s="411"/>
      <c r="U142" s="412">
        <v>198</v>
      </c>
      <c r="V142" s="412"/>
      <c r="W142" s="432" t="s">
        <v>89</v>
      </c>
      <c r="X142" s="410">
        <v>2016</v>
      </c>
      <c r="Y142" s="410" t="s">
        <v>26</v>
      </c>
      <c r="Z142" s="410" t="s">
        <v>1</v>
      </c>
      <c r="AA142" s="412">
        <v>0</v>
      </c>
      <c r="AB142" s="413"/>
      <c r="AC142" s="718" t="s">
        <v>2150</v>
      </c>
      <c r="AD142" s="718" t="s">
        <v>2179</v>
      </c>
      <c r="AE142" s="718" t="s">
        <v>2179</v>
      </c>
      <c r="AF142" s="718" t="s">
        <v>2180</v>
      </c>
      <c r="AG142" s="718" t="s">
        <v>2180</v>
      </c>
      <c r="AH142" s="718" t="s">
        <v>2180</v>
      </c>
      <c r="AI142" s="718" t="s">
        <v>2180</v>
      </c>
      <c r="AJ142" s="418" t="s">
        <v>87</v>
      </c>
    </row>
    <row r="143" spans="1:36" s="815" customFormat="1">
      <c r="A143" s="299" t="b">
        <v>0</v>
      </c>
      <c r="B143" s="299" t="s">
        <v>2266</v>
      </c>
      <c r="C143" s="299" t="b">
        <f t="shared" si="24"/>
        <v>0</v>
      </c>
      <c r="D143" s="428" t="str">
        <f>IF(C143=FALSE=NAMES!$B$8,"",IF(F143="N/A","N/A",X143&amp;W143&amp;F143&amp;"-"&amp;G143&amp;H143))</f>
        <v>2016USDAIG Luxembourg-Assistance and RepatriationPERFECT Plus</v>
      </c>
      <c r="E143" s="429" t="str">
        <f t="shared" si="25"/>
        <v>2016USDAIG Luxembourg-Assistance and RepatriationPERFECT Plus</v>
      </c>
      <c r="F143" s="432" t="s">
        <v>4</v>
      </c>
      <c r="G143" s="718" t="s">
        <v>5</v>
      </c>
      <c r="H143" s="432" t="s">
        <v>2645</v>
      </c>
      <c r="I143" s="432" t="s">
        <v>2225</v>
      </c>
      <c r="J143" s="432"/>
      <c r="K143" s="432"/>
      <c r="L143" s="718">
        <v>365</v>
      </c>
      <c r="M143" s="718"/>
      <c r="N143" s="411">
        <v>0.25</v>
      </c>
      <c r="O143" s="431">
        <f t="shared" si="26"/>
        <v>327.88461538461536</v>
      </c>
      <c r="P143" s="411">
        <v>0</v>
      </c>
      <c r="Q143" s="412">
        <v>0</v>
      </c>
      <c r="R143" s="431"/>
      <c r="S143" s="411">
        <v>0.04</v>
      </c>
      <c r="T143" s="411"/>
      <c r="U143" s="396">
        <v>341</v>
      </c>
      <c r="V143" s="396"/>
      <c r="W143" s="432" t="s">
        <v>89</v>
      </c>
      <c r="X143" s="410">
        <v>2016</v>
      </c>
      <c r="Y143" s="410" t="s">
        <v>26</v>
      </c>
      <c r="Z143" s="410" t="s">
        <v>1</v>
      </c>
      <c r="AA143" s="412">
        <v>0</v>
      </c>
      <c r="AB143" s="413"/>
      <c r="AC143" s="718" t="s">
        <v>2150</v>
      </c>
      <c r="AD143" s="718" t="s">
        <v>2179</v>
      </c>
      <c r="AE143" s="718" t="s">
        <v>2179</v>
      </c>
      <c r="AF143" s="718" t="s">
        <v>2180</v>
      </c>
      <c r="AG143" s="718" t="s">
        <v>2180</v>
      </c>
      <c r="AH143" s="718" t="s">
        <v>2180</v>
      </c>
      <c r="AI143" s="718" t="s">
        <v>2180</v>
      </c>
      <c r="AJ143" s="418" t="s">
        <v>87</v>
      </c>
    </row>
    <row r="144" spans="1:36" s="815" customFormat="1">
      <c r="A144" s="299" t="b">
        <v>0</v>
      </c>
      <c r="B144" s="299" t="s">
        <v>2266</v>
      </c>
      <c r="C144" s="299" t="b">
        <f t="shared" si="24"/>
        <v>0</v>
      </c>
      <c r="D144" s="428" t="str">
        <f>IF(C144=FALSE=NAMES!$B$8,"",IF(F144="N/A","N/A",X144&amp;W144&amp;F144&amp;"-"&amp;G144&amp;H144))</f>
        <v>2016USDAIG Luxembourg-Assistance and RepatriationStandardMLC S</v>
      </c>
      <c r="E144" s="429" t="str">
        <f t="shared" si="25"/>
        <v>2016USDAIG Luxembourg-Assistance and RepatriationStandardMLC S</v>
      </c>
      <c r="F144" s="390" t="s">
        <v>4</v>
      </c>
      <c r="G144" s="718" t="s">
        <v>5</v>
      </c>
      <c r="H144" s="390" t="s">
        <v>2641</v>
      </c>
      <c r="I144" s="390" t="s">
        <v>2225</v>
      </c>
      <c r="J144" s="432"/>
      <c r="K144" s="432"/>
      <c r="L144" s="718">
        <v>365</v>
      </c>
      <c r="M144" s="718"/>
      <c r="N144" s="411">
        <v>0.25</v>
      </c>
      <c r="O144" s="431">
        <f t="shared" si="26"/>
        <v>126.92307692307692</v>
      </c>
      <c r="P144" s="411">
        <v>0</v>
      </c>
      <c r="Q144" s="412">
        <v>0</v>
      </c>
      <c r="R144" s="431"/>
      <c r="S144" s="411">
        <v>0.04</v>
      </c>
      <c r="T144" s="411"/>
      <c r="U144" s="412">
        <v>132</v>
      </c>
      <c r="V144" s="412"/>
      <c r="W144" s="432" t="s">
        <v>89</v>
      </c>
      <c r="X144" s="410">
        <v>2016</v>
      </c>
      <c r="Y144" s="410" t="s">
        <v>26</v>
      </c>
      <c r="Z144" s="410" t="s">
        <v>1</v>
      </c>
      <c r="AA144" s="412">
        <v>0</v>
      </c>
      <c r="AB144" s="413"/>
      <c r="AC144" s="718"/>
      <c r="AD144" s="718"/>
      <c r="AE144" s="718"/>
      <c r="AF144" s="718"/>
      <c r="AG144" s="718"/>
      <c r="AH144" s="718"/>
      <c r="AI144" s="718"/>
      <c r="AJ144" s="418"/>
    </row>
    <row r="145" spans="1:36" s="815" customFormat="1">
      <c r="A145" s="299" t="b">
        <v>0</v>
      </c>
      <c r="B145" s="299" t="s">
        <v>2266</v>
      </c>
      <c r="C145" s="299" t="b">
        <f t="shared" si="24"/>
        <v>0</v>
      </c>
      <c r="D145" s="428" t="str">
        <f>IF(C145=FALSE=NAMES!$B$8,"",IF(F145="N/A","N/A",X145&amp;W145&amp;F145&amp;"-"&amp;G145&amp;H145))</f>
        <v>2016USDAIG Luxembourg-Assistance and RepatriationPERFECT S</v>
      </c>
      <c r="E145" s="429" t="str">
        <f t="shared" si="25"/>
        <v>2016USDAIG Luxembourg-Assistance and RepatriationPERFECT S</v>
      </c>
      <c r="F145" s="390" t="s">
        <v>4</v>
      </c>
      <c r="G145" s="718" t="s">
        <v>5</v>
      </c>
      <c r="H145" s="390" t="s">
        <v>2646</v>
      </c>
      <c r="I145" s="390" t="s">
        <v>2225</v>
      </c>
      <c r="J145" s="432"/>
      <c r="K145" s="432"/>
      <c r="L145" s="718">
        <v>365</v>
      </c>
      <c r="M145" s="718"/>
      <c r="N145" s="411">
        <v>0.25</v>
      </c>
      <c r="O145" s="431">
        <f t="shared" si="26"/>
        <v>190.38461538461539</v>
      </c>
      <c r="P145" s="411">
        <v>0</v>
      </c>
      <c r="Q145" s="412">
        <v>0</v>
      </c>
      <c r="R145" s="431"/>
      <c r="S145" s="411">
        <v>0.04</v>
      </c>
      <c r="T145" s="411"/>
      <c r="U145" s="412">
        <v>198</v>
      </c>
      <c r="V145" s="412"/>
      <c r="W145" s="432" t="s">
        <v>89</v>
      </c>
      <c r="X145" s="410">
        <v>2016</v>
      </c>
      <c r="Y145" s="410" t="s">
        <v>26</v>
      </c>
      <c r="Z145" s="410" t="s">
        <v>1</v>
      </c>
      <c r="AA145" s="412">
        <v>0</v>
      </c>
      <c r="AB145" s="413"/>
      <c r="AC145" s="718"/>
      <c r="AD145" s="718"/>
      <c r="AE145" s="718"/>
      <c r="AF145" s="718"/>
      <c r="AG145" s="718"/>
      <c r="AH145" s="718"/>
      <c r="AI145" s="718"/>
      <c r="AJ145" s="418"/>
    </row>
    <row r="146" spans="1:36" ht="15.75" thickBot="1">
      <c r="A146" s="299" t="b">
        <v>0</v>
      </c>
      <c r="B146" s="299" t="s">
        <v>2266</v>
      </c>
      <c r="C146" s="299" t="b">
        <f t="shared" si="24"/>
        <v>0</v>
      </c>
      <c r="D146" s="428" t="str">
        <f>IF(C146=FALSE=NAMES!$B$8,"",IF(F146="N/A","N/A",X146&amp;W146&amp;F146&amp;"-"&amp;G146&amp;H146))</f>
        <v>N/A</v>
      </c>
      <c r="E146" s="429" t="str">
        <f t="shared" si="25"/>
        <v>N/A</v>
      </c>
      <c r="F146" s="429" t="s">
        <v>2236</v>
      </c>
      <c r="G146" s="429" t="s">
        <v>2236</v>
      </c>
      <c r="H146" s="432"/>
      <c r="I146" s="432"/>
      <c r="J146" s="432"/>
      <c r="K146" s="432"/>
      <c r="L146" s="421"/>
      <c r="M146" s="421"/>
      <c r="N146" s="411"/>
      <c r="O146" s="431" t="str">
        <f t="shared" si="26"/>
        <v/>
      </c>
      <c r="P146" s="411"/>
      <c r="Q146" s="431"/>
      <c r="R146" s="431"/>
      <c r="S146" s="411"/>
      <c r="T146" s="411"/>
      <c r="U146" s="412"/>
      <c r="V146" s="412"/>
      <c r="W146" s="432"/>
      <c r="X146" s="410"/>
      <c r="Y146" s="410"/>
      <c r="Z146" s="410"/>
      <c r="AA146" s="412"/>
      <c r="AB146" s="413"/>
      <c r="AC146" s="421"/>
      <c r="AD146" s="421"/>
      <c r="AE146" s="421"/>
      <c r="AF146" s="421"/>
      <c r="AG146" s="421"/>
      <c r="AH146" s="421"/>
      <c r="AI146" s="421"/>
      <c r="AJ146" s="418"/>
    </row>
    <row r="147" spans="1:36" s="409" customFormat="1" ht="45">
      <c r="A147" s="299" t="b">
        <v>0</v>
      </c>
      <c r="B147" s="429" t="s">
        <v>2236</v>
      </c>
      <c r="C147" s="299" t="str">
        <f t="shared" si="24"/>
        <v/>
      </c>
      <c r="D147" s="394" t="s">
        <v>2163</v>
      </c>
      <c r="E147" s="427"/>
      <c r="F147" s="427"/>
      <c r="G147" s="415" t="s">
        <v>2118</v>
      </c>
      <c r="H147" s="415" t="s">
        <v>2238</v>
      </c>
      <c r="I147" s="415" t="s">
        <v>2224</v>
      </c>
      <c r="J147" s="415" t="s">
        <v>1153</v>
      </c>
      <c r="K147" s="416" t="s">
        <v>2239</v>
      </c>
      <c r="L147" s="416" t="s">
        <v>2113</v>
      </c>
      <c r="M147" s="417" t="s">
        <v>2234</v>
      </c>
      <c r="N147" s="416"/>
      <c r="O147" s="416" t="s">
        <v>2235</v>
      </c>
      <c r="P147" s="1360" t="s">
        <v>23</v>
      </c>
      <c r="Q147" s="416"/>
      <c r="R147" s="416"/>
      <c r="S147" s="416" t="s">
        <v>2237</v>
      </c>
      <c r="T147" s="416"/>
      <c r="U147" s="416" t="s">
        <v>2241</v>
      </c>
      <c r="V147" s="416"/>
      <c r="W147" s="416" t="s">
        <v>2119</v>
      </c>
      <c r="X147" s="415" t="s">
        <v>2240</v>
      </c>
      <c r="Y147" s="415"/>
      <c r="Z147" s="415"/>
      <c r="AA147" s="400" t="s">
        <v>2265</v>
      </c>
      <c r="AB147" s="397"/>
      <c r="AC147" s="415" t="s">
        <v>2151</v>
      </c>
      <c r="AD147" s="415" t="s">
        <v>30</v>
      </c>
      <c r="AE147" s="416" t="s">
        <v>137</v>
      </c>
      <c r="AF147" s="416" t="s">
        <v>92</v>
      </c>
      <c r="AG147" s="416" t="s">
        <v>1784</v>
      </c>
      <c r="AH147" s="416" t="s">
        <v>90</v>
      </c>
      <c r="AI147" s="416" t="s">
        <v>91</v>
      </c>
      <c r="AJ147" s="418"/>
    </row>
    <row r="148" spans="1:36" s="409" customFormat="1">
      <c r="A148" s="299" t="b">
        <v>0</v>
      </c>
      <c r="B148" s="299" t="s">
        <v>2267</v>
      </c>
      <c r="C148" s="299" t="b">
        <f t="shared" si="24"/>
        <v>1</v>
      </c>
      <c r="D148" s="428" t="str">
        <f>IF(C148=FALSE=NAMES!$B$8,"",IF(F148="N/A","N/A",X148&amp;W148&amp;F148&amp;"-"&amp;G148&amp;H148))</f>
        <v/>
      </c>
      <c r="E148" s="429" t="str">
        <f t="shared" ref="E148:E184" si="29">IF(F148="N/A","N/A",X148&amp;W148&amp;F148&amp;"-"&amp;G148&amp;H148)</f>
        <v>N/A</v>
      </c>
      <c r="F148" s="429" t="s">
        <v>2236</v>
      </c>
      <c r="G148" s="429" t="s">
        <v>2236</v>
      </c>
      <c r="H148" s="432"/>
      <c r="I148" s="432"/>
      <c r="J148" s="432"/>
      <c r="K148" s="432"/>
      <c r="L148" s="421"/>
      <c r="M148" s="421"/>
      <c r="N148" s="411"/>
      <c r="O148" s="395"/>
      <c r="P148" s="411"/>
      <c r="Q148" s="395"/>
      <c r="R148" s="395"/>
      <c r="S148" s="411"/>
      <c r="T148" s="411"/>
      <c r="U148" s="412"/>
      <c r="V148" s="412"/>
      <c r="W148" s="432"/>
      <c r="X148" s="410"/>
      <c r="Y148" s="410"/>
      <c r="Z148" s="410"/>
      <c r="AA148" s="412"/>
      <c r="AB148" s="413"/>
      <c r="AC148" s="421"/>
      <c r="AD148" s="421"/>
      <c r="AE148" s="421"/>
      <c r="AF148" s="421"/>
      <c r="AG148" s="421"/>
      <c r="AH148" s="421"/>
      <c r="AI148" s="421"/>
      <c r="AJ148" s="418"/>
    </row>
    <row r="149" spans="1:36" s="409" customFormat="1">
      <c r="A149" s="299" t="b">
        <v>0</v>
      </c>
      <c r="B149" s="299" t="s">
        <v>2267</v>
      </c>
      <c r="C149" s="299" t="b">
        <f t="shared" si="24"/>
        <v>1</v>
      </c>
      <c r="D149" s="428" t="str">
        <f>IF(C149=FALSE=NAMES!$B$8,"",IF(F149="N/A","N/A",X149&amp;W149&amp;F149&amp;"-"&amp;G149&amp;H149))</f>
        <v/>
      </c>
      <c r="E149" s="429" t="str">
        <f t="shared" si="29"/>
        <v>2015EURAIG Luxembourg-Assistance and RepatriationCOMFORTMLC</v>
      </c>
      <c r="F149" s="432" t="s">
        <v>4</v>
      </c>
      <c r="G149" s="421" t="s">
        <v>5</v>
      </c>
      <c r="H149" s="432" t="s">
        <v>2279</v>
      </c>
      <c r="I149" s="432" t="s">
        <v>2225</v>
      </c>
      <c r="J149" s="432"/>
      <c r="K149" s="432"/>
      <c r="L149" s="421">
        <v>365</v>
      </c>
      <c r="M149" s="421"/>
      <c r="N149" s="411">
        <v>0.25</v>
      </c>
      <c r="O149" s="395">
        <v>115.38461538461539</v>
      </c>
      <c r="P149" s="411">
        <v>0</v>
      </c>
      <c r="Q149" s="412">
        <v>0</v>
      </c>
      <c r="R149" s="395"/>
      <c r="S149" s="411">
        <v>0.04</v>
      </c>
      <c r="T149" s="411"/>
      <c r="U149" s="412">
        <v>120</v>
      </c>
      <c r="V149" s="412"/>
      <c r="W149" s="432" t="s">
        <v>33</v>
      </c>
      <c r="X149" s="410">
        <v>2015</v>
      </c>
      <c r="Y149" s="410" t="s">
        <v>26</v>
      </c>
      <c r="Z149" s="410" t="s">
        <v>1</v>
      </c>
      <c r="AA149" s="412">
        <v>0</v>
      </c>
      <c r="AB149" s="413"/>
      <c r="AC149" s="421" t="s">
        <v>2150</v>
      </c>
      <c r="AD149" s="421" t="s">
        <v>2179</v>
      </c>
      <c r="AE149" s="421" t="s">
        <v>2179</v>
      </c>
      <c r="AF149" s="421" t="s">
        <v>2180</v>
      </c>
      <c r="AG149" s="421" t="s">
        <v>2180</v>
      </c>
      <c r="AH149" s="421" t="s">
        <v>2180</v>
      </c>
      <c r="AI149" s="421" t="s">
        <v>2180</v>
      </c>
      <c r="AJ149" s="418" t="s">
        <v>87</v>
      </c>
    </row>
    <row r="150" spans="1:36" s="409" customFormat="1">
      <c r="A150" s="419" t="b">
        <v>1</v>
      </c>
      <c r="B150" s="299" t="s">
        <v>2267</v>
      </c>
      <c r="C150" s="299" t="b">
        <f t="shared" si="24"/>
        <v>1</v>
      </c>
      <c r="D150" s="428" t="str">
        <f>IF(C150=FALSE=NAMES!$B$8,"",IF(F150="N/A","N/A",X150&amp;W150&amp;F150&amp;"-"&amp;G150&amp;H150))</f>
        <v/>
      </c>
      <c r="E150" s="429" t="str">
        <f t="shared" si="29"/>
        <v>2015EURAIG Luxembourg-Assistance and RepatriationPRESTIGE</v>
      </c>
      <c r="F150" s="432" t="s">
        <v>4</v>
      </c>
      <c r="G150" s="421" t="s">
        <v>5</v>
      </c>
      <c r="H150" s="432" t="s">
        <v>88</v>
      </c>
      <c r="I150" s="432" t="s">
        <v>2225</v>
      </c>
      <c r="J150" s="432"/>
      <c r="K150" s="432"/>
      <c r="L150" s="421">
        <v>365</v>
      </c>
      <c r="M150" s="421"/>
      <c r="N150" s="411">
        <v>0.25</v>
      </c>
      <c r="O150" s="395">
        <v>173.07692307692307</v>
      </c>
      <c r="P150" s="411">
        <v>0</v>
      </c>
      <c r="Q150" s="412">
        <v>0</v>
      </c>
      <c r="R150" s="395"/>
      <c r="S150" s="411">
        <v>0.04</v>
      </c>
      <c r="T150" s="411"/>
      <c r="U150" s="412">
        <v>180</v>
      </c>
      <c r="V150" s="412"/>
      <c r="W150" s="432" t="s">
        <v>33</v>
      </c>
      <c r="X150" s="410">
        <v>2015</v>
      </c>
      <c r="Y150" s="410" t="s">
        <v>26</v>
      </c>
      <c r="Z150" s="410" t="s">
        <v>1</v>
      </c>
      <c r="AA150" s="412">
        <v>0</v>
      </c>
      <c r="AB150" s="413"/>
      <c r="AC150" s="421" t="s">
        <v>2150</v>
      </c>
      <c r="AD150" s="421" t="s">
        <v>2179</v>
      </c>
      <c r="AE150" s="421" t="s">
        <v>2179</v>
      </c>
      <c r="AF150" s="421" t="s">
        <v>2180</v>
      </c>
      <c r="AG150" s="421" t="s">
        <v>2180</v>
      </c>
      <c r="AH150" s="421" t="s">
        <v>2180</v>
      </c>
      <c r="AI150" s="421" t="s">
        <v>2180</v>
      </c>
      <c r="AJ150" s="418" t="s">
        <v>87</v>
      </c>
    </row>
    <row r="151" spans="1:36" s="409" customFormat="1">
      <c r="A151" s="299" t="b">
        <v>0</v>
      </c>
      <c r="B151" s="299" t="s">
        <v>2267</v>
      </c>
      <c r="C151" s="299" t="b">
        <f t="shared" si="24"/>
        <v>1</v>
      </c>
      <c r="D151" s="428" t="str">
        <f>IF(C151=FALSE=NAMES!$B$8,"",IF(F151="N/A","N/A",X151&amp;W151&amp;F151&amp;"-"&amp;G151&amp;H151))</f>
        <v/>
      </c>
      <c r="E151" s="429" t="str">
        <f t="shared" si="29"/>
        <v>2015EURAIG Luxembourg-Assistance and RepatriationPrestige Plus</v>
      </c>
      <c r="F151" s="432" t="s">
        <v>4</v>
      </c>
      <c r="G151" s="421" t="s">
        <v>5</v>
      </c>
      <c r="H151" s="432" t="s">
        <v>2085</v>
      </c>
      <c r="I151" s="432" t="s">
        <v>2225</v>
      </c>
      <c r="J151" s="432"/>
      <c r="K151" s="432"/>
      <c r="L151" s="421">
        <v>365</v>
      </c>
      <c r="M151" s="421"/>
      <c r="N151" s="411">
        <v>0.25</v>
      </c>
      <c r="O151" s="395">
        <v>298.08</v>
      </c>
      <c r="P151" s="411">
        <v>0</v>
      </c>
      <c r="Q151" s="412">
        <v>0</v>
      </c>
      <c r="R151" s="395"/>
      <c r="S151" s="411">
        <v>0.04</v>
      </c>
      <c r="T151" s="411"/>
      <c r="U151" s="396">
        <v>310.00319999999999</v>
      </c>
      <c r="V151" s="396"/>
      <c r="W151" s="432" t="s">
        <v>33</v>
      </c>
      <c r="X151" s="410">
        <v>2015</v>
      </c>
      <c r="Y151" s="410" t="s">
        <v>26</v>
      </c>
      <c r="Z151" s="410" t="s">
        <v>1</v>
      </c>
      <c r="AA151" s="412">
        <v>0</v>
      </c>
      <c r="AB151" s="413"/>
      <c r="AC151" s="421" t="s">
        <v>2150</v>
      </c>
      <c r="AD151" s="421" t="s">
        <v>2179</v>
      </c>
      <c r="AE151" s="421" t="s">
        <v>2179</v>
      </c>
      <c r="AF151" s="421" t="s">
        <v>2180</v>
      </c>
      <c r="AG151" s="421" t="s">
        <v>2180</v>
      </c>
      <c r="AH151" s="421" t="s">
        <v>2180</v>
      </c>
      <c r="AI151" s="421" t="s">
        <v>2180</v>
      </c>
      <c r="AJ151" s="418" t="s">
        <v>87</v>
      </c>
    </row>
    <row r="152" spans="1:36" s="409" customFormat="1">
      <c r="A152" s="299" t="b">
        <v>0</v>
      </c>
      <c r="B152" s="299" t="s">
        <v>2267</v>
      </c>
      <c r="C152" s="299" t="b">
        <f t="shared" si="24"/>
        <v>1</v>
      </c>
      <c r="D152" s="428" t="str">
        <f>IF(C152=FALSE=NAMES!$B$8,"",IF(F152="N/A","N/A",X152&amp;W152&amp;F152&amp;"-"&amp;G152&amp;H152))</f>
        <v/>
      </c>
      <c r="E152" s="429" t="str">
        <f t="shared" si="29"/>
        <v>2015EURAnker Verzekeringen n.v.-Assistance and RepatriationMedical Excellent and Homeland</v>
      </c>
      <c r="F152" s="432" t="s">
        <v>7</v>
      </c>
      <c r="G152" s="421" t="s">
        <v>5</v>
      </c>
      <c r="H152" s="432" t="s">
        <v>2128</v>
      </c>
      <c r="I152" s="432" t="s">
        <v>2225</v>
      </c>
      <c r="J152" s="432"/>
      <c r="K152" s="432"/>
      <c r="L152" s="421">
        <v>365</v>
      </c>
      <c r="M152" s="421"/>
      <c r="N152" s="411">
        <v>0.27500000000000002</v>
      </c>
      <c r="O152" s="395">
        <v>115.38461538461539</v>
      </c>
      <c r="P152" s="411">
        <v>0</v>
      </c>
      <c r="Q152" s="412">
        <v>0</v>
      </c>
      <c r="R152" s="395"/>
      <c r="S152" s="411">
        <v>0.04</v>
      </c>
      <c r="T152" s="411"/>
      <c r="U152" s="412">
        <v>120</v>
      </c>
      <c r="V152" s="412"/>
      <c r="W152" s="432" t="s">
        <v>33</v>
      </c>
      <c r="X152" s="410">
        <v>2015</v>
      </c>
      <c r="Y152" s="410" t="s">
        <v>2246</v>
      </c>
      <c r="Z152" s="410" t="s">
        <v>1</v>
      </c>
      <c r="AA152" s="412">
        <v>0</v>
      </c>
      <c r="AB152" s="413"/>
      <c r="AC152" s="421" t="s">
        <v>2150</v>
      </c>
      <c r="AD152" s="421" t="s">
        <v>2179</v>
      </c>
      <c r="AE152" s="421" t="s">
        <v>2179</v>
      </c>
      <c r="AF152" s="421" t="s">
        <v>2180</v>
      </c>
      <c r="AG152" s="421" t="s">
        <v>2180</v>
      </c>
      <c r="AH152" s="421" t="s">
        <v>2180</v>
      </c>
      <c r="AI152" s="421" t="s">
        <v>2180</v>
      </c>
      <c r="AJ152" s="418" t="s">
        <v>87</v>
      </c>
    </row>
    <row r="153" spans="1:36" s="409" customFormat="1">
      <c r="A153" s="299" t="b">
        <v>0</v>
      </c>
      <c r="B153" s="299" t="s">
        <v>2267</v>
      </c>
      <c r="C153" s="299" t="b">
        <f t="shared" si="24"/>
        <v>1</v>
      </c>
      <c r="D153" s="428" t="str">
        <f>IF(C153=FALSE=NAMES!$B$8,"",IF(F153="N/A","N/A",X153&amp;W153&amp;F153&amp;"-"&amp;G153&amp;H153))</f>
        <v/>
      </c>
      <c r="E153" s="429" t="str">
        <f t="shared" si="29"/>
        <v>2015EURAIG Luxembourg-Assistance and RepatriationComfort MLC S</v>
      </c>
      <c r="F153" s="432" t="s">
        <v>4</v>
      </c>
      <c r="G153" s="421" t="s">
        <v>5</v>
      </c>
      <c r="H153" s="432" t="s">
        <v>2125</v>
      </c>
      <c r="I153" s="432" t="s">
        <v>2225</v>
      </c>
      <c r="J153" s="432"/>
      <c r="K153" s="432"/>
      <c r="L153" s="421">
        <v>365</v>
      </c>
      <c r="M153" s="421"/>
      <c r="N153" s="411">
        <v>0.25</v>
      </c>
      <c r="O153" s="395">
        <f>U153/1.04</f>
        <v>115.38461538461539</v>
      </c>
      <c r="P153" s="411">
        <v>0</v>
      </c>
      <c r="Q153" s="412">
        <v>0</v>
      </c>
      <c r="R153" s="395"/>
      <c r="S153" s="411">
        <v>0.04</v>
      </c>
      <c r="T153" s="411"/>
      <c r="U153" s="412">
        <v>120</v>
      </c>
      <c r="V153" s="412"/>
      <c r="W153" s="432" t="s">
        <v>33</v>
      </c>
      <c r="X153" s="410">
        <v>2015</v>
      </c>
      <c r="Y153" s="410" t="s">
        <v>26</v>
      </c>
      <c r="Z153" s="410" t="s">
        <v>1</v>
      </c>
      <c r="AA153" s="412">
        <v>10</v>
      </c>
      <c r="AB153" s="413"/>
      <c r="AC153" s="421"/>
      <c r="AD153" s="421"/>
      <c r="AE153" s="421"/>
      <c r="AF153" s="421"/>
      <c r="AG153" s="421"/>
      <c r="AH153" s="421"/>
      <c r="AI153" s="421"/>
      <c r="AJ153" s="418"/>
    </row>
    <row r="154" spans="1:36" s="409" customFormat="1">
      <c r="A154" s="299" t="b">
        <v>0</v>
      </c>
      <c r="B154" s="299" t="s">
        <v>2267</v>
      </c>
      <c r="C154" s="299" t="b">
        <f t="shared" si="24"/>
        <v>1</v>
      </c>
      <c r="D154" s="428" t="str">
        <f>IF(C154=FALSE=NAMES!$B$8,"",IF(F154="N/A","N/A",X154&amp;W154&amp;F154&amp;"-"&amp;G154&amp;H154))</f>
        <v/>
      </c>
      <c r="E154" s="429" t="str">
        <f t="shared" si="29"/>
        <v>2015EURAIG Luxembourg-Assistance and RepatriationPrestige S</v>
      </c>
      <c r="F154" s="432" t="s">
        <v>4</v>
      </c>
      <c r="G154" s="421" t="s">
        <v>5</v>
      </c>
      <c r="H154" s="432" t="s">
        <v>2074</v>
      </c>
      <c r="I154" s="432" t="s">
        <v>2225</v>
      </c>
      <c r="J154" s="432"/>
      <c r="K154" s="432"/>
      <c r="L154" s="421">
        <v>365</v>
      </c>
      <c r="M154" s="421"/>
      <c r="N154" s="411">
        <v>0.25</v>
      </c>
      <c r="O154" s="395">
        <f>U154/1.04</f>
        <v>173.07692307692307</v>
      </c>
      <c r="P154" s="411">
        <v>0</v>
      </c>
      <c r="Q154" s="412">
        <v>0</v>
      </c>
      <c r="R154" s="395"/>
      <c r="S154" s="411">
        <v>0.04</v>
      </c>
      <c r="T154" s="411"/>
      <c r="U154" s="412">
        <v>180</v>
      </c>
      <c r="V154" s="412"/>
      <c r="W154" s="432" t="s">
        <v>33</v>
      </c>
      <c r="X154" s="410">
        <v>2015</v>
      </c>
      <c r="Y154" s="410" t="s">
        <v>26</v>
      </c>
      <c r="Z154" s="410" t="s">
        <v>1</v>
      </c>
      <c r="AA154" s="412">
        <v>10</v>
      </c>
      <c r="AB154" s="413"/>
      <c r="AC154" s="421"/>
      <c r="AD154" s="421"/>
      <c r="AE154" s="421"/>
      <c r="AF154" s="421"/>
      <c r="AG154" s="421"/>
      <c r="AH154" s="421"/>
      <c r="AI154" s="421"/>
      <c r="AJ154" s="418"/>
    </row>
    <row r="155" spans="1:36" s="409" customFormat="1">
      <c r="A155" s="299" t="b">
        <v>0</v>
      </c>
      <c r="B155" s="299" t="s">
        <v>2267</v>
      </c>
      <c r="C155" s="299" t="b">
        <f t="shared" si="24"/>
        <v>1</v>
      </c>
      <c r="D155" s="428" t="str">
        <f>IF(C155=FALSE=NAMES!$B$8,"",IF(F155="N/A","N/A",X155&amp;W155&amp;F155&amp;"-"&amp;G155&amp;H155))</f>
        <v/>
      </c>
      <c r="E155" s="429" t="str">
        <f t="shared" si="29"/>
        <v>2015EURAllianz-Assistance and RepatriationPrivilege 100</v>
      </c>
      <c r="F155" s="432" t="s">
        <v>2126</v>
      </c>
      <c r="G155" s="421" t="s">
        <v>5</v>
      </c>
      <c r="H155" s="432" t="s">
        <v>2127</v>
      </c>
      <c r="I155" s="432" t="s">
        <v>2225</v>
      </c>
      <c r="J155" s="432"/>
      <c r="K155" s="432"/>
      <c r="L155" s="421">
        <v>365</v>
      </c>
      <c r="M155" s="421"/>
      <c r="N155" s="411">
        <v>0.25</v>
      </c>
      <c r="O155" s="395">
        <f>U155/1.04</f>
        <v>0</v>
      </c>
      <c r="P155" s="411">
        <v>0</v>
      </c>
      <c r="Q155" s="412">
        <v>0</v>
      </c>
      <c r="R155" s="395"/>
      <c r="S155" s="411">
        <v>0.04</v>
      </c>
      <c r="T155" s="411"/>
      <c r="U155" s="549">
        <v>0</v>
      </c>
      <c r="V155" s="412"/>
      <c r="W155" s="432" t="s">
        <v>33</v>
      </c>
      <c r="X155" s="410">
        <v>2015</v>
      </c>
      <c r="Y155" s="410" t="s">
        <v>26</v>
      </c>
      <c r="Z155" s="410" t="s">
        <v>2220</v>
      </c>
      <c r="AA155" s="396"/>
      <c r="AB155" s="413"/>
      <c r="AC155" s="421"/>
      <c r="AD155" s="421"/>
      <c r="AE155" s="421"/>
      <c r="AF155" s="421"/>
      <c r="AG155" s="421"/>
      <c r="AH155" s="421"/>
      <c r="AI155" s="421"/>
      <c r="AJ155" s="418"/>
    </row>
    <row r="156" spans="1:36" s="409" customFormat="1">
      <c r="A156" s="299" t="b">
        <v>0</v>
      </c>
      <c r="B156" s="299" t="s">
        <v>2267</v>
      </c>
      <c r="C156" s="299" t="b">
        <f t="shared" si="24"/>
        <v>1</v>
      </c>
      <c r="D156" s="428" t="str">
        <f>IF(C156=FALSE=NAMES!$B$8,"",IF(F156="N/A","N/A",X156&amp;W156&amp;F156&amp;"-"&amp;G156&amp;H156))</f>
        <v/>
      </c>
      <c r="E156" s="429" t="str">
        <f t="shared" si="29"/>
        <v>2015EURAllianz-Assistance and RepatriationPrivilege 100</v>
      </c>
      <c r="F156" s="432" t="s">
        <v>2126</v>
      </c>
      <c r="G156" s="421" t="s">
        <v>5</v>
      </c>
      <c r="H156" s="432" t="s">
        <v>2127</v>
      </c>
      <c r="I156" s="432" t="s">
        <v>2226</v>
      </c>
      <c r="J156" s="432"/>
      <c r="K156" s="432"/>
      <c r="L156" s="421">
        <v>365</v>
      </c>
      <c r="M156" s="421"/>
      <c r="N156" s="411">
        <v>0.25</v>
      </c>
      <c r="O156" s="395">
        <f>U156/1.04</f>
        <v>0</v>
      </c>
      <c r="P156" s="411">
        <v>0</v>
      </c>
      <c r="Q156" s="412">
        <v>0</v>
      </c>
      <c r="R156" s="395"/>
      <c r="S156" s="411">
        <v>0.04</v>
      </c>
      <c r="T156" s="411"/>
      <c r="U156" s="549">
        <v>0</v>
      </c>
      <c r="V156" s="412"/>
      <c r="W156" s="432" t="s">
        <v>33</v>
      </c>
      <c r="X156" s="410">
        <v>2015</v>
      </c>
      <c r="Y156" s="410" t="s">
        <v>26</v>
      </c>
      <c r="Z156" s="410" t="s">
        <v>2220</v>
      </c>
      <c r="AA156" s="396"/>
      <c r="AB156" s="413"/>
      <c r="AC156" s="421"/>
      <c r="AD156" s="421"/>
      <c r="AE156" s="421"/>
      <c r="AF156" s="421"/>
      <c r="AG156" s="421"/>
      <c r="AH156" s="421"/>
      <c r="AI156" s="421"/>
      <c r="AJ156" s="418"/>
    </row>
    <row r="157" spans="1:36" s="409" customFormat="1">
      <c r="A157" s="299" t="b">
        <v>0</v>
      </c>
      <c r="B157" s="299" t="s">
        <v>2267</v>
      </c>
      <c r="C157" s="299" t="b">
        <f t="shared" si="24"/>
        <v>1</v>
      </c>
      <c r="D157" s="428" t="str">
        <f>IF(C157=FALSE=NAMES!$B$8,"",IF(F157="N/A","N/A",X157&amp;W157&amp;F157&amp;"-"&amp;G157&amp;H157))</f>
        <v/>
      </c>
      <c r="E157" s="429" t="str">
        <f t="shared" si="29"/>
        <v>N/A</v>
      </c>
      <c r="F157" s="432" t="s">
        <v>2236</v>
      </c>
      <c r="G157" s="432" t="s">
        <v>2236</v>
      </c>
      <c r="H157" s="432"/>
      <c r="I157" s="432"/>
      <c r="J157" s="432"/>
      <c r="K157" s="432"/>
      <c r="L157" s="421"/>
      <c r="M157" s="421"/>
      <c r="N157" s="411"/>
      <c r="O157" s="395"/>
      <c r="P157" s="411">
        <v>0</v>
      </c>
      <c r="Q157" s="412">
        <v>0</v>
      </c>
      <c r="R157" s="395"/>
      <c r="S157" s="411"/>
      <c r="T157" s="411"/>
      <c r="U157" s="412"/>
      <c r="V157" s="412"/>
      <c r="W157" s="432"/>
      <c r="X157" s="410"/>
      <c r="Y157" s="410"/>
      <c r="Z157" s="410"/>
      <c r="AA157" s="412"/>
      <c r="AB157" s="413"/>
      <c r="AC157" s="421"/>
      <c r="AD157" s="421"/>
      <c r="AE157" s="421"/>
      <c r="AF157" s="421"/>
      <c r="AG157" s="421"/>
      <c r="AH157" s="421"/>
      <c r="AI157" s="421"/>
      <c r="AJ157" s="418"/>
    </row>
    <row r="158" spans="1:36" s="409" customFormat="1">
      <c r="A158" s="299" t="b">
        <v>0</v>
      </c>
      <c r="B158" s="299" t="s">
        <v>2267</v>
      </c>
      <c r="C158" s="299" t="b">
        <f t="shared" si="24"/>
        <v>1</v>
      </c>
      <c r="D158" s="428" t="str">
        <f>IF(C158=FALSE=NAMES!$B$8,"",IF(F158="N/A","N/A",X158&amp;W158&amp;F158&amp;"-"&amp;G158&amp;H158))</f>
        <v/>
      </c>
      <c r="E158" s="429" t="str">
        <f t="shared" si="29"/>
        <v>2015USDAIG Luxembourg-Assistance and RepatriationCOMFORTMLC</v>
      </c>
      <c r="F158" s="432" t="s">
        <v>4</v>
      </c>
      <c r="G158" s="421" t="s">
        <v>5</v>
      </c>
      <c r="H158" s="432" t="s">
        <v>2279</v>
      </c>
      <c r="I158" s="432" t="s">
        <v>2225</v>
      </c>
      <c r="J158" s="432"/>
      <c r="K158" s="432"/>
      <c r="L158" s="421">
        <v>365</v>
      </c>
      <c r="M158" s="421"/>
      <c r="N158" s="411">
        <v>0.25</v>
      </c>
      <c r="O158" s="395">
        <v>115.38461538461539</v>
      </c>
      <c r="P158" s="411">
        <v>0</v>
      </c>
      <c r="Q158" s="412">
        <v>0</v>
      </c>
      <c r="R158" s="395"/>
      <c r="S158" s="411">
        <v>0.04</v>
      </c>
      <c r="T158" s="411"/>
      <c r="U158" s="412">
        <v>120</v>
      </c>
      <c r="V158" s="412"/>
      <c r="W158" s="432" t="s">
        <v>89</v>
      </c>
      <c r="X158" s="410">
        <v>2015</v>
      </c>
      <c r="Y158" s="410" t="s">
        <v>26</v>
      </c>
      <c r="Z158" s="410"/>
      <c r="AA158" s="412">
        <v>0</v>
      </c>
      <c r="AB158" s="413"/>
      <c r="AC158" s="421" t="s">
        <v>2150</v>
      </c>
      <c r="AD158" s="421"/>
      <c r="AE158" s="421"/>
      <c r="AF158" s="421"/>
      <c r="AG158" s="421"/>
      <c r="AH158" s="421"/>
      <c r="AI158" s="421"/>
      <c r="AJ158" s="418"/>
    </row>
    <row r="159" spans="1:36" s="409" customFormat="1">
      <c r="A159" s="299" t="b">
        <v>0</v>
      </c>
      <c r="B159" s="299" t="s">
        <v>2267</v>
      </c>
      <c r="C159" s="299" t="b">
        <f t="shared" si="24"/>
        <v>1</v>
      </c>
      <c r="D159" s="428" t="str">
        <f>IF(C159=FALSE=NAMES!$B$8,"",IF(F159="N/A","N/A",X159&amp;W159&amp;F159&amp;"-"&amp;G159&amp;H159))</f>
        <v/>
      </c>
      <c r="E159" s="429" t="str">
        <f t="shared" si="29"/>
        <v>2015USDAIG Luxembourg-Assistance and RepatriationPRESTIGE</v>
      </c>
      <c r="F159" s="432" t="s">
        <v>4</v>
      </c>
      <c r="G159" s="421" t="s">
        <v>5</v>
      </c>
      <c r="H159" s="432" t="s">
        <v>88</v>
      </c>
      <c r="I159" s="432" t="s">
        <v>2225</v>
      </c>
      <c r="J159" s="432"/>
      <c r="K159" s="432"/>
      <c r="L159" s="421">
        <v>365</v>
      </c>
      <c r="M159" s="421"/>
      <c r="N159" s="411">
        <v>0.25</v>
      </c>
      <c r="O159" s="395">
        <v>173.07692307692307</v>
      </c>
      <c r="P159" s="411">
        <v>0</v>
      </c>
      <c r="Q159" s="412">
        <v>0</v>
      </c>
      <c r="R159" s="395"/>
      <c r="S159" s="411">
        <v>0.04</v>
      </c>
      <c r="T159" s="411"/>
      <c r="U159" s="412">
        <v>180</v>
      </c>
      <c r="V159" s="412"/>
      <c r="W159" s="432" t="s">
        <v>89</v>
      </c>
      <c r="X159" s="410">
        <v>2015</v>
      </c>
      <c r="Y159" s="410" t="s">
        <v>26</v>
      </c>
      <c r="Z159" s="410"/>
      <c r="AA159" s="412">
        <v>0</v>
      </c>
      <c r="AB159" s="413"/>
      <c r="AC159" s="421" t="s">
        <v>2150</v>
      </c>
      <c r="AD159" s="421"/>
      <c r="AE159" s="421"/>
      <c r="AF159" s="421"/>
      <c r="AG159" s="421"/>
      <c r="AH159" s="421"/>
      <c r="AI159" s="421"/>
      <c r="AJ159" s="418"/>
    </row>
    <row r="160" spans="1:36" s="409" customFormat="1">
      <c r="A160" s="299" t="b">
        <v>0</v>
      </c>
      <c r="B160" s="299" t="s">
        <v>2267</v>
      </c>
      <c r="C160" s="299" t="b">
        <f t="shared" si="24"/>
        <v>1</v>
      </c>
      <c r="D160" s="428" t="str">
        <f>IF(C160=FALSE=NAMES!$B$8,"",IF(F160="N/A","N/A",X160&amp;W160&amp;F160&amp;"-"&amp;G160&amp;H160))</f>
        <v/>
      </c>
      <c r="E160" s="429" t="str">
        <f t="shared" si="29"/>
        <v>2015USDAIG Luxembourg-Assistance and RepatriationPrestige Plus</v>
      </c>
      <c r="F160" s="432" t="s">
        <v>4</v>
      </c>
      <c r="G160" s="421" t="s">
        <v>5</v>
      </c>
      <c r="H160" s="432" t="s">
        <v>2085</v>
      </c>
      <c r="I160" s="432" t="s">
        <v>2225</v>
      </c>
      <c r="J160" s="432"/>
      <c r="K160" s="432"/>
      <c r="L160" s="421">
        <v>365</v>
      </c>
      <c r="M160" s="421"/>
      <c r="N160" s="411">
        <v>0.25</v>
      </c>
      <c r="O160" s="395">
        <v>298.08</v>
      </c>
      <c r="P160" s="411">
        <v>0</v>
      </c>
      <c r="Q160" s="412">
        <v>0</v>
      </c>
      <c r="R160" s="395"/>
      <c r="S160" s="411">
        <v>0.04</v>
      </c>
      <c r="T160" s="411"/>
      <c r="U160" s="396">
        <v>310.00319999999999</v>
      </c>
      <c r="V160" s="396"/>
      <c r="W160" s="432" t="s">
        <v>89</v>
      </c>
      <c r="X160" s="410">
        <v>2015</v>
      </c>
      <c r="Y160" s="410" t="s">
        <v>26</v>
      </c>
      <c r="Z160" s="410"/>
      <c r="AA160" s="412">
        <v>0</v>
      </c>
      <c r="AB160" s="413"/>
      <c r="AC160" s="421" t="s">
        <v>2150</v>
      </c>
      <c r="AD160" s="421"/>
      <c r="AE160" s="421"/>
      <c r="AF160" s="421"/>
      <c r="AG160" s="421"/>
      <c r="AH160" s="421"/>
      <c r="AI160" s="421"/>
      <c r="AJ160" s="418"/>
    </row>
    <row r="161" spans="1:36" s="409" customFormat="1">
      <c r="A161" s="299" t="b">
        <v>0</v>
      </c>
      <c r="B161" s="299" t="s">
        <v>2267</v>
      </c>
      <c r="C161" s="299" t="b">
        <f t="shared" si="24"/>
        <v>1</v>
      </c>
      <c r="D161" s="428" t="str">
        <f>IF(C161=FALSE=NAMES!$B$8,"",IF(F161="N/A","N/A",X161&amp;W161&amp;F161&amp;"-"&amp;G161&amp;H161))</f>
        <v/>
      </c>
      <c r="E161" s="429" t="str">
        <f t="shared" si="29"/>
        <v>2015USDAnker Verzekeringen n.v.-Assistance and RepatriationMedical Excellent and Homeland</v>
      </c>
      <c r="F161" s="432" t="s">
        <v>7</v>
      </c>
      <c r="G161" s="421" t="s">
        <v>5</v>
      </c>
      <c r="H161" s="432" t="s">
        <v>2128</v>
      </c>
      <c r="I161" s="432" t="s">
        <v>2225</v>
      </c>
      <c r="J161" s="432"/>
      <c r="K161" s="432"/>
      <c r="L161" s="421">
        <v>365</v>
      </c>
      <c r="M161" s="421"/>
      <c r="N161" s="411">
        <v>0.27500000000000002</v>
      </c>
      <c r="O161" s="395">
        <v>115.38461538461539</v>
      </c>
      <c r="P161" s="411">
        <v>0</v>
      </c>
      <c r="Q161" s="412">
        <v>0</v>
      </c>
      <c r="R161" s="395"/>
      <c r="S161" s="411">
        <v>0.04</v>
      </c>
      <c r="T161" s="411"/>
      <c r="U161" s="412">
        <v>120</v>
      </c>
      <c r="V161" s="412"/>
      <c r="W161" s="432" t="s">
        <v>89</v>
      </c>
      <c r="X161" s="410">
        <v>2015</v>
      </c>
      <c r="Y161" s="410" t="s">
        <v>2246</v>
      </c>
      <c r="Z161" s="410"/>
      <c r="AA161" s="412">
        <v>0</v>
      </c>
      <c r="AB161" s="413"/>
      <c r="AC161" s="421" t="s">
        <v>2150</v>
      </c>
      <c r="AD161" s="421"/>
      <c r="AE161" s="421"/>
      <c r="AF161" s="421"/>
      <c r="AG161" s="421"/>
      <c r="AH161" s="421"/>
      <c r="AI161" s="421"/>
      <c r="AJ161" s="418"/>
    </row>
    <row r="162" spans="1:36" s="409" customFormat="1">
      <c r="A162" s="299" t="b">
        <v>0</v>
      </c>
      <c r="B162" s="299" t="s">
        <v>2267</v>
      </c>
      <c r="C162" s="299" t="b">
        <f t="shared" si="24"/>
        <v>1</v>
      </c>
      <c r="D162" s="428" t="str">
        <f>IF(C162=FALSE=NAMES!$B$8,"",IF(F162="N/A","N/A",X162&amp;W162&amp;F162&amp;"-"&amp;G162&amp;H162))</f>
        <v/>
      </c>
      <c r="E162" s="429" t="str">
        <f t="shared" si="29"/>
        <v>2015USDAIG Luxembourg-Assistance and RepatriationComfort MLC S</v>
      </c>
      <c r="F162" s="432" t="s">
        <v>4</v>
      </c>
      <c r="G162" s="421" t="s">
        <v>5</v>
      </c>
      <c r="H162" s="432" t="s">
        <v>2125</v>
      </c>
      <c r="I162" s="432" t="s">
        <v>2225</v>
      </c>
      <c r="J162" s="432"/>
      <c r="K162" s="432"/>
      <c r="L162" s="421">
        <v>365</v>
      </c>
      <c r="M162" s="421"/>
      <c r="N162" s="411">
        <v>0.25</v>
      </c>
      <c r="O162" s="395">
        <f>U162/1.04</f>
        <v>115.38461538461539</v>
      </c>
      <c r="P162" s="411">
        <v>0</v>
      </c>
      <c r="Q162" s="412">
        <v>0</v>
      </c>
      <c r="R162" s="395"/>
      <c r="S162" s="411">
        <v>0.04</v>
      </c>
      <c r="T162" s="411"/>
      <c r="U162" s="412">
        <v>120</v>
      </c>
      <c r="V162" s="412"/>
      <c r="W162" s="432" t="s">
        <v>89</v>
      </c>
      <c r="X162" s="410">
        <v>2015</v>
      </c>
      <c r="Y162" s="410" t="s">
        <v>26</v>
      </c>
      <c r="Z162" s="410"/>
      <c r="AA162" s="412">
        <v>10</v>
      </c>
      <c r="AB162" s="413"/>
      <c r="AC162" s="421"/>
      <c r="AD162" s="421"/>
      <c r="AE162" s="421"/>
      <c r="AF162" s="421"/>
      <c r="AG162" s="421"/>
      <c r="AH162" s="421"/>
      <c r="AI162" s="421"/>
      <c r="AJ162" s="418"/>
    </row>
    <row r="163" spans="1:36" s="409" customFormat="1">
      <c r="A163" s="299" t="b">
        <v>0</v>
      </c>
      <c r="B163" s="299" t="s">
        <v>2267</v>
      </c>
      <c r="C163" s="299" t="b">
        <f t="shared" si="24"/>
        <v>1</v>
      </c>
      <c r="D163" s="428" t="str">
        <f>IF(C163=FALSE=NAMES!$B$8,"",IF(F163="N/A","N/A",X163&amp;W163&amp;F163&amp;"-"&amp;G163&amp;H163))</f>
        <v/>
      </c>
      <c r="E163" s="429" t="str">
        <f t="shared" si="29"/>
        <v>2015USDAIG Luxembourg-Assistance and RepatriationPrestige S</v>
      </c>
      <c r="F163" s="432" t="s">
        <v>4</v>
      </c>
      <c r="G163" s="421" t="s">
        <v>5</v>
      </c>
      <c r="H163" s="432" t="s">
        <v>2074</v>
      </c>
      <c r="I163" s="432" t="s">
        <v>2225</v>
      </c>
      <c r="J163" s="432"/>
      <c r="K163" s="432"/>
      <c r="L163" s="421">
        <v>365</v>
      </c>
      <c r="M163" s="421"/>
      <c r="N163" s="411">
        <v>0.25</v>
      </c>
      <c r="O163" s="395">
        <f>U163/1.04</f>
        <v>173.07692307692307</v>
      </c>
      <c r="P163" s="411">
        <v>0</v>
      </c>
      <c r="Q163" s="412">
        <v>0</v>
      </c>
      <c r="R163" s="395"/>
      <c r="S163" s="411">
        <v>0.04</v>
      </c>
      <c r="T163" s="411"/>
      <c r="U163" s="412">
        <v>180</v>
      </c>
      <c r="V163" s="412"/>
      <c r="W163" s="432" t="s">
        <v>89</v>
      </c>
      <c r="X163" s="410">
        <v>2015</v>
      </c>
      <c r="Y163" s="410" t="s">
        <v>26</v>
      </c>
      <c r="Z163" s="410"/>
      <c r="AA163" s="412">
        <v>10</v>
      </c>
      <c r="AB163" s="413"/>
      <c r="AC163" s="421"/>
      <c r="AD163" s="421"/>
      <c r="AE163" s="421"/>
      <c r="AF163" s="421"/>
      <c r="AG163" s="421"/>
      <c r="AH163" s="421"/>
      <c r="AI163" s="421"/>
      <c r="AJ163" s="418"/>
    </row>
    <row r="164" spans="1:36" s="409" customFormat="1">
      <c r="A164" s="299" t="b">
        <v>0</v>
      </c>
      <c r="B164" s="299" t="s">
        <v>2267</v>
      </c>
      <c r="C164" s="299" t="b">
        <f t="shared" si="24"/>
        <v>1</v>
      </c>
      <c r="D164" s="428" t="str">
        <f>IF(C164=FALSE=NAMES!$B$8,"",IF(F164="N/A","N/A",X164&amp;W164&amp;F164&amp;"-"&amp;G164&amp;H164))</f>
        <v/>
      </c>
      <c r="E164" s="429" t="str">
        <f t="shared" si="29"/>
        <v>2015USDAllianz-Assistance and RepatriationPrivilege 100</v>
      </c>
      <c r="F164" s="432" t="s">
        <v>2126</v>
      </c>
      <c r="G164" s="421" t="s">
        <v>5</v>
      </c>
      <c r="H164" s="432" t="s">
        <v>2127</v>
      </c>
      <c r="I164" s="432" t="s">
        <v>2225</v>
      </c>
      <c r="J164" s="432"/>
      <c r="K164" s="432"/>
      <c r="L164" s="421">
        <v>365</v>
      </c>
      <c r="M164" s="421"/>
      <c r="N164" s="411">
        <v>0.25</v>
      </c>
      <c r="O164" s="395">
        <f>U164/1.04</f>
        <v>0</v>
      </c>
      <c r="P164" s="411">
        <v>0</v>
      </c>
      <c r="Q164" s="412">
        <v>0</v>
      </c>
      <c r="R164" s="395"/>
      <c r="S164" s="411">
        <v>0.04</v>
      </c>
      <c r="T164" s="411"/>
      <c r="U164" s="412">
        <v>0</v>
      </c>
      <c r="V164" s="412"/>
      <c r="W164" s="432" t="s">
        <v>89</v>
      </c>
      <c r="X164" s="410">
        <v>2015</v>
      </c>
      <c r="Y164" s="410" t="s">
        <v>26</v>
      </c>
      <c r="Z164" s="410"/>
      <c r="AA164" s="396"/>
      <c r="AB164" s="413"/>
      <c r="AC164" s="421"/>
      <c r="AD164" s="421"/>
      <c r="AE164" s="421"/>
      <c r="AF164" s="421"/>
      <c r="AG164" s="421"/>
      <c r="AH164" s="421"/>
      <c r="AI164" s="421"/>
      <c r="AJ164" s="418"/>
    </row>
    <row r="165" spans="1:36" s="409" customFormat="1">
      <c r="A165" s="299" t="b">
        <v>0</v>
      </c>
      <c r="B165" s="299" t="s">
        <v>2267</v>
      </c>
      <c r="C165" s="299" t="b">
        <f t="shared" si="24"/>
        <v>1</v>
      </c>
      <c r="D165" s="428" t="str">
        <f>IF(C165=FALSE=NAMES!$B$8,"",IF(F165="N/A","N/A",X165&amp;W165&amp;F165&amp;"-"&amp;G165&amp;H165))</f>
        <v/>
      </c>
      <c r="E165" s="429" t="str">
        <f t="shared" si="29"/>
        <v>2015USDAllianz-Assistance and RepatriationPrivilege 100</v>
      </c>
      <c r="F165" s="432" t="s">
        <v>2126</v>
      </c>
      <c r="G165" s="421" t="s">
        <v>5</v>
      </c>
      <c r="H165" s="432" t="s">
        <v>2127</v>
      </c>
      <c r="I165" s="432" t="s">
        <v>2226</v>
      </c>
      <c r="J165" s="432"/>
      <c r="K165" s="432"/>
      <c r="L165" s="421">
        <v>365</v>
      </c>
      <c r="M165" s="421"/>
      <c r="N165" s="411">
        <v>0.25</v>
      </c>
      <c r="O165" s="395">
        <f>U165/1.04</f>
        <v>0</v>
      </c>
      <c r="P165" s="411">
        <v>0</v>
      </c>
      <c r="Q165" s="412">
        <v>0</v>
      </c>
      <c r="R165" s="395"/>
      <c r="S165" s="411">
        <v>0.04</v>
      </c>
      <c r="T165" s="411"/>
      <c r="U165" s="412">
        <v>0</v>
      </c>
      <c r="V165" s="412"/>
      <c r="W165" s="432" t="s">
        <v>89</v>
      </c>
      <c r="X165" s="410">
        <v>2015</v>
      </c>
      <c r="Y165" s="410" t="s">
        <v>26</v>
      </c>
      <c r="Z165" s="410"/>
      <c r="AA165" s="396"/>
      <c r="AB165" s="413"/>
      <c r="AC165" s="421"/>
      <c r="AD165" s="421"/>
      <c r="AE165" s="421"/>
      <c r="AF165" s="421"/>
      <c r="AG165" s="421"/>
      <c r="AH165" s="421"/>
      <c r="AI165" s="421"/>
      <c r="AJ165" s="418"/>
    </row>
    <row r="166" spans="1:36" s="409" customFormat="1">
      <c r="A166" s="299" t="b">
        <v>0</v>
      </c>
      <c r="B166" s="299" t="s">
        <v>2267</v>
      </c>
      <c r="C166" s="299" t="b">
        <f t="shared" si="24"/>
        <v>1</v>
      </c>
      <c r="D166" s="428" t="str">
        <f>IF(C166=FALSE=NAMES!$B$8,"",IF(F166="N/A","N/A",X166&amp;W166&amp;F166&amp;"-"&amp;G166&amp;H166))</f>
        <v/>
      </c>
      <c r="E166" s="429" t="str">
        <f t="shared" si="29"/>
        <v>N/A</v>
      </c>
      <c r="F166" s="432" t="s">
        <v>2236</v>
      </c>
      <c r="G166" s="432" t="s">
        <v>2236</v>
      </c>
      <c r="H166" s="432"/>
      <c r="I166" s="432"/>
      <c r="J166" s="432"/>
      <c r="K166" s="432"/>
      <c r="L166" s="421"/>
      <c r="M166" s="421"/>
      <c r="N166" s="411"/>
      <c r="O166" s="395"/>
      <c r="P166" s="411">
        <v>0</v>
      </c>
      <c r="Q166" s="412">
        <v>0</v>
      </c>
      <c r="R166" s="395"/>
      <c r="S166" s="411"/>
      <c r="T166" s="411"/>
      <c r="U166" s="412"/>
      <c r="V166" s="412"/>
      <c r="W166" s="432"/>
      <c r="X166" s="410"/>
      <c r="Y166" s="410"/>
      <c r="Z166" s="410"/>
      <c r="AA166" s="412"/>
      <c r="AB166" s="413"/>
      <c r="AC166" s="421"/>
      <c r="AD166" s="421"/>
      <c r="AE166" s="421"/>
      <c r="AF166" s="421"/>
      <c r="AG166" s="421"/>
      <c r="AH166" s="421"/>
      <c r="AI166" s="421"/>
      <c r="AJ166" s="418"/>
    </row>
    <row r="167" spans="1:36" s="409" customFormat="1">
      <c r="A167" s="299" t="b">
        <v>0</v>
      </c>
      <c r="B167" s="299" t="s">
        <v>2267</v>
      </c>
      <c r="C167" s="299" t="b">
        <f t="shared" si="24"/>
        <v>1</v>
      </c>
      <c r="D167" s="428" t="str">
        <f>IF(C167=FALSE=NAMES!$B$8,"",IF(F167="N/A","N/A",X167&amp;W167&amp;F167&amp;"-"&amp;G167&amp;H167))</f>
        <v/>
      </c>
      <c r="E167" s="429" t="str">
        <f t="shared" si="29"/>
        <v>2014EURAIG Luxembourg-Assistance and RepatriationCOMFORTMLC</v>
      </c>
      <c r="F167" s="432" t="s">
        <v>4</v>
      </c>
      <c r="G167" s="421" t="s">
        <v>5</v>
      </c>
      <c r="H167" s="432" t="s">
        <v>2279</v>
      </c>
      <c r="I167" s="432" t="s">
        <v>2225</v>
      </c>
      <c r="J167" s="432"/>
      <c r="K167" s="432"/>
      <c r="L167" s="421">
        <v>365</v>
      </c>
      <c r="M167" s="421"/>
      <c r="N167" s="411">
        <v>0.25</v>
      </c>
      <c r="O167" s="395">
        <v>115.38461538461539</v>
      </c>
      <c r="P167" s="411">
        <v>0</v>
      </c>
      <c r="Q167" s="412">
        <v>0</v>
      </c>
      <c r="R167" s="395"/>
      <c r="S167" s="411">
        <v>0.04</v>
      </c>
      <c r="T167" s="411"/>
      <c r="U167" s="412">
        <v>120</v>
      </c>
      <c r="V167" s="412"/>
      <c r="W167" s="432" t="s">
        <v>33</v>
      </c>
      <c r="X167" s="410">
        <v>2014</v>
      </c>
      <c r="Y167" s="410" t="s">
        <v>26</v>
      </c>
      <c r="Z167" s="410"/>
      <c r="AA167" s="412">
        <v>0</v>
      </c>
      <c r="AB167" s="413"/>
      <c r="AC167" s="421" t="s">
        <v>2150</v>
      </c>
      <c r="AD167" s="421" t="s">
        <v>2179</v>
      </c>
      <c r="AE167" s="421" t="s">
        <v>2179</v>
      </c>
      <c r="AF167" s="421" t="s">
        <v>2180</v>
      </c>
      <c r="AG167" s="421" t="s">
        <v>2180</v>
      </c>
      <c r="AH167" s="421" t="s">
        <v>2180</v>
      </c>
      <c r="AI167" s="421" t="s">
        <v>2180</v>
      </c>
      <c r="AJ167" s="418" t="s">
        <v>87</v>
      </c>
    </row>
    <row r="168" spans="1:36" s="409" customFormat="1">
      <c r="A168" s="299" t="b">
        <v>0</v>
      </c>
      <c r="B168" s="299" t="s">
        <v>2267</v>
      </c>
      <c r="C168" s="299" t="b">
        <f t="shared" si="24"/>
        <v>1</v>
      </c>
      <c r="D168" s="428" t="str">
        <f>IF(C168=FALSE=NAMES!$B$8,"",IF(F168="N/A","N/A",X168&amp;W168&amp;F168&amp;"-"&amp;G168&amp;H168))</f>
        <v/>
      </c>
      <c r="E168" s="429" t="str">
        <f t="shared" si="29"/>
        <v>2014EURAIG Luxembourg-Assistance and RepatriationPRESTIGE</v>
      </c>
      <c r="F168" s="432" t="s">
        <v>4</v>
      </c>
      <c r="G168" s="421" t="s">
        <v>5</v>
      </c>
      <c r="H168" s="432" t="s">
        <v>88</v>
      </c>
      <c r="I168" s="432" t="s">
        <v>2225</v>
      </c>
      <c r="J168" s="432"/>
      <c r="K168" s="432"/>
      <c r="L168" s="421">
        <v>365</v>
      </c>
      <c r="M168" s="421"/>
      <c r="N168" s="411">
        <v>0.25</v>
      </c>
      <c r="O168" s="395">
        <v>173.07692307692307</v>
      </c>
      <c r="P168" s="411">
        <v>0</v>
      </c>
      <c r="Q168" s="412">
        <v>0</v>
      </c>
      <c r="R168" s="395"/>
      <c r="S168" s="411">
        <v>0.04</v>
      </c>
      <c r="T168" s="411"/>
      <c r="U168" s="412">
        <v>180</v>
      </c>
      <c r="V168" s="412"/>
      <c r="W168" s="432" t="s">
        <v>33</v>
      </c>
      <c r="X168" s="410">
        <v>2014</v>
      </c>
      <c r="Y168" s="410" t="s">
        <v>26</v>
      </c>
      <c r="Z168" s="410"/>
      <c r="AA168" s="412">
        <v>0</v>
      </c>
      <c r="AB168" s="413"/>
      <c r="AC168" s="421" t="s">
        <v>2150</v>
      </c>
      <c r="AD168" s="421" t="s">
        <v>2179</v>
      </c>
      <c r="AE168" s="421" t="s">
        <v>2179</v>
      </c>
      <c r="AF168" s="421" t="s">
        <v>2180</v>
      </c>
      <c r="AG168" s="421" t="s">
        <v>2180</v>
      </c>
      <c r="AH168" s="421" t="s">
        <v>2180</v>
      </c>
      <c r="AI168" s="421" t="s">
        <v>2180</v>
      </c>
      <c r="AJ168" s="418" t="s">
        <v>87</v>
      </c>
    </row>
    <row r="169" spans="1:36" s="409" customFormat="1">
      <c r="A169" s="299" t="b">
        <v>0</v>
      </c>
      <c r="B169" s="299" t="s">
        <v>2267</v>
      </c>
      <c r="C169" s="299" t="b">
        <f t="shared" si="24"/>
        <v>1</v>
      </c>
      <c r="D169" s="428" t="str">
        <f>IF(C169=FALSE=NAMES!$B$8,"",IF(F169="N/A","N/A",X169&amp;W169&amp;F169&amp;"-"&amp;G169&amp;H169))</f>
        <v/>
      </c>
      <c r="E169" s="429" t="str">
        <f t="shared" si="29"/>
        <v>2014EURAIG Luxembourg-Assistance and RepatriationPrestige Plus</v>
      </c>
      <c r="F169" s="432" t="s">
        <v>4</v>
      </c>
      <c r="G169" s="421" t="s">
        <v>5</v>
      </c>
      <c r="H169" s="432" t="s">
        <v>2085</v>
      </c>
      <c r="I169" s="432" t="s">
        <v>2225</v>
      </c>
      <c r="J169" s="432"/>
      <c r="K169" s="432"/>
      <c r="L169" s="421">
        <v>365</v>
      </c>
      <c r="M169" s="421"/>
      <c r="N169" s="411">
        <v>0.25</v>
      </c>
      <c r="O169" s="395">
        <v>298.08</v>
      </c>
      <c r="P169" s="411">
        <v>0</v>
      </c>
      <c r="Q169" s="412">
        <v>0</v>
      </c>
      <c r="R169" s="395"/>
      <c r="S169" s="411">
        <v>0.04</v>
      </c>
      <c r="T169" s="411"/>
      <c r="U169" s="396">
        <v>310.00319999999999</v>
      </c>
      <c r="V169" s="396"/>
      <c r="W169" s="432" t="s">
        <v>33</v>
      </c>
      <c r="X169" s="410">
        <v>2014</v>
      </c>
      <c r="Y169" s="410" t="s">
        <v>26</v>
      </c>
      <c r="Z169" s="410"/>
      <c r="AA169" s="412">
        <v>0</v>
      </c>
      <c r="AB169" s="413"/>
      <c r="AC169" s="421" t="s">
        <v>2150</v>
      </c>
      <c r="AD169" s="421" t="s">
        <v>2179</v>
      </c>
      <c r="AE169" s="421" t="s">
        <v>2179</v>
      </c>
      <c r="AF169" s="421" t="s">
        <v>2180</v>
      </c>
      <c r="AG169" s="421" t="s">
        <v>2180</v>
      </c>
      <c r="AH169" s="421" t="s">
        <v>2180</v>
      </c>
      <c r="AI169" s="421" t="s">
        <v>2180</v>
      </c>
      <c r="AJ169" s="418" t="s">
        <v>87</v>
      </c>
    </row>
    <row r="170" spans="1:36" s="409" customFormat="1">
      <c r="A170" s="299" t="b">
        <v>0</v>
      </c>
      <c r="B170" s="299" t="s">
        <v>2267</v>
      </c>
      <c r="C170" s="299" t="b">
        <f t="shared" si="24"/>
        <v>1</v>
      </c>
      <c r="D170" s="428" t="str">
        <f>IF(C170=FALSE=NAMES!$B$8,"",IF(F170="N/A","N/A",X170&amp;W170&amp;F170&amp;"-"&amp;G170&amp;H170))</f>
        <v/>
      </c>
      <c r="E170" s="429" t="str">
        <f t="shared" si="29"/>
        <v>2014EURAnker Verzekeringen n.v.-Assistance and RepatriationMedical Excellent and Homeland</v>
      </c>
      <c r="F170" s="432" t="s">
        <v>7</v>
      </c>
      <c r="G170" s="421" t="s">
        <v>5</v>
      </c>
      <c r="H170" s="432" t="s">
        <v>2128</v>
      </c>
      <c r="I170" s="432" t="s">
        <v>2225</v>
      </c>
      <c r="J170" s="432"/>
      <c r="K170" s="432"/>
      <c r="L170" s="421">
        <v>365</v>
      </c>
      <c r="M170" s="421"/>
      <c r="N170" s="411">
        <v>0.25</v>
      </c>
      <c r="O170" s="395">
        <v>115.38461538461539</v>
      </c>
      <c r="P170" s="411">
        <v>0</v>
      </c>
      <c r="Q170" s="412">
        <v>0</v>
      </c>
      <c r="R170" s="395"/>
      <c r="S170" s="411">
        <v>0.04</v>
      </c>
      <c r="T170" s="411"/>
      <c r="U170" s="412">
        <v>120</v>
      </c>
      <c r="V170" s="412"/>
      <c r="W170" s="432" t="s">
        <v>33</v>
      </c>
      <c r="X170" s="410">
        <v>2014</v>
      </c>
      <c r="Y170" s="410" t="s">
        <v>2246</v>
      </c>
      <c r="Z170" s="410"/>
      <c r="AA170" s="412">
        <v>0</v>
      </c>
      <c r="AB170" s="413"/>
      <c r="AC170" s="421" t="s">
        <v>2150</v>
      </c>
      <c r="AD170" s="421" t="s">
        <v>2179</v>
      </c>
      <c r="AE170" s="421" t="s">
        <v>2179</v>
      </c>
      <c r="AF170" s="421" t="s">
        <v>2180</v>
      </c>
      <c r="AG170" s="421" t="s">
        <v>2180</v>
      </c>
      <c r="AH170" s="421" t="s">
        <v>2180</v>
      </c>
      <c r="AI170" s="421" t="s">
        <v>2180</v>
      </c>
      <c r="AJ170" s="418" t="s">
        <v>87</v>
      </c>
    </row>
    <row r="171" spans="1:36" s="409" customFormat="1">
      <c r="A171" s="299" t="b">
        <v>0</v>
      </c>
      <c r="B171" s="299" t="s">
        <v>2267</v>
      </c>
      <c r="C171" s="299" t="b">
        <f t="shared" si="24"/>
        <v>1</v>
      </c>
      <c r="D171" s="428" t="str">
        <f>IF(C171=FALSE=NAMES!$B$8,"",IF(F171="N/A","N/A",X171&amp;W171&amp;F171&amp;"-"&amp;G171&amp;H171))</f>
        <v/>
      </c>
      <c r="E171" s="429" t="str">
        <f t="shared" si="29"/>
        <v>2014EURAIG Luxembourg-Assistance and RepatriationComfort MLC S</v>
      </c>
      <c r="F171" s="432" t="s">
        <v>4</v>
      </c>
      <c r="G171" s="421" t="s">
        <v>5</v>
      </c>
      <c r="H171" s="432" t="s">
        <v>2125</v>
      </c>
      <c r="I171" s="432" t="s">
        <v>2225</v>
      </c>
      <c r="J171" s="432"/>
      <c r="K171" s="432"/>
      <c r="L171" s="421">
        <v>365</v>
      </c>
      <c r="M171" s="421"/>
      <c r="N171" s="411">
        <v>0.25</v>
      </c>
      <c r="O171" s="395">
        <f>U171/1.04</f>
        <v>115.38461538461539</v>
      </c>
      <c r="P171" s="411">
        <v>0</v>
      </c>
      <c r="Q171" s="412">
        <v>0</v>
      </c>
      <c r="R171" s="395"/>
      <c r="S171" s="411">
        <v>0.04</v>
      </c>
      <c r="T171" s="411"/>
      <c r="U171" s="412">
        <v>120</v>
      </c>
      <c r="V171" s="412"/>
      <c r="W171" s="432" t="s">
        <v>33</v>
      </c>
      <c r="X171" s="410">
        <v>2014</v>
      </c>
      <c r="Y171" s="410" t="s">
        <v>26</v>
      </c>
      <c r="Z171" s="410"/>
      <c r="AA171" s="412">
        <v>10</v>
      </c>
      <c r="AB171" s="413"/>
      <c r="AC171" s="421"/>
      <c r="AD171" s="421"/>
      <c r="AE171" s="421"/>
      <c r="AF171" s="421"/>
      <c r="AG171" s="421"/>
      <c r="AH171" s="421"/>
      <c r="AI171" s="421"/>
      <c r="AJ171" s="418"/>
    </row>
    <row r="172" spans="1:36" s="409" customFormat="1">
      <c r="A172" s="299" t="b">
        <v>0</v>
      </c>
      <c r="B172" s="299" t="s">
        <v>2267</v>
      </c>
      <c r="C172" s="299" t="b">
        <f t="shared" si="24"/>
        <v>1</v>
      </c>
      <c r="D172" s="428" t="str">
        <f>IF(C172=FALSE=NAMES!$B$8,"",IF(F172="N/A","N/A",X172&amp;W172&amp;F172&amp;"-"&amp;G172&amp;H172))</f>
        <v/>
      </c>
      <c r="E172" s="429" t="str">
        <f t="shared" si="29"/>
        <v>2014EURAIG Luxembourg-Assistance and RepatriationPrestige S</v>
      </c>
      <c r="F172" s="432" t="s">
        <v>4</v>
      </c>
      <c r="G172" s="421" t="s">
        <v>5</v>
      </c>
      <c r="H172" s="432" t="s">
        <v>2074</v>
      </c>
      <c r="I172" s="432" t="s">
        <v>2225</v>
      </c>
      <c r="J172" s="432"/>
      <c r="K172" s="432"/>
      <c r="L172" s="421">
        <v>365</v>
      </c>
      <c r="M172" s="421"/>
      <c r="N172" s="411">
        <v>0.25</v>
      </c>
      <c r="O172" s="395">
        <f>U172/1.04</f>
        <v>173.07692307692307</v>
      </c>
      <c r="P172" s="411">
        <v>0</v>
      </c>
      <c r="Q172" s="412">
        <v>0</v>
      </c>
      <c r="R172" s="395"/>
      <c r="S172" s="411">
        <v>0.04</v>
      </c>
      <c r="T172" s="411"/>
      <c r="U172" s="412">
        <v>180</v>
      </c>
      <c r="V172" s="412"/>
      <c r="W172" s="432" t="s">
        <v>33</v>
      </c>
      <c r="X172" s="410">
        <v>2014</v>
      </c>
      <c r="Y172" s="410" t="s">
        <v>26</v>
      </c>
      <c r="Z172" s="410"/>
      <c r="AA172" s="412">
        <v>10</v>
      </c>
      <c r="AB172" s="413"/>
      <c r="AC172" s="421"/>
      <c r="AD172" s="421"/>
      <c r="AE172" s="421"/>
      <c r="AF172" s="421"/>
      <c r="AG172" s="421"/>
      <c r="AH172" s="421"/>
      <c r="AI172" s="421"/>
      <c r="AJ172" s="418"/>
    </row>
    <row r="173" spans="1:36" s="409" customFormat="1">
      <c r="A173" s="299" t="b">
        <v>0</v>
      </c>
      <c r="B173" s="299" t="s">
        <v>2267</v>
      </c>
      <c r="C173" s="299" t="b">
        <f t="shared" si="24"/>
        <v>1</v>
      </c>
      <c r="D173" s="428" t="str">
        <f>IF(C173=FALSE=NAMES!$B$8,"",IF(F173="N/A","N/A",X173&amp;W173&amp;F173&amp;"-"&amp;G173&amp;H173))</f>
        <v/>
      </c>
      <c r="E173" s="429" t="str">
        <f t="shared" si="29"/>
        <v>2014EURAllianz-Assistance and RepatriationPrivilege 100</v>
      </c>
      <c r="F173" s="432" t="s">
        <v>2126</v>
      </c>
      <c r="G173" s="421" t="s">
        <v>5</v>
      </c>
      <c r="H173" s="432" t="s">
        <v>2127</v>
      </c>
      <c r="I173" s="432" t="s">
        <v>2225</v>
      </c>
      <c r="J173" s="432"/>
      <c r="K173" s="432"/>
      <c r="L173" s="421">
        <v>365</v>
      </c>
      <c r="M173" s="421"/>
      <c r="N173" s="411">
        <v>0.25</v>
      </c>
      <c r="O173" s="395">
        <f>U173/1.04</f>
        <v>0</v>
      </c>
      <c r="P173" s="411">
        <v>0</v>
      </c>
      <c r="Q173" s="412">
        <v>0</v>
      </c>
      <c r="R173" s="395"/>
      <c r="S173" s="411">
        <v>0.04</v>
      </c>
      <c r="T173" s="411"/>
      <c r="U173" s="412">
        <v>0</v>
      </c>
      <c r="V173" s="412"/>
      <c r="W173" s="432" t="s">
        <v>33</v>
      </c>
      <c r="X173" s="410">
        <v>2014</v>
      </c>
      <c r="Y173" s="410" t="s">
        <v>26</v>
      </c>
      <c r="Z173" s="410"/>
      <c r="AA173" s="396"/>
      <c r="AB173" s="413"/>
      <c r="AC173" s="421"/>
      <c r="AD173" s="421"/>
      <c r="AE173" s="421"/>
      <c r="AF173" s="421"/>
      <c r="AG173" s="421"/>
      <c r="AH173" s="421"/>
      <c r="AI173" s="421"/>
      <c r="AJ173" s="418"/>
    </row>
    <row r="174" spans="1:36" s="409" customFormat="1">
      <c r="A174" s="299" t="b">
        <v>0</v>
      </c>
      <c r="B174" s="299" t="s">
        <v>2267</v>
      </c>
      <c r="C174" s="299" t="b">
        <f t="shared" si="24"/>
        <v>1</v>
      </c>
      <c r="D174" s="428" t="str">
        <f>IF(C174=FALSE=NAMES!$B$8,"",IF(F174="N/A","N/A",X174&amp;W174&amp;F174&amp;"-"&amp;G174&amp;H174))</f>
        <v/>
      </c>
      <c r="E174" s="429" t="str">
        <f t="shared" si="29"/>
        <v>2014EURAllianz-Assistance and RepatriationPrivilege 100</v>
      </c>
      <c r="F174" s="432" t="s">
        <v>2126</v>
      </c>
      <c r="G174" s="421" t="s">
        <v>5</v>
      </c>
      <c r="H174" s="432" t="s">
        <v>2127</v>
      </c>
      <c r="I174" s="432" t="s">
        <v>2226</v>
      </c>
      <c r="J174" s="432"/>
      <c r="K174" s="432"/>
      <c r="L174" s="421">
        <v>365</v>
      </c>
      <c r="M174" s="421"/>
      <c r="N174" s="411">
        <v>0.25</v>
      </c>
      <c r="O174" s="395">
        <f>U174/1.04</f>
        <v>0</v>
      </c>
      <c r="P174" s="411">
        <v>0</v>
      </c>
      <c r="Q174" s="412">
        <v>0</v>
      </c>
      <c r="R174" s="395"/>
      <c r="S174" s="411">
        <v>0.04</v>
      </c>
      <c r="T174" s="411"/>
      <c r="U174" s="412">
        <v>0</v>
      </c>
      <c r="V174" s="412"/>
      <c r="W174" s="432" t="s">
        <v>33</v>
      </c>
      <c r="X174" s="410">
        <v>2014</v>
      </c>
      <c r="Y174" s="410" t="s">
        <v>26</v>
      </c>
      <c r="Z174" s="410"/>
      <c r="AA174" s="396"/>
      <c r="AB174" s="413"/>
      <c r="AC174" s="421"/>
      <c r="AD174" s="421"/>
      <c r="AE174" s="421"/>
      <c r="AF174" s="421"/>
      <c r="AG174" s="421"/>
      <c r="AH174" s="421"/>
      <c r="AI174" s="421"/>
      <c r="AJ174" s="418"/>
    </row>
    <row r="175" spans="1:36" s="409" customFormat="1">
      <c r="A175" s="299" t="b">
        <v>0</v>
      </c>
      <c r="B175" s="299" t="s">
        <v>2267</v>
      </c>
      <c r="C175" s="299" t="b">
        <f t="shared" si="24"/>
        <v>1</v>
      </c>
      <c r="D175" s="428" t="str">
        <f>IF(C175=FALSE=NAMES!$B$8,"",IF(F175="N/A","N/A",X175&amp;W175&amp;F175&amp;"-"&amp;G175&amp;H175))</f>
        <v/>
      </c>
      <c r="E175" s="429" t="str">
        <f t="shared" si="29"/>
        <v>N/A</v>
      </c>
      <c r="F175" s="432" t="s">
        <v>2236</v>
      </c>
      <c r="G175" s="432" t="s">
        <v>2236</v>
      </c>
      <c r="H175" s="432"/>
      <c r="I175" s="432"/>
      <c r="J175" s="432"/>
      <c r="K175" s="432"/>
      <c r="L175" s="421"/>
      <c r="M175" s="421"/>
      <c r="N175" s="411"/>
      <c r="O175" s="395"/>
      <c r="P175" s="411">
        <v>0</v>
      </c>
      <c r="Q175" s="412">
        <v>0</v>
      </c>
      <c r="R175" s="395"/>
      <c r="S175" s="411"/>
      <c r="T175" s="411"/>
      <c r="U175" s="412"/>
      <c r="V175" s="412"/>
      <c r="W175" s="432"/>
      <c r="X175" s="410"/>
      <c r="Y175" s="410"/>
      <c r="Z175" s="410"/>
      <c r="AA175" s="412"/>
      <c r="AB175" s="413"/>
      <c r="AC175" s="421"/>
      <c r="AD175" s="421"/>
      <c r="AE175" s="421"/>
      <c r="AF175" s="421"/>
      <c r="AG175" s="421"/>
      <c r="AH175" s="421"/>
      <c r="AI175" s="421"/>
      <c r="AJ175" s="418"/>
    </row>
    <row r="176" spans="1:36" s="409" customFormat="1">
      <c r="A176" s="299" t="b">
        <v>0</v>
      </c>
      <c r="B176" s="299" t="s">
        <v>2267</v>
      </c>
      <c r="C176" s="299" t="b">
        <f t="shared" si="24"/>
        <v>1</v>
      </c>
      <c r="D176" s="428" t="str">
        <f>IF(C176=FALSE=NAMES!$B$8,"",IF(F176="N/A","N/A",X176&amp;W176&amp;F176&amp;"-"&amp;G176&amp;H176))</f>
        <v/>
      </c>
      <c r="E176" s="429" t="str">
        <f t="shared" si="29"/>
        <v>2014USDAIG Luxembourg-Assistance and RepatriationCOMFORTMLC</v>
      </c>
      <c r="F176" s="432" t="s">
        <v>4</v>
      </c>
      <c r="G176" s="421" t="s">
        <v>5</v>
      </c>
      <c r="H176" s="432" t="s">
        <v>2279</v>
      </c>
      <c r="I176" s="432" t="s">
        <v>2225</v>
      </c>
      <c r="J176" s="432"/>
      <c r="K176" s="432"/>
      <c r="L176" s="421">
        <v>365</v>
      </c>
      <c r="M176" s="421"/>
      <c r="N176" s="411">
        <v>0.25</v>
      </c>
      <c r="O176" s="395">
        <v>115.38461538461539</v>
      </c>
      <c r="P176" s="411">
        <v>0</v>
      </c>
      <c r="Q176" s="412">
        <v>0</v>
      </c>
      <c r="R176" s="395"/>
      <c r="S176" s="411">
        <v>0.04</v>
      </c>
      <c r="T176" s="411"/>
      <c r="U176" s="412">
        <v>120</v>
      </c>
      <c r="V176" s="412"/>
      <c r="W176" s="432" t="s">
        <v>89</v>
      </c>
      <c r="X176" s="410">
        <v>2014</v>
      </c>
      <c r="Y176" s="410" t="s">
        <v>26</v>
      </c>
      <c r="Z176" s="410"/>
      <c r="AA176" s="412">
        <v>0</v>
      </c>
      <c r="AB176" s="413"/>
      <c r="AC176" s="421" t="s">
        <v>2150</v>
      </c>
      <c r="AD176" s="421"/>
      <c r="AE176" s="421"/>
      <c r="AF176" s="421"/>
      <c r="AG176" s="421"/>
      <c r="AH176" s="421"/>
      <c r="AI176" s="421"/>
      <c r="AJ176" s="418"/>
    </row>
    <row r="177" spans="1:36" s="409" customFormat="1">
      <c r="A177" s="299" t="b">
        <v>0</v>
      </c>
      <c r="B177" s="299" t="s">
        <v>2267</v>
      </c>
      <c r="C177" s="299" t="b">
        <f t="shared" si="24"/>
        <v>1</v>
      </c>
      <c r="D177" s="428" t="str">
        <f>IF(C177=FALSE=NAMES!$B$8,"",IF(F177="N/A","N/A",X177&amp;W177&amp;F177&amp;"-"&amp;G177&amp;H177))</f>
        <v/>
      </c>
      <c r="E177" s="429" t="str">
        <f t="shared" si="29"/>
        <v>2014USDAIG Luxembourg-Assistance and RepatriationPRESTIGE</v>
      </c>
      <c r="F177" s="432" t="s">
        <v>4</v>
      </c>
      <c r="G177" s="421" t="s">
        <v>5</v>
      </c>
      <c r="H177" s="432" t="s">
        <v>88</v>
      </c>
      <c r="I177" s="432" t="s">
        <v>2225</v>
      </c>
      <c r="J177" s="432"/>
      <c r="K177" s="432"/>
      <c r="L177" s="421">
        <v>365</v>
      </c>
      <c r="M177" s="421"/>
      <c r="N177" s="411">
        <v>0.25</v>
      </c>
      <c r="O177" s="395">
        <v>173.07692307692307</v>
      </c>
      <c r="P177" s="411">
        <v>0</v>
      </c>
      <c r="Q177" s="412">
        <v>0</v>
      </c>
      <c r="R177" s="395"/>
      <c r="S177" s="411">
        <v>0.04</v>
      </c>
      <c r="T177" s="411"/>
      <c r="U177" s="412">
        <v>180</v>
      </c>
      <c r="V177" s="412"/>
      <c r="W177" s="432" t="s">
        <v>89</v>
      </c>
      <c r="X177" s="410">
        <v>2014</v>
      </c>
      <c r="Y177" s="410" t="s">
        <v>26</v>
      </c>
      <c r="Z177" s="410"/>
      <c r="AA177" s="412">
        <v>0</v>
      </c>
      <c r="AB177" s="413"/>
      <c r="AC177" s="421" t="s">
        <v>2150</v>
      </c>
      <c r="AD177" s="421"/>
      <c r="AE177" s="421"/>
      <c r="AF177" s="421"/>
      <c r="AG177" s="421"/>
      <c r="AH177" s="421"/>
      <c r="AI177" s="421"/>
      <c r="AJ177" s="418"/>
    </row>
    <row r="178" spans="1:36" s="409" customFormat="1">
      <c r="A178" s="299" t="b">
        <v>0</v>
      </c>
      <c r="B178" s="299" t="s">
        <v>2267</v>
      </c>
      <c r="C178" s="299" t="b">
        <f t="shared" si="24"/>
        <v>1</v>
      </c>
      <c r="D178" s="428" t="str">
        <f>IF(C178=FALSE=NAMES!$B$8,"",IF(F178="N/A","N/A",X178&amp;W178&amp;F178&amp;"-"&amp;G178&amp;H178))</f>
        <v/>
      </c>
      <c r="E178" s="429" t="str">
        <f t="shared" si="29"/>
        <v>2014USDAIG Luxembourg-Assistance and RepatriationPrestige Plus</v>
      </c>
      <c r="F178" s="432" t="s">
        <v>4</v>
      </c>
      <c r="G178" s="421" t="s">
        <v>5</v>
      </c>
      <c r="H178" s="432" t="s">
        <v>2085</v>
      </c>
      <c r="I178" s="432" t="s">
        <v>2225</v>
      </c>
      <c r="J178" s="432"/>
      <c r="K178" s="432"/>
      <c r="L178" s="421">
        <v>365</v>
      </c>
      <c r="M178" s="421"/>
      <c r="N178" s="411">
        <v>0.25</v>
      </c>
      <c r="O178" s="395">
        <v>298.08</v>
      </c>
      <c r="P178" s="411">
        <v>0</v>
      </c>
      <c r="Q178" s="412">
        <v>0</v>
      </c>
      <c r="R178" s="395"/>
      <c r="S178" s="411">
        <v>0.04</v>
      </c>
      <c r="T178" s="411"/>
      <c r="U178" s="396">
        <v>310.00319999999999</v>
      </c>
      <c r="V178" s="396"/>
      <c r="W178" s="432" t="s">
        <v>89</v>
      </c>
      <c r="X178" s="410">
        <v>2014</v>
      </c>
      <c r="Y178" s="410" t="s">
        <v>26</v>
      </c>
      <c r="Z178" s="410"/>
      <c r="AA178" s="412">
        <v>0</v>
      </c>
      <c r="AB178" s="413"/>
      <c r="AC178" s="421" t="s">
        <v>2150</v>
      </c>
      <c r="AD178" s="421"/>
      <c r="AE178" s="421"/>
      <c r="AF178" s="421"/>
      <c r="AG178" s="421"/>
      <c r="AH178" s="421"/>
      <c r="AI178" s="421"/>
      <c r="AJ178" s="418"/>
    </row>
    <row r="179" spans="1:36" s="409" customFormat="1">
      <c r="A179" s="299" t="b">
        <v>0</v>
      </c>
      <c r="B179" s="299" t="s">
        <v>2267</v>
      </c>
      <c r="C179" s="299" t="b">
        <f t="shared" si="24"/>
        <v>1</v>
      </c>
      <c r="D179" s="428" t="str">
        <f>IF(C179=FALSE=NAMES!$B$8,"",IF(F179="N/A","N/A",X179&amp;W179&amp;F179&amp;"-"&amp;G179&amp;H179))</f>
        <v/>
      </c>
      <c r="E179" s="429" t="str">
        <f t="shared" si="29"/>
        <v>2014USDAnker Verzekeringen n.v.-Assistance and RepatriationMedical Excellent and Homeland</v>
      </c>
      <c r="F179" s="432" t="s">
        <v>7</v>
      </c>
      <c r="G179" s="421" t="s">
        <v>5</v>
      </c>
      <c r="H179" s="432" t="s">
        <v>2128</v>
      </c>
      <c r="I179" s="432" t="s">
        <v>2225</v>
      </c>
      <c r="J179" s="432"/>
      <c r="K179" s="432"/>
      <c r="L179" s="421">
        <v>365</v>
      </c>
      <c r="M179" s="421"/>
      <c r="N179" s="411">
        <v>0.25</v>
      </c>
      <c r="O179" s="395">
        <v>115.38461538461539</v>
      </c>
      <c r="P179" s="411">
        <v>0</v>
      </c>
      <c r="Q179" s="412">
        <v>0</v>
      </c>
      <c r="R179" s="395"/>
      <c r="S179" s="411">
        <v>0.04</v>
      </c>
      <c r="T179" s="411"/>
      <c r="U179" s="412">
        <v>120</v>
      </c>
      <c r="V179" s="412"/>
      <c r="W179" s="432" t="s">
        <v>89</v>
      </c>
      <c r="X179" s="410">
        <v>2014</v>
      </c>
      <c r="Y179" s="410" t="s">
        <v>2246</v>
      </c>
      <c r="Z179" s="410"/>
      <c r="AA179" s="412">
        <v>0</v>
      </c>
      <c r="AB179" s="413"/>
      <c r="AC179" s="421" t="s">
        <v>2150</v>
      </c>
      <c r="AD179" s="421"/>
      <c r="AE179" s="421"/>
      <c r="AF179" s="421"/>
      <c r="AG179" s="421"/>
      <c r="AH179" s="421"/>
      <c r="AI179" s="421"/>
      <c r="AJ179" s="418"/>
    </row>
    <row r="180" spans="1:36" s="409" customFormat="1">
      <c r="A180" s="299" t="b">
        <v>0</v>
      </c>
      <c r="B180" s="299" t="s">
        <v>2267</v>
      </c>
      <c r="C180" s="299" t="b">
        <f t="shared" si="24"/>
        <v>1</v>
      </c>
      <c r="D180" s="428" t="str">
        <f>IF(C180=FALSE=NAMES!$B$8,"",IF(F180="N/A","N/A",X180&amp;W180&amp;F180&amp;"-"&amp;G180&amp;H180))</f>
        <v/>
      </c>
      <c r="E180" s="429" t="str">
        <f t="shared" si="29"/>
        <v>2014USDAIG Luxembourg-Assistance and RepatriationComfort MLC S</v>
      </c>
      <c r="F180" s="432" t="s">
        <v>4</v>
      </c>
      <c r="G180" s="421" t="s">
        <v>5</v>
      </c>
      <c r="H180" s="432" t="s">
        <v>2125</v>
      </c>
      <c r="I180" s="432" t="s">
        <v>2225</v>
      </c>
      <c r="J180" s="432"/>
      <c r="K180" s="432"/>
      <c r="L180" s="421">
        <v>365</v>
      </c>
      <c r="M180" s="421"/>
      <c r="N180" s="411">
        <v>0.25</v>
      </c>
      <c r="O180" s="395">
        <f>U180/1.04</f>
        <v>115.38461538461539</v>
      </c>
      <c r="P180" s="411">
        <v>0</v>
      </c>
      <c r="Q180" s="412">
        <v>0</v>
      </c>
      <c r="R180" s="395"/>
      <c r="S180" s="411">
        <v>0.04</v>
      </c>
      <c r="T180" s="411"/>
      <c r="U180" s="412">
        <v>120</v>
      </c>
      <c r="V180" s="383"/>
      <c r="W180" s="432" t="s">
        <v>89</v>
      </c>
      <c r="X180" s="410">
        <v>2014</v>
      </c>
      <c r="Y180" s="410" t="s">
        <v>26</v>
      </c>
      <c r="Z180" s="410"/>
      <c r="AA180" s="412">
        <v>10</v>
      </c>
      <c r="AB180" s="413"/>
      <c r="AC180" s="421"/>
      <c r="AD180" s="421"/>
      <c r="AE180" s="421"/>
      <c r="AF180" s="421"/>
      <c r="AG180" s="421"/>
      <c r="AH180" s="421"/>
      <c r="AI180" s="421"/>
      <c r="AJ180" s="418"/>
    </row>
    <row r="181" spans="1:36" s="409" customFormat="1">
      <c r="A181" s="299" t="b">
        <v>0</v>
      </c>
      <c r="B181" s="299" t="s">
        <v>2267</v>
      </c>
      <c r="C181" s="299" t="b">
        <f t="shared" si="24"/>
        <v>1</v>
      </c>
      <c r="D181" s="428" t="str">
        <f>IF(C181=FALSE=NAMES!$B$8,"",IF(F181="N/A","N/A",X181&amp;W181&amp;F181&amp;"-"&amp;G181&amp;H181))</f>
        <v/>
      </c>
      <c r="E181" s="429" t="str">
        <f t="shared" si="29"/>
        <v>2014USDAIG Luxembourg-Assistance and RepatriationPrestige S</v>
      </c>
      <c r="F181" s="432" t="s">
        <v>4</v>
      </c>
      <c r="G181" s="421" t="s">
        <v>5</v>
      </c>
      <c r="H181" s="432" t="s">
        <v>2074</v>
      </c>
      <c r="I181" s="432" t="s">
        <v>2225</v>
      </c>
      <c r="J181" s="432"/>
      <c r="K181" s="432"/>
      <c r="L181" s="421">
        <v>365</v>
      </c>
      <c r="M181" s="421"/>
      <c r="N181" s="411">
        <v>0.25</v>
      </c>
      <c r="O181" s="395">
        <f>U181/1.04</f>
        <v>173.07692307692307</v>
      </c>
      <c r="P181" s="411">
        <v>0</v>
      </c>
      <c r="Q181" s="412">
        <v>0</v>
      </c>
      <c r="R181" s="395"/>
      <c r="S181" s="411">
        <v>0.04</v>
      </c>
      <c r="T181" s="411"/>
      <c r="U181" s="412">
        <v>180</v>
      </c>
      <c r="V181" s="383"/>
      <c r="W181" s="432" t="s">
        <v>89</v>
      </c>
      <c r="X181" s="410">
        <v>2014</v>
      </c>
      <c r="Y181" s="410" t="s">
        <v>26</v>
      </c>
      <c r="Z181" s="410"/>
      <c r="AA181" s="412">
        <v>10</v>
      </c>
      <c r="AB181" s="413"/>
      <c r="AC181" s="421"/>
      <c r="AD181" s="421"/>
      <c r="AE181" s="421"/>
      <c r="AF181" s="421"/>
      <c r="AG181" s="421"/>
      <c r="AH181" s="421"/>
      <c r="AI181" s="421"/>
      <c r="AJ181" s="418"/>
    </row>
    <row r="182" spans="1:36" s="409" customFormat="1">
      <c r="A182" s="299" t="b">
        <v>0</v>
      </c>
      <c r="B182" s="299" t="s">
        <v>2267</v>
      </c>
      <c r="C182" s="299" t="b">
        <f t="shared" si="24"/>
        <v>1</v>
      </c>
      <c r="D182" s="428" t="str">
        <f>IF(C182=FALSE=NAMES!$B$8,"",IF(F182="N/A","N/A",X182&amp;W182&amp;F182&amp;"-"&amp;G182&amp;H182))</f>
        <v/>
      </c>
      <c r="E182" s="429" t="str">
        <f t="shared" si="29"/>
        <v>2014USDAllianz-Assistance and RepatriationPrivilege 100</v>
      </c>
      <c r="F182" s="432" t="s">
        <v>2126</v>
      </c>
      <c r="G182" s="421" t="s">
        <v>5</v>
      </c>
      <c r="H182" s="432" t="s">
        <v>2127</v>
      </c>
      <c r="I182" s="432" t="s">
        <v>2225</v>
      </c>
      <c r="J182" s="432"/>
      <c r="K182" s="432"/>
      <c r="L182" s="421">
        <v>365</v>
      </c>
      <c r="M182" s="421"/>
      <c r="N182" s="411">
        <v>0.25</v>
      </c>
      <c r="O182" s="395">
        <f>U182/1.04</f>
        <v>0</v>
      </c>
      <c r="P182" s="411">
        <v>0</v>
      </c>
      <c r="Q182" s="412">
        <v>0</v>
      </c>
      <c r="R182" s="395"/>
      <c r="S182" s="411">
        <v>0.04</v>
      </c>
      <c r="T182" s="411"/>
      <c r="U182" s="412">
        <v>0</v>
      </c>
      <c r="V182" s="383"/>
      <c r="W182" s="432" t="s">
        <v>89</v>
      </c>
      <c r="X182" s="410">
        <v>2014</v>
      </c>
      <c r="Y182" s="410" t="s">
        <v>26</v>
      </c>
      <c r="Z182" s="410"/>
      <c r="AA182" s="396"/>
      <c r="AB182" s="413"/>
      <c r="AC182" s="421"/>
      <c r="AD182" s="421"/>
      <c r="AE182" s="421"/>
      <c r="AF182" s="421"/>
      <c r="AG182" s="421"/>
      <c r="AH182" s="421"/>
      <c r="AI182" s="421"/>
      <c r="AJ182" s="418"/>
    </row>
    <row r="183" spans="1:36" s="409" customFormat="1">
      <c r="A183" s="299" t="b">
        <v>0</v>
      </c>
      <c r="B183" s="299" t="s">
        <v>2267</v>
      </c>
      <c r="C183" s="299" t="b">
        <f t="shared" si="24"/>
        <v>1</v>
      </c>
      <c r="D183" s="428" t="str">
        <f>IF(C183=FALSE=NAMES!$B$8,"",IF(F183="N/A","N/A",X183&amp;W183&amp;F183&amp;"-"&amp;G183&amp;H183))</f>
        <v/>
      </c>
      <c r="E183" s="429" t="str">
        <f t="shared" si="29"/>
        <v>2014USDAllianz-Assistance and RepatriationPrivilege 100</v>
      </c>
      <c r="F183" s="432" t="s">
        <v>2126</v>
      </c>
      <c r="G183" s="421" t="s">
        <v>5</v>
      </c>
      <c r="H183" s="432" t="s">
        <v>2127</v>
      </c>
      <c r="I183" s="432" t="s">
        <v>2226</v>
      </c>
      <c r="J183" s="432"/>
      <c r="K183" s="432"/>
      <c r="L183" s="421">
        <v>365</v>
      </c>
      <c r="M183" s="421"/>
      <c r="N183" s="411">
        <v>0.25</v>
      </c>
      <c r="O183" s="395">
        <f>U183/1.04</f>
        <v>0</v>
      </c>
      <c r="P183" s="411">
        <v>0</v>
      </c>
      <c r="Q183" s="412">
        <v>0</v>
      </c>
      <c r="R183" s="395"/>
      <c r="S183" s="411">
        <v>0.04</v>
      </c>
      <c r="T183" s="411"/>
      <c r="U183" s="412">
        <v>0</v>
      </c>
      <c r="V183" s="383"/>
      <c r="W183" s="432" t="s">
        <v>89</v>
      </c>
      <c r="X183" s="410">
        <v>2014</v>
      </c>
      <c r="Y183" s="410" t="s">
        <v>26</v>
      </c>
      <c r="Z183" s="410"/>
      <c r="AA183" s="396"/>
      <c r="AB183" s="413"/>
      <c r="AC183" s="421"/>
      <c r="AD183" s="421"/>
      <c r="AE183" s="421"/>
      <c r="AF183" s="421"/>
      <c r="AG183" s="421"/>
      <c r="AH183" s="421"/>
      <c r="AI183" s="421"/>
      <c r="AJ183" s="418"/>
    </row>
    <row r="184" spans="1:36" s="409" customFormat="1" ht="15.75" thickBot="1">
      <c r="A184" s="299" t="b">
        <v>0</v>
      </c>
      <c r="B184" s="299" t="s">
        <v>2267</v>
      </c>
      <c r="C184" s="299" t="b">
        <f t="shared" si="24"/>
        <v>1</v>
      </c>
      <c r="D184" s="428" t="str">
        <f>IF(C184=FALSE=NAMES!$B$8,"",IF(F184="N/A","N/A",X184&amp;W184&amp;F184&amp;"-"&amp;G184&amp;H184))</f>
        <v/>
      </c>
      <c r="E184" s="429" t="str">
        <f t="shared" si="29"/>
        <v>N/A</v>
      </c>
      <c r="F184" s="432" t="s">
        <v>2236</v>
      </c>
      <c r="G184" s="432" t="s">
        <v>2236</v>
      </c>
      <c r="H184" s="432"/>
      <c r="I184" s="432"/>
      <c r="J184" s="432"/>
      <c r="K184" s="432"/>
      <c r="L184" s="421"/>
      <c r="M184" s="421"/>
      <c r="N184" s="421"/>
      <c r="O184" s="401"/>
      <c r="P184" s="411"/>
      <c r="Q184" s="401"/>
      <c r="R184" s="401"/>
      <c r="S184" s="421"/>
      <c r="T184" s="421"/>
      <c r="U184" s="432"/>
      <c r="V184" s="432"/>
      <c r="W184" s="432"/>
      <c r="X184" s="410"/>
      <c r="Y184" s="410"/>
      <c r="Z184" s="410"/>
      <c r="AA184" s="432"/>
      <c r="AB184" s="402"/>
      <c r="AC184" s="421"/>
      <c r="AD184" s="421"/>
      <c r="AE184" s="421"/>
      <c r="AF184" s="421"/>
      <c r="AG184" s="421"/>
      <c r="AH184" s="421"/>
      <c r="AI184" s="421"/>
      <c r="AJ184" s="418"/>
    </row>
    <row r="185" spans="1:36" s="1018" customFormat="1" ht="45">
      <c r="A185" s="299" t="b">
        <v>0</v>
      </c>
      <c r="B185" s="429" t="s">
        <v>2236</v>
      </c>
      <c r="C185" s="299" t="str">
        <f t="shared" ref="C185:C188" si="30">IF(B185="N/A","",IF(B185="newRates",FALSE,TRUE))</f>
        <v/>
      </c>
      <c r="D185" s="394" t="s">
        <v>2163</v>
      </c>
      <c r="E185" s="427"/>
      <c r="F185" s="427"/>
      <c r="G185" s="415" t="s">
        <v>2118</v>
      </c>
      <c r="H185" s="415" t="s">
        <v>2238</v>
      </c>
      <c r="I185" s="415" t="s">
        <v>2224</v>
      </c>
      <c r="J185" s="415" t="s">
        <v>1153</v>
      </c>
      <c r="K185" s="416" t="s">
        <v>2239</v>
      </c>
      <c r="L185" s="416" t="s">
        <v>2113</v>
      </c>
      <c r="M185" s="417" t="s">
        <v>2234</v>
      </c>
      <c r="N185" s="416"/>
      <c r="O185" s="416" t="s">
        <v>2235</v>
      </c>
      <c r="P185" s="1360" t="s">
        <v>23</v>
      </c>
      <c r="Q185" s="416"/>
      <c r="R185" s="416"/>
      <c r="S185" s="416" t="s">
        <v>2237</v>
      </c>
      <c r="T185" s="416"/>
      <c r="U185" s="416" t="s">
        <v>2241</v>
      </c>
      <c r="V185" s="416"/>
      <c r="W185" s="416" t="s">
        <v>2119</v>
      </c>
      <c r="X185" s="415" t="s">
        <v>2240</v>
      </c>
      <c r="Y185" s="415"/>
      <c r="Z185" s="415"/>
      <c r="AA185" s="400" t="s">
        <v>2265</v>
      </c>
      <c r="AB185" s="397"/>
      <c r="AC185" s="415" t="s">
        <v>2151</v>
      </c>
      <c r="AD185" s="415" t="s">
        <v>30</v>
      </c>
      <c r="AE185" s="416" t="s">
        <v>137</v>
      </c>
      <c r="AF185" s="416" t="s">
        <v>92</v>
      </c>
      <c r="AG185" s="416" t="s">
        <v>1784</v>
      </c>
      <c r="AH185" s="416" t="s">
        <v>90</v>
      </c>
      <c r="AI185" s="416" t="s">
        <v>91</v>
      </c>
      <c r="AJ185" s="418"/>
    </row>
    <row r="186" spans="1:36" s="1018" customFormat="1">
      <c r="A186" s="299" t="b">
        <v>0</v>
      </c>
      <c r="B186" s="299" t="s">
        <v>2267</v>
      </c>
      <c r="C186" s="299" t="b">
        <f t="shared" si="30"/>
        <v>1</v>
      </c>
      <c r="D186" s="428" t="str">
        <f>IF(C186=FALSE=NAMES!$B$8,"",IF(F186="N/A","N/A",X186&amp;W186&amp;F186&amp;"-"&amp;G186&amp;H186))</f>
        <v/>
      </c>
      <c r="E186" s="429" t="str">
        <f t="shared" ref="E186:E191" si="31">IF(F186="N/A","N/A",X186&amp;W186&amp;F186&amp;"-"&amp;G186&amp;H186)</f>
        <v>N/A</v>
      </c>
      <c r="F186" s="432" t="s">
        <v>2236</v>
      </c>
      <c r="G186" s="432" t="s">
        <v>2236</v>
      </c>
      <c r="H186" s="432"/>
      <c r="I186" s="432"/>
      <c r="J186" s="432"/>
      <c r="K186" s="432"/>
      <c r="L186" s="718"/>
      <c r="M186" s="718"/>
      <c r="N186" s="718"/>
      <c r="O186" s="401"/>
      <c r="P186" s="411"/>
      <c r="Q186" s="401"/>
      <c r="R186" s="401"/>
      <c r="S186" s="718"/>
      <c r="T186" s="718"/>
      <c r="U186" s="432"/>
      <c r="V186" s="432"/>
      <c r="W186" s="432"/>
      <c r="X186" s="410"/>
      <c r="Y186" s="410"/>
      <c r="Z186" s="410"/>
      <c r="AA186" s="432"/>
      <c r="AB186" s="402"/>
      <c r="AC186" s="718"/>
      <c r="AD186" s="718"/>
      <c r="AE186" s="718"/>
      <c r="AF186" s="718"/>
      <c r="AG186" s="718"/>
      <c r="AH186" s="718"/>
      <c r="AI186" s="718"/>
      <c r="AJ186" s="418"/>
    </row>
    <row r="187" spans="1:36" s="1018" customFormat="1">
      <c r="A187" s="299" t="b">
        <v>0</v>
      </c>
      <c r="B187" s="299" t="s">
        <v>2266</v>
      </c>
      <c r="C187" s="299" t="b">
        <f t="shared" si="30"/>
        <v>0</v>
      </c>
      <c r="D187" s="428" t="str">
        <f>IF(C187=FALSE=NAMES!$B$8,"",IF(F187="N/A","N/A",X187&amp;W187&amp;F187&amp;"-"&amp;G187&amp;H187))</f>
        <v>2016EURAIG Luxembourg-Legal Assistance</v>
      </c>
      <c r="E187" s="429" t="str">
        <f t="shared" si="31"/>
        <v>2016EURAIG Luxembourg-Legal Assistance</v>
      </c>
      <c r="F187" s="432" t="s">
        <v>4</v>
      </c>
      <c r="G187" s="432" t="s">
        <v>2692</v>
      </c>
      <c r="H187" s="432"/>
      <c r="I187" s="390" t="s">
        <v>2225</v>
      </c>
      <c r="J187" s="432"/>
      <c r="K187" s="432"/>
      <c r="L187" s="718">
        <v>365</v>
      </c>
      <c r="M187" s="718"/>
      <c r="N187" s="411">
        <v>0.25</v>
      </c>
      <c r="O187" s="431">
        <f>IF(D187="N/A","",U187/1.04)</f>
        <v>13.461538461538462</v>
      </c>
      <c r="P187" s="411">
        <v>0</v>
      </c>
      <c r="Q187" s="412">
        <v>0</v>
      </c>
      <c r="R187" s="431"/>
      <c r="S187" s="411">
        <v>0.04</v>
      </c>
      <c r="T187" s="411"/>
      <c r="U187" s="412">
        <v>14</v>
      </c>
      <c r="V187" s="412"/>
      <c r="W187" s="432" t="s">
        <v>33</v>
      </c>
      <c r="X187" s="410">
        <v>2016</v>
      </c>
      <c r="Y187" s="410" t="s">
        <v>26</v>
      </c>
      <c r="Z187" s="410" t="s">
        <v>1</v>
      </c>
      <c r="AA187" s="412">
        <v>0</v>
      </c>
      <c r="AB187" s="402"/>
      <c r="AC187" s="718"/>
      <c r="AD187" s="718"/>
      <c r="AE187" s="718"/>
      <c r="AF187" s="718"/>
      <c r="AG187" s="718"/>
      <c r="AH187" s="718"/>
      <c r="AI187" s="718"/>
      <c r="AJ187" s="418"/>
    </row>
    <row r="188" spans="1:36" s="1018" customFormat="1">
      <c r="A188" s="299" t="b">
        <v>0</v>
      </c>
      <c r="B188" s="299" t="s">
        <v>2266</v>
      </c>
      <c r="C188" s="299" t="b">
        <f t="shared" si="30"/>
        <v>0</v>
      </c>
      <c r="D188" s="428" t="str">
        <f>IF(C188=FALSE=NAMES!$B$8,"",IF(F188="N/A","N/A",X188&amp;W188&amp;F188&amp;"-"&amp;G188&amp;H188))</f>
        <v>2016EURAIG Luxembourg-Third party liability</v>
      </c>
      <c r="E188" s="429" t="str">
        <f t="shared" si="31"/>
        <v>2016EURAIG Luxembourg-Third party liability</v>
      </c>
      <c r="F188" s="432" t="s">
        <v>4</v>
      </c>
      <c r="G188" s="432" t="s">
        <v>2693</v>
      </c>
      <c r="H188" s="432"/>
      <c r="I188" s="390" t="s">
        <v>2225</v>
      </c>
      <c r="J188" s="432"/>
      <c r="K188" s="432"/>
      <c r="L188" s="718">
        <v>365</v>
      </c>
      <c r="M188" s="718"/>
      <c r="N188" s="411">
        <v>0.25</v>
      </c>
      <c r="O188" s="431">
        <f>IF(D188="N/A","",U188/1.04)</f>
        <v>50</v>
      </c>
      <c r="P188" s="411">
        <v>0</v>
      </c>
      <c r="Q188" s="412">
        <v>0</v>
      </c>
      <c r="R188" s="431"/>
      <c r="S188" s="411">
        <v>0.04</v>
      </c>
      <c r="T188" s="411"/>
      <c r="U188" s="412">
        <v>52</v>
      </c>
      <c r="V188" s="412"/>
      <c r="W188" s="432" t="s">
        <v>33</v>
      </c>
      <c r="X188" s="410">
        <v>2016</v>
      </c>
      <c r="Y188" s="410" t="s">
        <v>26</v>
      </c>
      <c r="Z188" s="410" t="s">
        <v>1</v>
      </c>
      <c r="AA188" s="412">
        <v>0</v>
      </c>
      <c r="AB188" s="402"/>
      <c r="AC188" s="718"/>
      <c r="AD188" s="718"/>
      <c r="AE188" s="718"/>
      <c r="AF188" s="718"/>
      <c r="AG188" s="718"/>
      <c r="AH188" s="718"/>
      <c r="AI188" s="718"/>
      <c r="AJ188" s="418"/>
    </row>
    <row r="189" spans="1:36" s="1018" customFormat="1">
      <c r="A189" s="299" t="b">
        <v>0</v>
      </c>
      <c r="B189" s="299" t="s">
        <v>2266</v>
      </c>
      <c r="C189" s="299" t="b">
        <f t="shared" ref="C189:C191" si="32">IF(B189="N/A","",IF(B189="newRates",FALSE,TRUE))</f>
        <v>0</v>
      </c>
      <c r="D189" s="428" t="str">
        <f>IF(C189=FALSE=NAMES!$B$8,"",IF(F189="N/A","N/A",X189&amp;W189&amp;F189&amp;"-"&amp;G189&amp;H189))</f>
        <v>2016USDAIG Luxembourg-Legal Assistance</v>
      </c>
      <c r="E189" s="429" t="str">
        <f t="shared" si="31"/>
        <v>2016USDAIG Luxembourg-Legal Assistance</v>
      </c>
      <c r="F189" s="432" t="s">
        <v>4</v>
      </c>
      <c r="G189" s="432" t="s">
        <v>2692</v>
      </c>
      <c r="H189" s="432"/>
      <c r="I189" s="390" t="s">
        <v>2225</v>
      </c>
      <c r="J189" s="432"/>
      <c r="K189" s="432"/>
      <c r="L189" s="718">
        <v>365</v>
      </c>
      <c r="M189" s="718"/>
      <c r="N189" s="411">
        <v>0.25</v>
      </c>
      <c r="O189" s="431">
        <f>IF(D189="N/A","",U189/1.04)</f>
        <v>13.461538461538462</v>
      </c>
      <c r="P189" s="411">
        <v>0</v>
      </c>
      <c r="Q189" s="412">
        <v>0</v>
      </c>
      <c r="R189" s="431"/>
      <c r="S189" s="411">
        <v>0.04</v>
      </c>
      <c r="T189" s="411"/>
      <c r="U189" s="412">
        <v>14</v>
      </c>
      <c r="V189" s="412"/>
      <c r="W189" s="432" t="s">
        <v>89</v>
      </c>
      <c r="X189" s="410">
        <v>2016</v>
      </c>
      <c r="Y189" s="410" t="s">
        <v>26</v>
      </c>
      <c r="Z189" s="410" t="s">
        <v>1</v>
      </c>
      <c r="AA189" s="412">
        <v>0</v>
      </c>
      <c r="AB189" s="413"/>
      <c r="AC189" s="718"/>
      <c r="AD189" s="718"/>
      <c r="AE189" s="718"/>
      <c r="AF189" s="718"/>
      <c r="AG189" s="718"/>
      <c r="AH189" s="718"/>
      <c r="AI189" s="718"/>
      <c r="AJ189" s="418"/>
    </row>
    <row r="190" spans="1:36" s="1018" customFormat="1">
      <c r="A190" s="299" t="b">
        <v>0</v>
      </c>
      <c r="B190" s="299" t="s">
        <v>2266</v>
      </c>
      <c r="C190" s="299" t="b">
        <f t="shared" si="32"/>
        <v>0</v>
      </c>
      <c r="D190" s="428" t="str">
        <f>IF(C190=FALSE=NAMES!$B$8,"",IF(F190="N/A","N/A",X190&amp;W190&amp;F190&amp;"-"&amp;G190&amp;H190))</f>
        <v>2016USDAIG Luxembourg-Third party liability</v>
      </c>
      <c r="E190" s="429" t="str">
        <f t="shared" si="31"/>
        <v>2016USDAIG Luxembourg-Third party liability</v>
      </c>
      <c r="F190" s="432" t="s">
        <v>4</v>
      </c>
      <c r="G190" s="432" t="s">
        <v>2693</v>
      </c>
      <c r="H190" s="432"/>
      <c r="I190" s="390" t="s">
        <v>2225</v>
      </c>
      <c r="J190" s="432"/>
      <c r="K190" s="432"/>
      <c r="L190" s="718">
        <v>365</v>
      </c>
      <c r="M190" s="718"/>
      <c r="N190" s="411">
        <v>0.25</v>
      </c>
      <c r="O190" s="431">
        <f>IF(D190="N/A","",U190/1.04)</f>
        <v>50</v>
      </c>
      <c r="P190" s="411">
        <v>0</v>
      </c>
      <c r="Q190" s="412">
        <v>0</v>
      </c>
      <c r="R190" s="431"/>
      <c r="S190" s="411">
        <v>0.04</v>
      </c>
      <c r="T190" s="411"/>
      <c r="U190" s="412">
        <v>52</v>
      </c>
      <c r="V190" s="412"/>
      <c r="W190" s="432" t="s">
        <v>89</v>
      </c>
      <c r="X190" s="410">
        <v>2016</v>
      </c>
      <c r="Y190" s="410" t="s">
        <v>26</v>
      </c>
      <c r="Z190" s="410" t="s">
        <v>1</v>
      </c>
      <c r="AA190" s="412">
        <v>0</v>
      </c>
      <c r="AB190" s="413"/>
      <c r="AC190" s="718"/>
      <c r="AD190" s="718"/>
      <c r="AE190" s="718"/>
      <c r="AF190" s="718"/>
      <c r="AG190" s="718"/>
      <c r="AH190" s="718"/>
      <c r="AI190" s="718"/>
      <c r="AJ190" s="418"/>
    </row>
    <row r="191" spans="1:36" s="1018" customFormat="1" ht="15.75" thickBot="1">
      <c r="A191" s="299" t="b">
        <v>0</v>
      </c>
      <c r="B191" s="299" t="s">
        <v>2266</v>
      </c>
      <c r="C191" s="299" t="b">
        <f t="shared" si="32"/>
        <v>0</v>
      </c>
      <c r="D191" s="428" t="str">
        <f>IF(C191=FALSE=NAMES!$B$8,"",IF(F191="N/A","N/A",X191&amp;W191&amp;F191&amp;"-"&amp;G191&amp;H191))</f>
        <v>N/A</v>
      </c>
      <c r="E191" s="429" t="str">
        <f t="shared" si="31"/>
        <v>N/A</v>
      </c>
      <c r="F191" s="432" t="s">
        <v>2236</v>
      </c>
      <c r="G191" s="432" t="s">
        <v>2236</v>
      </c>
      <c r="H191" s="432"/>
      <c r="I191" s="432"/>
      <c r="J191" s="432"/>
      <c r="K191" s="432"/>
      <c r="L191" s="718"/>
      <c r="M191" s="718"/>
      <c r="N191" s="718"/>
      <c r="O191" s="401"/>
      <c r="P191" s="411"/>
      <c r="Q191" s="401"/>
      <c r="R191" s="401"/>
      <c r="S191" s="718"/>
      <c r="T191" s="718"/>
      <c r="U191" s="432"/>
      <c r="V191" s="432"/>
      <c r="W191" s="432"/>
      <c r="X191" s="410"/>
      <c r="Y191" s="410"/>
      <c r="Z191" s="410"/>
      <c r="AA191" s="432"/>
      <c r="AB191" s="402"/>
      <c r="AC191" s="718"/>
      <c r="AD191" s="718"/>
      <c r="AE191" s="718"/>
      <c r="AF191" s="718"/>
      <c r="AG191" s="718"/>
      <c r="AH191" s="718"/>
      <c r="AI191" s="718"/>
      <c r="AJ191" s="418"/>
    </row>
    <row r="192" spans="1:36" s="651" customFormat="1" ht="45.75" thickBot="1">
      <c r="A192" s="299" t="b">
        <v>0</v>
      </c>
      <c r="B192" s="429" t="s">
        <v>2236</v>
      </c>
      <c r="C192" s="299" t="str">
        <f t="shared" si="24"/>
        <v/>
      </c>
      <c r="D192" s="394" t="s">
        <v>2117</v>
      </c>
      <c r="E192" s="427"/>
      <c r="F192" s="427"/>
      <c r="G192" s="415" t="s">
        <v>2118</v>
      </c>
      <c r="H192" s="415" t="s">
        <v>2238</v>
      </c>
      <c r="I192" s="415" t="s">
        <v>2224</v>
      </c>
      <c r="J192" s="415" t="s">
        <v>1153</v>
      </c>
      <c r="K192" s="416" t="s">
        <v>2239</v>
      </c>
      <c r="L192" s="416" t="s">
        <v>2113</v>
      </c>
      <c r="M192" s="417" t="s">
        <v>2234</v>
      </c>
      <c r="N192" s="416"/>
      <c r="O192" s="416" t="s">
        <v>2235</v>
      </c>
      <c r="P192" s="1360" t="s">
        <v>23</v>
      </c>
      <c r="Q192" s="416"/>
      <c r="R192" s="416"/>
      <c r="S192" s="416" t="s">
        <v>2237</v>
      </c>
      <c r="T192" s="416"/>
      <c r="U192" s="416" t="s">
        <v>2241</v>
      </c>
      <c r="V192" s="416"/>
      <c r="W192" s="416" t="s">
        <v>2119</v>
      </c>
      <c r="X192" s="415" t="s">
        <v>2240</v>
      </c>
      <c r="Y192" s="415"/>
      <c r="Z192" s="415"/>
      <c r="AA192" s="400" t="s">
        <v>2265</v>
      </c>
      <c r="AB192" s="416"/>
      <c r="AC192" s="415" t="s">
        <v>2151</v>
      </c>
      <c r="AD192" s="415" t="s">
        <v>30</v>
      </c>
      <c r="AE192" s="416" t="s">
        <v>137</v>
      </c>
      <c r="AF192" s="416" t="s">
        <v>92</v>
      </c>
      <c r="AG192" s="416" t="s">
        <v>1784</v>
      </c>
      <c r="AH192" s="416" t="s">
        <v>90</v>
      </c>
      <c r="AI192" s="416" t="s">
        <v>91</v>
      </c>
      <c r="AJ192" s="418"/>
    </row>
    <row r="193" spans="1:36" s="651" customFormat="1">
      <c r="A193" s="299" t="b">
        <v>0</v>
      </c>
      <c r="B193" s="299" t="s">
        <v>2267</v>
      </c>
      <c r="C193" s="299" t="b">
        <f t="shared" si="24"/>
        <v>1</v>
      </c>
      <c r="D193" s="428" t="str">
        <f>IF(C193=FALSE=NAMES!$B$8,"",IF(F193="N/A","N/A",X193&amp;W193&amp;F193&amp;"-"&amp;G193&amp;H193))</f>
        <v/>
      </c>
      <c r="E193" s="429" t="str">
        <f>IF(F193="N/A","N/A",X193&amp;W193&amp;F193&amp;"-"&amp;G193&amp;H193)</f>
        <v>N/A</v>
      </c>
      <c r="F193" s="429" t="s">
        <v>2236</v>
      </c>
      <c r="G193" s="429" t="s">
        <v>2236</v>
      </c>
      <c r="H193" s="423"/>
      <c r="I193" s="423"/>
      <c r="J193" s="423"/>
      <c r="K193" s="423"/>
      <c r="L193" s="424"/>
      <c r="M193" s="423"/>
      <c r="N193" s="411"/>
      <c r="O193" s="385"/>
      <c r="P193" s="411"/>
      <c r="Q193" s="385"/>
      <c r="R193" s="385"/>
      <c r="S193" s="386"/>
      <c r="T193" s="411"/>
      <c r="U193" s="433">
        <f t="shared" ref="U193:U200" si="33">IF(D193="N/A","",O193*(1+S193))</f>
        <v>0</v>
      </c>
      <c r="V193" s="433"/>
      <c r="W193" s="387"/>
      <c r="X193" s="388"/>
      <c r="Y193" s="410"/>
      <c r="Z193" s="410"/>
      <c r="AA193" s="385"/>
      <c r="AB193" s="410"/>
      <c r="AC193" s="421"/>
      <c r="AD193" s="421"/>
      <c r="AE193" s="421"/>
      <c r="AF193" s="421"/>
      <c r="AG193" s="421"/>
      <c r="AH193" s="421"/>
      <c r="AI193" s="421"/>
      <c r="AJ193" s="418"/>
    </row>
    <row r="194" spans="1:36" s="651" customFormat="1">
      <c r="A194" s="299" t="b">
        <v>0</v>
      </c>
      <c r="B194" s="299" t="s">
        <v>2266</v>
      </c>
      <c r="C194" s="299" t="b">
        <f t="shared" si="24"/>
        <v>0</v>
      </c>
      <c r="D194" s="428" t="str">
        <f>IF(C194=FALSE=NAMES!$B$8,"",IF(F194="N/A","N/A",X194&amp;W194&amp;F194&amp;"-"&amp;G194&amp;H194))</f>
        <v>2016USDAnker Verzekeringen n.v.-Death Accident</v>
      </c>
      <c r="E194" s="429" t="str">
        <f>IF(F194="N/A","N/A",X194&amp;W194&amp;F194&amp;"-"&amp;G194&amp;H194)</f>
        <v>2016USDAnker Verzekeringen n.v.-Death Accident</v>
      </c>
      <c r="F194" s="432" t="s">
        <v>7</v>
      </c>
      <c r="G194" s="421" t="s">
        <v>6</v>
      </c>
      <c r="H194" s="421"/>
      <c r="I194" s="421"/>
      <c r="J194" s="421"/>
      <c r="K194" s="421"/>
      <c r="L194" s="421">
        <v>365</v>
      </c>
      <c r="M194" s="433">
        <v>5.8600000000000004E-4</v>
      </c>
      <c r="N194" s="411">
        <v>0.27500000000000002</v>
      </c>
      <c r="O194" s="398">
        <f>M194/(1-N194)</f>
        <v>8.0827586206896559E-4</v>
      </c>
      <c r="P194" s="411">
        <v>0</v>
      </c>
      <c r="Q194" s="412">
        <v>0</v>
      </c>
      <c r="R194" s="398"/>
      <c r="S194" s="411">
        <v>0.04</v>
      </c>
      <c r="T194" s="411"/>
      <c r="U194" s="433">
        <f t="shared" si="33"/>
        <v>8.4060689655172428E-4</v>
      </c>
      <c r="V194" s="433"/>
      <c r="W194" s="432" t="s">
        <v>89</v>
      </c>
      <c r="X194" s="410">
        <v>2016</v>
      </c>
      <c r="Y194" s="410" t="s">
        <v>2246</v>
      </c>
      <c r="Z194" s="410"/>
      <c r="AA194" s="411">
        <v>0</v>
      </c>
      <c r="AB194" s="413"/>
      <c r="AC194" s="421" t="s">
        <v>2149</v>
      </c>
      <c r="AD194" s="421" t="s">
        <v>2179</v>
      </c>
      <c r="AE194" s="421" t="s">
        <v>2180</v>
      </c>
      <c r="AF194" s="421" t="s">
        <v>2179</v>
      </c>
      <c r="AG194" s="421" t="s">
        <v>2179</v>
      </c>
      <c r="AH194" s="421" t="s">
        <v>2179</v>
      </c>
      <c r="AI194" s="421" t="s">
        <v>2179</v>
      </c>
      <c r="AJ194" s="418" t="s">
        <v>87</v>
      </c>
    </row>
    <row r="195" spans="1:36" s="651" customFormat="1">
      <c r="A195" s="299" t="b">
        <v>0</v>
      </c>
      <c r="B195" s="299" t="s">
        <v>2266</v>
      </c>
      <c r="C195" s="299" t="b">
        <f t="shared" si="24"/>
        <v>0</v>
      </c>
      <c r="D195" s="428" t="str">
        <f>IF(C195=FALSE=NAMES!$B$8,"",IF(F195="N/A","N/A",X195&amp;W195&amp;F195&amp;"-"&amp;G195&amp;H195))</f>
        <v>2016EURAnker Verzekeringen n.v.-Death Accident</v>
      </c>
      <c r="E195" s="429" t="str">
        <f>IF(F195="N/A","N/A",X195&amp;W195&amp;F195&amp;"-"&amp;G195&amp;H195)</f>
        <v>2016EURAnker Verzekeringen n.v.-Death Accident</v>
      </c>
      <c r="F195" s="432" t="s">
        <v>7</v>
      </c>
      <c r="G195" s="421" t="s">
        <v>6</v>
      </c>
      <c r="H195" s="421"/>
      <c r="I195" s="421"/>
      <c r="J195" s="421"/>
      <c r="K195" s="421"/>
      <c r="L195" s="421">
        <v>365</v>
      </c>
      <c r="M195" s="433">
        <v>5.0100000000000003E-4</v>
      </c>
      <c r="N195" s="411">
        <v>0.27500000000000002</v>
      </c>
      <c r="O195" s="398">
        <f>M195/(1-N195)</f>
        <v>6.9103448275862072E-4</v>
      </c>
      <c r="P195" s="411">
        <v>0</v>
      </c>
      <c r="Q195" s="412">
        <v>0</v>
      </c>
      <c r="R195" s="398"/>
      <c r="S195" s="411">
        <v>0.04</v>
      </c>
      <c r="T195" s="411"/>
      <c r="U195" s="433">
        <f t="shared" si="33"/>
        <v>7.1867586206896558E-4</v>
      </c>
      <c r="V195" s="433"/>
      <c r="W195" s="432" t="s">
        <v>33</v>
      </c>
      <c r="X195" s="410">
        <v>2016</v>
      </c>
      <c r="Y195" s="410" t="s">
        <v>2246</v>
      </c>
      <c r="Z195" s="410"/>
      <c r="AA195" s="411">
        <v>0</v>
      </c>
      <c r="AB195" s="413"/>
      <c r="AC195" s="421" t="s">
        <v>2149</v>
      </c>
      <c r="AD195" s="421" t="s">
        <v>2179</v>
      </c>
      <c r="AE195" s="421" t="s">
        <v>2180</v>
      </c>
      <c r="AF195" s="421" t="s">
        <v>2179</v>
      </c>
      <c r="AG195" s="421" t="s">
        <v>2179</v>
      </c>
      <c r="AH195" s="421" t="s">
        <v>2179</v>
      </c>
      <c r="AI195" s="421" t="s">
        <v>2179</v>
      </c>
      <c r="AJ195" s="418" t="s">
        <v>87</v>
      </c>
    </row>
    <row r="196" spans="1:36" s="651" customFormat="1">
      <c r="A196" s="299" t="b">
        <v>0</v>
      </c>
      <c r="B196" s="299" t="s">
        <v>2266</v>
      </c>
      <c r="C196" s="299" t="b">
        <f t="shared" si="24"/>
        <v>0</v>
      </c>
      <c r="D196" s="428" t="str">
        <f>IF(C196=FALSE=NAMES!$B$8,"",IF(F196="N/A","N/A",X196&amp;W196&amp;F196&amp;"-"&amp;G196&amp;H196&amp;I196))</f>
        <v>2016USDAnker Verzekeringen n.v.-Death AccidentREDUIT</v>
      </c>
      <c r="E196" s="429" t="str">
        <f>IF(F196="N/A","N/A",X196&amp;W196&amp;F196&amp;"-"&amp;G196&amp;H196&amp;I196)</f>
        <v>2016USDAnker Verzekeringen n.v.-Death AccidentREDUIT</v>
      </c>
      <c r="F196" s="432" t="s">
        <v>7</v>
      </c>
      <c r="G196" s="421" t="s">
        <v>6</v>
      </c>
      <c r="H196" s="421"/>
      <c r="I196" s="421" t="s">
        <v>2435</v>
      </c>
      <c r="J196" s="421"/>
      <c r="K196" s="421"/>
      <c r="L196" s="421">
        <v>365</v>
      </c>
      <c r="M196" s="433">
        <v>5.2700000000000002E-4</v>
      </c>
      <c r="N196" s="411">
        <v>0.27500000000000002</v>
      </c>
      <c r="O196" s="398">
        <f>M196/(1-N196)</f>
        <v>7.2689655172413793E-4</v>
      </c>
      <c r="P196" s="411">
        <v>0</v>
      </c>
      <c r="Q196" s="412">
        <v>0</v>
      </c>
      <c r="R196" s="398"/>
      <c r="S196" s="411">
        <v>0.04</v>
      </c>
      <c r="T196" s="411"/>
      <c r="U196" s="433">
        <f t="shared" si="33"/>
        <v>7.5597241379310345E-4</v>
      </c>
      <c r="V196" s="433"/>
      <c r="W196" s="432" t="s">
        <v>89</v>
      </c>
      <c r="X196" s="410">
        <v>2016</v>
      </c>
      <c r="Y196" s="410" t="s">
        <v>2246</v>
      </c>
      <c r="Z196" s="410"/>
      <c r="AA196" s="411">
        <v>0</v>
      </c>
      <c r="AB196" s="413"/>
      <c r="AC196" s="421"/>
      <c r="AD196" s="421"/>
      <c r="AE196" s="421"/>
      <c r="AF196" s="421"/>
      <c r="AG196" s="421"/>
      <c r="AH196" s="421"/>
      <c r="AI196" s="421"/>
      <c r="AJ196" s="418"/>
    </row>
    <row r="197" spans="1:36" s="651" customFormat="1">
      <c r="A197" s="299" t="b">
        <v>0</v>
      </c>
      <c r="B197" s="299" t="s">
        <v>2266</v>
      </c>
      <c r="C197" s="299" t="b">
        <f t="shared" si="24"/>
        <v>0</v>
      </c>
      <c r="D197" s="428" t="str">
        <f>IF(C197=FALSE=NAMES!$B$8,"",IF(F197="N/A","N/A",X197&amp;W197&amp;F197&amp;"-"&amp;G197&amp;H197&amp;I197))</f>
        <v>2016EURAnker Verzekeringen n.v.-Death AccidentREDUIT</v>
      </c>
      <c r="E197" s="429" t="str">
        <f>IF(F197="N/A","N/A",X197&amp;W197&amp;F197&amp;"-"&amp;G197&amp;H197&amp;I197)</f>
        <v>2016EURAnker Verzekeringen n.v.-Death AccidentREDUIT</v>
      </c>
      <c r="F197" s="432" t="s">
        <v>7</v>
      </c>
      <c r="G197" s="421" t="s">
        <v>6</v>
      </c>
      <c r="H197" s="421"/>
      <c r="I197" s="421" t="s">
        <v>2435</v>
      </c>
      <c r="J197" s="421"/>
      <c r="K197" s="421"/>
      <c r="L197" s="421">
        <v>365</v>
      </c>
      <c r="M197" s="433">
        <v>4.5100000000000001E-4</v>
      </c>
      <c r="N197" s="411">
        <v>0.27500000000000002</v>
      </c>
      <c r="O197" s="398">
        <f>M197/(1-N197)</f>
        <v>6.2206896551724139E-4</v>
      </c>
      <c r="P197" s="411">
        <v>0</v>
      </c>
      <c r="Q197" s="412">
        <v>0</v>
      </c>
      <c r="R197" s="398"/>
      <c r="S197" s="411">
        <v>0.04</v>
      </c>
      <c r="T197" s="411"/>
      <c r="U197" s="433">
        <f t="shared" si="33"/>
        <v>6.4695172413793104E-4</v>
      </c>
      <c r="V197" s="433"/>
      <c r="W197" s="432" t="s">
        <v>33</v>
      </c>
      <c r="X197" s="410">
        <v>2016</v>
      </c>
      <c r="Y197" s="410" t="s">
        <v>2246</v>
      </c>
      <c r="Z197" s="410"/>
      <c r="AA197" s="411">
        <v>0</v>
      </c>
      <c r="AB197" s="413"/>
      <c r="AC197" s="421"/>
      <c r="AD197" s="421"/>
      <c r="AE197" s="421"/>
      <c r="AF197" s="421"/>
      <c r="AG197" s="421"/>
      <c r="AH197" s="421"/>
      <c r="AI197" s="421"/>
      <c r="AJ197" s="418"/>
    </row>
    <row r="198" spans="1:36" s="651" customFormat="1">
      <c r="A198" s="299" t="b">
        <v>0</v>
      </c>
      <c r="B198" s="299" t="s">
        <v>2266</v>
      </c>
      <c r="C198" s="299" t="b">
        <f t="shared" ref="C198:C263" si="34">IF(B198="N/A","",IF(B198="newRates",FALSE,TRUE))</f>
        <v>0</v>
      </c>
      <c r="D198" s="428" t="str">
        <f>IF(C198=FALSE=NAMES!$B$8,"",IF(F198="N/A","N/A",X198&amp;W198&amp;F198&amp;"-"&amp;G198&amp;H198))</f>
        <v>2016USDAIG Luxembourg-Death Accident</v>
      </c>
      <c r="E198" s="429" t="str">
        <f>IF(F198="N/A","N/A",X198&amp;W198&amp;F198&amp;"-"&amp;G198&amp;H198)</f>
        <v>2016USDAIG Luxembourg-Death Accident</v>
      </c>
      <c r="F198" s="432" t="s">
        <v>4</v>
      </c>
      <c r="G198" s="421" t="s">
        <v>6</v>
      </c>
      <c r="H198" s="524"/>
      <c r="I198" s="524"/>
      <c r="J198" s="524"/>
      <c r="K198" s="524"/>
      <c r="L198" s="421">
        <v>365</v>
      </c>
      <c r="M198" s="425"/>
      <c r="N198" s="411">
        <v>0.25</v>
      </c>
      <c r="O198" s="770">
        <v>8.7980000000000003E-4</v>
      </c>
      <c r="P198" s="411">
        <v>0</v>
      </c>
      <c r="Q198" s="412">
        <v>0</v>
      </c>
      <c r="R198" s="770"/>
      <c r="S198" s="411">
        <v>0.04</v>
      </c>
      <c r="T198" s="411"/>
      <c r="U198" s="433">
        <f t="shared" si="33"/>
        <v>9.1499200000000011E-4</v>
      </c>
      <c r="V198" s="433"/>
      <c r="W198" s="432" t="s">
        <v>89</v>
      </c>
      <c r="X198" s="410">
        <v>2016</v>
      </c>
      <c r="Y198" s="410" t="s">
        <v>26</v>
      </c>
      <c r="Z198" s="410"/>
      <c r="AA198" s="411">
        <v>0.05</v>
      </c>
      <c r="AB198" s="413"/>
      <c r="AC198" s="421" t="s">
        <v>2149</v>
      </c>
      <c r="AD198" s="421" t="s">
        <v>2179</v>
      </c>
      <c r="AE198" s="421" t="s">
        <v>2180</v>
      </c>
      <c r="AF198" s="524"/>
      <c r="AG198" s="524"/>
      <c r="AH198" s="524"/>
      <c r="AI198" s="524"/>
      <c r="AJ198" s="418" t="s">
        <v>2181</v>
      </c>
    </row>
    <row r="199" spans="1:36" s="651" customFormat="1">
      <c r="A199" s="299" t="b">
        <v>0</v>
      </c>
      <c r="B199" s="299" t="s">
        <v>2266</v>
      </c>
      <c r="C199" s="299" t="b">
        <f t="shared" si="34"/>
        <v>0</v>
      </c>
      <c r="D199" s="428" t="str">
        <f>IF(C199=FALSE=NAMES!$B$8,"",IF(F199="N/A","N/A",X199&amp;W199&amp;F199&amp;"-"&amp;G199&amp;H199))</f>
        <v>2016EURAIG Luxembourg-Death Accident</v>
      </c>
      <c r="E199" s="429" t="str">
        <f>IF(F199="N/A","N/A",X199&amp;W199&amp;F199&amp;"-"&amp;G199&amp;H199)</f>
        <v>2016EURAIG Luxembourg-Death Accident</v>
      </c>
      <c r="F199" s="432" t="s">
        <v>4</v>
      </c>
      <c r="G199" s="421" t="s">
        <v>6</v>
      </c>
      <c r="H199" s="524"/>
      <c r="I199" s="524"/>
      <c r="J199" s="524"/>
      <c r="K199" s="524"/>
      <c r="L199" s="421">
        <v>365</v>
      </c>
      <c r="M199" s="433"/>
      <c r="N199" s="411">
        <v>0.25</v>
      </c>
      <c r="O199" s="770">
        <v>8.7980000000000003E-4</v>
      </c>
      <c r="P199" s="411">
        <v>0</v>
      </c>
      <c r="Q199" s="412">
        <v>0</v>
      </c>
      <c r="R199" s="770"/>
      <c r="S199" s="411">
        <v>0.04</v>
      </c>
      <c r="T199" s="411"/>
      <c r="U199" s="433">
        <f t="shared" si="33"/>
        <v>9.1499200000000011E-4</v>
      </c>
      <c r="V199" s="433"/>
      <c r="W199" s="432" t="s">
        <v>33</v>
      </c>
      <c r="X199" s="410">
        <v>2016</v>
      </c>
      <c r="Y199" s="410" t="s">
        <v>26</v>
      </c>
      <c r="Z199" s="410"/>
      <c r="AA199" s="411">
        <v>0.05</v>
      </c>
      <c r="AB199" s="413"/>
      <c r="AC199" s="421" t="s">
        <v>2149</v>
      </c>
      <c r="AD199" s="421"/>
      <c r="AE199" s="421"/>
      <c r="AF199" s="524"/>
      <c r="AG199" s="524"/>
      <c r="AH199" s="524"/>
      <c r="AI199" s="524"/>
      <c r="AJ199" s="418"/>
    </row>
    <row r="200" spans="1:36" s="651" customFormat="1" ht="15.75" thickBot="1">
      <c r="A200" s="299" t="b">
        <v>0</v>
      </c>
      <c r="B200" s="299" t="s">
        <v>2266</v>
      </c>
      <c r="C200" s="299" t="b">
        <f t="shared" si="34"/>
        <v>0</v>
      </c>
      <c r="D200" s="428" t="str">
        <f>IF(C200=FALSE=NAMES!$B$8,"",IF(F200="N/A","N/A",X200&amp;W200&amp;F200&amp;"-"&amp;G200&amp;H200))</f>
        <v>N/A</v>
      </c>
      <c r="E200" s="429" t="str">
        <f>IF(F200="N/A","N/A",X200&amp;W200&amp;F200&amp;"-"&amp;G200&amp;H200)</f>
        <v>N/A</v>
      </c>
      <c r="F200" s="429" t="s">
        <v>2236</v>
      </c>
      <c r="G200" s="429" t="s">
        <v>2236</v>
      </c>
      <c r="H200" s="524"/>
      <c r="I200" s="524"/>
      <c r="J200" s="524"/>
      <c r="K200" s="524"/>
      <c r="L200" s="421"/>
      <c r="M200" s="425"/>
      <c r="N200" s="411"/>
      <c r="O200" s="433"/>
      <c r="P200" s="411"/>
      <c r="Q200" s="433"/>
      <c r="R200" s="433"/>
      <c r="S200" s="411"/>
      <c r="T200" s="411"/>
      <c r="U200" s="433" t="str">
        <f t="shared" si="33"/>
        <v/>
      </c>
      <c r="V200" s="433"/>
      <c r="W200" s="432"/>
      <c r="X200" s="410"/>
      <c r="Y200" s="410"/>
      <c r="Z200" s="410"/>
      <c r="AA200" s="411"/>
      <c r="AB200" s="413"/>
      <c r="AC200" s="421"/>
      <c r="AD200" s="421"/>
      <c r="AE200" s="421"/>
      <c r="AF200" s="421"/>
      <c r="AG200" s="421"/>
      <c r="AH200" s="421"/>
      <c r="AI200" s="421"/>
      <c r="AJ200" s="418"/>
    </row>
    <row r="201" spans="1:36" s="651" customFormat="1" ht="45">
      <c r="A201" s="299" t="b">
        <v>0</v>
      </c>
      <c r="B201" s="429" t="s">
        <v>2236</v>
      </c>
      <c r="C201" s="299" t="str">
        <f t="shared" si="34"/>
        <v/>
      </c>
      <c r="D201" s="394" t="s">
        <v>2268</v>
      </c>
      <c r="E201" s="427"/>
      <c r="F201" s="427"/>
      <c r="G201" s="415" t="s">
        <v>2118</v>
      </c>
      <c r="H201" s="415" t="s">
        <v>2238</v>
      </c>
      <c r="I201" s="415" t="s">
        <v>2224</v>
      </c>
      <c r="J201" s="415" t="s">
        <v>1153</v>
      </c>
      <c r="K201" s="416" t="s">
        <v>2239</v>
      </c>
      <c r="L201" s="416" t="s">
        <v>2113</v>
      </c>
      <c r="M201" s="417" t="s">
        <v>2234</v>
      </c>
      <c r="N201" s="416"/>
      <c r="O201" s="416" t="s">
        <v>2235</v>
      </c>
      <c r="P201" s="1360" t="s">
        <v>23</v>
      </c>
      <c r="Q201" s="416"/>
      <c r="R201" s="416"/>
      <c r="S201" s="416" t="s">
        <v>2237</v>
      </c>
      <c r="T201" s="416"/>
      <c r="U201" s="416" t="s">
        <v>2241</v>
      </c>
      <c r="V201" s="416"/>
      <c r="W201" s="416" t="s">
        <v>2119</v>
      </c>
      <c r="X201" s="415" t="s">
        <v>2240</v>
      </c>
      <c r="Y201" s="415"/>
      <c r="Z201" s="415"/>
      <c r="AA201" s="400" t="s">
        <v>2265</v>
      </c>
      <c r="AB201" s="416"/>
      <c r="AC201" s="415" t="s">
        <v>2151</v>
      </c>
      <c r="AD201" s="415" t="s">
        <v>30</v>
      </c>
      <c r="AE201" s="416" t="s">
        <v>137</v>
      </c>
      <c r="AF201" s="416" t="s">
        <v>92</v>
      </c>
      <c r="AG201" s="416" t="s">
        <v>1784</v>
      </c>
      <c r="AH201" s="416" t="s">
        <v>90</v>
      </c>
      <c r="AI201" s="416" t="s">
        <v>91</v>
      </c>
      <c r="AJ201" s="418"/>
    </row>
    <row r="202" spans="1:36" s="651" customFormat="1">
      <c r="A202" s="299" t="b">
        <v>0</v>
      </c>
      <c r="B202" s="299" t="s">
        <v>2267</v>
      </c>
      <c r="C202" s="299" t="b">
        <f t="shared" si="34"/>
        <v>1</v>
      </c>
      <c r="D202" s="428" t="str">
        <f>IF(C202=FALSE=NAMES!$B$8,"",IF(F202="N/A","N/A",X202&amp;W202&amp;F202&amp;"-"&amp;G202&amp;H202))</f>
        <v/>
      </c>
      <c r="E202" s="429" t="str">
        <f>IF(F202="N/A","N/A",X202&amp;W202&amp;F202&amp;"-"&amp;G202&amp;H202)</f>
        <v>N/A</v>
      </c>
      <c r="F202" s="429" t="s">
        <v>2236</v>
      </c>
      <c r="G202" s="429" t="s">
        <v>2236</v>
      </c>
      <c r="H202" s="524"/>
      <c r="I202" s="524"/>
      <c r="J202" s="524"/>
      <c r="K202" s="524"/>
      <c r="L202" s="421"/>
      <c r="M202" s="425"/>
      <c r="N202" s="411"/>
      <c r="O202" s="433"/>
      <c r="P202" s="433"/>
      <c r="Q202" s="433"/>
      <c r="R202" s="433"/>
      <c r="S202" s="411"/>
      <c r="T202" s="411"/>
      <c r="U202" s="433">
        <f t="shared" ref="U202:U223" si="35">IF(D202="N/A","",O202*(1+S202))</f>
        <v>0</v>
      </c>
      <c r="V202" s="433"/>
      <c r="W202" s="432"/>
      <c r="X202" s="410"/>
      <c r="Y202" s="410"/>
      <c r="Z202" s="410"/>
      <c r="AA202" s="411"/>
      <c r="AB202" s="413"/>
      <c r="AC202" s="421"/>
      <c r="AD202" s="421"/>
      <c r="AE202" s="421"/>
      <c r="AF202" s="421"/>
      <c r="AG202" s="421"/>
      <c r="AH202" s="421"/>
      <c r="AI202" s="421"/>
      <c r="AJ202" s="418"/>
    </row>
    <row r="203" spans="1:36" s="651" customFormat="1">
      <c r="A203" s="299" t="b">
        <v>0</v>
      </c>
      <c r="B203" s="299" t="s">
        <v>2267</v>
      </c>
      <c r="C203" s="299" t="b">
        <f t="shared" si="34"/>
        <v>1</v>
      </c>
      <c r="D203" s="428" t="str">
        <f>IF(C203=FALSE=NAMES!$B$8,"",IF(F203="N/A","N/A",X203&amp;W203&amp;F203&amp;"-"&amp;G203&amp;H203))</f>
        <v/>
      </c>
      <c r="E203" s="429" t="str">
        <f>IF(F203="N/A","N/A",X203&amp;W203&amp;F203&amp;"-"&amp;G203&amp;H203)</f>
        <v>2015USDAnker Verzekeringen n.v.-Death Accident</v>
      </c>
      <c r="F203" s="432" t="s">
        <v>7</v>
      </c>
      <c r="G203" s="421" t="s">
        <v>6</v>
      </c>
      <c r="H203" s="421"/>
      <c r="I203" s="421"/>
      <c r="J203" s="421"/>
      <c r="K203" s="421"/>
      <c r="L203" s="421">
        <v>365</v>
      </c>
      <c r="M203" s="433">
        <v>5.8600000000000004E-4</v>
      </c>
      <c r="N203" s="411">
        <v>0.27500000000000002</v>
      </c>
      <c r="O203" s="398">
        <f>M203/(1-N203)</f>
        <v>8.0827586206896559E-4</v>
      </c>
      <c r="P203" s="411">
        <v>0</v>
      </c>
      <c r="Q203" s="412">
        <v>0</v>
      </c>
      <c r="R203" s="398"/>
      <c r="S203" s="411">
        <v>0.04</v>
      </c>
      <c r="T203" s="411"/>
      <c r="U203" s="433">
        <f t="shared" si="35"/>
        <v>8.4060689655172428E-4</v>
      </c>
      <c r="V203" s="433"/>
      <c r="W203" s="432" t="s">
        <v>89</v>
      </c>
      <c r="X203" s="410">
        <v>2015</v>
      </c>
      <c r="Y203" s="410" t="s">
        <v>2246</v>
      </c>
      <c r="Z203" s="410"/>
      <c r="AA203" s="411">
        <v>0.05</v>
      </c>
      <c r="AB203" s="413"/>
      <c r="AC203" s="421" t="s">
        <v>2149</v>
      </c>
      <c r="AD203" s="421" t="s">
        <v>2179</v>
      </c>
      <c r="AE203" s="421" t="s">
        <v>2180</v>
      </c>
      <c r="AF203" s="421" t="s">
        <v>2179</v>
      </c>
      <c r="AG203" s="421" t="s">
        <v>2179</v>
      </c>
      <c r="AH203" s="421" t="s">
        <v>2179</v>
      </c>
      <c r="AI203" s="421" t="s">
        <v>2179</v>
      </c>
      <c r="AJ203" s="418" t="s">
        <v>87</v>
      </c>
    </row>
    <row r="204" spans="1:36" s="651" customFormat="1">
      <c r="A204" s="299" t="b">
        <v>0</v>
      </c>
      <c r="B204" s="299" t="s">
        <v>2267</v>
      </c>
      <c r="C204" s="299" t="b">
        <f t="shared" si="34"/>
        <v>1</v>
      </c>
      <c r="D204" s="428" t="str">
        <f>IF(C204=FALSE=NAMES!$B$8,"",IF(F204="N/A","N/A",X204&amp;W204&amp;F204&amp;"-"&amp;G204&amp;H204))</f>
        <v/>
      </c>
      <c r="E204" s="429" t="str">
        <f>IF(F204="N/A","N/A",X204&amp;W204&amp;F204&amp;"-"&amp;G204&amp;H204)</f>
        <v>2015EURAnker Verzekeringen n.v.-Death Accident</v>
      </c>
      <c r="F204" s="432" t="s">
        <v>7</v>
      </c>
      <c r="G204" s="421" t="s">
        <v>6</v>
      </c>
      <c r="H204" s="421"/>
      <c r="I204" s="421"/>
      <c r="J204" s="421"/>
      <c r="K204" s="421"/>
      <c r="L204" s="421">
        <v>365</v>
      </c>
      <c r="M204" s="433">
        <v>5.0100000000000003E-4</v>
      </c>
      <c r="N204" s="411">
        <v>0.27500000000000002</v>
      </c>
      <c r="O204" s="398">
        <f>M204/(1-N204)</f>
        <v>6.9103448275862072E-4</v>
      </c>
      <c r="P204" s="411">
        <v>0</v>
      </c>
      <c r="Q204" s="412">
        <v>0</v>
      </c>
      <c r="R204" s="398"/>
      <c r="S204" s="411">
        <v>0.04</v>
      </c>
      <c r="T204" s="411"/>
      <c r="U204" s="433">
        <f t="shared" si="35"/>
        <v>7.1867586206896558E-4</v>
      </c>
      <c r="V204" s="433"/>
      <c r="W204" s="432" t="s">
        <v>33</v>
      </c>
      <c r="X204" s="410">
        <v>2015</v>
      </c>
      <c r="Y204" s="410" t="s">
        <v>2246</v>
      </c>
      <c r="Z204" s="410"/>
      <c r="AA204" s="411">
        <v>0.05</v>
      </c>
      <c r="AB204" s="413"/>
      <c r="AC204" s="421" t="s">
        <v>2149</v>
      </c>
      <c r="AD204" s="421" t="s">
        <v>2179</v>
      </c>
      <c r="AE204" s="421" t="s">
        <v>2180</v>
      </c>
      <c r="AF204" s="421" t="s">
        <v>2179</v>
      </c>
      <c r="AG204" s="421" t="s">
        <v>2179</v>
      </c>
      <c r="AH204" s="421" t="s">
        <v>2179</v>
      </c>
      <c r="AI204" s="421" t="s">
        <v>2179</v>
      </c>
      <c r="AJ204" s="418" t="s">
        <v>87</v>
      </c>
    </row>
    <row r="205" spans="1:36" s="651" customFormat="1">
      <c r="A205" s="299" t="b">
        <v>0</v>
      </c>
      <c r="B205" s="299" t="s">
        <v>2267</v>
      </c>
      <c r="C205" s="299" t="b">
        <f t="shared" si="34"/>
        <v>1</v>
      </c>
      <c r="D205" s="428" t="str">
        <f>IF(C205=FALSE=NAMES!$B$8,"",IF(F205="N/A","N/A",X205&amp;W205&amp;F205&amp;"-"&amp;G205&amp;H205&amp;I205))</f>
        <v/>
      </c>
      <c r="E205" s="429" t="str">
        <f>IF(F205="N/A","N/A",X205&amp;W205&amp;F205&amp;"-"&amp;G205&amp;H205&amp;I205)</f>
        <v>2015USDAnker Verzekeringen n.v.-Death AccidentREDUIT</v>
      </c>
      <c r="F205" s="432" t="s">
        <v>7</v>
      </c>
      <c r="G205" s="421" t="s">
        <v>6</v>
      </c>
      <c r="H205" s="421"/>
      <c r="I205" s="421" t="s">
        <v>2435</v>
      </c>
      <c r="J205" s="421"/>
      <c r="K205" s="421"/>
      <c r="L205" s="421">
        <v>365</v>
      </c>
      <c r="M205" s="433">
        <v>0</v>
      </c>
      <c r="N205" s="411">
        <v>0.27500000000000002</v>
      </c>
      <c r="O205" s="398">
        <f>M205/(1-N205)</f>
        <v>0</v>
      </c>
      <c r="P205" s="411">
        <v>0</v>
      </c>
      <c r="Q205" s="412">
        <v>0</v>
      </c>
      <c r="R205" s="398"/>
      <c r="S205" s="411">
        <v>0.04</v>
      </c>
      <c r="T205" s="411"/>
      <c r="U205" s="433">
        <f t="shared" si="35"/>
        <v>0</v>
      </c>
      <c r="V205" s="433"/>
      <c r="W205" s="432" t="s">
        <v>89</v>
      </c>
      <c r="X205" s="410">
        <v>2015</v>
      </c>
      <c r="Y205" s="410" t="s">
        <v>2246</v>
      </c>
      <c r="Z205" s="410"/>
      <c r="AA205" s="411"/>
      <c r="AB205" s="413"/>
      <c r="AC205" s="421"/>
      <c r="AD205" s="421"/>
      <c r="AE205" s="421"/>
      <c r="AF205" s="421"/>
      <c r="AG205" s="421"/>
      <c r="AH205" s="421"/>
      <c r="AI205" s="421"/>
      <c r="AJ205" s="418"/>
    </row>
    <row r="206" spans="1:36" s="651" customFormat="1">
      <c r="A206" s="299" t="b">
        <v>0</v>
      </c>
      <c r="B206" s="299" t="s">
        <v>2267</v>
      </c>
      <c r="C206" s="299" t="b">
        <f t="shared" si="34"/>
        <v>1</v>
      </c>
      <c r="D206" s="428" t="str">
        <f>IF(C206=FALSE=NAMES!$B$8,"",IF(F206="N/A","N/A",X206&amp;W206&amp;F206&amp;"-"&amp;G206&amp;H206&amp;I206))</f>
        <v/>
      </c>
      <c r="E206" s="429" t="str">
        <f>IF(F206="N/A","N/A",X206&amp;W206&amp;F206&amp;"-"&amp;G206&amp;H206&amp;I206)</f>
        <v>2015EURAnker Verzekeringen n.v.-Death AccidentREDUIT</v>
      </c>
      <c r="F206" s="432" t="s">
        <v>7</v>
      </c>
      <c r="G206" s="421" t="s">
        <v>6</v>
      </c>
      <c r="H206" s="421"/>
      <c r="I206" s="421" t="s">
        <v>2435</v>
      </c>
      <c r="J206" s="421"/>
      <c r="K206" s="421"/>
      <c r="L206" s="421">
        <v>365</v>
      </c>
      <c r="M206" s="433">
        <v>0</v>
      </c>
      <c r="N206" s="411">
        <v>0.27500000000000002</v>
      </c>
      <c r="O206" s="398">
        <f>M206/(1-N206)</f>
        <v>0</v>
      </c>
      <c r="P206" s="411">
        <v>0</v>
      </c>
      <c r="Q206" s="412">
        <v>0</v>
      </c>
      <c r="R206" s="398"/>
      <c r="S206" s="411">
        <v>0.04</v>
      </c>
      <c r="T206" s="411"/>
      <c r="U206" s="433">
        <f t="shared" si="35"/>
        <v>0</v>
      </c>
      <c r="V206" s="433"/>
      <c r="W206" s="432" t="s">
        <v>33</v>
      </c>
      <c r="X206" s="410">
        <v>2015</v>
      </c>
      <c r="Y206" s="410" t="s">
        <v>2246</v>
      </c>
      <c r="Z206" s="410"/>
      <c r="AA206" s="411"/>
      <c r="AB206" s="413"/>
      <c r="AC206" s="421"/>
      <c r="AD206" s="421"/>
      <c r="AE206" s="421"/>
      <c r="AF206" s="421"/>
      <c r="AG206" s="421"/>
      <c r="AH206" s="421"/>
      <c r="AI206" s="421"/>
      <c r="AJ206" s="418"/>
    </row>
    <row r="207" spans="1:36" s="651" customFormat="1">
      <c r="A207" s="299" t="b">
        <v>0</v>
      </c>
      <c r="B207" s="299" t="s">
        <v>2267</v>
      </c>
      <c r="C207" s="299" t="b">
        <f t="shared" si="34"/>
        <v>1</v>
      </c>
      <c r="D207" s="428" t="str">
        <f>IF(C207=FALSE=NAMES!$B$8,"",IF(F207="N/A","N/A",X207&amp;W207&amp;F207&amp;"-"&amp;G207&amp;H207))</f>
        <v/>
      </c>
      <c r="E207" s="429" t="str">
        <f>IF(F207="N/A","N/A",X207&amp;W207&amp;F207&amp;"-"&amp;G207&amp;H207)</f>
        <v>2015USDAIG Luxembourg-Death Accident</v>
      </c>
      <c r="F207" s="432" t="s">
        <v>4</v>
      </c>
      <c r="G207" s="421" t="s">
        <v>6</v>
      </c>
      <c r="H207" s="524"/>
      <c r="I207" s="524"/>
      <c r="J207" s="524"/>
      <c r="K207" s="524"/>
      <c r="L207" s="421">
        <v>365</v>
      </c>
      <c r="M207" s="425"/>
      <c r="N207" s="411">
        <v>0.25</v>
      </c>
      <c r="O207" s="770">
        <v>8.7980000000000003E-4</v>
      </c>
      <c r="P207" s="411">
        <v>0</v>
      </c>
      <c r="Q207" s="412">
        <v>0</v>
      </c>
      <c r="R207" s="770"/>
      <c r="S207" s="411">
        <v>0.04</v>
      </c>
      <c r="T207" s="411"/>
      <c r="U207" s="433">
        <f t="shared" si="35"/>
        <v>9.1499200000000011E-4</v>
      </c>
      <c r="V207" s="433"/>
      <c r="W207" s="432" t="s">
        <v>89</v>
      </c>
      <c r="X207" s="410">
        <v>2015</v>
      </c>
      <c r="Y207" s="410" t="s">
        <v>26</v>
      </c>
      <c r="Z207" s="410"/>
      <c r="AA207" s="411">
        <v>0.05</v>
      </c>
      <c r="AB207" s="413"/>
      <c r="AC207" s="421" t="s">
        <v>2149</v>
      </c>
      <c r="AD207" s="421" t="s">
        <v>2179</v>
      </c>
      <c r="AE207" s="421" t="s">
        <v>2180</v>
      </c>
      <c r="AF207" s="524"/>
      <c r="AG207" s="524"/>
      <c r="AH207" s="524"/>
      <c r="AI207" s="524"/>
      <c r="AJ207" s="418" t="s">
        <v>2181</v>
      </c>
    </row>
    <row r="208" spans="1:36" s="651" customFormat="1">
      <c r="A208" s="299" t="b">
        <v>0</v>
      </c>
      <c r="B208" s="299" t="s">
        <v>2267</v>
      </c>
      <c r="C208" s="299" t="b">
        <f t="shared" si="34"/>
        <v>1</v>
      </c>
      <c r="D208" s="428" t="str">
        <f>IF(C208=FALSE=NAMES!$B$8,"",IF(F208="N/A","N/A",X208&amp;W208&amp;F208&amp;"-"&amp;G208&amp;H208))</f>
        <v/>
      </c>
      <c r="E208" s="429" t="str">
        <f>IF(F208="N/A","N/A",X208&amp;W208&amp;F208&amp;"-"&amp;G208&amp;H208)</f>
        <v>2015EURAIG Luxembourg-Death Accident</v>
      </c>
      <c r="F208" s="432" t="s">
        <v>4</v>
      </c>
      <c r="G208" s="421" t="s">
        <v>6</v>
      </c>
      <c r="H208" s="524"/>
      <c r="I208" s="524"/>
      <c r="J208" s="524"/>
      <c r="K208" s="524"/>
      <c r="L208" s="421">
        <v>365</v>
      </c>
      <c r="M208" s="433"/>
      <c r="N208" s="411">
        <v>0.25</v>
      </c>
      <c r="O208" s="770">
        <v>8.7980000000000003E-4</v>
      </c>
      <c r="P208" s="411">
        <v>0</v>
      </c>
      <c r="Q208" s="412">
        <v>0</v>
      </c>
      <c r="R208" s="770"/>
      <c r="S208" s="411">
        <v>0.04</v>
      </c>
      <c r="T208" s="411"/>
      <c r="U208" s="433">
        <f t="shared" si="35"/>
        <v>9.1499200000000011E-4</v>
      </c>
      <c r="V208" s="433"/>
      <c r="W208" s="432" t="s">
        <v>33</v>
      </c>
      <c r="X208" s="410">
        <v>2015</v>
      </c>
      <c r="Y208" s="410" t="s">
        <v>26</v>
      </c>
      <c r="Z208" s="410"/>
      <c r="AA208" s="411">
        <v>0.05</v>
      </c>
      <c r="AB208" s="413"/>
      <c r="AC208" s="421" t="s">
        <v>2149</v>
      </c>
      <c r="AD208" s="421"/>
      <c r="AE208" s="421"/>
      <c r="AF208" s="524"/>
      <c r="AG208" s="524"/>
      <c r="AH208" s="524"/>
      <c r="AI208" s="524"/>
      <c r="AJ208" s="418"/>
    </row>
    <row r="209" spans="1:36" s="651" customFormat="1">
      <c r="A209" s="299" t="b">
        <v>0</v>
      </c>
      <c r="B209" s="299" t="s">
        <v>2267</v>
      </c>
      <c r="C209" s="299" t="b">
        <f t="shared" si="34"/>
        <v>1</v>
      </c>
      <c r="D209" s="428" t="str">
        <f>IF(C209=FALSE=NAMES!$B$8,"",IF(F209="N/A","N/A",X209&amp;W209&amp;F209&amp;"-"&amp;G209&amp;H209))</f>
        <v/>
      </c>
      <c r="E209" s="429" t="str">
        <f>IF(F209="N/A","N/A",X209&amp;W209&amp;F209&amp;"-"&amp;G209&amp;H209)</f>
        <v>N/A</v>
      </c>
      <c r="F209" s="429" t="s">
        <v>2236</v>
      </c>
      <c r="G209" s="429" t="s">
        <v>2236</v>
      </c>
      <c r="H209" s="524"/>
      <c r="I209" s="524"/>
      <c r="J209" s="524"/>
      <c r="K209" s="524"/>
      <c r="L209" s="421"/>
      <c r="M209" s="425"/>
      <c r="N209" s="411"/>
      <c r="O209" s="433"/>
      <c r="P209" s="433"/>
      <c r="Q209" s="412">
        <v>0</v>
      </c>
      <c r="R209" s="433"/>
      <c r="S209" s="411"/>
      <c r="T209" s="411"/>
      <c r="U209" s="433">
        <f t="shared" si="35"/>
        <v>0</v>
      </c>
      <c r="V209" s="433"/>
      <c r="W209" s="432"/>
      <c r="X209" s="410"/>
      <c r="Y209" s="410"/>
      <c r="Z209" s="410"/>
      <c r="AA209" s="411"/>
      <c r="AB209" s="410"/>
      <c r="AC209" s="524"/>
      <c r="AD209" s="421"/>
      <c r="AE209" s="421"/>
      <c r="AF209" s="524"/>
      <c r="AG209" s="524"/>
      <c r="AH209" s="524"/>
      <c r="AI209" s="524"/>
      <c r="AJ209" s="418"/>
    </row>
    <row r="210" spans="1:36" s="651" customFormat="1">
      <c r="A210" s="299" t="b">
        <v>0</v>
      </c>
      <c r="B210" s="299" t="s">
        <v>2267</v>
      </c>
      <c r="C210" s="299" t="b">
        <f t="shared" si="34"/>
        <v>1</v>
      </c>
      <c r="D210" s="428" t="str">
        <f>IF(C210=FALSE=NAMES!$B$8,"",IF(F210="N/A","N/A",X210&amp;W210&amp;F210&amp;"-"&amp;G210&amp;H210))</f>
        <v/>
      </c>
      <c r="E210" s="429" t="str">
        <f>IF(F210="N/A","N/A",X210&amp;W210&amp;F210&amp;"-"&amp;G210&amp;H210)</f>
        <v>2014USDAnker Verzekeringen n.v.-Death Accident</v>
      </c>
      <c r="F210" s="432" t="s">
        <v>7</v>
      </c>
      <c r="G210" s="421" t="s">
        <v>6</v>
      </c>
      <c r="H210" s="421"/>
      <c r="I210" s="421"/>
      <c r="J210" s="421"/>
      <c r="K210" s="421"/>
      <c r="L210" s="421">
        <v>365</v>
      </c>
      <c r="M210" s="433">
        <v>5.8E-4</v>
      </c>
      <c r="N210" s="411">
        <v>0.25</v>
      </c>
      <c r="O210" s="433">
        <v>7.9500000000000003E-4</v>
      </c>
      <c r="P210" s="411">
        <v>0</v>
      </c>
      <c r="Q210" s="412">
        <v>0</v>
      </c>
      <c r="R210" s="433"/>
      <c r="S210" s="411">
        <v>0.04</v>
      </c>
      <c r="T210" s="411"/>
      <c r="U210" s="433">
        <f t="shared" si="35"/>
        <v>8.2680000000000004E-4</v>
      </c>
      <c r="V210" s="433"/>
      <c r="W210" s="432" t="s">
        <v>89</v>
      </c>
      <c r="X210" s="410">
        <v>2014</v>
      </c>
      <c r="Y210" s="410" t="s">
        <v>2246</v>
      </c>
      <c r="Z210" s="410"/>
      <c r="AA210" s="411">
        <v>0.05</v>
      </c>
      <c r="AB210" s="413"/>
      <c r="AC210" s="421" t="s">
        <v>2149</v>
      </c>
      <c r="AD210" s="421" t="s">
        <v>2179</v>
      </c>
      <c r="AE210" s="421" t="s">
        <v>2179</v>
      </c>
      <c r="AF210" s="421" t="s">
        <v>2179</v>
      </c>
      <c r="AG210" s="421" t="s">
        <v>2179</v>
      </c>
      <c r="AH210" s="421" t="s">
        <v>2179</v>
      </c>
      <c r="AI210" s="421" t="s">
        <v>2179</v>
      </c>
      <c r="AJ210" s="418" t="s">
        <v>87</v>
      </c>
    </row>
    <row r="211" spans="1:36" s="651" customFormat="1">
      <c r="A211" s="299" t="b">
        <v>0</v>
      </c>
      <c r="B211" s="299" t="s">
        <v>2267</v>
      </c>
      <c r="C211" s="299" t="b">
        <f t="shared" si="34"/>
        <v>1</v>
      </c>
      <c r="D211" s="428" t="str">
        <f>IF(C211=FALSE=NAMES!$B$8,"",IF(F211="N/A","N/A",X211&amp;W211&amp;F211&amp;"-"&amp;G211&amp;H211))</f>
        <v/>
      </c>
      <c r="E211" s="429" t="str">
        <f>IF(F211="N/A","N/A",X211&amp;W211&amp;F211&amp;"-"&amp;G211&amp;H211)</f>
        <v>2014EURAnker Verzekeringen n.v.-Death Accident</v>
      </c>
      <c r="F211" s="432" t="s">
        <v>7</v>
      </c>
      <c r="G211" s="421" t="s">
        <v>6</v>
      </c>
      <c r="H211" s="421"/>
      <c r="I211" s="421"/>
      <c r="J211" s="421"/>
      <c r="K211" s="421"/>
      <c r="L211" s="421">
        <v>365</v>
      </c>
      <c r="M211" s="433">
        <v>5.0000000000000001E-4</v>
      </c>
      <c r="N211" s="411">
        <v>0.25</v>
      </c>
      <c r="O211" s="433">
        <v>6.8000000000000005E-4</v>
      </c>
      <c r="P211" s="411">
        <v>0</v>
      </c>
      <c r="Q211" s="412">
        <v>0</v>
      </c>
      <c r="R211" s="433"/>
      <c r="S211" s="411">
        <v>0.04</v>
      </c>
      <c r="T211" s="411"/>
      <c r="U211" s="433">
        <f t="shared" si="35"/>
        <v>7.0720000000000006E-4</v>
      </c>
      <c r="V211" s="433"/>
      <c r="W211" s="432" t="s">
        <v>33</v>
      </c>
      <c r="X211" s="410">
        <v>2014</v>
      </c>
      <c r="Y211" s="410" t="s">
        <v>2246</v>
      </c>
      <c r="Z211" s="410"/>
      <c r="AA211" s="411">
        <v>0.05</v>
      </c>
      <c r="AB211" s="413"/>
      <c r="AC211" s="421" t="s">
        <v>2149</v>
      </c>
      <c r="AD211" s="421" t="s">
        <v>2179</v>
      </c>
      <c r="AE211" s="421" t="s">
        <v>2179</v>
      </c>
      <c r="AF211" s="421" t="s">
        <v>2179</v>
      </c>
      <c r="AG211" s="421" t="s">
        <v>2179</v>
      </c>
      <c r="AH211" s="421" t="s">
        <v>2179</v>
      </c>
      <c r="AI211" s="421" t="s">
        <v>2179</v>
      </c>
      <c r="AJ211" s="418" t="s">
        <v>87</v>
      </c>
    </row>
    <row r="212" spans="1:36" s="651" customFormat="1">
      <c r="A212" s="299" t="b">
        <v>0</v>
      </c>
      <c r="B212" s="299" t="s">
        <v>2267</v>
      </c>
      <c r="C212" s="299" t="b">
        <f t="shared" si="34"/>
        <v>1</v>
      </c>
      <c r="D212" s="428" t="str">
        <f>IF(C212=FALSE=NAMES!$B$8,"",IF(F212="N/A","N/A",X212&amp;W212&amp;F212&amp;"-"&amp;G212&amp;H212&amp;I212))</f>
        <v/>
      </c>
      <c r="E212" s="429" t="str">
        <f>IF(F212="N/A","N/A",X212&amp;W212&amp;F212&amp;"-"&amp;G212&amp;H212&amp;I212)</f>
        <v>2014USDAnker Verzekeringen n.v.-Death AccidentREDUIT</v>
      </c>
      <c r="F212" s="432" t="s">
        <v>7</v>
      </c>
      <c r="G212" s="421" t="s">
        <v>6</v>
      </c>
      <c r="H212" s="421"/>
      <c r="I212" s="421" t="s">
        <v>2435</v>
      </c>
      <c r="J212" s="421"/>
      <c r="K212" s="421"/>
      <c r="L212" s="421">
        <v>365</v>
      </c>
      <c r="M212" s="433">
        <v>0</v>
      </c>
      <c r="N212" s="411">
        <v>0.25</v>
      </c>
      <c r="O212" s="398">
        <f>M212/(1-N212)</f>
        <v>0</v>
      </c>
      <c r="P212" s="411">
        <v>0</v>
      </c>
      <c r="Q212" s="412">
        <v>0</v>
      </c>
      <c r="R212" s="398"/>
      <c r="S212" s="411">
        <v>0.04</v>
      </c>
      <c r="T212" s="411"/>
      <c r="U212" s="433">
        <f t="shared" si="35"/>
        <v>0</v>
      </c>
      <c r="V212" s="433"/>
      <c r="W212" s="432" t="s">
        <v>89</v>
      </c>
      <c r="X212" s="410">
        <v>2014</v>
      </c>
      <c r="Y212" s="410" t="s">
        <v>2246</v>
      </c>
      <c r="Z212" s="410"/>
      <c r="AA212" s="411"/>
      <c r="AB212" s="413"/>
      <c r="AC212" s="421"/>
      <c r="AD212" s="421"/>
      <c r="AE212" s="421"/>
      <c r="AF212" s="421"/>
      <c r="AG212" s="421"/>
      <c r="AH212" s="421"/>
      <c r="AI212" s="421"/>
      <c r="AJ212" s="418"/>
    </row>
    <row r="213" spans="1:36" s="651" customFormat="1">
      <c r="A213" s="299" t="b">
        <v>0</v>
      </c>
      <c r="B213" s="299" t="s">
        <v>2267</v>
      </c>
      <c r="C213" s="299" t="b">
        <f t="shared" si="34"/>
        <v>1</v>
      </c>
      <c r="D213" s="428" t="str">
        <f>IF(C213=FALSE=NAMES!$B$8,"",IF(F213="N/A","N/A",X213&amp;W213&amp;F213&amp;"-"&amp;G213&amp;H213&amp;I213))</f>
        <v/>
      </c>
      <c r="E213" s="429" t="str">
        <f>IF(F213="N/A","N/A",X213&amp;W213&amp;F213&amp;"-"&amp;G213&amp;H213&amp;I213)</f>
        <v>2014EURAnker Verzekeringen n.v.-Death AccidentREDUIT</v>
      </c>
      <c r="F213" s="432" t="s">
        <v>7</v>
      </c>
      <c r="G213" s="421" t="s">
        <v>6</v>
      </c>
      <c r="H213" s="421"/>
      <c r="I213" s="421" t="s">
        <v>2435</v>
      </c>
      <c r="J213" s="421"/>
      <c r="K213" s="421"/>
      <c r="L213" s="421">
        <v>365</v>
      </c>
      <c r="M213" s="433">
        <v>0</v>
      </c>
      <c r="N213" s="411">
        <v>0.25</v>
      </c>
      <c r="O213" s="398">
        <f>M213/(1-N213)</f>
        <v>0</v>
      </c>
      <c r="P213" s="411">
        <v>0</v>
      </c>
      <c r="Q213" s="412">
        <v>0</v>
      </c>
      <c r="R213" s="398"/>
      <c r="S213" s="411">
        <v>0.04</v>
      </c>
      <c r="T213" s="411"/>
      <c r="U213" s="433">
        <f t="shared" si="35"/>
        <v>0</v>
      </c>
      <c r="V213" s="433"/>
      <c r="W213" s="432" t="s">
        <v>33</v>
      </c>
      <c r="X213" s="410">
        <v>2014</v>
      </c>
      <c r="Y213" s="410" t="s">
        <v>2246</v>
      </c>
      <c r="Z213" s="410"/>
      <c r="AA213" s="411"/>
      <c r="AB213" s="413"/>
      <c r="AC213" s="421"/>
      <c r="AD213" s="421"/>
      <c r="AE213" s="421"/>
      <c r="AF213" s="421"/>
      <c r="AG213" s="421"/>
      <c r="AH213" s="421"/>
      <c r="AI213" s="421"/>
      <c r="AJ213" s="418"/>
    </row>
    <row r="214" spans="1:36" s="651" customFormat="1">
      <c r="A214" s="299" t="b">
        <v>0</v>
      </c>
      <c r="B214" s="299" t="s">
        <v>2267</v>
      </c>
      <c r="C214" s="299" t="b">
        <f t="shared" si="34"/>
        <v>1</v>
      </c>
      <c r="D214" s="428" t="str">
        <f>IF(C214=FALSE=NAMES!$B$8,"",IF(F214="N/A","N/A",X214&amp;W214&amp;F214&amp;"-"&amp;G214&amp;H214))</f>
        <v/>
      </c>
      <c r="E214" s="429" t="str">
        <f>IF(F214="N/A","N/A",X214&amp;W214&amp;F214&amp;"-"&amp;G214&amp;H214)</f>
        <v>2014USDAIG Luxembourg-Death Accident</v>
      </c>
      <c r="F214" s="432" t="s">
        <v>4</v>
      </c>
      <c r="G214" s="421" t="s">
        <v>6</v>
      </c>
      <c r="H214" s="524"/>
      <c r="I214" s="524"/>
      <c r="J214" s="524"/>
      <c r="K214" s="524"/>
      <c r="L214" s="421">
        <v>365</v>
      </c>
      <c r="M214" s="425"/>
      <c r="N214" s="411">
        <v>0.25</v>
      </c>
      <c r="O214" s="770">
        <v>8.7980000000000003E-4</v>
      </c>
      <c r="P214" s="411">
        <v>0</v>
      </c>
      <c r="Q214" s="412">
        <v>0</v>
      </c>
      <c r="R214" s="770"/>
      <c r="S214" s="411">
        <v>0.04</v>
      </c>
      <c r="T214" s="411"/>
      <c r="U214" s="433">
        <f t="shared" si="35"/>
        <v>9.1499200000000011E-4</v>
      </c>
      <c r="V214" s="433"/>
      <c r="W214" s="432" t="s">
        <v>89</v>
      </c>
      <c r="X214" s="410">
        <v>2014</v>
      </c>
      <c r="Y214" s="410" t="s">
        <v>26</v>
      </c>
      <c r="Z214" s="410"/>
      <c r="AA214" s="411">
        <v>0.05</v>
      </c>
      <c r="AB214" s="413"/>
      <c r="AC214" s="421"/>
      <c r="AD214" s="421"/>
      <c r="AE214" s="421"/>
      <c r="AF214" s="421"/>
      <c r="AG214" s="421"/>
      <c r="AH214" s="421"/>
      <c r="AI214" s="421"/>
      <c r="AJ214" s="418"/>
    </row>
    <row r="215" spans="1:36" s="651" customFormat="1">
      <c r="A215" s="299" t="b">
        <v>0</v>
      </c>
      <c r="B215" s="299" t="s">
        <v>2267</v>
      </c>
      <c r="C215" s="299" t="b">
        <f t="shared" si="34"/>
        <v>1</v>
      </c>
      <c r="D215" s="428" t="str">
        <f>IF(C215=FALSE=NAMES!$B$8,"",IF(F215="N/A","N/A",X215&amp;W215&amp;F215&amp;"-"&amp;G215&amp;H215))</f>
        <v/>
      </c>
      <c r="E215" s="429" t="str">
        <f>IF(F215="N/A","N/A",X215&amp;W215&amp;F215&amp;"-"&amp;G215&amp;H215)</f>
        <v>2014EURAIG Luxembourg-Death Accident</v>
      </c>
      <c r="F215" s="432" t="s">
        <v>4</v>
      </c>
      <c r="G215" s="421" t="s">
        <v>6</v>
      </c>
      <c r="H215" s="524"/>
      <c r="I215" s="524"/>
      <c r="J215" s="524"/>
      <c r="K215" s="524"/>
      <c r="L215" s="421">
        <v>365</v>
      </c>
      <c r="M215" s="425"/>
      <c r="N215" s="411">
        <v>0.25</v>
      </c>
      <c r="O215" s="770">
        <v>8.7980000000000003E-4</v>
      </c>
      <c r="P215" s="411">
        <v>0</v>
      </c>
      <c r="Q215" s="412">
        <v>0</v>
      </c>
      <c r="R215" s="770"/>
      <c r="S215" s="411">
        <v>0.04</v>
      </c>
      <c r="T215" s="411"/>
      <c r="U215" s="433">
        <f t="shared" si="35"/>
        <v>9.1499200000000011E-4</v>
      </c>
      <c r="V215" s="433"/>
      <c r="W215" s="432" t="s">
        <v>33</v>
      </c>
      <c r="X215" s="410">
        <v>2014</v>
      </c>
      <c r="Y215" s="410" t="s">
        <v>26</v>
      </c>
      <c r="Z215" s="410"/>
      <c r="AA215" s="411">
        <v>0.05</v>
      </c>
      <c r="AB215" s="413"/>
      <c r="AC215" s="524"/>
      <c r="AD215" s="421" t="s">
        <v>2179</v>
      </c>
      <c r="AE215" s="421" t="s">
        <v>2180</v>
      </c>
      <c r="AF215" s="524"/>
      <c r="AG215" s="524"/>
      <c r="AH215" s="524"/>
      <c r="AI215" s="524"/>
      <c r="AJ215" s="418" t="s">
        <v>2181</v>
      </c>
    </row>
    <row r="216" spans="1:36" s="651" customFormat="1">
      <c r="A216" s="299" t="b">
        <v>0</v>
      </c>
      <c r="B216" s="299" t="s">
        <v>2267</v>
      </c>
      <c r="C216" s="299" t="b">
        <f t="shared" si="34"/>
        <v>1</v>
      </c>
      <c r="D216" s="428" t="str">
        <f>IF(C216=FALSE=NAMES!$B$8,"",IF(F216="N/A","N/A",X216&amp;W216&amp;F216&amp;"-"&amp;G216&amp;H216))</f>
        <v/>
      </c>
      <c r="E216" s="429" t="str">
        <f>IF(F216="N/A","N/A",X216&amp;W216&amp;F216&amp;"-"&amp;G216&amp;H216)</f>
        <v>N/A</v>
      </c>
      <c r="F216" s="429" t="s">
        <v>2236</v>
      </c>
      <c r="G216" s="429" t="s">
        <v>2236</v>
      </c>
      <c r="H216" s="524"/>
      <c r="I216" s="524"/>
      <c r="J216" s="524"/>
      <c r="K216" s="524"/>
      <c r="L216" s="421"/>
      <c r="M216" s="425"/>
      <c r="N216" s="411"/>
      <c r="O216" s="433"/>
      <c r="P216" s="433"/>
      <c r="Q216" s="412">
        <v>0</v>
      </c>
      <c r="R216" s="433"/>
      <c r="S216" s="411"/>
      <c r="T216" s="411"/>
      <c r="U216" s="433">
        <f t="shared" si="35"/>
        <v>0</v>
      </c>
      <c r="V216" s="433"/>
      <c r="W216" s="432"/>
      <c r="X216" s="410"/>
      <c r="Y216" s="410"/>
      <c r="Z216" s="410"/>
      <c r="AA216" s="411"/>
      <c r="AB216" s="410"/>
      <c r="AC216" s="524"/>
      <c r="AD216" s="421"/>
      <c r="AE216" s="421"/>
      <c r="AF216" s="524"/>
      <c r="AG216" s="524"/>
      <c r="AH216" s="524"/>
      <c r="AI216" s="524"/>
      <c r="AJ216" s="418"/>
    </row>
    <row r="217" spans="1:36" s="651" customFormat="1">
      <c r="A217" s="299" t="b">
        <v>0</v>
      </c>
      <c r="B217" s="299" t="s">
        <v>2267</v>
      </c>
      <c r="C217" s="299" t="b">
        <f t="shared" si="34"/>
        <v>1</v>
      </c>
      <c r="D217" s="428" t="str">
        <f>IF(C217=FALSE=NAMES!$B$8,"",IF(F217="N/A","N/A",X217&amp;W217&amp;F217&amp;"-"&amp;G217&amp;H217))</f>
        <v/>
      </c>
      <c r="E217" s="429" t="str">
        <f>IF(F217="N/A","N/A",X217&amp;W217&amp;F217&amp;"-"&amp;G217&amp;H217)</f>
        <v>2013USDAnker Verzekeringen n.v.-Death Accident</v>
      </c>
      <c r="F217" s="432" t="s">
        <v>7</v>
      </c>
      <c r="G217" s="421" t="s">
        <v>6</v>
      </c>
      <c r="H217" s="421"/>
      <c r="I217" s="421"/>
      <c r="J217" s="421"/>
      <c r="K217" s="421"/>
      <c r="L217" s="421">
        <v>365</v>
      </c>
      <c r="M217" s="433">
        <v>5.9000000000000003E-4</v>
      </c>
      <c r="N217" s="411">
        <v>0.25</v>
      </c>
      <c r="O217" s="433">
        <v>7.8700000000000005E-4</v>
      </c>
      <c r="P217" s="411">
        <v>0</v>
      </c>
      <c r="Q217" s="412">
        <v>0</v>
      </c>
      <c r="R217" s="433"/>
      <c r="S217" s="411">
        <v>0.04</v>
      </c>
      <c r="T217" s="411"/>
      <c r="U217" s="433">
        <f t="shared" si="35"/>
        <v>8.1848000000000012E-4</v>
      </c>
      <c r="V217" s="433"/>
      <c r="W217" s="432" t="s">
        <v>89</v>
      </c>
      <c r="X217" s="410">
        <v>2013</v>
      </c>
      <c r="Y217" s="410" t="s">
        <v>2246</v>
      </c>
      <c r="Z217" s="410"/>
      <c r="AA217" s="411">
        <v>0.05</v>
      </c>
      <c r="AB217" s="413"/>
      <c r="AC217" s="421" t="s">
        <v>2149</v>
      </c>
      <c r="AD217" s="421" t="s">
        <v>2179</v>
      </c>
      <c r="AE217" s="421" t="s">
        <v>2179</v>
      </c>
      <c r="AF217" s="421" t="s">
        <v>2179</v>
      </c>
      <c r="AG217" s="421" t="s">
        <v>2179</v>
      </c>
      <c r="AH217" s="421" t="s">
        <v>2179</v>
      </c>
      <c r="AI217" s="421" t="s">
        <v>2179</v>
      </c>
      <c r="AJ217" s="418" t="s">
        <v>87</v>
      </c>
    </row>
    <row r="218" spans="1:36" s="651" customFormat="1">
      <c r="A218" s="299" t="b">
        <v>0</v>
      </c>
      <c r="B218" s="299" t="s">
        <v>2267</v>
      </c>
      <c r="C218" s="299" t="b">
        <f t="shared" si="34"/>
        <v>1</v>
      </c>
      <c r="D218" s="428" t="str">
        <f>IF(C218=FALSE=NAMES!$B$8,"",IF(F218="N/A","N/A",X218&amp;W218&amp;F218&amp;"-"&amp;G218&amp;H218))</f>
        <v/>
      </c>
      <c r="E218" s="429" t="str">
        <f>IF(F218="N/A","N/A",X218&amp;W218&amp;F218&amp;"-"&amp;G218&amp;H218)</f>
        <v>2013EURAnker Verzekeringen n.v.-Death Accident</v>
      </c>
      <c r="F218" s="432" t="s">
        <v>7</v>
      </c>
      <c r="G218" s="421" t="s">
        <v>6</v>
      </c>
      <c r="H218" s="421"/>
      <c r="I218" s="421"/>
      <c r="J218" s="421"/>
      <c r="K218" s="421"/>
      <c r="L218" s="421">
        <v>365</v>
      </c>
      <c r="M218" s="433">
        <v>5.1000000000000004E-4</v>
      </c>
      <c r="N218" s="411">
        <v>0.25</v>
      </c>
      <c r="O218" s="433">
        <v>6.8000000000000005E-4</v>
      </c>
      <c r="P218" s="411">
        <v>0</v>
      </c>
      <c r="Q218" s="412">
        <v>0</v>
      </c>
      <c r="R218" s="433"/>
      <c r="S218" s="411">
        <v>0.04</v>
      </c>
      <c r="T218" s="411"/>
      <c r="U218" s="433">
        <f t="shared" si="35"/>
        <v>7.0720000000000006E-4</v>
      </c>
      <c r="V218" s="433"/>
      <c r="W218" s="432" t="s">
        <v>33</v>
      </c>
      <c r="X218" s="410">
        <v>2013</v>
      </c>
      <c r="Y218" s="410" t="s">
        <v>2246</v>
      </c>
      <c r="Z218" s="410"/>
      <c r="AA218" s="411">
        <v>0.05</v>
      </c>
      <c r="AB218" s="413"/>
      <c r="AC218" s="421" t="s">
        <v>2149</v>
      </c>
      <c r="AD218" s="421" t="s">
        <v>2179</v>
      </c>
      <c r="AE218" s="421" t="s">
        <v>2179</v>
      </c>
      <c r="AF218" s="421" t="s">
        <v>2179</v>
      </c>
      <c r="AG218" s="421" t="s">
        <v>2179</v>
      </c>
      <c r="AH218" s="421" t="s">
        <v>2179</v>
      </c>
      <c r="AI218" s="421" t="s">
        <v>2179</v>
      </c>
      <c r="AJ218" s="418" t="s">
        <v>87</v>
      </c>
    </row>
    <row r="219" spans="1:36" s="651" customFormat="1">
      <c r="A219" s="299" t="b">
        <v>0</v>
      </c>
      <c r="B219" s="299" t="s">
        <v>2267</v>
      </c>
      <c r="C219" s="299" t="b">
        <f t="shared" si="34"/>
        <v>1</v>
      </c>
      <c r="D219" s="428" t="str">
        <f>IF(C219=FALSE=NAMES!$B$8,"",IF(F219="N/A","N/A",X219&amp;W219&amp;F219&amp;"-"&amp;G219&amp;H219&amp;I219))</f>
        <v/>
      </c>
      <c r="E219" s="429" t="str">
        <f>IF(F219="N/A","N/A",X219&amp;W219&amp;F219&amp;"-"&amp;G219&amp;H219&amp;I219)</f>
        <v>2013USDAnker Verzekeringen n.v.-Death AccidentREDUIT</v>
      </c>
      <c r="F219" s="432" t="s">
        <v>7</v>
      </c>
      <c r="G219" s="421" t="s">
        <v>6</v>
      </c>
      <c r="H219" s="421"/>
      <c r="I219" s="421" t="s">
        <v>2435</v>
      </c>
      <c r="J219" s="421"/>
      <c r="K219" s="421"/>
      <c r="L219" s="421">
        <v>365</v>
      </c>
      <c r="M219" s="433">
        <v>0</v>
      </c>
      <c r="N219" s="411">
        <v>0.25</v>
      </c>
      <c r="O219" s="398">
        <f>M219/(1-N219)</f>
        <v>0</v>
      </c>
      <c r="P219" s="411">
        <v>0</v>
      </c>
      <c r="Q219" s="412">
        <v>0</v>
      </c>
      <c r="R219" s="398"/>
      <c r="S219" s="411">
        <v>0.04</v>
      </c>
      <c r="T219" s="411"/>
      <c r="U219" s="433">
        <f t="shared" si="35"/>
        <v>0</v>
      </c>
      <c r="V219" s="433"/>
      <c r="W219" s="432" t="s">
        <v>89</v>
      </c>
      <c r="X219" s="410">
        <v>2013</v>
      </c>
      <c r="Y219" s="410" t="s">
        <v>2246</v>
      </c>
      <c r="Z219" s="410"/>
      <c r="AA219" s="411"/>
      <c r="AB219" s="413"/>
      <c r="AC219" s="421"/>
      <c r="AD219" s="421"/>
      <c r="AE219" s="421"/>
      <c r="AF219" s="421"/>
      <c r="AG219" s="421"/>
      <c r="AH219" s="421"/>
      <c r="AI219" s="421"/>
      <c r="AJ219" s="418"/>
    </row>
    <row r="220" spans="1:36" s="651" customFormat="1">
      <c r="A220" s="299" t="b">
        <v>0</v>
      </c>
      <c r="B220" s="299" t="s">
        <v>2267</v>
      </c>
      <c r="C220" s="299" t="b">
        <f t="shared" si="34"/>
        <v>1</v>
      </c>
      <c r="D220" s="428" t="str">
        <f>IF(C220=FALSE=NAMES!$B$8,"",IF(F220="N/A","N/A",X220&amp;W220&amp;F220&amp;"-"&amp;G220&amp;H220&amp;I220))</f>
        <v/>
      </c>
      <c r="E220" s="429" t="str">
        <f>IF(F220="N/A","N/A",X220&amp;W220&amp;F220&amp;"-"&amp;G220&amp;H220&amp;I220)</f>
        <v>2013EURAnker Verzekeringen n.v.-Death AccidentREDUIT</v>
      </c>
      <c r="F220" s="432" t="s">
        <v>7</v>
      </c>
      <c r="G220" s="421" t="s">
        <v>6</v>
      </c>
      <c r="H220" s="421"/>
      <c r="I220" s="421" t="s">
        <v>2435</v>
      </c>
      <c r="J220" s="421"/>
      <c r="K220" s="421"/>
      <c r="L220" s="421">
        <v>365</v>
      </c>
      <c r="M220" s="433">
        <v>0</v>
      </c>
      <c r="N220" s="411">
        <v>0.25</v>
      </c>
      <c r="O220" s="398">
        <f>M220/(1-N220)</f>
        <v>0</v>
      </c>
      <c r="P220" s="411">
        <v>0</v>
      </c>
      <c r="Q220" s="412">
        <v>0</v>
      </c>
      <c r="R220" s="398"/>
      <c r="S220" s="411">
        <v>0.04</v>
      </c>
      <c r="T220" s="411"/>
      <c r="U220" s="433">
        <f t="shared" si="35"/>
        <v>0</v>
      </c>
      <c r="V220" s="433"/>
      <c r="W220" s="432" t="s">
        <v>33</v>
      </c>
      <c r="X220" s="410">
        <v>2013</v>
      </c>
      <c r="Y220" s="410" t="s">
        <v>2246</v>
      </c>
      <c r="Z220" s="410"/>
      <c r="AA220" s="411"/>
      <c r="AB220" s="413"/>
      <c r="AC220" s="421"/>
      <c r="AD220" s="421"/>
      <c r="AE220" s="421"/>
      <c r="AF220" s="421"/>
      <c r="AG220" s="421"/>
      <c r="AH220" s="421"/>
      <c r="AI220" s="421"/>
      <c r="AJ220" s="418"/>
    </row>
    <row r="221" spans="1:36" s="651" customFormat="1">
      <c r="A221" s="299" t="b">
        <v>0</v>
      </c>
      <c r="B221" s="299" t="s">
        <v>2267</v>
      </c>
      <c r="C221" s="299" t="b">
        <f t="shared" si="34"/>
        <v>1</v>
      </c>
      <c r="D221" s="428" t="str">
        <f>IF(C221=FALSE=NAMES!$B$8,"",IF(F221="N/A","N/A",X221&amp;W221&amp;F221&amp;"-"&amp;G221&amp;H221))</f>
        <v/>
      </c>
      <c r="E221" s="429" t="str">
        <f>IF(F221="N/A","N/A",X221&amp;W221&amp;F221&amp;"-"&amp;G221&amp;H221)</f>
        <v>2013USDAIG Luxembourg-Death Accident</v>
      </c>
      <c r="F221" s="432" t="s">
        <v>4</v>
      </c>
      <c r="G221" s="421" t="s">
        <v>6</v>
      </c>
      <c r="H221" s="524"/>
      <c r="I221" s="524"/>
      <c r="J221" s="524"/>
      <c r="K221" s="524"/>
      <c r="L221" s="421">
        <v>365</v>
      </c>
      <c r="M221" s="425"/>
      <c r="N221" s="411">
        <v>0.25</v>
      </c>
      <c r="O221" s="770">
        <v>8.7980000000000003E-4</v>
      </c>
      <c r="P221" s="411">
        <v>0</v>
      </c>
      <c r="Q221" s="412">
        <v>0</v>
      </c>
      <c r="R221" s="770"/>
      <c r="S221" s="411">
        <v>0.04</v>
      </c>
      <c r="T221" s="411"/>
      <c r="U221" s="433">
        <f t="shared" si="35"/>
        <v>9.1499200000000011E-4</v>
      </c>
      <c r="V221" s="433"/>
      <c r="W221" s="432" t="s">
        <v>89</v>
      </c>
      <c r="X221" s="410">
        <v>2013</v>
      </c>
      <c r="Y221" s="410" t="s">
        <v>26</v>
      </c>
      <c r="Z221" s="410"/>
      <c r="AA221" s="411">
        <v>0.05</v>
      </c>
      <c r="AB221" s="413"/>
      <c r="AC221" s="421"/>
      <c r="AD221" s="421"/>
      <c r="AE221" s="421"/>
      <c r="AF221" s="421"/>
      <c r="AG221" s="421"/>
      <c r="AH221" s="421"/>
      <c r="AI221" s="421"/>
      <c r="AJ221" s="418"/>
    </row>
    <row r="222" spans="1:36" s="651" customFormat="1">
      <c r="A222" s="299" t="b">
        <v>0</v>
      </c>
      <c r="B222" s="299" t="s">
        <v>2267</v>
      </c>
      <c r="C222" s="299" t="b">
        <f t="shared" si="34"/>
        <v>1</v>
      </c>
      <c r="D222" s="428" t="str">
        <f>IF(C222=FALSE=NAMES!$B$8,"",IF(F222="N/A","N/A",X222&amp;W222&amp;F222&amp;"-"&amp;G222&amp;H222))</f>
        <v/>
      </c>
      <c r="E222" s="429" t="str">
        <f>IF(F222="N/A","N/A",X222&amp;W222&amp;F222&amp;"-"&amp;G222&amp;H222)</f>
        <v>2013EURAIG Luxembourg-Death Accident</v>
      </c>
      <c r="F222" s="432" t="s">
        <v>4</v>
      </c>
      <c r="G222" s="421" t="s">
        <v>6</v>
      </c>
      <c r="H222" s="524"/>
      <c r="I222" s="524"/>
      <c r="J222" s="524"/>
      <c r="K222" s="524"/>
      <c r="L222" s="421">
        <v>365</v>
      </c>
      <c r="M222" s="425"/>
      <c r="N222" s="411">
        <v>0.25</v>
      </c>
      <c r="O222" s="770">
        <v>8.7980000000000003E-4</v>
      </c>
      <c r="P222" s="411">
        <v>0</v>
      </c>
      <c r="Q222" s="412">
        <v>0</v>
      </c>
      <c r="R222" s="770"/>
      <c r="S222" s="411">
        <v>0.04</v>
      </c>
      <c r="T222" s="411"/>
      <c r="U222" s="433">
        <f t="shared" si="35"/>
        <v>9.1499200000000011E-4</v>
      </c>
      <c r="V222" s="433"/>
      <c r="W222" s="432" t="s">
        <v>33</v>
      </c>
      <c r="X222" s="410">
        <v>2013</v>
      </c>
      <c r="Y222" s="410" t="s">
        <v>26</v>
      </c>
      <c r="Z222" s="410"/>
      <c r="AA222" s="411">
        <v>0.05</v>
      </c>
      <c r="AB222" s="413"/>
      <c r="AC222" s="524"/>
      <c r="AD222" s="421" t="s">
        <v>2179</v>
      </c>
      <c r="AE222" s="421" t="s">
        <v>2180</v>
      </c>
      <c r="AF222" s="524"/>
      <c r="AG222" s="524"/>
      <c r="AH222" s="524"/>
      <c r="AI222" s="524"/>
      <c r="AJ222" s="418" t="s">
        <v>2181</v>
      </c>
    </row>
    <row r="223" spans="1:36" s="651" customFormat="1" ht="15.75" thickBot="1">
      <c r="A223" s="299" t="b">
        <v>0</v>
      </c>
      <c r="B223" s="299" t="s">
        <v>2267</v>
      </c>
      <c r="C223" s="299" t="b">
        <f t="shared" si="34"/>
        <v>1</v>
      </c>
      <c r="D223" s="428" t="str">
        <f>IF(C223=FALSE=NAMES!$B$8,"",IF(F223="N/A","N/A",X223&amp;W223&amp;F223&amp;"-"&amp;G223&amp;H223))</f>
        <v/>
      </c>
      <c r="E223" s="429" t="str">
        <f>IF(F223="N/A","N/A",X223&amp;W223&amp;F223&amp;"-"&amp;G223&amp;H223)</f>
        <v>N/A</v>
      </c>
      <c r="F223" s="429" t="s">
        <v>2236</v>
      </c>
      <c r="G223" s="404"/>
      <c r="H223" s="392"/>
      <c r="I223" s="392"/>
      <c r="J223" s="392"/>
      <c r="K223" s="392"/>
      <c r="L223" s="404"/>
      <c r="M223" s="405"/>
      <c r="N223" s="411"/>
      <c r="O223" s="406"/>
      <c r="P223" s="406"/>
      <c r="Q223" s="1358"/>
      <c r="R223" s="1358"/>
      <c r="S223" s="407"/>
      <c r="T223" s="411"/>
      <c r="U223" s="433">
        <f t="shared" si="35"/>
        <v>0</v>
      </c>
      <c r="V223" s="433"/>
      <c r="W223" s="403"/>
      <c r="X223" s="408"/>
      <c r="Y223" s="410"/>
      <c r="Z223" s="410"/>
      <c r="AA223" s="406"/>
      <c r="AB223" s="410"/>
      <c r="AC223" s="524"/>
      <c r="AD223" s="421"/>
      <c r="AE223" s="421"/>
      <c r="AF223" s="524"/>
      <c r="AG223" s="524"/>
      <c r="AH223" s="524"/>
      <c r="AI223" s="524"/>
      <c r="AJ223" s="418"/>
    </row>
    <row r="224" spans="1:36" s="651" customFormat="1" ht="45">
      <c r="A224" s="299" t="b">
        <v>0</v>
      </c>
      <c r="B224" s="429" t="s">
        <v>2236</v>
      </c>
      <c r="C224" s="299" t="str">
        <f t="shared" si="34"/>
        <v/>
      </c>
      <c r="D224" s="399" t="s">
        <v>2117</v>
      </c>
      <c r="E224" s="427"/>
      <c r="F224" s="434"/>
      <c r="G224" s="415" t="s">
        <v>2118</v>
      </c>
      <c r="H224" s="415" t="s">
        <v>2238</v>
      </c>
      <c r="I224" s="415" t="s">
        <v>2224</v>
      </c>
      <c r="J224" s="415" t="s">
        <v>1153</v>
      </c>
      <c r="K224" s="416" t="s">
        <v>2239</v>
      </c>
      <c r="L224" s="416" t="s">
        <v>2113</v>
      </c>
      <c r="M224" s="417" t="s">
        <v>2234</v>
      </c>
      <c r="N224" s="416"/>
      <c r="O224" s="416" t="s">
        <v>2235</v>
      </c>
      <c r="P224" s="1360" t="s">
        <v>23</v>
      </c>
      <c r="Q224" s="416"/>
      <c r="R224" s="416"/>
      <c r="S224" s="416" t="s">
        <v>2237</v>
      </c>
      <c r="T224" s="416"/>
      <c r="U224" s="416" t="s">
        <v>2241</v>
      </c>
      <c r="V224" s="416"/>
      <c r="W224" s="416" t="s">
        <v>2119</v>
      </c>
      <c r="X224" s="415" t="s">
        <v>2240</v>
      </c>
      <c r="Y224" s="415"/>
      <c r="Z224" s="415"/>
      <c r="AA224" s="400" t="s">
        <v>2265</v>
      </c>
      <c r="AB224" s="415"/>
      <c r="AC224" s="415" t="s">
        <v>2151</v>
      </c>
      <c r="AD224" s="415" t="s">
        <v>30</v>
      </c>
      <c r="AE224" s="416" t="s">
        <v>137</v>
      </c>
      <c r="AF224" s="416" t="s">
        <v>92</v>
      </c>
      <c r="AG224" s="416" t="s">
        <v>1784</v>
      </c>
      <c r="AH224" s="416" t="s">
        <v>90</v>
      </c>
      <c r="AI224" s="416" t="s">
        <v>91</v>
      </c>
      <c r="AJ224" s="418"/>
    </row>
    <row r="225" spans="1:36" s="651" customFormat="1">
      <c r="A225" s="299" t="b">
        <v>0</v>
      </c>
      <c r="B225" s="299" t="s">
        <v>2266</v>
      </c>
      <c r="C225" s="299" t="b">
        <f t="shared" si="34"/>
        <v>0</v>
      </c>
      <c r="D225" s="428" t="str">
        <f>IF(C225=FALSE=NAMES!$B$8,"",IF(F225="N/A","N/A",X225&amp;W225&amp;F225&amp;"-"&amp;G225&amp;H225))</f>
        <v>N/A</v>
      </c>
      <c r="E225" s="429" t="str">
        <f>IF(F225="N/A","N/A",X225&amp;W225&amp;F225&amp;"-"&amp;G225&amp;H225)</f>
        <v>N/A</v>
      </c>
      <c r="F225" s="429" t="s">
        <v>2236</v>
      </c>
      <c r="G225" s="429" t="s">
        <v>2236</v>
      </c>
      <c r="H225" s="524"/>
      <c r="I225" s="524"/>
      <c r="J225" s="524"/>
      <c r="K225" s="524"/>
      <c r="L225" s="421"/>
      <c r="M225" s="425"/>
      <c r="N225" s="411"/>
      <c r="O225" s="433"/>
      <c r="P225" s="433"/>
      <c r="Q225" s="433"/>
      <c r="R225" s="433"/>
      <c r="S225" s="411"/>
      <c r="T225" s="411"/>
      <c r="U225" s="433" t="str">
        <f t="shared" ref="U225:U230" si="36">IF(D225="N/A","",O225*(1+S225))</f>
        <v/>
      </c>
      <c r="V225" s="433"/>
      <c r="W225" s="432"/>
      <c r="X225" s="410"/>
      <c r="Y225" s="410"/>
      <c r="Z225" s="410"/>
      <c r="AA225" s="433"/>
      <c r="AB225" s="410"/>
      <c r="AC225" s="524"/>
      <c r="AD225" s="421"/>
      <c r="AE225" s="421"/>
      <c r="AF225" s="524"/>
      <c r="AG225" s="524"/>
      <c r="AH225" s="524"/>
      <c r="AI225" s="524"/>
      <c r="AJ225" s="418"/>
    </row>
    <row r="226" spans="1:36" s="651" customFormat="1">
      <c r="A226" s="299" t="b">
        <v>0</v>
      </c>
      <c r="B226" s="299" t="s">
        <v>2266</v>
      </c>
      <c r="C226" s="299" t="b">
        <f t="shared" si="34"/>
        <v>0</v>
      </c>
      <c r="D226" s="428" t="str">
        <f>IF(C226=FALSE=NAMES!$B$8,"",IF(F226="N/A","N/A",X226&amp;W226&amp;F226&amp;"-"&amp;G226&amp;H226))</f>
        <v>2016USDAnker Verzekeringen n.v.-Death illness</v>
      </c>
      <c r="E226" s="429" t="str">
        <f>IF(F226="N/A","N/A",X226&amp;W226&amp;F226&amp;"-"&amp;G226&amp;H226)</f>
        <v>2016USDAnker Verzekeringen n.v.-Death illness</v>
      </c>
      <c r="F226" s="432" t="s">
        <v>7</v>
      </c>
      <c r="G226" s="421" t="s">
        <v>2121</v>
      </c>
      <c r="H226" s="421"/>
      <c r="I226" s="421"/>
      <c r="J226" s="421"/>
      <c r="K226" s="421"/>
      <c r="L226" s="421">
        <v>365</v>
      </c>
      <c r="M226" s="433">
        <v>1.444E-3</v>
      </c>
      <c r="N226" s="411">
        <v>0.27500000000000002</v>
      </c>
      <c r="O226" s="398">
        <f>M226/(1-N226)</f>
        <v>1.9917241379310345E-3</v>
      </c>
      <c r="P226" s="411">
        <v>0</v>
      </c>
      <c r="Q226" s="412">
        <v>0</v>
      </c>
      <c r="R226" s="398"/>
      <c r="S226" s="411">
        <v>0.04</v>
      </c>
      <c r="T226" s="411"/>
      <c r="U226" s="433">
        <f t="shared" si="36"/>
        <v>2.0713931034482759E-3</v>
      </c>
      <c r="V226" s="433"/>
      <c r="W226" s="432" t="s">
        <v>89</v>
      </c>
      <c r="X226" s="410">
        <v>2016</v>
      </c>
      <c r="Y226" s="410" t="s">
        <v>2246</v>
      </c>
      <c r="Z226" s="410"/>
      <c r="AA226" s="411">
        <v>0.05</v>
      </c>
      <c r="AB226" s="413"/>
      <c r="AC226" s="421" t="s">
        <v>2149</v>
      </c>
      <c r="AD226" s="421" t="s">
        <v>2179</v>
      </c>
      <c r="AE226" s="421" t="s">
        <v>2180</v>
      </c>
      <c r="AF226" s="421" t="s">
        <v>2180</v>
      </c>
      <c r="AG226" s="421" t="s">
        <v>2180</v>
      </c>
      <c r="AH226" s="421" t="s">
        <v>2179</v>
      </c>
      <c r="AI226" s="421" t="s">
        <v>2179</v>
      </c>
      <c r="AJ226" s="418" t="s">
        <v>2181</v>
      </c>
    </row>
    <row r="227" spans="1:36" s="651" customFormat="1">
      <c r="A227" s="299" t="b">
        <v>0</v>
      </c>
      <c r="B227" s="299" t="s">
        <v>2266</v>
      </c>
      <c r="C227" s="299" t="b">
        <f t="shared" si="34"/>
        <v>0</v>
      </c>
      <c r="D227" s="428" t="str">
        <f>IF(C227=FALSE=NAMES!$B$8,"",IF(F227="N/A","N/A",X227&amp;W227&amp;F227&amp;"-"&amp;G227&amp;H227))</f>
        <v>2016EURAnker Verzekeringen n.v.-Death illness</v>
      </c>
      <c r="E227" s="429" t="str">
        <f>IF(F227="N/A","N/A",X227&amp;W227&amp;F227&amp;"-"&amp;G227&amp;H227)</f>
        <v>2016EURAnker Verzekeringen n.v.-Death illness</v>
      </c>
      <c r="F227" s="432" t="s">
        <v>7</v>
      </c>
      <c r="G227" s="421" t="s">
        <v>2121</v>
      </c>
      <c r="H227" s="421"/>
      <c r="I227" s="421"/>
      <c r="J227" s="421"/>
      <c r="K227" s="421"/>
      <c r="L227" s="421">
        <v>365</v>
      </c>
      <c r="M227" s="433">
        <v>1.253E-3</v>
      </c>
      <c r="N227" s="411">
        <v>0.27500000000000002</v>
      </c>
      <c r="O227" s="398">
        <f>M227/(1-N227)</f>
        <v>1.7282758620689655E-3</v>
      </c>
      <c r="P227" s="411">
        <v>0</v>
      </c>
      <c r="Q227" s="412">
        <v>0</v>
      </c>
      <c r="R227" s="398"/>
      <c r="S227" s="411">
        <v>0.04</v>
      </c>
      <c r="T227" s="411"/>
      <c r="U227" s="433">
        <f t="shared" si="36"/>
        <v>1.7974068965517242E-3</v>
      </c>
      <c r="V227" s="433"/>
      <c r="W227" s="432" t="s">
        <v>33</v>
      </c>
      <c r="X227" s="410">
        <v>2016</v>
      </c>
      <c r="Y227" s="410" t="s">
        <v>2246</v>
      </c>
      <c r="Z227" s="410"/>
      <c r="AA227" s="411">
        <v>0.05</v>
      </c>
      <c r="AB227" s="413"/>
      <c r="AC227" s="421" t="s">
        <v>2149</v>
      </c>
      <c r="AD227" s="421" t="s">
        <v>2179</v>
      </c>
      <c r="AE227" s="421" t="s">
        <v>2180</v>
      </c>
      <c r="AF227" s="421" t="s">
        <v>2180</v>
      </c>
      <c r="AG227" s="421" t="s">
        <v>2180</v>
      </c>
      <c r="AH227" s="421" t="s">
        <v>2179</v>
      </c>
      <c r="AI227" s="421" t="s">
        <v>2179</v>
      </c>
      <c r="AJ227" s="418" t="s">
        <v>2181</v>
      </c>
    </row>
    <row r="228" spans="1:36" s="651" customFormat="1">
      <c r="A228" s="299" t="b">
        <v>0</v>
      </c>
      <c r="B228" s="299" t="s">
        <v>2266</v>
      </c>
      <c r="C228" s="299" t="b">
        <f t="shared" si="34"/>
        <v>0</v>
      </c>
      <c r="D228" s="428" t="str">
        <f>IF(C228=FALSE=NAMES!$B$8,"",IF(F228="N/A","N/A",X228&amp;W228&amp;F228&amp;"-"&amp;G228&amp;H228&amp;I228))</f>
        <v>2016USDAnker Verzekeringen n.v.-Death illnessREDUIT</v>
      </c>
      <c r="E228" s="429" t="str">
        <f>IF(F228="N/A","N/A",X228&amp;W228&amp;F228&amp;"-"&amp;G228&amp;H228&amp;I228)</f>
        <v>2016USDAnker Verzekeringen n.v.-Death illnessREDUIT</v>
      </c>
      <c r="F228" s="432" t="s">
        <v>7</v>
      </c>
      <c r="G228" s="421" t="s">
        <v>2121</v>
      </c>
      <c r="H228" s="421"/>
      <c r="I228" s="421" t="s">
        <v>2435</v>
      </c>
      <c r="J228" s="421"/>
      <c r="K228" s="421"/>
      <c r="L228" s="421">
        <v>365</v>
      </c>
      <c r="M228" s="433">
        <v>1.2999999999999999E-3</v>
      </c>
      <c r="N228" s="411">
        <v>0.27500000000000002</v>
      </c>
      <c r="O228" s="398">
        <f>M228/(1-N228)</f>
        <v>1.7931034482758621E-3</v>
      </c>
      <c r="P228" s="411">
        <v>0</v>
      </c>
      <c r="Q228" s="412">
        <v>0</v>
      </c>
      <c r="R228" s="398"/>
      <c r="S228" s="411">
        <v>0.04</v>
      </c>
      <c r="T228" s="411"/>
      <c r="U228" s="433">
        <f t="shared" si="36"/>
        <v>1.8648275862068965E-3</v>
      </c>
      <c r="V228" s="433"/>
      <c r="W228" s="432" t="s">
        <v>89</v>
      </c>
      <c r="X228" s="410">
        <v>2016</v>
      </c>
      <c r="Y228" s="410" t="s">
        <v>2246</v>
      </c>
      <c r="Z228" s="410"/>
      <c r="AA228" s="411">
        <v>0.05</v>
      </c>
      <c r="AB228" s="413"/>
      <c r="AC228" s="421"/>
      <c r="AD228" s="421"/>
      <c r="AE228" s="421"/>
      <c r="AF228" s="421"/>
      <c r="AG228" s="421"/>
      <c r="AH228" s="421"/>
      <c r="AI228" s="421"/>
      <c r="AJ228" s="418"/>
    </row>
    <row r="229" spans="1:36" s="651" customFormat="1">
      <c r="A229" s="299" t="b">
        <v>0</v>
      </c>
      <c r="B229" s="299" t="s">
        <v>2266</v>
      </c>
      <c r="C229" s="299" t="b">
        <f t="shared" si="34"/>
        <v>0</v>
      </c>
      <c r="D229" s="428" t="str">
        <f>IF(C229=FALSE=NAMES!$B$8,"",IF(F229="N/A","N/A",X229&amp;W229&amp;F229&amp;"-"&amp;G229&amp;H229&amp;I229))</f>
        <v>2016EURAnker Verzekeringen n.v.-Death illnessREDUIT</v>
      </c>
      <c r="E229" s="429" t="str">
        <f>IF(F229="N/A","N/A",X229&amp;W229&amp;F229&amp;"-"&amp;G229&amp;H229&amp;I229)</f>
        <v>2016EURAnker Verzekeringen n.v.-Death illnessREDUIT</v>
      </c>
      <c r="F229" s="432" t="s">
        <v>7</v>
      </c>
      <c r="G229" s="421" t="s">
        <v>2121</v>
      </c>
      <c r="H229" s="421"/>
      <c r="I229" s="421" t="s">
        <v>2435</v>
      </c>
      <c r="J229" s="421"/>
      <c r="K229" s="421"/>
      <c r="L229" s="421">
        <v>365</v>
      </c>
      <c r="M229" s="433">
        <v>1.1280000000000001E-3</v>
      </c>
      <c r="N229" s="411">
        <v>0.27500000000000002</v>
      </c>
      <c r="O229" s="398">
        <f>M229/(1-N229)</f>
        <v>1.5558620689655174E-3</v>
      </c>
      <c r="P229" s="411">
        <v>0</v>
      </c>
      <c r="Q229" s="412">
        <v>0</v>
      </c>
      <c r="R229" s="398"/>
      <c r="S229" s="411">
        <v>0.04</v>
      </c>
      <c r="T229" s="411"/>
      <c r="U229" s="433">
        <f t="shared" si="36"/>
        <v>1.6180965517241382E-3</v>
      </c>
      <c r="V229" s="433"/>
      <c r="W229" s="432" t="s">
        <v>33</v>
      </c>
      <c r="X229" s="410">
        <v>2016</v>
      </c>
      <c r="Y229" s="410" t="s">
        <v>2246</v>
      </c>
      <c r="Z229" s="410"/>
      <c r="AA229" s="411">
        <v>0.05</v>
      </c>
      <c r="AB229" s="413"/>
      <c r="AC229" s="421"/>
      <c r="AD229" s="421"/>
      <c r="AE229" s="421"/>
      <c r="AF229" s="421"/>
      <c r="AG229" s="421"/>
      <c r="AH229" s="421"/>
      <c r="AI229" s="421"/>
      <c r="AJ229" s="418"/>
    </row>
    <row r="230" spans="1:36" s="651" customFormat="1" ht="15.75" thickBot="1">
      <c r="A230" s="299" t="b">
        <v>0</v>
      </c>
      <c r="B230" s="299" t="s">
        <v>2266</v>
      </c>
      <c r="C230" s="299" t="b">
        <f t="shared" si="34"/>
        <v>0</v>
      </c>
      <c r="D230" s="428" t="str">
        <f>IF(C230=FALSE=NAMES!$B$8,"",IF(F230="N/A","N/A",X230&amp;W230&amp;F230&amp;"-"&amp;G230&amp;H230))</f>
        <v>N/A</v>
      </c>
      <c r="E230" s="429" t="str">
        <f>IF(F230="N/A","N/A",X230&amp;W230&amp;F230&amp;"-"&amp;G230&amp;H230)</f>
        <v>N/A</v>
      </c>
      <c r="F230" s="429" t="s">
        <v>2236</v>
      </c>
      <c r="G230" s="429" t="s">
        <v>2236</v>
      </c>
      <c r="H230" s="524"/>
      <c r="I230" s="524"/>
      <c r="J230" s="524"/>
      <c r="K230" s="524"/>
      <c r="L230" s="421"/>
      <c r="M230" s="425"/>
      <c r="N230" s="411"/>
      <c r="O230" s="433"/>
      <c r="P230" s="433"/>
      <c r="Q230" s="433"/>
      <c r="R230" s="433"/>
      <c r="S230" s="411"/>
      <c r="T230" s="411"/>
      <c r="U230" s="433" t="str">
        <f t="shared" si="36"/>
        <v/>
      </c>
      <c r="V230" s="433"/>
      <c r="W230" s="432"/>
      <c r="X230" s="410"/>
      <c r="Y230" s="410"/>
      <c r="Z230" s="410"/>
      <c r="AA230" s="433"/>
      <c r="AB230" s="413"/>
      <c r="AC230" s="524"/>
      <c r="AD230" s="421"/>
      <c r="AE230" s="421"/>
      <c r="AF230" s="524"/>
      <c r="AG230" s="524"/>
      <c r="AH230" s="524"/>
      <c r="AI230" s="524"/>
      <c r="AJ230" s="418"/>
    </row>
    <row r="231" spans="1:36" s="651" customFormat="1" ht="45">
      <c r="A231" s="299" t="b">
        <v>0</v>
      </c>
      <c r="B231" s="429" t="s">
        <v>2236</v>
      </c>
      <c r="C231" s="299" t="str">
        <f t="shared" si="34"/>
        <v/>
      </c>
      <c r="D231" s="399" t="s">
        <v>2260</v>
      </c>
      <c r="E231" s="427"/>
      <c r="F231" s="434"/>
      <c r="G231" s="415" t="s">
        <v>2118</v>
      </c>
      <c r="H231" s="415" t="s">
        <v>2238</v>
      </c>
      <c r="I231" s="415" t="s">
        <v>2224</v>
      </c>
      <c r="J231" s="415" t="s">
        <v>1153</v>
      </c>
      <c r="K231" s="416" t="s">
        <v>2239</v>
      </c>
      <c r="L231" s="416" t="s">
        <v>2113</v>
      </c>
      <c r="M231" s="417" t="s">
        <v>2234</v>
      </c>
      <c r="N231" s="416"/>
      <c r="O231" s="416" t="s">
        <v>2235</v>
      </c>
      <c r="P231" s="1360" t="s">
        <v>23</v>
      </c>
      <c r="Q231" s="416"/>
      <c r="R231" s="416"/>
      <c r="S231" s="416" t="s">
        <v>2237</v>
      </c>
      <c r="T231" s="416"/>
      <c r="U231" s="416" t="s">
        <v>2241</v>
      </c>
      <c r="V231" s="416"/>
      <c r="W231" s="416" t="s">
        <v>2119</v>
      </c>
      <c r="X231" s="415" t="s">
        <v>2240</v>
      </c>
      <c r="Y231" s="415"/>
      <c r="Z231" s="415"/>
      <c r="AA231" s="400" t="s">
        <v>2265</v>
      </c>
      <c r="AB231" s="415"/>
      <c r="AC231" s="415" t="s">
        <v>2151</v>
      </c>
      <c r="AD231" s="415" t="s">
        <v>30</v>
      </c>
      <c r="AE231" s="416" t="s">
        <v>137</v>
      </c>
      <c r="AF231" s="416" t="s">
        <v>92</v>
      </c>
      <c r="AG231" s="416" t="s">
        <v>1784</v>
      </c>
      <c r="AH231" s="416" t="s">
        <v>90</v>
      </c>
      <c r="AI231" s="416" t="s">
        <v>91</v>
      </c>
      <c r="AJ231" s="418"/>
    </row>
    <row r="232" spans="1:36" s="651" customFormat="1">
      <c r="A232" s="299" t="b">
        <v>0</v>
      </c>
      <c r="B232" s="299" t="s">
        <v>2267</v>
      </c>
      <c r="C232" s="299" t="b">
        <f t="shared" si="34"/>
        <v>1</v>
      </c>
      <c r="D232" s="428" t="str">
        <f>IF(C232=FALSE=NAMES!$B$8,"",IF(F232="N/A","N/A",X232&amp;W232&amp;F232&amp;"-"&amp;G232&amp;H232))</f>
        <v/>
      </c>
      <c r="E232" s="429" t="str">
        <f>IF(F232="N/A","N/A",X232&amp;W232&amp;F232&amp;"-"&amp;G232&amp;H232)</f>
        <v>N/A</v>
      </c>
      <c r="F232" s="429" t="s">
        <v>2236</v>
      </c>
      <c r="G232" s="429" t="s">
        <v>2236</v>
      </c>
      <c r="H232" s="524"/>
      <c r="I232" s="524"/>
      <c r="J232" s="524"/>
      <c r="K232" s="524"/>
      <c r="L232" s="421"/>
      <c r="M232" s="425"/>
      <c r="N232" s="411"/>
      <c r="O232" s="433"/>
      <c r="P232" s="433"/>
      <c r="Q232" s="433"/>
      <c r="R232" s="433"/>
      <c r="S232" s="411"/>
      <c r="T232" s="411"/>
      <c r="U232" s="433"/>
      <c r="V232" s="433"/>
      <c r="W232" s="432"/>
      <c r="X232" s="410"/>
      <c r="Y232" s="410"/>
      <c r="Z232" s="410"/>
      <c r="AA232" s="433"/>
      <c r="AB232" s="413"/>
      <c r="AC232" s="524"/>
      <c r="AD232" s="421"/>
      <c r="AE232" s="421"/>
      <c r="AF232" s="524"/>
      <c r="AG232" s="524"/>
      <c r="AH232" s="524"/>
      <c r="AI232" s="524"/>
      <c r="AJ232" s="418"/>
    </row>
    <row r="233" spans="1:36" s="651" customFormat="1">
      <c r="A233" s="299" t="b">
        <v>0</v>
      </c>
      <c r="B233" s="299" t="s">
        <v>2267</v>
      </c>
      <c r="C233" s="299" t="b">
        <f t="shared" si="34"/>
        <v>1</v>
      </c>
      <c r="D233" s="428" t="str">
        <f>IF(C233=FALSE=NAMES!$B$8,"",IF(F233="N/A","N/A",X233&amp;W233&amp;F233&amp;"-"&amp;G233&amp;H233))</f>
        <v/>
      </c>
      <c r="E233" s="429" t="str">
        <f>IF(F233="N/A","N/A",X233&amp;W233&amp;F233&amp;"-"&amp;G233&amp;H233)</f>
        <v>2015USDAnker Verzekeringen n.v.-Death illness</v>
      </c>
      <c r="F233" s="432" t="s">
        <v>7</v>
      </c>
      <c r="G233" s="421" t="s">
        <v>2121</v>
      </c>
      <c r="H233" s="421"/>
      <c r="I233" s="421"/>
      <c r="J233" s="421"/>
      <c r="K233" s="421"/>
      <c r="L233" s="421">
        <v>365</v>
      </c>
      <c r="M233" s="433">
        <v>1.444E-3</v>
      </c>
      <c r="N233" s="411">
        <v>0.27500000000000002</v>
      </c>
      <c r="O233" s="398">
        <f>M233/(1-N233)</f>
        <v>1.9917241379310345E-3</v>
      </c>
      <c r="P233" s="411">
        <v>0</v>
      </c>
      <c r="Q233" s="412">
        <v>0</v>
      </c>
      <c r="R233" s="398"/>
      <c r="S233" s="411">
        <v>0.04</v>
      </c>
      <c r="T233" s="411"/>
      <c r="U233" s="433">
        <v>2.0716799999999998E-3</v>
      </c>
      <c r="V233" s="433"/>
      <c r="W233" s="432" t="s">
        <v>89</v>
      </c>
      <c r="X233" s="410">
        <v>2015</v>
      </c>
      <c r="Y233" s="410" t="s">
        <v>2246</v>
      </c>
      <c r="Z233" s="410"/>
      <c r="AA233" s="411">
        <v>0.05</v>
      </c>
      <c r="AB233" s="413"/>
      <c r="AC233" s="421" t="s">
        <v>2149</v>
      </c>
      <c r="AD233" s="421" t="s">
        <v>2179</v>
      </c>
      <c r="AE233" s="421" t="s">
        <v>2180</v>
      </c>
      <c r="AF233" s="421" t="s">
        <v>2180</v>
      </c>
      <c r="AG233" s="421" t="s">
        <v>2180</v>
      </c>
      <c r="AH233" s="421" t="s">
        <v>2179</v>
      </c>
      <c r="AI233" s="421" t="s">
        <v>2179</v>
      </c>
      <c r="AJ233" s="418" t="s">
        <v>2181</v>
      </c>
    </row>
    <row r="234" spans="1:36" s="651" customFormat="1">
      <c r="A234" s="299" t="b">
        <v>0</v>
      </c>
      <c r="B234" s="299" t="s">
        <v>2267</v>
      </c>
      <c r="C234" s="299" t="b">
        <f t="shared" si="34"/>
        <v>1</v>
      </c>
      <c r="D234" s="428" t="str">
        <f>IF(C234=FALSE=NAMES!$B$8,"",IF(F234="N/A","N/A",X234&amp;W234&amp;F234&amp;"-"&amp;G234&amp;H234))</f>
        <v/>
      </c>
      <c r="E234" s="429" t="str">
        <f>IF(F234="N/A","N/A",X234&amp;W234&amp;F234&amp;"-"&amp;G234&amp;H234)</f>
        <v>2015EURAnker Verzekeringen n.v.-Death illness</v>
      </c>
      <c r="F234" s="432" t="s">
        <v>7</v>
      </c>
      <c r="G234" s="421" t="s">
        <v>2121</v>
      </c>
      <c r="H234" s="421"/>
      <c r="I234" s="421"/>
      <c r="J234" s="421"/>
      <c r="K234" s="421"/>
      <c r="L234" s="421">
        <v>365</v>
      </c>
      <c r="M234" s="433">
        <v>1.253E-3</v>
      </c>
      <c r="N234" s="411">
        <v>0.27500000000000002</v>
      </c>
      <c r="O234" s="398">
        <f>M234/(1-N234)</f>
        <v>1.7282758620689655E-3</v>
      </c>
      <c r="P234" s="411">
        <v>0</v>
      </c>
      <c r="Q234" s="412">
        <v>0</v>
      </c>
      <c r="R234" s="398"/>
      <c r="S234" s="411">
        <v>0.04</v>
      </c>
      <c r="T234" s="411"/>
      <c r="U234" s="433">
        <v>1.7971199999999999E-3</v>
      </c>
      <c r="V234" s="433"/>
      <c r="W234" s="432" t="s">
        <v>33</v>
      </c>
      <c r="X234" s="410">
        <v>2015</v>
      </c>
      <c r="Y234" s="410" t="s">
        <v>2246</v>
      </c>
      <c r="Z234" s="410"/>
      <c r="AA234" s="411">
        <v>0.05</v>
      </c>
      <c r="AB234" s="413"/>
      <c r="AC234" s="421" t="s">
        <v>2149</v>
      </c>
      <c r="AD234" s="421" t="s">
        <v>2179</v>
      </c>
      <c r="AE234" s="421" t="s">
        <v>2180</v>
      </c>
      <c r="AF234" s="421" t="s">
        <v>2180</v>
      </c>
      <c r="AG234" s="421" t="s">
        <v>2180</v>
      </c>
      <c r="AH234" s="421" t="s">
        <v>2179</v>
      </c>
      <c r="AI234" s="421" t="s">
        <v>2179</v>
      </c>
      <c r="AJ234" s="418" t="s">
        <v>2181</v>
      </c>
    </row>
    <row r="235" spans="1:36" s="651" customFormat="1">
      <c r="A235" s="299" t="b">
        <v>0</v>
      </c>
      <c r="B235" s="299" t="s">
        <v>2267</v>
      </c>
      <c r="C235" s="299" t="b">
        <f t="shared" si="34"/>
        <v>1</v>
      </c>
      <c r="D235" s="428" t="str">
        <f>IF(C235=FALSE=NAMES!$B$8,"",IF(F235="N/A","N/A",X235&amp;W235&amp;F235&amp;"-"&amp;G235&amp;H235&amp;I235))</f>
        <v/>
      </c>
      <c r="E235" s="429" t="str">
        <f>IF(F235="N/A","N/A",X235&amp;W235&amp;F235&amp;"-"&amp;G235&amp;H235&amp;I235)</f>
        <v>2015USDAnker Verzekeringen n.v.-Death illnessREDUIT</v>
      </c>
      <c r="F235" s="432" t="s">
        <v>7</v>
      </c>
      <c r="G235" s="421" t="s">
        <v>2121</v>
      </c>
      <c r="H235" s="421"/>
      <c r="I235" s="421" t="s">
        <v>2435</v>
      </c>
      <c r="J235" s="421"/>
      <c r="K235" s="421"/>
      <c r="L235" s="421">
        <v>365</v>
      </c>
      <c r="M235" s="433">
        <v>0</v>
      </c>
      <c r="N235" s="411">
        <v>0.27500000000000002</v>
      </c>
      <c r="O235" s="398">
        <f>M235/(1-N235)</f>
        <v>0</v>
      </c>
      <c r="P235" s="411">
        <v>0</v>
      </c>
      <c r="Q235" s="412">
        <v>0</v>
      </c>
      <c r="R235" s="398"/>
      <c r="S235" s="411">
        <v>0.04</v>
      </c>
      <c r="T235" s="411"/>
      <c r="U235" s="433">
        <f>IF(D235="N/A","",O235*(1+S235))</f>
        <v>0</v>
      </c>
      <c r="V235" s="433"/>
      <c r="W235" s="432" t="s">
        <v>89</v>
      </c>
      <c r="X235" s="410">
        <v>2015</v>
      </c>
      <c r="Y235" s="410" t="s">
        <v>2246</v>
      </c>
      <c r="Z235" s="410"/>
      <c r="AA235" s="411"/>
      <c r="AB235" s="413"/>
      <c r="AC235" s="421"/>
      <c r="AD235" s="421"/>
      <c r="AE235" s="421"/>
      <c r="AF235" s="421"/>
      <c r="AG235" s="421"/>
      <c r="AH235" s="421"/>
      <c r="AI235" s="421"/>
      <c r="AJ235" s="418"/>
    </row>
    <row r="236" spans="1:36" s="651" customFormat="1">
      <c r="A236" s="299" t="b">
        <v>0</v>
      </c>
      <c r="B236" s="299" t="s">
        <v>2267</v>
      </c>
      <c r="C236" s="299" t="b">
        <f t="shared" si="34"/>
        <v>1</v>
      </c>
      <c r="D236" s="428" t="str">
        <f>IF(C236=FALSE=NAMES!$B$8,"",IF(F236="N/A","N/A",X236&amp;W236&amp;F236&amp;"-"&amp;G236&amp;H236&amp;I236))</f>
        <v/>
      </c>
      <c r="E236" s="429" t="str">
        <f>IF(F236="N/A","N/A",X236&amp;W236&amp;F236&amp;"-"&amp;G236&amp;H236&amp;I236)</f>
        <v>2015EURAnker Verzekeringen n.v.-Death illnessREDUIT</v>
      </c>
      <c r="F236" s="432" t="s">
        <v>7</v>
      </c>
      <c r="G236" s="421" t="s">
        <v>2121</v>
      </c>
      <c r="H236" s="421"/>
      <c r="I236" s="421" t="s">
        <v>2435</v>
      </c>
      <c r="J236" s="421"/>
      <c r="K236" s="421"/>
      <c r="L236" s="421">
        <v>365</v>
      </c>
      <c r="M236" s="433">
        <v>0</v>
      </c>
      <c r="N236" s="411">
        <v>0.27500000000000002</v>
      </c>
      <c r="O236" s="398">
        <f>M236/(1-N236)</f>
        <v>0</v>
      </c>
      <c r="P236" s="411">
        <v>0</v>
      </c>
      <c r="Q236" s="412">
        <v>0</v>
      </c>
      <c r="R236" s="398"/>
      <c r="S236" s="411">
        <v>0.04</v>
      </c>
      <c r="T236" s="411"/>
      <c r="U236" s="433">
        <f>IF(D236="N/A","",O236*(1+S236))</f>
        <v>0</v>
      </c>
      <c r="V236" s="433"/>
      <c r="W236" s="432" t="s">
        <v>33</v>
      </c>
      <c r="X236" s="410">
        <v>2015</v>
      </c>
      <c r="Y236" s="410" t="s">
        <v>2246</v>
      </c>
      <c r="Z236" s="410"/>
      <c r="AA236" s="411"/>
      <c r="AB236" s="413"/>
      <c r="AC236" s="421"/>
      <c r="AD236" s="421"/>
      <c r="AE236" s="421"/>
      <c r="AF236" s="421"/>
      <c r="AG236" s="421"/>
      <c r="AH236" s="421"/>
      <c r="AI236" s="421"/>
      <c r="AJ236" s="418"/>
    </row>
    <row r="237" spans="1:36" s="651" customFormat="1">
      <c r="A237" s="299" t="b">
        <v>0</v>
      </c>
      <c r="B237" s="299" t="s">
        <v>2267</v>
      </c>
      <c r="C237" s="299" t="b">
        <f t="shared" si="34"/>
        <v>1</v>
      </c>
      <c r="D237" s="428" t="str">
        <f>IF(C237=FALSE=NAMES!$B$8,"",IF(F237="N/A","N/A",X237&amp;W237&amp;F237&amp;"-"&amp;G237&amp;H237))</f>
        <v/>
      </c>
      <c r="E237" s="429" t="str">
        <f>IF(F237="N/A","N/A",X237&amp;W237&amp;F237&amp;"-"&amp;G237&amp;H237)</f>
        <v>N/A</v>
      </c>
      <c r="F237" s="429" t="s">
        <v>2236</v>
      </c>
      <c r="G237" s="429" t="s">
        <v>2236</v>
      </c>
      <c r="H237" s="421"/>
      <c r="I237" s="421"/>
      <c r="J237" s="421"/>
      <c r="K237" s="421"/>
      <c r="L237" s="421"/>
      <c r="M237" s="433"/>
      <c r="N237" s="411"/>
      <c r="O237" s="433"/>
      <c r="P237" s="411">
        <v>0</v>
      </c>
      <c r="Q237" s="433"/>
      <c r="R237" s="433"/>
      <c r="S237" s="411"/>
      <c r="T237" s="411"/>
      <c r="U237" s="433"/>
      <c r="V237" s="433"/>
      <c r="W237" s="432"/>
      <c r="X237" s="410"/>
      <c r="Y237" s="410"/>
      <c r="Z237" s="410"/>
      <c r="AA237" s="433"/>
      <c r="AB237" s="413"/>
      <c r="AC237" s="421"/>
      <c r="AD237" s="421"/>
      <c r="AE237" s="421"/>
      <c r="AF237" s="421"/>
      <c r="AG237" s="421"/>
      <c r="AH237" s="421"/>
      <c r="AI237" s="421"/>
      <c r="AJ237" s="418"/>
    </row>
    <row r="238" spans="1:36" s="651" customFormat="1">
      <c r="A238" s="299" t="b">
        <v>0</v>
      </c>
      <c r="B238" s="299" t="s">
        <v>2267</v>
      </c>
      <c r="C238" s="299" t="b">
        <f t="shared" si="34"/>
        <v>1</v>
      </c>
      <c r="D238" s="428" t="str">
        <f>IF(C238=FALSE=NAMES!$B$8,"",IF(F238="N/A","N/A",X238&amp;W238&amp;F238&amp;"-"&amp;G238&amp;H238))</f>
        <v/>
      </c>
      <c r="E238" s="429" t="str">
        <f>IF(F238="N/A","N/A",X238&amp;W238&amp;F238&amp;"-"&amp;G238&amp;H238)</f>
        <v>2014USDAnker Verzekeringen n.v.-Death illness</v>
      </c>
      <c r="F238" s="432" t="s">
        <v>7</v>
      </c>
      <c r="G238" s="421" t="s">
        <v>2121</v>
      </c>
      <c r="H238" s="421"/>
      <c r="I238" s="421"/>
      <c r="J238" s="421"/>
      <c r="K238" s="421"/>
      <c r="L238" s="421">
        <v>365</v>
      </c>
      <c r="M238" s="433">
        <v>1.4300000000000001E-3</v>
      </c>
      <c r="N238" s="411">
        <v>0.25</v>
      </c>
      <c r="O238" s="433">
        <v>1.9599999999999999E-3</v>
      </c>
      <c r="P238" s="411">
        <v>0</v>
      </c>
      <c r="Q238" s="412">
        <v>0</v>
      </c>
      <c r="R238" s="433"/>
      <c r="S238" s="411">
        <v>0.04</v>
      </c>
      <c r="T238" s="411"/>
      <c r="U238" s="433">
        <v>2.0384000000000001E-3</v>
      </c>
      <c r="V238" s="433"/>
      <c r="W238" s="432" t="s">
        <v>89</v>
      </c>
      <c r="X238" s="410">
        <v>2014</v>
      </c>
      <c r="Y238" s="410" t="s">
        <v>2246</v>
      </c>
      <c r="Z238" s="410"/>
      <c r="AA238" s="411">
        <v>0.05</v>
      </c>
      <c r="AB238" s="413"/>
      <c r="AC238" s="421" t="s">
        <v>2149</v>
      </c>
      <c r="AD238" s="421" t="s">
        <v>2179</v>
      </c>
      <c r="AE238" s="421" t="s">
        <v>2179</v>
      </c>
      <c r="AF238" s="421" t="s">
        <v>2180</v>
      </c>
      <c r="AG238" s="421" t="s">
        <v>2180</v>
      </c>
      <c r="AH238" s="421" t="s">
        <v>2179</v>
      </c>
      <c r="AI238" s="421" t="s">
        <v>2179</v>
      </c>
      <c r="AJ238" s="418" t="s">
        <v>2181</v>
      </c>
    </row>
    <row r="239" spans="1:36" s="651" customFormat="1">
      <c r="A239" s="299" t="b">
        <v>0</v>
      </c>
      <c r="B239" s="299" t="s">
        <v>2267</v>
      </c>
      <c r="C239" s="299" t="b">
        <f t="shared" si="34"/>
        <v>1</v>
      </c>
      <c r="D239" s="428" t="str">
        <f>IF(C239=FALSE=NAMES!$B$8,"",IF(F239="N/A","N/A",X239&amp;W239&amp;F239&amp;"-"&amp;G239&amp;H239))</f>
        <v/>
      </c>
      <c r="E239" s="429" t="str">
        <f>IF(F239="N/A","N/A",X239&amp;W239&amp;F239&amp;"-"&amp;G239&amp;H239)</f>
        <v>2014EURAnker Verzekeringen n.v.-Death illness</v>
      </c>
      <c r="F239" s="432" t="s">
        <v>7</v>
      </c>
      <c r="G239" s="421" t="s">
        <v>2121</v>
      </c>
      <c r="H239" s="421"/>
      <c r="I239" s="421"/>
      <c r="J239" s="421"/>
      <c r="K239" s="421"/>
      <c r="L239" s="421">
        <v>365</v>
      </c>
      <c r="M239" s="433">
        <v>1.2409999999999999E-3</v>
      </c>
      <c r="N239" s="411">
        <v>0.25</v>
      </c>
      <c r="O239" s="433">
        <v>1.701E-3</v>
      </c>
      <c r="P239" s="411">
        <v>0</v>
      </c>
      <c r="Q239" s="412">
        <v>0</v>
      </c>
      <c r="R239" s="433"/>
      <c r="S239" s="411">
        <v>0.04</v>
      </c>
      <c r="T239" s="411"/>
      <c r="U239" s="433">
        <v>1.7690400000000002E-3</v>
      </c>
      <c r="V239" s="433"/>
      <c r="W239" s="432" t="s">
        <v>33</v>
      </c>
      <c r="X239" s="410">
        <v>2014</v>
      </c>
      <c r="Y239" s="410" t="s">
        <v>2246</v>
      </c>
      <c r="Z239" s="410"/>
      <c r="AA239" s="411">
        <v>0.05</v>
      </c>
      <c r="AB239" s="413"/>
      <c r="AC239" s="421" t="s">
        <v>2149</v>
      </c>
      <c r="AD239" s="421" t="s">
        <v>2179</v>
      </c>
      <c r="AE239" s="421" t="s">
        <v>2179</v>
      </c>
      <c r="AF239" s="421" t="s">
        <v>2180</v>
      </c>
      <c r="AG239" s="421" t="s">
        <v>2180</v>
      </c>
      <c r="AH239" s="421" t="s">
        <v>2179</v>
      </c>
      <c r="AI239" s="421" t="s">
        <v>2179</v>
      </c>
      <c r="AJ239" s="418" t="s">
        <v>2181</v>
      </c>
    </row>
    <row r="240" spans="1:36" s="651" customFormat="1">
      <c r="A240" s="299" t="b">
        <v>0</v>
      </c>
      <c r="B240" s="299" t="s">
        <v>2267</v>
      </c>
      <c r="C240" s="299" t="b">
        <f t="shared" si="34"/>
        <v>1</v>
      </c>
      <c r="D240" s="428" t="str">
        <f>IF(C240=FALSE=NAMES!$B$8,"",IF(F240="N/A","N/A",X240&amp;W240&amp;F240&amp;"-"&amp;G240&amp;H240&amp;I240))</f>
        <v/>
      </c>
      <c r="E240" s="429" t="str">
        <f>IF(F240="N/A","N/A",X240&amp;W240&amp;F240&amp;"-"&amp;G240&amp;H240&amp;I240)</f>
        <v>2014USDAnker Verzekeringen n.v.-Death illnessREDUIT</v>
      </c>
      <c r="F240" s="432" t="s">
        <v>7</v>
      </c>
      <c r="G240" s="421" t="s">
        <v>2121</v>
      </c>
      <c r="H240" s="421"/>
      <c r="I240" s="421" t="s">
        <v>2435</v>
      </c>
      <c r="J240" s="421"/>
      <c r="K240" s="421"/>
      <c r="L240" s="421">
        <v>365</v>
      </c>
      <c r="M240" s="433">
        <v>0</v>
      </c>
      <c r="N240" s="411">
        <v>0.27500000000000002</v>
      </c>
      <c r="O240" s="398">
        <f>M240/(1-N240)</f>
        <v>0</v>
      </c>
      <c r="P240" s="411">
        <v>0</v>
      </c>
      <c r="Q240" s="412">
        <v>0</v>
      </c>
      <c r="R240" s="398"/>
      <c r="S240" s="411">
        <v>0.04</v>
      </c>
      <c r="T240" s="411"/>
      <c r="U240" s="433">
        <f>IF(D240="N/A","",O240*(1+S240))</f>
        <v>0</v>
      </c>
      <c r="V240" s="433"/>
      <c r="W240" s="432" t="s">
        <v>89</v>
      </c>
      <c r="X240" s="410">
        <v>2014</v>
      </c>
      <c r="Y240" s="410" t="s">
        <v>2246</v>
      </c>
      <c r="Z240" s="410"/>
      <c r="AA240" s="411"/>
      <c r="AB240" s="413"/>
      <c r="AC240" s="421"/>
      <c r="AD240" s="421"/>
      <c r="AE240" s="421"/>
      <c r="AF240" s="421"/>
      <c r="AG240" s="421"/>
      <c r="AH240" s="421"/>
      <c r="AI240" s="421"/>
      <c r="AJ240" s="418"/>
    </row>
    <row r="241" spans="1:36" s="651" customFormat="1">
      <c r="A241" s="299" t="b">
        <v>0</v>
      </c>
      <c r="B241" s="299" t="s">
        <v>2267</v>
      </c>
      <c r="C241" s="299" t="b">
        <f t="shared" si="34"/>
        <v>1</v>
      </c>
      <c r="D241" s="428" t="str">
        <f>IF(C241=FALSE=NAMES!$B$8,"",IF(F241="N/A","N/A",X241&amp;W241&amp;F241&amp;"-"&amp;G241&amp;H241&amp;I241))</f>
        <v/>
      </c>
      <c r="E241" s="429" t="str">
        <f>IF(F241="N/A","N/A",X241&amp;W241&amp;F241&amp;"-"&amp;G241&amp;H241&amp;I241)</f>
        <v>2014EURAnker Verzekeringen n.v.-Death illnessREDUIT</v>
      </c>
      <c r="F241" s="432" t="s">
        <v>7</v>
      </c>
      <c r="G241" s="421" t="s">
        <v>2121</v>
      </c>
      <c r="H241" s="421"/>
      <c r="I241" s="421" t="s">
        <v>2435</v>
      </c>
      <c r="J241" s="421"/>
      <c r="K241" s="421"/>
      <c r="L241" s="421">
        <v>365</v>
      </c>
      <c r="M241" s="433">
        <v>0</v>
      </c>
      <c r="N241" s="411">
        <v>0.27500000000000002</v>
      </c>
      <c r="O241" s="398">
        <f>M241/(1-N241)</f>
        <v>0</v>
      </c>
      <c r="P241" s="411">
        <v>0</v>
      </c>
      <c r="Q241" s="412">
        <v>0</v>
      </c>
      <c r="R241" s="398"/>
      <c r="S241" s="411">
        <v>0.04</v>
      </c>
      <c r="T241" s="411"/>
      <c r="U241" s="433">
        <f>IF(D241="N/A","",O241*(1+S241))</f>
        <v>0</v>
      </c>
      <c r="V241" s="433"/>
      <c r="W241" s="432" t="s">
        <v>33</v>
      </c>
      <c r="X241" s="410">
        <v>2014</v>
      </c>
      <c r="Y241" s="410" t="s">
        <v>2246</v>
      </c>
      <c r="Z241" s="410"/>
      <c r="AA241" s="411"/>
      <c r="AB241" s="413"/>
      <c r="AC241" s="421"/>
      <c r="AD241" s="421"/>
      <c r="AE241" s="421"/>
      <c r="AF241" s="421"/>
      <c r="AG241" s="421"/>
      <c r="AH241" s="421"/>
      <c r="AI241" s="421"/>
      <c r="AJ241" s="418"/>
    </row>
    <row r="242" spans="1:36" s="651" customFormat="1">
      <c r="A242" s="299" t="b">
        <v>0</v>
      </c>
      <c r="B242" s="299" t="s">
        <v>2267</v>
      </c>
      <c r="C242" s="299" t="b">
        <f t="shared" si="34"/>
        <v>1</v>
      </c>
      <c r="D242" s="428" t="str">
        <f>IF(C242=FALSE=NAMES!$B$8,"",IF(F242="N/A","N/A",X242&amp;W242&amp;F242&amp;"-"&amp;G242&amp;H242))</f>
        <v/>
      </c>
      <c r="E242" s="429" t="str">
        <f>IF(F242="N/A","N/A",X242&amp;W242&amp;F242&amp;"-"&amp;G242&amp;H242)</f>
        <v>N/A</v>
      </c>
      <c r="F242" s="429" t="s">
        <v>2236</v>
      </c>
      <c r="G242" s="429" t="s">
        <v>2236</v>
      </c>
      <c r="H242" s="421"/>
      <c r="I242" s="421"/>
      <c r="J242" s="421"/>
      <c r="K242" s="421"/>
      <c r="L242" s="421"/>
      <c r="M242" s="433"/>
      <c r="N242" s="411"/>
      <c r="O242" s="433"/>
      <c r="P242" s="411">
        <v>0</v>
      </c>
      <c r="Q242" s="433"/>
      <c r="R242" s="433"/>
      <c r="S242" s="411"/>
      <c r="T242" s="411"/>
      <c r="U242" s="433"/>
      <c r="V242" s="433"/>
      <c r="W242" s="432"/>
      <c r="X242" s="410"/>
      <c r="Y242" s="410"/>
      <c r="Z242" s="410"/>
      <c r="AA242" s="433"/>
      <c r="AB242" s="413"/>
      <c r="AC242" s="421"/>
      <c r="AD242" s="421"/>
      <c r="AE242" s="421"/>
      <c r="AF242" s="421"/>
      <c r="AG242" s="421"/>
      <c r="AH242" s="421"/>
      <c r="AI242" s="421"/>
      <c r="AJ242" s="418"/>
    </row>
    <row r="243" spans="1:36" s="651" customFormat="1">
      <c r="A243" s="299" t="b">
        <v>0</v>
      </c>
      <c r="B243" s="299" t="s">
        <v>2267</v>
      </c>
      <c r="C243" s="299" t="b">
        <f t="shared" si="34"/>
        <v>1</v>
      </c>
      <c r="D243" s="428" t="str">
        <f>IF(C243=FALSE=NAMES!$B$8,"",IF(F243="N/A","N/A",X243&amp;W243&amp;F243&amp;"-"&amp;G243&amp;H243))</f>
        <v/>
      </c>
      <c r="E243" s="429" t="str">
        <f>IF(F243="N/A","N/A",X243&amp;W243&amp;F243&amp;"-"&amp;G243&amp;H243)</f>
        <v>2013USDAnker Verzekeringen n.v.-Death illness</v>
      </c>
      <c r="F243" s="432" t="s">
        <v>7</v>
      </c>
      <c r="G243" s="421" t="s">
        <v>2121</v>
      </c>
      <c r="H243" s="421"/>
      <c r="I243" s="421"/>
      <c r="J243" s="421"/>
      <c r="K243" s="421"/>
      <c r="L243" s="421">
        <v>365</v>
      </c>
      <c r="M243" s="433">
        <v>1.47E-3</v>
      </c>
      <c r="N243" s="411">
        <v>0.25</v>
      </c>
      <c r="O243" s="433">
        <v>1.9599999999999999E-3</v>
      </c>
      <c r="P243" s="411">
        <v>0</v>
      </c>
      <c r="Q243" s="412">
        <v>0</v>
      </c>
      <c r="R243" s="433"/>
      <c r="S243" s="411">
        <v>0.04</v>
      </c>
      <c r="T243" s="411"/>
      <c r="U243" s="433">
        <v>2.0384000000000001E-3</v>
      </c>
      <c r="V243" s="433"/>
      <c r="W243" s="432" t="s">
        <v>89</v>
      </c>
      <c r="X243" s="410">
        <v>2013</v>
      </c>
      <c r="Y243" s="410" t="s">
        <v>2246</v>
      </c>
      <c r="Z243" s="410"/>
      <c r="AA243" s="411">
        <v>0.05</v>
      </c>
      <c r="AB243" s="413"/>
      <c r="AC243" s="421" t="s">
        <v>2149</v>
      </c>
      <c r="AD243" s="421" t="s">
        <v>2179</v>
      </c>
      <c r="AE243" s="421" t="s">
        <v>2179</v>
      </c>
      <c r="AF243" s="421" t="s">
        <v>2180</v>
      </c>
      <c r="AG243" s="421" t="s">
        <v>2180</v>
      </c>
      <c r="AH243" s="421" t="s">
        <v>2179</v>
      </c>
      <c r="AI243" s="421" t="s">
        <v>2179</v>
      </c>
      <c r="AJ243" s="418" t="s">
        <v>2181</v>
      </c>
    </row>
    <row r="244" spans="1:36" s="651" customFormat="1">
      <c r="A244" s="299" t="b">
        <v>0</v>
      </c>
      <c r="B244" s="299" t="s">
        <v>2267</v>
      </c>
      <c r="C244" s="299" t="b">
        <f t="shared" si="34"/>
        <v>1</v>
      </c>
      <c r="D244" s="428" t="str">
        <f>IF(C244=FALSE=NAMES!$B$8,"",IF(F244="N/A","N/A",X244&amp;W244&amp;F244&amp;"-"&amp;G244&amp;H244))</f>
        <v/>
      </c>
      <c r="E244" s="429" t="str">
        <f>IF(F244="N/A","N/A",X244&amp;W244&amp;F244&amp;"-"&amp;G244&amp;H244)</f>
        <v>2013EURAnker Verzekeringen n.v.-Death illness</v>
      </c>
      <c r="F244" s="432" t="s">
        <v>7</v>
      </c>
      <c r="G244" s="421" t="s">
        <v>2121</v>
      </c>
      <c r="H244" s="421"/>
      <c r="I244" s="421"/>
      <c r="J244" s="421"/>
      <c r="K244" s="421"/>
      <c r="L244" s="421">
        <v>365</v>
      </c>
      <c r="M244" s="433">
        <v>1.2750000000000001E-3</v>
      </c>
      <c r="N244" s="411">
        <v>0.25</v>
      </c>
      <c r="O244" s="433">
        <v>1.6999999999999999E-3</v>
      </c>
      <c r="P244" s="411">
        <v>0</v>
      </c>
      <c r="Q244" s="412">
        <v>0</v>
      </c>
      <c r="R244" s="433"/>
      <c r="S244" s="411">
        <v>0.04</v>
      </c>
      <c r="T244" s="411"/>
      <c r="U244" s="433">
        <v>1.768E-3</v>
      </c>
      <c r="V244" s="433"/>
      <c r="W244" s="432" t="s">
        <v>33</v>
      </c>
      <c r="X244" s="410">
        <v>2013</v>
      </c>
      <c r="Y244" s="410" t="s">
        <v>2246</v>
      </c>
      <c r="Z244" s="410"/>
      <c r="AA244" s="411">
        <v>0.05</v>
      </c>
      <c r="AB244" s="413"/>
      <c r="AC244" s="421" t="s">
        <v>2149</v>
      </c>
      <c r="AD244" s="421" t="s">
        <v>2179</v>
      </c>
      <c r="AE244" s="421" t="s">
        <v>2179</v>
      </c>
      <c r="AF244" s="421" t="s">
        <v>2180</v>
      </c>
      <c r="AG244" s="421" t="s">
        <v>2180</v>
      </c>
      <c r="AH244" s="421" t="s">
        <v>2179</v>
      </c>
      <c r="AI244" s="421" t="s">
        <v>2179</v>
      </c>
      <c r="AJ244" s="418" t="s">
        <v>2181</v>
      </c>
    </row>
    <row r="245" spans="1:36" s="651" customFormat="1">
      <c r="A245" s="299" t="b">
        <v>0</v>
      </c>
      <c r="B245" s="299" t="s">
        <v>2267</v>
      </c>
      <c r="C245" s="299" t="b">
        <f t="shared" si="34"/>
        <v>1</v>
      </c>
      <c r="D245" s="428" t="str">
        <f>IF(C245=FALSE=NAMES!$B$8,"",IF(F245="N/A","N/A",X245&amp;W245&amp;F245&amp;"-"&amp;G245&amp;H245&amp;I245))</f>
        <v/>
      </c>
      <c r="E245" s="429" t="str">
        <f>IF(F245="N/A","N/A",X245&amp;W245&amp;F245&amp;"-"&amp;G245&amp;H245&amp;I245)</f>
        <v>2013USDAnker Verzekeringen n.v.-Death illnessREDUIT</v>
      </c>
      <c r="F245" s="432" t="s">
        <v>7</v>
      </c>
      <c r="G245" s="421" t="s">
        <v>2121</v>
      </c>
      <c r="H245" s="421"/>
      <c r="I245" s="421" t="s">
        <v>2435</v>
      </c>
      <c r="J245" s="421"/>
      <c r="K245" s="421"/>
      <c r="L245" s="421">
        <v>365</v>
      </c>
      <c r="M245" s="433">
        <v>0</v>
      </c>
      <c r="N245" s="411">
        <v>0.27500000000000002</v>
      </c>
      <c r="O245" s="398">
        <f>M245/(1-N245)</f>
        <v>0</v>
      </c>
      <c r="P245" s="411">
        <v>0</v>
      </c>
      <c r="Q245" s="412">
        <v>0</v>
      </c>
      <c r="R245" s="398"/>
      <c r="S245" s="411">
        <v>0.04</v>
      </c>
      <c r="T245" s="411"/>
      <c r="U245" s="433">
        <f>IF(D245="N/A","",O245*(1+S245))</f>
        <v>0</v>
      </c>
      <c r="V245" s="433"/>
      <c r="W245" s="432" t="s">
        <v>89</v>
      </c>
      <c r="X245" s="410">
        <v>2013</v>
      </c>
      <c r="Y245" s="410" t="s">
        <v>2246</v>
      </c>
      <c r="Z245" s="410"/>
      <c r="AA245" s="411"/>
      <c r="AB245" s="413"/>
      <c r="AC245" s="421"/>
      <c r="AD245" s="421"/>
      <c r="AE245" s="421"/>
      <c r="AF245" s="421"/>
      <c r="AG245" s="421"/>
      <c r="AH245" s="421"/>
      <c r="AI245" s="421"/>
      <c r="AJ245" s="418"/>
    </row>
    <row r="246" spans="1:36" s="651" customFormat="1">
      <c r="A246" s="299" t="b">
        <v>0</v>
      </c>
      <c r="B246" s="299" t="s">
        <v>2267</v>
      </c>
      <c r="C246" s="299" t="b">
        <f t="shared" si="34"/>
        <v>1</v>
      </c>
      <c r="D246" s="428" t="str">
        <f>IF(C246=FALSE=NAMES!$B$8,"",IF(F246="N/A","N/A",X246&amp;W246&amp;F246&amp;"-"&amp;G246&amp;H246&amp;I246))</f>
        <v/>
      </c>
      <c r="E246" s="429" t="str">
        <f>IF(F246="N/A","N/A",X246&amp;W246&amp;F246&amp;"-"&amp;G246&amp;H246&amp;I246)</f>
        <v>2013EURAnker Verzekeringen n.v.-Death illnessREDUIT</v>
      </c>
      <c r="F246" s="432" t="s">
        <v>7</v>
      </c>
      <c r="G246" s="421" t="s">
        <v>2121</v>
      </c>
      <c r="H246" s="421"/>
      <c r="I246" s="421" t="s">
        <v>2435</v>
      </c>
      <c r="J246" s="421"/>
      <c r="K246" s="421"/>
      <c r="L246" s="421">
        <v>365</v>
      </c>
      <c r="M246" s="433">
        <v>0</v>
      </c>
      <c r="N246" s="411">
        <v>0.27500000000000002</v>
      </c>
      <c r="O246" s="398">
        <f>M246/(1-N246)</f>
        <v>0</v>
      </c>
      <c r="P246" s="411">
        <v>0</v>
      </c>
      <c r="Q246" s="412">
        <v>0</v>
      </c>
      <c r="R246" s="398"/>
      <c r="S246" s="411">
        <v>0.04</v>
      </c>
      <c r="T246" s="411"/>
      <c r="U246" s="433">
        <f>IF(D246="N/A","",O246*(1+S246))</f>
        <v>0</v>
      </c>
      <c r="V246" s="433"/>
      <c r="W246" s="432" t="s">
        <v>33</v>
      </c>
      <c r="X246" s="410">
        <v>2013</v>
      </c>
      <c r="Y246" s="410" t="s">
        <v>2246</v>
      </c>
      <c r="Z246" s="410"/>
      <c r="AA246" s="411"/>
      <c r="AB246" s="413"/>
      <c r="AC246" s="421"/>
      <c r="AD246" s="421"/>
      <c r="AE246" s="421"/>
      <c r="AF246" s="421"/>
      <c r="AG246" s="421"/>
      <c r="AH246" s="421"/>
      <c r="AI246" s="421"/>
      <c r="AJ246" s="418"/>
    </row>
    <row r="247" spans="1:36" s="651" customFormat="1" ht="15.75" thickBot="1">
      <c r="A247" s="299" t="b">
        <v>0</v>
      </c>
      <c r="B247" s="299" t="s">
        <v>2267</v>
      </c>
      <c r="C247" s="299" t="b">
        <f t="shared" si="34"/>
        <v>1</v>
      </c>
      <c r="D247" s="428" t="str">
        <f>IF(C247=FALSE=NAMES!$B$8,"",IF(F247="N/A","N/A",X247&amp;W247&amp;F247&amp;"-"&amp;G247&amp;H247))</f>
        <v/>
      </c>
      <c r="E247" s="429" t="str">
        <f>IF(F247="N/A","N/A",X247&amp;W247&amp;F247&amp;"-"&amp;G247&amp;H247)</f>
        <v>N/A</v>
      </c>
      <c r="F247" s="429" t="s">
        <v>2236</v>
      </c>
      <c r="G247" s="429" t="s">
        <v>2236</v>
      </c>
      <c r="H247" s="421"/>
      <c r="I247" s="421"/>
      <c r="J247" s="421"/>
      <c r="K247" s="421"/>
      <c r="L247" s="421"/>
      <c r="M247" s="421"/>
      <c r="N247" s="411"/>
      <c r="O247" s="433"/>
      <c r="P247" s="433"/>
      <c r="Q247" s="433"/>
      <c r="R247" s="433"/>
      <c r="S247" s="411"/>
      <c r="T247" s="411"/>
      <c r="U247" s="433"/>
      <c r="V247" s="433"/>
      <c r="W247" s="432"/>
      <c r="X247" s="410"/>
      <c r="Y247" s="410"/>
      <c r="Z247" s="410"/>
      <c r="AA247" s="433"/>
      <c r="AB247" s="410"/>
      <c r="AC247" s="421"/>
      <c r="AD247" s="421"/>
      <c r="AE247" s="421"/>
      <c r="AF247" s="421"/>
      <c r="AG247" s="421"/>
      <c r="AH247" s="421"/>
      <c r="AI247" s="421"/>
      <c r="AJ247" s="418"/>
    </row>
    <row r="248" spans="1:36" s="651" customFormat="1" ht="45">
      <c r="A248" s="299" t="b">
        <v>0</v>
      </c>
      <c r="B248" s="429" t="s">
        <v>2236</v>
      </c>
      <c r="C248" s="299" t="str">
        <f t="shared" si="34"/>
        <v/>
      </c>
      <c r="D248" s="399" t="s">
        <v>2117</v>
      </c>
      <c r="E248" s="427"/>
      <c r="F248" s="434"/>
      <c r="G248" s="415" t="s">
        <v>2118</v>
      </c>
      <c r="H248" s="415" t="s">
        <v>2238</v>
      </c>
      <c r="I248" s="415" t="s">
        <v>2224</v>
      </c>
      <c r="J248" s="415" t="s">
        <v>1153</v>
      </c>
      <c r="K248" s="416" t="s">
        <v>2239</v>
      </c>
      <c r="L248" s="416" t="s">
        <v>2113</v>
      </c>
      <c r="M248" s="417" t="s">
        <v>2234</v>
      </c>
      <c r="N248" s="416"/>
      <c r="O248" s="416" t="s">
        <v>2235</v>
      </c>
      <c r="P248" s="1360" t="s">
        <v>23</v>
      </c>
      <c r="Q248" s="416"/>
      <c r="R248" s="416"/>
      <c r="S248" s="416" t="s">
        <v>2237</v>
      </c>
      <c r="T248" s="416"/>
      <c r="U248" s="416" t="s">
        <v>2241</v>
      </c>
      <c r="V248" s="416"/>
      <c r="W248" s="416" t="s">
        <v>2119</v>
      </c>
      <c r="X248" s="415" t="s">
        <v>2240</v>
      </c>
      <c r="Y248" s="415"/>
      <c r="Z248" s="415"/>
      <c r="AA248" s="400" t="s">
        <v>2265</v>
      </c>
      <c r="AB248" s="415"/>
      <c r="AC248" s="415" t="s">
        <v>2151</v>
      </c>
      <c r="AD248" s="415" t="s">
        <v>30</v>
      </c>
      <c r="AE248" s="416" t="s">
        <v>137</v>
      </c>
      <c r="AF248" s="416" t="s">
        <v>92</v>
      </c>
      <c r="AG248" s="416" t="s">
        <v>1784</v>
      </c>
      <c r="AH248" s="416" t="s">
        <v>90</v>
      </c>
      <c r="AI248" s="416" t="s">
        <v>91</v>
      </c>
      <c r="AJ248" s="418"/>
    </row>
    <row r="249" spans="1:36" s="651" customFormat="1">
      <c r="A249" s="299" t="b">
        <v>0</v>
      </c>
      <c r="B249" s="299" t="s">
        <v>2266</v>
      </c>
      <c r="C249" s="299" t="b">
        <f t="shared" si="34"/>
        <v>0</v>
      </c>
      <c r="D249" s="428" t="str">
        <f>IF(C249=FALSE=NAMES!$B$8,"",IF(F249="N/A","N/A",X249&amp;W249&amp;F249&amp;"-"&amp;G249&amp;H249))</f>
        <v>N/A</v>
      </c>
      <c r="E249" s="429" t="str">
        <f>IF(F249="N/A","N/A",X249&amp;W249&amp;F249&amp;"-"&amp;G249&amp;H249)</f>
        <v>N/A</v>
      </c>
      <c r="F249" s="429" t="s">
        <v>2236</v>
      </c>
      <c r="G249" s="429" t="s">
        <v>2236</v>
      </c>
      <c r="H249" s="421"/>
      <c r="I249" s="421"/>
      <c r="J249" s="421"/>
      <c r="K249" s="421"/>
      <c r="L249" s="421"/>
      <c r="M249" s="433"/>
      <c r="N249" s="411"/>
      <c r="O249" s="433"/>
      <c r="P249" s="433"/>
      <c r="Q249" s="433"/>
      <c r="R249" s="433"/>
      <c r="S249" s="411"/>
      <c r="T249" s="411"/>
      <c r="U249" s="433" t="str">
        <f t="shared" ref="U249:U256" si="37">IF(D249="N/A","",O249*(1+S249))</f>
        <v/>
      </c>
      <c r="V249" s="433"/>
      <c r="W249" s="432"/>
      <c r="X249" s="410"/>
      <c r="Y249" s="410"/>
      <c r="Z249" s="410"/>
      <c r="AA249" s="433"/>
      <c r="AB249" s="410"/>
      <c r="AC249" s="421"/>
      <c r="AD249" s="421"/>
      <c r="AE249" s="421"/>
      <c r="AF249" s="421"/>
      <c r="AG249" s="421"/>
      <c r="AH249" s="421"/>
      <c r="AI249" s="421"/>
      <c r="AJ249" s="418"/>
    </row>
    <row r="250" spans="1:36" s="651" customFormat="1">
      <c r="A250" s="299" t="b">
        <v>0</v>
      </c>
      <c r="B250" s="299" t="s">
        <v>2266</v>
      </c>
      <c r="C250" s="299" t="b">
        <f t="shared" si="34"/>
        <v>0</v>
      </c>
      <c r="D250" s="428" t="str">
        <f>IF(C250=FALSE=NAMES!$B$8,"",IF(F250="N/A","N/A",X250&amp;W250&amp;F250&amp;"-"&amp;G250&amp;H250))</f>
        <v>2016USDAnker Verzekeringen n.v.-Permanent Disability Accident</v>
      </c>
      <c r="E250" s="429" t="str">
        <f>IF(F250="N/A","N/A",X250&amp;W250&amp;F250&amp;"-"&amp;G250&amp;H250)</f>
        <v>2016USDAnker Verzekeringen n.v.-Permanent Disability Accident</v>
      </c>
      <c r="F250" s="432" t="s">
        <v>7</v>
      </c>
      <c r="G250" s="421" t="s">
        <v>9</v>
      </c>
      <c r="H250" s="421"/>
      <c r="I250" s="421"/>
      <c r="J250" s="421"/>
      <c r="K250" s="421"/>
      <c r="L250" s="421">
        <v>365</v>
      </c>
      <c r="M250" s="433">
        <v>7.0699999999999995E-4</v>
      </c>
      <c r="N250" s="411">
        <v>0.27500000000000002</v>
      </c>
      <c r="O250" s="398">
        <f>M250/(1-N250)</f>
        <v>9.7517241379310336E-4</v>
      </c>
      <c r="P250" s="411">
        <v>0</v>
      </c>
      <c r="Q250" s="412">
        <v>0</v>
      </c>
      <c r="R250" s="398"/>
      <c r="S250" s="411">
        <v>0.04</v>
      </c>
      <c r="T250" s="411"/>
      <c r="U250" s="433">
        <f t="shared" si="37"/>
        <v>1.0141793103448276E-3</v>
      </c>
      <c r="V250" s="433"/>
      <c r="W250" s="432" t="s">
        <v>89</v>
      </c>
      <c r="X250" s="410">
        <v>2016</v>
      </c>
      <c r="Y250" s="410" t="s">
        <v>2246</v>
      </c>
      <c r="Z250" s="410"/>
      <c r="AA250" s="411">
        <v>0.05</v>
      </c>
      <c r="AB250" s="413"/>
      <c r="AC250" s="421" t="s">
        <v>2149</v>
      </c>
      <c r="AD250" s="421" t="s">
        <v>2179</v>
      </c>
      <c r="AE250" s="421" t="s">
        <v>2180</v>
      </c>
      <c r="AF250" s="421" t="s">
        <v>2179</v>
      </c>
      <c r="AG250" s="421" t="s">
        <v>2179</v>
      </c>
      <c r="AH250" s="421" t="s">
        <v>2179</v>
      </c>
      <c r="AI250" s="421" t="s">
        <v>2179</v>
      </c>
      <c r="AJ250" s="418" t="s">
        <v>87</v>
      </c>
    </row>
    <row r="251" spans="1:36" s="651" customFormat="1">
      <c r="A251" s="299" t="b">
        <v>0</v>
      </c>
      <c r="B251" s="299" t="s">
        <v>2266</v>
      </c>
      <c r="C251" s="299" t="b">
        <f t="shared" si="34"/>
        <v>0</v>
      </c>
      <c r="D251" s="428" t="str">
        <f>IF(C251=FALSE=NAMES!$B$8,"",IF(F251="N/A","N/A",X251&amp;W251&amp;F251&amp;"-"&amp;G251&amp;H251))</f>
        <v>2016EURAnker Verzekeringen n.v.-Permanent Disability Accident</v>
      </c>
      <c r="E251" s="429" t="str">
        <f>IF(F251="N/A","N/A",X251&amp;W251&amp;F251&amp;"-"&amp;G251&amp;H251)</f>
        <v>2016EURAnker Verzekeringen n.v.-Permanent Disability Accident</v>
      </c>
      <c r="F251" s="432" t="s">
        <v>7</v>
      </c>
      <c r="G251" s="421" t="s">
        <v>9</v>
      </c>
      <c r="H251" s="421"/>
      <c r="I251" s="421"/>
      <c r="J251" s="421"/>
      <c r="K251" s="421"/>
      <c r="L251" s="421">
        <v>365</v>
      </c>
      <c r="M251" s="433">
        <v>6.1899999999999998E-4</v>
      </c>
      <c r="N251" s="411">
        <v>0.27500000000000002</v>
      </c>
      <c r="O251" s="398">
        <f>M251/(1-N251)</f>
        <v>8.5379310344827581E-4</v>
      </c>
      <c r="P251" s="411">
        <v>0</v>
      </c>
      <c r="Q251" s="412">
        <v>0</v>
      </c>
      <c r="R251" s="398"/>
      <c r="S251" s="411">
        <v>0.04</v>
      </c>
      <c r="T251" s="411"/>
      <c r="U251" s="433">
        <f t="shared" si="37"/>
        <v>8.8794482758620692E-4</v>
      </c>
      <c r="V251" s="433"/>
      <c r="W251" s="432" t="s">
        <v>33</v>
      </c>
      <c r="X251" s="410">
        <v>2016</v>
      </c>
      <c r="Y251" s="410" t="s">
        <v>2246</v>
      </c>
      <c r="Z251" s="410"/>
      <c r="AA251" s="411">
        <v>0.05</v>
      </c>
      <c r="AB251" s="413"/>
      <c r="AC251" s="421" t="s">
        <v>2149</v>
      </c>
      <c r="AD251" s="421" t="s">
        <v>2179</v>
      </c>
      <c r="AE251" s="421" t="s">
        <v>2180</v>
      </c>
      <c r="AF251" s="421" t="s">
        <v>2179</v>
      </c>
      <c r="AG251" s="421" t="s">
        <v>2179</v>
      </c>
      <c r="AH251" s="421" t="s">
        <v>2179</v>
      </c>
      <c r="AI251" s="421" t="s">
        <v>2179</v>
      </c>
      <c r="AJ251" s="418" t="s">
        <v>87</v>
      </c>
    </row>
    <row r="252" spans="1:36" s="651" customFormat="1">
      <c r="A252" s="299" t="b">
        <v>0</v>
      </c>
      <c r="B252" s="299" t="s">
        <v>2266</v>
      </c>
      <c r="C252" s="299" t="b">
        <f t="shared" si="34"/>
        <v>0</v>
      </c>
      <c r="D252" s="428" t="str">
        <f>IF(C252=FALSE=NAMES!$B$8,"",IF(F252="N/A","N/A",X252&amp;W252&amp;F252&amp;"-"&amp;G252&amp;H252&amp;I252))</f>
        <v>2016USDAnker Verzekeringen n.v.-Permanent Disability AccidentREDUIT</v>
      </c>
      <c r="E252" s="429" t="str">
        <f>IF(F252="N/A","N/A",X252&amp;W252&amp;F252&amp;"-"&amp;G252&amp;H252&amp;I252)</f>
        <v>2016USDAnker Verzekeringen n.v.-Permanent Disability AccidentREDUIT</v>
      </c>
      <c r="F252" s="432" t="s">
        <v>7</v>
      </c>
      <c r="G252" s="421" t="s">
        <v>9</v>
      </c>
      <c r="H252" s="421"/>
      <c r="I252" s="421" t="s">
        <v>2435</v>
      </c>
      <c r="J252" s="421"/>
      <c r="K252" s="421"/>
      <c r="L252" s="421">
        <v>365</v>
      </c>
      <c r="M252" s="433">
        <v>6.3599999999999996E-4</v>
      </c>
      <c r="N252" s="411">
        <v>0.27500000000000002</v>
      </c>
      <c r="O252" s="398">
        <f>M252/(1-N252)</f>
        <v>8.7724137931034481E-4</v>
      </c>
      <c r="P252" s="411">
        <v>0</v>
      </c>
      <c r="Q252" s="412">
        <v>0</v>
      </c>
      <c r="R252" s="398"/>
      <c r="S252" s="411">
        <v>0.04</v>
      </c>
      <c r="T252" s="411"/>
      <c r="U252" s="433">
        <f t="shared" si="37"/>
        <v>9.1233103448275861E-4</v>
      </c>
      <c r="V252" s="433"/>
      <c r="W252" s="432" t="s">
        <v>89</v>
      </c>
      <c r="X252" s="410">
        <v>2016</v>
      </c>
      <c r="Y252" s="410" t="s">
        <v>2246</v>
      </c>
      <c r="Z252" s="410"/>
      <c r="AA252" s="411"/>
      <c r="AB252" s="413"/>
      <c r="AC252" s="421"/>
      <c r="AD252" s="421"/>
      <c r="AE252" s="421"/>
      <c r="AF252" s="421"/>
      <c r="AG252" s="421"/>
      <c r="AH252" s="421"/>
      <c r="AI252" s="421"/>
      <c r="AJ252" s="418"/>
    </row>
    <row r="253" spans="1:36" s="651" customFormat="1">
      <c r="A253" s="299" t="b">
        <v>0</v>
      </c>
      <c r="B253" s="299" t="s">
        <v>2266</v>
      </c>
      <c r="C253" s="299" t="b">
        <f t="shared" si="34"/>
        <v>0</v>
      </c>
      <c r="D253" s="428" t="str">
        <f>IF(C253=FALSE=NAMES!$B$8,"",IF(F253="N/A","N/A",X253&amp;W253&amp;F253&amp;"-"&amp;G253&amp;H253&amp;I253))</f>
        <v>2016EURAnker Verzekeringen n.v.-Permanent Disability AccidentREDUIT</v>
      </c>
      <c r="E253" s="429" t="str">
        <f>IF(F253="N/A","N/A",X253&amp;W253&amp;F253&amp;"-"&amp;G253&amp;H253&amp;I253)</f>
        <v>2016EURAnker Verzekeringen n.v.-Permanent Disability AccidentREDUIT</v>
      </c>
      <c r="F253" s="432" t="s">
        <v>7</v>
      </c>
      <c r="G253" s="421" t="s">
        <v>9</v>
      </c>
      <c r="H253" s="421"/>
      <c r="I253" s="421" t="s">
        <v>2435</v>
      </c>
      <c r="J253" s="421"/>
      <c r="K253" s="421"/>
      <c r="L253" s="421">
        <v>365</v>
      </c>
      <c r="M253" s="433">
        <v>5.5699999999999999E-4</v>
      </c>
      <c r="N253" s="411">
        <v>0.27500000000000002</v>
      </c>
      <c r="O253" s="398">
        <f>M253/(1-N253)</f>
        <v>7.6827586206896549E-4</v>
      </c>
      <c r="P253" s="411">
        <v>0</v>
      </c>
      <c r="Q253" s="412">
        <v>0</v>
      </c>
      <c r="R253" s="398"/>
      <c r="S253" s="411">
        <v>0.04</v>
      </c>
      <c r="T253" s="411"/>
      <c r="U253" s="433">
        <f t="shared" si="37"/>
        <v>7.9900689655172414E-4</v>
      </c>
      <c r="V253" s="433"/>
      <c r="W253" s="432" t="s">
        <v>33</v>
      </c>
      <c r="X253" s="410">
        <v>2016</v>
      </c>
      <c r="Y253" s="410" t="s">
        <v>2246</v>
      </c>
      <c r="Z253" s="410"/>
      <c r="AA253" s="411"/>
      <c r="AB253" s="413"/>
      <c r="AC253" s="421"/>
      <c r="AD253" s="421"/>
      <c r="AE253" s="421"/>
      <c r="AF253" s="421"/>
      <c r="AG253" s="421"/>
      <c r="AH253" s="421"/>
      <c r="AI253" s="421"/>
      <c r="AJ253" s="418"/>
    </row>
    <row r="254" spans="1:36" s="651" customFormat="1">
      <c r="A254" s="299" t="b">
        <v>0</v>
      </c>
      <c r="B254" s="299" t="s">
        <v>2266</v>
      </c>
      <c r="C254" s="299" t="b">
        <f t="shared" si="34"/>
        <v>0</v>
      </c>
      <c r="D254" s="428" t="str">
        <f>IF(C254=FALSE=NAMES!$B$8,"",IF(F254="N/A","N/A",X254&amp;W254&amp;F254&amp;"-"&amp;G254&amp;H254))</f>
        <v>2016USDAIG Luxembourg-Permanent Disability Accident</v>
      </c>
      <c r="E254" s="429" t="str">
        <f>IF(F254="N/A","N/A",X254&amp;W254&amp;F254&amp;"-"&amp;G254&amp;H254)</f>
        <v>2016USDAIG Luxembourg-Permanent Disability Accident</v>
      </c>
      <c r="F254" s="432" t="s">
        <v>4</v>
      </c>
      <c r="G254" s="421" t="s">
        <v>9</v>
      </c>
      <c r="H254" s="524"/>
      <c r="I254" s="524"/>
      <c r="J254" s="524"/>
      <c r="K254" s="524"/>
      <c r="L254" s="421">
        <v>365</v>
      </c>
      <c r="M254" s="425"/>
      <c r="N254" s="411">
        <v>0.25</v>
      </c>
      <c r="O254" s="770">
        <v>8.7980000000000003E-4</v>
      </c>
      <c r="P254" s="411">
        <v>0</v>
      </c>
      <c r="Q254" s="412">
        <v>0</v>
      </c>
      <c r="R254" s="770"/>
      <c r="S254" s="411">
        <v>0.04</v>
      </c>
      <c r="T254" s="411"/>
      <c r="U254" s="433">
        <f t="shared" si="37"/>
        <v>9.1499200000000011E-4</v>
      </c>
      <c r="V254" s="433"/>
      <c r="W254" s="432" t="s">
        <v>89</v>
      </c>
      <c r="X254" s="410">
        <v>2016</v>
      </c>
      <c r="Y254" s="410" t="s">
        <v>26</v>
      </c>
      <c r="Z254" s="410"/>
      <c r="AA254" s="411">
        <v>0.05</v>
      </c>
      <c r="AB254" s="413"/>
      <c r="AC254" s="421" t="s">
        <v>2149</v>
      </c>
      <c r="AD254" s="421" t="s">
        <v>2179</v>
      </c>
      <c r="AE254" s="421" t="s">
        <v>2180</v>
      </c>
      <c r="AF254" s="524"/>
      <c r="AG254" s="524"/>
      <c r="AH254" s="524"/>
      <c r="AI254" s="524"/>
      <c r="AJ254" s="418" t="s">
        <v>2181</v>
      </c>
    </row>
    <row r="255" spans="1:36" s="651" customFormat="1">
      <c r="A255" s="299" t="b">
        <v>0</v>
      </c>
      <c r="B255" s="299" t="s">
        <v>2266</v>
      </c>
      <c r="C255" s="299" t="b">
        <f t="shared" si="34"/>
        <v>0</v>
      </c>
      <c r="D255" s="428" t="str">
        <f>IF(C255=FALSE=NAMES!$B$8,"",IF(F255="N/A","N/A",X255&amp;W255&amp;F255&amp;"-"&amp;G255&amp;H255))</f>
        <v>2016EURAIG Luxembourg-Permanent Disability Accident</v>
      </c>
      <c r="E255" s="429" t="str">
        <f>IF(F255="N/A","N/A",X255&amp;W255&amp;F255&amp;"-"&amp;G255&amp;H255)</f>
        <v>2016EURAIG Luxembourg-Permanent Disability Accident</v>
      </c>
      <c r="F255" s="432" t="s">
        <v>4</v>
      </c>
      <c r="G255" s="421" t="s">
        <v>9</v>
      </c>
      <c r="H255" s="524"/>
      <c r="I255" s="524"/>
      <c r="J255" s="524"/>
      <c r="K255" s="524"/>
      <c r="L255" s="421">
        <v>365</v>
      </c>
      <c r="M255" s="425"/>
      <c r="N255" s="411">
        <v>0.25</v>
      </c>
      <c r="O255" s="770">
        <v>8.7980000000000003E-4</v>
      </c>
      <c r="P255" s="411">
        <v>0</v>
      </c>
      <c r="Q255" s="412">
        <v>0</v>
      </c>
      <c r="R255" s="770"/>
      <c r="S255" s="411">
        <v>0.04</v>
      </c>
      <c r="T255" s="411"/>
      <c r="U255" s="433">
        <f t="shared" si="37"/>
        <v>9.1499200000000011E-4</v>
      </c>
      <c r="V255" s="433"/>
      <c r="W255" s="432" t="s">
        <v>33</v>
      </c>
      <c r="X255" s="410">
        <v>2016</v>
      </c>
      <c r="Y255" s="410" t="s">
        <v>26</v>
      </c>
      <c r="Z255" s="410"/>
      <c r="AA255" s="411">
        <v>0.05</v>
      </c>
      <c r="AB255" s="413"/>
      <c r="AC255" s="421" t="s">
        <v>2149</v>
      </c>
      <c r="AD255" s="421"/>
      <c r="AE255" s="421"/>
      <c r="AF255" s="524"/>
      <c r="AG255" s="524"/>
      <c r="AH255" s="524"/>
      <c r="AI255" s="524"/>
      <c r="AJ255" s="418"/>
    </row>
    <row r="256" spans="1:36" s="651" customFormat="1" ht="15.75" thickBot="1">
      <c r="A256" s="299" t="b">
        <v>0</v>
      </c>
      <c r="B256" s="299" t="s">
        <v>2266</v>
      </c>
      <c r="C256" s="299" t="b">
        <f t="shared" si="34"/>
        <v>0</v>
      </c>
      <c r="D256" s="428" t="str">
        <f>IF(C256=FALSE=NAMES!$B$8,"",IF(F256="N/A","N/A",X256&amp;W256&amp;F256&amp;"-"&amp;G256&amp;H256))</f>
        <v>N/A</v>
      </c>
      <c r="E256" s="429" t="str">
        <f>IF(F256="N/A","N/A",X256&amp;W256&amp;F256&amp;"-"&amp;G256&amp;H256)</f>
        <v>N/A</v>
      </c>
      <c r="F256" s="429" t="s">
        <v>2236</v>
      </c>
      <c r="G256" s="429" t="s">
        <v>2236</v>
      </c>
      <c r="H256" s="421"/>
      <c r="I256" s="421"/>
      <c r="J256" s="421"/>
      <c r="K256" s="421"/>
      <c r="L256" s="421"/>
      <c r="M256" s="433"/>
      <c r="N256" s="411"/>
      <c r="O256" s="433"/>
      <c r="P256" s="433"/>
      <c r="Q256" s="433"/>
      <c r="R256" s="433"/>
      <c r="S256" s="411"/>
      <c r="T256" s="411"/>
      <c r="U256" s="433" t="str">
        <f t="shared" si="37"/>
        <v/>
      </c>
      <c r="V256" s="433"/>
      <c r="W256" s="432"/>
      <c r="X256" s="410"/>
      <c r="Y256" s="410"/>
      <c r="Z256" s="410"/>
      <c r="AA256" s="433"/>
      <c r="AB256" s="410"/>
      <c r="AC256" s="421"/>
      <c r="AD256" s="421"/>
      <c r="AE256" s="421"/>
      <c r="AF256" s="421"/>
      <c r="AG256" s="421"/>
      <c r="AH256" s="421"/>
      <c r="AI256" s="421"/>
      <c r="AJ256" s="418"/>
    </row>
    <row r="257" spans="1:36" s="651" customFormat="1" ht="45">
      <c r="A257" s="299" t="b">
        <v>0</v>
      </c>
      <c r="B257" s="429" t="s">
        <v>2236</v>
      </c>
      <c r="C257" s="299" t="str">
        <f t="shared" si="34"/>
        <v/>
      </c>
      <c r="D257" s="399" t="s">
        <v>2117</v>
      </c>
      <c r="E257" s="427"/>
      <c r="F257" s="434"/>
      <c r="G257" s="415" t="s">
        <v>2118</v>
      </c>
      <c r="H257" s="415" t="s">
        <v>2238</v>
      </c>
      <c r="I257" s="415" t="s">
        <v>2224</v>
      </c>
      <c r="J257" s="415" t="s">
        <v>1153</v>
      </c>
      <c r="K257" s="416" t="s">
        <v>2239</v>
      </c>
      <c r="L257" s="416" t="s">
        <v>2113</v>
      </c>
      <c r="M257" s="417" t="s">
        <v>2234</v>
      </c>
      <c r="N257" s="416"/>
      <c r="O257" s="416" t="s">
        <v>2235</v>
      </c>
      <c r="P257" s="1360" t="s">
        <v>23</v>
      </c>
      <c r="Q257" s="416"/>
      <c r="R257" s="416"/>
      <c r="S257" s="416" t="s">
        <v>2237</v>
      </c>
      <c r="T257" s="416"/>
      <c r="U257" s="416" t="s">
        <v>2241</v>
      </c>
      <c r="V257" s="416"/>
      <c r="W257" s="416" t="s">
        <v>2119</v>
      </c>
      <c r="X257" s="415" t="s">
        <v>2240</v>
      </c>
      <c r="Y257" s="415"/>
      <c r="Z257" s="415"/>
      <c r="AA257" s="400" t="s">
        <v>2265</v>
      </c>
      <c r="AB257" s="415"/>
      <c r="AC257" s="415" t="s">
        <v>2151</v>
      </c>
      <c r="AD257" s="415" t="s">
        <v>30</v>
      </c>
      <c r="AE257" s="416" t="s">
        <v>137</v>
      </c>
      <c r="AF257" s="416" t="s">
        <v>92</v>
      </c>
      <c r="AG257" s="416" t="s">
        <v>1784</v>
      </c>
      <c r="AH257" s="416" t="s">
        <v>90</v>
      </c>
      <c r="AI257" s="416" t="s">
        <v>91</v>
      </c>
      <c r="AJ257" s="418"/>
    </row>
    <row r="258" spans="1:36" s="651" customFormat="1">
      <c r="A258" s="299" t="b">
        <v>0</v>
      </c>
      <c r="B258" s="299" t="s">
        <v>2267</v>
      </c>
      <c r="C258" s="299" t="b">
        <f t="shared" si="34"/>
        <v>1</v>
      </c>
      <c r="D258" s="428" t="str">
        <f>IF(C258=FALSE=NAMES!$B$8,"",IF(F258="N/A","N/A",X258&amp;W258&amp;F258&amp;"-"&amp;G258&amp;H258))</f>
        <v/>
      </c>
      <c r="E258" s="429" t="str">
        <f>IF(F258="N/A","N/A",X258&amp;W258&amp;F258&amp;"-"&amp;G258&amp;H258)</f>
        <v>N/A</v>
      </c>
      <c r="F258" s="429" t="s">
        <v>2236</v>
      </c>
      <c r="G258" s="429" t="s">
        <v>2236</v>
      </c>
      <c r="H258" s="421"/>
      <c r="I258" s="421"/>
      <c r="J258" s="421"/>
      <c r="K258" s="421"/>
      <c r="L258" s="421"/>
      <c r="M258" s="433"/>
      <c r="N258" s="411"/>
      <c r="O258" s="433"/>
      <c r="P258" s="433"/>
      <c r="Q258" s="433"/>
      <c r="R258" s="433"/>
      <c r="S258" s="411"/>
      <c r="T258" s="411"/>
      <c r="U258" s="433">
        <f t="shared" ref="U258:U279" si="38">IF(D258="N/A","",O258*(1+S258))</f>
        <v>0</v>
      </c>
      <c r="V258" s="433"/>
      <c r="W258" s="432"/>
      <c r="X258" s="410"/>
      <c r="Y258" s="410"/>
      <c r="Z258" s="410"/>
      <c r="AA258" s="433"/>
      <c r="AB258" s="410"/>
      <c r="AC258" s="421"/>
      <c r="AD258" s="421"/>
      <c r="AE258" s="421"/>
      <c r="AF258" s="421"/>
      <c r="AG258" s="421"/>
      <c r="AH258" s="421"/>
      <c r="AI258" s="421"/>
      <c r="AJ258" s="418"/>
    </row>
    <row r="259" spans="1:36" s="651" customFormat="1">
      <c r="A259" s="299" t="b">
        <v>0</v>
      </c>
      <c r="B259" s="299" t="s">
        <v>2267</v>
      </c>
      <c r="C259" s="299" t="b">
        <f t="shared" si="34"/>
        <v>1</v>
      </c>
      <c r="D259" s="428" t="str">
        <f>IF(C259=FALSE=NAMES!$B$8,"",IF(F259="N/A","N/A",X259&amp;W259&amp;F259&amp;"-"&amp;G259&amp;H259))</f>
        <v/>
      </c>
      <c r="E259" s="429" t="str">
        <f>IF(F259="N/A","N/A",X259&amp;W259&amp;F259&amp;"-"&amp;G259&amp;H259)</f>
        <v>2015USDAnker Verzekeringen n.v.-Permanent Disability Accident</v>
      </c>
      <c r="F259" s="432" t="s">
        <v>7</v>
      </c>
      <c r="G259" s="421" t="s">
        <v>9</v>
      </c>
      <c r="H259" s="421"/>
      <c r="I259" s="421"/>
      <c r="J259" s="421"/>
      <c r="K259" s="421"/>
      <c r="L259" s="421">
        <v>365</v>
      </c>
      <c r="M259" s="433">
        <v>7.0699999999999995E-4</v>
      </c>
      <c r="N259" s="411">
        <v>0.27500000000000002</v>
      </c>
      <c r="O259" s="398">
        <f>M259/(1-N259)</f>
        <v>9.7517241379310336E-4</v>
      </c>
      <c r="P259" s="411">
        <v>0</v>
      </c>
      <c r="Q259" s="412">
        <v>0</v>
      </c>
      <c r="R259" s="398"/>
      <c r="S259" s="411">
        <v>0.04</v>
      </c>
      <c r="T259" s="411"/>
      <c r="U259" s="433">
        <f t="shared" si="38"/>
        <v>1.0141793103448276E-3</v>
      </c>
      <c r="V259" s="433"/>
      <c r="W259" s="432" t="s">
        <v>89</v>
      </c>
      <c r="X259" s="410">
        <v>2015</v>
      </c>
      <c r="Y259" s="410" t="s">
        <v>2246</v>
      </c>
      <c r="Z259" s="410"/>
      <c r="AA259" s="411">
        <v>0</v>
      </c>
      <c r="AB259" s="413"/>
      <c r="AC259" s="421" t="s">
        <v>2149</v>
      </c>
      <c r="AD259" s="421" t="s">
        <v>2179</v>
      </c>
      <c r="AE259" s="421" t="s">
        <v>2180</v>
      </c>
      <c r="AF259" s="421" t="s">
        <v>2179</v>
      </c>
      <c r="AG259" s="421" t="s">
        <v>2179</v>
      </c>
      <c r="AH259" s="421" t="s">
        <v>2179</v>
      </c>
      <c r="AI259" s="421" t="s">
        <v>2179</v>
      </c>
      <c r="AJ259" s="418" t="s">
        <v>87</v>
      </c>
    </row>
    <row r="260" spans="1:36" s="651" customFormat="1">
      <c r="A260" s="299" t="b">
        <v>0</v>
      </c>
      <c r="B260" s="299" t="s">
        <v>2267</v>
      </c>
      <c r="C260" s="299" t="b">
        <f t="shared" si="34"/>
        <v>1</v>
      </c>
      <c r="D260" s="428" t="str">
        <f>IF(C260=FALSE=NAMES!$B$8,"",IF(F260="N/A","N/A",X260&amp;W260&amp;F260&amp;"-"&amp;G260&amp;H260))</f>
        <v/>
      </c>
      <c r="E260" s="429" t="str">
        <f>IF(F260="N/A","N/A",X260&amp;W260&amp;F260&amp;"-"&amp;G260&amp;H260)</f>
        <v>2015EURAnker Verzekeringen n.v.-Permanent Disability Accident</v>
      </c>
      <c r="F260" s="432" t="s">
        <v>7</v>
      </c>
      <c r="G260" s="421" t="s">
        <v>9</v>
      </c>
      <c r="H260" s="421"/>
      <c r="I260" s="421"/>
      <c r="J260" s="421"/>
      <c r="K260" s="421"/>
      <c r="L260" s="421">
        <v>365</v>
      </c>
      <c r="M260" s="433">
        <v>6.1899999999999998E-4</v>
      </c>
      <c r="N260" s="411">
        <v>0.27500000000000002</v>
      </c>
      <c r="O260" s="398">
        <f>M260/(1-N260)</f>
        <v>8.5379310344827581E-4</v>
      </c>
      <c r="P260" s="411">
        <v>0</v>
      </c>
      <c r="Q260" s="412">
        <v>0</v>
      </c>
      <c r="R260" s="398"/>
      <c r="S260" s="411">
        <v>0.04</v>
      </c>
      <c r="T260" s="411"/>
      <c r="U260" s="433">
        <f t="shared" si="38"/>
        <v>8.8794482758620692E-4</v>
      </c>
      <c r="V260" s="433"/>
      <c r="W260" s="432" t="s">
        <v>33</v>
      </c>
      <c r="X260" s="410">
        <v>2015</v>
      </c>
      <c r="Y260" s="410" t="s">
        <v>2246</v>
      </c>
      <c r="Z260" s="410"/>
      <c r="AA260" s="411">
        <v>0</v>
      </c>
      <c r="AB260" s="413"/>
      <c r="AC260" s="421" t="s">
        <v>2149</v>
      </c>
      <c r="AD260" s="421" t="s">
        <v>2179</v>
      </c>
      <c r="AE260" s="421" t="s">
        <v>2180</v>
      </c>
      <c r="AF260" s="421" t="s">
        <v>2179</v>
      </c>
      <c r="AG260" s="421" t="s">
        <v>2179</v>
      </c>
      <c r="AH260" s="421" t="s">
        <v>2179</v>
      </c>
      <c r="AI260" s="421" t="s">
        <v>2179</v>
      </c>
      <c r="AJ260" s="418" t="s">
        <v>87</v>
      </c>
    </row>
    <row r="261" spans="1:36" s="651" customFormat="1">
      <c r="A261" s="299" t="b">
        <v>0</v>
      </c>
      <c r="B261" s="299" t="s">
        <v>2267</v>
      </c>
      <c r="C261" s="299" t="b">
        <f t="shared" si="34"/>
        <v>1</v>
      </c>
      <c r="D261" s="428" t="str">
        <f>IF(C261=FALSE=NAMES!$B$8,"",IF(F261="N/A","N/A",X261&amp;W261&amp;F261&amp;"-"&amp;G261&amp;H261&amp;I261))</f>
        <v/>
      </c>
      <c r="E261" s="429" t="str">
        <f>IF(F261="N/A","N/A",X261&amp;W261&amp;F261&amp;"-"&amp;G261&amp;H261&amp;I261)</f>
        <v>2015USDAnker Verzekeringen n.v.-Permanent Disability AccidentREDUIT</v>
      </c>
      <c r="F261" s="432" t="s">
        <v>7</v>
      </c>
      <c r="G261" s="421" t="s">
        <v>9</v>
      </c>
      <c r="H261" s="421"/>
      <c r="I261" s="421" t="s">
        <v>2435</v>
      </c>
      <c r="J261" s="421"/>
      <c r="K261" s="421"/>
      <c r="L261" s="421">
        <v>365</v>
      </c>
      <c r="M261" s="433">
        <v>0</v>
      </c>
      <c r="N261" s="411">
        <v>0.27500000000000002</v>
      </c>
      <c r="O261" s="398">
        <f>M261/(1-N261)</f>
        <v>0</v>
      </c>
      <c r="P261" s="411">
        <v>0</v>
      </c>
      <c r="Q261" s="412">
        <v>0</v>
      </c>
      <c r="R261" s="398"/>
      <c r="S261" s="411">
        <v>0.04</v>
      </c>
      <c r="T261" s="411"/>
      <c r="U261" s="433">
        <f t="shared" si="38"/>
        <v>0</v>
      </c>
      <c r="V261" s="433"/>
      <c r="W261" s="432" t="s">
        <v>89</v>
      </c>
      <c r="X261" s="410">
        <v>2015</v>
      </c>
      <c r="Y261" s="410" t="s">
        <v>2246</v>
      </c>
      <c r="Z261" s="410"/>
      <c r="AA261" s="411"/>
      <c r="AB261" s="413"/>
      <c r="AC261" s="421"/>
      <c r="AD261" s="421"/>
      <c r="AE261" s="421"/>
      <c r="AF261" s="421"/>
      <c r="AG261" s="421"/>
      <c r="AH261" s="421"/>
      <c r="AI261" s="421"/>
      <c r="AJ261" s="418"/>
    </row>
    <row r="262" spans="1:36" s="651" customFormat="1">
      <c r="A262" s="299" t="b">
        <v>0</v>
      </c>
      <c r="B262" s="299" t="s">
        <v>2267</v>
      </c>
      <c r="C262" s="299" t="b">
        <f t="shared" si="34"/>
        <v>1</v>
      </c>
      <c r="D262" s="428" t="str">
        <f>IF(C262=FALSE=NAMES!$B$8,"",IF(F262="N/A","N/A",X262&amp;W262&amp;F262&amp;"-"&amp;G262&amp;H262&amp;I262))</f>
        <v/>
      </c>
      <c r="E262" s="429" t="str">
        <f>IF(F262="N/A","N/A",X262&amp;W262&amp;F262&amp;"-"&amp;G262&amp;H262&amp;I262)</f>
        <v>2015EURAnker Verzekeringen n.v.-Permanent Disability AccidentREDUIT</v>
      </c>
      <c r="F262" s="432" t="s">
        <v>7</v>
      </c>
      <c r="G262" s="421" t="s">
        <v>9</v>
      </c>
      <c r="H262" s="421"/>
      <c r="I262" s="421" t="s">
        <v>2435</v>
      </c>
      <c r="J262" s="421"/>
      <c r="K262" s="421"/>
      <c r="L262" s="421">
        <v>365</v>
      </c>
      <c r="M262" s="433">
        <v>0</v>
      </c>
      <c r="N262" s="411">
        <v>0.27500000000000002</v>
      </c>
      <c r="O262" s="398">
        <f>M262/(1-N262)</f>
        <v>0</v>
      </c>
      <c r="P262" s="411">
        <v>0</v>
      </c>
      <c r="Q262" s="412">
        <v>0</v>
      </c>
      <c r="R262" s="398"/>
      <c r="S262" s="411">
        <v>0.04</v>
      </c>
      <c r="T262" s="411"/>
      <c r="U262" s="433">
        <f t="shared" si="38"/>
        <v>0</v>
      </c>
      <c r="V262" s="433"/>
      <c r="W262" s="432" t="s">
        <v>33</v>
      </c>
      <c r="X262" s="410">
        <v>2015</v>
      </c>
      <c r="Y262" s="410" t="s">
        <v>2246</v>
      </c>
      <c r="Z262" s="410"/>
      <c r="AA262" s="411"/>
      <c r="AB262" s="413"/>
      <c r="AC262" s="421"/>
      <c r="AD262" s="421"/>
      <c r="AE262" s="421"/>
      <c r="AF262" s="421"/>
      <c r="AG262" s="421"/>
      <c r="AH262" s="421"/>
      <c r="AI262" s="421"/>
      <c r="AJ262" s="418"/>
    </row>
    <row r="263" spans="1:36" s="651" customFormat="1">
      <c r="A263" s="299" t="b">
        <v>0</v>
      </c>
      <c r="B263" s="299" t="s">
        <v>2267</v>
      </c>
      <c r="C263" s="299" t="b">
        <f t="shared" si="34"/>
        <v>1</v>
      </c>
      <c r="D263" s="428" t="str">
        <f>IF(C263=FALSE=NAMES!$B$8,"",IF(F263="N/A","N/A",X263&amp;W263&amp;F263&amp;"-"&amp;G263&amp;H263))</f>
        <v/>
      </c>
      <c r="E263" s="429" t="str">
        <f>IF(F263="N/A","N/A",X263&amp;W263&amp;F263&amp;"-"&amp;G263&amp;H263)</f>
        <v>2015USDAIG Luxembourg-Permanent Disability Accident</v>
      </c>
      <c r="F263" s="432" t="s">
        <v>4</v>
      </c>
      <c r="G263" s="421" t="s">
        <v>9</v>
      </c>
      <c r="H263" s="524"/>
      <c r="I263" s="524"/>
      <c r="J263" s="524"/>
      <c r="K263" s="524"/>
      <c r="L263" s="421">
        <v>365</v>
      </c>
      <c r="M263" s="425"/>
      <c r="N263" s="411">
        <v>0.25</v>
      </c>
      <c r="O263" s="770">
        <v>8.7980000000000003E-4</v>
      </c>
      <c r="P263" s="411">
        <v>0</v>
      </c>
      <c r="Q263" s="412">
        <v>0</v>
      </c>
      <c r="R263" s="770"/>
      <c r="S263" s="411">
        <v>0.04</v>
      </c>
      <c r="T263" s="411"/>
      <c r="U263" s="433">
        <f t="shared" si="38"/>
        <v>9.1499200000000011E-4</v>
      </c>
      <c r="V263" s="433"/>
      <c r="W263" s="432" t="s">
        <v>89</v>
      </c>
      <c r="X263" s="410">
        <v>2015</v>
      </c>
      <c r="Y263" s="410" t="s">
        <v>26</v>
      </c>
      <c r="Z263" s="410"/>
      <c r="AA263" s="411">
        <v>0</v>
      </c>
      <c r="AB263" s="413"/>
      <c r="AC263" s="421" t="s">
        <v>2149</v>
      </c>
      <c r="AD263" s="421" t="s">
        <v>2179</v>
      </c>
      <c r="AE263" s="421" t="s">
        <v>2180</v>
      </c>
      <c r="AF263" s="524"/>
      <c r="AG263" s="524"/>
      <c r="AH263" s="524"/>
      <c r="AI263" s="524"/>
      <c r="AJ263" s="418" t="s">
        <v>2181</v>
      </c>
    </row>
    <row r="264" spans="1:36" s="651" customFormat="1">
      <c r="A264" s="299" t="b">
        <v>0</v>
      </c>
      <c r="B264" s="299" t="s">
        <v>2267</v>
      </c>
      <c r="C264" s="299" t="b">
        <f t="shared" ref="C264:C327" si="39">IF(B264="N/A","",IF(B264="newRates",FALSE,TRUE))</f>
        <v>1</v>
      </c>
      <c r="D264" s="428" t="str">
        <f>IF(C264=FALSE=NAMES!$B$8,"",IF(F264="N/A","N/A",X264&amp;W264&amp;F264&amp;"-"&amp;G264&amp;H264))</f>
        <v/>
      </c>
      <c r="E264" s="429" t="str">
        <f>IF(F264="N/A","N/A",X264&amp;W264&amp;F264&amp;"-"&amp;G264&amp;H264)</f>
        <v>2015EURAIG Luxembourg-Permanent Disability Accident</v>
      </c>
      <c r="F264" s="432" t="s">
        <v>4</v>
      </c>
      <c r="G264" s="421" t="s">
        <v>9</v>
      </c>
      <c r="H264" s="524"/>
      <c r="I264" s="524"/>
      <c r="J264" s="524"/>
      <c r="K264" s="524"/>
      <c r="L264" s="421">
        <v>365</v>
      </c>
      <c r="M264" s="425"/>
      <c r="N264" s="411">
        <v>0.25</v>
      </c>
      <c r="O264" s="770">
        <v>8.7980000000000003E-4</v>
      </c>
      <c r="P264" s="411">
        <v>0</v>
      </c>
      <c r="Q264" s="412">
        <v>0</v>
      </c>
      <c r="R264" s="770"/>
      <c r="S264" s="411">
        <v>0.04</v>
      </c>
      <c r="T264" s="411"/>
      <c r="U264" s="433">
        <f t="shared" si="38"/>
        <v>9.1499200000000011E-4</v>
      </c>
      <c r="V264" s="433"/>
      <c r="W264" s="432" t="s">
        <v>33</v>
      </c>
      <c r="X264" s="410">
        <v>2015</v>
      </c>
      <c r="Y264" s="410" t="s">
        <v>26</v>
      </c>
      <c r="Z264" s="410"/>
      <c r="AA264" s="411">
        <v>0</v>
      </c>
      <c r="AB264" s="413"/>
      <c r="AC264" s="421" t="s">
        <v>2149</v>
      </c>
      <c r="AD264" s="421"/>
      <c r="AE264" s="421"/>
      <c r="AF264" s="524"/>
      <c r="AG264" s="524"/>
      <c r="AH264" s="524"/>
      <c r="AI264" s="524"/>
      <c r="AJ264" s="418"/>
    </row>
    <row r="265" spans="1:36" s="651" customFormat="1">
      <c r="A265" s="299" t="b">
        <v>0</v>
      </c>
      <c r="B265" s="299" t="s">
        <v>2267</v>
      </c>
      <c r="C265" s="299" t="b">
        <f t="shared" si="39"/>
        <v>1</v>
      </c>
      <c r="D265" s="428" t="str">
        <f>IF(C265=FALSE=NAMES!$B$8,"",IF(F265="N/A","N/A",X265&amp;W265&amp;F265&amp;"-"&amp;G265&amp;H265))</f>
        <v/>
      </c>
      <c r="E265" s="429" t="str">
        <f>IF(F265="N/A","N/A",X265&amp;W265&amp;F265&amp;"-"&amp;G265&amp;H265)</f>
        <v>N/A</v>
      </c>
      <c r="F265" s="429" t="s">
        <v>2236</v>
      </c>
      <c r="G265" s="429" t="s">
        <v>2236</v>
      </c>
      <c r="H265" s="524"/>
      <c r="I265" s="524"/>
      <c r="J265" s="524"/>
      <c r="K265" s="524"/>
      <c r="L265" s="421"/>
      <c r="M265" s="425"/>
      <c r="N265" s="411"/>
      <c r="O265" s="433"/>
      <c r="P265" s="433"/>
      <c r="Q265" s="433"/>
      <c r="R265" s="433"/>
      <c r="S265" s="411"/>
      <c r="T265" s="411"/>
      <c r="U265" s="433">
        <f t="shared" si="38"/>
        <v>0</v>
      </c>
      <c r="V265" s="433"/>
      <c r="W265" s="432"/>
      <c r="X265" s="410"/>
      <c r="Y265" s="410"/>
      <c r="Z265" s="410"/>
      <c r="AA265" s="433"/>
      <c r="AB265" s="410"/>
      <c r="AC265" s="524"/>
      <c r="AD265" s="421"/>
      <c r="AE265" s="421"/>
      <c r="AF265" s="524"/>
      <c r="AG265" s="524"/>
      <c r="AH265" s="524"/>
      <c r="AI265" s="524"/>
      <c r="AJ265" s="418"/>
    </row>
    <row r="266" spans="1:36" s="651" customFormat="1">
      <c r="A266" s="299" t="b">
        <v>0</v>
      </c>
      <c r="B266" s="299" t="s">
        <v>2267</v>
      </c>
      <c r="C266" s="299" t="b">
        <f t="shared" si="39"/>
        <v>1</v>
      </c>
      <c r="D266" s="428" t="str">
        <f>IF(C266=FALSE=NAMES!$B$8,"",IF(F266="N/A","N/A",X266&amp;W266&amp;F266&amp;"-"&amp;G266&amp;H266))</f>
        <v/>
      </c>
      <c r="E266" s="429" t="str">
        <f>IF(F266="N/A","N/A",X266&amp;W266&amp;F266&amp;"-"&amp;G266&amp;H266)</f>
        <v>2014USDAnker Verzekeringen n.v.-Permanent Disability Accident</v>
      </c>
      <c r="F266" s="432" t="s">
        <v>7</v>
      </c>
      <c r="G266" s="421" t="s">
        <v>9</v>
      </c>
      <c r="H266" s="421"/>
      <c r="I266" s="421"/>
      <c r="J266" s="421"/>
      <c r="K266" s="421"/>
      <c r="L266" s="421">
        <v>365</v>
      </c>
      <c r="M266" s="433">
        <v>6.9999999999999999E-4</v>
      </c>
      <c r="N266" s="411">
        <v>0.25</v>
      </c>
      <c r="O266" s="433">
        <v>9.59E-4</v>
      </c>
      <c r="P266" s="411">
        <v>0</v>
      </c>
      <c r="Q266" s="412">
        <v>0</v>
      </c>
      <c r="R266" s="433"/>
      <c r="S266" s="411">
        <v>0.04</v>
      </c>
      <c r="T266" s="411"/>
      <c r="U266" s="433">
        <f t="shared" si="38"/>
        <v>9.9736000000000009E-4</v>
      </c>
      <c r="V266" s="433"/>
      <c r="W266" s="432" t="s">
        <v>89</v>
      </c>
      <c r="X266" s="410">
        <v>2014</v>
      </c>
      <c r="Y266" s="410" t="s">
        <v>2246</v>
      </c>
      <c r="Z266" s="410"/>
      <c r="AA266" s="411">
        <v>0</v>
      </c>
      <c r="AB266" s="413"/>
      <c r="AC266" s="421" t="s">
        <v>2149</v>
      </c>
      <c r="AD266" s="421" t="s">
        <v>2179</v>
      </c>
      <c r="AE266" s="421" t="s">
        <v>2179</v>
      </c>
      <c r="AF266" s="421" t="s">
        <v>2179</v>
      </c>
      <c r="AG266" s="421" t="s">
        <v>2179</v>
      </c>
      <c r="AH266" s="421" t="s">
        <v>2179</v>
      </c>
      <c r="AI266" s="421" t="s">
        <v>2179</v>
      </c>
      <c r="AJ266" s="418" t="s">
        <v>87</v>
      </c>
    </row>
    <row r="267" spans="1:36" s="651" customFormat="1">
      <c r="A267" s="299" t="b">
        <v>0</v>
      </c>
      <c r="B267" s="299" t="s">
        <v>2267</v>
      </c>
      <c r="C267" s="299" t="b">
        <f t="shared" si="39"/>
        <v>1</v>
      </c>
      <c r="D267" s="428" t="str">
        <f>IF(C267=FALSE=NAMES!$B$8,"",IF(F267="N/A","N/A",X267&amp;W267&amp;F267&amp;"-"&amp;G267&amp;H267))</f>
        <v/>
      </c>
      <c r="E267" s="429" t="str">
        <f>IF(F267="N/A","N/A",X267&amp;W267&amp;F267&amp;"-"&amp;G267&amp;H267)</f>
        <v>2014EURAnker Verzekeringen n.v.-Permanent Disability Accident</v>
      </c>
      <c r="F267" s="432" t="s">
        <v>7</v>
      </c>
      <c r="G267" s="421" t="s">
        <v>9</v>
      </c>
      <c r="H267" s="421"/>
      <c r="I267" s="421"/>
      <c r="J267" s="421"/>
      <c r="K267" s="421"/>
      <c r="L267" s="421">
        <v>365</v>
      </c>
      <c r="M267" s="433">
        <v>6.0999999999999997E-4</v>
      </c>
      <c r="N267" s="411">
        <v>0.25</v>
      </c>
      <c r="O267" s="433">
        <v>8.4000000000000003E-4</v>
      </c>
      <c r="P267" s="411">
        <v>0</v>
      </c>
      <c r="Q267" s="412">
        <v>0</v>
      </c>
      <c r="R267" s="433"/>
      <c r="S267" s="411">
        <v>0.04</v>
      </c>
      <c r="T267" s="411"/>
      <c r="U267" s="433">
        <f t="shared" si="38"/>
        <v>8.7360000000000009E-4</v>
      </c>
      <c r="V267" s="433"/>
      <c r="W267" s="432" t="s">
        <v>33</v>
      </c>
      <c r="X267" s="410">
        <v>2014</v>
      </c>
      <c r="Y267" s="410" t="s">
        <v>2246</v>
      </c>
      <c r="Z267" s="410"/>
      <c r="AA267" s="411">
        <v>0</v>
      </c>
      <c r="AB267" s="413"/>
      <c r="AC267" s="421" t="s">
        <v>2149</v>
      </c>
      <c r="AD267" s="421" t="s">
        <v>2179</v>
      </c>
      <c r="AE267" s="421" t="s">
        <v>2179</v>
      </c>
      <c r="AF267" s="421" t="s">
        <v>2179</v>
      </c>
      <c r="AG267" s="421" t="s">
        <v>2179</v>
      </c>
      <c r="AH267" s="421" t="s">
        <v>2179</v>
      </c>
      <c r="AI267" s="421" t="s">
        <v>2179</v>
      </c>
      <c r="AJ267" s="418" t="s">
        <v>87</v>
      </c>
    </row>
    <row r="268" spans="1:36" s="651" customFormat="1">
      <c r="A268" s="299" t="b">
        <v>0</v>
      </c>
      <c r="B268" s="299" t="s">
        <v>2267</v>
      </c>
      <c r="C268" s="299" t="b">
        <f t="shared" si="39"/>
        <v>1</v>
      </c>
      <c r="D268" s="428" t="str">
        <f>IF(C268=FALSE=NAMES!$B$8,"",IF(F268="N/A","N/A",X268&amp;W268&amp;F268&amp;"-"&amp;G268&amp;H268&amp;I268))</f>
        <v/>
      </c>
      <c r="E268" s="429" t="str">
        <f>IF(F268="N/A","N/A",X268&amp;W268&amp;F268&amp;"-"&amp;G268&amp;H268&amp;I268)</f>
        <v>2014USDAnker Verzekeringen n.v.-Permanent Disability AccidentREDUIT</v>
      </c>
      <c r="F268" s="432" t="s">
        <v>7</v>
      </c>
      <c r="G268" s="421" t="s">
        <v>9</v>
      </c>
      <c r="H268" s="421"/>
      <c r="I268" s="421" t="s">
        <v>2435</v>
      </c>
      <c r="J268" s="421"/>
      <c r="K268" s="421"/>
      <c r="L268" s="421">
        <v>365</v>
      </c>
      <c r="M268" s="433">
        <v>0</v>
      </c>
      <c r="N268" s="411">
        <v>0.27500000000000002</v>
      </c>
      <c r="O268" s="398">
        <f>M268/(1-N268)</f>
        <v>0</v>
      </c>
      <c r="P268" s="411">
        <v>0</v>
      </c>
      <c r="Q268" s="412">
        <v>0</v>
      </c>
      <c r="R268" s="398"/>
      <c r="S268" s="411">
        <v>0.04</v>
      </c>
      <c r="T268" s="411"/>
      <c r="U268" s="433">
        <f t="shared" si="38"/>
        <v>0</v>
      </c>
      <c r="V268" s="433"/>
      <c r="W268" s="432" t="s">
        <v>89</v>
      </c>
      <c r="X268" s="410">
        <v>2014</v>
      </c>
      <c r="Y268" s="410" t="s">
        <v>2246</v>
      </c>
      <c r="Z268" s="410"/>
      <c r="AA268" s="411"/>
      <c r="AB268" s="413"/>
      <c r="AC268" s="421"/>
      <c r="AD268" s="421"/>
      <c r="AE268" s="421"/>
      <c r="AF268" s="421"/>
      <c r="AG268" s="421"/>
      <c r="AH268" s="421"/>
      <c r="AI268" s="421"/>
      <c r="AJ268" s="418"/>
    </row>
    <row r="269" spans="1:36" s="651" customFormat="1">
      <c r="A269" s="299" t="b">
        <v>0</v>
      </c>
      <c r="B269" s="299" t="s">
        <v>2267</v>
      </c>
      <c r="C269" s="299" t="b">
        <f t="shared" si="39"/>
        <v>1</v>
      </c>
      <c r="D269" s="428" t="str">
        <f>IF(C269=FALSE=NAMES!$B$8,"",IF(F269="N/A","N/A",X269&amp;W269&amp;F269&amp;"-"&amp;G269&amp;H269&amp;I269))</f>
        <v/>
      </c>
      <c r="E269" s="429" t="str">
        <f>IF(F269="N/A","N/A",X269&amp;W269&amp;F269&amp;"-"&amp;G269&amp;H269&amp;I269)</f>
        <v>2014EURAnker Verzekeringen n.v.-Permanent Disability AccidentREDUIT</v>
      </c>
      <c r="F269" s="432" t="s">
        <v>7</v>
      </c>
      <c r="G269" s="421" t="s">
        <v>9</v>
      </c>
      <c r="H269" s="421"/>
      <c r="I269" s="421" t="s">
        <v>2435</v>
      </c>
      <c r="J269" s="421"/>
      <c r="K269" s="421"/>
      <c r="L269" s="421">
        <v>365</v>
      </c>
      <c r="M269" s="433">
        <v>0</v>
      </c>
      <c r="N269" s="411">
        <v>0.27500000000000002</v>
      </c>
      <c r="O269" s="398">
        <f>M269/(1-N269)</f>
        <v>0</v>
      </c>
      <c r="P269" s="411">
        <v>0</v>
      </c>
      <c r="Q269" s="412">
        <v>0</v>
      </c>
      <c r="R269" s="398"/>
      <c r="S269" s="411">
        <v>0.04</v>
      </c>
      <c r="T269" s="411"/>
      <c r="U269" s="433">
        <f t="shared" si="38"/>
        <v>0</v>
      </c>
      <c r="V269" s="433"/>
      <c r="W269" s="432" t="s">
        <v>33</v>
      </c>
      <c r="X269" s="410">
        <v>2014</v>
      </c>
      <c r="Y269" s="410" t="s">
        <v>2246</v>
      </c>
      <c r="Z269" s="410"/>
      <c r="AA269" s="411"/>
      <c r="AB269" s="413"/>
      <c r="AC269" s="421"/>
      <c r="AD269" s="421"/>
      <c r="AE269" s="421"/>
      <c r="AF269" s="421"/>
      <c r="AG269" s="421"/>
      <c r="AH269" s="421"/>
      <c r="AI269" s="421"/>
      <c r="AJ269" s="418"/>
    </row>
    <row r="270" spans="1:36" s="651" customFormat="1">
      <c r="A270" s="299" t="b">
        <v>0</v>
      </c>
      <c r="B270" s="299" t="s">
        <v>2267</v>
      </c>
      <c r="C270" s="299" t="b">
        <f t="shared" si="39"/>
        <v>1</v>
      </c>
      <c r="D270" s="428" t="str">
        <f>IF(C270=FALSE=NAMES!$B$8,"",IF(F270="N/A","N/A",X270&amp;W270&amp;F270&amp;"-"&amp;G270&amp;H270))</f>
        <v/>
      </c>
      <c r="E270" s="429" t="str">
        <f>IF(F270="N/A","N/A",X270&amp;W270&amp;F270&amp;"-"&amp;G270&amp;H270)</f>
        <v>2014USDAIG Luxembourg-Permanent Disability Accident</v>
      </c>
      <c r="F270" s="432" t="s">
        <v>4</v>
      </c>
      <c r="G270" s="421" t="s">
        <v>9</v>
      </c>
      <c r="H270" s="429"/>
      <c r="I270" s="429"/>
      <c r="J270" s="429"/>
      <c r="K270" s="429"/>
      <c r="L270" s="421">
        <v>365</v>
      </c>
      <c r="M270" s="425"/>
      <c r="N270" s="411">
        <v>0.25</v>
      </c>
      <c r="O270" s="770">
        <v>8.7980000000000003E-4</v>
      </c>
      <c r="P270" s="411">
        <v>0</v>
      </c>
      <c r="Q270" s="412">
        <v>0</v>
      </c>
      <c r="R270" s="770"/>
      <c r="S270" s="411">
        <v>0.04</v>
      </c>
      <c r="T270" s="411"/>
      <c r="U270" s="433">
        <f t="shared" si="38"/>
        <v>9.1499200000000011E-4</v>
      </c>
      <c r="V270" s="433"/>
      <c r="W270" s="432" t="s">
        <v>89</v>
      </c>
      <c r="X270" s="410">
        <v>2014</v>
      </c>
      <c r="Y270" s="410" t="s">
        <v>26</v>
      </c>
      <c r="Z270" s="410"/>
      <c r="AA270" s="411">
        <v>0</v>
      </c>
      <c r="AB270" s="413"/>
      <c r="AC270" s="421"/>
      <c r="AD270" s="421"/>
      <c r="AE270" s="421"/>
      <c r="AF270" s="421"/>
      <c r="AG270" s="421"/>
      <c r="AH270" s="421"/>
      <c r="AI270" s="421"/>
      <c r="AJ270" s="418"/>
    </row>
    <row r="271" spans="1:36" s="651" customFormat="1">
      <c r="A271" s="299" t="b">
        <v>0</v>
      </c>
      <c r="B271" s="299" t="s">
        <v>2267</v>
      </c>
      <c r="C271" s="299" t="b">
        <f t="shared" si="39"/>
        <v>1</v>
      </c>
      <c r="D271" s="428" t="str">
        <f>IF(C271=FALSE=NAMES!$B$8,"",IF(F271="N/A","N/A",X271&amp;W271&amp;F271&amp;"-"&amp;G271&amp;H271))</f>
        <v/>
      </c>
      <c r="E271" s="429" t="str">
        <f>IF(F271="N/A","N/A",X271&amp;W271&amp;F271&amp;"-"&amp;G271&amp;H271)</f>
        <v>2014EURAIG Luxembourg-Permanent Disability Accident</v>
      </c>
      <c r="F271" s="432" t="s">
        <v>4</v>
      </c>
      <c r="G271" s="421" t="s">
        <v>9</v>
      </c>
      <c r="H271" s="429"/>
      <c r="I271" s="429"/>
      <c r="J271" s="429"/>
      <c r="K271" s="429"/>
      <c r="L271" s="421">
        <v>365</v>
      </c>
      <c r="M271" s="425"/>
      <c r="N271" s="411">
        <v>0.25</v>
      </c>
      <c r="O271" s="770">
        <v>8.7980000000000003E-4</v>
      </c>
      <c r="P271" s="411">
        <v>0</v>
      </c>
      <c r="Q271" s="412">
        <v>0</v>
      </c>
      <c r="R271" s="770"/>
      <c r="S271" s="411">
        <v>0.04</v>
      </c>
      <c r="T271" s="411"/>
      <c r="U271" s="433">
        <f t="shared" si="38"/>
        <v>9.1499200000000011E-4</v>
      </c>
      <c r="V271" s="433"/>
      <c r="W271" s="432" t="s">
        <v>33</v>
      </c>
      <c r="X271" s="410">
        <v>2014</v>
      </c>
      <c r="Y271" s="410" t="s">
        <v>26</v>
      </c>
      <c r="Z271" s="410"/>
      <c r="AA271" s="411">
        <v>0</v>
      </c>
      <c r="AB271" s="413"/>
      <c r="AC271" s="524"/>
      <c r="AD271" s="421" t="s">
        <v>2179</v>
      </c>
      <c r="AE271" s="421" t="s">
        <v>2180</v>
      </c>
      <c r="AF271" s="524"/>
      <c r="AG271" s="524"/>
      <c r="AH271" s="524"/>
      <c r="AI271" s="524"/>
      <c r="AJ271" s="418" t="s">
        <v>2181</v>
      </c>
    </row>
    <row r="272" spans="1:36" s="651" customFormat="1">
      <c r="A272" s="299" t="b">
        <v>0</v>
      </c>
      <c r="B272" s="299" t="s">
        <v>2267</v>
      </c>
      <c r="C272" s="299" t="b">
        <f t="shared" si="39"/>
        <v>1</v>
      </c>
      <c r="D272" s="428" t="str">
        <f>IF(C272=FALSE=NAMES!$B$8,"",IF(F272="N/A","N/A",X272&amp;W272&amp;F272&amp;"-"&amp;G272&amp;H272))</f>
        <v/>
      </c>
      <c r="E272" s="429" t="str">
        <f>IF(F272="N/A","N/A",X272&amp;W272&amp;F272&amp;"-"&amp;G272&amp;H272)</f>
        <v>N/A</v>
      </c>
      <c r="F272" s="429" t="s">
        <v>2236</v>
      </c>
      <c r="G272" s="429" t="s">
        <v>2236</v>
      </c>
      <c r="H272" s="429"/>
      <c r="I272" s="429"/>
      <c r="J272" s="429"/>
      <c r="K272" s="429"/>
      <c r="L272" s="421"/>
      <c r="M272" s="425"/>
      <c r="N272" s="411"/>
      <c r="O272" s="433"/>
      <c r="P272" s="411">
        <v>0</v>
      </c>
      <c r="Q272" s="433"/>
      <c r="R272" s="433"/>
      <c r="S272" s="411"/>
      <c r="T272" s="411"/>
      <c r="U272" s="433">
        <f t="shared" si="38"/>
        <v>0</v>
      </c>
      <c r="V272" s="433"/>
      <c r="W272" s="432"/>
      <c r="X272" s="410"/>
      <c r="Y272" s="410"/>
      <c r="Z272" s="410"/>
      <c r="AA272" s="433"/>
      <c r="AB272" s="410"/>
      <c r="AC272" s="524"/>
      <c r="AD272" s="421"/>
      <c r="AE272" s="421"/>
      <c r="AF272" s="524"/>
      <c r="AG272" s="524"/>
      <c r="AH272" s="524"/>
      <c r="AI272" s="524"/>
      <c r="AJ272" s="418"/>
    </row>
    <row r="273" spans="1:36" s="651" customFormat="1">
      <c r="A273" s="299" t="b">
        <v>0</v>
      </c>
      <c r="B273" s="299" t="s">
        <v>2267</v>
      </c>
      <c r="C273" s="299" t="b">
        <f t="shared" si="39"/>
        <v>1</v>
      </c>
      <c r="D273" s="428" t="str">
        <f>IF(C273=FALSE=NAMES!$B$8,"",IF(F273="N/A","N/A",X273&amp;W273&amp;F273&amp;"-"&amp;G273&amp;H273))</f>
        <v/>
      </c>
      <c r="E273" s="429" t="str">
        <f>IF(F273="N/A","N/A",X273&amp;W273&amp;F273&amp;"-"&amp;G273&amp;H273)</f>
        <v>2013USDAnker Verzekeringen n.v.-Permanent Disability Accident</v>
      </c>
      <c r="F273" s="432" t="s">
        <v>7</v>
      </c>
      <c r="G273" s="421" t="s">
        <v>9</v>
      </c>
      <c r="H273" s="421"/>
      <c r="I273" s="421"/>
      <c r="J273" s="421"/>
      <c r="K273" s="421"/>
      <c r="L273" s="421">
        <v>365</v>
      </c>
      <c r="M273" s="433">
        <v>7.2000000000000005E-4</v>
      </c>
      <c r="N273" s="411">
        <v>0.25</v>
      </c>
      <c r="O273" s="433">
        <v>9.6000000000000002E-4</v>
      </c>
      <c r="P273" s="411">
        <v>0</v>
      </c>
      <c r="Q273" s="412">
        <v>0</v>
      </c>
      <c r="R273" s="433"/>
      <c r="S273" s="411">
        <v>0.04</v>
      </c>
      <c r="T273" s="411"/>
      <c r="U273" s="433">
        <f t="shared" si="38"/>
        <v>9.9839999999999998E-4</v>
      </c>
      <c r="V273" s="433"/>
      <c r="W273" s="432" t="s">
        <v>89</v>
      </c>
      <c r="X273" s="410">
        <v>2013</v>
      </c>
      <c r="Y273" s="410" t="s">
        <v>2246</v>
      </c>
      <c r="Z273" s="410"/>
      <c r="AA273" s="411">
        <v>0</v>
      </c>
      <c r="AB273" s="413"/>
      <c r="AC273" s="421" t="s">
        <v>2149</v>
      </c>
      <c r="AD273" s="421" t="s">
        <v>2179</v>
      </c>
      <c r="AE273" s="421" t="s">
        <v>2179</v>
      </c>
      <c r="AF273" s="421" t="s">
        <v>2179</v>
      </c>
      <c r="AG273" s="421" t="s">
        <v>2179</v>
      </c>
      <c r="AH273" s="421" t="s">
        <v>2179</v>
      </c>
      <c r="AI273" s="421" t="s">
        <v>2179</v>
      </c>
      <c r="AJ273" s="418" t="s">
        <v>87</v>
      </c>
    </row>
    <row r="274" spans="1:36" s="651" customFormat="1">
      <c r="A274" s="299" t="b">
        <v>0</v>
      </c>
      <c r="B274" s="299" t="s">
        <v>2267</v>
      </c>
      <c r="C274" s="299" t="b">
        <f t="shared" si="39"/>
        <v>1</v>
      </c>
      <c r="D274" s="428" t="str">
        <f>IF(C274=FALSE=NAMES!$B$8,"",IF(F274="N/A","N/A",X274&amp;W274&amp;F274&amp;"-"&amp;G274&amp;H274))</f>
        <v/>
      </c>
      <c r="E274" s="429" t="str">
        <f>IF(F274="N/A","N/A",X274&amp;W274&amp;F274&amp;"-"&amp;G274&amp;H274)</f>
        <v>2013EURAnker Verzekeringen n.v.-Permanent Disability Accident</v>
      </c>
      <c r="F274" s="432" t="s">
        <v>7</v>
      </c>
      <c r="G274" s="421" t="s">
        <v>9</v>
      </c>
      <c r="H274" s="421"/>
      <c r="I274" s="421"/>
      <c r="J274" s="421"/>
      <c r="K274" s="421"/>
      <c r="L274" s="421">
        <v>365</v>
      </c>
      <c r="M274" s="433"/>
      <c r="N274" s="411">
        <v>0.25</v>
      </c>
      <c r="O274" s="433">
        <v>8.4000000000000003E-4</v>
      </c>
      <c r="P274" s="411">
        <v>0</v>
      </c>
      <c r="Q274" s="412">
        <v>0</v>
      </c>
      <c r="R274" s="433"/>
      <c r="S274" s="411">
        <v>0.04</v>
      </c>
      <c r="T274" s="411"/>
      <c r="U274" s="433">
        <f t="shared" si="38"/>
        <v>8.7360000000000009E-4</v>
      </c>
      <c r="V274" s="433"/>
      <c r="W274" s="432" t="s">
        <v>33</v>
      </c>
      <c r="X274" s="410">
        <v>2013</v>
      </c>
      <c r="Y274" s="410" t="s">
        <v>2246</v>
      </c>
      <c r="Z274" s="410"/>
      <c r="AA274" s="411">
        <v>0</v>
      </c>
      <c r="AB274" s="413"/>
      <c r="AC274" s="421" t="s">
        <v>2149</v>
      </c>
      <c r="AD274" s="421" t="s">
        <v>2179</v>
      </c>
      <c r="AE274" s="421" t="s">
        <v>2179</v>
      </c>
      <c r="AF274" s="421" t="s">
        <v>2179</v>
      </c>
      <c r="AG274" s="421" t="s">
        <v>2179</v>
      </c>
      <c r="AH274" s="421" t="s">
        <v>2179</v>
      </c>
      <c r="AI274" s="421" t="s">
        <v>2179</v>
      </c>
      <c r="AJ274" s="418" t="s">
        <v>87</v>
      </c>
    </row>
    <row r="275" spans="1:36" s="651" customFormat="1">
      <c r="A275" s="299" t="b">
        <v>0</v>
      </c>
      <c r="B275" s="299" t="s">
        <v>2267</v>
      </c>
      <c r="C275" s="299" t="b">
        <f t="shared" si="39"/>
        <v>1</v>
      </c>
      <c r="D275" s="428" t="str">
        <f>IF(C275=FALSE=NAMES!$B$8,"",IF(F275="N/A","N/A",X275&amp;W275&amp;F275&amp;"-"&amp;G275&amp;H275&amp;I275))</f>
        <v/>
      </c>
      <c r="E275" s="429" t="str">
        <f>IF(F275="N/A","N/A",X275&amp;W275&amp;F275&amp;"-"&amp;G275&amp;H275&amp;I275)</f>
        <v>2013USDAnker Verzekeringen n.v.-Permanent Disability AccidentREDUIT</v>
      </c>
      <c r="F275" s="432" t="s">
        <v>7</v>
      </c>
      <c r="G275" s="421" t="s">
        <v>9</v>
      </c>
      <c r="H275" s="421"/>
      <c r="I275" s="421" t="s">
        <v>2435</v>
      </c>
      <c r="J275" s="421"/>
      <c r="K275" s="421"/>
      <c r="L275" s="421">
        <v>365</v>
      </c>
      <c r="M275" s="433">
        <v>0</v>
      </c>
      <c r="N275" s="411">
        <v>0.27500000000000002</v>
      </c>
      <c r="O275" s="398">
        <f>M275/(1-N275)</f>
        <v>0</v>
      </c>
      <c r="P275" s="411">
        <v>0</v>
      </c>
      <c r="Q275" s="412">
        <v>0</v>
      </c>
      <c r="R275" s="398"/>
      <c r="S275" s="411">
        <v>0.04</v>
      </c>
      <c r="T275" s="411"/>
      <c r="U275" s="433">
        <f t="shared" si="38"/>
        <v>0</v>
      </c>
      <c r="V275" s="433"/>
      <c r="W275" s="432" t="s">
        <v>89</v>
      </c>
      <c r="X275" s="410">
        <v>2013</v>
      </c>
      <c r="Y275" s="410" t="s">
        <v>2246</v>
      </c>
      <c r="Z275" s="410"/>
      <c r="AA275" s="411"/>
      <c r="AB275" s="413"/>
      <c r="AC275" s="421"/>
      <c r="AD275" s="421"/>
      <c r="AE275" s="421"/>
      <c r="AF275" s="421"/>
      <c r="AG275" s="421"/>
      <c r="AH275" s="421"/>
      <c r="AI275" s="421"/>
      <c r="AJ275" s="418"/>
    </row>
    <row r="276" spans="1:36" s="651" customFormat="1">
      <c r="A276" s="299" t="b">
        <v>0</v>
      </c>
      <c r="B276" s="299" t="s">
        <v>2267</v>
      </c>
      <c r="C276" s="299" t="b">
        <f t="shared" si="39"/>
        <v>1</v>
      </c>
      <c r="D276" s="428" t="str">
        <f>IF(C276=FALSE=NAMES!$B$8,"",IF(F276="N/A","N/A",X276&amp;W276&amp;F276&amp;"-"&amp;G276&amp;H276&amp;I276))</f>
        <v/>
      </c>
      <c r="E276" s="429" t="str">
        <f>IF(F276="N/A","N/A",X276&amp;W276&amp;F276&amp;"-"&amp;G276&amp;H276&amp;I276)</f>
        <v>2013EURAnker Verzekeringen n.v.-Permanent Disability AccidentREDUIT</v>
      </c>
      <c r="F276" s="432" t="s">
        <v>7</v>
      </c>
      <c r="G276" s="421" t="s">
        <v>9</v>
      </c>
      <c r="H276" s="421"/>
      <c r="I276" s="421" t="s">
        <v>2435</v>
      </c>
      <c r="J276" s="421"/>
      <c r="K276" s="421"/>
      <c r="L276" s="421">
        <v>365</v>
      </c>
      <c r="M276" s="433">
        <v>0</v>
      </c>
      <c r="N276" s="411">
        <v>0.27500000000000002</v>
      </c>
      <c r="O276" s="398">
        <f>M276/(1-N276)</f>
        <v>0</v>
      </c>
      <c r="P276" s="411">
        <v>0</v>
      </c>
      <c r="Q276" s="412">
        <v>0</v>
      </c>
      <c r="R276" s="398"/>
      <c r="S276" s="411">
        <v>0.04</v>
      </c>
      <c r="T276" s="411"/>
      <c r="U276" s="433">
        <f t="shared" si="38"/>
        <v>0</v>
      </c>
      <c r="V276" s="433"/>
      <c r="W276" s="432" t="s">
        <v>33</v>
      </c>
      <c r="X276" s="410">
        <v>2013</v>
      </c>
      <c r="Y276" s="410" t="s">
        <v>2246</v>
      </c>
      <c r="Z276" s="410"/>
      <c r="AA276" s="411"/>
      <c r="AB276" s="413"/>
      <c r="AC276" s="421"/>
      <c r="AD276" s="421"/>
      <c r="AE276" s="421"/>
      <c r="AF276" s="421"/>
      <c r="AG276" s="421"/>
      <c r="AH276" s="421"/>
      <c r="AI276" s="421"/>
      <c r="AJ276" s="418"/>
    </row>
    <row r="277" spans="1:36" s="651" customFormat="1">
      <c r="A277" s="299" t="b">
        <v>0</v>
      </c>
      <c r="B277" s="299" t="s">
        <v>2267</v>
      </c>
      <c r="C277" s="299" t="b">
        <f t="shared" si="39"/>
        <v>1</v>
      </c>
      <c r="D277" s="428" t="str">
        <f>IF(C277=FALSE=NAMES!$B$8,"",IF(F277="N/A","N/A",X277&amp;W277&amp;F277&amp;"-"&amp;G277&amp;H277))</f>
        <v/>
      </c>
      <c r="E277" s="429" t="str">
        <f>IF(F277="N/A","N/A",X277&amp;W277&amp;F277&amp;"-"&amp;G277&amp;H277)</f>
        <v>2013USDAIG Luxembourg-Permanent Disability Accident</v>
      </c>
      <c r="F277" s="432" t="s">
        <v>4</v>
      </c>
      <c r="G277" s="421" t="s">
        <v>9</v>
      </c>
      <c r="H277" s="524"/>
      <c r="I277" s="524"/>
      <c r="J277" s="524"/>
      <c r="K277" s="524"/>
      <c r="L277" s="421">
        <v>365</v>
      </c>
      <c r="M277" s="425"/>
      <c r="N277" s="411">
        <v>0.25</v>
      </c>
      <c r="O277" s="770">
        <v>8.7980000000000003E-4</v>
      </c>
      <c r="P277" s="411">
        <v>0</v>
      </c>
      <c r="Q277" s="412">
        <v>0</v>
      </c>
      <c r="R277" s="770"/>
      <c r="S277" s="411">
        <v>0.04</v>
      </c>
      <c r="T277" s="411"/>
      <c r="U277" s="433">
        <f t="shared" si="38"/>
        <v>9.1499200000000011E-4</v>
      </c>
      <c r="V277" s="433"/>
      <c r="W277" s="432" t="s">
        <v>89</v>
      </c>
      <c r="X277" s="410">
        <v>2013</v>
      </c>
      <c r="Y277" s="410" t="s">
        <v>26</v>
      </c>
      <c r="Z277" s="410"/>
      <c r="AA277" s="411">
        <v>0</v>
      </c>
      <c r="AB277" s="413"/>
      <c r="AC277" s="421"/>
      <c r="AD277" s="421"/>
      <c r="AE277" s="421"/>
      <c r="AF277" s="421"/>
      <c r="AG277" s="421"/>
      <c r="AH277" s="421"/>
      <c r="AI277" s="421"/>
      <c r="AJ277" s="418"/>
    </row>
    <row r="278" spans="1:36" s="651" customFormat="1">
      <c r="A278" s="299" t="b">
        <v>0</v>
      </c>
      <c r="B278" s="299" t="s">
        <v>2267</v>
      </c>
      <c r="C278" s="299" t="b">
        <f t="shared" si="39"/>
        <v>1</v>
      </c>
      <c r="D278" s="428" t="str">
        <f>IF(C278=FALSE=NAMES!$B$8,"",IF(F278="N/A","N/A",X278&amp;W278&amp;F278&amp;"-"&amp;G278&amp;H278))</f>
        <v/>
      </c>
      <c r="E278" s="429" t="str">
        <f>IF(F278="N/A","N/A",X278&amp;W278&amp;F278&amp;"-"&amp;G278&amp;H278)</f>
        <v>2013EURAIG Luxembourg-Permanent Disability Accident</v>
      </c>
      <c r="F278" s="432" t="s">
        <v>4</v>
      </c>
      <c r="G278" s="421" t="s">
        <v>9</v>
      </c>
      <c r="H278" s="524"/>
      <c r="I278" s="524"/>
      <c r="J278" s="524"/>
      <c r="K278" s="524"/>
      <c r="L278" s="421">
        <v>365</v>
      </c>
      <c r="M278" s="425"/>
      <c r="N278" s="411">
        <v>0.25</v>
      </c>
      <c r="O278" s="770">
        <v>8.7980000000000003E-4</v>
      </c>
      <c r="P278" s="411">
        <v>0</v>
      </c>
      <c r="Q278" s="412">
        <v>0</v>
      </c>
      <c r="R278" s="770"/>
      <c r="S278" s="411">
        <v>0.04</v>
      </c>
      <c r="T278" s="411"/>
      <c r="U278" s="433">
        <f t="shared" si="38"/>
        <v>9.1499200000000011E-4</v>
      </c>
      <c r="V278" s="433"/>
      <c r="W278" s="432" t="s">
        <v>33</v>
      </c>
      <c r="X278" s="410">
        <v>2013</v>
      </c>
      <c r="Y278" s="410" t="s">
        <v>26</v>
      </c>
      <c r="Z278" s="410"/>
      <c r="AA278" s="411">
        <v>0</v>
      </c>
      <c r="AB278" s="413"/>
      <c r="AC278" s="524"/>
      <c r="AD278" s="421" t="s">
        <v>2179</v>
      </c>
      <c r="AE278" s="421" t="s">
        <v>2180</v>
      </c>
      <c r="AF278" s="524"/>
      <c r="AG278" s="524"/>
      <c r="AH278" s="524"/>
      <c r="AI278" s="524"/>
      <c r="AJ278" s="418" t="s">
        <v>2181</v>
      </c>
    </row>
    <row r="279" spans="1:36" s="651" customFormat="1" ht="15.75" thickBot="1">
      <c r="A279" s="299" t="b">
        <v>0</v>
      </c>
      <c r="B279" s="299" t="s">
        <v>2267</v>
      </c>
      <c r="C279" s="299" t="b">
        <f t="shared" si="39"/>
        <v>1</v>
      </c>
      <c r="D279" s="428" t="str">
        <f>IF(C279=FALSE=NAMES!$B$8,"",IF(F279="N/A","N/A",X279&amp;W279&amp;F279&amp;"-"&amp;G279&amp;H279))</f>
        <v/>
      </c>
      <c r="E279" s="429" t="str">
        <f>IF(F279="N/A","N/A",X279&amp;W279&amp;F279&amp;"-"&amp;G279&amp;H279)</f>
        <v>N/A</v>
      </c>
      <c r="F279" s="429" t="s">
        <v>2236</v>
      </c>
      <c r="G279" s="429" t="s">
        <v>2236</v>
      </c>
      <c r="H279" s="524"/>
      <c r="I279" s="524"/>
      <c r="J279" s="524"/>
      <c r="K279" s="524"/>
      <c r="L279" s="421"/>
      <c r="M279" s="425"/>
      <c r="N279" s="411"/>
      <c r="O279" s="433"/>
      <c r="P279" s="433"/>
      <c r="Q279" s="433"/>
      <c r="R279" s="433"/>
      <c r="S279" s="411"/>
      <c r="T279" s="411"/>
      <c r="U279" s="433">
        <f t="shared" si="38"/>
        <v>0</v>
      </c>
      <c r="V279" s="433"/>
      <c r="W279" s="432"/>
      <c r="X279" s="410"/>
      <c r="Y279" s="410"/>
      <c r="Z279" s="410"/>
      <c r="AA279" s="433"/>
      <c r="AB279" s="410"/>
      <c r="AC279" s="524"/>
      <c r="AD279" s="421"/>
      <c r="AE279" s="421"/>
      <c r="AF279" s="524"/>
      <c r="AG279" s="524"/>
      <c r="AH279" s="524"/>
      <c r="AI279" s="524"/>
      <c r="AJ279" s="418"/>
    </row>
    <row r="280" spans="1:36" s="651" customFormat="1" ht="45">
      <c r="A280" s="299" t="b">
        <v>0</v>
      </c>
      <c r="B280" s="429" t="s">
        <v>2236</v>
      </c>
      <c r="C280" s="299" t="str">
        <f t="shared" si="39"/>
        <v/>
      </c>
      <c r="D280" s="399" t="s">
        <v>2117</v>
      </c>
      <c r="E280" s="427"/>
      <c r="F280" s="434"/>
      <c r="G280" s="415" t="s">
        <v>2118</v>
      </c>
      <c r="H280" s="415" t="s">
        <v>2238</v>
      </c>
      <c r="I280" s="415" t="s">
        <v>2224</v>
      </c>
      <c r="J280" s="415" t="s">
        <v>1153</v>
      </c>
      <c r="K280" s="416" t="s">
        <v>2239</v>
      </c>
      <c r="L280" s="416" t="s">
        <v>2113</v>
      </c>
      <c r="M280" s="417" t="s">
        <v>2234</v>
      </c>
      <c r="N280" s="416"/>
      <c r="O280" s="416" t="s">
        <v>2235</v>
      </c>
      <c r="P280" s="1360" t="s">
        <v>23</v>
      </c>
      <c r="Q280" s="416"/>
      <c r="R280" s="416"/>
      <c r="S280" s="416" t="s">
        <v>2237</v>
      </c>
      <c r="T280" s="416"/>
      <c r="U280" s="416" t="s">
        <v>2241</v>
      </c>
      <c r="V280" s="416"/>
      <c r="W280" s="416" t="s">
        <v>2119</v>
      </c>
      <c r="X280" s="415" t="s">
        <v>2240</v>
      </c>
      <c r="Y280" s="415"/>
      <c r="Z280" s="415"/>
      <c r="AA280" s="400" t="s">
        <v>2265</v>
      </c>
      <c r="AB280" s="415"/>
      <c r="AC280" s="415" t="s">
        <v>2151</v>
      </c>
      <c r="AD280" s="415" t="s">
        <v>30</v>
      </c>
      <c r="AE280" s="416" t="s">
        <v>137</v>
      </c>
      <c r="AF280" s="416" t="s">
        <v>92</v>
      </c>
      <c r="AG280" s="416" t="s">
        <v>1784</v>
      </c>
      <c r="AH280" s="416" t="s">
        <v>90</v>
      </c>
      <c r="AI280" s="416" t="s">
        <v>91</v>
      </c>
      <c r="AJ280" s="418"/>
    </row>
    <row r="281" spans="1:36" s="651" customFormat="1">
      <c r="A281" s="299" t="b">
        <v>0</v>
      </c>
      <c r="B281" s="299" t="s">
        <v>2266</v>
      </c>
      <c r="C281" s="299" t="b">
        <f t="shared" si="39"/>
        <v>0</v>
      </c>
      <c r="D281" s="428" t="str">
        <f>IF(C281=FALSE=NAMES!$B$8,"",IF(F281="N/A","N/A",X281&amp;W281&amp;F281&amp;"-"&amp;G281&amp;H281))</f>
        <v>N/A</v>
      </c>
      <c r="E281" s="429" t="str">
        <f>IF(F281="N/A","N/A",X281&amp;W281&amp;F281&amp;"-"&amp;G281&amp;H281)</f>
        <v>N/A</v>
      </c>
      <c r="F281" s="429" t="s">
        <v>2236</v>
      </c>
      <c r="G281" s="429" t="s">
        <v>2236</v>
      </c>
      <c r="H281" s="524"/>
      <c r="I281" s="524"/>
      <c r="J281" s="524"/>
      <c r="K281" s="524"/>
      <c r="L281" s="421"/>
      <c r="M281" s="425"/>
      <c r="N281" s="411"/>
      <c r="O281" s="433"/>
      <c r="P281" s="433"/>
      <c r="Q281" s="433"/>
      <c r="R281" s="433"/>
      <c r="S281" s="411"/>
      <c r="T281" s="411"/>
      <c r="U281" s="433" t="str">
        <f t="shared" ref="U281:U286" si="40">IF(D281="N/A","",O281*(1+S281))</f>
        <v/>
      </c>
      <c r="V281" s="433"/>
      <c r="W281" s="432"/>
      <c r="X281" s="410"/>
      <c r="Y281" s="410"/>
      <c r="Z281" s="410"/>
      <c r="AA281" s="433"/>
      <c r="AB281" s="410"/>
      <c r="AC281" s="524"/>
      <c r="AD281" s="421"/>
      <c r="AE281" s="421"/>
      <c r="AF281" s="524"/>
      <c r="AG281" s="524"/>
      <c r="AH281" s="524"/>
      <c r="AI281" s="524"/>
      <c r="AJ281" s="418"/>
    </row>
    <row r="282" spans="1:36" s="651" customFormat="1">
      <c r="A282" s="299" t="b">
        <v>0</v>
      </c>
      <c r="B282" s="299" t="s">
        <v>2266</v>
      </c>
      <c r="C282" s="299" t="b">
        <f t="shared" si="39"/>
        <v>0</v>
      </c>
      <c r="D282" s="428" t="str">
        <f>IF(C282=FALSE=NAMES!$B$8,"",IF(F282="N/A","N/A",X282&amp;W282&amp;F282&amp;"-"&amp;G282&amp;H282))</f>
        <v>2016USDAnker Verzekeringen n.v.-Permanent Disability illness</v>
      </c>
      <c r="E282" s="429" t="str">
        <f>IF(F282="N/A","N/A",X282&amp;W282&amp;F282&amp;"-"&amp;G282&amp;H282)</f>
        <v>2016USDAnker Verzekeringen n.v.-Permanent Disability illness</v>
      </c>
      <c r="F282" s="432" t="s">
        <v>7</v>
      </c>
      <c r="G282" s="421" t="s">
        <v>2122</v>
      </c>
      <c r="H282" s="421"/>
      <c r="I282" s="421"/>
      <c r="J282" s="421"/>
      <c r="K282" s="421"/>
      <c r="L282" s="421">
        <v>365</v>
      </c>
      <c r="M282" s="433">
        <v>1.01E-3</v>
      </c>
      <c r="N282" s="411">
        <v>0.27500000000000002</v>
      </c>
      <c r="O282" s="398">
        <f>M282/(1-N282)</f>
        <v>1.3931034482758621E-3</v>
      </c>
      <c r="P282" s="411">
        <v>0</v>
      </c>
      <c r="Q282" s="412">
        <v>0</v>
      </c>
      <c r="R282" s="398"/>
      <c r="S282" s="411">
        <v>0.04</v>
      </c>
      <c r="T282" s="411"/>
      <c r="U282" s="433">
        <f t="shared" si="40"/>
        <v>1.4488275862068966E-3</v>
      </c>
      <c r="V282" s="433"/>
      <c r="W282" s="432" t="s">
        <v>89</v>
      </c>
      <c r="X282" s="410">
        <v>2016</v>
      </c>
      <c r="Y282" s="410" t="s">
        <v>2246</v>
      </c>
      <c r="Z282" s="410"/>
      <c r="AA282" s="411">
        <v>0.05</v>
      </c>
      <c r="AB282" s="413"/>
      <c r="AC282" s="421" t="s">
        <v>2149</v>
      </c>
      <c r="AD282" s="421" t="s">
        <v>2179</v>
      </c>
      <c r="AE282" s="421" t="s">
        <v>2180</v>
      </c>
      <c r="AF282" s="421" t="s">
        <v>2180</v>
      </c>
      <c r="AG282" s="421" t="s">
        <v>2180</v>
      </c>
      <c r="AH282" s="421" t="s">
        <v>2179</v>
      </c>
      <c r="AI282" s="421" t="s">
        <v>2179</v>
      </c>
      <c r="AJ282" s="418" t="s">
        <v>2181</v>
      </c>
    </row>
    <row r="283" spans="1:36" s="651" customFormat="1">
      <c r="A283" s="299" t="b">
        <v>0</v>
      </c>
      <c r="B283" s="299" t="s">
        <v>2266</v>
      </c>
      <c r="C283" s="299" t="b">
        <f t="shared" si="39"/>
        <v>0</v>
      </c>
      <c r="D283" s="428" t="str">
        <f>IF(C283=FALSE=NAMES!$B$8,"",IF(F283="N/A","N/A",X283&amp;W283&amp;F283&amp;"-"&amp;G283&amp;H283))</f>
        <v>2016EURAnker Verzekeringen n.v.-Permanent Disability illness</v>
      </c>
      <c r="E283" s="429" t="str">
        <f>IF(F283="N/A","N/A",X283&amp;W283&amp;F283&amp;"-"&amp;G283&amp;H283)</f>
        <v>2016EURAnker Verzekeringen n.v.-Permanent Disability illness</v>
      </c>
      <c r="F283" s="432" t="s">
        <v>7</v>
      </c>
      <c r="G283" s="421" t="s">
        <v>2122</v>
      </c>
      <c r="H283" s="421"/>
      <c r="I283" s="421"/>
      <c r="J283" s="421"/>
      <c r="K283" s="421"/>
      <c r="L283" s="421">
        <v>365</v>
      </c>
      <c r="M283" s="433">
        <v>1.4890000000000001E-3</v>
      </c>
      <c r="N283" s="411">
        <v>0.27500000000000002</v>
      </c>
      <c r="O283" s="398">
        <f>M283/(1-N283)</f>
        <v>2.0537931034482759E-3</v>
      </c>
      <c r="P283" s="411">
        <v>0</v>
      </c>
      <c r="Q283" s="412">
        <v>0</v>
      </c>
      <c r="R283" s="398"/>
      <c r="S283" s="411">
        <v>0.04</v>
      </c>
      <c r="T283" s="411"/>
      <c r="U283" s="433">
        <f t="shared" si="40"/>
        <v>2.1359448275862069E-3</v>
      </c>
      <c r="V283" s="433"/>
      <c r="W283" s="432" t="s">
        <v>33</v>
      </c>
      <c r="X283" s="410">
        <v>2016</v>
      </c>
      <c r="Y283" s="410" t="s">
        <v>2246</v>
      </c>
      <c r="Z283" s="410"/>
      <c r="AA283" s="411">
        <v>0.05</v>
      </c>
      <c r="AB283" s="413"/>
      <c r="AC283" s="421" t="s">
        <v>2149</v>
      </c>
      <c r="AD283" s="421" t="s">
        <v>2179</v>
      </c>
      <c r="AE283" s="421" t="s">
        <v>2180</v>
      </c>
      <c r="AF283" s="421" t="s">
        <v>2180</v>
      </c>
      <c r="AG283" s="421" t="s">
        <v>2180</v>
      </c>
      <c r="AH283" s="421" t="s">
        <v>2179</v>
      </c>
      <c r="AI283" s="421" t="s">
        <v>2179</v>
      </c>
      <c r="AJ283" s="418" t="s">
        <v>2181</v>
      </c>
    </row>
    <row r="284" spans="1:36" s="651" customFormat="1">
      <c r="A284" s="299" t="b">
        <v>0</v>
      </c>
      <c r="B284" s="299" t="s">
        <v>2266</v>
      </c>
      <c r="C284" s="299" t="b">
        <f t="shared" si="39"/>
        <v>0</v>
      </c>
      <c r="D284" s="428" t="str">
        <f>IF(C284=FALSE=NAMES!$B$8,"",IF(F284="N/A","N/A",X284&amp;W284&amp;F284&amp;"-"&amp;G284&amp;H284&amp;I284))</f>
        <v>2016USDAnker Verzekeringen n.v.-Permanent Disability illnessREDUIT</v>
      </c>
      <c r="E284" s="429" t="str">
        <f>IF(F284="N/A","N/A",X284&amp;W284&amp;F284&amp;"-"&amp;G284&amp;H284&amp;I284)</f>
        <v>2016USDAnker Verzekeringen n.v.-Permanent Disability illnessREDUIT</v>
      </c>
      <c r="F284" s="432" t="s">
        <v>7</v>
      </c>
      <c r="G284" s="421" t="s">
        <v>2122</v>
      </c>
      <c r="H284" s="421"/>
      <c r="I284" s="421" t="s">
        <v>2435</v>
      </c>
      <c r="J284" s="421"/>
      <c r="K284" s="421"/>
      <c r="L284" s="421">
        <v>365</v>
      </c>
      <c r="M284" s="433">
        <v>9.0899999999999998E-4</v>
      </c>
      <c r="N284" s="411">
        <v>0.27500000000000002</v>
      </c>
      <c r="O284" s="398">
        <f>M284/(1-N284)</f>
        <v>1.2537931034482758E-3</v>
      </c>
      <c r="P284" s="411">
        <v>0</v>
      </c>
      <c r="Q284" s="412">
        <v>0</v>
      </c>
      <c r="R284" s="398"/>
      <c r="S284" s="411">
        <v>0.04</v>
      </c>
      <c r="T284" s="411"/>
      <c r="U284" s="433">
        <f t="shared" si="40"/>
        <v>1.3039448275862068E-3</v>
      </c>
      <c r="V284" s="433"/>
      <c r="W284" s="432" t="s">
        <v>89</v>
      </c>
      <c r="X284" s="410">
        <v>2016</v>
      </c>
      <c r="Y284" s="410" t="s">
        <v>2246</v>
      </c>
      <c r="Z284" s="410"/>
      <c r="AA284" s="411">
        <v>0.05</v>
      </c>
      <c r="AB284" s="413"/>
      <c r="AC284" s="421"/>
      <c r="AD284" s="421"/>
      <c r="AE284" s="421"/>
      <c r="AF284" s="421"/>
      <c r="AG284" s="421"/>
      <c r="AH284" s="421"/>
      <c r="AI284" s="421"/>
      <c r="AJ284" s="418"/>
    </row>
    <row r="285" spans="1:36" s="651" customFormat="1">
      <c r="A285" s="299" t="b">
        <v>0</v>
      </c>
      <c r="B285" s="299" t="s">
        <v>2266</v>
      </c>
      <c r="C285" s="299" t="b">
        <f t="shared" si="39"/>
        <v>0</v>
      </c>
      <c r="D285" s="428" t="str">
        <f>IF(C285=FALSE=NAMES!$B$8,"",IF(F285="N/A","N/A",X285&amp;W285&amp;F285&amp;"-"&amp;G285&amp;H285&amp;I285))</f>
        <v>2016EURAnker Verzekeringen n.v.-Permanent Disability illnessREDUIT</v>
      </c>
      <c r="E285" s="429" t="str">
        <f>IF(F285="N/A","N/A",X285&amp;W285&amp;F285&amp;"-"&amp;G285&amp;H285&amp;I285)</f>
        <v>2016EURAnker Verzekeringen n.v.-Permanent Disability illnessREDUIT</v>
      </c>
      <c r="F285" s="432" t="s">
        <v>7</v>
      </c>
      <c r="G285" s="421" t="s">
        <v>2122</v>
      </c>
      <c r="H285" s="421"/>
      <c r="I285" s="421" t="s">
        <v>2435</v>
      </c>
      <c r="J285" s="421"/>
      <c r="K285" s="421"/>
      <c r="L285" s="421">
        <v>365</v>
      </c>
      <c r="M285" s="433">
        <v>1.34E-3</v>
      </c>
      <c r="N285" s="411">
        <v>0.27500000000000002</v>
      </c>
      <c r="O285" s="398">
        <f>M285/(1-N285)</f>
        <v>1.8482758620689656E-3</v>
      </c>
      <c r="P285" s="411">
        <v>0</v>
      </c>
      <c r="Q285" s="412">
        <v>0</v>
      </c>
      <c r="R285" s="398"/>
      <c r="S285" s="411">
        <v>0.04</v>
      </c>
      <c r="T285" s="411"/>
      <c r="U285" s="433">
        <f t="shared" si="40"/>
        <v>1.9222068965517242E-3</v>
      </c>
      <c r="V285" s="433"/>
      <c r="W285" s="432" t="s">
        <v>33</v>
      </c>
      <c r="X285" s="410">
        <v>2016</v>
      </c>
      <c r="Y285" s="410" t="s">
        <v>2246</v>
      </c>
      <c r="Z285" s="410"/>
      <c r="AA285" s="411">
        <v>0.05</v>
      </c>
      <c r="AB285" s="413"/>
      <c r="AC285" s="421"/>
      <c r="AD285" s="421"/>
      <c r="AE285" s="421"/>
      <c r="AF285" s="421"/>
      <c r="AG285" s="421"/>
      <c r="AH285" s="421"/>
      <c r="AI285" s="421"/>
      <c r="AJ285" s="418"/>
    </row>
    <row r="286" spans="1:36" s="651" customFormat="1" ht="15.75" thickBot="1">
      <c r="A286" s="299" t="b">
        <v>0</v>
      </c>
      <c r="B286" s="299" t="s">
        <v>2266</v>
      </c>
      <c r="C286" s="299" t="b">
        <f t="shared" si="39"/>
        <v>0</v>
      </c>
      <c r="D286" s="428" t="str">
        <f>IF(C286=FALSE=NAMES!$B$8,"",IF(F286="N/A","N/A",X286&amp;W286&amp;F286&amp;"-"&amp;G286&amp;H286))</f>
        <v>N/A</v>
      </c>
      <c r="E286" s="429" t="str">
        <f>IF(F286="N/A","N/A",X286&amp;W286&amp;F286&amp;"-"&amp;G286&amp;H286)</f>
        <v>N/A</v>
      </c>
      <c r="F286" s="429" t="s">
        <v>2236</v>
      </c>
      <c r="G286" s="429" t="s">
        <v>2236</v>
      </c>
      <c r="H286" s="524"/>
      <c r="I286" s="524"/>
      <c r="J286" s="524"/>
      <c r="K286" s="524"/>
      <c r="L286" s="421"/>
      <c r="M286" s="425"/>
      <c r="N286" s="411"/>
      <c r="O286" s="433"/>
      <c r="P286" s="433"/>
      <c r="Q286" s="433"/>
      <c r="R286" s="433"/>
      <c r="S286" s="411"/>
      <c r="T286" s="411"/>
      <c r="U286" s="433" t="str">
        <f t="shared" si="40"/>
        <v/>
      </c>
      <c r="V286" s="433"/>
      <c r="W286" s="432"/>
      <c r="X286" s="410"/>
      <c r="Y286" s="410"/>
      <c r="Z286" s="410"/>
      <c r="AA286" s="411"/>
      <c r="AB286" s="410"/>
      <c r="AC286" s="524"/>
      <c r="AD286" s="421"/>
      <c r="AE286" s="421"/>
      <c r="AF286" s="524"/>
      <c r="AG286" s="524"/>
      <c r="AH286" s="524"/>
      <c r="AI286" s="524"/>
      <c r="AJ286" s="418"/>
    </row>
    <row r="287" spans="1:36" s="651" customFormat="1" ht="45">
      <c r="A287" s="299" t="b">
        <v>0</v>
      </c>
      <c r="B287" s="429" t="s">
        <v>2236</v>
      </c>
      <c r="C287" s="299" t="str">
        <f t="shared" si="39"/>
        <v/>
      </c>
      <c r="D287" s="399" t="s">
        <v>2117</v>
      </c>
      <c r="E287" s="427"/>
      <c r="F287" s="434"/>
      <c r="G287" s="415" t="s">
        <v>2118</v>
      </c>
      <c r="H287" s="415" t="s">
        <v>2238</v>
      </c>
      <c r="I287" s="415" t="s">
        <v>2224</v>
      </c>
      <c r="J287" s="415" t="s">
        <v>1153</v>
      </c>
      <c r="K287" s="416" t="s">
        <v>2239</v>
      </c>
      <c r="L287" s="416" t="s">
        <v>2113</v>
      </c>
      <c r="M287" s="417" t="s">
        <v>2234</v>
      </c>
      <c r="N287" s="416"/>
      <c r="O287" s="416" t="s">
        <v>2235</v>
      </c>
      <c r="P287" s="1360" t="s">
        <v>23</v>
      </c>
      <c r="Q287" s="416"/>
      <c r="R287" s="416"/>
      <c r="S287" s="416" t="s">
        <v>2237</v>
      </c>
      <c r="T287" s="416"/>
      <c r="U287" s="416" t="s">
        <v>2241</v>
      </c>
      <c r="V287" s="416"/>
      <c r="W287" s="416" t="s">
        <v>2119</v>
      </c>
      <c r="X287" s="415" t="s">
        <v>2240</v>
      </c>
      <c r="Y287" s="415"/>
      <c r="Z287" s="415"/>
      <c r="AA287" s="400" t="s">
        <v>2265</v>
      </c>
      <c r="AB287" s="415"/>
      <c r="AC287" s="415" t="s">
        <v>2151</v>
      </c>
      <c r="AD287" s="415" t="s">
        <v>30</v>
      </c>
      <c r="AE287" s="416" t="s">
        <v>137</v>
      </c>
      <c r="AF287" s="416" t="s">
        <v>92</v>
      </c>
      <c r="AG287" s="416" t="s">
        <v>1784</v>
      </c>
      <c r="AH287" s="416" t="s">
        <v>90</v>
      </c>
      <c r="AI287" s="416" t="s">
        <v>91</v>
      </c>
      <c r="AJ287" s="418"/>
    </row>
    <row r="288" spans="1:36" s="651" customFormat="1">
      <c r="A288" s="299" t="b">
        <v>0</v>
      </c>
      <c r="B288" s="299" t="s">
        <v>2267</v>
      </c>
      <c r="C288" s="299" t="b">
        <f t="shared" si="39"/>
        <v>1</v>
      </c>
      <c r="D288" s="428" t="str">
        <f>IF(C288=FALSE=NAMES!$B$8,"",IF(F288="N/A","N/A",X288&amp;W288&amp;F288&amp;"-"&amp;G288&amp;H288))</f>
        <v/>
      </c>
      <c r="E288" s="429" t="str">
        <f>IF(F288="N/A","N/A",X288&amp;W288&amp;F288&amp;"-"&amp;G288&amp;H288)</f>
        <v>N/A</v>
      </c>
      <c r="F288" s="429" t="s">
        <v>2236</v>
      </c>
      <c r="G288" s="429" t="s">
        <v>2236</v>
      </c>
      <c r="H288" s="524"/>
      <c r="I288" s="524"/>
      <c r="J288" s="524"/>
      <c r="K288" s="524"/>
      <c r="L288" s="421"/>
      <c r="M288" s="425"/>
      <c r="N288" s="411"/>
      <c r="O288" s="433"/>
      <c r="P288" s="433"/>
      <c r="Q288" s="433"/>
      <c r="R288" s="433"/>
      <c r="S288" s="411"/>
      <c r="T288" s="411"/>
      <c r="U288" s="433"/>
      <c r="V288" s="433"/>
      <c r="W288" s="432"/>
      <c r="X288" s="410"/>
      <c r="Y288" s="410"/>
      <c r="Z288" s="410"/>
      <c r="AA288" s="411"/>
      <c r="AB288" s="410"/>
      <c r="AC288" s="524"/>
      <c r="AD288" s="421"/>
      <c r="AE288" s="421"/>
      <c r="AF288" s="524"/>
      <c r="AG288" s="524"/>
      <c r="AH288" s="524"/>
      <c r="AI288" s="524"/>
      <c r="AJ288" s="418"/>
    </row>
    <row r="289" spans="1:36" s="651" customFormat="1">
      <c r="A289" s="299" t="b">
        <v>0</v>
      </c>
      <c r="B289" s="299" t="s">
        <v>2267</v>
      </c>
      <c r="C289" s="299" t="b">
        <f t="shared" si="39"/>
        <v>1</v>
      </c>
      <c r="D289" s="428" t="str">
        <f>IF(C289=FALSE=NAMES!$B$8,"",IF(F289="N/A","N/A",X289&amp;W289&amp;F289&amp;"-"&amp;G289&amp;H289))</f>
        <v/>
      </c>
      <c r="E289" s="429" t="str">
        <f>IF(F289="N/A","N/A",X289&amp;W289&amp;F289&amp;"-"&amp;G289&amp;H289)</f>
        <v>2015USDAnker Verzekeringen n.v.-Permanent Disability illness</v>
      </c>
      <c r="F289" s="432" t="s">
        <v>7</v>
      </c>
      <c r="G289" s="421" t="s">
        <v>2122</v>
      </c>
      <c r="H289" s="421"/>
      <c r="I289" s="421"/>
      <c r="J289" s="421"/>
      <c r="K289" s="421"/>
      <c r="L289" s="421">
        <v>365</v>
      </c>
      <c r="M289" s="433">
        <v>1.01E-3</v>
      </c>
      <c r="N289" s="411">
        <v>0.27500000000000002</v>
      </c>
      <c r="O289" s="398">
        <f>M289/(1-N289)</f>
        <v>1.3931034482758621E-3</v>
      </c>
      <c r="P289" s="411">
        <v>0</v>
      </c>
      <c r="Q289" s="412">
        <v>0</v>
      </c>
      <c r="R289" s="398"/>
      <c r="S289" s="411">
        <v>0.04</v>
      </c>
      <c r="T289" s="411"/>
      <c r="U289" s="433">
        <v>1.4487199999999999E-3</v>
      </c>
      <c r="V289" s="433"/>
      <c r="W289" s="432" t="s">
        <v>89</v>
      </c>
      <c r="X289" s="410">
        <v>2015</v>
      </c>
      <c r="Y289" s="410" t="s">
        <v>2246</v>
      </c>
      <c r="Z289" s="410"/>
      <c r="AA289" s="411">
        <v>0</v>
      </c>
      <c r="AB289" s="413"/>
      <c r="AC289" s="421" t="s">
        <v>2149</v>
      </c>
      <c r="AD289" s="421" t="s">
        <v>2179</v>
      </c>
      <c r="AE289" s="421" t="s">
        <v>2180</v>
      </c>
      <c r="AF289" s="421" t="s">
        <v>2180</v>
      </c>
      <c r="AG289" s="421" t="s">
        <v>2180</v>
      </c>
      <c r="AH289" s="421" t="s">
        <v>2179</v>
      </c>
      <c r="AI289" s="421" t="s">
        <v>2179</v>
      </c>
      <c r="AJ289" s="418" t="s">
        <v>2181</v>
      </c>
    </row>
    <row r="290" spans="1:36" s="651" customFormat="1">
      <c r="A290" s="299" t="b">
        <v>0</v>
      </c>
      <c r="B290" s="299" t="s">
        <v>2267</v>
      </c>
      <c r="C290" s="299" t="b">
        <f t="shared" si="39"/>
        <v>1</v>
      </c>
      <c r="D290" s="428" t="str">
        <f>IF(C290=FALSE=NAMES!$B$8,"",IF(F290="N/A","N/A",X290&amp;W290&amp;F290&amp;"-"&amp;G290&amp;H290))</f>
        <v/>
      </c>
      <c r="E290" s="429" t="str">
        <f>IF(F290="N/A","N/A",X290&amp;W290&amp;F290&amp;"-"&amp;G290&amp;H290)</f>
        <v>2015EURAnker Verzekeringen n.v.-Permanent Disability illness</v>
      </c>
      <c r="F290" s="432" t="s">
        <v>7</v>
      </c>
      <c r="G290" s="421" t="s">
        <v>2122</v>
      </c>
      <c r="H290" s="421"/>
      <c r="I290" s="421"/>
      <c r="J290" s="421"/>
      <c r="K290" s="421"/>
      <c r="L290" s="421">
        <v>365</v>
      </c>
      <c r="M290" s="433">
        <v>1.4890000000000001E-3</v>
      </c>
      <c r="N290" s="411">
        <v>0.27500000000000002</v>
      </c>
      <c r="O290" s="398">
        <f>M290/(1-N290)</f>
        <v>2.0537931034482759E-3</v>
      </c>
      <c r="P290" s="411">
        <v>0</v>
      </c>
      <c r="Q290" s="412">
        <v>0</v>
      </c>
      <c r="R290" s="398"/>
      <c r="S290" s="411">
        <v>0.04</v>
      </c>
      <c r="T290" s="411"/>
      <c r="U290" s="433">
        <v>2.1361599999999998E-3</v>
      </c>
      <c r="V290" s="433"/>
      <c r="W290" s="432" t="s">
        <v>33</v>
      </c>
      <c r="X290" s="410">
        <v>2015</v>
      </c>
      <c r="Y290" s="410" t="s">
        <v>2246</v>
      </c>
      <c r="Z290" s="410"/>
      <c r="AA290" s="411">
        <v>0</v>
      </c>
      <c r="AB290" s="413"/>
      <c r="AC290" s="421" t="s">
        <v>2149</v>
      </c>
      <c r="AD290" s="421" t="s">
        <v>2179</v>
      </c>
      <c r="AE290" s="421" t="s">
        <v>2180</v>
      </c>
      <c r="AF290" s="421" t="s">
        <v>2180</v>
      </c>
      <c r="AG290" s="421" t="s">
        <v>2180</v>
      </c>
      <c r="AH290" s="421" t="s">
        <v>2179</v>
      </c>
      <c r="AI290" s="421" t="s">
        <v>2179</v>
      </c>
      <c r="AJ290" s="418" t="s">
        <v>2181</v>
      </c>
    </row>
    <row r="291" spans="1:36" s="651" customFormat="1">
      <c r="A291" s="299" t="b">
        <v>0</v>
      </c>
      <c r="B291" s="299" t="s">
        <v>2267</v>
      </c>
      <c r="C291" s="299" t="b">
        <f t="shared" si="39"/>
        <v>1</v>
      </c>
      <c r="D291" s="428" t="str">
        <f>IF(C291=FALSE=NAMES!$B$8,"",IF(F291="N/A","N/A",X291&amp;W291&amp;F291&amp;"-"&amp;G291&amp;H291&amp;I291))</f>
        <v/>
      </c>
      <c r="E291" s="429" t="str">
        <f>IF(F291="N/A","N/A",X291&amp;W291&amp;F291&amp;"-"&amp;G291&amp;H291&amp;I291)</f>
        <v>2015USDAnker Verzekeringen n.v.-Permanent Disability illnessREDUIT</v>
      </c>
      <c r="F291" s="432" t="s">
        <v>7</v>
      </c>
      <c r="G291" s="421" t="s">
        <v>2122</v>
      </c>
      <c r="H291" s="421"/>
      <c r="I291" s="421" t="s">
        <v>2435</v>
      </c>
      <c r="J291" s="421"/>
      <c r="K291" s="421"/>
      <c r="L291" s="421">
        <v>365</v>
      </c>
      <c r="M291" s="433">
        <v>0</v>
      </c>
      <c r="N291" s="411">
        <v>0.27500000000000002</v>
      </c>
      <c r="O291" s="398">
        <f>M291/(1-N291)</f>
        <v>0</v>
      </c>
      <c r="P291" s="411">
        <v>0</v>
      </c>
      <c r="Q291" s="412">
        <v>0</v>
      </c>
      <c r="R291" s="398"/>
      <c r="S291" s="411">
        <v>0.04</v>
      </c>
      <c r="T291" s="411"/>
      <c r="U291" s="433">
        <f>IF(D291="N/A","",O291*(1+S291))</f>
        <v>0</v>
      </c>
      <c r="V291" s="433"/>
      <c r="W291" s="432" t="s">
        <v>89</v>
      </c>
      <c r="X291" s="410">
        <v>2015</v>
      </c>
      <c r="Y291" s="410" t="s">
        <v>2246</v>
      </c>
      <c r="Z291" s="410"/>
      <c r="AA291" s="411">
        <v>0</v>
      </c>
      <c r="AB291" s="413"/>
      <c r="AC291" s="421"/>
      <c r="AD291" s="421"/>
      <c r="AE291" s="421"/>
      <c r="AF291" s="421"/>
      <c r="AG291" s="421"/>
      <c r="AH291" s="421"/>
      <c r="AI291" s="421"/>
      <c r="AJ291" s="418"/>
    </row>
    <row r="292" spans="1:36" s="651" customFormat="1">
      <c r="A292" s="299" t="b">
        <v>0</v>
      </c>
      <c r="B292" s="299" t="s">
        <v>2267</v>
      </c>
      <c r="C292" s="299" t="b">
        <f t="shared" si="39"/>
        <v>1</v>
      </c>
      <c r="D292" s="428" t="str">
        <f>IF(C292=FALSE=NAMES!$B$8,"",IF(F292="N/A","N/A",X292&amp;W292&amp;F292&amp;"-"&amp;G292&amp;H292&amp;I292))</f>
        <v/>
      </c>
      <c r="E292" s="429" t="str">
        <f>IF(F292="N/A","N/A",X292&amp;W292&amp;F292&amp;"-"&amp;G292&amp;H292&amp;I292)</f>
        <v>2015EURAnker Verzekeringen n.v.-Permanent Disability illnessREDUIT</v>
      </c>
      <c r="F292" s="432" t="s">
        <v>7</v>
      </c>
      <c r="G292" s="421" t="s">
        <v>2122</v>
      </c>
      <c r="H292" s="421"/>
      <c r="I292" s="421" t="s">
        <v>2435</v>
      </c>
      <c r="J292" s="421"/>
      <c r="K292" s="421"/>
      <c r="L292" s="421">
        <v>365</v>
      </c>
      <c r="M292" s="433">
        <v>0</v>
      </c>
      <c r="N292" s="411">
        <v>0.27500000000000002</v>
      </c>
      <c r="O292" s="398">
        <f>M292/(1-N292)</f>
        <v>0</v>
      </c>
      <c r="P292" s="411">
        <v>0</v>
      </c>
      <c r="Q292" s="412">
        <v>0</v>
      </c>
      <c r="R292" s="398"/>
      <c r="S292" s="411">
        <v>0.04</v>
      </c>
      <c r="T292" s="411"/>
      <c r="U292" s="433">
        <f>IF(D292="N/A","",O292*(1+S292))</f>
        <v>0</v>
      </c>
      <c r="V292" s="433"/>
      <c r="W292" s="432" t="s">
        <v>33</v>
      </c>
      <c r="X292" s="410">
        <v>2015</v>
      </c>
      <c r="Y292" s="410" t="s">
        <v>2246</v>
      </c>
      <c r="Z292" s="410"/>
      <c r="AA292" s="411">
        <v>0</v>
      </c>
      <c r="AB292" s="413"/>
      <c r="AC292" s="421"/>
      <c r="AD292" s="421"/>
      <c r="AE292" s="421"/>
      <c r="AF292" s="421"/>
      <c r="AG292" s="421"/>
      <c r="AH292" s="421"/>
      <c r="AI292" s="421"/>
      <c r="AJ292" s="418"/>
    </row>
    <row r="293" spans="1:36" s="651" customFormat="1">
      <c r="A293" s="299" t="b">
        <v>0</v>
      </c>
      <c r="B293" s="299" t="s">
        <v>2267</v>
      </c>
      <c r="C293" s="299" t="b">
        <f t="shared" si="39"/>
        <v>1</v>
      </c>
      <c r="D293" s="428" t="str">
        <f>IF(C293=FALSE=NAMES!$B$8,"",IF(F293="N/A","N/A",X293&amp;W293&amp;F293&amp;"-"&amp;G293&amp;H293))</f>
        <v/>
      </c>
      <c r="E293" s="429" t="str">
        <f>IF(F293="N/A","N/A",X293&amp;W293&amp;F293&amp;"-"&amp;G293&amp;H293)</f>
        <v>N/A</v>
      </c>
      <c r="F293" s="429" t="s">
        <v>2236</v>
      </c>
      <c r="G293" s="429" t="s">
        <v>2236</v>
      </c>
      <c r="H293" s="421"/>
      <c r="I293" s="421"/>
      <c r="J293" s="421"/>
      <c r="K293" s="421"/>
      <c r="L293" s="421"/>
      <c r="M293" s="433"/>
      <c r="N293" s="411"/>
      <c r="O293" s="433"/>
      <c r="P293" s="411">
        <v>0</v>
      </c>
      <c r="Q293" s="433"/>
      <c r="R293" s="433"/>
      <c r="S293" s="411"/>
      <c r="T293" s="411"/>
      <c r="U293" s="433"/>
      <c r="V293" s="433"/>
      <c r="W293" s="432"/>
      <c r="X293" s="410"/>
      <c r="Y293" s="410"/>
      <c r="Z293" s="410"/>
      <c r="AA293" s="411"/>
      <c r="AB293" s="410"/>
      <c r="AC293" s="421"/>
      <c r="AD293" s="421"/>
      <c r="AE293" s="421"/>
      <c r="AF293" s="421"/>
      <c r="AG293" s="421"/>
      <c r="AH293" s="421"/>
      <c r="AI293" s="421"/>
      <c r="AJ293" s="418"/>
    </row>
    <row r="294" spans="1:36" s="651" customFormat="1">
      <c r="A294" s="299" t="b">
        <v>0</v>
      </c>
      <c r="B294" s="299" t="s">
        <v>2267</v>
      </c>
      <c r="C294" s="299" t="b">
        <f t="shared" si="39"/>
        <v>1</v>
      </c>
      <c r="D294" s="428" t="str">
        <f>IF(C294=FALSE=NAMES!$B$8,"",IF(F294="N/A","N/A",X294&amp;W294&amp;F294&amp;"-"&amp;G294&amp;H294))</f>
        <v/>
      </c>
      <c r="E294" s="429" t="str">
        <f>IF(F294="N/A","N/A",X294&amp;W294&amp;F294&amp;"-"&amp;G294&amp;H294)</f>
        <v>2014USDAnker Verzekeringen n.v.-Permanent Disability illness</v>
      </c>
      <c r="F294" s="432" t="s">
        <v>7</v>
      </c>
      <c r="G294" s="421" t="s">
        <v>2122</v>
      </c>
      <c r="H294" s="421"/>
      <c r="I294" s="421"/>
      <c r="J294" s="421"/>
      <c r="K294" s="421"/>
      <c r="L294" s="421">
        <v>365</v>
      </c>
      <c r="M294" s="433">
        <v>1E-3</v>
      </c>
      <c r="N294" s="411">
        <v>0.25</v>
      </c>
      <c r="O294" s="433">
        <v>1.371E-3</v>
      </c>
      <c r="P294" s="411">
        <v>0</v>
      </c>
      <c r="Q294" s="412">
        <v>0</v>
      </c>
      <c r="R294" s="433"/>
      <c r="S294" s="411">
        <v>0.04</v>
      </c>
      <c r="T294" s="411"/>
      <c r="U294" s="433">
        <v>1.4258400000000001E-3</v>
      </c>
      <c r="V294" s="433"/>
      <c r="W294" s="432" t="s">
        <v>89</v>
      </c>
      <c r="X294" s="410">
        <v>2014</v>
      </c>
      <c r="Y294" s="410" t="s">
        <v>2246</v>
      </c>
      <c r="Z294" s="410"/>
      <c r="AA294" s="411">
        <v>0</v>
      </c>
      <c r="AB294" s="413"/>
      <c r="AC294" s="421" t="s">
        <v>2149</v>
      </c>
      <c r="AD294" s="421" t="s">
        <v>2179</v>
      </c>
      <c r="AE294" s="421" t="s">
        <v>2179</v>
      </c>
      <c r="AF294" s="421" t="s">
        <v>2180</v>
      </c>
      <c r="AG294" s="421" t="s">
        <v>2180</v>
      </c>
      <c r="AH294" s="421" t="s">
        <v>2179</v>
      </c>
      <c r="AI294" s="421" t="s">
        <v>2179</v>
      </c>
      <c r="AJ294" s="418" t="s">
        <v>2181</v>
      </c>
    </row>
    <row r="295" spans="1:36" s="651" customFormat="1">
      <c r="A295" s="299" t="b">
        <v>0</v>
      </c>
      <c r="B295" s="299" t="s">
        <v>2267</v>
      </c>
      <c r="C295" s="299" t="b">
        <f t="shared" si="39"/>
        <v>1</v>
      </c>
      <c r="D295" s="428" t="str">
        <f>IF(C295=FALSE=NAMES!$B$8,"",IF(F295="N/A","N/A",X295&amp;W295&amp;F295&amp;"-"&amp;G295&amp;H295))</f>
        <v/>
      </c>
      <c r="E295" s="429" t="str">
        <f>IF(F295="N/A","N/A",X295&amp;W295&amp;F295&amp;"-"&amp;G295&amp;H295)</f>
        <v>2014EURAnker Verzekeringen n.v.-Permanent Disability illness</v>
      </c>
      <c r="F295" s="432" t="s">
        <v>7</v>
      </c>
      <c r="G295" s="421" t="s">
        <v>2122</v>
      </c>
      <c r="H295" s="421"/>
      <c r="I295" s="421"/>
      <c r="J295" s="421"/>
      <c r="K295" s="421"/>
      <c r="L295" s="421">
        <v>365</v>
      </c>
      <c r="M295" s="433">
        <v>1.474E-3</v>
      </c>
      <c r="N295" s="411">
        <v>0.25</v>
      </c>
      <c r="O295" s="433">
        <v>2.0200000000000001E-3</v>
      </c>
      <c r="P295" s="411">
        <v>0</v>
      </c>
      <c r="Q295" s="412">
        <v>0</v>
      </c>
      <c r="R295" s="433"/>
      <c r="S295" s="411">
        <v>0.04</v>
      </c>
      <c r="T295" s="411"/>
      <c r="U295" s="433">
        <v>2.1008000000000003E-3</v>
      </c>
      <c r="V295" s="433"/>
      <c r="W295" s="432" t="s">
        <v>33</v>
      </c>
      <c r="X295" s="410">
        <v>2014</v>
      </c>
      <c r="Y295" s="410" t="s">
        <v>2246</v>
      </c>
      <c r="Z295" s="410"/>
      <c r="AA295" s="411">
        <v>0</v>
      </c>
      <c r="AB295" s="413"/>
      <c r="AC295" s="421" t="s">
        <v>2149</v>
      </c>
      <c r="AD295" s="421" t="s">
        <v>2179</v>
      </c>
      <c r="AE295" s="421" t="s">
        <v>2179</v>
      </c>
      <c r="AF295" s="421" t="s">
        <v>2180</v>
      </c>
      <c r="AG295" s="421" t="s">
        <v>2180</v>
      </c>
      <c r="AH295" s="421" t="s">
        <v>2179</v>
      </c>
      <c r="AI295" s="421" t="s">
        <v>2179</v>
      </c>
      <c r="AJ295" s="418" t="s">
        <v>2181</v>
      </c>
    </row>
    <row r="296" spans="1:36" s="651" customFormat="1">
      <c r="A296" s="299" t="b">
        <v>0</v>
      </c>
      <c r="B296" s="299" t="s">
        <v>2267</v>
      </c>
      <c r="C296" s="299" t="b">
        <f t="shared" si="39"/>
        <v>1</v>
      </c>
      <c r="D296" s="428" t="str">
        <f>IF(C296=FALSE=NAMES!$B$8,"",IF(F296="N/A","N/A",X296&amp;W296&amp;F296&amp;"-"&amp;G296&amp;H296&amp;I296))</f>
        <v/>
      </c>
      <c r="E296" s="429" t="str">
        <f>IF(F296="N/A","N/A",X296&amp;W296&amp;F296&amp;"-"&amp;G296&amp;H296&amp;I296)</f>
        <v>2014USDAnker Verzekeringen n.v.-Permanent Disability illnessREDUIT</v>
      </c>
      <c r="F296" s="432" t="s">
        <v>7</v>
      </c>
      <c r="G296" s="421" t="s">
        <v>2122</v>
      </c>
      <c r="H296" s="421"/>
      <c r="I296" s="421" t="s">
        <v>2435</v>
      </c>
      <c r="J296" s="421"/>
      <c r="K296" s="421"/>
      <c r="L296" s="421">
        <v>365</v>
      </c>
      <c r="M296" s="433">
        <v>0</v>
      </c>
      <c r="N296" s="411">
        <v>0.27500000000000002</v>
      </c>
      <c r="O296" s="398">
        <f>M296/(1-N296)</f>
        <v>0</v>
      </c>
      <c r="P296" s="411">
        <v>0</v>
      </c>
      <c r="Q296" s="412">
        <v>0</v>
      </c>
      <c r="R296" s="398"/>
      <c r="S296" s="411">
        <v>0.04</v>
      </c>
      <c r="T296" s="411"/>
      <c r="U296" s="433">
        <f>IF(D296="N/A","",O296*(1+S296))</f>
        <v>0</v>
      </c>
      <c r="V296" s="433"/>
      <c r="W296" s="432" t="s">
        <v>89</v>
      </c>
      <c r="X296" s="410">
        <v>2014</v>
      </c>
      <c r="Y296" s="410" t="s">
        <v>2246</v>
      </c>
      <c r="Z296" s="410"/>
      <c r="AA296" s="411">
        <v>0</v>
      </c>
      <c r="AB296" s="413"/>
      <c r="AC296" s="421"/>
      <c r="AD296" s="421"/>
      <c r="AE296" s="421"/>
      <c r="AF296" s="421"/>
      <c r="AG296" s="421"/>
      <c r="AH296" s="421"/>
      <c r="AI296" s="421"/>
      <c r="AJ296" s="418"/>
    </row>
    <row r="297" spans="1:36" s="651" customFormat="1">
      <c r="A297" s="299" t="b">
        <v>0</v>
      </c>
      <c r="B297" s="299" t="s">
        <v>2267</v>
      </c>
      <c r="C297" s="299" t="b">
        <f t="shared" si="39"/>
        <v>1</v>
      </c>
      <c r="D297" s="428" t="str">
        <f>IF(C297=FALSE=NAMES!$B$8,"",IF(F297="N/A","N/A",X297&amp;W297&amp;F297&amp;"-"&amp;G297&amp;H297&amp;I297))</f>
        <v/>
      </c>
      <c r="E297" s="429" t="str">
        <f>IF(F297="N/A","N/A",X297&amp;W297&amp;F297&amp;"-"&amp;G297&amp;H297&amp;I297)</f>
        <v>2014EURAnker Verzekeringen n.v.-Permanent Disability illnessREDUIT</v>
      </c>
      <c r="F297" s="432" t="s">
        <v>7</v>
      </c>
      <c r="G297" s="421" t="s">
        <v>2122</v>
      </c>
      <c r="H297" s="421"/>
      <c r="I297" s="421" t="s">
        <v>2435</v>
      </c>
      <c r="J297" s="421"/>
      <c r="K297" s="421"/>
      <c r="L297" s="421">
        <v>365</v>
      </c>
      <c r="M297" s="433">
        <v>0</v>
      </c>
      <c r="N297" s="411">
        <v>0.27500000000000002</v>
      </c>
      <c r="O297" s="398">
        <f>M297/(1-N297)</f>
        <v>0</v>
      </c>
      <c r="P297" s="411">
        <v>0</v>
      </c>
      <c r="Q297" s="412">
        <v>0</v>
      </c>
      <c r="R297" s="398"/>
      <c r="S297" s="411">
        <v>0.04</v>
      </c>
      <c r="T297" s="411"/>
      <c r="U297" s="433">
        <f>IF(D297="N/A","",O297*(1+S297))</f>
        <v>0</v>
      </c>
      <c r="V297" s="433"/>
      <c r="W297" s="432" t="s">
        <v>33</v>
      </c>
      <c r="X297" s="410">
        <v>2014</v>
      </c>
      <c r="Y297" s="410" t="s">
        <v>2246</v>
      </c>
      <c r="Z297" s="410"/>
      <c r="AA297" s="411">
        <v>0</v>
      </c>
      <c r="AB297" s="413"/>
      <c r="AC297" s="421"/>
      <c r="AD297" s="421"/>
      <c r="AE297" s="421"/>
      <c r="AF297" s="421"/>
      <c r="AG297" s="421"/>
      <c r="AH297" s="421"/>
      <c r="AI297" s="421"/>
      <c r="AJ297" s="418"/>
    </row>
    <row r="298" spans="1:36" s="651" customFormat="1">
      <c r="A298" s="299" t="b">
        <v>0</v>
      </c>
      <c r="B298" s="299" t="s">
        <v>2267</v>
      </c>
      <c r="C298" s="299" t="b">
        <f t="shared" si="39"/>
        <v>1</v>
      </c>
      <c r="D298" s="428" t="str">
        <f>IF(C298=FALSE=NAMES!$B$8,"",IF(F298="N/A","N/A",X298&amp;W298&amp;F298&amp;"-"&amp;G298&amp;H298))</f>
        <v/>
      </c>
      <c r="E298" s="429" t="str">
        <f>IF(F298="N/A","N/A",X298&amp;W298&amp;F298&amp;"-"&amp;G298&amp;H298)</f>
        <v>N/A</v>
      </c>
      <c r="F298" s="429" t="s">
        <v>2236</v>
      </c>
      <c r="G298" s="429" t="s">
        <v>2236</v>
      </c>
      <c r="H298" s="421"/>
      <c r="I298" s="421"/>
      <c r="J298" s="421"/>
      <c r="K298" s="421"/>
      <c r="L298" s="421"/>
      <c r="M298" s="433"/>
      <c r="N298" s="411"/>
      <c r="O298" s="433"/>
      <c r="P298" s="411">
        <v>0</v>
      </c>
      <c r="Q298" s="412">
        <v>0</v>
      </c>
      <c r="R298" s="433"/>
      <c r="S298" s="411"/>
      <c r="T298" s="411"/>
      <c r="U298" s="433"/>
      <c r="V298" s="433"/>
      <c r="W298" s="432"/>
      <c r="X298" s="410"/>
      <c r="Y298" s="410"/>
      <c r="Z298" s="410"/>
      <c r="AA298" s="411"/>
      <c r="AB298" s="410"/>
      <c r="AC298" s="421"/>
      <c r="AD298" s="421"/>
      <c r="AE298" s="421"/>
      <c r="AF298" s="421"/>
      <c r="AG298" s="421"/>
      <c r="AH298" s="421"/>
      <c r="AI298" s="421"/>
      <c r="AJ298" s="418"/>
    </row>
    <row r="299" spans="1:36" s="651" customFormat="1">
      <c r="A299" s="299" t="b">
        <v>0</v>
      </c>
      <c r="B299" s="299" t="s">
        <v>2267</v>
      </c>
      <c r="C299" s="299" t="b">
        <f t="shared" si="39"/>
        <v>1</v>
      </c>
      <c r="D299" s="428" t="str">
        <f>IF(C299=FALSE=NAMES!$B$8,"",IF(F299="N/A","N/A",X299&amp;W299&amp;F299&amp;"-"&amp;G299&amp;H299))</f>
        <v/>
      </c>
      <c r="E299" s="429" t="str">
        <f>IF(F299="N/A","N/A",X299&amp;W299&amp;F299&amp;"-"&amp;G299&amp;H299)</f>
        <v>2013USDAnker Verzekeringen n.v.-Permanent Disability illness</v>
      </c>
      <c r="F299" s="432" t="s">
        <v>7</v>
      </c>
      <c r="G299" s="421" t="s">
        <v>2122</v>
      </c>
      <c r="H299" s="421"/>
      <c r="I299" s="421"/>
      <c r="J299" s="421"/>
      <c r="K299" s="421"/>
      <c r="L299" s="421">
        <v>365</v>
      </c>
      <c r="M299" s="433">
        <v>1.0300000000000001E-3</v>
      </c>
      <c r="N299" s="411">
        <v>0.25</v>
      </c>
      <c r="O299" s="433">
        <v>1.3730000000000001E-3</v>
      </c>
      <c r="P299" s="411">
        <v>0</v>
      </c>
      <c r="Q299" s="412">
        <v>0</v>
      </c>
      <c r="R299" s="433"/>
      <c r="S299" s="411">
        <v>0.04</v>
      </c>
      <c r="T299" s="411"/>
      <c r="U299" s="433">
        <v>1.4279200000000001E-3</v>
      </c>
      <c r="V299" s="433"/>
      <c r="W299" s="432" t="s">
        <v>89</v>
      </c>
      <c r="X299" s="410">
        <v>2013</v>
      </c>
      <c r="Y299" s="410" t="s">
        <v>2246</v>
      </c>
      <c r="Z299" s="410"/>
      <c r="AA299" s="411">
        <v>0</v>
      </c>
      <c r="AB299" s="413"/>
      <c r="AC299" s="421" t="s">
        <v>2149</v>
      </c>
      <c r="AD299" s="421" t="s">
        <v>2179</v>
      </c>
      <c r="AE299" s="421" t="s">
        <v>2179</v>
      </c>
      <c r="AF299" s="421" t="s">
        <v>2180</v>
      </c>
      <c r="AG299" s="421" t="s">
        <v>2180</v>
      </c>
      <c r="AH299" s="421" t="s">
        <v>2179</v>
      </c>
      <c r="AI299" s="421" t="s">
        <v>2179</v>
      </c>
      <c r="AJ299" s="418" t="s">
        <v>2181</v>
      </c>
    </row>
    <row r="300" spans="1:36" s="651" customFormat="1">
      <c r="A300" s="299" t="b">
        <v>0</v>
      </c>
      <c r="B300" s="299" t="s">
        <v>2267</v>
      </c>
      <c r="C300" s="299" t="b">
        <f t="shared" si="39"/>
        <v>1</v>
      </c>
      <c r="D300" s="428" t="str">
        <f>IF(C300=FALSE=NAMES!$B$8,"",IF(F300="N/A","N/A",X300&amp;W300&amp;F300&amp;"-"&amp;G300&amp;H300))</f>
        <v/>
      </c>
      <c r="E300" s="429" t="str">
        <f>IF(F300="N/A","N/A",X300&amp;W300&amp;F300&amp;"-"&amp;G300&amp;H300)</f>
        <v>2013EURAnker Verzekeringen n.v.-Permanent Disability illness</v>
      </c>
      <c r="F300" s="432" t="s">
        <v>7</v>
      </c>
      <c r="G300" s="421" t="s">
        <v>2122</v>
      </c>
      <c r="H300" s="421"/>
      <c r="I300" s="421"/>
      <c r="J300" s="421"/>
      <c r="K300" s="421"/>
      <c r="L300" s="421">
        <v>365</v>
      </c>
      <c r="M300" s="433">
        <v>1.5100000000000001E-3</v>
      </c>
      <c r="N300" s="411">
        <v>0.25</v>
      </c>
      <c r="O300" s="433">
        <v>2.0200000000000001E-3</v>
      </c>
      <c r="P300" s="411">
        <v>0</v>
      </c>
      <c r="Q300" s="412">
        <v>0</v>
      </c>
      <c r="R300" s="433"/>
      <c r="S300" s="411">
        <v>0.04</v>
      </c>
      <c r="T300" s="411"/>
      <c r="U300" s="433">
        <v>2.1008000000000003E-3</v>
      </c>
      <c r="V300" s="433"/>
      <c r="W300" s="432" t="s">
        <v>33</v>
      </c>
      <c r="X300" s="410">
        <v>2013</v>
      </c>
      <c r="Y300" s="410" t="s">
        <v>2246</v>
      </c>
      <c r="Z300" s="410"/>
      <c r="AA300" s="411">
        <v>0</v>
      </c>
      <c r="AB300" s="413"/>
      <c r="AC300" s="421" t="s">
        <v>2149</v>
      </c>
      <c r="AD300" s="421" t="s">
        <v>2179</v>
      </c>
      <c r="AE300" s="421" t="s">
        <v>2179</v>
      </c>
      <c r="AF300" s="421" t="s">
        <v>2180</v>
      </c>
      <c r="AG300" s="421" t="s">
        <v>2180</v>
      </c>
      <c r="AH300" s="421" t="s">
        <v>2179</v>
      </c>
      <c r="AI300" s="421" t="s">
        <v>2179</v>
      </c>
      <c r="AJ300" s="418" t="s">
        <v>2181</v>
      </c>
    </row>
    <row r="301" spans="1:36" s="651" customFormat="1">
      <c r="A301" s="299" t="b">
        <v>0</v>
      </c>
      <c r="B301" s="299" t="s">
        <v>2267</v>
      </c>
      <c r="C301" s="299" t="b">
        <f t="shared" si="39"/>
        <v>1</v>
      </c>
      <c r="D301" s="428" t="str">
        <f>IF(C301=FALSE=NAMES!$B$8,"",IF(F301="N/A","N/A",X301&amp;W301&amp;F301&amp;"-"&amp;G301&amp;H301&amp;I301))</f>
        <v/>
      </c>
      <c r="E301" s="429" t="str">
        <f>IF(F301="N/A","N/A",X301&amp;W301&amp;F301&amp;"-"&amp;G301&amp;H301&amp;I301)</f>
        <v>2013USDAnker Verzekeringen n.v.-Permanent Disability illnessREDUIT</v>
      </c>
      <c r="F301" s="432" t="s">
        <v>7</v>
      </c>
      <c r="G301" s="421" t="s">
        <v>2122</v>
      </c>
      <c r="H301" s="421"/>
      <c r="I301" s="421" t="s">
        <v>2435</v>
      </c>
      <c r="J301" s="421"/>
      <c r="K301" s="421"/>
      <c r="L301" s="421">
        <v>365</v>
      </c>
      <c r="M301" s="433">
        <v>0</v>
      </c>
      <c r="N301" s="411">
        <v>0.27500000000000002</v>
      </c>
      <c r="O301" s="398">
        <f>M301/(1-N301)</f>
        <v>0</v>
      </c>
      <c r="P301" s="411">
        <v>0</v>
      </c>
      <c r="Q301" s="412">
        <v>0</v>
      </c>
      <c r="R301" s="398"/>
      <c r="S301" s="411">
        <v>0.04</v>
      </c>
      <c r="T301" s="411"/>
      <c r="U301" s="433">
        <f>IF(D301="N/A","",O301*(1+S301))</f>
        <v>0</v>
      </c>
      <c r="V301" s="433"/>
      <c r="W301" s="432" t="s">
        <v>89</v>
      </c>
      <c r="X301" s="410">
        <v>2013</v>
      </c>
      <c r="Y301" s="410" t="s">
        <v>2246</v>
      </c>
      <c r="Z301" s="410"/>
      <c r="AA301" s="411">
        <v>0</v>
      </c>
      <c r="AB301" s="413"/>
      <c r="AC301" s="421"/>
      <c r="AD301" s="421"/>
      <c r="AE301" s="421"/>
      <c r="AF301" s="421"/>
      <c r="AG301" s="421"/>
      <c r="AH301" s="421"/>
      <c r="AI301" s="421"/>
      <c r="AJ301" s="418"/>
    </row>
    <row r="302" spans="1:36" s="651" customFormat="1">
      <c r="A302" s="299" t="b">
        <v>0</v>
      </c>
      <c r="B302" s="299" t="s">
        <v>2267</v>
      </c>
      <c r="C302" s="299" t="b">
        <f t="shared" si="39"/>
        <v>1</v>
      </c>
      <c r="D302" s="428" t="str">
        <f>IF(C302=FALSE=NAMES!$B$8,"",IF(F302="N/A","N/A",X302&amp;W302&amp;F302&amp;"-"&amp;G302&amp;H302&amp;I302))</f>
        <v/>
      </c>
      <c r="E302" s="429" t="str">
        <f>IF(F302="N/A","N/A",X302&amp;W302&amp;F302&amp;"-"&amp;G302&amp;H302&amp;I302)</f>
        <v>2013EURAnker Verzekeringen n.v.-Permanent Disability illnessREDUIT</v>
      </c>
      <c r="F302" s="432" t="s">
        <v>7</v>
      </c>
      <c r="G302" s="421" t="s">
        <v>2122</v>
      </c>
      <c r="H302" s="421"/>
      <c r="I302" s="421" t="s">
        <v>2435</v>
      </c>
      <c r="J302" s="421"/>
      <c r="K302" s="421"/>
      <c r="L302" s="421">
        <v>365</v>
      </c>
      <c r="M302" s="433">
        <v>0</v>
      </c>
      <c r="N302" s="411">
        <v>0.27500000000000002</v>
      </c>
      <c r="O302" s="398">
        <f>M302/(1-N302)</f>
        <v>0</v>
      </c>
      <c r="P302" s="411">
        <v>0</v>
      </c>
      <c r="Q302" s="412">
        <v>0</v>
      </c>
      <c r="R302" s="398"/>
      <c r="S302" s="411">
        <v>0.04</v>
      </c>
      <c r="T302" s="411"/>
      <c r="U302" s="433">
        <f>IF(D302="N/A","",O302*(1+S302))</f>
        <v>0</v>
      </c>
      <c r="V302" s="433"/>
      <c r="W302" s="432" t="s">
        <v>33</v>
      </c>
      <c r="X302" s="410">
        <v>2013</v>
      </c>
      <c r="Y302" s="410" t="s">
        <v>2246</v>
      </c>
      <c r="Z302" s="410"/>
      <c r="AA302" s="411">
        <v>0</v>
      </c>
      <c r="AB302" s="413"/>
      <c r="AC302" s="421"/>
      <c r="AD302" s="421"/>
      <c r="AE302" s="421"/>
      <c r="AF302" s="421"/>
      <c r="AG302" s="421"/>
      <c r="AH302" s="421"/>
      <c r="AI302" s="421"/>
      <c r="AJ302" s="418"/>
    </row>
    <row r="303" spans="1:36" s="651" customFormat="1" ht="15.75" thickBot="1">
      <c r="A303" s="299" t="b">
        <v>0</v>
      </c>
      <c r="B303" s="299" t="s">
        <v>2267</v>
      </c>
      <c r="C303" s="299" t="b">
        <f t="shared" si="39"/>
        <v>1</v>
      </c>
      <c r="D303" s="428" t="s">
        <v>2243</v>
      </c>
      <c r="E303" s="429" t="str">
        <f>IF(F303="N/A","N/A",X303&amp;W303&amp;F303&amp;"-"&amp;G303&amp;H303)</f>
        <v>N/A</v>
      </c>
      <c r="F303" s="429" t="s">
        <v>2236</v>
      </c>
      <c r="G303" s="429" t="s">
        <v>2236</v>
      </c>
      <c r="H303" s="421"/>
      <c r="I303" s="421"/>
      <c r="J303" s="421"/>
      <c r="K303" s="421"/>
      <c r="L303" s="421"/>
      <c r="M303" s="433"/>
      <c r="N303" s="411"/>
      <c r="O303" s="433"/>
      <c r="P303" s="433"/>
      <c r="Q303" s="433"/>
      <c r="R303" s="433"/>
      <c r="S303" s="411"/>
      <c r="T303" s="411"/>
      <c r="U303" s="433"/>
      <c r="V303" s="433"/>
      <c r="W303" s="432"/>
      <c r="X303" s="410"/>
      <c r="Y303" s="410"/>
      <c r="Z303" s="410"/>
      <c r="AA303" s="411"/>
      <c r="AB303" s="410"/>
      <c r="AC303" s="421"/>
      <c r="AD303" s="421"/>
      <c r="AE303" s="421"/>
      <c r="AF303" s="421"/>
      <c r="AG303" s="421"/>
      <c r="AH303" s="421"/>
      <c r="AI303" s="421"/>
      <c r="AJ303" s="418"/>
    </row>
    <row r="304" spans="1:36" s="651" customFormat="1" ht="45">
      <c r="A304" s="299" t="b">
        <v>0</v>
      </c>
      <c r="B304" s="429" t="s">
        <v>2236</v>
      </c>
      <c r="C304" s="299" t="str">
        <f t="shared" si="39"/>
        <v/>
      </c>
      <c r="D304" s="394" t="s">
        <v>2117</v>
      </c>
      <c r="E304" s="427"/>
      <c r="F304" s="427"/>
      <c r="G304" s="415" t="s">
        <v>2118</v>
      </c>
      <c r="H304" s="415" t="s">
        <v>2238</v>
      </c>
      <c r="I304" s="415" t="s">
        <v>2224</v>
      </c>
      <c r="J304" s="415" t="s">
        <v>1153</v>
      </c>
      <c r="K304" s="416" t="s">
        <v>2239</v>
      </c>
      <c r="L304" s="416" t="s">
        <v>2113</v>
      </c>
      <c r="M304" s="417" t="s">
        <v>2234</v>
      </c>
      <c r="N304" s="416"/>
      <c r="O304" s="416" t="s">
        <v>2235</v>
      </c>
      <c r="P304" s="1360" t="s">
        <v>23</v>
      </c>
      <c r="Q304" s="416"/>
      <c r="R304" s="416"/>
      <c r="S304" s="416" t="s">
        <v>2237</v>
      </c>
      <c r="T304" s="416"/>
      <c r="U304" s="416" t="s">
        <v>2241</v>
      </c>
      <c r="V304" s="416"/>
      <c r="W304" s="416" t="s">
        <v>2119</v>
      </c>
      <c r="X304" s="415" t="s">
        <v>2240</v>
      </c>
      <c r="Y304" s="415"/>
      <c r="Z304" s="415"/>
      <c r="AA304" s="400" t="s">
        <v>2265</v>
      </c>
      <c r="AB304" s="415"/>
      <c r="AC304" s="415" t="s">
        <v>2151</v>
      </c>
      <c r="AD304" s="415" t="s">
        <v>30</v>
      </c>
      <c r="AE304" s="416" t="s">
        <v>137</v>
      </c>
      <c r="AF304" s="416" t="s">
        <v>92</v>
      </c>
      <c r="AG304" s="416" t="s">
        <v>1784</v>
      </c>
      <c r="AH304" s="416" t="s">
        <v>90</v>
      </c>
      <c r="AI304" s="416" t="s">
        <v>91</v>
      </c>
      <c r="AJ304" s="418"/>
    </row>
    <row r="305" spans="1:36" s="651" customFormat="1">
      <c r="A305" s="299" t="b">
        <v>0</v>
      </c>
      <c r="B305" s="299" t="s">
        <v>2266</v>
      </c>
      <c r="C305" s="299" t="b">
        <f t="shared" si="39"/>
        <v>0</v>
      </c>
      <c r="D305" s="428" t="str">
        <f>IF(C305=FALSE=NAMES!$B$8,"",IF(F305="N/A","N/A",X305&amp;W305&amp;F305&amp;"-"&amp;G305&amp;H305))</f>
        <v>N/A</v>
      </c>
      <c r="E305" s="429" t="str">
        <f t="shared" ref="E305:E317" si="41">IF(F305="N/A","N/A",X305&amp;W305&amp;F305&amp;"-"&amp;G305&amp;H305)</f>
        <v>N/A</v>
      </c>
      <c r="F305" s="429" t="s">
        <v>2236</v>
      </c>
      <c r="G305" s="429" t="s">
        <v>2120</v>
      </c>
      <c r="H305" s="421"/>
      <c r="I305" s="421"/>
      <c r="J305" s="421"/>
      <c r="K305" s="421"/>
      <c r="L305" s="421"/>
      <c r="M305" s="433"/>
      <c r="N305" s="411"/>
      <c r="O305" s="433"/>
      <c r="P305" s="433"/>
      <c r="Q305" s="433"/>
      <c r="R305" s="433"/>
      <c r="S305" s="411"/>
      <c r="T305" s="411"/>
      <c r="U305" s="433" t="str">
        <f t="shared" ref="U305:U317" si="42">IF(D305="N/A","",O305*(1+S305))</f>
        <v/>
      </c>
      <c r="V305" s="433"/>
      <c r="W305" s="432"/>
      <c r="X305" s="410"/>
      <c r="Y305" s="410"/>
      <c r="Z305" s="410"/>
      <c r="AA305" s="433"/>
      <c r="AB305" s="410"/>
      <c r="AC305" s="421"/>
      <c r="AD305" s="421"/>
      <c r="AE305" s="421"/>
      <c r="AF305" s="421"/>
      <c r="AG305" s="421"/>
      <c r="AH305" s="421"/>
      <c r="AI305" s="421"/>
      <c r="AJ305" s="418"/>
    </row>
    <row r="306" spans="1:36" s="651" customFormat="1">
      <c r="A306" s="299" t="b">
        <v>0</v>
      </c>
      <c r="B306" s="299" t="s">
        <v>2266</v>
      </c>
      <c r="C306" s="299" t="b">
        <f t="shared" si="39"/>
        <v>0</v>
      </c>
      <c r="D306" s="428" t="str">
        <f>IF(C306=FALSE=NAMES!$B$8,"",IF(F306="N/A","N/A",X306&amp;W306&amp;F306&amp;"-"&amp;G306&amp;H306))</f>
        <v>2016EURAnker Verzekeringen n.v.-Temporary Disability Accident (100%/7/120D)</v>
      </c>
      <c r="E306" s="429" t="str">
        <f t="shared" si="41"/>
        <v>2016EURAnker Verzekeringen n.v.-Temporary Disability Accident (100%/7/120D)</v>
      </c>
      <c r="F306" s="432" t="s">
        <v>7</v>
      </c>
      <c r="G306" s="421" t="s">
        <v>2247</v>
      </c>
      <c r="H306" s="421"/>
      <c r="I306" s="421"/>
      <c r="J306" s="426">
        <v>1</v>
      </c>
      <c r="K306" s="421">
        <v>7</v>
      </c>
      <c r="L306" s="421">
        <v>120</v>
      </c>
      <c r="M306" s="433">
        <v>5.8729999999999997E-3</v>
      </c>
      <c r="N306" s="411">
        <v>0.27500000000000002</v>
      </c>
      <c r="O306" s="398">
        <f t="shared" ref="O306:O316" si="43">M306/(1-N306)</f>
        <v>8.100689655172414E-3</v>
      </c>
      <c r="P306" s="411">
        <v>0</v>
      </c>
      <c r="Q306" s="412">
        <v>0</v>
      </c>
      <c r="R306" s="398"/>
      <c r="S306" s="411">
        <v>0.04</v>
      </c>
      <c r="T306" s="411"/>
      <c r="U306" s="433">
        <f t="shared" si="42"/>
        <v>8.4247172413793106E-3</v>
      </c>
      <c r="V306" s="433"/>
      <c r="W306" s="432" t="s">
        <v>33</v>
      </c>
      <c r="X306" s="410">
        <v>2016</v>
      </c>
      <c r="Y306" s="410" t="s">
        <v>2246</v>
      </c>
      <c r="Z306" s="410"/>
      <c r="AA306" s="411">
        <v>0.1</v>
      </c>
      <c r="AB306" s="413"/>
      <c r="AC306" s="421" t="s">
        <v>2152</v>
      </c>
      <c r="AD306" s="421" t="s">
        <v>2179</v>
      </c>
      <c r="AE306" s="421" t="s">
        <v>2180</v>
      </c>
      <c r="AF306" s="421" t="s">
        <v>2180</v>
      </c>
      <c r="AG306" s="421" t="s">
        <v>2179</v>
      </c>
      <c r="AH306" s="421" t="s">
        <v>2179</v>
      </c>
      <c r="AI306" s="421" t="s">
        <v>2179</v>
      </c>
      <c r="AJ306" s="418" t="s">
        <v>2181</v>
      </c>
    </row>
    <row r="307" spans="1:36" s="651" customFormat="1">
      <c r="A307" s="299" t="b">
        <v>0</v>
      </c>
      <c r="B307" s="299" t="s">
        <v>2266</v>
      </c>
      <c r="C307" s="299" t="b">
        <f t="shared" si="39"/>
        <v>0</v>
      </c>
      <c r="D307" s="428" t="str">
        <f>IF(C307=FALSE=NAMES!$B$8,"",IF(F307="N/A","N/A",X307&amp;W307&amp;F307&amp;"-"&amp;G307&amp;H307))</f>
        <v>2016EURAnker Verzekeringen n.v.-Temporary Disability Accident (100%/7/365D)</v>
      </c>
      <c r="E307" s="429" t="str">
        <f t="shared" si="41"/>
        <v>2016EURAnker Verzekeringen n.v.-Temporary Disability Accident (100%/7/365D)</v>
      </c>
      <c r="F307" s="432" t="s">
        <v>7</v>
      </c>
      <c r="G307" s="421" t="s">
        <v>2248</v>
      </c>
      <c r="H307" s="421"/>
      <c r="I307" s="421"/>
      <c r="J307" s="426">
        <v>1</v>
      </c>
      <c r="K307" s="421">
        <v>7</v>
      </c>
      <c r="L307" s="421">
        <v>365</v>
      </c>
      <c r="M307" s="433">
        <v>5.8830000000000002E-3</v>
      </c>
      <c r="N307" s="411">
        <v>0.27500000000000002</v>
      </c>
      <c r="O307" s="398">
        <f t="shared" si="43"/>
        <v>8.1144827586206898E-3</v>
      </c>
      <c r="P307" s="411">
        <v>0</v>
      </c>
      <c r="Q307" s="412">
        <v>0</v>
      </c>
      <c r="R307" s="398"/>
      <c r="S307" s="411">
        <v>0.04</v>
      </c>
      <c r="T307" s="411"/>
      <c r="U307" s="433">
        <f t="shared" si="42"/>
        <v>8.439062068965518E-3</v>
      </c>
      <c r="V307" s="433"/>
      <c r="W307" s="432" t="s">
        <v>33</v>
      </c>
      <c r="X307" s="410">
        <v>2016</v>
      </c>
      <c r="Y307" s="410" t="s">
        <v>2246</v>
      </c>
      <c r="Z307" s="410"/>
      <c r="AA307" s="411">
        <v>0.1</v>
      </c>
      <c r="AB307" s="413"/>
      <c r="AC307" s="421" t="s">
        <v>2152</v>
      </c>
      <c r="AD307" s="421" t="s">
        <v>2179</v>
      </c>
      <c r="AE307" s="421" t="s">
        <v>2180</v>
      </c>
      <c r="AF307" s="421" t="s">
        <v>2180</v>
      </c>
      <c r="AG307" s="421" t="s">
        <v>2179</v>
      </c>
      <c r="AH307" s="421" t="s">
        <v>2179</v>
      </c>
      <c r="AI307" s="421" t="s">
        <v>2180</v>
      </c>
      <c r="AJ307" s="418" t="s">
        <v>2181</v>
      </c>
    </row>
    <row r="308" spans="1:36" s="651" customFormat="1">
      <c r="A308" s="299" t="b">
        <v>0</v>
      </c>
      <c r="B308" s="299" t="s">
        <v>2266</v>
      </c>
      <c r="C308" s="299" t="b">
        <f t="shared" si="39"/>
        <v>0</v>
      </c>
      <c r="D308" s="428" t="str">
        <f>IF(C308=FALSE=NAMES!$B$8,"",IF(F308="N/A","N/A",X308&amp;W308&amp;F308&amp;"-"&amp;G308&amp;H308))</f>
        <v>2016EURAnker Verzekeringen n.v.-Temporary Disability Accident (100%/28/365D)</v>
      </c>
      <c r="E308" s="429" t="str">
        <f t="shared" si="41"/>
        <v>2016EURAnker Verzekeringen n.v.-Temporary Disability Accident (100%/28/365D)</v>
      </c>
      <c r="F308" s="432" t="s">
        <v>7</v>
      </c>
      <c r="G308" s="421" t="s">
        <v>2249</v>
      </c>
      <c r="H308" s="421"/>
      <c r="I308" s="421"/>
      <c r="J308" s="426">
        <v>1</v>
      </c>
      <c r="K308" s="421">
        <v>28</v>
      </c>
      <c r="L308" s="421">
        <v>365</v>
      </c>
      <c r="M308" s="433">
        <v>4.8240000000000002E-3</v>
      </c>
      <c r="N308" s="411">
        <v>0.27500000000000002</v>
      </c>
      <c r="O308" s="398">
        <f t="shared" si="43"/>
        <v>6.6537931034482767E-3</v>
      </c>
      <c r="P308" s="411">
        <v>0</v>
      </c>
      <c r="Q308" s="412">
        <v>0</v>
      </c>
      <c r="R308" s="398"/>
      <c r="S308" s="411">
        <v>0.04</v>
      </c>
      <c r="T308" s="411"/>
      <c r="U308" s="433">
        <f t="shared" si="42"/>
        <v>6.9199448275862078E-3</v>
      </c>
      <c r="V308" s="433"/>
      <c r="W308" s="432" t="s">
        <v>33</v>
      </c>
      <c r="X308" s="410">
        <v>2016</v>
      </c>
      <c r="Y308" s="410" t="s">
        <v>2246</v>
      </c>
      <c r="Z308" s="410"/>
      <c r="AA308" s="411">
        <v>0.1</v>
      </c>
      <c r="AB308" s="413"/>
      <c r="AC308" s="421"/>
      <c r="AD308" s="421"/>
      <c r="AE308" s="421"/>
      <c r="AF308" s="421"/>
      <c r="AG308" s="421"/>
      <c r="AH308" s="421"/>
      <c r="AI308" s="421"/>
      <c r="AJ308" s="418"/>
    </row>
    <row r="309" spans="1:36" s="651" customFormat="1">
      <c r="A309" s="299" t="b">
        <v>0</v>
      </c>
      <c r="B309" s="299" t="s">
        <v>2266</v>
      </c>
      <c r="C309" s="299" t="b">
        <f t="shared" si="39"/>
        <v>0</v>
      </c>
      <c r="D309" s="428" t="str">
        <f>IF(C309=FALSE=NAMES!$B$8,"",IF(F309="N/A","N/A",X309&amp;W309&amp;F309&amp;"-"&amp;G309&amp;H309))</f>
        <v>2016EURAnker Verzekeringen n.v.-Temporary Disability Accident (100%/42/365D)</v>
      </c>
      <c r="E309" s="429" t="str">
        <f t="shared" si="41"/>
        <v>2016EURAnker Verzekeringen n.v.-Temporary Disability Accident (100%/42/365D)</v>
      </c>
      <c r="F309" s="432" t="s">
        <v>7</v>
      </c>
      <c r="G309" s="421" t="s">
        <v>2250</v>
      </c>
      <c r="H309" s="421"/>
      <c r="I309" s="421"/>
      <c r="J309" s="426">
        <v>1</v>
      </c>
      <c r="K309" s="421">
        <v>42</v>
      </c>
      <c r="L309" s="421">
        <v>365</v>
      </c>
      <c r="M309" s="433">
        <v>4.5250000000000004E-3</v>
      </c>
      <c r="N309" s="411">
        <v>0.27500000000000002</v>
      </c>
      <c r="O309" s="398">
        <f t="shared" si="43"/>
        <v>6.241379310344828E-3</v>
      </c>
      <c r="P309" s="411">
        <v>0</v>
      </c>
      <c r="Q309" s="412">
        <v>0</v>
      </c>
      <c r="R309" s="398"/>
      <c r="S309" s="411">
        <v>0.04</v>
      </c>
      <c r="T309" s="411"/>
      <c r="U309" s="433">
        <f t="shared" si="42"/>
        <v>6.491034482758621E-3</v>
      </c>
      <c r="V309" s="433"/>
      <c r="W309" s="432" t="s">
        <v>33</v>
      </c>
      <c r="X309" s="410">
        <v>2016</v>
      </c>
      <c r="Y309" s="410" t="s">
        <v>2246</v>
      </c>
      <c r="Z309" s="410"/>
      <c r="AA309" s="411">
        <v>0.1</v>
      </c>
      <c r="AB309" s="413"/>
      <c r="AC309" s="421"/>
      <c r="AD309" s="421"/>
      <c r="AE309" s="421"/>
      <c r="AF309" s="421"/>
      <c r="AG309" s="421"/>
      <c r="AH309" s="421"/>
      <c r="AI309" s="421"/>
      <c r="AJ309" s="418"/>
    </row>
    <row r="310" spans="1:36" s="651" customFormat="1">
      <c r="A310" s="299" t="b">
        <v>0</v>
      </c>
      <c r="B310" s="299" t="s">
        <v>2266</v>
      </c>
      <c r="C310" s="299" t="b">
        <f t="shared" si="39"/>
        <v>0</v>
      </c>
      <c r="D310" s="428" t="str">
        <f>IF(C310=FALSE=NAMES!$B$8,"",IF(F310="N/A","N/A",X310&amp;W310&amp;F310&amp;"-"&amp;G310&amp;H310))</f>
        <v>2016EURAnker Verzekeringen n.v.-Temporary Disability Accident (70%/7/365D)</v>
      </c>
      <c r="E310" s="429" t="str">
        <f t="shared" si="41"/>
        <v>2016EURAnker Verzekeringen n.v.-Temporary Disability Accident (70%/7/365D)</v>
      </c>
      <c r="F310" s="432" t="s">
        <v>7</v>
      </c>
      <c r="G310" s="421" t="s">
        <v>2251</v>
      </c>
      <c r="H310" s="421"/>
      <c r="I310" s="421"/>
      <c r="J310" s="426">
        <v>0.7</v>
      </c>
      <c r="K310" s="421">
        <v>7</v>
      </c>
      <c r="L310" s="421">
        <v>365</v>
      </c>
      <c r="M310" s="433">
        <v>4.8240000000000002E-3</v>
      </c>
      <c r="N310" s="411">
        <v>0.27500000000000002</v>
      </c>
      <c r="O310" s="398">
        <f t="shared" si="43"/>
        <v>6.6537931034482767E-3</v>
      </c>
      <c r="P310" s="411">
        <v>0</v>
      </c>
      <c r="Q310" s="412">
        <v>0</v>
      </c>
      <c r="R310" s="398"/>
      <c r="S310" s="411">
        <v>0.04</v>
      </c>
      <c r="T310" s="411"/>
      <c r="U310" s="433">
        <f t="shared" si="42"/>
        <v>6.9199448275862078E-3</v>
      </c>
      <c r="V310" s="433"/>
      <c r="W310" s="432" t="s">
        <v>33</v>
      </c>
      <c r="X310" s="410">
        <v>2016</v>
      </c>
      <c r="Y310" s="410" t="s">
        <v>2246</v>
      </c>
      <c r="Z310" s="410"/>
      <c r="AA310" s="411">
        <v>0.1</v>
      </c>
      <c r="AB310" s="413"/>
      <c r="AC310" s="421"/>
      <c r="AD310" s="421"/>
      <c r="AE310" s="421"/>
      <c r="AF310" s="421"/>
      <c r="AG310" s="421"/>
      <c r="AH310" s="421"/>
      <c r="AI310" s="421"/>
      <c r="AJ310" s="418"/>
    </row>
    <row r="311" spans="1:36" s="651" customFormat="1">
      <c r="A311" s="299" t="b">
        <v>0</v>
      </c>
      <c r="B311" s="299" t="s">
        <v>2266</v>
      </c>
      <c r="C311" s="299" t="b">
        <f t="shared" si="39"/>
        <v>0</v>
      </c>
      <c r="D311" s="428" t="str">
        <f>IF(C311=FALSE=NAMES!$B$8,"",IF(F311="N/A","N/A",X311&amp;W311&amp;F311&amp;"-"&amp;G311&amp;H311))</f>
        <v>N/A</v>
      </c>
      <c r="E311" s="429" t="str">
        <f t="shared" si="41"/>
        <v>N/A</v>
      </c>
      <c r="F311" s="429" t="s">
        <v>2236</v>
      </c>
      <c r="G311" s="429" t="s">
        <v>2120</v>
      </c>
      <c r="H311" s="421"/>
      <c r="I311" s="421"/>
      <c r="J311" s="426"/>
      <c r="K311" s="421"/>
      <c r="L311" s="421"/>
      <c r="M311" s="433"/>
      <c r="N311" s="411"/>
      <c r="O311" s="398">
        <f t="shared" si="43"/>
        <v>0</v>
      </c>
      <c r="P311" s="411">
        <v>0</v>
      </c>
      <c r="Q311" s="412">
        <v>0</v>
      </c>
      <c r="R311" s="398"/>
      <c r="S311" s="411"/>
      <c r="T311" s="411"/>
      <c r="U311" s="433" t="str">
        <f t="shared" si="42"/>
        <v/>
      </c>
      <c r="V311" s="433"/>
      <c r="W311" s="432"/>
      <c r="X311" s="410"/>
      <c r="Y311" s="410"/>
      <c r="Z311" s="410"/>
      <c r="AA311" s="411"/>
      <c r="AB311" s="413"/>
      <c r="AC311" s="421"/>
      <c r="AD311" s="421"/>
      <c r="AE311" s="421"/>
      <c r="AF311" s="421"/>
      <c r="AG311" s="421"/>
      <c r="AH311" s="421"/>
      <c r="AI311" s="421"/>
      <c r="AJ311" s="418"/>
    </row>
    <row r="312" spans="1:36" s="651" customFormat="1">
      <c r="A312" s="299" t="b">
        <v>0</v>
      </c>
      <c r="B312" s="299" t="s">
        <v>2266</v>
      </c>
      <c r="C312" s="299" t="b">
        <f t="shared" si="39"/>
        <v>0</v>
      </c>
      <c r="D312" s="428" t="str">
        <f>IF(C312=FALSE=NAMES!$B$8,"",IF(F312="N/A","N/A",X312&amp;W312&amp;F312&amp;"-"&amp;G312&amp;H312))</f>
        <v>2016USDAnker Verzekeringen n.v.-Temporary Disability Accident (100%/7/120D)</v>
      </c>
      <c r="E312" s="429" t="str">
        <f t="shared" si="41"/>
        <v>2016USDAnker Verzekeringen n.v.-Temporary Disability Accident (100%/7/120D)</v>
      </c>
      <c r="F312" s="432" t="s">
        <v>7</v>
      </c>
      <c r="G312" s="421" t="s">
        <v>2247</v>
      </c>
      <c r="H312" s="421"/>
      <c r="I312" s="421"/>
      <c r="J312" s="426">
        <v>1</v>
      </c>
      <c r="K312" s="421">
        <v>7</v>
      </c>
      <c r="L312" s="421">
        <v>120</v>
      </c>
      <c r="M312" s="433">
        <v>6.7759999999999999E-3</v>
      </c>
      <c r="N312" s="411">
        <v>0.27500000000000002</v>
      </c>
      <c r="O312" s="398">
        <f t="shared" si="43"/>
        <v>9.3462068965517245E-3</v>
      </c>
      <c r="P312" s="411">
        <v>0</v>
      </c>
      <c r="Q312" s="412">
        <v>0</v>
      </c>
      <c r="R312" s="398"/>
      <c r="S312" s="411">
        <v>0.04</v>
      </c>
      <c r="T312" s="411"/>
      <c r="U312" s="433">
        <f t="shared" si="42"/>
        <v>9.7200551724137933E-3</v>
      </c>
      <c r="V312" s="433"/>
      <c r="W312" s="432" t="s">
        <v>89</v>
      </c>
      <c r="X312" s="410">
        <v>2016</v>
      </c>
      <c r="Y312" s="410" t="s">
        <v>2246</v>
      </c>
      <c r="Z312" s="410"/>
      <c r="AA312" s="411">
        <v>0.1</v>
      </c>
      <c r="AB312" s="413"/>
      <c r="AC312" s="421" t="s">
        <v>2152</v>
      </c>
      <c r="AD312" s="421" t="s">
        <v>2179</v>
      </c>
      <c r="AE312" s="421" t="s">
        <v>2180</v>
      </c>
      <c r="AF312" s="421" t="s">
        <v>2180</v>
      </c>
      <c r="AG312" s="421" t="s">
        <v>2179</v>
      </c>
      <c r="AH312" s="421" t="s">
        <v>2179</v>
      </c>
      <c r="AI312" s="421" t="s">
        <v>2179</v>
      </c>
      <c r="AJ312" s="418" t="s">
        <v>2181</v>
      </c>
    </row>
    <row r="313" spans="1:36" s="651" customFormat="1">
      <c r="A313" s="299" t="b">
        <v>0</v>
      </c>
      <c r="B313" s="299" t="s">
        <v>2266</v>
      </c>
      <c r="C313" s="299" t="b">
        <f t="shared" si="39"/>
        <v>0</v>
      </c>
      <c r="D313" s="428" t="str">
        <f>IF(C313=FALSE=NAMES!$B$8,"",IF(F313="N/A","N/A",X313&amp;W313&amp;F313&amp;"-"&amp;G313&amp;H313))</f>
        <v>2016USDAnker Verzekeringen n.v.-Temporary Disability Accident (100%/7/365D)</v>
      </c>
      <c r="E313" s="429" t="str">
        <f t="shared" si="41"/>
        <v>2016USDAnker Verzekeringen n.v.-Temporary Disability Accident (100%/7/365D)</v>
      </c>
      <c r="F313" s="432" t="s">
        <v>7</v>
      </c>
      <c r="G313" s="421" t="s">
        <v>2248</v>
      </c>
      <c r="H313" s="421"/>
      <c r="I313" s="421"/>
      <c r="J313" s="426">
        <v>1</v>
      </c>
      <c r="K313" s="421">
        <v>7</v>
      </c>
      <c r="L313" s="421">
        <v>365</v>
      </c>
      <c r="M313" s="433">
        <v>6.7759999999999999E-3</v>
      </c>
      <c r="N313" s="411">
        <v>0.27500000000000002</v>
      </c>
      <c r="O313" s="398">
        <f t="shared" si="43"/>
        <v>9.3462068965517245E-3</v>
      </c>
      <c r="P313" s="411">
        <v>0</v>
      </c>
      <c r="Q313" s="412">
        <v>0</v>
      </c>
      <c r="R313" s="398"/>
      <c r="S313" s="411">
        <v>0.04</v>
      </c>
      <c r="T313" s="411"/>
      <c r="U313" s="433">
        <f t="shared" si="42"/>
        <v>9.7200551724137933E-3</v>
      </c>
      <c r="V313" s="433"/>
      <c r="W313" s="432" t="s">
        <v>89</v>
      </c>
      <c r="X313" s="410">
        <v>2016</v>
      </c>
      <c r="Y313" s="410" t="s">
        <v>2246</v>
      </c>
      <c r="Z313" s="410"/>
      <c r="AA313" s="411">
        <v>0.1</v>
      </c>
      <c r="AB313" s="413"/>
      <c r="AC313" s="421" t="s">
        <v>2152</v>
      </c>
      <c r="AD313" s="421" t="s">
        <v>2179</v>
      </c>
      <c r="AE313" s="421" t="s">
        <v>2180</v>
      </c>
      <c r="AF313" s="421" t="s">
        <v>2180</v>
      </c>
      <c r="AG313" s="421" t="s">
        <v>2179</v>
      </c>
      <c r="AH313" s="421" t="s">
        <v>2179</v>
      </c>
      <c r="AI313" s="421" t="s">
        <v>2180</v>
      </c>
      <c r="AJ313" s="418" t="s">
        <v>2181</v>
      </c>
    </row>
    <row r="314" spans="1:36" s="651" customFormat="1">
      <c r="A314" s="299" t="b">
        <v>0</v>
      </c>
      <c r="B314" s="299" t="s">
        <v>2266</v>
      </c>
      <c r="C314" s="299" t="b">
        <f t="shared" si="39"/>
        <v>0</v>
      </c>
      <c r="D314" s="428" t="str">
        <f>IF(C314=FALSE=NAMES!$B$8,"",IF(F314="N/A","N/A",X314&amp;W314&amp;F314&amp;"-"&amp;G314&amp;H314))</f>
        <v>2016USDAnker Verzekeringen n.v.-Temporary Disability Accident (100%/28/365D)</v>
      </c>
      <c r="E314" s="429" t="str">
        <f t="shared" si="41"/>
        <v>2016USDAnker Verzekeringen n.v.-Temporary Disability Accident (100%/28/365D)</v>
      </c>
      <c r="F314" s="432" t="s">
        <v>7</v>
      </c>
      <c r="G314" s="421" t="s">
        <v>2249</v>
      </c>
      <c r="H314" s="421"/>
      <c r="I314" s="421"/>
      <c r="J314" s="426">
        <v>1</v>
      </c>
      <c r="K314" s="421">
        <v>28</v>
      </c>
      <c r="L314" s="421">
        <v>365</v>
      </c>
      <c r="M314" s="433">
        <v>5.5560000000000002E-3</v>
      </c>
      <c r="N314" s="411">
        <v>0.27500000000000002</v>
      </c>
      <c r="O314" s="398">
        <f t="shared" si="43"/>
        <v>7.6634482758620691E-3</v>
      </c>
      <c r="P314" s="411">
        <v>0</v>
      </c>
      <c r="Q314" s="412">
        <v>0</v>
      </c>
      <c r="R314" s="398"/>
      <c r="S314" s="411">
        <v>0.04</v>
      </c>
      <c r="T314" s="411"/>
      <c r="U314" s="433">
        <f t="shared" si="42"/>
        <v>7.9699862068965521E-3</v>
      </c>
      <c r="V314" s="433"/>
      <c r="W314" s="432" t="s">
        <v>89</v>
      </c>
      <c r="X314" s="410">
        <v>2016</v>
      </c>
      <c r="Y314" s="410" t="s">
        <v>2246</v>
      </c>
      <c r="Z314" s="410"/>
      <c r="AA314" s="411">
        <v>0.1</v>
      </c>
      <c r="AB314" s="413"/>
      <c r="AC314" s="421"/>
      <c r="AD314" s="421"/>
      <c r="AE314" s="421"/>
      <c r="AF314" s="421"/>
      <c r="AG314" s="421"/>
      <c r="AH314" s="421"/>
      <c r="AI314" s="421"/>
      <c r="AJ314" s="418"/>
    </row>
    <row r="315" spans="1:36" s="651" customFormat="1">
      <c r="A315" s="299" t="b">
        <v>0</v>
      </c>
      <c r="B315" s="299" t="s">
        <v>2266</v>
      </c>
      <c r="C315" s="299" t="b">
        <f t="shared" si="39"/>
        <v>0</v>
      </c>
      <c r="D315" s="428" t="str">
        <f>IF(C315=FALSE=NAMES!$B$8,"",IF(F315="N/A","N/A",X315&amp;W315&amp;F315&amp;"-"&amp;G315&amp;H315))</f>
        <v>2016USDAnker Verzekeringen n.v.-Temporary Disability Accident (100%/42/365D)</v>
      </c>
      <c r="E315" s="429" t="str">
        <f t="shared" si="41"/>
        <v>2016USDAnker Verzekeringen n.v.-Temporary Disability Accident (100%/42/365D)</v>
      </c>
      <c r="F315" s="432" t="s">
        <v>7</v>
      </c>
      <c r="G315" s="421" t="s">
        <v>2250</v>
      </c>
      <c r="H315" s="421"/>
      <c r="I315" s="421"/>
      <c r="J315" s="426">
        <v>1</v>
      </c>
      <c r="K315" s="421">
        <v>42</v>
      </c>
      <c r="L315" s="421">
        <v>365</v>
      </c>
      <c r="M315" s="433">
        <v>5.2119999999999996E-3</v>
      </c>
      <c r="N315" s="411">
        <v>0.27500000000000002</v>
      </c>
      <c r="O315" s="398">
        <f t="shared" si="43"/>
        <v>7.1889655172413794E-3</v>
      </c>
      <c r="P315" s="411">
        <v>0</v>
      </c>
      <c r="Q315" s="412">
        <v>0</v>
      </c>
      <c r="R315" s="398"/>
      <c r="S315" s="411">
        <v>0.04</v>
      </c>
      <c r="T315" s="411"/>
      <c r="U315" s="433">
        <f t="shared" si="42"/>
        <v>7.4765241379310347E-3</v>
      </c>
      <c r="V315" s="433"/>
      <c r="W315" s="432" t="s">
        <v>89</v>
      </c>
      <c r="X315" s="410">
        <v>2016</v>
      </c>
      <c r="Y315" s="410" t="s">
        <v>2246</v>
      </c>
      <c r="Z315" s="410"/>
      <c r="AA315" s="411">
        <v>0.1</v>
      </c>
      <c r="AB315" s="413"/>
      <c r="AC315" s="421"/>
      <c r="AD315" s="421"/>
      <c r="AE315" s="421"/>
      <c r="AF315" s="421"/>
      <c r="AG315" s="421"/>
      <c r="AH315" s="421"/>
      <c r="AI315" s="421"/>
      <c r="AJ315" s="418"/>
    </row>
    <row r="316" spans="1:36" s="651" customFormat="1">
      <c r="A316" s="299" t="b">
        <v>0</v>
      </c>
      <c r="B316" s="299" t="s">
        <v>2266</v>
      </c>
      <c r="C316" s="299" t="b">
        <f t="shared" si="39"/>
        <v>0</v>
      </c>
      <c r="D316" s="428" t="str">
        <f>IF(C316=FALSE=NAMES!$B$8,"",IF(F316="N/A","N/A",X316&amp;W316&amp;F316&amp;"-"&amp;G316&amp;H316))</f>
        <v>2016USDAnker Verzekeringen n.v.-Temporary Disability Accident (70%/7/365D)</v>
      </c>
      <c r="E316" s="429" t="str">
        <f t="shared" si="41"/>
        <v>2016USDAnker Verzekeringen n.v.-Temporary Disability Accident (70%/7/365D)</v>
      </c>
      <c r="F316" s="432" t="s">
        <v>7</v>
      </c>
      <c r="G316" s="421" t="s">
        <v>2251</v>
      </c>
      <c r="H316" s="421"/>
      <c r="I316" s="421"/>
      <c r="J316" s="426">
        <v>0.7</v>
      </c>
      <c r="K316" s="421">
        <v>7</v>
      </c>
      <c r="L316" s="421">
        <v>365</v>
      </c>
      <c r="M316" s="433">
        <v>5.5560000000000002E-3</v>
      </c>
      <c r="N316" s="411">
        <v>0.27500000000000002</v>
      </c>
      <c r="O316" s="398">
        <f t="shared" si="43"/>
        <v>7.6634482758620691E-3</v>
      </c>
      <c r="P316" s="411">
        <v>0</v>
      </c>
      <c r="Q316" s="412">
        <v>0</v>
      </c>
      <c r="R316" s="398"/>
      <c r="S316" s="411">
        <v>0.04</v>
      </c>
      <c r="T316" s="411"/>
      <c r="U316" s="433">
        <f t="shared" si="42"/>
        <v>7.9699862068965521E-3</v>
      </c>
      <c r="V316" s="433"/>
      <c r="W316" s="432" t="s">
        <v>89</v>
      </c>
      <c r="X316" s="410">
        <v>2016</v>
      </c>
      <c r="Y316" s="410" t="s">
        <v>2246</v>
      </c>
      <c r="Z316" s="410"/>
      <c r="AA316" s="411">
        <v>0.1</v>
      </c>
      <c r="AB316" s="413"/>
      <c r="AC316" s="421"/>
      <c r="AD316" s="421"/>
      <c r="AE316" s="421"/>
      <c r="AF316" s="421"/>
      <c r="AG316" s="421"/>
      <c r="AH316" s="421"/>
      <c r="AI316" s="421"/>
      <c r="AJ316" s="418"/>
    </row>
    <row r="317" spans="1:36" s="651" customFormat="1" ht="15.75" thickBot="1">
      <c r="A317" s="299" t="b">
        <v>0</v>
      </c>
      <c r="B317" s="299" t="s">
        <v>2266</v>
      </c>
      <c r="C317" s="299" t="b">
        <f t="shared" si="39"/>
        <v>0</v>
      </c>
      <c r="D317" s="428" t="str">
        <f>IF(C317=FALSE=NAMES!$B$8,"",IF(F317="N/A","N/A",X317&amp;W317&amp;F317&amp;"-"&amp;G317&amp;H317))</f>
        <v>N/A</v>
      </c>
      <c r="E317" s="429" t="str">
        <f t="shared" si="41"/>
        <v>N/A</v>
      </c>
      <c r="F317" s="429" t="s">
        <v>2236</v>
      </c>
      <c r="G317" s="429" t="s">
        <v>2120</v>
      </c>
      <c r="H317" s="421"/>
      <c r="I317" s="421"/>
      <c r="J317" s="421"/>
      <c r="K317" s="421"/>
      <c r="L317" s="421"/>
      <c r="M317" s="433"/>
      <c r="N317" s="411"/>
      <c r="O317" s="433"/>
      <c r="P317" s="433"/>
      <c r="Q317" s="433"/>
      <c r="R317" s="433"/>
      <c r="S317" s="411"/>
      <c r="T317" s="411"/>
      <c r="U317" s="433" t="str">
        <f t="shared" si="42"/>
        <v/>
      </c>
      <c r="V317" s="433"/>
      <c r="W317" s="432"/>
      <c r="X317" s="410"/>
      <c r="Y317" s="410"/>
      <c r="Z317" s="410"/>
      <c r="AA317" s="433"/>
      <c r="AB317" s="410"/>
      <c r="AC317" s="421"/>
      <c r="AD317" s="421"/>
      <c r="AE317" s="421"/>
      <c r="AF317" s="421"/>
      <c r="AG317" s="421"/>
      <c r="AH317" s="421"/>
      <c r="AI317" s="421"/>
      <c r="AJ317" s="418"/>
    </row>
    <row r="318" spans="1:36" s="651" customFormat="1" ht="45">
      <c r="A318" s="299" t="b">
        <v>0</v>
      </c>
      <c r="B318" s="429" t="s">
        <v>2236</v>
      </c>
      <c r="C318" s="299" t="str">
        <f t="shared" si="39"/>
        <v/>
      </c>
      <c r="D318" s="394" t="s">
        <v>2117</v>
      </c>
      <c r="E318" s="427"/>
      <c r="F318" s="427"/>
      <c r="G318" s="415" t="s">
        <v>2118</v>
      </c>
      <c r="H318" s="415" t="s">
        <v>2238</v>
      </c>
      <c r="I318" s="415" t="s">
        <v>2224</v>
      </c>
      <c r="J318" s="415" t="s">
        <v>1153</v>
      </c>
      <c r="K318" s="416" t="s">
        <v>2239</v>
      </c>
      <c r="L318" s="416" t="s">
        <v>2113</v>
      </c>
      <c r="M318" s="417" t="s">
        <v>2234</v>
      </c>
      <c r="N318" s="416"/>
      <c r="O318" s="416" t="s">
        <v>2235</v>
      </c>
      <c r="P318" s="1360" t="s">
        <v>23</v>
      </c>
      <c r="Q318" s="416"/>
      <c r="R318" s="416"/>
      <c r="S318" s="416" t="s">
        <v>2237</v>
      </c>
      <c r="T318" s="416"/>
      <c r="U318" s="416" t="s">
        <v>2241</v>
      </c>
      <c r="V318" s="416"/>
      <c r="W318" s="416" t="s">
        <v>2119</v>
      </c>
      <c r="X318" s="415" t="s">
        <v>2240</v>
      </c>
      <c r="Y318" s="415"/>
      <c r="Z318" s="415"/>
      <c r="AA318" s="400" t="s">
        <v>2265</v>
      </c>
      <c r="AB318" s="415"/>
      <c r="AC318" s="415" t="s">
        <v>2151</v>
      </c>
      <c r="AD318" s="415" t="s">
        <v>30</v>
      </c>
      <c r="AE318" s="416" t="s">
        <v>137</v>
      </c>
      <c r="AF318" s="416" t="s">
        <v>92</v>
      </c>
      <c r="AG318" s="416" t="s">
        <v>1784</v>
      </c>
      <c r="AH318" s="416" t="s">
        <v>90</v>
      </c>
      <c r="AI318" s="416" t="s">
        <v>91</v>
      </c>
      <c r="AJ318" s="418"/>
    </row>
    <row r="319" spans="1:36" s="651" customFormat="1">
      <c r="A319" s="299" t="b">
        <v>0</v>
      </c>
      <c r="B319" s="299" t="s">
        <v>2267</v>
      </c>
      <c r="C319" s="299" t="b">
        <f t="shared" si="39"/>
        <v>1</v>
      </c>
      <c r="D319" s="428" t="str">
        <f>IF(C319=FALSE=NAMES!$B$8,"",IF(F319="N/A","N/A",X319&amp;W319&amp;F319&amp;"-"&amp;G319&amp;H319))</f>
        <v/>
      </c>
      <c r="E319" s="429" t="str">
        <f t="shared" ref="E319:E334" si="44">IF(F319="N/A","N/A",X319&amp;W319&amp;F319&amp;"-"&amp;G319&amp;H319)</f>
        <v>N/A</v>
      </c>
      <c r="F319" s="429" t="s">
        <v>2236</v>
      </c>
      <c r="G319" s="429" t="s">
        <v>2120</v>
      </c>
      <c r="H319" s="421"/>
      <c r="I319" s="421"/>
      <c r="J319" s="421"/>
      <c r="K319" s="421"/>
      <c r="L319" s="421"/>
      <c r="M319" s="433"/>
      <c r="N319" s="411"/>
      <c r="O319" s="433"/>
      <c r="P319" s="433"/>
      <c r="Q319" s="433"/>
      <c r="R319" s="433"/>
      <c r="S319" s="411"/>
      <c r="T319" s="411"/>
      <c r="U319" s="433"/>
      <c r="V319" s="433"/>
      <c r="W319" s="432"/>
      <c r="X319" s="410"/>
      <c r="Y319" s="410"/>
      <c r="Z319" s="410"/>
      <c r="AA319" s="433"/>
      <c r="AB319" s="410"/>
      <c r="AC319" s="421"/>
      <c r="AD319" s="421"/>
      <c r="AE319" s="421"/>
      <c r="AF319" s="421"/>
      <c r="AG319" s="421"/>
      <c r="AH319" s="421"/>
      <c r="AI319" s="421"/>
      <c r="AJ319" s="418"/>
    </row>
    <row r="320" spans="1:36" s="651" customFormat="1">
      <c r="A320" s="299" t="b">
        <v>0</v>
      </c>
      <c r="B320" s="299" t="s">
        <v>2267</v>
      </c>
      <c r="C320" s="299" t="b">
        <f t="shared" si="39"/>
        <v>1</v>
      </c>
      <c r="D320" s="428" t="str">
        <f>IF(C320=FALSE=NAMES!$B$8,"",IF(F320="N/A","N/A",X320&amp;W320&amp;F320&amp;"-"&amp;G320&amp;H320))</f>
        <v/>
      </c>
      <c r="E320" s="429" t="str">
        <f t="shared" si="44"/>
        <v>2015USDAnker Verzekeringen n.v.-Temporary Disability Accident (100%/7/120D)</v>
      </c>
      <c r="F320" s="432" t="s">
        <v>7</v>
      </c>
      <c r="G320" s="421" t="s">
        <v>2247</v>
      </c>
      <c r="H320" s="421"/>
      <c r="I320" s="421"/>
      <c r="J320" s="426">
        <v>1</v>
      </c>
      <c r="K320" s="421">
        <v>7</v>
      </c>
      <c r="L320" s="421">
        <v>120</v>
      </c>
      <c r="M320" s="433">
        <v>5.2119999999999996E-3</v>
      </c>
      <c r="N320" s="411">
        <v>0.27500000000000002</v>
      </c>
      <c r="O320" s="398">
        <f>M320/(1-N320)</f>
        <v>7.1889655172413794E-3</v>
      </c>
      <c r="P320" s="411">
        <v>0</v>
      </c>
      <c r="Q320" s="412">
        <v>0</v>
      </c>
      <c r="R320" s="398"/>
      <c r="S320" s="411">
        <v>0.04</v>
      </c>
      <c r="T320" s="411"/>
      <c r="U320" s="433">
        <v>7.4765600000000002E-3</v>
      </c>
      <c r="V320" s="433"/>
      <c r="W320" s="432" t="s">
        <v>89</v>
      </c>
      <c r="X320" s="410">
        <v>2015</v>
      </c>
      <c r="Y320" s="410" t="s">
        <v>2246</v>
      </c>
      <c r="Z320" s="410"/>
      <c r="AA320" s="411">
        <v>0.1</v>
      </c>
      <c r="AB320" s="413"/>
      <c r="AC320" s="421" t="s">
        <v>2152</v>
      </c>
      <c r="AD320" s="421" t="s">
        <v>2179</v>
      </c>
      <c r="AE320" s="421" t="s">
        <v>2180</v>
      </c>
      <c r="AF320" s="421" t="s">
        <v>2180</v>
      </c>
      <c r="AG320" s="421" t="s">
        <v>2179</v>
      </c>
      <c r="AH320" s="421" t="s">
        <v>2179</v>
      </c>
      <c r="AI320" s="421" t="s">
        <v>2179</v>
      </c>
      <c r="AJ320" s="418" t="s">
        <v>2181</v>
      </c>
    </row>
    <row r="321" spans="1:36" s="651" customFormat="1">
      <c r="A321" s="299" t="b">
        <v>0</v>
      </c>
      <c r="B321" s="299" t="s">
        <v>2267</v>
      </c>
      <c r="C321" s="299" t="b">
        <f t="shared" si="39"/>
        <v>1</v>
      </c>
      <c r="D321" s="428" t="str">
        <f>IF(C321=FALSE=NAMES!$B$8,"",IF(F321="N/A","N/A",X321&amp;W321&amp;F321&amp;"-"&amp;G321&amp;H321))</f>
        <v/>
      </c>
      <c r="E321" s="429" t="str">
        <f t="shared" si="44"/>
        <v>2015EURAnker Verzekeringen n.v.-Temporary Disability Accident (100%/7/120D)</v>
      </c>
      <c r="F321" s="432" t="s">
        <v>7</v>
      </c>
      <c r="G321" s="421" t="s">
        <v>2247</v>
      </c>
      <c r="H321" s="421"/>
      <c r="I321" s="421"/>
      <c r="J321" s="426">
        <v>1</v>
      </c>
      <c r="K321" s="421">
        <v>7</v>
      </c>
      <c r="L321" s="421">
        <v>120</v>
      </c>
      <c r="M321" s="433">
        <v>4.5180000000000003E-3</v>
      </c>
      <c r="N321" s="411">
        <v>0.27500000000000002</v>
      </c>
      <c r="O321" s="398">
        <f>M321/(1-N321)</f>
        <v>6.2317241379310348E-3</v>
      </c>
      <c r="P321" s="411">
        <v>0</v>
      </c>
      <c r="Q321" s="412">
        <v>0</v>
      </c>
      <c r="R321" s="398"/>
      <c r="S321" s="411">
        <v>0.04</v>
      </c>
      <c r="T321" s="411"/>
      <c r="U321" s="433">
        <v>6.4812799999999999E-3</v>
      </c>
      <c r="V321" s="433"/>
      <c r="W321" s="432" t="s">
        <v>33</v>
      </c>
      <c r="X321" s="410">
        <v>2015</v>
      </c>
      <c r="Y321" s="410" t="s">
        <v>2246</v>
      </c>
      <c r="Z321" s="410"/>
      <c r="AA321" s="411">
        <v>0.1</v>
      </c>
      <c r="AB321" s="413"/>
      <c r="AC321" s="421" t="s">
        <v>2152</v>
      </c>
      <c r="AD321" s="421" t="s">
        <v>2179</v>
      </c>
      <c r="AE321" s="421" t="s">
        <v>2180</v>
      </c>
      <c r="AF321" s="421" t="s">
        <v>2180</v>
      </c>
      <c r="AG321" s="421" t="s">
        <v>2179</v>
      </c>
      <c r="AH321" s="421" t="s">
        <v>2179</v>
      </c>
      <c r="AI321" s="421" t="s">
        <v>2179</v>
      </c>
      <c r="AJ321" s="418" t="s">
        <v>2181</v>
      </c>
    </row>
    <row r="322" spans="1:36" s="651" customFormat="1">
      <c r="A322" s="299" t="b">
        <v>0</v>
      </c>
      <c r="B322" s="299" t="s">
        <v>2267</v>
      </c>
      <c r="C322" s="299" t="b">
        <f t="shared" si="39"/>
        <v>1</v>
      </c>
      <c r="D322" s="428" t="str">
        <f>IF(C322=FALSE=NAMES!$B$8,"",IF(F322="N/A","N/A",X322&amp;W322&amp;F322&amp;"-"&amp;G322&amp;H322))</f>
        <v/>
      </c>
      <c r="E322" s="429" t="str">
        <f t="shared" si="44"/>
        <v>2015USDAnker Verzekeringen n.v.-Temporary Disability Accident (100%/7/365D)</v>
      </c>
      <c r="F322" s="432" t="s">
        <v>7</v>
      </c>
      <c r="G322" s="421" t="s">
        <v>2248</v>
      </c>
      <c r="H322" s="421"/>
      <c r="I322" s="421"/>
      <c r="J322" s="426">
        <v>1</v>
      </c>
      <c r="K322" s="421">
        <v>7</v>
      </c>
      <c r="L322" s="421">
        <v>365</v>
      </c>
      <c r="M322" s="433">
        <v>5.2119999999999996E-3</v>
      </c>
      <c r="N322" s="411">
        <v>0.27500000000000002</v>
      </c>
      <c r="O322" s="398">
        <f>M322/(1-N322)</f>
        <v>7.1889655172413794E-3</v>
      </c>
      <c r="P322" s="411">
        <v>0</v>
      </c>
      <c r="Q322" s="412">
        <v>0</v>
      </c>
      <c r="R322" s="398"/>
      <c r="S322" s="411">
        <v>0.04</v>
      </c>
      <c r="T322" s="411"/>
      <c r="U322" s="433">
        <v>7.4765600000000002E-3</v>
      </c>
      <c r="V322" s="433"/>
      <c r="W322" s="432" t="s">
        <v>89</v>
      </c>
      <c r="X322" s="410">
        <v>2015</v>
      </c>
      <c r="Y322" s="410" t="s">
        <v>2246</v>
      </c>
      <c r="Z322" s="410"/>
      <c r="AA322" s="411">
        <v>0.1</v>
      </c>
      <c r="AB322" s="413"/>
      <c r="AC322" s="421" t="s">
        <v>2152</v>
      </c>
      <c r="AD322" s="421" t="s">
        <v>2179</v>
      </c>
      <c r="AE322" s="421" t="s">
        <v>2180</v>
      </c>
      <c r="AF322" s="421" t="s">
        <v>2180</v>
      </c>
      <c r="AG322" s="421" t="s">
        <v>2179</v>
      </c>
      <c r="AH322" s="421" t="s">
        <v>2179</v>
      </c>
      <c r="AI322" s="421" t="s">
        <v>2180</v>
      </c>
      <c r="AJ322" s="418" t="s">
        <v>2181</v>
      </c>
    </row>
    <row r="323" spans="1:36" s="651" customFormat="1">
      <c r="A323" s="419" t="b">
        <v>1</v>
      </c>
      <c r="B323" s="299" t="s">
        <v>2267</v>
      </c>
      <c r="C323" s="299" t="b">
        <f t="shared" si="39"/>
        <v>1</v>
      </c>
      <c r="D323" s="428" t="str">
        <f>IF(C323=FALSE=NAMES!$B$8,"",IF(F323="N/A","N/A",X323&amp;W323&amp;F323&amp;"-"&amp;G323&amp;H323))</f>
        <v/>
      </c>
      <c r="E323" s="429" t="str">
        <f t="shared" si="44"/>
        <v>2015EURAnker Verzekeringen n.v.-Temporary Disability Accident (100%/7/365D)</v>
      </c>
      <c r="F323" s="432" t="s">
        <v>7</v>
      </c>
      <c r="G323" s="421" t="s">
        <v>2248</v>
      </c>
      <c r="H323" s="421"/>
      <c r="I323" s="421"/>
      <c r="J323" s="426">
        <v>1</v>
      </c>
      <c r="K323" s="421">
        <v>7</v>
      </c>
      <c r="L323" s="421">
        <v>365</v>
      </c>
      <c r="M323" s="433">
        <v>4.5250000000000004E-3</v>
      </c>
      <c r="N323" s="411">
        <v>0.27500000000000002</v>
      </c>
      <c r="O323" s="398">
        <f>M323/(1-N323)</f>
        <v>6.241379310344828E-3</v>
      </c>
      <c r="P323" s="411">
        <v>0</v>
      </c>
      <c r="Q323" s="412">
        <v>0</v>
      </c>
      <c r="R323" s="398"/>
      <c r="S323" s="411">
        <v>0.04</v>
      </c>
      <c r="T323" s="411"/>
      <c r="U323" s="433">
        <v>6.4906400000000006E-3</v>
      </c>
      <c r="V323" s="433"/>
      <c r="W323" s="432" t="s">
        <v>33</v>
      </c>
      <c r="X323" s="410">
        <v>2015</v>
      </c>
      <c r="Y323" s="410" t="s">
        <v>2246</v>
      </c>
      <c r="Z323" s="410"/>
      <c r="AA323" s="411">
        <v>0.1</v>
      </c>
      <c r="AB323" s="413"/>
      <c r="AC323" s="421" t="s">
        <v>2152</v>
      </c>
      <c r="AD323" s="421" t="s">
        <v>2179</v>
      </c>
      <c r="AE323" s="421" t="s">
        <v>2180</v>
      </c>
      <c r="AF323" s="421" t="s">
        <v>2180</v>
      </c>
      <c r="AG323" s="421" t="s">
        <v>2179</v>
      </c>
      <c r="AH323" s="421" t="s">
        <v>2179</v>
      </c>
      <c r="AI323" s="421" t="s">
        <v>2180</v>
      </c>
      <c r="AJ323" s="418" t="s">
        <v>2181</v>
      </c>
    </row>
    <row r="324" spans="1:36" s="651" customFormat="1">
      <c r="A324" s="299" t="b">
        <v>0</v>
      </c>
      <c r="B324" s="299" t="s">
        <v>2267</v>
      </c>
      <c r="C324" s="299" t="b">
        <f t="shared" si="39"/>
        <v>1</v>
      </c>
      <c r="D324" s="428" t="str">
        <f>IF(C324=FALSE=NAMES!$B$8,"",IF(F324="N/A","N/A",X324&amp;W324&amp;F324&amp;"-"&amp;G324&amp;H324))</f>
        <v/>
      </c>
      <c r="E324" s="429" t="str">
        <f t="shared" si="44"/>
        <v>N/A</v>
      </c>
      <c r="F324" s="429" t="s">
        <v>2236</v>
      </c>
      <c r="G324" s="429" t="s">
        <v>2120</v>
      </c>
      <c r="H324" s="421"/>
      <c r="I324" s="421"/>
      <c r="J324" s="421"/>
      <c r="K324" s="421"/>
      <c r="L324" s="421"/>
      <c r="M324" s="433"/>
      <c r="N324" s="411"/>
      <c r="O324" s="433"/>
      <c r="P324" s="411">
        <v>0</v>
      </c>
      <c r="Q324" s="412">
        <v>0</v>
      </c>
      <c r="R324" s="433"/>
      <c r="S324" s="411"/>
      <c r="T324" s="411"/>
      <c r="U324" s="433"/>
      <c r="V324" s="433"/>
      <c r="W324" s="432"/>
      <c r="X324" s="410"/>
      <c r="Y324" s="410"/>
      <c r="Z324" s="410"/>
      <c r="AA324" s="433"/>
      <c r="AB324" s="410"/>
      <c r="AC324" s="421"/>
      <c r="AD324" s="421"/>
      <c r="AE324" s="421"/>
      <c r="AF324" s="421"/>
      <c r="AG324" s="421"/>
      <c r="AH324" s="421"/>
      <c r="AI324" s="421"/>
      <c r="AJ324" s="418"/>
    </row>
    <row r="325" spans="1:36" s="651" customFormat="1">
      <c r="A325" s="299" t="b">
        <v>0</v>
      </c>
      <c r="B325" s="299" t="s">
        <v>2267</v>
      </c>
      <c r="C325" s="299" t="b">
        <f t="shared" si="39"/>
        <v>1</v>
      </c>
      <c r="D325" s="428" t="str">
        <f>IF(C325=FALSE=NAMES!$B$8,"",IF(F325="N/A","N/A",X325&amp;W325&amp;F325&amp;"-"&amp;G325&amp;H325))</f>
        <v/>
      </c>
      <c r="E325" s="429" t="str">
        <f t="shared" si="44"/>
        <v>2014USDAnker Verzekeringen n.v.-Temporary Disability Accident (100%/7/120D)</v>
      </c>
      <c r="F325" s="432" t="s">
        <v>7</v>
      </c>
      <c r="G325" s="421" t="s">
        <v>2247</v>
      </c>
      <c r="H325" s="421"/>
      <c r="I325" s="421"/>
      <c r="J325" s="426">
        <v>1</v>
      </c>
      <c r="K325" s="421">
        <v>7</v>
      </c>
      <c r="L325" s="421">
        <v>120</v>
      </c>
      <c r="M325" s="433">
        <v>5.1599999999999997E-3</v>
      </c>
      <c r="N325" s="411">
        <v>0.25</v>
      </c>
      <c r="O325" s="433">
        <v>7.0720000000000002E-3</v>
      </c>
      <c r="P325" s="411">
        <v>0</v>
      </c>
      <c r="Q325" s="412">
        <v>0</v>
      </c>
      <c r="R325" s="433"/>
      <c r="S325" s="411">
        <v>0.04</v>
      </c>
      <c r="T325" s="411"/>
      <c r="U325" s="433">
        <v>7.3548800000000003E-3</v>
      </c>
      <c r="V325" s="433"/>
      <c r="W325" s="432" t="s">
        <v>89</v>
      </c>
      <c r="X325" s="410">
        <v>2014</v>
      </c>
      <c r="Y325" s="410" t="s">
        <v>2246</v>
      </c>
      <c r="Z325" s="410"/>
      <c r="AA325" s="411">
        <v>0.1</v>
      </c>
      <c r="AB325" s="413"/>
      <c r="AC325" s="421" t="s">
        <v>2152</v>
      </c>
      <c r="AD325" s="421" t="s">
        <v>2179</v>
      </c>
      <c r="AE325" s="421" t="s">
        <v>2179</v>
      </c>
      <c r="AF325" s="421" t="s">
        <v>2180</v>
      </c>
      <c r="AG325" s="421" t="s">
        <v>2179</v>
      </c>
      <c r="AH325" s="421" t="s">
        <v>2179</v>
      </c>
      <c r="AI325" s="421" t="s">
        <v>2179</v>
      </c>
      <c r="AJ325" s="418" t="s">
        <v>2181</v>
      </c>
    </row>
    <row r="326" spans="1:36" s="651" customFormat="1">
      <c r="A326" s="299" t="b">
        <v>0</v>
      </c>
      <c r="B326" s="299" t="s">
        <v>2267</v>
      </c>
      <c r="C326" s="299" t="b">
        <f t="shared" si="39"/>
        <v>1</v>
      </c>
      <c r="D326" s="428" t="str">
        <f>IF(C326=FALSE=NAMES!$B$8,"",IF(F326="N/A","N/A",X326&amp;W326&amp;F326&amp;"-"&amp;G326&amp;H326))</f>
        <v/>
      </c>
      <c r="E326" s="429" t="str">
        <f t="shared" si="44"/>
        <v>2014EURAnker Verzekeringen n.v.-Temporary Disability Accident (100%/7/120D)</v>
      </c>
      <c r="F326" s="432" t="s">
        <v>7</v>
      </c>
      <c r="G326" s="421" t="s">
        <v>2247</v>
      </c>
      <c r="H326" s="421"/>
      <c r="I326" s="421"/>
      <c r="J326" s="426">
        <v>1</v>
      </c>
      <c r="K326" s="421">
        <v>7</v>
      </c>
      <c r="L326" s="421">
        <v>120</v>
      </c>
      <c r="M326" s="433">
        <v>4.47E-3</v>
      </c>
      <c r="N326" s="411">
        <v>0.25</v>
      </c>
      <c r="O326" s="433">
        <v>6.1310000000000002E-3</v>
      </c>
      <c r="P326" s="411">
        <v>0</v>
      </c>
      <c r="Q326" s="412">
        <v>0</v>
      </c>
      <c r="R326" s="433"/>
      <c r="S326" s="411">
        <v>0.04</v>
      </c>
      <c r="T326" s="411"/>
      <c r="U326" s="433">
        <v>6.37624E-3</v>
      </c>
      <c r="V326" s="433"/>
      <c r="W326" s="432" t="s">
        <v>33</v>
      </c>
      <c r="X326" s="410">
        <v>2014</v>
      </c>
      <c r="Y326" s="410" t="s">
        <v>2246</v>
      </c>
      <c r="Z326" s="410"/>
      <c r="AA326" s="411">
        <v>0.1</v>
      </c>
      <c r="AB326" s="413"/>
      <c r="AC326" s="421" t="s">
        <v>2152</v>
      </c>
      <c r="AD326" s="421" t="s">
        <v>2179</v>
      </c>
      <c r="AE326" s="421" t="s">
        <v>2179</v>
      </c>
      <c r="AF326" s="421" t="s">
        <v>2180</v>
      </c>
      <c r="AG326" s="421" t="s">
        <v>2179</v>
      </c>
      <c r="AH326" s="421" t="s">
        <v>2179</v>
      </c>
      <c r="AI326" s="421" t="s">
        <v>2179</v>
      </c>
      <c r="AJ326" s="418" t="s">
        <v>2181</v>
      </c>
    </row>
    <row r="327" spans="1:36" s="651" customFormat="1">
      <c r="A327" s="299" t="b">
        <v>0</v>
      </c>
      <c r="B327" s="299" t="s">
        <v>2267</v>
      </c>
      <c r="C327" s="299" t="b">
        <f t="shared" si="39"/>
        <v>1</v>
      </c>
      <c r="D327" s="428" t="str">
        <f>IF(C327=FALSE=NAMES!$B$8,"",IF(F327="N/A","N/A",X327&amp;W327&amp;F327&amp;"-"&amp;G327&amp;H327))</f>
        <v/>
      </c>
      <c r="E327" s="429" t="str">
        <f t="shared" si="44"/>
        <v>2014USDAnker Verzekeringen n.v.-Temporary Disability Accident (100%/7/365D)</v>
      </c>
      <c r="F327" s="432" t="s">
        <v>7</v>
      </c>
      <c r="G327" s="421" t="s">
        <v>2248</v>
      </c>
      <c r="H327" s="421"/>
      <c r="I327" s="421"/>
      <c r="J327" s="426">
        <v>1</v>
      </c>
      <c r="K327" s="421">
        <v>7</v>
      </c>
      <c r="L327" s="421">
        <v>365</v>
      </c>
      <c r="M327" s="433">
        <v>5.1599999999999997E-3</v>
      </c>
      <c r="N327" s="411">
        <v>0.25</v>
      </c>
      <c r="O327" s="433">
        <v>7.0720000000000002E-3</v>
      </c>
      <c r="P327" s="411">
        <v>0</v>
      </c>
      <c r="Q327" s="412">
        <v>0</v>
      </c>
      <c r="R327" s="433"/>
      <c r="S327" s="411">
        <v>0.04</v>
      </c>
      <c r="T327" s="411"/>
      <c r="U327" s="433">
        <v>7.3548800000000003E-3</v>
      </c>
      <c r="V327" s="433"/>
      <c r="W327" s="432" t="s">
        <v>89</v>
      </c>
      <c r="X327" s="410">
        <v>2014</v>
      </c>
      <c r="Y327" s="410" t="s">
        <v>2246</v>
      </c>
      <c r="Z327" s="410"/>
      <c r="AA327" s="411">
        <v>0.1</v>
      </c>
      <c r="AB327" s="413"/>
      <c r="AC327" s="421" t="s">
        <v>2152</v>
      </c>
      <c r="AD327" s="421" t="s">
        <v>2179</v>
      </c>
      <c r="AE327" s="421" t="s">
        <v>2179</v>
      </c>
      <c r="AF327" s="421" t="s">
        <v>2180</v>
      </c>
      <c r="AG327" s="421" t="s">
        <v>2179</v>
      </c>
      <c r="AH327" s="421" t="s">
        <v>2179</v>
      </c>
      <c r="AI327" s="421" t="s">
        <v>2180</v>
      </c>
      <c r="AJ327" s="418" t="s">
        <v>2181</v>
      </c>
    </row>
    <row r="328" spans="1:36" s="651" customFormat="1">
      <c r="A328" s="299" t="b">
        <v>0</v>
      </c>
      <c r="B328" s="299" t="s">
        <v>2267</v>
      </c>
      <c r="C328" s="299" t="b">
        <f t="shared" ref="C328:C365" si="45">IF(B328="N/A","",IF(B328="newRates",FALSE,TRUE))</f>
        <v>1</v>
      </c>
      <c r="D328" s="428" t="str">
        <f>IF(C328=FALSE=NAMES!$B$8,"",IF(F328="N/A","N/A",X328&amp;W328&amp;F328&amp;"-"&amp;G328&amp;H328))</f>
        <v/>
      </c>
      <c r="E328" s="429" t="str">
        <f t="shared" si="44"/>
        <v>2014EURAnker Verzekeringen n.v.-Temporary Disability Accident (100%/7/365D)</v>
      </c>
      <c r="F328" s="432" t="s">
        <v>7</v>
      </c>
      <c r="G328" s="421" t="s">
        <v>2248</v>
      </c>
      <c r="H328" s="421"/>
      <c r="I328" s="421"/>
      <c r="J328" s="426">
        <v>1</v>
      </c>
      <c r="K328" s="421">
        <v>7</v>
      </c>
      <c r="L328" s="421">
        <v>365</v>
      </c>
      <c r="M328" s="433">
        <v>4.4799999999999996E-3</v>
      </c>
      <c r="N328" s="411">
        <v>0.25</v>
      </c>
      <c r="O328" s="433">
        <v>6.1399999999999996E-3</v>
      </c>
      <c r="P328" s="411">
        <v>0</v>
      </c>
      <c r="Q328" s="412">
        <v>0</v>
      </c>
      <c r="R328" s="433"/>
      <c r="S328" s="411">
        <v>0.04</v>
      </c>
      <c r="T328" s="411"/>
      <c r="U328" s="433">
        <v>6.3856E-3</v>
      </c>
      <c r="V328" s="433"/>
      <c r="W328" s="432" t="s">
        <v>33</v>
      </c>
      <c r="X328" s="410">
        <v>2014</v>
      </c>
      <c r="Y328" s="410" t="s">
        <v>2246</v>
      </c>
      <c r="Z328" s="410"/>
      <c r="AA328" s="411">
        <v>0.1</v>
      </c>
      <c r="AB328" s="413"/>
      <c r="AC328" s="421" t="s">
        <v>2152</v>
      </c>
      <c r="AD328" s="421" t="s">
        <v>2179</v>
      </c>
      <c r="AE328" s="421" t="s">
        <v>2179</v>
      </c>
      <c r="AF328" s="421" t="s">
        <v>2180</v>
      </c>
      <c r="AG328" s="421" t="s">
        <v>2179</v>
      </c>
      <c r="AH328" s="421" t="s">
        <v>2179</v>
      </c>
      <c r="AI328" s="421" t="s">
        <v>2180</v>
      </c>
      <c r="AJ328" s="418" t="s">
        <v>2181</v>
      </c>
    </row>
    <row r="329" spans="1:36" s="651" customFormat="1">
      <c r="A329" s="299" t="b">
        <v>0</v>
      </c>
      <c r="B329" s="299" t="s">
        <v>2267</v>
      </c>
      <c r="C329" s="299" t="b">
        <f t="shared" si="45"/>
        <v>1</v>
      </c>
      <c r="D329" s="428" t="str">
        <f>IF(C329=FALSE=NAMES!$B$8,"",IF(F329="N/A","N/A",X329&amp;W329&amp;F329&amp;"-"&amp;G329&amp;H329))</f>
        <v/>
      </c>
      <c r="E329" s="429" t="str">
        <f t="shared" si="44"/>
        <v>N/A</v>
      </c>
      <c r="F329" s="429" t="s">
        <v>2236</v>
      </c>
      <c r="G329" s="429" t="s">
        <v>2120</v>
      </c>
      <c r="H329" s="421"/>
      <c r="I329" s="421"/>
      <c r="J329" s="421"/>
      <c r="K329" s="421"/>
      <c r="L329" s="421"/>
      <c r="M329" s="433"/>
      <c r="N329" s="411"/>
      <c r="O329" s="433"/>
      <c r="P329" s="411">
        <v>0</v>
      </c>
      <c r="Q329" s="412">
        <v>0</v>
      </c>
      <c r="R329" s="433"/>
      <c r="S329" s="411"/>
      <c r="T329" s="411"/>
      <c r="U329" s="433"/>
      <c r="V329" s="433"/>
      <c r="W329" s="432"/>
      <c r="X329" s="410"/>
      <c r="Y329" s="410"/>
      <c r="Z329" s="410"/>
      <c r="AA329" s="433"/>
      <c r="AB329" s="410"/>
      <c r="AC329" s="421"/>
      <c r="AD329" s="421"/>
      <c r="AE329" s="421"/>
      <c r="AF329" s="421"/>
      <c r="AG329" s="421"/>
      <c r="AH329" s="421"/>
      <c r="AI329" s="421"/>
      <c r="AJ329" s="418"/>
    </row>
    <row r="330" spans="1:36" s="651" customFormat="1">
      <c r="A330" s="299" t="b">
        <v>0</v>
      </c>
      <c r="B330" s="299" t="s">
        <v>2267</v>
      </c>
      <c r="C330" s="299" t="b">
        <f t="shared" si="45"/>
        <v>1</v>
      </c>
      <c r="D330" s="428" t="str">
        <f>IF(C330=FALSE=NAMES!$B$8,"",IF(F330="N/A","N/A",X330&amp;W330&amp;F330&amp;"-"&amp;G330&amp;H330))</f>
        <v/>
      </c>
      <c r="E330" s="429" t="str">
        <f t="shared" si="44"/>
        <v>2013USDAnker Verzekeringen n.v.-Temporary Disability Accident (100%/7/120D)</v>
      </c>
      <c r="F330" s="432" t="s">
        <v>7</v>
      </c>
      <c r="G330" s="421" t="s">
        <v>2247</v>
      </c>
      <c r="H330" s="421"/>
      <c r="I330" s="421"/>
      <c r="J330" s="426">
        <v>1</v>
      </c>
      <c r="K330" s="421">
        <v>7</v>
      </c>
      <c r="L330" s="421">
        <v>120</v>
      </c>
      <c r="M330" s="433">
        <v>5.3E-3</v>
      </c>
      <c r="N330" s="411">
        <v>0.25</v>
      </c>
      <c r="O330" s="433">
        <v>7.0670000000000004E-3</v>
      </c>
      <c r="P330" s="411">
        <v>0</v>
      </c>
      <c r="Q330" s="412">
        <v>0</v>
      </c>
      <c r="R330" s="433"/>
      <c r="S330" s="411">
        <v>0.04</v>
      </c>
      <c r="T330" s="411"/>
      <c r="U330" s="433">
        <v>7.3496800000000008E-3</v>
      </c>
      <c r="V330" s="433"/>
      <c r="W330" s="432" t="s">
        <v>89</v>
      </c>
      <c r="X330" s="410">
        <v>2013</v>
      </c>
      <c r="Y330" s="410" t="s">
        <v>2246</v>
      </c>
      <c r="Z330" s="410"/>
      <c r="AA330" s="411">
        <v>0.1</v>
      </c>
      <c r="AB330" s="413"/>
      <c r="AC330" s="421" t="s">
        <v>2152</v>
      </c>
      <c r="AD330" s="421" t="s">
        <v>2179</v>
      </c>
      <c r="AE330" s="421" t="s">
        <v>2179</v>
      </c>
      <c r="AF330" s="421" t="s">
        <v>2180</v>
      </c>
      <c r="AG330" s="421" t="s">
        <v>2179</v>
      </c>
      <c r="AH330" s="421" t="s">
        <v>2179</v>
      </c>
      <c r="AI330" s="421" t="s">
        <v>2179</v>
      </c>
      <c r="AJ330" s="418" t="s">
        <v>2181</v>
      </c>
    </row>
    <row r="331" spans="1:36" s="651" customFormat="1">
      <c r="A331" s="299" t="b">
        <v>0</v>
      </c>
      <c r="B331" s="299" t="s">
        <v>2267</v>
      </c>
      <c r="C331" s="299" t="b">
        <f t="shared" si="45"/>
        <v>1</v>
      </c>
      <c r="D331" s="428" t="str">
        <f>IF(C331=FALSE=NAMES!$B$8,"",IF(F331="N/A","N/A",X331&amp;W331&amp;F331&amp;"-"&amp;G331&amp;H331))</f>
        <v/>
      </c>
      <c r="E331" s="429" t="str">
        <f t="shared" si="44"/>
        <v>2013EURAnker Verzekeringen n.v.-Temporary Disability Accident (100%/7/120D)</v>
      </c>
      <c r="F331" s="432" t="s">
        <v>7</v>
      </c>
      <c r="G331" s="421" t="s">
        <v>2247</v>
      </c>
      <c r="H331" s="421"/>
      <c r="I331" s="421"/>
      <c r="J331" s="426">
        <v>1</v>
      </c>
      <c r="K331" s="421">
        <v>7</v>
      </c>
      <c r="L331" s="421">
        <v>120</v>
      </c>
      <c r="M331" s="433">
        <v>4.5975E-3</v>
      </c>
      <c r="N331" s="411">
        <v>0.25</v>
      </c>
      <c r="O331" s="433">
        <v>6.13E-3</v>
      </c>
      <c r="P331" s="411">
        <v>0</v>
      </c>
      <c r="Q331" s="412">
        <v>0</v>
      </c>
      <c r="R331" s="433"/>
      <c r="S331" s="411">
        <v>0.04</v>
      </c>
      <c r="T331" s="411"/>
      <c r="U331" s="433">
        <v>6.3752000000000001E-3</v>
      </c>
      <c r="V331" s="433"/>
      <c r="W331" s="432" t="s">
        <v>33</v>
      </c>
      <c r="X331" s="410">
        <v>2013</v>
      </c>
      <c r="Y331" s="410" t="s">
        <v>2246</v>
      </c>
      <c r="Z331" s="410"/>
      <c r="AA331" s="411">
        <v>0.1</v>
      </c>
      <c r="AB331" s="413"/>
      <c r="AC331" s="421" t="s">
        <v>2152</v>
      </c>
      <c r="AD331" s="421" t="s">
        <v>2179</v>
      </c>
      <c r="AE331" s="421" t="s">
        <v>2179</v>
      </c>
      <c r="AF331" s="421" t="s">
        <v>2180</v>
      </c>
      <c r="AG331" s="421" t="s">
        <v>2179</v>
      </c>
      <c r="AH331" s="421" t="s">
        <v>2179</v>
      </c>
      <c r="AI331" s="421" t="s">
        <v>2179</v>
      </c>
      <c r="AJ331" s="418" t="s">
        <v>2181</v>
      </c>
    </row>
    <row r="332" spans="1:36" s="651" customFormat="1">
      <c r="A332" s="299" t="b">
        <v>0</v>
      </c>
      <c r="B332" s="299" t="s">
        <v>2267</v>
      </c>
      <c r="C332" s="299" t="b">
        <f t="shared" si="45"/>
        <v>1</v>
      </c>
      <c r="D332" s="428" t="str">
        <f>IF(C332=FALSE=NAMES!$B$8,"",IF(F332="N/A","N/A",X332&amp;W332&amp;F332&amp;"-"&amp;G332&amp;H332))</f>
        <v/>
      </c>
      <c r="E332" s="429" t="str">
        <f t="shared" si="44"/>
        <v>2013USDAnker Verzekeringen n.v.-Temporary Disability Accident (100%/7/365D)</v>
      </c>
      <c r="F332" s="432" t="s">
        <v>7</v>
      </c>
      <c r="G332" s="421" t="s">
        <v>2248</v>
      </c>
      <c r="H332" s="421"/>
      <c r="I332" s="421"/>
      <c r="J332" s="426">
        <v>1</v>
      </c>
      <c r="K332" s="421">
        <v>7</v>
      </c>
      <c r="L332" s="421">
        <v>365</v>
      </c>
      <c r="M332" s="433">
        <v>5.3E-3</v>
      </c>
      <c r="N332" s="411">
        <v>0.25</v>
      </c>
      <c r="O332" s="433">
        <v>7.0670000000000004E-3</v>
      </c>
      <c r="P332" s="411">
        <v>0</v>
      </c>
      <c r="Q332" s="412">
        <v>0</v>
      </c>
      <c r="R332" s="433"/>
      <c r="S332" s="411">
        <v>0.04</v>
      </c>
      <c r="T332" s="411"/>
      <c r="U332" s="433">
        <v>7.3496800000000008E-3</v>
      </c>
      <c r="V332" s="433"/>
      <c r="W332" s="432" t="s">
        <v>89</v>
      </c>
      <c r="X332" s="410">
        <v>2013</v>
      </c>
      <c r="Y332" s="410" t="s">
        <v>2246</v>
      </c>
      <c r="Z332" s="410"/>
      <c r="AA332" s="411">
        <v>0.1</v>
      </c>
      <c r="AB332" s="413"/>
      <c r="AC332" s="421" t="s">
        <v>2152</v>
      </c>
      <c r="AD332" s="421" t="s">
        <v>2179</v>
      </c>
      <c r="AE332" s="421" t="s">
        <v>2179</v>
      </c>
      <c r="AF332" s="421" t="s">
        <v>2180</v>
      </c>
      <c r="AG332" s="421" t="s">
        <v>2179</v>
      </c>
      <c r="AH332" s="421" t="s">
        <v>2179</v>
      </c>
      <c r="AI332" s="421" t="s">
        <v>2180</v>
      </c>
      <c r="AJ332" s="418" t="s">
        <v>2181</v>
      </c>
    </row>
    <row r="333" spans="1:36" s="651" customFormat="1">
      <c r="A333" s="299" t="b">
        <v>0</v>
      </c>
      <c r="B333" s="299" t="s">
        <v>2267</v>
      </c>
      <c r="C333" s="299" t="b">
        <f t="shared" si="45"/>
        <v>1</v>
      </c>
      <c r="D333" s="428" t="str">
        <f>IF(C333=FALSE=NAMES!$B$8,"",IF(F333="N/A","N/A",X333&amp;W333&amp;F333&amp;"-"&amp;G333&amp;H333))</f>
        <v/>
      </c>
      <c r="E333" s="429" t="str">
        <f t="shared" si="44"/>
        <v>2013EURAnker Verzekeringen n.v.-Temporary Disability Accident (100%/7/365D)</v>
      </c>
      <c r="F333" s="432" t="s">
        <v>7</v>
      </c>
      <c r="G333" s="421" t="s">
        <v>2248</v>
      </c>
      <c r="H333" s="421"/>
      <c r="I333" s="421"/>
      <c r="J333" s="426">
        <v>1</v>
      </c>
      <c r="K333" s="421">
        <v>7</v>
      </c>
      <c r="L333" s="421">
        <v>365</v>
      </c>
      <c r="M333" s="433">
        <v>4.6049999999999997E-3</v>
      </c>
      <c r="N333" s="411">
        <v>0.25</v>
      </c>
      <c r="O333" s="433">
        <v>6.1399999999999996E-3</v>
      </c>
      <c r="P333" s="411">
        <v>0</v>
      </c>
      <c r="Q333" s="412">
        <v>0</v>
      </c>
      <c r="R333" s="433"/>
      <c r="S333" s="411">
        <v>0.04</v>
      </c>
      <c r="T333" s="411"/>
      <c r="U333" s="433">
        <v>6.3856E-3</v>
      </c>
      <c r="V333" s="433"/>
      <c r="W333" s="432" t="s">
        <v>33</v>
      </c>
      <c r="X333" s="410">
        <v>2013</v>
      </c>
      <c r="Y333" s="410" t="s">
        <v>2246</v>
      </c>
      <c r="Z333" s="410"/>
      <c r="AA333" s="411">
        <v>0.1</v>
      </c>
      <c r="AB333" s="413"/>
      <c r="AC333" s="421" t="s">
        <v>2152</v>
      </c>
      <c r="AD333" s="421" t="s">
        <v>2179</v>
      </c>
      <c r="AE333" s="421" t="s">
        <v>2179</v>
      </c>
      <c r="AF333" s="421" t="s">
        <v>2180</v>
      </c>
      <c r="AG333" s="421" t="s">
        <v>2179</v>
      </c>
      <c r="AH333" s="421" t="s">
        <v>2179</v>
      </c>
      <c r="AI333" s="421" t="s">
        <v>2180</v>
      </c>
      <c r="AJ333" s="418" t="s">
        <v>2181</v>
      </c>
    </row>
    <row r="334" spans="1:36" s="651" customFormat="1" ht="15.75" thickBot="1">
      <c r="A334" s="299" t="b">
        <v>0</v>
      </c>
      <c r="B334" s="299" t="s">
        <v>2267</v>
      </c>
      <c r="C334" s="299" t="b">
        <f t="shared" si="45"/>
        <v>1</v>
      </c>
      <c r="D334" s="428" t="str">
        <f>IF(C334=FALSE=NAMES!$B$8,"",IF(F334="N/A","N/A",X334&amp;W334&amp;F334&amp;"-"&amp;G334&amp;H334))</f>
        <v/>
      </c>
      <c r="E334" s="429" t="str">
        <f t="shared" si="44"/>
        <v>N/A</v>
      </c>
      <c r="F334" s="429" t="s">
        <v>2236</v>
      </c>
      <c r="G334" s="429" t="s">
        <v>2120</v>
      </c>
      <c r="H334" s="421"/>
      <c r="I334" s="421"/>
      <c r="J334" s="421"/>
      <c r="K334" s="421"/>
      <c r="L334" s="421"/>
      <c r="M334" s="433"/>
      <c r="N334" s="411"/>
      <c r="O334" s="433"/>
      <c r="P334" s="433"/>
      <c r="Q334" s="433"/>
      <c r="R334" s="433"/>
      <c r="S334" s="411"/>
      <c r="T334" s="411"/>
      <c r="U334" s="433"/>
      <c r="V334" s="433"/>
      <c r="W334" s="432"/>
      <c r="X334" s="410"/>
      <c r="Y334" s="410"/>
      <c r="Z334" s="410"/>
      <c r="AA334" s="433"/>
      <c r="AB334" s="410"/>
      <c r="AC334" s="421"/>
      <c r="AD334" s="421"/>
      <c r="AE334" s="421"/>
      <c r="AF334" s="421"/>
      <c r="AG334" s="421"/>
      <c r="AH334" s="421"/>
      <c r="AI334" s="421"/>
      <c r="AJ334" s="418"/>
    </row>
    <row r="335" spans="1:36" s="651" customFormat="1" ht="45">
      <c r="A335" s="299" t="b">
        <v>0</v>
      </c>
      <c r="B335" s="429" t="s">
        <v>2236</v>
      </c>
      <c r="C335" s="299" t="str">
        <f t="shared" si="45"/>
        <v/>
      </c>
      <c r="D335" s="394" t="s">
        <v>2117</v>
      </c>
      <c r="E335" s="427"/>
      <c r="F335" s="427"/>
      <c r="G335" s="415" t="s">
        <v>2118</v>
      </c>
      <c r="H335" s="415" t="s">
        <v>2238</v>
      </c>
      <c r="I335" s="415" t="s">
        <v>2224</v>
      </c>
      <c r="J335" s="415" t="s">
        <v>1153</v>
      </c>
      <c r="K335" s="416" t="s">
        <v>2239</v>
      </c>
      <c r="L335" s="416" t="s">
        <v>2113</v>
      </c>
      <c r="M335" s="417" t="s">
        <v>2234</v>
      </c>
      <c r="N335" s="416"/>
      <c r="O335" s="416" t="s">
        <v>2235</v>
      </c>
      <c r="P335" s="1360" t="s">
        <v>23</v>
      </c>
      <c r="Q335" s="416"/>
      <c r="R335" s="416"/>
      <c r="S335" s="416" t="s">
        <v>2237</v>
      </c>
      <c r="T335" s="416"/>
      <c r="U335" s="416" t="s">
        <v>2241</v>
      </c>
      <c r="V335" s="416"/>
      <c r="W335" s="416" t="s">
        <v>2119</v>
      </c>
      <c r="X335" s="415" t="s">
        <v>2240</v>
      </c>
      <c r="Y335" s="415"/>
      <c r="Z335" s="415"/>
      <c r="AA335" s="400" t="s">
        <v>2265</v>
      </c>
      <c r="AB335" s="415"/>
      <c r="AC335" s="415" t="s">
        <v>2151</v>
      </c>
      <c r="AD335" s="415" t="s">
        <v>30</v>
      </c>
      <c r="AE335" s="416" t="s">
        <v>137</v>
      </c>
      <c r="AF335" s="416" t="s">
        <v>92</v>
      </c>
      <c r="AG335" s="416" t="s">
        <v>1784</v>
      </c>
      <c r="AH335" s="416" t="s">
        <v>90</v>
      </c>
      <c r="AI335" s="416" t="s">
        <v>91</v>
      </c>
      <c r="AJ335" s="418"/>
    </row>
    <row r="336" spans="1:36" s="651" customFormat="1">
      <c r="A336" s="299" t="b">
        <v>0</v>
      </c>
      <c r="B336" s="299" t="s">
        <v>2266</v>
      </c>
      <c r="C336" s="299" t="b">
        <f t="shared" si="45"/>
        <v>0</v>
      </c>
      <c r="D336" s="428" t="str">
        <f>IF(C336=FALSE=NAMES!$B$8,"",IF(F336="N/A","N/A",X336&amp;W336&amp;F336&amp;"-"&amp;G336&amp;H336))</f>
        <v>N/A</v>
      </c>
      <c r="E336" s="429" t="str">
        <f t="shared" ref="E336:E348" si="46">IF(F336="N/A","N/A",X336&amp;W336&amp;F336&amp;"-"&amp;G336&amp;H336)</f>
        <v>N/A</v>
      </c>
      <c r="F336" s="429" t="s">
        <v>2236</v>
      </c>
      <c r="G336" s="429" t="s">
        <v>2120</v>
      </c>
      <c r="H336" s="421"/>
      <c r="I336" s="421"/>
      <c r="J336" s="421"/>
      <c r="K336" s="421"/>
      <c r="L336" s="421"/>
      <c r="M336" s="433"/>
      <c r="N336" s="411"/>
      <c r="O336" s="433"/>
      <c r="P336" s="433"/>
      <c r="Q336" s="433"/>
      <c r="R336" s="433"/>
      <c r="S336" s="411"/>
      <c r="T336" s="411"/>
      <c r="U336" s="433" t="str">
        <f t="shared" ref="U336:U348" si="47">IF(D336="N/A","",O336*(1+S336))</f>
        <v/>
      </c>
      <c r="V336" s="433"/>
      <c r="W336" s="432"/>
      <c r="X336" s="410"/>
      <c r="Y336" s="410"/>
      <c r="Z336" s="410"/>
      <c r="AA336" s="433"/>
      <c r="AB336" s="410"/>
      <c r="AC336" s="421"/>
      <c r="AD336" s="421"/>
      <c r="AE336" s="421"/>
      <c r="AF336" s="421"/>
      <c r="AG336" s="421"/>
      <c r="AH336" s="421"/>
      <c r="AI336" s="421"/>
      <c r="AJ336" s="418"/>
    </row>
    <row r="337" spans="1:36" s="651" customFormat="1">
      <c r="A337" s="299" t="b">
        <v>0</v>
      </c>
      <c r="B337" s="299" t="s">
        <v>2266</v>
      </c>
      <c r="C337" s="299" t="b">
        <f t="shared" si="45"/>
        <v>0</v>
      </c>
      <c r="D337" s="428" t="str">
        <f>IF(C337=FALSE=NAMES!$B$8,"",IF(F337="N/A","N/A",X337&amp;W337&amp;F337&amp;"-"&amp;G337&amp;H337))</f>
        <v>2016EURAnker Verzekeringen n.v.-Temporary Disability illness (100%/7/120D)</v>
      </c>
      <c r="E337" s="429" t="str">
        <f t="shared" si="46"/>
        <v>2016EURAnker Verzekeringen n.v.-Temporary Disability illness (100%/7/120D)</v>
      </c>
      <c r="F337" s="432" t="s">
        <v>7</v>
      </c>
      <c r="G337" s="421" t="s">
        <v>2252</v>
      </c>
      <c r="H337" s="421"/>
      <c r="I337" s="421"/>
      <c r="J337" s="426">
        <v>1</v>
      </c>
      <c r="K337" s="421">
        <v>7</v>
      </c>
      <c r="L337" s="421">
        <v>120</v>
      </c>
      <c r="M337" s="433">
        <v>7.8270000000000006E-3</v>
      </c>
      <c r="N337" s="411">
        <v>0.27500000000000002</v>
      </c>
      <c r="O337" s="398">
        <f>M337/(1-N337)</f>
        <v>1.0795862068965519E-2</v>
      </c>
      <c r="P337" s="411">
        <v>0</v>
      </c>
      <c r="Q337" s="412">
        <v>0</v>
      </c>
      <c r="R337" s="398"/>
      <c r="S337" s="411">
        <v>0.04</v>
      </c>
      <c r="T337" s="411"/>
      <c r="U337" s="433">
        <f t="shared" si="47"/>
        <v>1.1227696551724141E-2</v>
      </c>
      <c r="V337" s="433"/>
      <c r="W337" s="432" t="s">
        <v>33</v>
      </c>
      <c r="X337" s="410">
        <v>2016</v>
      </c>
      <c r="Y337" s="410" t="s">
        <v>2246</v>
      </c>
      <c r="Z337" s="410"/>
      <c r="AA337" s="411">
        <v>0.1</v>
      </c>
      <c r="AB337" s="413"/>
      <c r="AC337" s="421" t="s">
        <v>2152</v>
      </c>
      <c r="AD337" s="421" t="s">
        <v>2179</v>
      </c>
      <c r="AE337" s="421" t="s">
        <v>2180</v>
      </c>
      <c r="AF337" s="421" t="s">
        <v>2180</v>
      </c>
      <c r="AG337" s="421" t="s">
        <v>2179</v>
      </c>
      <c r="AH337" s="421" t="s">
        <v>2179</v>
      </c>
      <c r="AI337" s="421" t="s">
        <v>2179</v>
      </c>
      <c r="AJ337" s="418" t="s">
        <v>2181</v>
      </c>
    </row>
    <row r="338" spans="1:36" s="651" customFormat="1">
      <c r="A338" s="299" t="b">
        <v>0</v>
      </c>
      <c r="B338" s="299" t="s">
        <v>2266</v>
      </c>
      <c r="C338" s="299" t="b">
        <f t="shared" si="45"/>
        <v>0</v>
      </c>
      <c r="D338" s="428" t="str">
        <f>IF(C338=FALSE=NAMES!$B$8,"",IF(F338="N/A","N/A",X338&amp;W338&amp;F338&amp;"-"&amp;G338&amp;H338))</f>
        <v>2016EURAnker Verzekeringen n.v.-Temporary Disability illness (100%/7/365D)</v>
      </c>
      <c r="E338" s="429" t="str">
        <f t="shared" si="46"/>
        <v>2016EURAnker Verzekeringen n.v.-Temporary Disability illness (100%/7/365D)</v>
      </c>
      <c r="F338" s="432" t="s">
        <v>7</v>
      </c>
      <c r="G338" s="421" t="s">
        <v>2253</v>
      </c>
      <c r="H338" s="421"/>
      <c r="I338" s="421"/>
      <c r="J338" s="426">
        <v>1</v>
      </c>
      <c r="K338" s="421">
        <v>7</v>
      </c>
      <c r="L338" s="421">
        <v>365</v>
      </c>
      <c r="M338" s="433">
        <v>1.1757E-2</v>
      </c>
      <c r="N338" s="411">
        <v>0.27500000000000002</v>
      </c>
      <c r="O338" s="398">
        <f>M338/(1-N338)</f>
        <v>1.6216551724137933E-2</v>
      </c>
      <c r="P338" s="411">
        <v>0</v>
      </c>
      <c r="Q338" s="412">
        <v>0</v>
      </c>
      <c r="R338" s="398"/>
      <c r="S338" s="411">
        <v>0.04</v>
      </c>
      <c r="T338" s="411"/>
      <c r="U338" s="433">
        <f t="shared" si="47"/>
        <v>1.6865213793103451E-2</v>
      </c>
      <c r="V338" s="433"/>
      <c r="W338" s="432" t="s">
        <v>33</v>
      </c>
      <c r="X338" s="410">
        <v>2016</v>
      </c>
      <c r="Y338" s="410" t="s">
        <v>2246</v>
      </c>
      <c r="Z338" s="410"/>
      <c r="AA338" s="411">
        <v>0.1</v>
      </c>
      <c r="AB338" s="413"/>
      <c r="AC338" s="421" t="s">
        <v>2152</v>
      </c>
      <c r="AD338" s="421" t="s">
        <v>2179</v>
      </c>
      <c r="AE338" s="421" t="s">
        <v>2180</v>
      </c>
      <c r="AF338" s="421" t="s">
        <v>2180</v>
      </c>
      <c r="AG338" s="421" t="s">
        <v>2179</v>
      </c>
      <c r="AH338" s="421" t="s">
        <v>2179</v>
      </c>
      <c r="AI338" s="421" t="s">
        <v>2180</v>
      </c>
      <c r="AJ338" s="418" t="s">
        <v>2181</v>
      </c>
    </row>
    <row r="339" spans="1:36" s="651" customFormat="1">
      <c r="A339" s="299" t="b">
        <v>0</v>
      </c>
      <c r="B339" s="299" t="s">
        <v>2266</v>
      </c>
      <c r="C339" s="299" t="b">
        <f t="shared" si="45"/>
        <v>0</v>
      </c>
      <c r="D339" s="428" t="str">
        <f>IF(C339=FALSE=NAMES!$B$8,"",IF(F339="N/A","N/A",X339&amp;W339&amp;F339&amp;"-"&amp;G339&amp;H339))</f>
        <v>2016EURAnker Verzekeringen n.v.-Temporary Disability illness (100%/28/365D)</v>
      </c>
      <c r="E339" s="429" t="str">
        <f t="shared" si="46"/>
        <v>2016EURAnker Verzekeringen n.v.-Temporary Disability illness (100%/28/365D)</v>
      </c>
      <c r="F339" s="432" t="s">
        <v>7</v>
      </c>
      <c r="G339" s="421" t="s">
        <v>2254</v>
      </c>
      <c r="H339" s="421"/>
      <c r="I339" s="421"/>
      <c r="J339" s="426">
        <v>1</v>
      </c>
      <c r="K339" s="421">
        <v>28</v>
      </c>
      <c r="L339" s="421">
        <v>365</v>
      </c>
      <c r="M339" s="433">
        <v>9.6410000000000003E-3</v>
      </c>
      <c r="N339" s="411">
        <v>0.27500000000000002</v>
      </c>
      <c r="O339" s="398">
        <f>M339/(1-N339)</f>
        <v>1.3297931034482759E-2</v>
      </c>
      <c r="P339" s="411">
        <v>0</v>
      </c>
      <c r="Q339" s="412">
        <v>0</v>
      </c>
      <c r="R339" s="398"/>
      <c r="S339" s="411">
        <v>0.04</v>
      </c>
      <c r="T339" s="411"/>
      <c r="U339" s="433">
        <f t="shared" si="47"/>
        <v>1.382984827586207E-2</v>
      </c>
      <c r="V339" s="433"/>
      <c r="W339" s="432" t="s">
        <v>33</v>
      </c>
      <c r="X339" s="410">
        <v>2016</v>
      </c>
      <c r="Y339" s="410" t="s">
        <v>2246</v>
      </c>
      <c r="Z339" s="410"/>
      <c r="AA339" s="411">
        <v>0.1</v>
      </c>
      <c r="AB339" s="413"/>
      <c r="AC339" s="421"/>
      <c r="AD339" s="421"/>
      <c r="AE339" s="421"/>
      <c r="AF339" s="421"/>
      <c r="AG339" s="421"/>
      <c r="AH339" s="421"/>
      <c r="AI339" s="421"/>
      <c r="AJ339" s="418"/>
    </row>
    <row r="340" spans="1:36" s="651" customFormat="1">
      <c r="A340" s="299" t="b">
        <v>0</v>
      </c>
      <c r="B340" s="299" t="s">
        <v>2266</v>
      </c>
      <c r="C340" s="299" t="b">
        <f t="shared" si="45"/>
        <v>0</v>
      </c>
      <c r="D340" s="428" t="str">
        <f>IF(C340=FALSE=NAMES!$B$8,"",IF(F340="N/A","N/A",X340&amp;W340&amp;F340&amp;"-"&amp;G340&amp;H340))</f>
        <v>2016EURAnker Verzekeringen n.v.-Temporary Disability illness (100%/42/365D)</v>
      </c>
      <c r="E340" s="429" t="str">
        <f t="shared" si="46"/>
        <v>2016EURAnker Verzekeringen n.v.-Temporary Disability illness (100%/42/365D)</v>
      </c>
      <c r="F340" s="432" t="s">
        <v>7</v>
      </c>
      <c r="G340" s="421" t="s">
        <v>2255</v>
      </c>
      <c r="H340" s="421"/>
      <c r="I340" s="421"/>
      <c r="J340" s="426">
        <v>1</v>
      </c>
      <c r="K340" s="421">
        <v>42</v>
      </c>
      <c r="L340" s="421">
        <v>365</v>
      </c>
      <c r="M340" s="433">
        <v>9.044E-3</v>
      </c>
      <c r="N340" s="411">
        <v>0.27500000000000002</v>
      </c>
      <c r="O340" s="398">
        <f>M340/(1-N340)</f>
        <v>1.2474482758620689E-2</v>
      </c>
      <c r="P340" s="411">
        <v>0</v>
      </c>
      <c r="Q340" s="412">
        <v>0</v>
      </c>
      <c r="R340" s="398"/>
      <c r="S340" s="411">
        <v>0.04</v>
      </c>
      <c r="T340" s="411"/>
      <c r="U340" s="433">
        <f t="shared" si="47"/>
        <v>1.2973462068965517E-2</v>
      </c>
      <c r="V340" s="433"/>
      <c r="W340" s="432" t="s">
        <v>33</v>
      </c>
      <c r="X340" s="410">
        <v>2016</v>
      </c>
      <c r="Y340" s="410" t="s">
        <v>2246</v>
      </c>
      <c r="Z340" s="410"/>
      <c r="AA340" s="411">
        <v>0.1</v>
      </c>
      <c r="AB340" s="413"/>
      <c r="AC340" s="421"/>
      <c r="AD340" s="421"/>
      <c r="AE340" s="421"/>
      <c r="AF340" s="421"/>
      <c r="AG340" s="421"/>
      <c r="AH340" s="421"/>
      <c r="AI340" s="421"/>
      <c r="AJ340" s="418"/>
    </row>
    <row r="341" spans="1:36" s="651" customFormat="1">
      <c r="A341" s="299" t="b">
        <v>0</v>
      </c>
      <c r="B341" s="299" t="s">
        <v>2266</v>
      </c>
      <c r="C341" s="299" t="b">
        <f t="shared" si="45"/>
        <v>0</v>
      </c>
      <c r="D341" s="428" t="str">
        <f>IF(C341=FALSE=NAMES!$B$8,"",IF(F341="N/A","N/A",X341&amp;W341&amp;F341&amp;"-"&amp;G341&amp;H341))</f>
        <v>2016EURAnker Verzekeringen n.v.-Temporary Disability illness (70%/7/365D)</v>
      </c>
      <c r="E341" s="429" t="str">
        <f t="shared" si="46"/>
        <v>2016EURAnker Verzekeringen n.v.-Temporary Disability illness (70%/7/365D)</v>
      </c>
      <c r="F341" s="432" t="s">
        <v>7</v>
      </c>
      <c r="G341" s="421" t="s">
        <v>2256</v>
      </c>
      <c r="H341" s="421"/>
      <c r="I341" s="421"/>
      <c r="J341" s="426">
        <v>0.7</v>
      </c>
      <c r="K341" s="421">
        <v>7</v>
      </c>
      <c r="L341" s="421">
        <v>365</v>
      </c>
      <c r="M341" s="433">
        <v>9.6410000000000003E-3</v>
      </c>
      <c r="N341" s="411">
        <v>0.27500000000000002</v>
      </c>
      <c r="O341" s="398">
        <f>M341/(1-N341)</f>
        <v>1.3297931034482759E-2</v>
      </c>
      <c r="P341" s="411">
        <v>0</v>
      </c>
      <c r="Q341" s="412">
        <v>0</v>
      </c>
      <c r="R341" s="398"/>
      <c r="S341" s="411">
        <v>0.04</v>
      </c>
      <c r="T341" s="411"/>
      <c r="U341" s="433">
        <f t="shared" si="47"/>
        <v>1.382984827586207E-2</v>
      </c>
      <c r="V341" s="433"/>
      <c r="W341" s="432" t="s">
        <v>33</v>
      </c>
      <c r="X341" s="410">
        <v>2016</v>
      </c>
      <c r="Y341" s="410" t="s">
        <v>2246</v>
      </c>
      <c r="Z341" s="410"/>
      <c r="AA341" s="411">
        <v>0.1</v>
      </c>
      <c r="AB341" s="413"/>
      <c r="AC341" s="421"/>
      <c r="AD341" s="421"/>
      <c r="AE341" s="421"/>
      <c r="AF341" s="421"/>
      <c r="AG341" s="421"/>
      <c r="AH341" s="421"/>
      <c r="AI341" s="421"/>
      <c r="AJ341" s="418"/>
    </row>
    <row r="342" spans="1:36" s="651" customFormat="1">
      <c r="A342" s="299"/>
      <c r="B342" s="299" t="s">
        <v>2266</v>
      </c>
      <c r="C342" s="299" t="b">
        <f t="shared" si="45"/>
        <v>0</v>
      </c>
      <c r="D342" s="428" t="str">
        <f>IF(C342=FALSE=NAMES!$B$8,"",IF(F342="N/A","N/A",X342&amp;W342&amp;F342&amp;"-"&amp;G342&amp;H342))</f>
        <v>N/A</v>
      </c>
      <c r="E342" s="429" t="str">
        <f t="shared" si="46"/>
        <v>N/A</v>
      </c>
      <c r="F342" s="429" t="s">
        <v>2236</v>
      </c>
      <c r="G342" s="429" t="s">
        <v>2236</v>
      </c>
      <c r="H342" s="421"/>
      <c r="I342" s="421"/>
      <c r="J342" s="426"/>
      <c r="K342" s="421"/>
      <c r="L342" s="421"/>
      <c r="M342" s="433"/>
      <c r="N342" s="411"/>
      <c r="O342" s="398"/>
      <c r="P342" s="411">
        <v>0</v>
      </c>
      <c r="Q342" s="412">
        <v>0</v>
      </c>
      <c r="R342" s="398"/>
      <c r="S342" s="411"/>
      <c r="T342" s="411"/>
      <c r="U342" s="433" t="str">
        <f t="shared" si="47"/>
        <v/>
      </c>
      <c r="V342" s="433"/>
      <c r="W342" s="432"/>
      <c r="X342" s="410"/>
      <c r="Y342" s="410"/>
      <c r="Z342" s="410"/>
      <c r="AA342" s="411"/>
      <c r="AB342" s="413"/>
      <c r="AC342" s="421"/>
      <c r="AD342" s="421"/>
      <c r="AE342" s="421"/>
      <c r="AF342" s="421"/>
      <c r="AG342" s="421"/>
      <c r="AH342" s="421"/>
      <c r="AI342" s="421"/>
      <c r="AJ342" s="418"/>
    </row>
    <row r="343" spans="1:36" s="651" customFormat="1">
      <c r="A343" s="299" t="b">
        <v>0</v>
      </c>
      <c r="B343" s="299" t="s">
        <v>2266</v>
      </c>
      <c r="C343" s="299" t="b">
        <f t="shared" si="45"/>
        <v>0</v>
      </c>
      <c r="D343" s="428" t="str">
        <f>IF(C343=FALSE=NAMES!$B$8,"",IF(F343="N/A","N/A",X343&amp;W343&amp;F343&amp;"-"&amp;G343&amp;H343))</f>
        <v>2016USDAnker Verzekeringen n.v.-Temporary Disability illness (100%/7/120D)</v>
      </c>
      <c r="E343" s="429" t="str">
        <f t="shared" si="46"/>
        <v>2016USDAnker Verzekeringen n.v.-Temporary Disability illness (100%/7/120D)</v>
      </c>
      <c r="F343" s="432" t="s">
        <v>7</v>
      </c>
      <c r="G343" s="421" t="s">
        <v>2252</v>
      </c>
      <c r="H343" s="421"/>
      <c r="I343" s="421"/>
      <c r="J343" s="426">
        <v>1</v>
      </c>
      <c r="K343" s="421">
        <v>7</v>
      </c>
      <c r="L343" s="421">
        <v>120</v>
      </c>
      <c r="M343" s="433">
        <v>9.0209999999999995E-3</v>
      </c>
      <c r="N343" s="411">
        <v>0.27500000000000002</v>
      </c>
      <c r="O343" s="398">
        <f>M343/(1-N343)</f>
        <v>1.2442758620689654E-2</v>
      </c>
      <c r="P343" s="411">
        <v>0</v>
      </c>
      <c r="Q343" s="412">
        <v>0</v>
      </c>
      <c r="R343" s="398"/>
      <c r="S343" s="411">
        <v>0.04</v>
      </c>
      <c r="T343" s="411"/>
      <c r="U343" s="433">
        <f t="shared" si="47"/>
        <v>1.2940468965517241E-2</v>
      </c>
      <c r="V343" s="433"/>
      <c r="W343" s="432" t="s">
        <v>89</v>
      </c>
      <c r="X343" s="410">
        <v>2016</v>
      </c>
      <c r="Y343" s="410" t="s">
        <v>2246</v>
      </c>
      <c r="Z343" s="410"/>
      <c r="AA343" s="411">
        <v>0.1</v>
      </c>
      <c r="AB343" s="413"/>
      <c r="AC343" s="421" t="s">
        <v>2152</v>
      </c>
      <c r="AD343" s="421" t="s">
        <v>2179</v>
      </c>
      <c r="AE343" s="421" t="s">
        <v>2180</v>
      </c>
      <c r="AF343" s="421" t="s">
        <v>2180</v>
      </c>
      <c r="AG343" s="421" t="s">
        <v>2179</v>
      </c>
      <c r="AH343" s="421" t="s">
        <v>2179</v>
      </c>
      <c r="AI343" s="421" t="s">
        <v>2179</v>
      </c>
      <c r="AJ343" s="418" t="s">
        <v>2181</v>
      </c>
    </row>
    <row r="344" spans="1:36" s="651" customFormat="1">
      <c r="A344" s="299" t="b">
        <v>0</v>
      </c>
      <c r="B344" s="299" t="s">
        <v>2266</v>
      </c>
      <c r="C344" s="299" t="b">
        <f t="shared" si="45"/>
        <v>0</v>
      </c>
      <c r="D344" s="428" t="str">
        <f>IF(C344=FALSE=NAMES!$B$8,"",IF(F344="N/A","N/A",X344&amp;W344&amp;F344&amp;"-"&amp;G344&amp;H344))</f>
        <v>2016USDAnker Verzekeringen n.v.-Temporary Disability illness (100%/7/365D)</v>
      </c>
      <c r="E344" s="429" t="str">
        <f t="shared" si="46"/>
        <v>2016USDAnker Verzekeringen n.v.-Temporary Disability illness (100%/7/365D)</v>
      </c>
      <c r="F344" s="432" t="s">
        <v>7</v>
      </c>
      <c r="G344" s="421" t="s">
        <v>2253</v>
      </c>
      <c r="H344" s="421"/>
      <c r="I344" s="421"/>
      <c r="J344" s="426">
        <v>1</v>
      </c>
      <c r="K344" s="421">
        <v>7</v>
      </c>
      <c r="L344" s="421">
        <v>365</v>
      </c>
      <c r="M344" s="433">
        <v>1.3563E-2</v>
      </c>
      <c r="N344" s="411">
        <v>0.27500000000000002</v>
      </c>
      <c r="O344" s="398">
        <f>M344/(1-N344)</f>
        <v>1.8707586206896554E-2</v>
      </c>
      <c r="P344" s="411">
        <v>0</v>
      </c>
      <c r="Q344" s="412">
        <v>0</v>
      </c>
      <c r="R344" s="398"/>
      <c r="S344" s="411">
        <v>0.04</v>
      </c>
      <c r="T344" s="411"/>
      <c r="U344" s="433">
        <f t="shared" si="47"/>
        <v>1.9455889655172417E-2</v>
      </c>
      <c r="V344" s="433"/>
      <c r="W344" s="432" t="s">
        <v>89</v>
      </c>
      <c r="X344" s="410">
        <v>2016</v>
      </c>
      <c r="Y344" s="410" t="s">
        <v>2246</v>
      </c>
      <c r="Z344" s="410"/>
      <c r="AA344" s="411">
        <v>0.1</v>
      </c>
      <c r="AB344" s="413"/>
      <c r="AC344" s="421" t="s">
        <v>2152</v>
      </c>
      <c r="AD344" s="421" t="s">
        <v>2179</v>
      </c>
      <c r="AE344" s="421" t="s">
        <v>2180</v>
      </c>
      <c r="AF344" s="421" t="s">
        <v>2180</v>
      </c>
      <c r="AG344" s="421" t="s">
        <v>2179</v>
      </c>
      <c r="AH344" s="421" t="s">
        <v>2179</v>
      </c>
      <c r="AI344" s="421" t="s">
        <v>2180</v>
      </c>
      <c r="AJ344" s="418" t="s">
        <v>2181</v>
      </c>
    </row>
    <row r="345" spans="1:36" s="651" customFormat="1">
      <c r="A345" s="299" t="b">
        <v>0</v>
      </c>
      <c r="B345" s="299" t="s">
        <v>2266</v>
      </c>
      <c r="C345" s="299" t="b">
        <f t="shared" si="45"/>
        <v>0</v>
      </c>
      <c r="D345" s="428" t="str">
        <f>IF(C345=FALSE=NAMES!$B$8,"",IF(F345="N/A","N/A",X345&amp;W345&amp;F345&amp;"-"&amp;G345&amp;H345))</f>
        <v>2016USDAnker Verzekeringen n.v.-Temporary Disability illness (100%/28/365D)</v>
      </c>
      <c r="E345" s="429" t="str">
        <f t="shared" si="46"/>
        <v>2016USDAnker Verzekeringen n.v.-Temporary Disability illness (100%/28/365D)</v>
      </c>
      <c r="F345" s="432" t="s">
        <v>7</v>
      </c>
      <c r="G345" s="421" t="s">
        <v>2254</v>
      </c>
      <c r="H345" s="421"/>
      <c r="I345" s="421"/>
      <c r="J345" s="426">
        <v>1</v>
      </c>
      <c r="K345" s="421">
        <v>28</v>
      </c>
      <c r="L345" s="421">
        <v>365</v>
      </c>
      <c r="M345" s="433">
        <v>1.1122E-2</v>
      </c>
      <c r="N345" s="411">
        <v>0.27500000000000002</v>
      </c>
      <c r="O345" s="398">
        <f>M345/(1-N345)</f>
        <v>1.5340689655172414E-2</v>
      </c>
      <c r="P345" s="411">
        <v>0</v>
      </c>
      <c r="Q345" s="412">
        <v>0</v>
      </c>
      <c r="R345" s="398"/>
      <c r="S345" s="411">
        <v>0.04</v>
      </c>
      <c r="T345" s="411"/>
      <c r="U345" s="433">
        <f t="shared" si="47"/>
        <v>1.5954317241379311E-2</v>
      </c>
      <c r="V345" s="433"/>
      <c r="W345" s="432" t="s">
        <v>89</v>
      </c>
      <c r="X345" s="410">
        <v>2016</v>
      </c>
      <c r="Y345" s="410" t="s">
        <v>2246</v>
      </c>
      <c r="Z345" s="410"/>
      <c r="AA345" s="411">
        <v>0.1</v>
      </c>
      <c r="AB345" s="413"/>
      <c r="AC345" s="421"/>
      <c r="AD345" s="421"/>
      <c r="AE345" s="421"/>
      <c r="AF345" s="421"/>
      <c r="AG345" s="421"/>
      <c r="AH345" s="421"/>
      <c r="AI345" s="421"/>
      <c r="AJ345" s="418"/>
    </row>
    <row r="346" spans="1:36" s="651" customFormat="1">
      <c r="A346" s="299" t="b">
        <v>0</v>
      </c>
      <c r="B346" s="299" t="s">
        <v>2266</v>
      </c>
      <c r="C346" s="299" t="b">
        <f t="shared" si="45"/>
        <v>0</v>
      </c>
      <c r="D346" s="428" t="str">
        <f>IF(C346=FALSE=NAMES!$B$8,"",IF(F346="N/A","N/A",X346&amp;W346&amp;F346&amp;"-"&amp;G346&amp;H346))</f>
        <v>2016USDAnker Verzekeringen n.v.-Temporary Disability illness (100%/42/365D)</v>
      </c>
      <c r="E346" s="429" t="str">
        <f t="shared" si="46"/>
        <v>2016USDAnker Verzekeringen n.v.-Temporary Disability illness (100%/42/365D)</v>
      </c>
      <c r="F346" s="432" t="s">
        <v>7</v>
      </c>
      <c r="G346" s="421" t="s">
        <v>2255</v>
      </c>
      <c r="H346" s="421"/>
      <c r="I346" s="421"/>
      <c r="J346" s="426">
        <v>1</v>
      </c>
      <c r="K346" s="421">
        <v>42</v>
      </c>
      <c r="L346" s="421">
        <v>365</v>
      </c>
      <c r="M346" s="433">
        <v>1.0433E-2</v>
      </c>
      <c r="N346" s="411">
        <v>0.27500000000000002</v>
      </c>
      <c r="O346" s="398">
        <f>M346/(1-N346)</f>
        <v>1.4390344827586207E-2</v>
      </c>
      <c r="P346" s="411">
        <v>0</v>
      </c>
      <c r="Q346" s="412">
        <v>0</v>
      </c>
      <c r="R346" s="398"/>
      <c r="S346" s="411">
        <v>0.04</v>
      </c>
      <c r="T346" s="411"/>
      <c r="U346" s="433">
        <f t="shared" si="47"/>
        <v>1.4965958620689656E-2</v>
      </c>
      <c r="V346" s="433"/>
      <c r="W346" s="432" t="s">
        <v>89</v>
      </c>
      <c r="X346" s="410">
        <v>2016</v>
      </c>
      <c r="Y346" s="410" t="s">
        <v>2246</v>
      </c>
      <c r="Z346" s="410"/>
      <c r="AA346" s="411">
        <v>0.1</v>
      </c>
      <c r="AB346" s="413"/>
      <c r="AC346" s="421"/>
      <c r="AD346" s="421"/>
      <c r="AE346" s="421"/>
      <c r="AF346" s="421"/>
      <c r="AG346" s="421"/>
      <c r="AH346" s="421"/>
      <c r="AI346" s="421"/>
      <c r="AJ346" s="418"/>
    </row>
    <row r="347" spans="1:36" s="651" customFormat="1">
      <c r="A347" s="299" t="b">
        <v>0</v>
      </c>
      <c r="B347" s="299" t="s">
        <v>2266</v>
      </c>
      <c r="C347" s="299" t="b">
        <f t="shared" si="45"/>
        <v>0</v>
      </c>
      <c r="D347" s="428" t="str">
        <f>IF(C347=FALSE=NAMES!$B$8,"",IF(F347="N/A","N/A",X347&amp;W347&amp;F347&amp;"-"&amp;G347&amp;H347))</f>
        <v>2016USDAnker Verzekeringen n.v.-Temporary Disability illness (70%/7/365D)</v>
      </c>
      <c r="E347" s="429" t="str">
        <f t="shared" si="46"/>
        <v>2016USDAnker Verzekeringen n.v.-Temporary Disability illness (70%/7/365D)</v>
      </c>
      <c r="F347" s="432" t="s">
        <v>7</v>
      </c>
      <c r="G347" s="421" t="s">
        <v>2256</v>
      </c>
      <c r="H347" s="421"/>
      <c r="I347" s="421"/>
      <c r="J347" s="426">
        <v>0.7</v>
      </c>
      <c r="K347" s="421">
        <v>7</v>
      </c>
      <c r="L347" s="421">
        <v>365</v>
      </c>
      <c r="M347" s="433">
        <v>1.1122E-2</v>
      </c>
      <c r="N347" s="411">
        <v>0.27500000000000002</v>
      </c>
      <c r="O347" s="398">
        <f>M347/(1-N347)</f>
        <v>1.5340689655172414E-2</v>
      </c>
      <c r="P347" s="411">
        <v>0</v>
      </c>
      <c r="Q347" s="412">
        <v>0</v>
      </c>
      <c r="R347" s="398"/>
      <c r="S347" s="411">
        <v>0.04</v>
      </c>
      <c r="T347" s="411"/>
      <c r="U347" s="433">
        <f t="shared" si="47"/>
        <v>1.5954317241379311E-2</v>
      </c>
      <c r="V347" s="433"/>
      <c r="W347" s="432" t="s">
        <v>89</v>
      </c>
      <c r="X347" s="410">
        <v>2016</v>
      </c>
      <c r="Y347" s="410" t="s">
        <v>2246</v>
      </c>
      <c r="Z347" s="410"/>
      <c r="AA347" s="411">
        <v>0.1</v>
      </c>
      <c r="AB347" s="413"/>
      <c r="AC347" s="421"/>
      <c r="AD347" s="421"/>
      <c r="AE347" s="421"/>
      <c r="AF347" s="421"/>
      <c r="AG347" s="421"/>
      <c r="AH347" s="421"/>
      <c r="AI347" s="421"/>
      <c r="AJ347" s="418"/>
    </row>
    <row r="348" spans="1:36" s="651" customFormat="1" ht="15.75" thickBot="1">
      <c r="A348" s="198" t="b">
        <v>0</v>
      </c>
      <c r="B348" s="299" t="s">
        <v>2266</v>
      </c>
      <c r="C348" s="299" t="b">
        <f t="shared" si="45"/>
        <v>0</v>
      </c>
      <c r="D348" s="428" t="str">
        <f>IF(C348=FALSE=NAMES!$B$8,"",IF(F348="N/A","N/A",X348&amp;W348&amp;F348&amp;"-"&amp;G348&amp;H348))</f>
        <v>N/A</v>
      </c>
      <c r="E348" s="429" t="str">
        <f t="shared" si="46"/>
        <v>N/A</v>
      </c>
      <c r="F348" s="435" t="s">
        <v>2236</v>
      </c>
      <c r="G348" s="435" t="s">
        <v>2120</v>
      </c>
      <c r="H348" s="404"/>
      <c r="I348" s="404"/>
      <c r="J348" s="404"/>
      <c r="K348" s="404"/>
      <c r="L348" s="404"/>
      <c r="M348" s="406"/>
      <c r="N348" s="407"/>
      <c r="O348" s="406"/>
      <c r="P348" s="406"/>
      <c r="Q348" s="1358"/>
      <c r="R348" s="1358"/>
      <c r="S348" s="407"/>
      <c r="T348" s="407"/>
      <c r="U348" s="406" t="str">
        <f t="shared" si="47"/>
        <v/>
      </c>
      <c r="V348" s="406"/>
      <c r="W348" s="403"/>
      <c r="X348" s="408"/>
      <c r="Y348" s="408"/>
      <c r="Z348" s="695"/>
      <c r="AA348" s="406"/>
      <c r="AB348" s="436"/>
      <c r="AC348" s="404"/>
      <c r="AD348" s="404"/>
      <c r="AE348" s="404"/>
      <c r="AF348" s="404"/>
      <c r="AG348" s="404"/>
      <c r="AH348" s="404"/>
      <c r="AI348" s="404"/>
      <c r="AJ348" s="327"/>
    </row>
    <row r="349" spans="1:36" s="651" customFormat="1" ht="45">
      <c r="A349" s="299" t="b">
        <v>0</v>
      </c>
      <c r="B349" s="429" t="s">
        <v>2236</v>
      </c>
      <c r="C349" s="299" t="str">
        <f t="shared" si="45"/>
        <v/>
      </c>
      <c r="D349" s="394" t="s">
        <v>2117</v>
      </c>
      <c r="E349" s="427"/>
      <c r="F349" s="427"/>
      <c r="G349" s="415" t="s">
        <v>2118</v>
      </c>
      <c r="H349" s="415" t="s">
        <v>2238</v>
      </c>
      <c r="I349" s="415" t="s">
        <v>2224</v>
      </c>
      <c r="J349" s="415" t="s">
        <v>1153</v>
      </c>
      <c r="K349" s="416" t="s">
        <v>2239</v>
      </c>
      <c r="L349" s="416" t="s">
        <v>2113</v>
      </c>
      <c r="M349" s="417" t="s">
        <v>2234</v>
      </c>
      <c r="N349" s="416"/>
      <c r="O349" s="416" t="s">
        <v>2235</v>
      </c>
      <c r="P349" s="1360" t="s">
        <v>23</v>
      </c>
      <c r="Q349" s="416"/>
      <c r="R349" s="416"/>
      <c r="S349" s="416" t="s">
        <v>2237</v>
      </c>
      <c r="T349" s="416"/>
      <c r="U349" s="416" t="s">
        <v>2241</v>
      </c>
      <c r="V349" s="416"/>
      <c r="W349" s="416" t="s">
        <v>2119</v>
      </c>
      <c r="X349" s="415" t="s">
        <v>2240</v>
      </c>
      <c r="Y349" s="415"/>
      <c r="Z349" s="415"/>
      <c r="AA349" s="400" t="s">
        <v>2265</v>
      </c>
      <c r="AB349" s="415"/>
      <c r="AC349" s="415" t="s">
        <v>2151</v>
      </c>
      <c r="AD349" s="415" t="s">
        <v>30</v>
      </c>
      <c r="AE349" s="416" t="s">
        <v>137</v>
      </c>
      <c r="AF349" s="416" t="s">
        <v>92</v>
      </c>
      <c r="AG349" s="416" t="s">
        <v>1784</v>
      </c>
      <c r="AH349" s="416" t="s">
        <v>90</v>
      </c>
      <c r="AI349" s="416" t="s">
        <v>91</v>
      </c>
      <c r="AJ349" s="418"/>
    </row>
    <row r="350" spans="1:36" s="651" customFormat="1">
      <c r="A350" s="299" t="b">
        <v>0</v>
      </c>
      <c r="B350" s="299" t="s">
        <v>2267</v>
      </c>
      <c r="C350" s="299" t="b">
        <f t="shared" si="45"/>
        <v>1</v>
      </c>
      <c r="D350" s="428" t="str">
        <f>IF(C350=FALSE=NAMES!$B$8,"",IF(F350="N/A","N/A",X350&amp;W350&amp;F350&amp;"-"&amp;G350&amp;H350))</f>
        <v/>
      </c>
      <c r="E350" s="429" t="str">
        <f t="shared" ref="E350:E365" si="48">IF(F350="N/A","N/A",X350&amp;W350&amp;F350&amp;"-"&amp;G350&amp;H350)</f>
        <v>N/A</v>
      </c>
      <c r="F350" s="429" t="s">
        <v>2236</v>
      </c>
      <c r="G350" s="429" t="s">
        <v>2120</v>
      </c>
      <c r="H350" s="421"/>
      <c r="I350" s="421"/>
      <c r="J350" s="421"/>
      <c r="K350" s="421"/>
      <c r="L350" s="421"/>
      <c r="M350" s="433"/>
      <c r="N350" s="411"/>
      <c r="O350" s="433"/>
      <c r="P350" s="433"/>
      <c r="Q350" s="433"/>
      <c r="R350" s="433"/>
      <c r="S350" s="411"/>
      <c r="T350" s="411"/>
      <c r="U350" s="433"/>
      <c r="V350" s="433"/>
      <c r="W350" s="432"/>
      <c r="X350" s="410"/>
      <c r="Y350" s="410"/>
      <c r="Z350" s="410"/>
      <c r="AA350" s="433"/>
      <c r="AB350" s="413"/>
      <c r="AC350" s="421"/>
      <c r="AD350" s="421"/>
      <c r="AE350" s="421"/>
      <c r="AF350" s="421"/>
      <c r="AG350" s="421"/>
      <c r="AH350" s="421"/>
      <c r="AI350" s="421"/>
      <c r="AJ350" s="418"/>
    </row>
    <row r="351" spans="1:36" s="651" customFormat="1">
      <c r="A351" s="299" t="b">
        <v>0</v>
      </c>
      <c r="B351" s="299" t="s">
        <v>2267</v>
      </c>
      <c r="C351" s="299" t="b">
        <f t="shared" si="45"/>
        <v>1</v>
      </c>
      <c r="D351" s="428" t="str">
        <f>IF(C351=FALSE=NAMES!$B$8,"",IF(F351="N/A","N/A",X351&amp;W351&amp;F351&amp;"-"&amp;G351&amp;H351))</f>
        <v/>
      </c>
      <c r="E351" s="429" t="str">
        <f t="shared" si="48"/>
        <v>2015USDAnker Verzekeringen n.v.-Temporary Disability illness (100%/7/120D)</v>
      </c>
      <c r="F351" s="432" t="s">
        <v>7</v>
      </c>
      <c r="G351" s="421" t="s">
        <v>2252</v>
      </c>
      <c r="H351" s="421"/>
      <c r="I351" s="421"/>
      <c r="J351" s="426">
        <v>1</v>
      </c>
      <c r="K351" s="421">
        <v>7</v>
      </c>
      <c r="L351" s="421">
        <v>120</v>
      </c>
      <c r="M351" s="433">
        <v>6.9389999999999999E-3</v>
      </c>
      <c r="N351" s="411">
        <v>0.27500000000000002</v>
      </c>
      <c r="O351" s="398">
        <f>M351/(1-N351)</f>
        <v>9.5710344827586204E-3</v>
      </c>
      <c r="P351" s="411">
        <v>0</v>
      </c>
      <c r="Q351" s="412">
        <v>0</v>
      </c>
      <c r="R351" s="398"/>
      <c r="S351" s="411">
        <v>0.04</v>
      </c>
      <c r="T351" s="411"/>
      <c r="U351" s="433">
        <v>9.9538400000000003E-3</v>
      </c>
      <c r="V351" s="433"/>
      <c r="W351" s="432" t="s">
        <v>89</v>
      </c>
      <c r="X351" s="410">
        <v>2015</v>
      </c>
      <c r="Y351" s="410" t="s">
        <v>2246</v>
      </c>
      <c r="Z351" s="410"/>
      <c r="AA351" s="411">
        <v>0.1</v>
      </c>
      <c r="AB351" s="413"/>
      <c r="AC351" s="421" t="s">
        <v>2152</v>
      </c>
      <c r="AD351" s="421" t="s">
        <v>2179</v>
      </c>
      <c r="AE351" s="421" t="s">
        <v>2180</v>
      </c>
      <c r="AF351" s="421" t="s">
        <v>2180</v>
      </c>
      <c r="AG351" s="421" t="s">
        <v>2179</v>
      </c>
      <c r="AH351" s="421" t="s">
        <v>2179</v>
      </c>
      <c r="AI351" s="421" t="s">
        <v>2179</v>
      </c>
      <c r="AJ351" s="418" t="s">
        <v>2181</v>
      </c>
    </row>
    <row r="352" spans="1:36" s="651" customFormat="1">
      <c r="A352" s="299" t="b">
        <v>0</v>
      </c>
      <c r="B352" s="299" t="s">
        <v>2267</v>
      </c>
      <c r="C352" s="299" t="b">
        <f t="shared" si="45"/>
        <v>1</v>
      </c>
      <c r="D352" s="428" t="str">
        <f>IF(C352=FALSE=NAMES!$B$8,"",IF(F352="N/A","N/A",X352&amp;W352&amp;F352&amp;"-"&amp;G352&amp;H352))</f>
        <v/>
      </c>
      <c r="E352" s="429" t="str">
        <f t="shared" si="48"/>
        <v>2015EURAnker Verzekeringen n.v.-Temporary Disability illness (100%/7/120D)</v>
      </c>
      <c r="F352" s="432" t="s">
        <v>7</v>
      </c>
      <c r="G352" s="421" t="s">
        <v>2252</v>
      </c>
      <c r="H352" s="421"/>
      <c r="I352" s="421"/>
      <c r="J352" s="426">
        <v>1</v>
      </c>
      <c r="K352" s="421">
        <v>7</v>
      </c>
      <c r="L352" s="421">
        <v>120</v>
      </c>
      <c r="M352" s="433">
        <v>6.0210000000000003E-3</v>
      </c>
      <c r="N352" s="411">
        <v>0.27500000000000002</v>
      </c>
      <c r="O352" s="398">
        <f>M352/(1-N352)</f>
        <v>8.304827586206898E-3</v>
      </c>
      <c r="P352" s="411">
        <v>0</v>
      </c>
      <c r="Q352" s="412">
        <v>0</v>
      </c>
      <c r="R352" s="398"/>
      <c r="S352" s="411">
        <v>0.04</v>
      </c>
      <c r="T352" s="411"/>
      <c r="U352" s="433">
        <v>8.6371999999999994E-3</v>
      </c>
      <c r="V352" s="433"/>
      <c r="W352" s="432" t="s">
        <v>33</v>
      </c>
      <c r="X352" s="410">
        <v>2015</v>
      </c>
      <c r="Y352" s="410" t="s">
        <v>2246</v>
      </c>
      <c r="Z352" s="410"/>
      <c r="AA352" s="411">
        <v>0.1</v>
      </c>
      <c r="AB352" s="413"/>
      <c r="AC352" s="421" t="s">
        <v>2152</v>
      </c>
      <c r="AD352" s="421" t="s">
        <v>2179</v>
      </c>
      <c r="AE352" s="421" t="s">
        <v>2180</v>
      </c>
      <c r="AF352" s="421" t="s">
        <v>2180</v>
      </c>
      <c r="AG352" s="421" t="s">
        <v>2179</v>
      </c>
      <c r="AH352" s="421" t="s">
        <v>2179</v>
      </c>
      <c r="AI352" s="421" t="s">
        <v>2179</v>
      </c>
      <c r="AJ352" s="418" t="s">
        <v>2181</v>
      </c>
    </row>
    <row r="353" spans="1:36" s="651" customFormat="1">
      <c r="A353" s="299" t="b">
        <v>0</v>
      </c>
      <c r="B353" s="299" t="s">
        <v>2267</v>
      </c>
      <c r="C353" s="299" t="b">
        <f t="shared" si="45"/>
        <v>1</v>
      </c>
      <c r="D353" s="428" t="str">
        <f>IF(C353=FALSE=NAMES!$B$8,"",IF(F353="N/A","N/A",X353&amp;W353&amp;F353&amp;"-"&amp;G353&amp;H353))</f>
        <v/>
      </c>
      <c r="E353" s="429" t="str">
        <f t="shared" si="48"/>
        <v>2015USDAnker Verzekeringen n.v.-Temporary Disability illness (100%/7/365D)</v>
      </c>
      <c r="F353" s="432" t="s">
        <v>7</v>
      </c>
      <c r="G353" s="421" t="s">
        <v>2253</v>
      </c>
      <c r="H353" s="421"/>
      <c r="I353" s="421"/>
      <c r="J353" s="426">
        <v>1</v>
      </c>
      <c r="K353" s="421">
        <v>7</v>
      </c>
      <c r="L353" s="421">
        <v>365</v>
      </c>
      <c r="M353" s="433">
        <v>1.0433E-2</v>
      </c>
      <c r="N353" s="411">
        <v>0.27500000000000002</v>
      </c>
      <c r="O353" s="398">
        <f>M353/(1-N353)</f>
        <v>1.4390344827586207E-2</v>
      </c>
      <c r="P353" s="411">
        <v>0</v>
      </c>
      <c r="Q353" s="412">
        <v>0</v>
      </c>
      <c r="R353" s="398"/>
      <c r="S353" s="411">
        <v>0.04</v>
      </c>
      <c r="T353" s="411"/>
      <c r="U353" s="433">
        <v>1.4965600000000001E-2</v>
      </c>
      <c r="V353" s="433"/>
      <c r="W353" s="432" t="s">
        <v>89</v>
      </c>
      <c r="X353" s="410">
        <v>2015</v>
      </c>
      <c r="Y353" s="410" t="s">
        <v>2246</v>
      </c>
      <c r="Z353" s="410"/>
      <c r="AA353" s="411">
        <v>0.1</v>
      </c>
      <c r="AB353" s="413"/>
      <c r="AC353" s="421" t="s">
        <v>2152</v>
      </c>
      <c r="AD353" s="421" t="s">
        <v>2179</v>
      </c>
      <c r="AE353" s="421" t="s">
        <v>2180</v>
      </c>
      <c r="AF353" s="421" t="s">
        <v>2180</v>
      </c>
      <c r="AG353" s="421" t="s">
        <v>2179</v>
      </c>
      <c r="AH353" s="421" t="s">
        <v>2179</v>
      </c>
      <c r="AI353" s="421" t="s">
        <v>2180</v>
      </c>
      <c r="AJ353" s="418" t="s">
        <v>2181</v>
      </c>
    </row>
    <row r="354" spans="1:36" s="651" customFormat="1">
      <c r="A354" s="419" t="b">
        <v>1</v>
      </c>
      <c r="B354" s="299" t="s">
        <v>2267</v>
      </c>
      <c r="C354" s="299" t="b">
        <f t="shared" si="45"/>
        <v>1</v>
      </c>
      <c r="D354" s="428" t="str">
        <f>IF(C354=FALSE=NAMES!$B$8,"",IF(F354="N/A","N/A",X354&amp;W354&amp;F354&amp;"-"&amp;G354&amp;H354))</f>
        <v/>
      </c>
      <c r="E354" s="429" t="str">
        <f t="shared" si="48"/>
        <v>2015EURAnker Verzekeringen n.v.-Temporary Disability illness (100%/7/365D)</v>
      </c>
      <c r="F354" s="432" t="s">
        <v>7</v>
      </c>
      <c r="G354" s="421" t="s">
        <v>2253</v>
      </c>
      <c r="H354" s="421"/>
      <c r="I354" s="421"/>
      <c r="J354" s="426">
        <v>1</v>
      </c>
      <c r="K354" s="421">
        <v>7</v>
      </c>
      <c r="L354" s="421">
        <v>365</v>
      </c>
      <c r="M354" s="433">
        <v>9.044E-3</v>
      </c>
      <c r="N354" s="411">
        <v>0.27500000000000002</v>
      </c>
      <c r="O354" s="398">
        <f>M354/(1-N354)</f>
        <v>1.2474482758620689E-2</v>
      </c>
      <c r="P354" s="411">
        <v>0</v>
      </c>
      <c r="Q354" s="412">
        <v>0</v>
      </c>
      <c r="R354" s="398"/>
      <c r="S354" s="411">
        <v>0.04</v>
      </c>
      <c r="T354" s="411"/>
      <c r="U354" s="433">
        <v>1.297296E-2</v>
      </c>
      <c r="V354" s="433"/>
      <c r="W354" s="432" t="s">
        <v>33</v>
      </c>
      <c r="X354" s="410">
        <v>2015</v>
      </c>
      <c r="Y354" s="410" t="s">
        <v>2246</v>
      </c>
      <c r="Z354" s="410"/>
      <c r="AA354" s="411">
        <v>0.1</v>
      </c>
      <c r="AB354" s="413"/>
      <c r="AC354" s="421" t="s">
        <v>2152</v>
      </c>
      <c r="AD354" s="421" t="s">
        <v>2179</v>
      </c>
      <c r="AE354" s="421" t="s">
        <v>2180</v>
      </c>
      <c r="AF354" s="421" t="s">
        <v>2180</v>
      </c>
      <c r="AG354" s="421" t="s">
        <v>2179</v>
      </c>
      <c r="AH354" s="421" t="s">
        <v>2179</v>
      </c>
      <c r="AI354" s="421" t="s">
        <v>2180</v>
      </c>
      <c r="AJ354" s="418" t="s">
        <v>2181</v>
      </c>
    </row>
    <row r="355" spans="1:36" s="651" customFormat="1">
      <c r="A355" s="299" t="b">
        <v>0</v>
      </c>
      <c r="B355" s="299" t="s">
        <v>2267</v>
      </c>
      <c r="C355" s="299" t="b">
        <f t="shared" si="45"/>
        <v>1</v>
      </c>
      <c r="D355" s="428" t="str">
        <f>IF(C355=FALSE=NAMES!$B$8,"",IF(F355="N/A","N/A",X355&amp;W355&amp;F355&amp;"-"&amp;G355&amp;H355))</f>
        <v/>
      </c>
      <c r="E355" s="429" t="str">
        <f t="shared" si="48"/>
        <v>N/A</v>
      </c>
      <c r="F355" s="429" t="s">
        <v>2236</v>
      </c>
      <c r="G355" s="429" t="s">
        <v>2120</v>
      </c>
      <c r="H355" s="421"/>
      <c r="I355" s="421"/>
      <c r="J355" s="421"/>
      <c r="K355" s="421"/>
      <c r="L355" s="421"/>
      <c r="M355" s="433"/>
      <c r="N355" s="411"/>
      <c r="O355" s="433"/>
      <c r="P355" s="411">
        <v>0</v>
      </c>
      <c r="Q355" s="412">
        <v>0</v>
      </c>
      <c r="R355" s="433"/>
      <c r="S355" s="411"/>
      <c r="T355" s="411"/>
      <c r="U355" s="433"/>
      <c r="V355" s="433"/>
      <c r="W355" s="432"/>
      <c r="X355" s="410"/>
      <c r="Y355" s="410"/>
      <c r="Z355" s="410"/>
      <c r="AA355" s="433"/>
      <c r="AB355" s="413"/>
      <c r="AC355" s="421"/>
      <c r="AD355" s="421"/>
      <c r="AE355" s="421"/>
      <c r="AF355" s="421"/>
      <c r="AG355" s="421"/>
      <c r="AH355" s="421"/>
      <c r="AI355" s="421"/>
      <c r="AJ355" s="418"/>
    </row>
    <row r="356" spans="1:36" s="651" customFormat="1">
      <c r="A356" s="299" t="b">
        <v>0</v>
      </c>
      <c r="B356" s="299" t="s">
        <v>2267</v>
      </c>
      <c r="C356" s="299" t="b">
        <f t="shared" si="45"/>
        <v>1</v>
      </c>
      <c r="D356" s="428" t="str">
        <f>IF(C356=FALSE=NAMES!$B$8,"",IF(F356="N/A","N/A",X356&amp;W356&amp;F356&amp;"-"&amp;G356&amp;H356))</f>
        <v/>
      </c>
      <c r="E356" s="429" t="str">
        <f t="shared" si="48"/>
        <v>2014USDAnker Verzekeringen n.v.-Temporary Disability illness (100%/7/120D)</v>
      </c>
      <c r="F356" s="432" t="s">
        <v>7</v>
      </c>
      <c r="G356" s="421" t="s">
        <v>2252</v>
      </c>
      <c r="H356" s="421"/>
      <c r="I356" s="421"/>
      <c r="J356" s="426">
        <v>1</v>
      </c>
      <c r="K356" s="421">
        <v>7</v>
      </c>
      <c r="L356" s="421">
        <v>120</v>
      </c>
      <c r="M356" s="433">
        <v>6.8700000000000002E-3</v>
      </c>
      <c r="N356" s="411">
        <v>0.25</v>
      </c>
      <c r="O356" s="433">
        <v>9.4160000000000008E-3</v>
      </c>
      <c r="P356" s="411">
        <v>0</v>
      </c>
      <c r="Q356" s="412">
        <v>0</v>
      </c>
      <c r="R356" s="433"/>
      <c r="S356" s="411">
        <v>0.04</v>
      </c>
      <c r="T356" s="411"/>
      <c r="U356" s="433">
        <v>9.7926400000000018E-3</v>
      </c>
      <c r="V356" s="433"/>
      <c r="W356" s="432" t="s">
        <v>89</v>
      </c>
      <c r="X356" s="410">
        <v>2014</v>
      </c>
      <c r="Y356" s="410" t="s">
        <v>2246</v>
      </c>
      <c r="Z356" s="410"/>
      <c r="AA356" s="411">
        <v>0.1</v>
      </c>
      <c r="AB356" s="413"/>
      <c r="AC356" s="421" t="s">
        <v>2152</v>
      </c>
      <c r="AD356" s="421" t="s">
        <v>2179</v>
      </c>
      <c r="AE356" s="421" t="s">
        <v>2179</v>
      </c>
      <c r="AF356" s="421" t="s">
        <v>2180</v>
      </c>
      <c r="AG356" s="421" t="s">
        <v>2179</v>
      </c>
      <c r="AH356" s="421" t="s">
        <v>2179</v>
      </c>
      <c r="AI356" s="421" t="s">
        <v>2179</v>
      </c>
      <c r="AJ356" s="418" t="s">
        <v>2181</v>
      </c>
    </row>
    <row r="357" spans="1:36" s="651" customFormat="1">
      <c r="A357" s="299" t="b">
        <v>0</v>
      </c>
      <c r="B357" s="299" t="s">
        <v>2267</v>
      </c>
      <c r="C357" s="299" t="b">
        <f t="shared" si="45"/>
        <v>1</v>
      </c>
      <c r="D357" s="428" t="str">
        <f>IF(C357=FALSE=NAMES!$B$8,"",IF(F357="N/A","N/A",X357&amp;W357&amp;F357&amp;"-"&amp;G357&amp;H357))</f>
        <v/>
      </c>
      <c r="E357" s="429" t="str">
        <f t="shared" si="48"/>
        <v>2014EURAnker Verzekeringen n.v.-Temporary Disability illness (100%/7/120D)</v>
      </c>
      <c r="F357" s="432" t="s">
        <v>7</v>
      </c>
      <c r="G357" s="421" t="s">
        <v>2252</v>
      </c>
      <c r="H357" s="421"/>
      <c r="I357" s="421"/>
      <c r="J357" s="426">
        <v>1</v>
      </c>
      <c r="K357" s="421">
        <v>7</v>
      </c>
      <c r="L357" s="421">
        <v>120</v>
      </c>
      <c r="M357" s="433">
        <v>5.96E-3</v>
      </c>
      <c r="N357" s="411">
        <v>0.25</v>
      </c>
      <c r="O357" s="433">
        <v>8.1700000000000002E-3</v>
      </c>
      <c r="P357" s="411">
        <v>0</v>
      </c>
      <c r="Q357" s="412">
        <v>0</v>
      </c>
      <c r="R357" s="433"/>
      <c r="S357" s="411">
        <v>0.04</v>
      </c>
      <c r="T357" s="411"/>
      <c r="U357" s="433">
        <v>8.4968000000000005E-3</v>
      </c>
      <c r="V357" s="433"/>
      <c r="W357" s="432" t="s">
        <v>33</v>
      </c>
      <c r="X357" s="410">
        <v>2014</v>
      </c>
      <c r="Y357" s="410" t="s">
        <v>2246</v>
      </c>
      <c r="Z357" s="410"/>
      <c r="AA357" s="411">
        <v>0.1</v>
      </c>
      <c r="AB357" s="413"/>
      <c r="AC357" s="421" t="s">
        <v>2152</v>
      </c>
      <c r="AD357" s="421" t="s">
        <v>2179</v>
      </c>
      <c r="AE357" s="421" t="s">
        <v>2179</v>
      </c>
      <c r="AF357" s="421" t="s">
        <v>2180</v>
      </c>
      <c r="AG357" s="421" t="s">
        <v>2179</v>
      </c>
      <c r="AH357" s="421" t="s">
        <v>2179</v>
      </c>
      <c r="AI357" s="421" t="s">
        <v>2179</v>
      </c>
      <c r="AJ357" s="418" t="s">
        <v>2181</v>
      </c>
    </row>
    <row r="358" spans="1:36" s="651" customFormat="1">
      <c r="A358" s="299" t="b">
        <v>0</v>
      </c>
      <c r="B358" s="299" t="s">
        <v>2267</v>
      </c>
      <c r="C358" s="299" t="b">
        <f t="shared" si="45"/>
        <v>1</v>
      </c>
      <c r="D358" s="428" t="str">
        <f>IF(C358=FALSE=NAMES!$B$8,"",IF(F358="N/A","N/A",X358&amp;W358&amp;F358&amp;"-"&amp;G358&amp;H358))</f>
        <v/>
      </c>
      <c r="E358" s="429" t="str">
        <f t="shared" si="48"/>
        <v>2014USDAnker Verzekeringen n.v.-Temporary Disability illness (100%/7/365D)</v>
      </c>
      <c r="F358" s="432" t="s">
        <v>7</v>
      </c>
      <c r="G358" s="421" t="s">
        <v>2253</v>
      </c>
      <c r="H358" s="421"/>
      <c r="I358" s="421"/>
      <c r="J358" s="426">
        <v>1</v>
      </c>
      <c r="K358" s="421">
        <v>7</v>
      </c>
      <c r="L358" s="421">
        <v>365</v>
      </c>
      <c r="M358" s="433">
        <v>1.0330000000000001E-2</v>
      </c>
      <c r="N358" s="411">
        <v>0.25</v>
      </c>
      <c r="O358" s="433">
        <v>1.4158E-2</v>
      </c>
      <c r="P358" s="411">
        <v>0</v>
      </c>
      <c r="Q358" s="412">
        <v>0</v>
      </c>
      <c r="R358" s="433"/>
      <c r="S358" s="411">
        <v>0.04</v>
      </c>
      <c r="T358" s="411"/>
      <c r="U358" s="433">
        <v>1.4724320000000001E-2</v>
      </c>
      <c r="V358" s="433"/>
      <c r="W358" s="432" t="s">
        <v>89</v>
      </c>
      <c r="X358" s="410">
        <v>2014</v>
      </c>
      <c r="Y358" s="410" t="s">
        <v>2246</v>
      </c>
      <c r="Z358" s="410"/>
      <c r="AA358" s="411">
        <v>0.1</v>
      </c>
      <c r="AB358" s="413"/>
      <c r="AC358" s="421" t="s">
        <v>2152</v>
      </c>
      <c r="AD358" s="421" t="s">
        <v>2179</v>
      </c>
      <c r="AE358" s="421" t="s">
        <v>2179</v>
      </c>
      <c r="AF358" s="421" t="s">
        <v>2180</v>
      </c>
      <c r="AG358" s="421" t="s">
        <v>2179</v>
      </c>
      <c r="AH358" s="421" t="s">
        <v>2179</v>
      </c>
      <c r="AI358" s="421" t="s">
        <v>2180</v>
      </c>
      <c r="AJ358" s="418" t="s">
        <v>2181</v>
      </c>
    </row>
    <row r="359" spans="1:36" s="651" customFormat="1">
      <c r="A359" s="299" t="b">
        <v>0</v>
      </c>
      <c r="B359" s="299" t="s">
        <v>2267</v>
      </c>
      <c r="C359" s="299" t="b">
        <f t="shared" si="45"/>
        <v>1</v>
      </c>
      <c r="D359" s="428" t="str">
        <f>IF(C359=FALSE=NAMES!$B$8,"",IF(F359="N/A","N/A",X359&amp;W359&amp;F359&amp;"-"&amp;G359&amp;H359))</f>
        <v/>
      </c>
      <c r="E359" s="429" t="str">
        <f t="shared" si="48"/>
        <v>2014EURAnker Verzekeringen n.v.-Temporary Disability illness (100%/7/365D)</v>
      </c>
      <c r="F359" s="432" t="s">
        <v>7</v>
      </c>
      <c r="G359" s="421" t="s">
        <v>2253</v>
      </c>
      <c r="H359" s="421"/>
      <c r="I359" s="421"/>
      <c r="J359" s="426">
        <v>1</v>
      </c>
      <c r="K359" s="421">
        <v>7</v>
      </c>
      <c r="L359" s="421">
        <v>365</v>
      </c>
      <c r="M359" s="433">
        <v>8.9499999999999996E-3</v>
      </c>
      <c r="N359" s="411">
        <v>0.25</v>
      </c>
      <c r="O359" s="433">
        <v>1.2272E-2</v>
      </c>
      <c r="P359" s="411">
        <v>0</v>
      </c>
      <c r="Q359" s="412">
        <v>0</v>
      </c>
      <c r="R359" s="433"/>
      <c r="S359" s="411">
        <v>0.04</v>
      </c>
      <c r="T359" s="411"/>
      <c r="U359" s="433">
        <v>1.2762880000000001E-2</v>
      </c>
      <c r="V359" s="433"/>
      <c r="W359" s="432" t="s">
        <v>33</v>
      </c>
      <c r="X359" s="410">
        <v>2014</v>
      </c>
      <c r="Y359" s="410" t="s">
        <v>2246</v>
      </c>
      <c r="Z359" s="410"/>
      <c r="AA359" s="411">
        <v>0.1</v>
      </c>
      <c r="AB359" s="413"/>
      <c r="AC359" s="421" t="s">
        <v>2152</v>
      </c>
      <c r="AD359" s="421" t="s">
        <v>2179</v>
      </c>
      <c r="AE359" s="421" t="s">
        <v>2179</v>
      </c>
      <c r="AF359" s="421" t="s">
        <v>2180</v>
      </c>
      <c r="AG359" s="421" t="s">
        <v>2179</v>
      </c>
      <c r="AH359" s="421" t="s">
        <v>2179</v>
      </c>
      <c r="AI359" s="421" t="s">
        <v>2180</v>
      </c>
      <c r="AJ359" s="418" t="s">
        <v>2181</v>
      </c>
    </row>
    <row r="360" spans="1:36" s="651" customFormat="1">
      <c r="A360" s="299" t="b">
        <v>0</v>
      </c>
      <c r="B360" s="299" t="s">
        <v>2267</v>
      </c>
      <c r="C360" s="299" t="b">
        <f t="shared" si="45"/>
        <v>1</v>
      </c>
      <c r="D360" s="428" t="str">
        <f>IF(C360=FALSE=NAMES!$B$8,"",IF(F360="N/A","N/A",X360&amp;W360&amp;F360&amp;"-"&amp;G360&amp;H360))</f>
        <v/>
      </c>
      <c r="E360" s="429" t="str">
        <f t="shared" si="48"/>
        <v>N/A</v>
      </c>
      <c r="F360" s="429" t="s">
        <v>2236</v>
      </c>
      <c r="G360" s="429" t="s">
        <v>2120</v>
      </c>
      <c r="H360" s="421"/>
      <c r="I360" s="421"/>
      <c r="J360" s="421"/>
      <c r="K360" s="421"/>
      <c r="L360" s="421"/>
      <c r="M360" s="433"/>
      <c r="N360" s="411"/>
      <c r="O360" s="433"/>
      <c r="P360" s="411">
        <v>0</v>
      </c>
      <c r="Q360" s="412">
        <v>0</v>
      </c>
      <c r="R360" s="433"/>
      <c r="S360" s="411"/>
      <c r="T360" s="411"/>
      <c r="U360" s="433"/>
      <c r="V360" s="433"/>
      <c r="W360" s="432"/>
      <c r="X360" s="410"/>
      <c r="Y360" s="410"/>
      <c r="Z360" s="410"/>
      <c r="AA360" s="433"/>
      <c r="AB360" s="413"/>
      <c r="AC360" s="421"/>
      <c r="AD360" s="421"/>
      <c r="AE360" s="421"/>
      <c r="AF360" s="421"/>
      <c r="AG360" s="421"/>
      <c r="AH360" s="421"/>
      <c r="AI360" s="421"/>
      <c r="AJ360" s="418"/>
    </row>
    <row r="361" spans="1:36" s="651" customFormat="1">
      <c r="A361" s="299" t="b">
        <v>0</v>
      </c>
      <c r="B361" s="299" t="s">
        <v>2267</v>
      </c>
      <c r="C361" s="299" t="b">
        <f t="shared" si="45"/>
        <v>1</v>
      </c>
      <c r="D361" s="428" t="str">
        <f>IF(C361=FALSE=NAMES!$B$8,"",IF(F361="N/A","N/A",X361&amp;W361&amp;F361&amp;"-"&amp;G361&amp;H361))</f>
        <v/>
      </c>
      <c r="E361" s="429" t="str">
        <f t="shared" si="48"/>
        <v>2013USDAnker Verzekeringen n.v.-Temporary Disability illness (100%/7/120D)</v>
      </c>
      <c r="F361" s="432" t="s">
        <v>7</v>
      </c>
      <c r="G361" s="421" t="s">
        <v>2252</v>
      </c>
      <c r="H361" s="421"/>
      <c r="I361" s="421"/>
      <c r="J361" s="426">
        <v>1</v>
      </c>
      <c r="K361" s="421">
        <v>7</v>
      </c>
      <c r="L361" s="421">
        <v>120</v>
      </c>
      <c r="M361" s="433">
        <v>7.0699999999999999E-3</v>
      </c>
      <c r="N361" s="411">
        <v>0.25</v>
      </c>
      <c r="O361" s="433">
        <v>9.4269999999999996E-3</v>
      </c>
      <c r="P361" s="411">
        <v>0</v>
      </c>
      <c r="Q361" s="412">
        <v>0</v>
      </c>
      <c r="R361" s="433"/>
      <c r="S361" s="411">
        <v>0.04</v>
      </c>
      <c r="T361" s="411"/>
      <c r="U361" s="433">
        <v>9.8040799999999997E-3</v>
      </c>
      <c r="V361" s="433"/>
      <c r="W361" s="432" t="s">
        <v>89</v>
      </c>
      <c r="X361" s="410">
        <v>2013</v>
      </c>
      <c r="Y361" s="410" t="s">
        <v>2246</v>
      </c>
      <c r="Z361" s="410"/>
      <c r="AA361" s="411">
        <v>0.1</v>
      </c>
      <c r="AB361" s="413"/>
      <c r="AC361" s="421" t="s">
        <v>2152</v>
      </c>
      <c r="AD361" s="421" t="s">
        <v>2179</v>
      </c>
      <c r="AE361" s="421" t="s">
        <v>2179</v>
      </c>
      <c r="AF361" s="421" t="s">
        <v>2180</v>
      </c>
      <c r="AG361" s="421" t="s">
        <v>2179</v>
      </c>
      <c r="AH361" s="421" t="s">
        <v>2179</v>
      </c>
      <c r="AI361" s="421" t="s">
        <v>2179</v>
      </c>
      <c r="AJ361" s="418" t="s">
        <v>2181</v>
      </c>
    </row>
    <row r="362" spans="1:36" s="651" customFormat="1">
      <c r="A362" s="299" t="b">
        <v>0</v>
      </c>
      <c r="B362" s="299" t="s">
        <v>2267</v>
      </c>
      <c r="C362" s="299" t="b">
        <f t="shared" si="45"/>
        <v>1</v>
      </c>
      <c r="D362" s="428" t="str">
        <f>IF(C362=FALSE=NAMES!$B$8,"",IF(F362="N/A","N/A",X362&amp;W362&amp;F362&amp;"-"&amp;G362&amp;H362))</f>
        <v/>
      </c>
      <c r="E362" s="429" t="str">
        <f t="shared" si="48"/>
        <v>2013EURAnker Verzekeringen n.v.-Temporary Disability illness (100%/7/120D)</v>
      </c>
      <c r="F362" s="432" t="s">
        <v>7</v>
      </c>
      <c r="G362" s="421" t="s">
        <v>2252</v>
      </c>
      <c r="H362" s="421"/>
      <c r="I362" s="421"/>
      <c r="J362" s="426">
        <v>1</v>
      </c>
      <c r="K362" s="421">
        <v>7</v>
      </c>
      <c r="L362" s="421">
        <v>120</v>
      </c>
      <c r="M362" s="433">
        <v>6.1275000000000001E-3</v>
      </c>
      <c r="N362" s="411">
        <v>0.25</v>
      </c>
      <c r="O362" s="433">
        <v>8.1700000000000002E-3</v>
      </c>
      <c r="P362" s="411">
        <v>0</v>
      </c>
      <c r="Q362" s="412">
        <v>0</v>
      </c>
      <c r="R362" s="433"/>
      <c r="S362" s="411">
        <v>0.04</v>
      </c>
      <c r="T362" s="411"/>
      <c r="U362" s="433">
        <v>8.4968000000000005E-3</v>
      </c>
      <c r="V362" s="433"/>
      <c r="W362" s="432" t="s">
        <v>33</v>
      </c>
      <c r="X362" s="410">
        <v>2013</v>
      </c>
      <c r="Y362" s="410" t="s">
        <v>2246</v>
      </c>
      <c r="Z362" s="410"/>
      <c r="AA362" s="411">
        <v>0.1</v>
      </c>
      <c r="AB362" s="413"/>
      <c r="AC362" s="421" t="s">
        <v>2152</v>
      </c>
      <c r="AD362" s="421" t="s">
        <v>2179</v>
      </c>
      <c r="AE362" s="421" t="s">
        <v>2179</v>
      </c>
      <c r="AF362" s="421" t="s">
        <v>2180</v>
      </c>
      <c r="AG362" s="421" t="s">
        <v>2179</v>
      </c>
      <c r="AH362" s="421" t="s">
        <v>2179</v>
      </c>
      <c r="AI362" s="421" t="s">
        <v>2179</v>
      </c>
      <c r="AJ362" s="418" t="s">
        <v>2181</v>
      </c>
    </row>
    <row r="363" spans="1:36" s="651" customFormat="1">
      <c r="A363" s="299" t="b">
        <v>0</v>
      </c>
      <c r="B363" s="299" t="s">
        <v>2267</v>
      </c>
      <c r="C363" s="299" t="b">
        <f t="shared" si="45"/>
        <v>1</v>
      </c>
      <c r="D363" s="428" t="str">
        <f>IF(C363=FALSE=NAMES!$B$8,"",IF(F363="N/A","N/A",X363&amp;W363&amp;F363&amp;"-"&amp;G363&amp;H363))</f>
        <v/>
      </c>
      <c r="E363" s="429" t="str">
        <f t="shared" si="48"/>
        <v>2013USDAnker Verzekeringen n.v.-Temporary Disability illness (100%/7/365D)</v>
      </c>
      <c r="F363" s="432" t="s">
        <v>7</v>
      </c>
      <c r="G363" s="421" t="s">
        <v>2253</v>
      </c>
      <c r="H363" s="421"/>
      <c r="I363" s="421"/>
      <c r="J363" s="426">
        <v>1</v>
      </c>
      <c r="K363" s="421">
        <v>7</v>
      </c>
      <c r="L363" s="421">
        <v>365</v>
      </c>
      <c r="M363" s="433">
        <v>1.061E-2</v>
      </c>
      <c r="N363" s="411">
        <v>0.25</v>
      </c>
      <c r="O363" s="433">
        <v>1.4147E-2</v>
      </c>
      <c r="P363" s="411">
        <v>0</v>
      </c>
      <c r="Q363" s="412">
        <v>0</v>
      </c>
      <c r="R363" s="433"/>
      <c r="S363" s="411">
        <v>0.04</v>
      </c>
      <c r="T363" s="411"/>
      <c r="U363" s="433">
        <v>1.4712880000000001E-2</v>
      </c>
      <c r="V363" s="433"/>
      <c r="W363" s="432" t="s">
        <v>89</v>
      </c>
      <c r="X363" s="410">
        <v>2013</v>
      </c>
      <c r="Y363" s="410" t="s">
        <v>2246</v>
      </c>
      <c r="Z363" s="410"/>
      <c r="AA363" s="411">
        <v>0.1</v>
      </c>
      <c r="AB363" s="413"/>
      <c r="AC363" s="421" t="s">
        <v>2152</v>
      </c>
      <c r="AD363" s="421" t="s">
        <v>2179</v>
      </c>
      <c r="AE363" s="421" t="s">
        <v>2179</v>
      </c>
      <c r="AF363" s="421" t="s">
        <v>2180</v>
      </c>
      <c r="AG363" s="421" t="s">
        <v>2179</v>
      </c>
      <c r="AH363" s="421" t="s">
        <v>2179</v>
      </c>
      <c r="AI363" s="421" t="s">
        <v>2180</v>
      </c>
      <c r="AJ363" s="418" t="s">
        <v>2181</v>
      </c>
    </row>
    <row r="364" spans="1:36" s="651" customFormat="1">
      <c r="A364" s="299" t="b">
        <v>0</v>
      </c>
      <c r="B364" s="299" t="s">
        <v>2267</v>
      </c>
      <c r="C364" s="299" t="b">
        <f t="shared" si="45"/>
        <v>1</v>
      </c>
      <c r="D364" s="428" t="str">
        <f>IF(C364=FALSE=NAMES!$B$8,"",IF(F364="N/A","N/A",X364&amp;W364&amp;F364&amp;"-"&amp;G364&amp;H364))</f>
        <v/>
      </c>
      <c r="E364" s="429" t="str">
        <f t="shared" si="48"/>
        <v>2013EURAnker Verzekeringen n.v.-Temporary Disability illness (100%/7/365D)</v>
      </c>
      <c r="F364" s="432" t="s">
        <v>7</v>
      </c>
      <c r="G364" s="421" t="s">
        <v>2253</v>
      </c>
      <c r="H364" s="421"/>
      <c r="I364" s="421"/>
      <c r="J364" s="426">
        <v>1</v>
      </c>
      <c r="K364" s="421">
        <v>7</v>
      </c>
      <c r="L364" s="421">
        <v>365</v>
      </c>
      <c r="M364" s="433">
        <v>9.2025000000000006E-3</v>
      </c>
      <c r="N364" s="411">
        <v>0.25</v>
      </c>
      <c r="O364" s="433">
        <v>1.227E-2</v>
      </c>
      <c r="P364" s="411">
        <v>0</v>
      </c>
      <c r="Q364" s="412">
        <v>0</v>
      </c>
      <c r="R364" s="433"/>
      <c r="S364" s="411">
        <v>0.04</v>
      </c>
      <c r="T364" s="411"/>
      <c r="U364" s="433">
        <v>1.2760799999999999E-2</v>
      </c>
      <c r="V364" s="433"/>
      <c r="W364" s="432" t="s">
        <v>33</v>
      </c>
      <c r="X364" s="410">
        <v>2013</v>
      </c>
      <c r="Y364" s="410" t="s">
        <v>2246</v>
      </c>
      <c r="Z364" s="410"/>
      <c r="AA364" s="411">
        <v>0.1</v>
      </c>
      <c r="AB364" s="413"/>
      <c r="AC364" s="421" t="s">
        <v>2152</v>
      </c>
      <c r="AD364" s="421" t="s">
        <v>2179</v>
      </c>
      <c r="AE364" s="421" t="s">
        <v>2179</v>
      </c>
      <c r="AF364" s="421" t="s">
        <v>2180</v>
      </c>
      <c r="AG364" s="421" t="s">
        <v>2179</v>
      </c>
      <c r="AH364" s="421" t="s">
        <v>2179</v>
      </c>
      <c r="AI364" s="421" t="s">
        <v>2180</v>
      </c>
      <c r="AJ364" s="418" t="s">
        <v>2181</v>
      </c>
    </row>
    <row r="365" spans="1:36" s="651" customFormat="1" ht="15.75" thickBot="1">
      <c r="A365" s="420"/>
      <c r="B365" s="299" t="s">
        <v>2267</v>
      </c>
      <c r="C365" s="299" t="b">
        <f t="shared" si="45"/>
        <v>1</v>
      </c>
      <c r="D365" s="428" t="str">
        <f>IF(C365=FALSE=NAMES!$B$8,"",IF(F365="N/A","N/A",X365&amp;W365&amp;F365&amp;"-"&amp;G365&amp;H365))</f>
        <v/>
      </c>
      <c r="E365" s="429" t="str">
        <f t="shared" si="48"/>
        <v>N/A</v>
      </c>
      <c r="F365" s="403" t="s">
        <v>2236</v>
      </c>
      <c r="G365" s="404"/>
      <c r="H365" s="404"/>
      <c r="I365" s="404"/>
      <c r="J365" s="404"/>
      <c r="K365" s="404"/>
      <c r="L365" s="404"/>
      <c r="M365" s="406"/>
      <c r="N365" s="407"/>
      <c r="O365" s="406"/>
      <c r="P365" s="406"/>
      <c r="Q365" s="1358"/>
      <c r="R365" s="1358"/>
      <c r="S365" s="407"/>
      <c r="T365" s="407"/>
      <c r="U365" s="406"/>
      <c r="V365" s="406"/>
      <c r="W365" s="403"/>
      <c r="X365" s="408"/>
      <c r="Y365" s="408"/>
      <c r="Z365" s="695"/>
      <c r="AA365" s="406"/>
      <c r="AB365" s="408"/>
      <c r="AC365" s="404"/>
      <c r="AD365" s="404"/>
      <c r="AE365" s="404"/>
      <c r="AF365" s="404"/>
      <c r="AG365" s="404"/>
      <c r="AH365" s="404"/>
      <c r="AI365" s="404"/>
      <c r="AJ365" s="327"/>
    </row>
    <row r="366" spans="1:36">
      <c r="D366" s="428" t="str">
        <f>IF(C366=FALSE=NAMES!$B$8,"",IF(F366="N/A","N/A",X366&amp;W366&amp;F366&amp;"-"&amp;G366&amp;H366))</f>
        <v>-</v>
      </c>
    </row>
    <row r="367" spans="1:36">
      <c r="D367" s="428" t="str">
        <f>IF(C367=FALSE=NAMES!$B$8,"",IF(F367="N/A","N/A",X367&amp;W367&amp;F367&amp;"-"&amp;G367&amp;H367))</f>
        <v>-</v>
      </c>
    </row>
  </sheetData>
  <autoFilter ref="A4:AJ333"/>
  <sortState ref="A18:BE28">
    <sortCondition ref="H18:H28"/>
  </sortState>
  <pageMargins left="0.70866141732283472" right="0.70866141732283472" top="0.74803149606299213" bottom="0.74803149606299213" header="0.31496062992125984" footer="0.31496062992125984"/>
  <pageSetup paperSize="9" scale="29" orientation="landscape" r:id="rId1"/>
  <headerFooter>
    <oddHeader>&amp;Z&amp;F</oddHeader>
    <oddFooter>&amp;Ljason&amp;CPage &amp;P&amp;R&amp;D</oddFooter>
  </headerFooter>
  <rowBreaks count="8" manualBreakCount="8">
    <brk id="74" max="46" man="1"/>
    <brk id="120" max="46" man="1"/>
    <brk id="166" max="46" man="1"/>
    <brk id="198" max="46" man="1"/>
    <brk id="231" max="46" man="1"/>
    <brk id="271" max="46" man="1"/>
    <brk id="303" max="46" man="1"/>
    <brk id="334" max="46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G22"/>
  <sheetViews>
    <sheetView workbookViewId="0">
      <selection activeCell="L36" sqref="L36"/>
    </sheetView>
  </sheetViews>
  <sheetFormatPr baseColWidth="10" defaultColWidth="9.140625" defaultRowHeight="15"/>
  <cols>
    <col min="1" max="1" width="13" customWidth="1"/>
    <col min="3" max="3" width="22.85546875" customWidth="1"/>
    <col min="6" max="6" width="25.140625" customWidth="1"/>
  </cols>
  <sheetData>
    <row r="1" spans="1:7" s="409" customFormat="1">
      <c r="D1" s="409" t="s">
        <v>2006</v>
      </c>
    </row>
    <row r="2" spans="1:7">
      <c r="A2" s="1732" t="s">
        <v>2298</v>
      </c>
      <c r="B2" s="1738" t="s">
        <v>2165</v>
      </c>
      <c r="C2" s="443" t="s">
        <v>2286</v>
      </c>
      <c r="D2" s="230">
        <v>1</v>
      </c>
      <c r="F2" s="820" t="s">
        <v>2550</v>
      </c>
      <c r="G2" s="230">
        <v>1</v>
      </c>
    </row>
    <row r="3" spans="1:7">
      <c r="A3" s="1733"/>
      <c r="B3" s="1738"/>
      <c r="C3" s="455" t="s">
        <v>2289</v>
      </c>
      <c r="D3" s="230">
        <v>2</v>
      </c>
      <c r="F3" s="820" t="s">
        <v>2647</v>
      </c>
      <c r="G3" s="230">
        <v>2</v>
      </c>
    </row>
    <row r="4" spans="1:7">
      <c r="A4" s="1733"/>
      <c r="B4" s="1738"/>
      <c r="C4" s="443" t="s">
        <v>2169</v>
      </c>
      <c r="D4" s="470">
        <v>3</v>
      </c>
      <c r="F4" s="820" t="s">
        <v>211</v>
      </c>
      <c r="G4" s="470">
        <v>3</v>
      </c>
    </row>
    <row r="5" spans="1:7">
      <c r="A5" s="1734"/>
      <c r="B5" s="1738"/>
      <c r="C5" s="452" t="s">
        <v>2288</v>
      </c>
      <c r="D5" s="230">
        <v>4</v>
      </c>
      <c r="F5" s="820" t="s">
        <v>2648</v>
      </c>
      <c r="G5" s="230">
        <v>4</v>
      </c>
    </row>
    <row r="6" spans="1:7">
      <c r="A6" s="1735" t="s">
        <v>2209</v>
      </c>
      <c r="B6" s="1739" t="s">
        <v>2165</v>
      </c>
      <c r="C6" s="443" t="s">
        <v>2164</v>
      </c>
      <c r="D6" s="230">
        <v>5</v>
      </c>
      <c r="F6" s="820" t="s">
        <v>2649</v>
      </c>
      <c r="G6" s="230">
        <v>5</v>
      </c>
    </row>
    <row r="7" spans="1:7">
      <c r="A7" s="1736"/>
      <c r="B7" s="1739"/>
      <c r="C7" s="452" t="s">
        <v>2287</v>
      </c>
      <c r="D7" s="470">
        <v>6</v>
      </c>
      <c r="F7" s="820" t="s">
        <v>2650</v>
      </c>
      <c r="G7" s="470">
        <v>6</v>
      </c>
    </row>
    <row r="8" spans="1:7">
      <c r="A8" s="1736"/>
      <c r="B8" s="1739"/>
      <c r="C8" s="452" t="s">
        <v>2284</v>
      </c>
      <c r="D8" s="230">
        <v>7</v>
      </c>
      <c r="F8" s="830" t="s">
        <v>207</v>
      </c>
      <c r="G8" s="230">
        <v>7</v>
      </c>
    </row>
    <row r="9" spans="1:7">
      <c r="A9" s="1737"/>
      <c r="B9" s="1739"/>
      <c r="C9" s="452" t="s">
        <v>2285</v>
      </c>
      <c r="D9" s="230">
        <v>8</v>
      </c>
      <c r="F9" s="320" t="s">
        <v>208</v>
      </c>
      <c r="G9" s="230">
        <v>8</v>
      </c>
    </row>
    <row r="10" spans="1:7">
      <c r="A10" s="1729" t="s">
        <v>2295</v>
      </c>
      <c r="B10" s="1739" t="s">
        <v>2165</v>
      </c>
      <c r="C10" s="452" t="s">
        <v>2291</v>
      </c>
      <c r="D10" s="470">
        <v>9</v>
      </c>
      <c r="F10" s="821" t="s">
        <v>209</v>
      </c>
      <c r="G10" s="470">
        <v>9</v>
      </c>
    </row>
    <row r="11" spans="1:7">
      <c r="A11" s="1729"/>
      <c r="B11" s="1739"/>
      <c r="C11" s="452" t="s">
        <v>2292</v>
      </c>
      <c r="D11" s="230">
        <v>10</v>
      </c>
      <c r="F11" s="821" t="s">
        <v>210</v>
      </c>
      <c r="G11" s="230">
        <v>10</v>
      </c>
    </row>
    <row r="12" spans="1:7">
      <c r="A12" s="1729"/>
      <c r="B12" s="1739"/>
      <c r="C12" s="452" t="s">
        <v>2285</v>
      </c>
      <c r="D12" s="230">
        <v>11</v>
      </c>
    </row>
    <row r="13" spans="1:7">
      <c r="A13" s="1729"/>
      <c r="B13" s="1739"/>
      <c r="C13" s="452" t="s">
        <v>58</v>
      </c>
      <c r="D13" s="470">
        <v>12</v>
      </c>
    </row>
    <row r="14" spans="1:7" s="523" customFormat="1">
      <c r="A14" s="1729" t="s">
        <v>2159</v>
      </c>
      <c r="B14" s="1739"/>
      <c r="C14" s="452" t="s">
        <v>2293</v>
      </c>
      <c r="D14" s="470">
        <v>13</v>
      </c>
    </row>
    <row r="15" spans="1:7">
      <c r="A15" s="1946"/>
      <c r="B15" s="1739"/>
      <c r="C15" s="452" t="s">
        <v>2293</v>
      </c>
      <c r="D15" s="230">
        <v>14</v>
      </c>
    </row>
    <row r="16" spans="1:7" s="523" customFormat="1">
      <c r="A16" s="1946"/>
      <c r="B16" s="1739"/>
      <c r="C16" s="452" t="s">
        <v>2293</v>
      </c>
      <c r="D16" s="230">
        <v>15</v>
      </c>
    </row>
    <row r="17" spans="1:4">
      <c r="A17" s="1946"/>
      <c r="B17" s="1739"/>
      <c r="C17" s="452" t="s">
        <v>2294</v>
      </c>
      <c r="D17" s="470">
        <v>16</v>
      </c>
    </row>
    <row r="18" spans="1:4">
      <c r="A18" s="1947"/>
      <c r="B18" s="1739"/>
      <c r="C18" s="452" t="s">
        <v>2143</v>
      </c>
      <c r="D18" s="470">
        <v>17</v>
      </c>
    </row>
    <row r="19" spans="1:4">
      <c r="A19" s="1729" t="s">
        <v>2296</v>
      </c>
      <c r="B19" s="1739"/>
      <c r="C19" s="452" t="s">
        <v>2269</v>
      </c>
      <c r="D19" s="230">
        <v>18</v>
      </c>
    </row>
    <row r="20" spans="1:4">
      <c r="A20" s="1729"/>
      <c r="B20" s="1739"/>
      <c r="C20" s="452" t="s">
        <v>2270</v>
      </c>
      <c r="D20" s="230">
        <v>19</v>
      </c>
    </row>
    <row r="21" spans="1:4">
      <c r="A21" s="1729"/>
      <c r="B21" s="1739"/>
      <c r="C21" s="464" t="s">
        <v>34</v>
      </c>
      <c r="D21" s="470">
        <v>20</v>
      </c>
    </row>
    <row r="22" spans="1:4">
      <c r="C22" s="541" t="s">
        <v>2365</v>
      </c>
      <c r="D22" s="470">
        <v>21</v>
      </c>
    </row>
  </sheetData>
  <mergeCells count="8">
    <mergeCell ref="A2:A5"/>
    <mergeCell ref="B2:B5"/>
    <mergeCell ref="A6:A9"/>
    <mergeCell ref="B6:B9"/>
    <mergeCell ref="A10:A13"/>
    <mergeCell ref="B10:B21"/>
    <mergeCell ref="A19:A21"/>
    <mergeCell ref="A14:A18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Q7"/>
  <sheetViews>
    <sheetView workbookViewId="0">
      <selection activeCell="K11" sqref="K11"/>
    </sheetView>
  </sheetViews>
  <sheetFormatPr baseColWidth="10" defaultColWidth="11.42578125" defaultRowHeight="15"/>
  <sheetData>
    <row r="1" spans="1:17" s="688" customFormat="1" ht="21" customHeight="1">
      <c r="A1" s="1949" t="s">
        <v>2531</v>
      </c>
      <c r="B1" s="1949"/>
      <c r="C1" s="1949"/>
      <c r="D1" s="1949"/>
      <c r="E1" s="1949"/>
      <c r="G1" s="1950" t="s">
        <v>2532</v>
      </c>
      <c r="H1" s="1951"/>
      <c r="I1" s="1951"/>
      <c r="J1" s="1951"/>
      <c r="K1" s="1952"/>
    </row>
    <row r="2" spans="1:17" s="688" customFormat="1" ht="21" customHeight="1" thickBot="1">
      <c r="A2" s="1949"/>
      <c r="B2" s="1949"/>
      <c r="C2" s="1949"/>
      <c r="D2" s="1949"/>
      <c r="E2" s="1949"/>
      <c r="G2" s="1953"/>
      <c r="H2" s="1954"/>
      <c r="I2" s="1954"/>
      <c r="J2" s="1954"/>
      <c r="K2" s="1955"/>
    </row>
    <row r="3" spans="1:17" s="688" customFormat="1"/>
    <row r="4" spans="1:17" s="688" customFormat="1" ht="15.75" customHeight="1">
      <c r="G4" s="1956" t="s">
        <v>2533</v>
      </c>
      <c r="H4" s="1956"/>
      <c r="I4" s="1956"/>
      <c r="J4" s="1956"/>
      <c r="K4" s="1956"/>
      <c r="M4" s="1956" t="s">
        <v>2534</v>
      </c>
      <c r="N4" s="1956"/>
      <c r="O4" s="1956"/>
      <c r="P4" s="1956"/>
      <c r="Q4" s="1956"/>
    </row>
    <row r="5" spans="1:17" s="688" customFormat="1" ht="15" customHeight="1">
      <c r="G5" s="1956"/>
      <c r="H5" s="1956"/>
      <c r="I5" s="1956"/>
      <c r="J5" s="1956"/>
      <c r="K5" s="1956"/>
      <c r="M5" s="1956"/>
      <c r="N5" s="1956"/>
      <c r="O5" s="1956"/>
      <c r="P5" s="1956"/>
      <c r="Q5" s="1956"/>
    </row>
    <row r="6" spans="1:17" s="688" customFormat="1">
      <c r="G6" s="1957" t="s">
        <v>2535</v>
      </c>
      <c r="H6" s="1957"/>
      <c r="I6" s="1957"/>
      <c r="J6" s="689" t="s">
        <v>2536</v>
      </c>
      <c r="K6" s="689" t="s">
        <v>2537</v>
      </c>
      <c r="M6" s="1957" t="s">
        <v>2535</v>
      </c>
      <c r="N6" s="1957"/>
      <c r="O6" s="1957"/>
      <c r="P6" s="689" t="s">
        <v>2536</v>
      </c>
      <c r="Q6" s="689" t="s">
        <v>2537</v>
      </c>
    </row>
    <row r="7" spans="1:17" s="688" customFormat="1" ht="30.75" customHeight="1">
      <c r="G7" s="1948" t="s">
        <v>2538</v>
      </c>
      <c r="H7" s="1948"/>
      <c r="I7" s="1948"/>
      <c r="J7" s="279">
        <v>500</v>
      </c>
      <c r="K7" s="690">
        <v>500</v>
      </c>
      <c r="M7" s="1948" t="s">
        <v>2539</v>
      </c>
      <c r="N7" s="1948"/>
      <c r="O7" s="1948"/>
      <c r="P7" s="688" t="s">
        <v>2540</v>
      </c>
      <c r="Q7" s="690" t="s">
        <v>2540</v>
      </c>
    </row>
  </sheetData>
  <mergeCells count="8">
    <mergeCell ref="G7:I7"/>
    <mergeCell ref="M7:O7"/>
    <mergeCell ref="A1:E2"/>
    <mergeCell ref="G1:K2"/>
    <mergeCell ref="G4:K5"/>
    <mergeCell ref="M4:Q5"/>
    <mergeCell ref="G6:I6"/>
    <mergeCell ref="M6:O6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D34"/>
  <sheetViews>
    <sheetView workbookViewId="0">
      <selection activeCell="D8" sqref="D8"/>
    </sheetView>
  </sheetViews>
  <sheetFormatPr baseColWidth="10" defaultColWidth="11.42578125" defaultRowHeight="15"/>
  <sheetData>
    <row r="1" spans="1:4" s="941" customFormat="1">
      <c r="A1" s="1962" t="s">
        <v>2673</v>
      </c>
      <c r="B1" s="1962"/>
      <c r="C1" s="1962"/>
      <c r="D1" s="1962"/>
    </row>
    <row r="2" spans="1:4" s="941" customFormat="1">
      <c r="A2" s="941" t="str">
        <f>B2&amp;"/"&amp;C2</f>
        <v>EUR/USD</v>
      </c>
      <c r="B2" s="941" t="s">
        <v>33</v>
      </c>
      <c r="C2" s="941" t="s">
        <v>89</v>
      </c>
      <c r="D2" s="941">
        <v>1.1100000000000001</v>
      </c>
    </row>
    <row r="3" spans="1:4" s="941" customFormat="1">
      <c r="A3" s="941" t="str">
        <f t="shared" ref="A3:A9" si="0">B3&amp;"/"&amp;C3</f>
        <v>USD/EUR</v>
      </c>
      <c r="B3" s="941" t="s">
        <v>89</v>
      </c>
      <c r="C3" s="941" t="s">
        <v>33</v>
      </c>
      <c r="D3" s="941">
        <v>0.89</v>
      </c>
    </row>
    <row r="4" spans="1:4" s="941" customFormat="1">
      <c r="A4" s="941" t="str">
        <f t="shared" si="0"/>
        <v>EUR/EUR</v>
      </c>
      <c r="B4" s="941" t="s">
        <v>33</v>
      </c>
      <c r="C4" s="941" t="s">
        <v>33</v>
      </c>
      <c r="D4" s="941">
        <v>1</v>
      </c>
    </row>
    <row r="5" spans="1:4" s="941" customFormat="1">
      <c r="A5" s="941" t="str">
        <f t="shared" si="0"/>
        <v>USD/USD</v>
      </c>
      <c r="B5" s="941" t="s">
        <v>89</v>
      </c>
      <c r="C5" s="941" t="s">
        <v>89</v>
      </c>
      <c r="D5" s="941">
        <v>1</v>
      </c>
    </row>
    <row r="6" spans="1:4" s="941" customFormat="1">
      <c r="A6" s="941" t="str">
        <f t="shared" si="0"/>
        <v>GBP/GBP</v>
      </c>
      <c r="B6" s="941" t="s">
        <v>2046</v>
      </c>
      <c r="C6" s="941" t="s">
        <v>2046</v>
      </c>
      <c r="D6" s="941">
        <v>1</v>
      </c>
    </row>
    <row r="7" spans="1:4" s="941" customFormat="1">
      <c r="A7" s="941" t="str">
        <f t="shared" si="0"/>
        <v>EUR/GBP</v>
      </c>
      <c r="B7" s="941" t="s">
        <v>33</v>
      </c>
      <c r="C7" s="941" t="s">
        <v>2046</v>
      </c>
      <c r="D7" s="941">
        <v>0.85</v>
      </c>
    </row>
    <row r="8" spans="1:4" s="941" customFormat="1">
      <c r="A8" s="941" t="str">
        <f t="shared" si="0"/>
        <v>GBP/EUR</v>
      </c>
      <c r="B8" s="941" t="s">
        <v>2046</v>
      </c>
      <c r="C8" s="941" t="s">
        <v>33</v>
      </c>
      <c r="D8" s="941">
        <v>1.1499999999999999</v>
      </c>
    </row>
    <row r="9" spans="1:4" s="941" customFormat="1">
      <c r="A9" s="941" t="str">
        <f t="shared" si="0"/>
        <v>/</v>
      </c>
    </row>
    <row r="10" spans="1:4" s="941" customFormat="1"/>
    <row r="11" spans="1:4">
      <c r="A11" s="1958" t="s">
        <v>2611</v>
      </c>
      <c r="B11" s="1958" t="s">
        <v>2612</v>
      </c>
      <c r="C11" s="1958"/>
      <c r="D11" s="1958"/>
    </row>
    <row r="12" spans="1:4">
      <c r="A12" s="1958"/>
      <c r="B12" s="1958" t="s">
        <v>2613</v>
      </c>
      <c r="C12" s="1958"/>
      <c r="D12" s="1958"/>
    </row>
    <row r="13" spans="1:4">
      <c r="A13" s="1958"/>
      <c r="B13" s="1959" t="s">
        <v>2614</v>
      </c>
      <c r="C13" s="1960"/>
      <c r="D13" s="1961"/>
    </row>
    <row r="14" spans="1:4">
      <c r="A14" s="1958"/>
      <c r="B14" s="785" t="s">
        <v>2615</v>
      </c>
      <c r="C14" s="785" t="s">
        <v>2616</v>
      </c>
      <c r="D14" s="785" t="s">
        <v>2617</v>
      </c>
    </row>
    <row r="15" spans="1:4">
      <c r="A15" s="789">
        <v>1</v>
      </c>
      <c r="B15" s="788">
        <v>12603.43</v>
      </c>
      <c r="C15" s="789">
        <v>35.01</v>
      </c>
      <c r="D15" s="787">
        <v>1050.2858333333334</v>
      </c>
    </row>
    <row r="16" spans="1:4">
      <c r="A16" s="789">
        <v>2</v>
      </c>
      <c r="B16" s="788">
        <v>15675.44</v>
      </c>
      <c r="C16" s="789">
        <v>43.54</v>
      </c>
      <c r="D16" s="787">
        <v>1306.2866666666666</v>
      </c>
    </row>
    <row r="17" spans="1:4">
      <c r="A17" s="789">
        <v>3</v>
      </c>
      <c r="B17" s="788">
        <v>18746.77</v>
      </c>
      <c r="C17" s="789">
        <v>52.07</v>
      </c>
      <c r="D17" s="787">
        <v>1562.2308333333333</v>
      </c>
    </row>
    <row r="18" spans="1:4">
      <c r="A18" s="789">
        <v>4</v>
      </c>
      <c r="B18" s="788">
        <v>20679.919999999998</v>
      </c>
      <c r="C18" s="789">
        <v>57.44</v>
      </c>
      <c r="D18" s="787">
        <v>1723.3266666666666</v>
      </c>
    </row>
    <row r="19" spans="1:4">
      <c r="A19" s="786">
        <v>5</v>
      </c>
      <c r="B19" s="786">
        <v>22071.08</v>
      </c>
      <c r="C19" s="786">
        <v>61.31</v>
      </c>
      <c r="D19" s="787">
        <v>1839.2566666666669</v>
      </c>
    </row>
    <row r="20" spans="1:4">
      <c r="A20" s="789">
        <v>6</v>
      </c>
      <c r="B20" s="788">
        <v>22837.11</v>
      </c>
      <c r="C20" s="789">
        <v>63.44</v>
      </c>
      <c r="D20" s="787">
        <v>1903.0925</v>
      </c>
    </row>
    <row r="21" spans="1:4">
      <c r="A21" s="789">
        <v>7</v>
      </c>
      <c r="B21" s="788">
        <v>24255.13</v>
      </c>
      <c r="C21" s="789">
        <v>67.38</v>
      </c>
      <c r="D21" s="787">
        <v>2021.2608333333335</v>
      </c>
    </row>
    <row r="22" spans="1:4">
      <c r="A22" s="789">
        <v>8</v>
      </c>
      <c r="B22" s="788">
        <v>25528.92</v>
      </c>
      <c r="C22" s="789">
        <v>70.91</v>
      </c>
      <c r="D22" s="787">
        <v>2127.41</v>
      </c>
    </row>
    <row r="23" spans="1:4">
      <c r="A23" s="789">
        <v>9</v>
      </c>
      <c r="B23" s="788">
        <v>26680.28</v>
      </c>
      <c r="C23" s="789">
        <v>74.11</v>
      </c>
      <c r="D23" s="787">
        <v>2223.3566666666666</v>
      </c>
    </row>
    <row r="24" spans="1:4">
      <c r="A24" s="789">
        <v>10</v>
      </c>
      <c r="B24" s="788">
        <v>28352.17</v>
      </c>
      <c r="C24" s="789">
        <v>78.760000000000005</v>
      </c>
      <c r="D24" s="787">
        <v>2362.6808333333333</v>
      </c>
    </row>
    <row r="25" spans="1:4">
      <c r="A25" s="789">
        <v>11</v>
      </c>
      <c r="B25" s="788">
        <v>31411.9</v>
      </c>
      <c r="C25" s="789">
        <v>87.26</v>
      </c>
      <c r="D25" s="787">
        <v>2617.6583333333333</v>
      </c>
    </row>
    <row r="26" spans="1:4">
      <c r="A26" s="789">
        <v>12</v>
      </c>
      <c r="B26" s="788">
        <v>33418.26</v>
      </c>
      <c r="C26" s="789">
        <v>92.83</v>
      </c>
      <c r="D26" s="787">
        <v>2784.855</v>
      </c>
    </row>
    <row r="27" spans="1:4">
      <c r="A27" s="789">
        <v>13</v>
      </c>
      <c r="B27" s="789">
        <v>36150.14</v>
      </c>
      <c r="C27" s="789">
        <v>100.42</v>
      </c>
      <c r="D27" s="787">
        <v>3012.5116666666668</v>
      </c>
    </row>
    <row r="28" spans="1:4">
      <c r="A28" s="789">
        <v>14</v>
      </c>
      <c r="B28" s="788">
        <v>38882.07</v>
      </c>
      <c r="C28" s="789">
        <v>108.01</v>
      </c>
      <c r="D28" s="787">
        <v>3240.1725000000001</v>
      </c>
    </row>
    <row r="29" spans="1:4">
      <c r="A29" s="789">
        <v>15</v>
      </c>
      <c r="B29" s="788">
        <v>41912.04</v>
      </c>
      <c r="C29" s="789">
        <v>116.42</v>
      </c>
      <c r="D29" s="787">
        <v>3492.67</v>
      </c>
    </row>
    <row r="30" spans="1:4">
      <c r="A30" s="789">
        <v>16</v>
      </c>
      <c r="B30" s="788">
        <v>45121.47</v>
      </c>
      <c r="C30" s="789">
        <v>125.34</v>
      </c>
      <c r="D30" s="787">
        <v>3760.1224999999999</v>
      </c>
    </row>
    <row r="31" spans="1:4">
      <c r="A31" s="789">
        <v>17</v>
      </c>
      <c r="B31" s="788">
        <v>49043.54</v>
      </c>
      <c r="C31" s="789">
        <v>136.22999999999999</v>
      </c>
      <c r="D31" s="787">
        <v>4086.9616666666666</v>
      </c>
    </row>
    <row r="32" spans="1:4">
      <c r="A32" s="789">
        <v>18</v>
      </c>
      <c r="B32" s="788">
        <v>54045.81</v>
      </c>
      <c r="C32" s="789">
        <v>150.13</v>
      </c>
      <c r="D32" s="787">
        <v>4503.8175000000001</v>
      </c>
    </row>
    <row r="33" spans="1:4">
      <c r="A33" s="789">
        <v>19</v>
      </c>
      <c r="B33" s="788">
        <v>59492.38</v>
      </c>
      <c r="C33" s="789">
        <v>165.26</v>
      </c>
      <c r="D33" s="787">
        <v>4957.6983333333328</v>
      </c>
    </row>
    <row r="34" spans="1:4">
      <c r="A34" s="789">
        <v>20</v>
      </c>
      <c r="B34" s="788">
        <v>65366.77</v>
      </c>
      <c r="C34" s="789">
        <v>181.57</v>
      </c>
      <c r="D34" s="787">
        <v>5447.2308333333331</v>
      </c>
    </row>
  </sheetData>
  <mergeCells count="5">
    <mergeCell ref="A11:A14"/>
    <mergeCell ref="B11:D11"/>
    <mergeCell ref="B12:D12"/>
    <mergeCell ref="B13:D13"/>
    <mergeCell ref="A1:D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 tint="0.59999389629810485"/>
  </sheetPr>
  <dimension ref="A1:R56"/>
  <sheetViews>
    <sheetView workbookViewId="0">
      <selection activeCell="K46" sqref="K46"/>
    </sheetView>
  </sheetViews>
  <sheetFormatPr baseColWidth="10" defaultColWidth="11.42578125" defaultRowHeight="15"/>
  <cols>
    <col min="4" max="4" width="28.5703125" customWidth="1"/>
    <col min="5" max="5" width="26" customWidth="1"/>
    <col min="6" max="6" width="11.85546875" style="1159" customWidth="1"/>
    <col min="7" max="7" width="11.28515625" style="1159" customWidth="1"/>
    <col min="15" max="15" width="16.85546875" customWidth="1"/>
    <col min="16" max="16" width="15.5703125" customWidth="1"/>
    <col min="17" max="17" width="16.7109375" customWidth="1"/>
    <col min="18" max="18" width="18" customWidth="1"/>
  </cols>
  <sheetData>
    <row r="1" spans="2:18" s="1159" customFormat="1"/>
    <row r="3" spans="2:18">
      <c r="B3" s="1087">
        <v>2</v>
      </c>
      <c r="D3" s="1087" t="str">
        <f>IF(B3=1,"",INDEX($D$5:$D$10,B3,1))</f>
        <v>Legal Assistance</v>
      </c>
    </row>
    <row r="4" spans="2:18">
      <c r="D4" s="1250" t="s">
        <v>2793</v>
      </c>
      <c r="E4" s="1250" t="s">
        <v>2169</v>
      </c>
      <c r="F4" s="1250" t="s">
        <v>2006</v>
      </c>
      <c r="G4" s="1250" t="s">
        <v>2219</v>
      </c>
      <c r="H4" s="1250" t="s">
        <v>2780</v>
      </c>
      <c r="I4" s="1250" t="s">
        <v>2781</v>
      </c>
      <c r="J4" s="1250" t="s">
        <v>2785</v>
      </c>
      <c r="K4" s="1250" t="s">
        <v>2786</v>
      </c>
      <c r="L4" s="1250" t="s">
        <v>2787</v>
      </c>
      <c r="M4" s="1250" t="s">
        <v>2788</v>
      </c>
      <c r="N4" s="1080"/>
      <c r="O4" s="1250" t="s">
        <v>2798</v>
      </c>
      <c r="P4" s="1250" t="s">
        <v>2799</v>
      </c>
      <c r="Q4" s="1250" t="s">
        <v>2556</v>
      </c>
      <c r="R4" s="1250" t="s">
        <v>199</v>
      </c>
    </row>
    <row r="5" spans="2:18" s="1159" customFormat="1">
      <c r="B5" s="1159">
        <v>1</v>
      </c>
      <c r="D5" s="222" t="s">
        <v>2068</v>
      </c>
      <c r="E5" s="1080" t="s">
        <v>2236</v>
      </c>
      <c r="F5" s="1080" t="b">
        <v>0</v>
      </c>
      <c r="G5" s="1080" t="b">
        <v>0</v>
      </c>
      <c r="H5" s="1080" t="b">
        <v>0</v>
      </c>
      <c r="I5" s="1080" t="b">
        <v>0</v>
      </c>
      <c r="J5" s="1080" t="b">
        <v>0</v>
      </c>
      <c r="K5" s="1080" t="b">
        <v>0</v>
      </c>
      <c r="L5" s="1080" t="b">
        <v>0</v>
      </c>
      <c r="M5" s="1080" t="b">
        <v>0</v>
      </c>
      <c r="N5" s="1080"/>
      <c r="O5" s="1080"/>
      <c r="P5" s="1080"/>
      <c r="Q5" s="1080"/>
      <c r="R5" s="1080"/>
    </row>
    <row r="6" spans="2:18" s="1159" customFormat="1">
      <c r="B6" s="1159">
        <v>2</v>
      </c>
      <c r="D6" s="222" t="s">
        <v>2692</v>
      </c>
      <c r="E6" s="1080" t="s">
        <v>4</v>
      </c>
      <c r="F6" s="1080" t="b">
        <v>0</v>
      </c>
      <c r="G6" s="1080" t="b">
        <v>0</v>
      </c>
      <c r="H6" s="1080" t="b">
        <v>0</v>
      </c>
      <c r="I6" s="1080" t="b">
        <v>0</v>
      </c>
      <c r="J6" s="1080" t="b">
        <v>0</v>
      </c>
      <c r="K6" s="1080" t="b">
        <v>0</v>
      </c>
      <c r="L6" s="1080" t="b">
        <v>0</v>
      </c>
      <c r="M6" s="1080" t="b">
        <v>0</v>
      </c>
      <c r="N6" s="1080"/>
      <c r="O6" s="1080"/>
      <c r="P6" s="1080"/>
      <c r="Q6" s="1080"/>
      <c r="R6" s="1080"/>
    </row>
    <row r="7" spans="2:18" s="1159" customFormat="1">
      <c r="B7" s="1159">
        <v>3</v>
      </c>
      <c r="D7" s="222" t="s">
        <v>2694</v>
      </c>
      <c r="E7" s="1080" t="s">
        <v>4</v>
      </c>
      <c r="F7" s="1080" t="b">
        <v>0</v>
      </c>
      <c r="G7" s="1080" t="b">
        <v>0</v>
      </c>
      <c r="H7" s="1080" t="b">
        <v>0</v>
      </c>
      <c r="I7" s="1080" t="b">
        <v>0</v>
      </c>
      <c r="J7" s="1080" t="b">
        <v>0</v>
      </c>
      <c r="K7" s="1080" t="b">
        <v>0</v>
      </c>
      <c r="L7" s="1080" t="b">
        <v>0</v>
      </c>
      <c r="M7" s="1080" t="b">
        <v>0</v>
      </c>
      <c r="N7" s="1080"/>
      <c r="O7" s="1080"/>
      <c r="P7" s="1080"/>
      <c r="Q7" s="1080"/>
      <c r="R7" s="1080"/>
    </row>
    <row r="8" spans="2:18" s="1159" customFormat="1">
      <c r="B8" s="1159">
        <v>4</v>
      </c>
      <c r="D8" s="222" t="s">
        <v>2094</v>
      </c>
      <c r="E8" s="1080" t="s">
        <v>4</v>
      </c>
      <c r="F8" s="1081" t="b">
        <v>1</v>
      </c>
      <c r="G8" s="1081" t="b">
        <v>1</v>
      </c>
      <c r="H8" s="1080" t="b">
        <v>0</v>
      </c>
      <c r="I8" s="1080" t="b">
        <v>0</v>
      </c>
      <c r="J8" s="1080" t="b">
        <v>0</v>
      </c>
      <c r="K8" s="1080" t="b">
        <v>0</v>
      </c>
      <c r="L8" s="1080" t="b">
        <v>0</v>
      </c>
      <c r="M8" s="1080" t="b">
        <v>0</v>
      </c>
      <c r="N8" s="1080"/>
      <c r="O8" s="1080"/>
      <c r="P8" s="1080"/>
      <c r="Q8" s="1080"/>
      <c r="R8" s="1080"/>
    </row>
    <row r="9" spans="2:18" s="1159" customFormat="1">
      <c r="B9" s="1159">
        <v>5</v>
      </c>
      <c r="D9" s="222" t="s">
        <v>2796</v>
      </c>
      <c r="E9" s="1080" t="s">
        <v>4</v>
      </c>
      <c r="F9" s="1081" t="b">
        <v>1</v>
      </c>
      <c r="G9" s="1081" t="b">
        <v>1</v>
      </c>
      <c r="H9" s="1080" t="b">
        <v>0</v>
      </c>
      <c r="I9" s="1080" t="b">
        <v>0</v>
      </c>
      <c r="J9" s="1080" t="b">
        <v>0</v>
      </c>
      <c r="K9" s="1080" t="b">
        <v>0</v>
      </c>
      <c r="L9" s="1080" t="b">
        <v>0</v>
      </c>
      <c r="M9" s="1080" t="b">
        <v>0</v>
      </c>
      <c r="N9" s="1080"/>
      <c r="O9" s="1080"/>
      <c r="P9" s="1080"/>
      <c r="Q9" s="1080"/>
      <c r="R9" s="1080"/>
    </row>
    <row r="10" spans="2:18" s="1159" customFormat="1">
      <c r="B10" s="1159">
        <v>6</v>
      </c>
      <c r="D10" s="222" t="s">
        <v>2797</v>
      </c>
      <c r="E10" s="1080" t="s">
        <v>4</v>
      </c>
      <c r="F10" s="1081" t="b">
        <v>1</v>
      </c>
      <c r="G10" s="1081" t="b">
        <v>1</v>
      </c>
      <c r="H10" s="1080" t="b">
        <v>0</v>
      </c>
      <c r="I10" s="1080" t="b">
        <v>0</v>
      </c>
      <c r="J10" s="1080" t="b">
        <v>0</v>
      </c>
      <c r="K10" s="1080" t="b">
        <v>0</v>
      </c>
      <c r="L10" s="1080" t="b">
        <v>0</v>
      </c>
      <c r="M10" s="1080" t="b">
        <v>0</v>
      </c>
      <c r="N10" s="1080"/>
      <c r="O10" s="1080"/>
      <c r="P10" s="1080"/>
      <c r="Q10" s="1080"/>
      <c r="R10" s="1080"/>
    </row>
    <row r="11" spans="2:18" s="1159" customFormat="1">
      <c r="B11" s="1159">
        <v>7</v>
      </c>
      <c r="D11" s="222"/>
      <c r="E11" s="1080"/>
      <c r="F11" s="1081"/>
      <c r="G11" s="1081"/>
      <c r="H11" s="1080"/>
      <c r="I11" s="1080"/>
      <c r="J11" s="1080"/>
      <c r="K11" s="1080"/>
      <c r="L11" s="1080"/>
      <c r="M11" s="1080"/>
      <c r="N11" s="1080"/>
      <c r="O11" s="1080"/>
      <c r="P11" s="1080"/>
      <c r="Q11" s="1080"/>
      <c r="R11" s="1080"/>
    </row>
    <row r="12" spans="2:18" s="1159" customFormat="1">
      <c r="D12" s="1250" t="s">
        <v>2793</v>
      </c>
      <c r="E12" s="1250" t="s">
        <v>2169</v>
      </c>
      <c r="F12" s="1250" t="s">
        <v>2006</v>
      </c>
      <c r="G12" s="1250" t="s">
        <v>2219</v>
      </c>
      <c r="H12" s="1250" t="s">
        <v>2780</v>
      </c>
      <c r="I12" s="1250" t="s">
        <v>2781</v>
      </c>
      <c r="J12" s="1250" t="s">
        <v>2785</v>
      </c>
      <c r="K12" s="1250" t="s">
        <v>2786</v>
      </c>
      <c r="L12" s="1250" t="s">
        <v>2787</v>
      </c>
      <c r="M12" s="1250" t="s">
        <v>2788</v>
      </c>
      <c r="N12" s="1080"/>
      <c r="O12" s="1080"/>
      <c r="P12" s="1080"/>
      <c r="Q12" s="1080"/>
      <c r="R12" s="1080"/>
    </row>
    <row r="13" spans="2:18" s="1159" customFormat="1">
      <c r="B13" s="1159">
        <v>1</v>
      </c>
      <c r="D13" s="222" t="s">
        <v>2068</v>
      </c>
      <c r="E13" s="1080" t="s">
        <v>2236</v>
      </c>
      <c r="F13" s="1080" t="b">
        <v>0</v>
      </c>
      <c r="G13" s="1080" t="b">
        <v>0</v>
      </c>
      <c r="H13" s="1080" t="b">
        <v>0</v>
      </c>
      <c r="I13" s="1080" t="b">
        <v>0</v>
      </c>
      <c r="J13" s="1080" t="b">
        <v>0</v>
      </c>
      <c r="K13" s="1080" t="b">
        <v>0</v>
      </c>
      <c r="L13" s="1080" t="b">
        <v>0</v>
      </c>
      <c r="M13" s="1080" t="b">
        <v>0</v>
      </c>
      <c r="N13" s="1080"/>
      <c r="O13" s="1080"/>
      <c r="P13" s="1080"/>
      <c r="Q13" s="1080"/>
      <c r="R13" s="1080"/>
    </row>
    <row r="14" spans="2:18" s="1159" customFormat="1">
      <c r="B14" s="1159">
        <v>2</v>
      </c>
      <c r="D14" s="222" t="s">
        <v>2795</v>
      </c>
      <c r="E14" s="1080" t="s">
        <v>4</v>
      </c>
      <c r="F14" s="1081" t="b">
        <v>1</v>
      </c>
      <c r="G14" s="1081" t="b">
        <v>1</v>
      </c>
      <c r="H14" s="1080" t="b">
        <v>0</v>
      </c>
      <c r="I14" s="1080" t="b">
        <v>0</v>
      </c>
      <c r="J14" s="1080" t="b">
        <v>0</v>
      </c>
      <c r="K14" s="1080" t="b">
        <v>0</v>
      </c>
      <c r="L14" s="1080" t="b">
        <v>0</v>
      </c>
      <c r="M14" s="1080" t="b">
        <v>0</v>
      </c>
      <c r="N14" s="1080"/>
      <c r="O14" s="1080"/>
      <c r="P14" s="1080"/>
      <c r="Q14" s="1080"/>
      <c r="R14" s="1080"/>
    </row>
    <row r="15" spans="2:18" s="1159" customFormat="1">
      <c r="B15" s="1159">
        <v>3</v>
      </c>
      <c r="D15" s="222" t="s">
        <v>2397</v>
      </c>
      <c r="E15" s="1080" t="s">
        <v>4</v>
      </c>
      <c r="F15" s="1081" t="b">
        <v>1</v>
      </c>
      <c r="G15" s="1081" t="b">
        <v>1</v>
      </c>
      <c r="H15" s="1080" t="b">
        <v>0</v>
      </c>
      <c r="I15" s="1080" t="b">
        <v>0</v>
      </c>
      <c r="J15" s="1080" t="b">
        <v>0</v>
      </c>
      <c r="K15" s="1080" t="b">
        <v>0</v>
      </c>
      <c r="L15" s="1080" t="b">
        <v>0</v>
      </c>
      <c r="M15" s="1080" t="b">
        <v>0</v>
      </c>
      <c r="N15" s="1080"/>
      <c r="O15" s="1080"/>
      <c r="P15" s="1080"/>
      <c r="Q15" s="1080"/>
      <c r="R15" s="1080"/>
    </row>
    <row r="16" spans="2:18" s="1159" customFormat="1">
      <c r="B16" s="1159">
        <v>4</v>
      </c>
      <c r="D16" s="222" t="s">
        <v>2637</v>
      </c>
      <c r="E16" s="1080" t="s">
        <v>4</v>
      </c>
      <c r="F16" s="1081" t="b">
        <v>1</v>
      </c>
      <c r="G16" s="1081" t="b">
        <v>0</v>
      </c>
      <c r="H16" s="1080" t="b">
        <v>0</v>
      </c>
      <c r="I16" s="1080" t="b">
        <v>0</v>
      </c>
      <c r="J16" s="1080" t="b">
        <v>0</v>
      </c>
      <c r="K16" s="1080" t="b">
        <v>0</v>
      </c>
      <c r="L16" s="1080" t="b">
        <v>0</v>
      </c>
      <c r="M16" s="1080" t="b">
        <v>0</v>
      </c>
      <c r="N16" s="1080"/>
      <c r="O16" s="1080"/>
      <c r="P16" s="1080"/>
      <c r="Q16" s="1080"/>
      <c r="R16" s="1080"/>
    </row>
    <row r="17" spans="2:18" s="1159" customFormat="1">
      <c r="B17" s="1159">
        <v>5</v>
      </c>
      <c r="D17" s="222" t="s">
        <v>2638</v>
      </c>
      <c r="E17" s="1080" t="s">
        <v>4</v>
      </c>
      <c r="F17" s="1081" t="b">
        <v>1</v>
      </c>
      <c r="G17" s="1081" t="b">
        <v>1</v>
      </c>
      <c r="H17" s="1080" t="b">
        <v>0</v>
      </c>
      <c r="I17" s="1080" t="b">
        <v>0</v>
      </c>
      <c r="J17" s="1080" t="b">
        <v>0</v>
      </c>
      <c r="K17" s="1080" t="b">
        <v>0</v>
      </c>
      <c r="L17" s="1080" t="b">
        <v>0</v>
      </c>
      <c r="M17" s="1080" t="b">
        <v>0</v>
      </c>
      <c r="N17" s="1080"/>
      <c r="O17" s="1080"/>
      <c r="P17" s="1080"/>
      <c r="Q17" s="1080"/>
      <c r="R17" s="1080"/>
    </row>
    <row r="18" spans="2:18" s="1159" customFormat="1">
      <c r="B18" s="1159">
        <v>6</v>
      </c>
      <c r="D18" s="222" t="s">
        <v>2639</v>
      </c>
      <c r="E18" s="1080" t="s">
        <v>4</v>
      </c>
      <c r="F18" s="1081" t="b">
        <v>1</v>
      </c>
      <c r="G18" s="1081" t="b">
        <v>1</v>
      </c>
      <c r="H18" s="1080" t="b">
        <v>0</v>
      </c>
      <c r="I18" s="1080" t="b">
        <v>0</v>
      </c>
      <c r="J18" s="1080" t="b">
        <v>0</v>
      </c>
      <c r="K18" s="1080" t="b">
        <v>0</v>
      </c>
      <c r="L18" s="1080" t="b">
        <v>0</v>
      </c>
      <c r="M18" s="1080" t="b">
        <v>0</v>
      </c>
      <c r="N18" s="1080"/>
      <c r="O18" s="1080"/>
      <c r="P18" s="1080"/>
      <c r="Q18" s="1080"/>
      <c r="R18" s="1080"/>
    </row>
    <row r="19" spans="2:18" s="1159" customFormat="1">
      <c r="B19" s="1159">
        <v>7</v>
      </c>
      <c r="D19" s="222" t="s">
        <v>2640</v>
      </c>
      <c r="E19" s="1080" t="s">
        <v>4</v>
      </c>
      <c r="F19" s="1081" t="b">
        <v>1</v>
      </c>
      <c r="G19" s="1081" t="b">
        <v>0</v>
      </c>
      <c r="H19" s="1080" t="b">
        <v>0</v>
      </c>
      <c r="I19" s="1080" t="b">
        <v>0</v>
      </c>
      <c r="J19" s="1080" t="b">
        <v>0</v>
      </c>
      <c r="K19" s="1080" t="b">
        <v>0</v>
      </c>
      <c r="L19" s="1080" t="b">
        <v>0</v>
      </c>
      <c r="M19" s="1080" t="b">
        <v>0</v>
      </c>
      <c r="N19" s="1080"/>
      <c r="O19" s="1080"/>
      <c r="P19" s="1080"/>
      <c r="Q19" s="1080"/>
      <c r="R19" s="1080"/>
    </row>
    <row r="20" spans="2:18" s="1159" customFormat="1">
      <c r="B20" s="1159">
        <v>8</v>
      </c>
      <c r="D20" s="222" t="s">
        <v>2641</v>
      </c>
      <c r="E20" s="1080" t="s">
        <v>4</v>
      </c>
      <c r="F20" s="1081" t="b">
        <v>1</v>
      </c>
      <c r="G20" s="1081" t="b">
        <v>1</v>
      </c>
      <c r="H20" s="1080" t="b">
        <v>0</v>
      </c>
      <c r="I20" s="1080" t="b">
        <v>0</v>
      </c>
      <c r="J20" s="1080" t="b">
        <v>0</v>
      </c>
      <c r="K20" s="1080" t="b">
        <v>0</v>
      </c>
      <c r="L20" s="1080" t="b">
        <v>0</v>
      </c>
      <c r="M20" s="1080" t="b">
        <v>0</v>
      </c>
      <c r="N20" s="1080"/>
      <c r="O20" s="1080"/>
      <c r="P20" s="1080"/>
      <c r="Q20" s="1080"/>
      <c r="R20" s="1080"/>
    </row>
    <row r="21" spans="2:18" s="1159" customFormat="1">
      <c r="B21" s="1159">
        <v>9</v>
      </c>
      <c r="D21" s="222" t="s">
        <v>2642</v>
      </c>
      <c r="E21" s="1080" t="s">
        <v>4</v>
      </c>
      <c r="F21" s="1081" t="b">
        <v>1</v>
      </c>
      <c r="G21" s="1081" t="b">
        <v>1</v>
      </c>
      <c r="H21" s="1080" t="b">
        <v>0</v>
      </c>
      <c r="I21" s="1080" t="b">
        <v>0</v>
      </c>
      <c r="J21" s="1080" t="b">
        <v>0</v>
      </c>
      <c r="K21" s="1080" t="b">
        <v>0</v>
      </c>
      <c r="L21" s="1080" t="b">
        <v>0</v>
      </c>
      <c r="M21" s="1080" t="b">
        <v>0</v>
      </c>
      <c r="N21" s="1080"/>
      <c r="O21" s="1080"/>
      <c r="P21" s="1080"/>
      <c r="Q21" s="1080"/>
      <c r="R21" s="1080"/>
    </row>
    <row r="22" spans="2:18" s="1159" customFormat="1">
      <c r="B22" s="1159">
        <v>10</v>
      </c>
      <c r="D22" s="222" t="s">
        <v>2085</v>
      </c>
      <c r="E22" s="1080" t="s">
        <v>4</v>
      </c>
      <c r="F22" s="1081" t="b">
        <v>1</v>
      </c>
      <c r="G22" s="1081" t="b">
        <v>1</v>
      </c>
      <c r="H22" s="1080" t="b">
        <v>0</v>
      </c>
      <c r="I22" s="1080" t="b">
        <v>0</v>
      </c>
      <c r="J22" s="1080" t="b">
        <v>0</v>
      </c>
      <c r="K22" s="1080" t="b">
        <v>0</v>
      </c>
      <c r="L22" s="1080" t="b">
        <v>0</v>
      </c>
      <c r="M22" s="1080" t="b">
        <v>0</v>
      </c>
      <c r="N22" s="1080"/>
      <c r="O22" s="1080"/>
      <c r="P22" s="1080"/>
      <c r="Q22" s="1080"/>
      <c r="R22" s="1080"/>
    </row>
    <row r="23" spans="2:18" s="1159" customFormat="1">
      <c r="B23" s="1159">
        <v>11</v>
      </c>
      <c r="D23" s="222" t="s">
        <v>2079</v>
      </c>
      <c r="E23" s="1080" t="s">
        <v>7</v>
      </c>
      <c r="F23" s="1081" t="b">
        <v>1</v>
      </c>
      <c r="G23" s="1081" t="b">
        <v>1</v>
      </c>
      <c r="H23" s="1080" t="b">
        <v>0</v>
      </c>
      <c r="I23" s="1080" t="b">
        <v>0</v>
      </c>
      <c r="J23" s="1080" t="b">
        <v>0</v>
      </c>
      <c r="K23" s="1080" t="b">
        <v>0</v>
      </c>
      <c r="L23" s="1080" t="b">
        <v>0</v>
      </c>
      <c r="M23" s="1080" t="b">
        <v>0</v>
      </c>
      <c r="N23" s="1080"/>
      <c r="O23" s="1080"/>
      <c r="P23" s="1080"/>
      <c r="Q23" s="1080"/>
      <c r="R23" s="1080"/>
    </row>
    <row r="24" spans="2:18" s="1159" customFormat="1">
      <c r="B24" s="1159">
        <v>12</v>
      </c>
      <c r="D24" s="222"/>
      <c r="E24" s="1080"/>
      <c r="F24" s="1080"/>
      <c r="G24" s="1080"/>
      <c r="H24" s="1080"/>
      <c r="I24" s="1080"/>
      <c r="J24" s="1080"/>
      <c r="K24" s="1080"/>
      <c r="L24" s="1080"/>
      <c r="M24" s="1080"/>
      <c r="N24" s="1080"/>
      <c r="O24" s="1080"/>
      <c r="P24" s="1080"/>
      <c r="Q24" s="1080"/>
      <c r="R24" s="1080"/>
    </row>
    <row r="25" spans="2:18" s="1159" customFormat="1">
      <c r="D25" s="1250" t="s">
        <v>2793</v>
      </c>
      <c r="E25" s="1250" t="s">
        <v>2169</v>
      </c>
      <c r="F25" s="1250" t="s">
        <v>2006</v>
      </c>
      <c r="G25" s="1250" t="s">
        <v>2219</v>
      </c>
      <c r="H25" s="1250" t="s">
        <v>2780</v>
      </c>
      <c r="I25" s="1250" t="s">
        <v>2781</v>
      </c>
      <c r="J25" s="1250" t="s">
        <v>2785</v>
      </c>
      <c r="K25" s="1250" t="s">
        <v>2786</v>
      </c>
      <c r="L25" s="1250" t="s">
        <v>2787</v>
      </c>
      <c r="M25" s="1250" t="s">
        <v>2788</v>
      </c>
      <c r="N25" s="1080"/>
      <c r="O25" s="1080"/>
      <c r="P25" s="1080"/>
      <c r="Q25" s="1080"/>
      <c r="R25" s="1080"/>
    </row>
    <row r="26" spans="2:18" s="1159" customFormat="1">
      <c r="B26" s="1159">
        <v>1</v>
      </c>
      <c r="D26" s="222" t="s">
        <v>2068</v>
      </c>
      <c r="E26" s="1080" t="s">
        <v>2236</v>
      </c>
      <c r="F26" s="1080" t="b">
        <v>0</v>
      </c>
      <c r="G26" s="1080" t="b">
        <v>0</v>
      </c>
      <c r="H26" s="1080" t="b">
        <v>0</v>
      </c>
      <c r="I26" s="1080" t="b">
        <v>0</v>
      </c>
      <c r="J26" s="1080" t="b">
        <v>0</v>
      </c>
      <c r="K26" s="1080" t="b">
        <v>0</v>
      </c>
      <c r="L26" s="1080" t="b">
        <v>0</v>
      </c>
      <c r="M26" s="1080" t="b">
        <v>0</v>
      </c>
      <c r="N26" s="1080"/>
      <c r="O26" s="1080"/>
      <c r="P26" s="1080"/>
      <c r="Q26" s="1080"/>
      <c r="R26" s="1080"/>
    </row>
    <row r="27" spans="2:18" s="1159" customFormat="1">
      <c r="B27" s="1159">
        <v>2</v>
      </c>
      <c r="D27" s="222" t="s">
        <v>2124</v>
      </c>
      <c r="E27" s="1080" t="s">
        <v>4</v>
      </c>
      <c r="F27" s="1081" t="b">
        <v>1</v>
      </c>
      <c r="G27" s="1081" t="b">
        <v>0</v>
      </c>
      <c r="H27" s="1080" t="b">
        <v>0</v>
      </c>
      <c r="I27" s="1080" t="b">
        <v>0</v>
      </c>
      <c r="J27" s="1080" t="b">
        <v>0</v>
      </c>
      <c r="K27" s="1080" t="b">
        <v>0</v>
      </c>
      <c r="L27" s="1080" t="b">
        <v>0</v>
      </c>
      <c r="M27" s="1080" t="b">
        <v>0</v>
      </c>
      <c r="N27" s="1080"/>
      <c r="O27" s="1080"/>
      <c r="P27" s="1080"/>
      <c r="Q27" s="1080"/>
      <c r="R27" s="1080"/>
    </row>
    <row r="28" spans="2:18" s="1159" customFormat="1">
      <c r="B28" s="1159">
        <v>3</v>
      </c>
      <c r="D28" s="222" t="s">
        <v>2434</v>
      </c>
      <c r="E28" s="1080" t="s">
        <v>4</v>
      </c>
      <c r="F28" s="1081" t="b">
        <v>1</v>
      </c>
      <c r="G28" s="1081" t="b">
        <v>1</v>
      </c>
      <c r="H28" s="1080" t="b">
        <v>0</v>
      </c>
      <c r="I28" s="1080" t="b">
        <v>0</v>
      </c>
      <c r="J28" s="1080" t="b">
        <v>0</v>
      </c>
      <c r="K28" s="1080" t="b">
        <v>0</v>
      </c>
      <c r="L28" s="1080" t="b">
        <v>0</v>
      </c>
      <c r="M28" s="1080" t="b">
        <v>0</v>
      </c>
      <c r="N28" s="1080"/>
      <c r="O28" s="1080"/>
      <c r="P28" s="1080"/>
      <c r="Q28" s="1080"/>
      <c r="R28" s="1080"/>
    </row>
    <row r="29" spans="2:18" s="1159" customFormat="1">
      <c r="B29" s="1159">
        <v>4</v>
      </c>
      <c r="D29" s="222" t="s">
        <v>2074</v>
      </c>
      <c r="E29" s="1080" t="s">
        <v>4</v>
      </c>
      <c r="F29" s="1081" t="b">
        <v>1</v>
      </c>
      <c r="G29" s="1081" t="b">
        <v>1</v>
      </c>
      <c r="H29" s="1080" t="b">
        <v>0</v>
      </c>
      <c r="I29" s="1080" t="b">
        <v>0</v>
      </c>
      <c r="J29" s="1080" t="b">
        <v>0</v>
      </c>
      <c r="K29" s="1080" t="b">
        <v>0</v>
      </c>
      <c r="L29" s="1080" t="b">
        <v>0</v>
      </c>
      <c r="M29" s="1080" t="b">
        <v>0</v>
      </c>
      <c r="N29" s="1080"/>
      <c r="O29" s="1080"/>
      <c r="P29" s="1080"/>
      <c r="Q29" s="1080"/>
      <c r="R29" s="1080"/>
    </row>
    <row r="30" spans="2:18" s="1159" customFormat="1">
      <c r="B30" s="1159">
        <v>5</v>
      </c>
      <c r="D30" s="222" t="s">
        <v>2123</v>
      </c>
      <c r="E30" s="1080" t="s">
        <v>4</v>
      </c>
      <c r="F30" s="1081" t="b">
        <v>1</v>
      </c>
      <c r="G30" s="1081" t="b">
        <v>0</v>
      </c>
      <c r="H30" s="1080" t="b">
        <v>0</v>
      </c>
      <c r="I30" s="1080" t="b">
        <v>0</v>
      </c>
      <c r="J30" s="1080" t="b">
        <v>0</v>
      </c>
      <c r="K30" s="1080" t="b">
        <v>0</v>
      </c>
      <c r="L30" s="1080" t="b">
        <v>0</v>
      </c>
      <c r="M30" s="1080" t="b">
        <v>0</v>
      </c>
      <c r="N30" s="1080"/>
      <c r="O30" s="1080"/>
      <c r="P30" s="1080"/>
      <c r="Q30" s="1080"/>
      <c r="R30" s="1080"/>
    </row>
    <row r="31" spans="2:18" s="1159" customFormat="1">
      <c r="B31" s="1159">
        <v>6</v>
      </c>
      <c r="D31" s="222" t="s">
        <v>1985</v>
      </c>
      <c r="E31" s="1080" t="s">
        <v>4</v>
      </c>
      <c r="F31" s="1081" t="b">
        <v>1</v>
      </c>
      <c r="G31" s="1081" t="b">
        <v>1</v>
      </c>
      <c r="H31" s="1080" t="b">
        <v>0</v>
      </c>
      <c r="I31" s="1080" t="b">
        <v>0</v>
      </c>
      <c r="J31" s="1080" t="b">
        <v>0</v>
      </c>
      <c r="K31" s="1080" t="b">
        <v>0</v>
      </c>
      <c r="L31" s="1080" t="b">
        <v>0</v>
      </c>
      <c r="M31" s="1080" t="b">
        <v>0</v>
      </c>
      <c r="N31" s="1080"/>
      <c r="O31" s="1080"/>
      <c r="P31" s="1080"/>
      <c r="Q31" s="1080"/>
      <c r="R31" s="1080"/>
    </row>
    <row r="32" spans="2:18" s="1159" customFormat="1">
      <c r="B32" s="1159">
        <v>7</v>
      </c>
      <c r="D32" s="222" t="s">
        <v>1982</v>
      </c>
      <c r="E32" s="1080" t="s">
        <v>4</v>
      </c>
      <c r="F32" s="1081" t="b">
        <v>1</v>
      </c>
      <c r="G32" s="1081" t="b">
        <v>1</v>
      </c>
      <c r="H32" s="1080" t="b">
        <v>0</v>
      </c>
      <c r="I32" s="1080" t="b">
        <v>0</v>
      </c>
      <c r="J32" s="1080" t="b">
        <v>0</v>
      </c>
      <c r="K32" s="1080" t="b">
        <v>0</v>
      </c>
      <c r="L32" s="1080" t="b">
        <v>0</v>
      </c>
      <c r="M32" s="1080" t="b">
        <v>0</v>
      </c>
      <c r="N32" s="1080"/>
      <c r="O32" s="1080"/>
      <c r="P32" s="1080"/>
      <c r="Q32" s="1080"/>
      <c r="R32" s="1080"/>
    </row>
    <row r="33" spans="1:18" s="1159" customFormat="1">
      <c r="B33" s="1159">
        <v>8</v>
      </c>
      <c r="D33" s="222" t="s">
        <v>2087</v>
      </c>
      <c r="E33" s="1080" t="s">
        <v>4</v>
      </c>
      <c r="F33" s="1081" t="b">
        <v>1</v>
      </c>
      <c r="G33" s="1081" t="b">
        <v>1</v>
      </c>
      <c r="H33" s="1080" t="b">
        <v>0</v>
      </c>
      <c r="I33" s="1080" t="b">
        <v>0</v>
      </c>
      <c r="J33" s="1080" t="b">
        <v>0</v>
      </c>
      <c r="K33" s="1080" t="b">
        <v>0</v>
      </c>
      <c r="L33" s="1080" t="b">
        <v>0</v>
      </c>
      <c r="M33" s="1080" t="b">
        <v>0</v>
      </c>
      <c r="N33" s="1080"/>
      <c r="O33" s="1080"/>
      <c r="P33" s="1080"/>
      <c r="Q33" s="1080"/>
      <c r="R33" s="1080"/>
    </row>
    <row r="34" spans="1:18" s="1159" customFormat="1">
      <c r="B34" s="1159">
        <v>9</v>
      </c>
      <c r="D34" s="222" t="s">
        <v>2089</v>
      </c>
      <c r="E34" s="1080" t="s">
        <v>4</v>
      </c>
      <c r="F34" s="1081" t="b">
        <v>1</v>
      </c>
      <c r="G34" s="1081" t="b">
        <v>1</v>
      </c>
      <c r="H34" s="1080" t="b">
        <v>0</v>
      </c>
      <c r="I34" s="1080" t="b">
        <v>0</v>
      </c>
      <c r="J34" s="1080" t="b">
        <v>0</v>
      </c>
      <c r="K34" s="1080" t="b">
        <v>0</v>
      </c>
      <c r="L34" s="1080" t="b">
        <v>0</v>
      </c>
      <c r="M34" s="1080" t="b">
        <v>0</v>
      </c>
      <c r="N34" s="1080"/>
      <c r="O34" s="1080"/>
      <c r="P34" s="1080"/>
      <c r="Q34" s="1080"/>
      <c r="R34" s="1080"/>
    </row>
    <row r="35" spans="1:18" s="1159" customFormat="1">
      <c r="B35" s="1159">
        <v>10</v>
      </c>
      <c r="D35" s="222" t="s">
        <v>2090</v>
      </c>
      <c r="E35" s="1080" t="s">
        <v>4</v>
      </c>
      <c r="F35" s="1081" t="b">
        <v>1</v>
      </c>
      <c r="G35" s="1081" t="b">
        <v>1</v>
      </c>
      <c r="H35" s="1080" t="b">
        <v>0</v>
      </c>
      <c r="I35" s="1080" t="b">
        <v>0</v>
      </c>
      <c r="J35" s="1080" t="b">
        <v>0</v>
      </c>
      <c r="K35" s="1080" t="b">
        <v>0</v>
      </c>
      <c r="L35" s="1080" t="b">
        <v>0</v>
      </c>
      <c r="M35" s="1080" t="b">
        <v>0</v>
      </c>
      <c r="N35" s="1080"/>
      <c r="O35" s="1080"/>
      <c r="P35" s="1080"/>
      <c r="Q35" s="1080"/>
      <c r="R35" s="1080"/>
    </row>
    <row r="36" spans="1:18" s="1159" customFormat="1">
      <c r="B36" s="1159">
        <v>11</v>
      </c>
      <c r="D36" s="222" t="s">
        <v>2092</v>
      </c>
      <c r="E36" s="1080" t="s">
        <v>4</v>
      </c>
      <c r="F36" s="1081" t="b">
        <v>1</v>
      </c>
      <c r="G36" s="1081" t="b">
        <v>1</v>
      </c>
      <c r="H36" s="1080" t="b">
        <v>0</v>
      </c>
      <c r="I36" s="1080" t="b">
        <v>0</v>
      </c>
      <c r="J36" s="1080" t="b">
        <v>0</v>
      </c>
      <c r="K36" s="1080" t="b">
        <v>0</v>
      </c>
      <c r="L36" s="1080" t="b">
        <v>0</v>
      </c>
      <c r="M36" s="1080" t="b">
        <v>0</v>
      </c>
      <c r="N36" s="1080"/>
      <c r="O36" s="1080"/>
      <c r="P36" s="1080"/>
      <c r="Q36" s="1080"/>
      <c r="R36" s="1080"/>
    </row>
    <row r="37" spans="1:18" s="1159" customFormat="1">
      <c r="D37" s="222"/>
      <c r="E37" s="1080"/>
      <c r="F37" s="1081"/>
      <c r="G37" s="1081"/>
      <c r="H37" s="1080"/>
      <c r="I37" s="1080"/>
      <c r="J37" s="1080"/>
      <c r="K37" s="1080"/>
      <c r="L37" s="1080"/>
      <c r="M37" s="1080"/>
      <c r="N37" s="1080"/>
      <c r="O37" s="1080"/>
      <c r="P37" s="1080"/>
      <c r="Q37" s="1080"/>
      <c r="R37" s="1080"/>
    </row>
    <row r="38" spans="1:18" s="1159" customFormat="1" ht="41.25" customHeight="1">
      <c r="A38" s="1765"/>
      <c r="B38" s="1765"/>
      <c r="C38" s="1765"/>
      <c r="D38" s="1765"/>
      <c r="E38" s="1468"/>
      <c r="F38" s="1468"/>
      <c r="G38" s="1468"/>
      <c r="H38" s="1468"/>
      <c r="I38" s="1468"/>
      <c r="J38" s="1468"/>
      <c r="K38" s="1468"/>
      <c r="L38" s="1468"/>
      <c r="M38" s="1468"/>
      <c r="N38" s="1080"/>
      <c r="O38" s="1080"/>
      <c r="P38" s="1080"/>
      <c r="Q38" s="1080"/>
      <c r="R38" s="1080"/>
    </row>
    <row r="39" spans="1:18" s="1159" customFormat="1">
      <c r="D39" s="1250" t="s">
        <v>2793</v>
      </c>
      <c r="E39" s="1250" t="s">
        <v>2169</v>
      </c>
      <c r="F39" s="1250" t="s">
        <v>2006</v>
      </c>
      <c r="G39" s="1250" t="s">
        <v>2219</v>
      </c>
      <c r="H39" s="1250" t="s">
        <v>2780</v>
      </c>
      <c r="I39" s="1250" t="s">
        <v>2781</v>
      </c>
      <c r="J39" s="1250" t="s">
        <v>2785</v>
      </c>
      <c r="K39" s="1250" t="s">
        <v>2786</v>
      </c>
      <c r="L39" s="1250" t="s">
        <v>2787</v>
      </c>
      <c r="M39" s="1250" t="s">
        <v>2788</v>
      </c>
      <c r="N39" s="1080"/>
      <c r="O39" s="1250" t="s">
        <v>2798</v>
      </c>
      <c r="P39" s="1250" t="s">
        <v>2799</v>
      </c>
      <c r="Q39" s="1250" t="s">
        <v>2556</v>
      </c>
      <c r="R39" s="1250" t="s">
        <v>199</v>
      </c>
    </row>
    <row r="40" spans="1:18" s="1159" customFormat="1">
      <c r="B40" s="1159">
        <v>1</v>
      </c>
      <c r="D40" s="222" t="s">
        <v>2068</v>
      </c>
      <c r="E40" s="1080" t="s">
        <v>7</v>
      </c>
      <c r="F40" s="1080" t="b">
        <v>0</v>
      </c>
      <c r="G40" s="1080" t="b">
        <v>0</v>
      </c>
      <c r="H40" s="1080" t="b">
        <v>0</v>
      </c>
      <c r="I40" s="1080" t="b">
        <v>0</v>
      </c>
      <c r="J40" s="1080" t="b">
        <v>0</v>
      </c>
      <c r="K40" s="1080" t="b">
        <v>0</v>
      </c>
      <c r="L40" s="1080" t="b">
        <v>0</v>
      </c>
      <c r="M40" s="1080" t="b">
        <v>0</v>
      </c>
      <c r="N40" s="1080"/>
      <c r="O40" s="224"/>
      <c r="P40" s="224" t="s">
        <v>2095</v>
      </c>
      <c r="Q40" s="224"/>
      <c r="R40" s="224"/>
    </row>
    <row r="41" spans="1:18" s="1159" customFormat="1">
      <c r="B41" s="1159">
        <v>2</v>
      </c>
      <c r="D41" s="223" t="s">
        <v>2097</v>
      </c>
      <c r="E41" s="1080" t="s">
        <v>7</v>
      </c>
      <c r="F41" s="1080" t="b">
        <v>0</v>
      </c>
      <c r="G41" s="1080" t="b">
        <v>0</v>
      </c>
      <c r="H41" s="1080" t="b">
        <v>1</v>
      </c>
      <c r="I41" s="1080" t="b">
        <v>0</v>
      </c>
      <c r="J41" s="1080" t="b">
        <v>1</v>
      </c>
      <c r="K41" s="1080" t="b">
        <v>0</v>
      </c>
      <c r="L41" s="1080" t="b">
        <v>0</v>
      </c>
      <c r="M41" s="1080" t="b">
        <v>0</v>
      </c>
      <c r="N41" s="1080"/>
      <c r="O41" s="224" t="s">
        <v>2096</v>
      </c>
      <c r="P41" s="224" t="s">
        <v>2095</v>
      </c>
      <c r="Q41" s="224" t="s">
        <v>2098</v>
      </c>
      <c r="R41" s="224" t="s">
        <v>2098</v>
      </c>
    </row>
    <row r="42" spans="1:18" s="1159" customFormat="1">
      <c r="B42" s="1159">
        <v>3</v>
      </c>
      <c r="D42" s="223" t="s">
        <v>2100</v>
      </c>
      <c r="E42" s="1080" t="s">
        <v>7</v>
      </c>
      <c r="F42" s="1080" t="b">
        <v>0</v>
      </c>
      <c r="G42" s="1080" t="b">
        <v>0</v>
      </c>
      <c r="H42" s="1080" t="b">
        <v>1</v>
      </c>
      <c r="I42" s="1080" t="b">
        <v>1</v>
      </c>
      <c r="J42" s="1080" t="b">
        <v>1</v>
      </c>
      <c r="K42" s="1080" t="b">
        <v>1</v>
      </c>
      <c r="L42" s="1080" t="b">
        <v>0</v>
      </c>
      <c r="M42" s="1080" t="b">
        <v>0</v>
      </c>
      <c r="N42" s="1080"/>
      <c r="O42" s="224" t="s">
        <v>2099</v>
      </c>
      <c r="P42" s="224" t="s">
        <v>2095</v>
      </c>
      <c r="Q42" s="224" t="s">
        <v>2101</v>
      </c>
      <c r="R42" s="224" t="s">
        <v>2101</v>
      </c>
    </row>
    <row r="43" spans="1:18" s="1159" customFormat="1">
      <c r="B43" s="1159">
        <v>4</v>
      </c>
      <c r="D43" s="223" t="s">
        <v>1784</v>
      </c>
      <c r="E43" s="1080" t="s">
        <v>7</v>
      </c>
      <c r="F43" s="1080" t="b">
        <v>0</v>
      </c>
      <c r="G43" s="1080" t="b">
        <v>0</v>
      </c>
      <c r="H43" s="1080" t="b">
        <v>1</v>
      </c>
      <c r="I43" s="1080" t="b">
        <v>0</v>
      </c>
      <c r="J43" s="1080" t="b">
        <v>1</v>
      </c>
      <c r="K43" s="1080" t="b">
        <v>0</v>
      </c>
      <c r="L43" s="1080" t="b">
        <v>1</v>
      </c>
      <c r="M43" s="1080" t="b">
        <v>1</v>
      </c>
      <c r="N43" s="1080"/>
      <c r="O43" s="224" t="s">
        <v>2096</v>
      </c>
      <c r="P43" s="224" t="s">
        <v>199</v>
      </c>
      <c r="Q43" s="224" t="s">
        <v>2098</v>
      </c>
      <c r="R43" s="224" t="s">
        <v>2101</v>
      </c>
    </row>
    <row r="44" spans="1:18" s="1159" customFormat="1">
      <c r="B44" s="1159">
        <v>5</v>
      </c>
      <c r="D44" s="223" t="s">
        <v>90</v>
      </c>
      <c r="E44" s="1080" t="s">
        <v>7</v>
      </c>
      <c r="F44" s="1080" t="b">
        <v>0</v>
      </c>
      <c r="G44" s="1080" t="b">
        <v>0</v>
      </c>
      <c r="H44" s="1080" t="b">
        <v>1</v>
      </c>
      <c r="I44" s="1080" t="b">
        <v>1</v>
      </c>
      <c r="J44" s="1080" t="b">
        <v>1</v>
      </c>
      <c r="K44" s="1080" t="b">
        <v>1</v>
      </c>
      <c r="L44" s="1080" t="b">
        <v>0</v>
      </c>
      <c r="M44" s="1080" t="b">
        <v>0</v>
      </c>
      <c r="N44" s="1080"/>
      <c r="O44" s="224" t="s">
        <v>2099</v>
      </c>
      <c r="P44" s="224" t="s">
        <v>199</v>
      </c>
      <c r="Q44" s="224" t="s">
        <v>2101</v>
      </c>
      <c r="R44" s="224" t="s">
        <v>2101</v>
      </c>
    </row>
    <row r="45" spans="1:18" s="1159" customFormat="1">
      <c r="B45" s="1159">
        <v>6</v>
      </c>
      <c r="D45" s="222" t="s">
        <v>2104</v>
      </c>
      <c r="E45" s="1080" t="s">
        <v>7</v>
      </c>
      <c r="F45" s="1080" t="b">
        <v>0</v>
      </c>
      <c r="G45" s="1080" t="b">
        <v>0</v>
      </c>
      <c r="H45" s="1080" t="b">
        <v>1</v>
      </c>
      <c r="I45" s="1080" t="b">
        <v>0</v>
      </c>
      <c r="J45" s="1080" t="b">
        <v>1</v>
      </c>
      <c r="K45" s="1080" t="b">
        <v>0</v>
      </c>
      <c r="L45" s="1080" t="b">
        <v>0</v>
      </c>
      <c r="M45" s="1080" t="b">
        <v>0</v>
      </c>
      <c r="N45" s="1080"/>
      <c r="O45" s="224"/>
      <c r="P45" s="224" t="s">
        <v>2095</v>
      </c>
      <c r="Q45" s="224" t="s">
        <v>2098</v>
      </c>
      <c r="R45" s="224"/>
    </row>
    <row r="46" spans="1:18" s="1159" customFormat="1">
      <c r="B46" s="1159">
        <v>7</v>
      </c>
      <c r="D46" s="222" t="s">
        <v>2105</v>
      </c>
      <c r="E46" s="1080" t="s">
        <v>7</v>
      </c>
      <c r="F46" s="1080" t="b">
        <v>0</v>
      </c>
      <c r="G46" s="1080" t="b">
        <v>0</v>
      </c>
      <c r="H46" s="1080" t="b">
        <v>1</v>
      </c>
      <c r="I46" s="1080" t="b">
        <v>1</v>
      </c>
      <c r="J46" s="1080" t="b">
        <v>1</v>
      </c>
      <c r="K46" s="1080" t="b">
        <v>1</v>
      </c>
      <c r="L46" s="1080" t="b">
        <v>0</v>
      </c>
      <c r="M46" s="1080" t="b">
        <v>0</v>
      </c>
      <c r="N46" s="1080"/>
      <c r="O46" s="224" t="s">
        <v>2099</v>
      </c>
      <c r="P46" s="224" t="s">
        <v>2095</v>
      </c>
      <c r="Q46" s="224"/>
      <c r="R46" s="224"/>
    </row>
    <row r="47" spans="1:18" s="1159" customFormat="1">
      <c r="B47" s="1159">
        <v>8</v>
      </c>
      <c r="D47" s="222" t="s">
        <v>2106</v>
      </c>
      <c r="E47" s="1080" t="s">
        <v>7</v>
      </c>
      <c r="F47" s="1080" t="b">
        <v>0</v>
      </c>
      <c r="G47" s="1080" t="b">
        <v>0</v>
      </c>
      <c r="H47" s="1080" t="b">
        <v>1</v>
      </c>
      <c r="I47" s="1080" t="b">
        <v>1</v>
      </c>
      <c r="J47" s="1080" t="b">
        <v>1</v>
      </c>
      <c r="K47" s="1080" t="b">
        <v>1</v>
      </c>
      <c r="L47" s="1080" t="b">
        <v>1</v>
      </c>
      <c r="M47" s="1080" t="b">
        <v>1</v>
      </c>
      <c r="N47" s="1080"/>
      <c r="O47" s="224" t="s">
        <v>2099</v>
      </c>
      <c r="P47" s="224" t="s">
        <v>199</v>
      </c>
      <c r="Q47" s="224" t="s">
        <v>2559</v>
      </c>
      <c r="R47" s="224" t="s">
        <v>2559</v>
      </c>
    </row>
    <row r="48" spans="1:18" s="1159" customFormat="1">
      <c r="B48" s="1159">
        <v>9</v>
      </c>
      <c r="D48" s="223" t="s">
        <v>2107</v>
      </c>
      <c r="E48" s="1080" t="s">
        <v>4</v>
      </c>
      <c r="F48" s="1080" t="b">
        <v>0</v>
      </c>
      <c r="G48" s="1080" t="b">
        <v>0</v>
      </c>
      <c r="H48" s="1080" t="b">
        <v>1</v>
      </c>
      <c r="I48" s="1080" t="b">
        <v>0</v>
      </c>
      <c r="J48" s="1080" t="b">
        <v>1</v>
      </c>
      <c r="K48" s="1080" t="b">
        <v>0</v>
      </c>
      <c r="L48" s="1080" t="b">
        <v>0</v>
      </c>
      <c r="M48" s="1080" t="b">
        <v>0</v>
      </c>
      <c r="N48" s="1080"/>
      <c r="O48" s="224" t="s">
        <v>2096</v>
      </c>
      <c r="P48" s="224" t="s">
        <v>2095</v>
      </c>
      <c r="Q48" s="224"/>
      <c r="R48" s="224"/>
    </row>
    <row r="49" spans="2:18" s="1159" customFormat="1">
      <c r="B49" s="1159">
        <v>10</v>
      </c>
      <c r="D49" s="223" t="s">
        <v>2102</v>
      </c>
      <c r="E49" s="1080" t="s">
        <v>4</v>
      </c>
      <c r="F49" s="1080" t="b">
        <v>0</v>
      </c>
      <c r="G49" s="1080" t="b">
        <v>0</v>
      </c>
      <c r="H49" s="1080" t="b">
        <v>1</v>
      </c>
      <c r="I49" s="1080" t="b">
        <v>0</v>
      </c>
      <c r="J49" s="1080" t="b">
        <v>1</v>
      </c>
      <c r="K49" s="1080" t="b">
        <v>0</v>
      </c>
      <c r="L49" s="1080" t="b">
        <v>0</v>
      </c>
      <c r="M49" s="1080" t="b">
        <v>0</v>
      </c>
      <c r="N49" s="1080"/>
      <c r="O49" s="224" t="s">
        <v>201</v>
      </c>
      <c r="P49" s="224" t="s">
        <v>2095</v>
      </c>
      <c r="Q49" s="224" t="s">
        <v>2103</v>
      </c>
      <c r="R49" s="224" t="s">
        <v>2103</v>
      </c>
    </row>
    <row r="50" spans="2:18" s="1159" customFormat="1">
      <c r="D50" s="223"/>
    </row>
    <row r="51" spans="2:18" s="1159" customFormat="1">
      <c r="D51" s="223"/>
    </row>
    <row r="52" spans="2:18" s="1159" customFormat="1">
      <c r="D52" s="223"/>
    </row>
    <row r="53" spans="2:18" s="1159" customFormat="1">
      <c r="D53" s="223"/>
    </row>
    <row r="54" spans="2:18" s="1159" customFormat="1">
      <c r="D54" s="223"/>
    </row>
    <row r="55" spans="2:18" s="1159" customFormat="1">
      <c r="D55" s="223"/>
    </row>
    <row r="56" spans="2:18" s="1159" customFormat="1">
      <c r="D56" s="223"/>
    </row>
  </sheetData>
  <mergeCells count="2">
    <mergeCell ref="E38:M38"/>
    <mergeCell ref="A38:D3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 moveWithCells="1">
                  <from>
                    <xdr:col>3</xdr:col>
                    <xdr:colOff>57150</xdr:colOff>
                    <xdr:row>0</xdr:row>
                    <xdr:rowOff>66675</xdr:rowOff>
                  </from>
                  <to>
                    <xdr:col>4</xdr:col>
                    <xdr:colOff>19050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25</vt:i4>
      </vt:variant>
      <vt:variant>
        <vt:lpstr>Plages nommées</vt:lpstr>
      </vt:variant>
      <vt:variant>
        <vt:i4>82</vt:i4>
      </vt:variant>
    </vt:vector>
  </HeadingPairs>
  <TitlesOfParts>
    <vt:vector size="107" baseType="lpstr">
      <vt:lpstr>Admin</vt:lpstr>
      <vt:lpstr>HISTORY</vt:lpstr>
      <vt:lpstr>Cotations</vt:lpstr>
      <vt:lpstr>Calcul</vt:lpstr>
      <vt:lpstr>RECAPITULATIF</vt:lpstr>
      <vt:lpstr>Source</vt:lpstr>
      <vt:lpstr>Crewlist</vt:lpstr>
      <vt:lpstr>Detail</vt:lpstr>
      <vt:lpstr>exportClient</vt:lpstr>
      <vt:lpstr>Company </vt:lpstr>
      <vt:lpstr>Manual invoice</vt:lpstr>
      <vt:lpstr>Import</vt:lpstr>
      <vt:lpstr>Certificat</vt:lpstr>
      <vt:lpstr>Modules</vt:lpstr>
      <vt:lpstr>APPORTEURS</vt:lpstr>
      <vt:lpstr>USER</vt:lpstr>
      <vt:lpstr>Vocabulaire</vt:lpstr>
      <vt:lpstr>NAMES</vt:lpstr>
      <vt:lpstr>LISTES</vt:lpstr>
      <vt:lpstr>LIST</vt:lpstr>
      <vt:lpstr>Rates</vt:lpstr>
      <vt:lpstr>Structure</vt:lpstr>
      <vt:lpstr>Config</vt:lpstr>
      <vt:lpstr>Currency</vt:lpstr>
      <vt:lpstr>Formules</vt:lpstr>
      <vt:lpstr>ALLTHESAME</vt:lpstr>
      <vt:lpstr>ANCERTIF</vt:lpstr>
      <vt:lpstr>ANRENOUV</vt:lpstr>
      <vt:lpstr>ANRENOUVMOINSDEUX</vt:lpstr>
      <vt:lpstr>ANRENOUVMOINSUN</vt:lpstr>
      <vt:lpstr>ANRENOUVSHORT</vt:lpstr>
      <vt:lpstr>BRaddress</vt:lpstr>
      <vt:lpstr>BRcity</vt:lpstr>
      <vt:lpstr>BRcountry</vt:lpstr>
      <vt:lpstr>BRname</vt:lpstr>
      <vt:lpstr>BRpostalcode</vt:lpstr>
      <vt:lpstr>CALCMOIS</vt:lpstr>
      <vt:lpstr>certificateNB</vt:lpstr>
      <vt:lpstr>colAssureur</vt:lpstr>
      <vt:lpstr>colchoice</vt:lpstr>
      <vt:lpstr>colchoiceProduct</vt:lpstr>
      <vt:lpstr>colCurrency</vt:lpstr>
      <vt:lpstr>colmodecalcul</vt:lpstr>
      <vt:lpstr>colProduct</vt:lpstr>
      <vt:lpstr>colRatesHT</vt:lpstr>
      <vt:lpstr>colRatesHTsurcom</vt:lpstr>
      <vt:lpstr>colSURCOM</vt:lpstr>
      <vt:lpstr>DATECANCEL</vt:lpstr>
      <vt:lpstr>DATECERTIF</vt:lpstr>
      <vt:lpstr>DATECREWLIST</vt:lpstr>
      <vt:lpstr>DATERENOUV</vt:lpstr>
      <vt:lpstr>DATERENOUVMOINS365</vt:lpstr>
      <vt:lpstr>DATERENOUVMOINS730</vt:lpstr>
      <vt:lpstr>DEVISEANKER</vt:lpstr>
      <vt:lpstr>EMaddress</vt:lpstr>
      <vt:lpstr>EMcity</vt:lpstr>
      <vt:lpstr>EMcountry</vt:lpstr>
      <vt:lpstr>EMname</vt:lpstr>
      <vt:lpstr>EMpostalcode</vt:lpstr>
      <vt:lpstr>FEESALL</vt:lpstr>
      <vt:lpstr>'Company '!Impression_des_titres</vt:lpstr>
      <vt:lpstr>exportClient!Impression_des_titres</vt:lpstr>
      <vt:lpstr>Rates!Impression_des_titres</vt:lpstr>
      <vt:lpstr>lig0_Persons</vt:lpstr>
      <vt:lpstr>lig0_POL_Legal</vt:lpstr>
      <vt:lpstr>lig0_POL_RC</vt:lpstr>
      <vt:lpstr>lig1_Formula_MED</vt:lpstr>
      <vt:lpstr>lig1_Formula_PREVOY</vt:lpstr>
      <vt:lpstr>lig1_Persons</vt:lpstr>
      <vt:lpstr>lig1_POL_MED</vt:lpstr>
      <vt:lpstr>lig1_POL_PREVOY</vt:lpstr>
      <vt:lpstr>lig2_Formula_MED</vt:lpstr>
      <vt:lpstr>lig2_Formula_PREVOY</vt:lpstr>
      <vt:lpstr>lig2_Persons</vt:lpstr>
      <vt:lpstr>lig2_POL_MED</vt:lpstr>
      <vt:lpstr>lig2_POL_PREVO</vt:lpstr>
      <vt:lpstr>lig3_Formula_MED</vt:lpstr>
      <vt:lpstr>lig3_Formula_PREVOY</vt:lpstr>
      <vt:lpstr>lig3_Persons</vt:lpstr>
      <vt:lpstr>lig3_POL_MED</vt:lpstr>
      <vt:lpstr>lig3_POL_PREVOY</vt:lpstr>
      <vt:lpstr>LISTALLTHESAME</vt:lpstr>
      <vt:lpstr>MAaddress</vt:lpstr>
      <vt:lpstr>MAcity</vt:lpstr>
      <vt:lpstr>MAcountry</vt:lpstr>
      <vt:lpstr>MAname</vt:lpstr>
      <vt:lpstr>MApostalcode</vt:lpstr>
      <vt:lpstr>masse_salariale</vt:lpstr>
      <vt:lpstr>MAXDAYS</vt:lpstr>
      <vt:lpstr>MAXMONTHS</vt:lpstr>
      <vt:lpstr>PHaddress</vt:lpstr>
      <vt:lpstr>PHcity</vt:lpstr>
      <vt:lpstr>PHcountry</vt:lpstr>
      <vt:lpstr>PHname</vt:lpstr>
      <vt:lpstr>PHpostalcode</vt:lpstr>
      <vt:lpstr>REALDAYS1</vt:lpstr>
      <vt:lpstr>REALMONTHS1</vt:lpstr>
      <vt:lpstr>TAXE</vt:lpstr>
      <vt:lpstr>YACHTNAME</vt:lpstr>
      <vt:lpstr>Admin!Zone_d_impression</vt:lpstr>
      <vt:lpstr>'Company '!Zone_d_impression</vt:lpstr>
      <vt:lpstr>Crewlist!Zone_d_impression</vt:lpstr>
      <vt:lpstr>exportClient!Zone_d_impression</vt:lpstr>
      <vt:lpstr>HISTORY!Zone_d_impression</vt:lpstr>
      <vt:lpstr>'Manual invoice'!Zone_d_impression</vt:lpstr>
      <vt:lpstr>Rates!Zone_d_impression</vt:lpstr>
      <vt:lpstr>RECAPITULATIF!Zone_d_impression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</dc:creator>
  <cp:lastModifiedBy>Mathieu</cp:lastModifiedBy>
  <cp:lastPrinted>2016-12-19T09:41:00Z</cp:lastPrinted>
  <dcterms:created xsi:type="dcterms:W3CDTF">2015-04-27T10:04:23Z</dcterms:created>
  <dcterms:modified xsi:type="dcterms:W3CDTF">2016-12-19T09:41:10Z</dcterms:modified>
</cp:coreProperties>
</file>